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autoCompressPictures="0"/>
  <mc:AlternateContent xmlns:mc="http://schemas.openxmlformats.org/markup-compatibility/2006">
    <mc:Choice Requires="x15">
      <x15ac:absPath xmlns:x15ac="http://schemas.microsoft.com/office/spreadsheetml/2010/11/ac" url="https://cawaterboards-my.sharepoint.com/personal/nicole_fry_waterboards_ca_gov/Documents/Specialist Work/ESLs/2. ESL Team Files/2. Next Update/4.Workbook in Progress/"/>
    </mc:Choice>
  </mc:AlternateContent>
  <xr:revisionPtr revIDLastSave="123" documentId="8_{D820ABAD-3249-4ACD-A385-38041877E6AF}" xr6:coauthVersionLast="47" xr6:coauthVersionMax="47" xr10:uidLastSave="{0FC35EB8-E33C-4AAE-AD09-353AC10DCEA3}"/>
  <workbookProtection workbookAlgorithmName="SHA-512" workbookHashValue="k92eF18fqXgZui5GlVeAQBY7DlSoC1Q43yQ8KFS6a5tS9Dz1NIIm1UTpEibF9t2Wx8n+9Qjeur5x2bGfmvGqPA==" workbookSaltValue="21jLEMTSi8CUpQ0xccWTVw==" workbookSpinCount="100000" lockStructure="1"/>
  <bookViews>
    <workbookView xWindow="-23148" yWindow="-108" windowWidth="23256" windowHeight="12456" tabRatio="898" xr2:uid="{00000000-000D-0000-FFFF-FFFF00000000}"/>
  </bookViews>
  <sheets>
    <sheet name="Instructions" sheetId="112" r:id="rId1"/>
    <sheet name="Table Index" sheetId="75" r:id="rId2"/>
    <sheet name="Tier 1 ESL" sheetId="86" r:id="rId3"/>
    <sheet name="GW Summary" sheetId="82" r:id="rId4"/>
    <sheet name="Soil Summary" sheetId="97" r:id="rId5"/>
    <sheet name="Vapor Summary" sheetId="98" r:id="rId6"/>
    <sheet name="Short-Term Action" sheetId="105" r:id="rId7"/>
    <sheet name="Tier-2 Site Spec. ESLs (T2-1)" sheetId="52" r:id="rId8"/>
    <sheet name="Tier 2 Cumulative Risk (T2-2)" sheetId="104" r:id="rId9"/>
    <sheet name="Tier 2 Specific Concerns (T2-3)" sheetId="109" r:id="rId10"/>
    <sheet name="Water Direct Exp (GW-1)" sheetId="24" r:id="rId11"/>
    <sheet name="Water Habitat Goal (GW-2)" sheetId="26" r:id="rId12"/>
    <sheet name="Water VI HHR (GW-3)" sheetId="15" r:id="rId13"/>
    <sheet name="Water Gross Contam. (GW-4)" sheetId="89" r:id="rId14"/>
    <sheet name="Water Odor (GW-5)" sheetId="38" r:id="rId15"/>
    <sheet name="Soil Direct Exp (S-1)" sheetId="46" r:id="rId16"/>
    <sheet name="Soil Terrest. Habitat (S-2)" sheetId="108" r:id="rId17"/>
    <sheet name="Soil Leaching (S-3)" sheetId="73" r:id="rId18"/>
    <sheet name="Soil Gross Contam. (S-4)" sheetId="90" r:id="rId19"/>
    <sheet name="Soil Odor (S-5)" sheetId="36" r:id="rId20"/>
    <sheet name="Soil Gas VI HHR (SG-1)" sheetId="17" r:id="rId21"/>
    <sheet name="Soil Gas VI Odor (SG-2)" sheetId="5" r:id="rId22"/>
    <sheet name="Indoor Air Direct Exp (IA-1)" sheetId="18" r:id="rId23"/>
    <sheet name="Indoor Air Odor (IA-2)" sheetId="79" r:id="rId24"/>
    <sheet name="Physical-Chem Values (IP-1)" sheetId="70" r:id="rId25"/>
    <sheet name="Toxicity Values (IP-2)" sheetId="110" r:id="rId26"/>
    <sheet name="Direct Exp Model Factors (IP-3)" sheetId="85" r:id="rId27"/>
    <sheet name="MCL- Other DW Levels (IP-4)" sheetId="91" r:id="rId28"/>
    <sheet name=" EcoT-Ca Aq Levels (IP-5)" sheetId="28" r:id="rId29"/>
    <sheet name="EcoT-US Aq Levels (IP-6)" sheetId="29" r:id="rId30"/>
    <sheet name="Seafood Ingestion (IP-7)" sheetId="101" r:id="rId31"/>
    <sheet name="Terrestrial Habitat (IP-8)" sheetId="103" r:id="rId32"/>
    <sheet name="Petroleum Fractions (IP-9)" sheetId="106" r:id="rId33"/>
    <sheet name="Teir1 Comp" sheetId="125" state="hidden" r:id="rId34"/>
    <sheet name="PFAS (IP-10)" sheetId="113" state="hidden" r:id="rId35"/>
    <sheet name="Sheet1" sheetId="114" state="hidden" r:id="rId36"/>
    <sheet name="Nov 24 RSLs-IP" sheetId="115" state="hidden" r:id="rId37"/>
    <sheet name="RSL-ESL IP Compare" sheetId="116" state="hidden" r:id="rId38"/>
    <sheet name="Mar '25 Note 10" sheetId="117" state="hidden" r:id="rId39"/>
    <sheet name="Note 10-ESL compare" sheetId="118" state="hidden" r:id="rId40"/>
    <sheet name="Nov '24 RSL-SL" sheetId="121" state="hidden" r:id="rId41"/>
    <sheet name="Mar '25 Note 3" sheetId="119" state="hidden" r:id="rId42"/>
    <sheet name="RSL-Note 3-ESL comp" sheetId="120" state="hidden" r:id="rId43"/>
    <sheet name="2019 Teir1" sheetId="124" state="hidden" r:id="rId44"/>
  </sheets>
  <externalReferences>
    <externalReference r:id="rId45"/>
    <externalReference r:id="rId46"/>
    <externalReference r:id="rId47"/>
    <externalReference r:id="rId48"/>
  </externalReferences>
  <definedNames>
    <definedName name="_xlnm._FilterDatabase" localSheetId="28" hidden="1">' EcoT-Ca Aq Levels (IP-5)'!$A$5:$B$145</definedName>
    <definedName name="_xlnm._FilterDatabase" localSheetId="29" hidden="1">'EcoT-US Aq Levels (IP-6)'!$A$5:$B$145</definedName>
    <definedName name="_xlnm._FilterDatabase" localSheetId="3" hidden="1">'GW Summary'!$A$6:$B$157</definedName>
    <definedName name="_xlnm._FilterDatabase" localSheetId="22" hidden="1">'Indoor Air Direct Exp (IA-1)'!$A$5:$B$130</definedName>
    <definedName name="_xlnm._FilterDatabase" localSheetId="23" hidden="1">'Indoor Air Odor (IA-2)'!$A$4:$B$124</definedName>
    <definedName name="_xlnm._FilterDatabase" localSheetId="27" hidden="1">'MCL- Other DW Levels (IP-4)'!$A$4:$B$138</definedName>
    <definedName name="_xlnm._FilterDatabase" localSheetId="24" hidden="1">'Physical-Chem Values (IP-1)'!$A$5:$AA$163</definedName>
    <definedName name="_xlnm._FilterDatabase" localSheetId="30" hidden="1">'Seafood Ingestion (IP-7)'!$A$5:$B$140</definedName>
    <definedName name="_xlnm._FilterDatabase" localSheetId="15" hidden="1">'Soil Direct Exp (S-1)'!$A$5:$B$130</definedName>
    <definedName name="_xlnm._FilterDatabase" localSheetId="20" hidden="1">'Soil Gas VI HHR (SG-1)'!$A$6:$B$131</definedName>
    <definedName name="_xlnm._FilterDatabase" localSheetId="21" hidden="1">'Soil Gas VI Odor (SG-2)'!$A$5:$B$125</definedName>
    <definedName name="_xlnm._FilterDatabase" localSheetId="18" hidden="1">'Soil Gross Contam. (S-4)'!$A$4:$B$123</definedName>
    <definedName name="_xlnm._FilterDatabase" localSheetId="17" hidden="1">'Soil Leaching (S-3)'!$A$6:$B$126</definedName>
    <definedName name="_xlnm._FilterDatabase" localSheetId="19" hidden="1">'Soil Odor (S-5)'!$A$5:$B$124</definedName>
    <definedName name="_xlnm._FilterDatabase" localSheetId="4" hidden="1">'Soil Summary'!$A$6:$B$161</definedName>
    <definedName name="_xlnm._FilterDatabase" localSheetId="16" hidden="1">'Soil Terrest. Habitat (S-2)'!$A$4:$A$124</definedName>
    <definedName name="_xlnm._FilterDatabase" localSheetId="31" hidden="1">'Terrestrial Habitat (IP-8)'!$A$7:$B$7</definedName>
    <definedName name="_xlnm._FilterDatabase" localSheetId="2" hidden="1">'Tier 1 ESL'!$A$8:$B$147</definedName>
    <definedName name="_xlnm._FilterDatabase" localSheetId="7" hidden="1">'Tier-2 Site Spec. ESLs (T2-1)'!#REF!</definedName>
    <definedName name="_xlnm._FilterDatabase" localSheetId="25" hidden="1">'Toxicity Values (IP-2)'!$A$5:$B$176</definedName>
    <definedName name="_xlnm._FilterDatabase" localSheetId="5" hidden="1">'Vapor Summary'!$A$7:$B$149</definedName>
    <definedName name="_xlnm._FilterDatabase" localSheetId="10" hidden="1">'Water Direct Exp (GW-1)'!$A$8:$B$172</definedName>
    <definedName name="_xlnm._FilterDatabase" localSheetId="13" hidden="1">'Water Gross Contam. (GW-4)'!$A$4:$B$123</definedName>
    <definedName name="_xlnm._FilterDatabase" localSheetId="11" hidden="1">'Water Habitat Goal (GW-2)'!$A$5:$B$5</definedName>
    <definedName name="_xlnm._FilterDatabase" localSheetId="14" hidden="1">'Water Odor (GW-5)'!$A$4:$B$123</definedName>
    <definedName name="_xlnm._FilterDatabase" localSheetId="12" hidden="1">'Water VI HHR (GW-3)'!$A$7:$B$126</definedName>
    <definedName name="AdFa">'Direct Exp Model Factors (IP-3)'!$F$28</definedName>
    <definedName name="AdFc">'Direct Exp Model Factors (IP-3)'!$F$29</definedName>
    <definedName name="AdFci">'Direct Exp Model Factors (IP-3)'!$F$30</definedName>
    <definedName name="AdFct">'Direct Exp Model Factors (IP-3)'!$F$31</definedName>
    <definedName name="AFgmax">'Direct Exp Model Factors (IP-3)'!#REF!</definedName>
    <definedName name="AFgmin">'Direct Exp Model Factors (IP-3)'!$F$68</definedName>
    <definedName name="AFsmax">'Direct Exp Model Factors (IP-3)'!#REF!</definedName>
    <definedName name="AFsmin">'Direct Exp Model Factors (IP-3)'!$F$67</definedName>
    <definedName name="BWa">'Direct Exp Model Factors (IP-3)'!$F$7</definedName>
    <definedName name="BWc">'Direct Exp Model Factors (IP-3)'!$F$6</definedName>
    <definedName name="BWct">'Direct Exp Model Factors (IP-3)'!$F$8</definedName>
    <definedName name="C_1">'Tier-2 Site Spec. ESLs (T2-1)'!$J$20</definedName>
    <definedName name="C_2">'Tier-2 Site Spec. ESLs (T2-1)'!$M$20</definedName>
    <definedName name="C_3">'Tier-2 Site Spec. ESLs (T2-1)'!$P$20</definedName>
    <definedName name="C_4">'Tier-2 Site Spec. ESLs (T2-1)'!$S$20</definedName>
    <definedName name="C_5">'Tier-2 Site Spec. ESLs (T2-1)'!$V$20</definedName>
    <definedName name="Chemical_Name">'[1]Tier-2 Site Spec. Inputs (T2-1)'!$E$5</definedName>
    <definedName name="Conc_C1_GW">'Tier 2 Cumulative Risk (T2-2)'!$E$14</definedName>
    <definedName name="Conc_C1_IA">'Tier 2 Cumulative Risk (T2-2)'!$E$18</definedName>
    <definedName name="Conc_C1_SG">'Tier 2 Cumulative Risk (T2-2)'!$E$16</definedName>
    <definedName name="Conc_C1_Soil">'Tier 2 Cumulative Risk (T2-2)'!$E$12</definedName>
    <definedName name="Conc_C2_GW">'Tier 2 Cumulative Risk (T2-2)'!$G$14</definedName>
    <definedName name="Conc_C2_IA">'Tier 2 Cumulative Risk (T2-2)'!$G$18</definedName>
    <definedName name="Conc_C2_SG">'Tier 2 Cumulative Risk (T2-2)'!$G$16</definedName>
    <definedName name="Conc_C2_Soil">'Tier 2 Cumulative Risk (T2-2)'!$G$12</definedName>
    <definedName name="Conc_C3_GW">'Tier 2 Cumulative Risk (T2-2)'!$I$14</definedName>
    <definedName name="Conc_C3_IA">'Tier 2 Cumulative Risk (T2-2)'!$I$18</definedName>
    <definedName name="Conc_C3_SG">'Tier 2 Cumulative Risk (T2-2)'!$I$16</definedName>
    <definedName name="Conc_C3_Soil">'Tier 2 Cumulative Risk (T2-2)'!$I$12</definedName>
    <definedName name="Conc_C4_GW">'Tier 2 Cumulative Risk (T2-2)'!$K$14</definedName>
    <definedName name="Conc_C4_IA">'Tier 2 Cumulative Risk (T2-2)'!$K$18</definedName>
    <definedName name="Conc_C4_SG">'Tier 2 Cumulative Risk (T2-2)'!$K$16</definedName>
    <definedName name="Conc_C4_Soil">'Tier 2 Cumulative Risk (T2-2)'!$K$12</definedName>
    <definedName name="Conc_C5_GW">'Tier 2 Cumulative Risk (T2-2)'!$M$14</definedName>
    <definedName name="Conc_C5_IA">'Tier 2 Cumulative Risk (T2-2)'!$M$18</definedName>
    <definedName name="Conc_C5_SG">'Tier 2 Cumulative Risk (T2-2)'!$M$16</definedName>
    <definedName name="Conc_C5_Soil">'Tier 2 Cumulative Risk (T2-2)'!$M$12</definedName>
    <definedName name="DFSadj">'Direct Exp Model Factors (IP-3)'!$F$55</definedName>
    <definedName name="DFSmadj">'Direct Exp Model Factors (IP-3)'!$F$63</definedName>
    <definedName name="DFWadj">'Direct Exp Model Factors (IP-3)'!$F$54</definedName>
    <definedName name="DFWmadj">'Direct Exp Model Factors (IP-3)'!$F$62</definedName>
    <definedName name="Discharge">'Tier-2 Site Spec. ESLs (T2-1)'!$J$14</definedName>
    <definedName name="Dp">'Direct Exp Model Factors (IP-3)'!$F$70</definedName>
    <definedName name="Ds">'Direct Exp Model Factors (IP-3)'!$F$69</definedName>
    <definedName name="EDc">'Direct Exp Model Factors (IP-3)'!$F$15</definedName>
    <definedName name="EDci">'Direct Exp Model Factors (IP-3)'!$F$17</definedName>
    <definedName name="EDct">'Direct Exp Model Factors (IP-3)'!$F$18</definedName>
    <definedName name="EDr">'Direct Exp Model Factors (IP-3)'!$F$50</definedName>
    <definedName name="EFci">'Direct Exp Model Factors (IP-3)'!$F$11</definedName>
    <definedName name="EFct">'Direct Exp Model Factors (IP-3)'!$F$12</definedName>
    <definedName name="EFr">'Direct Exp Model Factors (IP-3)'!$F$10</definedName>
    <definedName name="ETcs">'Direct Exp Model Factors (IP-3)'!#REF!</definedName>
    <definedName name="ETr">'Direct Exp Model Factors (IP-3)'!$F$13</definedName>
    <definedName name="ETrs">'Direct Exp Model Factors (IP-3)'!#REF!</definedName>
    <definedName name="ETw">'Direct Exp Model Factors (IP-3)'!$F$14</definedName>
    <definedName name="ETwa">'Direct Exp Model Factors (IP-3)'!$F$41</definedName>
    <definedName name="ETwadj">'Direct Exp Model Factors (IP-3)'!$F$51</definedName>
    <definedName name="ETwc">'Direct Exp Model Factors (IP-3)'!$F$40</definedName>
    <definedName name="Foc">'Direct Exp Model Factors (IP-3)'!$F$71</definedName>
    <definedName name="Groundwater_Concentration">'[1]Tier-2 Site Spec. Inputs (T2-1)'!$E$25</definedName>
    <definedName name="Groundwater_Use">'Tier-2 Site Spec. ESLs (T2-1)'!$J$10</definedName>
    <definedName name="GW_AF">'Tier-2 Site Spec. ESLs (T2-1)'!#REF!</definedName>
    <definedName name="GW_DE_Level">'Tier-2 Site Spec. ESLs (T2-1)'!$J$39</definedName>
    <definedName name="GW_EcoT_Level">'Tier-2 Site Spec. ESLs (T2-1)'!$J$43</definedName>
    <definedName name="GW_ESL">'Tier-2 Site Spec. ESLs (T2-1)'!$J$51</definedName>
    <definedName name="GW_GC_Level">'Tier-2 Site Spec. ESLs (T2-1)'!$J$47</definedName>
    <definedName name="GW_NO_Level">'Tier-2 Site Spec. ESLs (T2-1)'!$J$50</definedName>
    <definedName name="GW_VI_Level">'Tier-2 Site Spec. ESLs (T2-1)'!$J$46</definedName>
    <definedName name="GW_VI_SL_C1">'Tier-2 Site Spec. ESLs (T2-1)'!$J$46</definedName>
    <definedName name="GW_VI_SL_C2">'Tier-2 Site Spec. ESLs (T2-1)'!$M$46</definedName>
    <definedName name="GW_VI_SL_C3">'Tier-2 Site Spec. ESLs (T2-1)'!$P$46</definedName>
    <definedName name="GW_VI_SL_C4">'Tier-2 Site Spec. ESLs (T2-1)'!$S$46</definedName>
    <definedName name="GW_VI_SL_C5">'Tier-2 Site Spec. ESLs (T2-1)'!$V$46</definedName>
    <definedName name="GWIA_Level">'[1]Tier 2 Output Details (T2-2)'!$F$28</definedName>
    <definedName name="heading_GW_Summary">'GW Summary'!$1:$1</definedName>
    <definedName name="heading_IA_1">'Indoor Air Direct Exp (IA-1)'!$1:$1</definedName>
    <definedName name="heading_IA_2">'Indoor Air Odor (IA-2)'!$1:$1</definedName>
    <definedName name="heading_IP_1">'Physical-Chem Values (IP-1)'!$1:$1</definedName>
    <definedName name="heading_IP_2">'Toxicity Values (IP-2)'!$A$1:$AS$1</definedName>
    <definedName name="heading_IP_4">'MCL- Other DW Levels (IP-4)'!$1:$1</definedName>
    <definedName name="heading_IP_5">' EcoT-Ca Aq Levels (IP-5)'!$1:$1</definedName>
    <definedName name="heading_IP_6">'EcoT-US Aq Levels (IP-6)'!$1:$1</definedName>
    <definedName name="heading_IP_7">'Seafood Ingestion (IP-7)'!$1:$1</definedName>
    <definedName name="heading_IP_8">'Terrestrial Habitat (IP-8)'!$1:$1</definedName>
    <definedName name="Heading_N10">'Mar ''25 Note 10'!$1:$1</definedName>
    <definedName name="Heading_N3">'Mar ''25 Note 3'!$1:$1</definedName>
    <definedName name="Heading_RSL">'Nov 24 RSLs-IP'!$1:$1</definedName>
    <definedName name="Heading_RSL_C">'RSL-ESL IP Compare'!$1:$1</definedName>
    <definedName name="Heading_RSL_SL">'Nov ''24 RSL-SL'!$1:$1</definedName>
    <definedName name="Heading_RSLc">'[2]RSL Calc 2024'!$1:$1</definedName>
    <definedName name="heading_S_1">'Soil Direct Exp (S-1)'!$1:$1</definedName>
    <definedName name="heading_S_2">'Soil Terrest. Habitat (S-2)'!$1:$1</definedName>
    <definedName name="heading_S_3">'Soil Leaching (S-3)'!$1:$1</definedName>
    <definedName name="heading_S_4">'Soil Gross Contam. (S-4)'!$1:$1</definedName>
    <definedName name="heading_S_5">'Soil Odor (S-5)'!$1:$1</definedName>
    <definedName name="heading_S_Summary">'Soil Summary'!$1:$1</definedName>
    <definedName name="heading_S25">'[3]Soil-sum-25'!$1:$1</definedName>
    <definedName name="heading_SG_1">'Soil Gas VI HHR (SG-1)'!$1:$1</definedName>
    <definedName name="heading_SG_2">'Soil Gas VI Odor (SG-2)'!$1:$1</definedName>
    <definedName name="heading_T1_19">'2019 Teir1'!$1:$1</definedName>
    <definedName name="Heading_Tap">'[3]Tap-25'!$1:$1</definedName>
    <definedName name="heading_TF">'Toxicity Values (IP-2)'!#REF!</definedName>
    <definedName name="heading_V_Summary">'Vapor Summary'!$1:$1</definedName>
    <definedName name="heading_V25">'[3]Vapor-sum-25'!$1:$1</definedName>
    <definedName name="heading_W_1">'Water Direct Exp (GW-1)'!$1:$1</definedName>
    <definedName name="heading_W_2">'Water Habitat Goal (GW-2)'!$1:$1</definedName>
    <definedName name="heading_W_3">'Water VI HHR (GW-3)'!$1:$1</definedName>
    <definedName name="heading_W_4">'Water Gross Contam. (GW-4)'!$1:$1</definedName>
    <definedName name="heading_W_5">'Water Odor (GW-5)'!$1:$1</definedName>
    <definedName name="HI_DW">'Tier 2 Cumulative Risk (T2-2)'!$P$44</definedName>
    <definedName name="HI_GW_VI">'Tier 2 Cumulative Risk (T2-2)'!#REF!</definedName>
    <definedName name="HI_IA">'Tier 2 Cumulative Risk (T2-2)'!$P$52</definedName>
    <definedName name="HI_SG_VI">'Tier 2 Cumulative Risk (T2-2)'!$P$46</definedName>
    <definedName name="HI_Soil">'Tier 2 Cumulative Risk (T2-2)'!$P$42</definedName>
    <definedName name="IA_DE_Level">'Tier-2 Site Spec. ESLs (T2-1)'!$J$95</definedName>
    <definedName name="IA_ESL">'Tier-2 Site Spec. ESLs (T2-1)'!$J$97</definedName>
    <definedName name="IA_NO_Level">'Tier-2 Site Spec. ESLs (T2-1)'!$J$96</definedName>
    <definedName name="IFSadj">'Direct Exp Model Factors (IP-3)'!$F$53</definedName>
    <definedName name="IFSmadj">'Direct Exp Model Factors (IP-3)'!$F$61</definedName>
    <definedName name="IFWadj">'Direct Exp Model Factors (IP-3)'!$F$52</definedName>
    <definedName name="IFWmadj">'Direct Exp Model Factors (IP-3)'!$F$60</definedName>
    <definedName name="Indoor_Air_Concentration">'[1]Tier-2 Site Spec. Inputs (T2-1)'!$E$29</definedName>
    <definedName name="IRSa">'Direct Exp Model Factors (IP-3)'!$F$32</definedName>
    <definedName name="IRSc">'Direct Exp Model Factors (IP-3)'!$F$33</definedName>
    <definedName name="IRSci">'Direct Exp Model Factors (IP-3)'!$F$34</definedName>
    <definedName name="IRSct">'Direct Exp Model Factors (IP-3)'!$F$35</definedName>
    <definedName name="IRWa">'Direct Exp Model Factors (IP-3)'!$F$39</definedName>
    <definedName name="IRWc">'Direct Exp Model Factors (IP-3)'!$F$38</definedName>
    <definedName name="Land_Use">'Tier-2 Site Spec. ESLs (T2-1)'!$J$6</definedName>
    <definedName name="LT">'Direct Exp Model Factors (IP-3)'!$F$9</definedName>
    <definedName name="MCL_Priority">'Tier-2 Site Spec. ESLs (T2-1)'!$J$12</definedName>
    <definedName name="Pa">'Direct Exp Model Factors (IP-3)'!$F$74</definedName>
    <definedName name="PEFc">'Direct Exp Model Factors (IP-3)'!$F$45</definedName>
    <definedName name="PEFct">'Direct Exp Model Factors (IP-3)'!$F$46</definedName>
    <definedName name="PEFr">'Direct Exp Model Factors (IP-3)'!$F$44</definedName>
    <definedName name="_xlnm.Print_Area" localSheetId="28">' EcoT-Ca Aq Levels (IP-5)'!$A$2:$G$166</definedName>
    <definedName name="_xlnm.Print_Area" localSheetId="26">'Direct Exp Model Factors (IP-3)'!$B$1:$G$75</definedName>
    <definedName name="_xlnm.Print_Area" localSheetId="29">'EcoT-US Aq Levels (IP-6)'!$A$1:$P$173</definedName>
    <definedName name="_xlnm.Print_Area" localSheetId="3">'GW Summary'!$A$1:$Q$157</definedName>
    <definedName name="_xlnm.Print_Area" localSheetId="22">'Indoor Air Direct Exp (IA-1)'!$A$2:$L$159</definedName>
    <definedName name="_xlnm.Print_Area" localSheetId="23">'Indoor Air Odor (IA-2)'!$A$2:$D$150</definedName>
    <definedName name="_xlnm.Print_Area" localSheetId="27">'MCL- Other DW Levels (IP-4)'!$A$2:$L$152</definedName>
    <definedName name="_xlnm.Print_Area" localSheetId="32">'Petroleum Fractions (IP-9)'!$B$1:$L$42</definedName>
    <definedName name="_xlnm.Print_Area" localSheetId="24">'Physical-Chem Values (IP-1)'!$A$2:$AA$171</definedName>
    <definedName name="_xlnm.Print_Area" localSheetId="30">'Seafood Ingestion (IP-7)'!$A$2:$C$151</definedName>
    <definedName name="_xlnm.Print_Area" localSheetId="15">'Soil Direct Exp (S-1)'!$A$2:$AF$164</definedName>
    <definedName name="_xlnm.Print_Area" localSheetId="20">'Soil Gas VI HHR (SG-1)'!$A$1:$N$157</definedName>
    <definedName name="_xlnm.Print_Area" localSheetId="21">'Soil Gas VI Odor (SG-2)'!$A$1:$E$151</definedName>
    <definedName name="_xlnm.Print_Area" localSheetId="18">'Soil Gross Contam. (S-4)'!$A$2:$D$150</definedName>
    <definedName name="_xlnm.Print_Area" localSheetId="17">'Soil Leaching (S-3)'!$A$2:$P$157</definedName>
    <definedName name="_xlnm.Print_Area" localSheetId="19">'Soil Odor (S-5)'!$A$2:$I$151</definedName>
    <definedName name="_xlnm.Print_Area" localSheetId="4">'Soil Summary'!$A$3:$R$160</definedName>
    <definedName name="_xlnm.Print_Area" localSheetId="16">'Soil Terrest. Habitat (S-2)'!$A$2:$H$150</definedName>
    <definedName name="_xlnm.Print_Area" localSheetId="1">'Table Index'!$A$1:$D$43</definedName>
    <definedName name="_xlnm.Print_Area" localSheetId="31">'Terrestrial Habitat (IP-8)'!$A$2:$N$159</definedName>
    <definedName name="_xlnm.Print_Area" localSheetId="2">'Tier 1 ESL'!$A$1:$F$157</definedName>
    <definedName name="_xlnm.Print_Area" localSheetId="9">'Tier 2 Specific Concerns (T2-3)'!$B$1:$AE$41</definedName>
    <definedName name="_xlnm.Print_Area" localSheetId="7">'Tier-2 Site Spec. ESLs (T2-1)'!$F$1:$X$104</definedName>
    <definedName name="_xlnm.Print_Area" localSheetId="25">'Toxicity Values (IP-2)'!$A$3:$AS$176</definedName>
    <definedName name="_xlnm.Print_Area" localSheetId="5">'Vapor Summary'!$A$3:$P$155</definedName>
    <definedName name="_xlnm.Print_Area" localSheetId="10">'Water Direct Exp (GW-1)'!$A$2:$AA$172</definedName>
    <definedName name="_xlnm.Print_Area" localSheetId="13">'Water Gross Contam. (GW-4)'!$A$2:$E$151</definedName>
    <definedName name="_xlnm.Print_Area" localSheetId="11">'Water Habitat Goal (GW-2)'!$A$2:$AW$153</definedName>
    <definedName name="_xlnm.Print_Area" localSheetId="14">'Water Odor (GW-5)'!$A$2:$H$151</definedName>
    <definedName name="_xlnm.Print_Area" localSheetId="12">'Water VI HHR (GW-3)'!$A$2:$O$154</definedName>
    <definedName name="_xlnm.Print_Titles" localSheetId="28">' EcoT-Ca Aq Levels (IP-5)'!$2:$5</definedName>
    <definedName name="_xlnm.Print_Titles" localSheetId="26">'Direct Exp Model Factors (IP-3)'!$1:$1</definedName>
    <definedName name="_xlnm.Print_Titles" localSheetId="29">'EcoT-US Aq Levels (IP-6)'!$2:$5</definedName>
    <definedName name="_xlnm.Print_Titles" localSheetId="3">'GW Summary'!$3:$6</definedName>
    <definedName name="_xlnm.Print_Titles" localSheetId="22">'Indoor Air Direct Exp (IA-1)'!$2:$5</definedName>
    <definedName name="_xlnm.Print_Titles" localSheetId="23">'Indoor Air Odor (IA-2)'!$2:$4</definedName>
    <definedName name="_xlnm.Print_Titles" localSheetId="27">'MCL- Other DW Levels (IP-4)'!$2:$4</definedName>
    <definedName name="_xlnm.Print_Titles" localSheetId="32">'Petroleum Fractions (IP-9)'!$1:$1</definedName>
    <definedName name="_xlnm.Print_Titles" localSheetId="24">'Physical-Chem Values (IP-1)'!$2:$5</definedName>
    <definedName name="_xlnm.Print_Titles" localSheetId="30">'Seafood Ingestion (IP-7)'!$2:$5</definedName>
    <definedName name="_xlnm.Print_Titles" localSheetId="15">'Soil Direct Exp (S-1)'!$2:$5</definedName>
    <definedName name="_xlnm.Print_Titles" localSheetId="20">'Soil Gas VI HHR (SG-1)'!$2:$6</definedName>
    <definedName name="_xlnm.Print_Titles" localSheetId="21">'Soil Gas VI Odor (SG-2)'!$2:$5</definedName>
    <definedName name="_xlnm.Print_Titles" localSheetId="18">'Soil Gross Contam. (S-4)'!$2:$4</definedName>
    <definedName name="_xlnm.Print_Titles" localSheetId="17">'Soil Leaching (S-3)'!$2:$6</definedName>
    <definedName name="_xlnm.Print_Titles" localSheetId="19">'Soil Odor (S-5)'!$2:$5</definedName>
    <definedName name="_xlnm.Print_Titles" localSheetId="4">'Soil Summary'!$3:$6</definedName>
    <definedName name="_xlnm.Print_Titles" localSheetId="16">'Soil Terrest. Habitat (S-2)'!$2:$4</definedName>
    <definedName name="_xlnm.Print_Titles" localSheetId="31">'Terrestrial Habitat (IP-8)'!$2:$7</definedName>
    <definedName name="_xlnm.Print_Titles" localSheetId="2">'Tier 1 ESL'!$1:$8</definedName>
    <definedName name="_xlnm.Print_Titles" localSheetId="25">'Toxicity Values (IP-2)'!$1:$5</definedName>
    <definedName name="_xlnm.Print_Titles" localSheetId="5">'Vapor Summary'!$2:$7</definedName>
    <definedName name="_xlnm.Print_Titles" localSheetId="10">'Water Direct Exp (GW-1)'!$2:$8</definedName>
    <definedName name="_xlnm.Print_Titles" localSheetId="13">'Water Gross Contam. (GW-4)'!$2:$4</definedName>
    <definedName name="_xlnm.Print_Titles" localSheetId="11">'Water Habitat Goal (GW-2)'!$2:$5</definedName>
    <definedName name="_xlnm.Print_Titles" localSheetId="14">'Water Odor (GW-5)'!$2:$4</definedName>
    <definedName name="_xlnm.Print_Titles" localSheetId="12">'Water VI HHR (GW-3)'!$2:$7</definedName>
    <definedName name="Pt">'Direct Exp Model Factors (IP-3)'!$F$73</definedName>
    <definedName name="Pw">'Direct Exp Model Factors (IP-3)'!$F$75</definedName>
    <definedName name="RBAa">'Direct Exp Model Factors (IP-3)'!$F$36</definedName>
    <definedName name="Risk_DW">'Tier 2 Cumulative Risk (T2-2)'!$P$27</definedName>
    <definedName name="Risk_GW_ETox">'Tier-2 Site Spec. ESLs (T2-1)'!$Y$43</definedName>
    <definedName name="Risk_GW_GC">'Tier-2 Site Spec. ESLs (T2-1)'!$Y$47</definedName>
    <definedName name="Risk_GW_Odor">'Tier-2 Site Spec. ESLs (T2-1)'!$Y$50</definedName>
    <definedName name="Risk_GW_VI">'Tier-2 Site Spec. ESLs (T2-1)'!$Y$46</definedName>
    <definedName name="Risk_IA">'Tier 2 Cumulative Risk (T2-2)'!$P$29</definedName>
    <definedName name="Risk_IA_Odor">'Tier-2 Site Spec. ESLs (T2-1)'!$Y$96</definedName>
    <definedName name="Risk_SG_Odor">'Tier-2 Site Spec. ESLs (T2-1)'!$Y$89</definedName>
    <definedName name="Risk_SG_VI">'Tier 2 Cumulative Risk (T2-2)'!$P$35</definedName>
    <definedName name="Risk_Soil">'Tier 2 Cumulative Risk (T2-2)'!$P$25</definedName>
    <definedName name="Risk_Soil_ETox">'Tier-2 Site Spec. ESLs (T2-1)'!$Y$60</definedName>
    <definedName name="Risk_Soil_GC">'Tier-2 Site Spec. ESLs (T2-1)'!$Y$74</definedName>
    <definedName name="Risk_Soil_Leach">'Tier-2 Site Spec. ESLs (T2-1)'!$Y$73</definedName>
    <definedName name="Risk_Soil_Odor">'Tier-2 Site Spec. ESLs (T2-1)'!$Y$78</definedName>
    <definedName name="Risk_Tap">'Tier 2 Cumulative Risk (T2-2)'!$P$27</definedName>
    <definedName name="SAa">'Direct Exp Model Factors (IP-3)'!$F$22</definedName>
    <definedName name="SAc">'Direct Exp Model Factors (IP-3)'!$F$23</definedName>
    <definedName name="SAci">'Direct Exp Model Factors (IP-3)'!$F$24</definedName>
    <definedName name="SAct">'Direct Exp Model Factors (IP-3)'!$F$25</definedName>
    <definedName name="SAwa">'Direct Exp Model Factors (IP-3)'!$F$26</definedName>
    <definedName name="SAwc">'Direct Exp Model Factors (IP-3)'!$F$27</definedName>
    <definedName name="SG_AF">'Tier-2 Site Spec. ESLs (T2-1)'!#REF!</definedName>
    <definedName name="SG_DE_Level">'Tier-2 Site Spec. ESLs (T2-1)'!$J$86</definedName>
    <definedName name="SG_ESL">'Tier-2 Site Spec. ESLs (T2-1)'!$J$90</definedName>
    <definedName name="SG_NO_Level">'Tier-2 Site Spec. ESLs (T2-1)'!$J$89</definedName>
    <definedName name="Site_Spec_AF">'Tier 2 Cumulative Risk (T2-2)'!$M$21</definedName>
    <definedName name="Slab">'Tier-2 Site Spec. ESLs (T2-1)'!#REF!</definedName>
    <definedName name="Soil_C">#REF!</definedName>
    <definedName name="Soil_Com_C">#REF!</definedName>
    <definedName name="Soil_Com_DE_Risk">#REF!</definedName>
    <definedName name="Soil_Com_NC">#REF!</definedName>
    <definedName name="Soil_Concentration">'Tier-2 Site Spec. ESLs (T2-1)'!#REF!</definedName>
    <definedName name="Soil_CT_DE_Risk">#REF!</definedName>
    <definedName name="Soil_CW_C">#REF!</definedName>
    <definedName name="Soil_CW_NC">#REF!</definedName>
    <definedName name="Soil_DE_Level">'Tier-2 Site Spec. ESLs (T2-1)'!$J$57</definedName>
    <definedName name="Soil_Depth">'Tier-2 Site Spec. ESLs (T2-1)'!$J$16</definedName>
    <definedName name="Soil_EcoT_Level">'Tier-2 Site Spec. ESLs (T2-1)'!$J$60</definedName>
    <definedName name="Soil_ESL">'Tier-2 Site Spec. ESLs (T2-1)'!$J$79</definedName>
    <definedName name="Soil_Gas_Concentration">'[1]Tier-2 Site Spec. Inputs (T2-1)'!$E$27</definedName>
    <definedName name="Soil_GC_Level">'Tier-2 Site Spec. ESLs (T2-1)'!$J$74</definedName>
    <definedName name="Soil_Lech_Level">'Tier-2 Site Spec. ESLs (T2-1)'!$J$73</definedName>
    <definedName name="Soil_NO_Level">'Tier-2 Site Spec. ESLs (T2-1)'!$J$78</definedName>
    <definedName name="Soil_Type">'[1]Tier-2 Site Spec. Inputs (T2-1)'!$E$17</definedName>
    <definedName name="T">'Direct Exp Model Factors (IP-3)'!$H$10</definedName>
    <definedName name="Table_GW_Summary">'GW Summary'!$1:$1048576</definedName>
    <definedName name="Table_IA_1">'Indoor Air Direct Exp (IA-1)'!$1:$1048576</definedName>
    <definedName name="Table_IA_2">'Indoor Air Odor (IA-2)'!$1:$1048576</definedName>
    <definedName name="Table_IP_1">'Physical-Chem Values (IP-1)'!$1:$1048576</definedName>
    <definedName name="Table_IP_2">'Toxicity Values (IP-2)'!$1:$1048576</definedName>
    <definedName name="Table_IP_3">'Direct Exp Model Factors (IP-3)'!$1:$1048576</definedName>
    <definedName name="Table_IP_4">'MCL- Other DW Levels (IP-4)'!$1:$1048576</definedName>
    <definedName name="Table_IP_5">' EcoT-Ca Aq Levels (IP-5)'!$1:$1048576</definedName>
    <definedName name="Table_IP_6">'EcoT-US Aq Levels (IP-6)'!$1:$1048576</definedName>
    <definedName name="Table_IP_7">'Seafood Ingestion (IP-7)'!$1:$1048576</definedName>
    <definedName name="Table_IP_8">'Terrestrial Habitat (IP-8)'!$1:$1048576</definedName>
    <definedName name="Table_N10">'Mar ''25 Note 10'!$1:$1048576</definedName>
    <definedName name="Table_N3">'Mar ''25 Note 3'!$1:$1048576</definedName>
    <definedName name="Table_RSL">'Nov 24 RSLs-IP'!$1:$1048576</definedName>
    <definedName name="Table_RSL_C">'RSL-ESL IP Compare'!$1:$1048576</definedName>
    <definedName name="Table_RSL_SL">'Nov ''24 RSL-SL'!$1:$1048576</definedName>
    <definedName name="Table_RSLc">'[2]RSL Calc 2024'!$1:$1048576</definedName>
    <definedName name="Table_S_1">'Soil Direct Exp (S-1)'!$1:$1048576</definedName>
    <definedName name="Table_S_2">'Soil Terrest. Habitat (S-2)'!$1:$1048576</definedName>
    <definedName name="Table_S_3">'Soil Leaching (S-3)'!$1:$1048576</definedName>
    <definedName name="Table_S_4">'Soil Gross Contam. (S-4)'!$1:$1048576</definedName>
    <definedName name="Table_S_5">'Soil Odor (S-5)'!$1:$1048576</definedName>
    <definedName name="Table_S_Summary">'Soil Summary'!$1:$1048576</definedName>
    <definedName name="Table_S25">'[3]Soil-sum-25'!$1:$1048576</definedName>
    <definedName name="Table_SG_1">'Soil Gas VI HHR (SG-1)'!$1:$1048576</definedName>
    <definedName name="Table_SG_2">'Soil Gas VI Odor (SG-2)'!$1:$1048576</definedName>
    <definedName name="Table_T1_19">'2019 Teir1'!$1:$1048576</definedName>
    <definedName name="Table_Tap">'[3]Tap-25'!$1:$1048576</definedName>
    <definedName name="Table_V_Summary">'Vapor Summary'!$1:$1048576</definedName>
    <definedName name="Table_V25">'[3]Vapor-sum-25'!$1:$1048576</definedName>
    <definedName name="Table_W_1">'Water Direct Exp (GW-1)'!$1:$1048576</definedName>
    <definedName name="Table_W_2">'Water Habitat Goal (GW-2)'!$1:$1048576</definedName>
    <definedName name="Table_W_3">'Water VI HHR (GW-3)'!$1:$1048576</definedName>
    <definedName name="Table_W_4">'Water Gross Contam. (GW-4)'!$1:$1048576</definedName>
    <definedName name="Table_W_5">'Water Odor (GW-5)'!$1:$1048576</definedName>
    <definedName name="Tcw">'Direct Exp Model Factors (IP-3)'!$H$12</definedName>
    <definedName name="TETmadj">'Direct Exp Model Factors (IP-3)'!$F$59</definedName>
    <definedName name="TF_Ref">'Toxicity Values (IP-2)'!#REF!</definedName>
    <definedName name="THQ">'Direct Exp Model Factors (IP-3)'!$F$4</definedName>
    <definedName name="Tox_headings">'[4]Toxicity Criteria'!$A$1:$S$1</definedName>
    <definedName name="Toxicity_criteria">'[4]Toxicity Criteria'!$1:$1048576</definedName>
    <definedName name="TR">'Direct Exp Model Factors (IP-3)'!$F$5</definedName>
    <definedName name="Tw">'Direct Exp Model Factors (IP-3)'!$H$11</definedName>
    <definedName name="Update">'Tier 1 ESL'!$A$6</definedName>
    <definedName name="Vegetation">'Tier-2 Site Spec. ESLs (T2-1)'!$J$8</definedName>
    <definedName name="Water_Depth">'Tier-2 Site Spec. ESLs (T2-1)'!#REF!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8" i="70" l="1"/>
  <c r="B3" i="112"/>
  <c r="B2" i="85"/>
  <c r="J106" i="70"/>
  <c r="E106" i="70"/>
  <c r="AH112" i="110"/>
  <c r="AH111" i="110"/>
  <c r="AH109" i="110"/>
  <c r="AH108" i="110"/>
  <c r="AH110" i="110"/>
  <c r="L102" i="70"/>
  <c r="L96" i="70"/>
  <c r="J105" i="70" l="1"/>
  <c r="J104" i="70"/>
  <c r="J103" i="70"/>
  <c r="J102" i="70"/>
  <c r="J101" i="70"/>
  <c r="D102" i="120"/>
  <c r="E102" i="120" s="1"/>
  <c r="G102" i="120"/>
  <c r="H102" i="120" s="1"/>
  <c r="J102" i="120"/>
  <c r="K102" i="120"/>
  <c r="N102" i="120"/>
  <c r="O102" i="120" s="1"/>
  <c r="Q102" i="120"/>
  <c r="R102" i="120"/>
  <c r="T102" i="120"/>
  <c r="U102" i="120"/>
  <c r="X102" i="120"/>
  <c r="AG102" i="120"/>
  <c r="AH102" i="120" s="1"/>
  <c r="AJ102" i="120"/>
  <c r="AK102" i="120"/>
  <c r="AM102" i="120"/>
  <c r="AN102" i="120"/>
  <c r="AQ102" i="120"/>
  <c r="AW102" i="120" s="1"/>
  <c r="AT102" i="120"/>
  <c r="AU102" i="120" s="1"/>
  <c r="AX102" i="120"/>
  <c r="BB102" i="120"/>
  <c r="BC102" i="120"/>
  <c r="BF102" i="120"/>
  <c r="BL102" i="120" s="1"/>
  <c r="BI102" i="120"/>
  <c r="BJ102" i="120" s="1"/>
  <c r="BM102" i="120"/>
  <c r="BQ102" i="120"/>
  <c r="D103" i="120"/>
  <c r="E103" i="120"/>
  <c r="G103" i="120"/>
  <c r="H103" i="120"/>
  <c r="J103" i="120"/>
  <c r="K103" i="120"/>
  <c r="N103" i="120"/>
  <c r="O103" i="120" s="1"/>
  <c r="Q103" i="120"/>
  <c r="R103" i="120"/>
  <c r="U103" i="120"/>
  <c r="X103" i="120"/>
  <c r="AG103" i="120"/>
  <c r="AH103" i="120" s="1"/>
  <c r="AJ103" i="120"/>
  <c r="AK103" i="120"/>
  <c r="AN103" i="120"/>
  <c r="AQ103" i="120"/>
  <c r="AW103" i="120" s="1"/>
  <c r="AT103" i="120"/>
  <c r="AU103" i="120" s="1"/>
  <c r="AX103" i="120"/>
  <c r="BB103" i="120"/>
  <c r="BC103" i="120"/>
  <c r="BF103" i="120"/>
  <c r="BG103" i="120" s="1"/>
  <c r="BI103" i="120"/>
  <c r="BJ103" i="120" s="1"/>
  <c r="BM103" i="120"/>
  <c r="BQ103" i="120"/>
  <c r="D104" i="120"/>
  <c r="E104" i="120"/>
  <c r="G104" i="120"/>
  <c r="H104" i="120"/>
  <c r="J104" i="120"/>
  <c r="K104" i="120"/>
  <c r="N104" i="120"/>
  <c r="T104" i="120" s="1"/>
  <c r="Q104" i="120"/>
  <c r="R104" i="120"/>
  <c r="U104" i="120"/>
  <c r="X104" i="120"/>
  <c r="AG104" i="120"/>
  <c r="AM104" i="120" s="1"/>
  <c r="AJ104" i="120"/>
  <c r="AK104" i="120"/>
  <c r="AN104" i="120"/>
  <c r="AQ104" i="120"/>
  <c r="AR104" i="120" s="1"/>
  <c r="AT104" i="120"/>
  <c r="AU104" i="120" s="1"/>
  <c r="AX104" i="120"/>
  <c r="BB104" i="120"/>
  <c r="BC104" i="120"/>
  <c r="BF104" i="120"/>
  <c r="BL104" i="120" s="1"/>
  <c r="BI104" i="120"/>
  <c r="BJ104" i="120" s="1"/>
  <c r="BM104" i="120"/>
  <c r="BQ104" i="120"/>
  <c r="D105" i="120"/>
  <c r="E105" i="120"/>
  <c r="G105" i="120"/>
  <c r="H105" i="120"/>
  <c r="J105" i="120"/>
  <c r="K105" i="120"/>
  <c r="N105" i="120"/>
  <c r="T105" i="120" s="1"/>
  <c r="Q105" i="120"/>
  <c r="R105" i="120"/>
  <c r="U105" i="120"/>
  <c r="X105" i="120"/>
  <c r="AG105" i="120"/>
  <c r="AM105" i="120" s="1"/>
  <c r="AJ105" i="120"/>
  <c r="AK105" i="120"/>
  <c r="AN105" i="120"/>
  <c r="AQ105" i="120"/>
  <c r="AW105" i="120" s="1"/>
  <c r="AT105" i="120"/>
  <c r="AU105" i="120" s="1"/>
  <c r="AX105" i="120"/>
  <c r="BB105" i="120"/>
  <c r="BC105" i="120"/>
  <c r="BF105" i="120"/>
  <c r="BG105" i="120" s="1"/>
  <c r="BI105" i="120"/>
  <c r="BJ105" i="120" s="1"/>
  <c r="BL105" i="120"/>
  <c r="BM105" i="120"/>
  <c r="BQ105" i="120"/>
  <c r="D106" i="120"/>
  <c r="E106" i="120"/>
  <c r="G106" i="120"/>
  <c r="J106" i="120" s="1"/>
  <c r="H106" i="120"/>
  <c r="K106" i="120"/>
  <c r="N106" i="120"/>
  <c r="O106" i="120" s="1"/>
  <c r="Q106" i="120"/>
  <c r="R106" i="120" s="1"/>
  <c r="U106" i="120"/>
  <c r="X106" i="120"/>
  <c r="AG106" i="120"/>
  <c r="AH106" i="120" s="1"/>
  <c r="AJ106" i="120"/>
  <c r="AK106" i="120" s="1"/>
  <c r="AN106" i="120"/>
  <c r="AQ106" i="120"/>
  <c r="AR106" i="120" s="1"/>
  <c r="AT106" i="120"/>
  <c r="AU106" i="120" s="1"/>
  <c r="AW106" i="120"/>
  <c r="AX106" i="120"/>
  <c r="BB106" i="120"/>
  <c r="BC106" i="120"/>
  <c r="BF106" i="120"/>
  <c r="BL106" i="120" s="1"/>
  <c r="BG106" i="120"/>
  <c r="BI106" i="120"/>
  <c r="BJ106" i="120" s="1"/>
  <c r="BM106" i="120"/>
  <c r="BQ106" i="120"/>
  <c r="AD26" i="104"/>
  <c r="AD28" i="104"/>
  <c r="AD34" i="104"/>
  <c r="AD32" i="104"/>
  <c r="AD30" i="104"/>
  <c r="AH104" i="120" l="1"/>
  <c r="O104" i="120"/>
  <c r="AM103" i="120"/>
  <c r="T103" i="120"/>
  <c r="AR102" i="120"/>
  <c r="AM106" i="120"/>
  <c r="T106" i="120"/>
  <c r="AR105" i="120"/>
  <c r="BG104" i="120"/>
  <c r="AW104" i="120"/>
  <c r="BL103" i="120"/>
  <c r="AH105" i="120"/>
  <c r="O105" i="120"/>
  <c r="AR103" i="120"/>
  <c r="BG102" i="120"/>
  <c r="AS104" i="73" l="1"/>
  <c r="AS106" i="73"/>
  <c r="AS112" i="73"/>
  <c r="AS111" i="73"/>
  <c r="AS110" i="73"/>
  <c r="AS103" i="73"/>
  <c r="AS109" i="73"/>
  <c r="AS116" i="73"/>
  <c r="AS107" i="73"/>
  <c r="AS105" i="73"/>
  <c r="AS113" i="73"/>
  <c r="AS115" i="73"/>
  <c r="AS108" i="73"/>
  <c r="AS114" i="73"/>
  <c r="AS117" i="73"/>
  <c r="AS118" i="73"/>
  <c r="M31" i="125" l="1"/>
  <c r="N31" i="125"/>
  <c r="R31" i="125"/>
  <c r="S31" i="125"/>
  <c r="M32" i="125"/>
  <c r="N32" i="125"/>
  <c r="R32" i="125"/>
  <c r="S32" i="125"/>
  <c r="C32" i="125"/>
  <c r="D32" i="125"/>
  <c r="H32" i="125"/>
  <c r="I32" i="125"/>
  <c r="C31" i="125"/>
  <c r="D31" i="125"/>
  <c r="H31" i="125"/>
  <c r="I31" i="125"/>
  <c r="L21" i="125"/>
  <c r="C100" i="125"/>
  <c r="S6" i="125"/>
  <c r="S7" i="125"/>
  <c r="S8" i="125"/>
  <c r="S9" i="125"/>
  <c r="S10" i="125"/>
  <c r="S11" i="125"/>
  <c r="S12" i="125"/>
  <c r="S13" i="125"/>
  <c r="S14" i="125"/>
  <c r="S15" i="125"/>
  <c r="S16" i="125"/>
  <c r="S17" i="125"/>
  <c r="S18" i="125"/>
  <c r="S19" i="125"/>
  <c r="S20" i="125"/>
  <c r="S21" i="125"/>
  <c r="S22" i="125"/>
  <c r="S23" i="125"/>
  <c r="S24" i="125"/>
  <c r="S25" i="125"/>
  <c r="S26" i="125"/>
  <c r="S27" i="125"/>
  <c r="S28" i="125"/>
  <c r="S29" i="125"/>
  <c r="S30" i="125"/>
  <c r="S33" i="125"/>
  <c r="S34" i="125"/>
  <c r="S35" i="125"/>
  <c r="S36" i="125"/>
  <c r="S37" i="125"/>
  <c r="S38" i="125"/>
  <c r="S39" i="125"/>
  <c r="S40" i="125"/>
  <c r="S41" i="125"/>
  <c r="S42" i="125"/>
  <c r="S43" i="125"/>
  <c r="S44" i="125"/>
  <c r="S45" i="125"/>
  <c r="S46" i="125"/>
  <c r="S47" i="125"/>
  <c r="S48" i="125"/>
  <c r="S49" i="125"/>
  <c r="S50" i="125"/>
  <c r="S51" i="125"/>
  <c r="S52" i="125"/>
  <c r="S53" i="125"/>
  <c r="S54" i="125"/>
  <c r="S55" i="125"/>
  <c r="S56" i="125"/>
  <c r="S57" i="125"/>
  <c r="S58" i="125"/>
  <c r="S59" i="125"/>
  <c r="S60" i="125"/>
  <c r="S61" i="125"/>
  <c r="S62" i="125"/>
  <c r="S63" i="125"/>
  <c r="S64" i="125"/>
  <c r="S65" i="125"/>
  <c r="S66" i="125"/>
  <c r="S67" i="125"/>
  <c r="S68" i="125"/>
  <c r="S69" i="125"/>
  <c r="S70" i="125"/>
  <c r="S71" i="125"/>
  <c r="S72" i="125"/>
  <c r="S73" i="125"/>
  <c r="S74" i="125"/>
  <c r="S75" i="125"/>
  <c r="S76" i="125"/>
  <c r="S77" i="125"/>
  <c r="S78" i="125"/>
  <c r="S79" i="125"/>
  <c r="S80" i="125"/>
  <c r="S81" i="125"/>
  <c r="S82" i="125"/>
  <c r="S83" i="125"/>
  <c r="S84" i="125"/>
  <c r="S85" i="125"/>
  <c r="S86" i="125"/>
  <c r="S87" i="125"/>
  <c r="S88" i="125"/>
  <c r="S89" i="125"/>
  <c r="S90" i="125"/>
  <c r="S91" i="125"/>
  <c r="S92" i="125"/>
  <c r="S93" i="125"/>
  <c r="S94" i="125"/>
  <c r="S95" i="125"/>
  <c r="S96" i="125"/>
  <c r="S97" i="125"/>
  <c r="S98" i="125"/>
  <c r="S99" i="125"/>
  <c r="S100" i="125"/>
  <c r="S101" i="125"/>
  <c r="S118" i="125"/>
  <c r="S119" i="125"/>
  <c r="S120" i="125"/>
  <c r="S121" i="125"/>
  <c r="S122" i="125"/>
  <c r="S123" i="125"/>
  <c r="S124" i="125"/>
  <c r="S125" i="125"/>
  <c r="S126" i="125"/>
  <c r="S127" i="125"/>
  <c r="S128" i="125"/>
  <c r="S129" i="125"/>
  <c r="S130" i="125"/>
  <c r="S131" i="125"/>
  <c r="S132" i="125"/>
  <c r="S133" i="125"/>
  <c r="S134" i="125"/>
  <c r="S135" i="125"/>
  <c r="S136" i="125"/>
  <c r="S137" i="125"/>
  <c r="S138" i="125"/>
  <c r="S139" i="125"/>
  <c r="S140" i="125"/>
  <c r="S5" i="125"/>
  <c r="N6" i="125"/>
  <c r="N7" i="125"/>
  <c r="N8" i="125"/>
  <c r="N9" i="125"/>
  <c r="N10" i="125"/>
  <c r="N11" i="125"/>
  <c r="N12" i="125"/>
  <c r="N13" i="125"/>
  <c r="N14" i="125"/>
  <c r="N15" i="125"/>
  <c r="N16" i="125"/>
  <c r="N17" i="125"/>
  <c r="N18" i="125"/>
  <c r="N19" i="125"/>
  <c r="N20" i="125"/>
  <c r="N21" i="125"/>
  <c r="N22" i="125"/>
  <c r="N23" i="125"/>
  <c r="N24" i="125"/>
  <c r="N25" i="125"/>
  <c r="N26" i="125"/>
  <c r="N27" i="125"/>
  <c r="N28" i="125"/>
  <c r="N29" i="125"/>
  <c r="N30" i="125"/>
  <c r="N33" i="125"/>
  <c r="N34" i="125"/>
  <c r="N35" i="125"/>
  <c r="N36" i="125"/>
  <c r="N37" i="125"/>
  <c r="N38" i="125"/>
  <c r="N39" i="125"/>
  <c r="N40" i="125"/>
  <c r="N41" i="125"/>
  <c r="N42" i="125"/>
  <c r="N43" i="125"/>
  <c r="N44" i="125"/>
  <c r="N45" i="125"/>
  <c r="N46" i="125"/>
  <c r="N47" i="125"/>
  <c r="N48" i="125"/>
  <c r="N49" i="125"/>
  <c r="N50" i="125"/>
  <c r="N51" i="125"/>
  <c r="N52" i="125"/>
  <c r="N53" i="125"/>
  <c r="N54" i="125"/>
  <c r="N55" i="125"/>
  <c r="N56" i="125"/>
  <c r="N57" i="125"/>
  <c r="N58" i="125"/>
  <c r="N59" i="125"/>
  <c r="N60" i="125"/>
  <c r="N61" i="125"/>
  <c r="N62" i="125"/>
  <c r="N63" i="125"/>
  <c r="N64" i="125"/>
  <c r="N65" i="125"/>
  <c r="N66" i="125"/>
  <c r="N67" i="125"/>
  <c r="N68" i="125"/>
  <c r="N69" i="125"/>
  <c r="N70" i="125"/>
  <c r="N71" i="125"/>
  <c r="N72" i="125"/>
  <c r="N73" i="125"/>
  <c r="N74" i="125"/>
  <c r="N75" i="125"/>
  <c r="N76" i="125"/>
  <c r="N77" i="125"/>
  <c r="N78" i="125"/>
  <c r="N79" i="125"/>
  <c r="N80" i="125"/>
  <c r="N81" i="125"/>
  <c r="N82" i="125"/>
  <c r="N83" i="125"/>
  <c r="N84" i="125"/>
  <c r="N85" i="125"/>
  <c r="N86" i="125"/>
  <c r="N87" i="125"/>
  <c r="N88" i="125"/>
  <c r="N89" i="125"/>
  <c r="N90" i="125"/>
  <c r="N91" i="125"/>
  <c r="N92" i="125"/>
  <c r="N93" i="125"/>
  <c r="N94" i="125"/>
  <c r="N95" i="125"/>
  <c r="N96" i="125"/>
  <c r="N97" i="125"/>
  <c r="N98" i="125"/>
  <c r="N99" i="125"/>
  <c r="N100" i="125"/>
  <c r="N101" i="125"/>
  <c r="N118" i="125"/>
  <c r="N119" i="125"/>
  <c r="N120" i="125"/>
  <c r="N121" i="125"/>
  <c r="N122" i="125"/>
  <c r="N123" i="125"/>
  <c r="N124" i="125"/>
  <c r="N125" i="125"/>
  <c r="N126" i="125"/>
  <c r="N127" i="125"/>
  <c r="N128" i="125"/>
  <c r="N129" i="125"/>
  <c r="N130" i="125"/>
  <c r="N131" i="125"/>
  <c r="N132" i="125"/>
  <c r="N133" i="125"/>
  <c r="N134" i="125"/>
  <c r="N135" i="125"/>
  <c r="N136" i="125"/>
  <c r="N137" i="125"/>
  <c r="N138" i="125"/>
  <c r="N139" i="125"/>
  <c r="N140" i="125"/>
  <c r="N5" i="125"/>
  <c r="I6" i="125"/>
  <c r="I7" i="125"/>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5" i="125"/>
  <c r="D6" i="125"/>
  <c r="D7" i="125"/>
  <c r="D8" i="125"/>
  <c r="D9" i="125"/>
  <c r="D10" i="125"/>
  <c r="D11" i="125"/>
  <c r="D12" i="125"/>
  <c r="D13" i="125"/>
  <c r="D14" i="125"/>
  <c r="D15" i="125"/>
  <c r="D16" i="125"/>
  <c r="D17" i="125"/>
  <c r="D18" i="125"/>
  <c r="D19" i="125"/>
  <c r="D20" i="125"/>
  <c r="D21" i="125"/>
  <c r="D22" i="125"/>
  <c r="D23" i="125"/>
  <c r="D24" i="125"/>
  <c r="D25" i="125"/>
  <c r="D26" i="125"/>
  <c r="D27" i="125"/>
  <c r="D28" i="125"/>
  <c r="D29" i="125"/>
  <c r="D30" i="125"/>
  <c r="D33" i="125"/>
  <c r="D34" i="125"/>
  <c r="D35" i="125"/>
  <c r="D36" i="125"/>
  <c r="D37" i="125"/>
  <c r="D38" i="125"/>
  <c r="D39" i="125"/>
  <c r="D40" i="125"/>
  <c r="D41" i="125"/>
  <c r="D42" i="125"/>
  <c r="D43" i="125"/>
  <c r="D44" i="125"/>
  <c r="D45" i="125"/>
  <c r="D46" i="125"/>
  <c r="D47" i="125"/>
  <c r="D48" i="125"/>
  <c r="D49" i="125"/>
  <c r="D50" i="125"/>
  <c r="D51" i="125"/>
  <c r="D52" i="125"/>
  <c r="D53" i="125"/>
  <c r="D54" i="125"/>
  <c r="D55" i="125"/>
  <c r="D56" i="125"/>
  <c r="D57" i="125"/>
  <c r="D58" i="125"/>
  <c r="D59" i="125"/>
  <c r="D60" i="125"/>
  <c r="D61" i="125"/>
  <c r="D62" i="125"/>
  <c r="D63" i="125"/>
  <c r="D64" i="125"/>
  <c r="D65" i="125"/>
  <c r="D66" i="125"/>
  <c r="D67" i="125"/>
  <c r="D68" i="125"/>
  <c r="D69" i="125"/>
  <c r="D70" i="125"/>
  <c r="D71" i="125"/>
  <c r="D72" i="125"/>
  <c r="D73" i="125"/>
  <c r="D74" i="125"/>
  <c r="D75" i="125"/>
  <c r="D76" i="125"/>
  <c r="D77" i="125"/>
  <c r="D78" i="125"/>
  <c r="D79" i="125"/>
  <c r="D80" i="125"/>
  <c r="D81" i="125"/>
  <c r="D82" i="125"/>
  <c r="D83" i="125"/>
  <c r="D84" i="125"/>
  <c r="D85" i="125"/>
  <c r="D86" i="125"/>
  <c r="D87" i="125"/>
  <c r="D88" i="125"/>
  <c r="D89" i="125"/>
  <c r="D90" i="125"/>
  <c r="D91" i="125"/>
  <c r="D92" i="125"/>
  <c r="D93" i="125"/>
  <c r="D94" i="125"/>
  <c r="D95" i="125"/>
  <c r="D96" i="125"/>
  <c r="D97" i="125"/>
  <c r="D98" i="125"/>
  <c r="D99" i="125"/>
  <c r="D100" i="125"/>
  <c r="D101" i="125"/>
  <c r="D118" i="125"/>
  <c r="D119" i="125"/>
  <c r="D120" i="125"/>
  <c r="D121" i="125"/>
  <c r="D122" i="125"/>
  <c r="D123" i="125"/>
  <c r="D124" i="125"/>
  <c r="D125" i="125"/>
  <c r="D126" i="125"/>
  <c r="D127" i="125"/>
  <c r="D128" i="125"/>
  <c r="D129" i="125"/>
  <c r="D130" i="125"/>
  <c r="D131" i="125"/>
  <c r="D132" i="125"/>
  <c r="D133" i="125"/>
  <c r="D134" i="125"/>
  <c r="D135" i="125"/>
  <c r="D136" i="125"/>
  <c r="D137" i="125"/>
  <c r="D138" i="125"/>
  <c r="D139" i="125"/>
  <c r="D140" i="125"/>
  <c r="D5" i="125"/>
  <c r="H6" i="125" l="1"/>
  <c r="M6" i="125"/>
  <c r="R6" i="125"/>
  <c r="H7" i="125"/>
  <c r="M7" i="125"/>
  <c r="R7" i="125"/>
  <c r="H8" i="125"/>
  <c r="M8" i="125"/>
  <c r="R8" i="125"/>
  <c r="H9" i="125"/>
  <c r="M9" i="125"/>
  <c r="R9" i="125"/>
  <c r="H10" i="125"/>
  <c r="M10" i="125"/>
  <c r="R10" i="125"/>
  <c r="H11" i="125"/>
  <c r="M11" i="125"/>
  <c r="R11" i="125"/>
  <c r="H12" i="125"/>
  <c r="M12" i="125"/>
  <c r="R12" i="125"/>
  <c r="H13" i="125"/>
  <c r="M13" i="125"/>
  <c r="R13" i="125"/>
  <c r="H14" i="125"/>
  <c r="M14" i="125"/>
  <c r="R14" i="125"/>
  <c r="H15" i="125"/>
  <c r="M15" i="125"/>
  <c r="R15" i="125"/>
  <c r="H16" i="125"/>
  <c r="M16" i="125"/>
  <c r="R16" i="125"/>
  <c r="H17" i="125"/>
  <c r="M17" i="125"/>
  <c r="R17" i="125"/>
  <c r="H18" i="125"/>
  <c r="M18" i="125"/>
  <c r="R18" i="125"/>
  <c r="H19" i="125"/>
  <c r="M19" i="125"/>
  <c r="R19" i="125"/>
  <c r="H20" i="125"/>
  <c r="M20" i="125"/>
  <c r="R20" i="125"/>
  <c r="M21" i="125"/>
  <c r="R21" i="125"/>
  <c r="H22" i="125"/>
  <c r="M22" i="125"/>
  <c r="R22" i="125"/>
  <c r="H23" i="125"/>
  <c r="M23" i="125"/>
  <c r="R23" i="125"/>
  <c r="H24" i="125"/>
  <c r="M24" i="125"/>
  <c r="R24" i="125"/>
  <c r="H25" i="125"/>
  <c r="M25" i="125"/>
  <c r="R25" i="125"/>
  <c r="H26" i="125"/>
  <c r="M26" i="125"/>
  <c r="R26" i="125"/>
  <c r="H27" i="125"/>
  <c r="M27" i="125"/>
  <c r="R27" i="125"/>
  <c r="H28" i="125"/>
  <c r="M28" i="125"/>
  <c r="R28" i="125"/>
  <c r="H29" i="125"/>
  <c r="M29" i="125"/>
  <c r="R29" i="125"/>
  <c r="H30" i="125"/>
  <c r="M30" i="125"/>
  <c r="R30" i="125"/>
  <c r="H33" i="125"/>
  <c r="M33" i="125"/>
  <c r="R33" i="125"/>
  <c r="H34" i="125"/>
  <c r="M34" i="125"/>
  <c r="R34" i="125"/>
  <c r="H35" i="125"/>
  <c r="M35" i="125"/>
  <c r="R35" i="125"/>
  <c r="H36" i="125"/>
  <c r="M36" i="125"/>
  <c r="R36" i="125"/>
  <c r="H37" i="125"/>
  <c r="M37" i="125"/>
  <c r="R37" i="125"/>
  <c r="H38" i="125"/>
  <c r="M38" i="125"/>
  <c r="R38" i="125"/>
  <c r="H39" i="125"/>
  <c r="M39" i="125"/>
  <c r="R39" i="125"/>
  <c r="H40" i="125"/>
  <c r="M40" i="125"/>
  <c r="R40" i="125"/>
  <c r="H41" i="125"/>
  <c r="M41" i="125"/>
  <c r="R41" i="125"/>
  <c r="H42" i="125"/>
  <c r="M42" i="125"/>
  <c r="R42" i="125"/>
  <c r="H43" i="125"/>
  <c r="M43" i="125"/>
  <c r="R43" i="125"/>
  <c r="H44" i="125"/>
  <c r="M44" i="125"/>
  <c r="R44" i="125"/>
  <c r="H45" i="125"/>
  <c r="M45" i="125"/>
  <c r="R45" i="125"/>
  <c r="H46" i="125"/>
  <c r="M46" i="125"/>
  <c r="R46" i="125"/>
  <c r="H47" i="125"/>
  <c r="M47" i="125"/>
  <c r="R47" i="125"/>
  <c r="H48" i="125"/>
  <c r="M48" i="125"/>
  <c r="R48" i="125"/>
  <c r="H49" i="125"/>
  <c r="M49" i="125"/>
  <c r="R49" i="125"/>
  <c r="H50" i="125"/>
  <c r="M50" i="125"/>
  <c r="R50" i="125"/>
  <c r="H51" i="125"/>
  <c r="M51" i="125"/>
  <c r="R51" i="125"/>
  <c r="H52" i="125"/>
  <c r="M52" i="125"/>
  <c r="R52" i="125"/>
  <c r="H53" i="125"/>
  <c r="M53" i="125"/>
  <c r="R53" i="125"/>
  <c r="H54" i="125"/>
  <c r="M54" i="125"/>
  <c r="R54" i="125"/>
  <c r="H55" i="125"/>
  <c r="M55" i="125"/>
  <c r="R55" i="125"/>
  <c r="H56" i="125"/>
  <c r="M56" i="125"/>
  <c r="R56" i="125"/>
  <c r="H57" i="125"/>
  <c r="M57" i="125"/>
  <c r="R57" i="125"/>
  <c r="H58" i="125"/>
  <c r="M58" i="125"/>
  <c r="R58" i="125"/>
  <c r="H59" i="125"/>
  <c r="M59" i="125"/>
  <c r="R59" i="125"/>
  <c r="H60" i="125"/>
  <c r="M60" i="125"/>
  <c r="R60" i="125"/>
  <c r="H61" i="125"/>
  <c r="M61" i="125"/>
  <c r="R61" i="125"/>
  <c r="H62" i="125"/>
  <c r="M62" i="125"/>
  <c r="R62" i="125"/>
  <c r="H63" i="125"/>
  <c r="M63" i="125"/>
  <c r="R63" i="125"/>
  <c r="H64" i="125"/>
  <c r="M64" i="125"/>
  <c r="R64" i="125"/>
  <c r="H65" i="125"/>
  <c r="M65" i="125"/>
  <c r="R65" i="125"/>
  <c r="H66" i="125"/>
  <c r="M66" i="125"/>
  <c r="R66" i="125"/>
  <c r="H67" i="125"/>
  <c r="M67" i="125"/>
  <c r="R67" i="125"/>
  <c r="H68" i="125"/>
  <c r="M68" i="125"/>
  <c r="R68" i="125"/>
  <c r="H69" i="125"/>
  <c r="M69" i="125"/>
  <c r="R69" i="125"/>
  <c r="H70" i="125"/>
  <c r="M70" i="125"/>
  <c r="R70" i="125"/>
  <c r="H71" i="125"/>
  <c r="M71" i="125"/>
  <c r="R71" i="125"/>
  <c r="H72" i="125"/>
  <c r="M72" i="125"/>
  <c r="R72" i="125"/>
  <c r="H73" i="125"/>
  <c r="M73" i="125"/>
  <c r="R73" i="125"/>
  <c r="H74" i="125"/>
  <c r="M74" i="125"/>
  <c r="R74" i="125"/>
  <c r="H75" i="125"/>
  <c r="M75" i="125"/>
  <c r="R75" i="125"/>
  <c r="H76" i="125"/>
  <c r="M76" i="125"/>
  <c r="R76" i="125"/>
  <c r="H77" i="125"/>
  <c r="M77" i="125"/>
  <c r="R77" i="125"/>
  <c r="H78" i="125"/>
  <c r="M78" i="125"/>
  <c r="R78" i="125"/>
  <c r="H79" i="125"/>
  <c r="M79" i="125"/>
  <c r="R79" i="125"/>
  <c r="H80" i="125"/>
  <c r="M80" i="125"/>
  <c r="R80" i="125"/>
  <c r="H81" i="125"/>
  <c r="M81" i="125"/>
  <c r="R81" i="125"/>
  <c r="H82" i="125"/>
  <c r="M82" i="125"/>
  <c r="R82" i="125"/>
  <c r="H83" i="125"/>
  <c r="M83" i="125"/>
  <c r="R83" i="125"/>
  <c r="H84" i="125"/>
  <c r="M84" i="125"/>
  <c r="R84" i="125"/>
  <c r="H85" i="125"/>
  <c r="M85" i="125"/>
  <c r="R85" i="125"/>
  <c r="H86" i="125"/>
  <c r="M86" i="125"/>
  <c r="R86" i="125"/>
  <c r="H87" i="125"/>
  <c r="M87" i="125"/>
  <c r="R87" i="125"/>
  <c r="H88" i="125"/>
  <c r="M88" i="125"/>
  <c r="R88" i="125"/>
  <c r="H89" i="125"/>
  <c r="M89" i="125"/>
  <c r="R89" i="125"/>
  <c r="H90" i="125"/>
  <c r="M90" i="125"/>
  <c r="R90" i="125"/>
  <c r="H91" i="125"/>
  <c r="M91" i="125"/>
  <c r="R91" i="125"/>
  <c r="H92" i="125"/>
  <c r="M92" i="125"/>
  <c r="R92" i="125"/>
  <c r="H93" i="125"/>
  <c r="M93" i="125"/>
  <c r="R93" i="125"/>
  <c r="H94" i="125"/>
  <c r="M94" i="125"/>
  <c r="R94" i="125"/>
  <c r="H95" i="125"/>
  <c r="M95" i="125"/>
  <c r="R95" i="125"/>
  <c r="H96" i="125"/>
  <c r="M96" i="125"/>
  <c r="R96" i="125"/>
  <c r="H97" i="125"/>
  <c r="M97" i="125"/>
  <c r="R97" i="125"/>
  <c r="H98" i="125"/>
  <c r="M98" i="125"/>
  <c r="R98" i="125"/>
  <c r="H99" i="125"/>
  <c r="M99" i="125"/>
  <c r="R99" i="125"/>
  <c r="H100" i="125"/>
  <c r="M100" i="125"/>
  <c r="R100" i="125"/>
  <c r="H101" i="125"/>
  <c r="M101" i="125"/>
  <c r="R101" i="125"/>
  <c r="H118" i="125"/>
  <c r="M118" i="125"/>
  <c r="R118" i="125"/>
  <c r="H119" i="125"/>
  <c r="M119" i="125"/>
  <c r="R119" i="125"/>
  <c r="H120" i="125"/>
  <c r="M120" i="125"/>
  <c r="R120" i="125"/>
  <c r="H121" i="125"/>
  <c r="M121" i="125"/>
  <c r="R121" i="125"/>
  <c r="H122" i="125"/>
  <c r="M122" i="125"/>
  <c r="R122" i="125"/>
  <c r="H123" i="125"/>
  <c r="M123" i="125"/>
  <c r="R123" i="125"/>
  <c r="H124" i="125"/>
  <c r="M124" i="125"/>
  <c r="R124" i="125"/>
  <c r="H125" i="125"/>
  <c r="M125" i="125"/>
  <c r="R125" i="125"/>
  <c r="H126" i="125"/>
  <c r="M126" i="125"/>
  <c r="R126" i="125"/>
  <c r="H127" i="125"/>
  <c r="M127" i="125"/>
  <c r="R127" i="125"/>
  <c r="H128" i="125"/>
  <c r="M128" i="125"/>
  <c r="R128" i="125"/>
  <c r="H129" i="125"/>
  <c r="M129" i="125"/>
  <c r="R129" i="125"/>
  <c r="H130" i="125"/>
  <c r="M130" i="125"/>
  <c r="R130" i="125"/>
  <c r="H131" i="125"/>
  <c r="M131" i="125"/>
  <c r="R131" i="125"/>
  <c r="H132" i="125"/>
  <c r="M132" i="125"/>
  <c r="R132" i="125"/>
  <c r="H133" i="125"/>
  <c r="M133" i="125"/>
  <c r="R133" i="125"/>
  <c r="H134" i="125"/>
  <c r="M134" i="125"/>
  <c r="R134" i="125"/>
  <c r="H135" i="125"/>
  <c r="M135" i="125"/>
  <c r="R135" i="125"/>
  <c r="H136" i="125"/>
  <c r="M136" i="125"/>
  <c r="R136" i="125"/>
  <c r="H137" i="125"/>
  <c r="M137" i="125"/>
  <c r="R137" i="125"/>
  <c r="H138" i="125"/>
  <c r="M138" i="125"/>
  <c r="R138" i="125"/>
  <c r="H139" i="125"/>
  <c r="M139" i="125"/>
  <c r="R139" i="125"/>
  <c r="H140" i="125"/>
  <c r="M140" i="125"/>
  <c r="R140" i="125"/>
  <c r="R5" i="125"/>
  <c r="M5" i="125"/>
  <c r="H5" i="125"/>
  <c r="C6" i="125"/>
  <c r="C7" i="125"/>
  <c r="C8" i="125"/>
  <c r="C9" i="125"/>
  <c r="C10" i="125"/>
  <c r="C11" i="125"/>
  <c r="C12" i="125"/>
  <c r="C13" i="125"/>
  <c r="C14" i="125"/>
  <c r="C15" i="125"/>
  <c r="C16" i="125"/>
  <c r="C17" i="125"/>
  <c r="C18" i="125"/>
  <c r="C19" i="125"/>
  <c r="C20" i="125"/>
  <c r="C21" i="125"/>
  <c r="C22" i="125"/>
  <c r="C23" i="125"/>
  <c r="C24" i="125"/>
  <c r="C25" i="125"/>
  <c r="C26" i="125"/>
  <c r="C27" i="125"/>
  <c r="C28" i="125"/>
  <c r="C29" i="125"/>
  <c r="C30" i="125"/>
  <c r="C33" i="125"/>
  <c r="C34" i="125"/>
  <c r="C35" i="125"/>
  <c r="C36" i="125"/>
  <c r="C37" i="125"/>
  <c r="C38" i="125"/>
  <c r="C39" i="125"/>
  <c r="C40" i="125"/>
  <c r="C41" i="125"/>
  <c r="C42" i="125"/>
  <c r="C43" i="125"/>
  <c r="C44" i="125"/>
  <c r="C45" i="125"/>
  <c r="C46" i="125"/>
  <c r="C47" i="125"/>
  <c r="C48" i="125"/>
  <c r="C49" i="125"/>
  <c r="C50" i="125"/>
  <c r="C51" i="125"/>
  <c r="C52" i="125"/>
  <c r="C53" i="125"/>
  <c r="C54" i="125"/>
  <c r="C55" i="125"/>
  <c r="C56" i="125"/>
  <c r="C57" i="125"/>
  <c r="C58" i="125"/>
  <c r="C59" i="125"/>
  <c r="C60" i="125"/>
  <c r="C61" i="125"/>
  <c r="C62" i="125"/>
  <c r="C63" i="125"/>
  <c r="C64" i="125"/>
  <c r="C65" i="125"/>
  <c r="C66" i="125"/>
  <c r="C67" i="125"/>
  <c r="C68" i="125"/>
  <c r="C69" i="125"/>
  <c r="C70" i="125"/>
  <c r="C71" i="125"/>
  <c r="C72" i="125"/>
  <c r="C73" i="125"/>
  <c r="C74" i="125"/>
  <c r="C75" i="125"/>
  <c r="C76" i="125"/>
  <c r="C77" i="125"/>
  <c r="C78" i="125"/>
  <c r="C79" i="125"/>
  <c r="C80" i="125"/>
  <c r="C81" i="125"/>
  <c r="C82" i="125"/>
  <c r="C83" i="125"/>
  <c r="C84" i="125"/>
  <c r="C85" i="125"/>
  <c r="C86" i="125"/>
  <c r="C87" i="125"/>
  <c r="C88" i="125"/>
  <c r="C89" i="125"/>
  <c r="C90" i="125"/>
  <c r="C91" i="125"/>
  <c r="C92" i="125"/>
  <c r="C93" i="125"/>
  <c r="C94" i="125"/>
  <c r="C95" i="125"/>
  <c r="C96" i="125"/>
  <c r="C97" i="125"/>
  <c r="C98" i="125"/>
  <c r="C99" i="125"/>
  <c r="C101" i="125"/>
  <c r="C118" i="125"/>
  <c r="C119" i="125"/>
  <c r="C120" i="125"/>
  <c r="C121" i="125"/>
  <c r="C122" i="125"/>
  <c r="C123" i="125"/>
  <c r="C124" i="125"/>
  <c r="C125" i="125"/>
  <c r="C126" i="125"/>
  <c r="C127" i="125"/>
  <c r="C128" i="125"/>
  <c r="C129" i="125"/>
  <c r="C130" i="125"/>
  <c r="C131" i="125"/>
  <c r="C132" i="125"/>
  <c r="C133" i="125"/>
  <c r="C134" i="125"/>
  <c r="C135" i="125"/>
  <c r="C136" i="125"/>
  <c r="C137" i="125"/>
  <c r="C138" i="125"/>
  <c r="C139" i="125"/>
  <c r="C140" i="125"/>
  <c r="C5" i="125"/>
  <c r="A4" i="110"/>
  <c r="AO101" i="46" s="1"/>
  <c r="E6" i="105"/>
  <c r="U32" i="120"/>
  <c r="K32" i="120"/>
  <c r="D31" i="120"/>
  <c r="J31" i="120" s="1"/>
  <c r="BQ31" i="120"/>
  <c r="BI31" i="120"/>
  <c r="BJ31" i="120" s="1"/>
  <c r="BF31" i="120"/>
  <c r="BG31" i="120" s="1"/>
  <c r="BC31" i="120"/>
  <c r="BB31" i="120"/>
  <c r="AX31" i="120"/>
  <c r="AT31" i="120"/>
  <c r="AU31" i="120" s="1"/>
  <c r="AQ31" i="120"/>
  <c r="AN31" i="120"/>
  <c r="AJ31" i="120"/>
  <c r="AK31" i="120" s="1"/>
  <c r="AG31" i="120"/>
  <c r="AM31" i="120" s="1"/>
  <c r="X31" i="120"/>
  <c r="U31" i="120"/>
  <c r="Q31" i="120"/>
  <c r="R31" i="120" s="1"/>
  <c r="N31" i="120"/>
  <c r="T31" i="120" s="1"/>
  <c r="K31" i="120"/>
  <c r="G31" i="120"/>
  <c r="H31" i="120" s="1"/>
  <c r="CO33" i="116"/>
  <c r="CN33" i="116"/>
  <c r="CJ33" i="116"/>
  <c r="CI33" i="116"/>
  <c r="CE33" i="116"/>
  <c r="CD33" i="116"/>
  <c r="BZ33" i="116"/>
  <c r="BY33" i="116"/>
  <c r="BT33" i="116"/>
  <c r="BQ33" i="116"/>
  <c r="BN33" i="116"/>
  <c r="BK33" i="116"/>
  <c r="BG33" i="116"/>
  <c r="BC33" i="116"/>
  <c r="AZ33" i="116"/>
  <c r="AO33" i="116"/>
  <c r="AM33" i="116"/>
  <c r="AJ33" i="116"/>
  <c r="AG33" i="116"/>
  <c r="AD33" i="116"/>
  <c r="AA33" i="116"/>
  <c r="X33" i="116"/>
  <c r="U33" i="116"/>
  <c r="R33" i="116"/>
  <c r="O33" i="116"/>
  <c r="L33" i="116"/>
  <c r="I33" i="116"/>
  <c r="F33" i="116"/>
  <c r="D33" i="116"/>
  <c r="AB33" i="110"/>
  <c r="AC33" i="110" s="1"/>
  <c r="T33" i="110"/>
  <c r="U33" i="110" s="1"/>
  <c r="L33" i="110"/>
  <c r="M33" i="110" s="1"/>
  <c r="C33" i="110"/>
  <c r="D33" i="110" s="1"/>
  <c r="E109" i="70"/>
  <c r="J109" i="70"/>
  <c r="J113" i="70"/>
  <c r="J120" i="70"/>
  <c r="L109" i="70"/>
  <c r="J111" i="70"/>
  <c r="L111" i="70"/>
  <c r="E31" i="120" l="1"/>
  <c r="AW31" i="120"/>
  <c r="O31" i="120"/>
  <c r="G20" i="125"/>
  <c r="AH31" i="120"/>
  <c r="AR31" i="120"/>
  <c r="BL31" i="120"/>
  <c r="BM124" i="120" l="1"/>
  <c r="BI20" i="120" l="1"/>
  <c r="BF6" i="120"/>
  <c r="BG6" i="120" s="1"/>
  <c r="BF7" i="120"/>
  <c r="BG7" i="120" s="1"/>
  <c r="BF8" i="120"/>
  <c r="BF9" i="120"/>
  <c r="BG9" i="120" s="1"/>
  <c r="BF10" i="120"/>
  <c r="BF11" i="120"/>
  <c r="BF12" i="120"/>
  <c r="BF13" i="120"/>
  <c r="BF14" i="120"/>
  <c r="BF15" i="120"/>
  <c r="BG15" i="120" s="1"/>
  <c r="BF16" i="120"/>
  <c r="BG16" i="120" s="1"/>
  <c r="BF17" i="120"/>
  <c r="BG17" i="120" s="1"/>
  <c r="BF18" i="120"/>
  <c r="BG18" i="120" s="1"/>
  <c r="BF19" i="120"/>
  <c r="BG19" i="120" s="1"/>
  <c r="BF20" i="120"/>
  <c r="BF21" i="120" s="1"/>
  <c r="BF22" i="120"/>
  <c r="BG22" i="120" s="1"/>
  <c r="BF23" i="120"/>
  <c r="BG23" i="120" s="1"/>
  <c r="BF24" i="120"/>
  <c r="BG24" i="120" s="1"/>
  <c r="BF25" i="120"/>
  <c r="BG25" i="120" s="1"/>
  <c r="BF26" i="120"/>
  <c r="BG26" i="120" s="1"/>
  <c r="BF27" i="120"/>
  <c r="BG27" i="120" s="1"/>
  <c r="BF28" i="120"/>
  <c r="BG28" i="120" s="1"/>
  <c r="BF29" i="120"/>
  <c r="BF30" i="120"/>
  <c r="BG30" i="120" s="1"/>
  <c r="BF32" i="120"/>
  <c r="BF33" i="120"/>
  <c r="BG33" i="120" s="1"/>
  <c r="BF34" i="120"/>
  <c r="BG34" i="120" s="1"/>
  <c r="BF35" i="120"/>
  <c r="BG35" i="120" s="1"/>
  <c r="BF36" i="120"/>
  <c r="BG36" i="120" s="1"/>
  <c r="BF37" i="120"/>
  <c r="BF38" i="120"/>
  <c r="BG38" i="120" s="1"/>
  <c r="BF39" i="120"/>
  <c r="BG39" i="120" s="1"/>
  <c r="BF40" i="120"/>
  <c r="BG40" i="120" s="1"/>
  <c r="BF41" i="120"/>
  <c r="BG41" i="120" s="1"/>
  <c r="BF42" i="120"/>
  <c r="BF43" i="120"/>
  <c r="BG43" i="120" s="1"/>
  <c r="BF44" i="120"/>
  <c r="BG44" i="120" s="1"/>
  <c r="BF45" i="120"/>
  <c r="BG45" i="120" s="1"/>
  <c r="BF46" i="120"/>
  <c r="BG46" i="120" s="1"/>
  <c r="BF47" i="120"/>
  <c r="BG47" i="120" s="1"/>
  <c r="BF48" i="120"/>
  <c r="BF49" i="120"/>
  <c r="BG49" i="120" s="1"/>
  <c r="BF50" i="120"/>
  <c r="BG50" i="120" s="1"/>
  <c r="BF51" i="120"/>
  <c r="BG51" i="120" s="1"/>
  <c r="BF52" i="120"/>
  <c r="BG52" i="120" s="1"/>
  <c r="BF53" i="120"/>
  <c r="BG53" i="120" s="1"/>
  <c r="BF54" i="120"/>
  <c r="BF55" i="120"/>
  <c r="BG55" i="120" s="1"/>
  <c r="BF56" i="120"/>
  <c r="BG56" i="120" s="1"/>
  <c r="BF57" i="120"/>
  <c r="BG57" i="120" s="1"/>
  <c r="BF58" i="120"/>
  <c r="BG58" i="120" s="1"/>
  <c r="BF59" i="120"/>
  <c r="BG59" i="120" s="1"/>
  <c r="BF60" i="120"/>
  <c r="BG60" i="120" s="1"/>
  <c r="BF61" i="120"/>
  <c r="BF62" i="120"/>
  <c r="BF63" i="120"/>
  <c r="BG63" i="120" s="1"/>
  <c r="BF64" i="120"/>
  <c r="BG64" i="120" s="1"/>
  <c r="BF65" i="120"/>
  <c r="BG65" i="120" s="1"/>
  <c r="BF66" i="120"/>
  <c r="BF67" i="120"/>
  <c r="BG67" i="120" s="1"/>
  <c r="BF68" i="120"/>
  <c r="BG68" i="120" s="1"/>
  <c r="BF69" i="120"/>
  <c r="BG69" i="120" s="1"/>
  <c r="BF70" i="120"/>
  <c r="BG70" i="120" s="1"/>
  <c r="BF71" i="120"/>
  <c r="BF72" i="120"/>
  <c r="BF73" i="120"/>
  <c r="BF74" i="120"/>
  <c r="BG74" i="120" s="1"/>
  <c r="BF75" i="120"/>
  <c r="BG75" i="120" s="1"/>
  <c r="BF76" i="120"/>
  <c r="BG76" i="120" s="1"/>
  <c r="BF77" i="120"/>
  <c r="BF78" i="120"/>
  <c r="BG78" i="120" s="1"/>
  <c r="BF79" i="120"/>
  <c r="BG79" i="120" s="1"/>
  <c r="BF80" i="120"/>
  <c r="BF81" i="120"/>
  <c r="BF82" i="120"/>
  <c r="BF83" i="120"/>
  <c r="BF84" i="120"/>
  <c r="BG84" i="120" s="1"/>
  <c r="BF85" i="120"/>
  <c r="BG85" i="120" s="1"/>
  <c r="BF86" i="120"/>
  <c r="BG86" i="120" s="1"/>
  <c r="BF87" i="120"/>
  <c r="BG87" i="120" s="1"/>
  <c r="BF88" i="120"/>
  <c r="BF89" i="120"/>
  <c r="BG89" i="120" s="1"/>
  <c r="BF90" i="120"/>
  <c r="BF91" i="120"/>
  <c r="BG91" i="120" s="1"/>
  <c r="BF92" i="120"/>
  <c r="BG92" i="120" s="1"/>
  <c r="BF93" i="120"/>
  <c r="BF94" i="120"/>
  <c r="BG94" i="120" s="1"/>
  <c r="BF95" i="120"/>
  <c r="BG95" i="120" s="1"/>
  <c r="BF96" i="120"/>
  <c r="BG96" i="120" s="1"/>
  <c r="BF97" i="120"/>
  <c r="BG97" i="120" s="1"/>
  <c r="BF98" i="120"/>
  <c r="BG98" i="120" s="1"/>
  <c r="BF99" i="120"/>
  <c r="BG99" i="120" s="1"/>
  <c r="BF100" i="120"/>
  <c r="BG100" i="120" s="1"/>
  <c r="BF101" i="120"/>
  <c r="BG101" i="120" s="1"/>
  <c r="BF107" i="120"/>
  <c r="BG107" i="120" s="1"/>
  <c r="BF108" i="120"/>
  <c r="BG108" i="120" s="1"/>
  <c r="BF109" i="120"/>
  <c r="BG109" i="120" s="1"/>
  <c r="BF110" i="120"/>
  <c r="BG110" i="120" s="1"/>
  <c r="BF111" i="120"/>
  <c r="BG111" i="120" s="1"/>
  <c r="BF112" i="120"/>
  <c r="BG112" i="120" s="1"/>
  <c r="BF113" i="120"/>
  <c r="BG113" i="120" s="1"/>
  <c r="BF114" i="120"/>
  <c r="BG114" i="120" s="1"/>
  <c r="BF115" i="120"/>
  <c r="BG115" i="120" s="1"/>
  <c r="BF116" i="120"/>
  <c r="BG116" i="120" s="1"/>
  <c r="BF117" i="120"/>
  <c r="BG117" i="120" s="1"/>
  <c r="BF118" i="120"/>
  <c r="BG118" i="120" s="1"/>
  <c r="BF119" i="120"/>
  <c r="BG119" i="120" s="1"/>
  <c r="BF120" i="120"/>
  <c r="BG120" i="120" s="1"/>
  <c r="BF121" i="120"/>
  <c r="BF122" i="120"/>
  <c r="BG122" i="120" s="1"/>
  <c r="BF123" i="120"/>
  <c r="BF124" i="120"/>
  <c r="BG124" i="120" s="1"/>
  <c r="BF125" i="120"/>
  <c r="BG125" i="120" s="1"/>
  <c r="BF126" i="120"/>
  <c r="BG126" i="120" s="1"/>
  <c r="BF127" i="120"/>
  <c r="BF128" i="120"/>
  <c r="BG128" i="120" s="1"/>
  <c r="BF129" i="120"/>
  <c r="BF130" i="120"/>
  <c r="BG130" i="120" s="1"/>
  <c r="BF131" i="120"/>
  <c r="BF132" i="120"/>
  <c r="BG132" i="120" s="1"/>
  <c r="BF133" i="120"/>
  <c r="BF134" i="120"/>
  <c r="BF135" i="120"/>
  <c r="BF136" i="120"/>
  <c r="BF137" i="120"/>
  <c r="BF138" i="120"/>
  <c r="BG138" i="120" s="1"/>
  <c r="BF139" i="120"/>
  <c r="BG139" i="120" s="1"/>
  <c r="BF140" i="120"/>
  <c r="BF141" i="120"/>
  <c r="BF142" i="120"/>
  <c r="BG142" i="120" s="1"/>
  <c r="BF143" i="120"/>
  <c r="BF144" i="120"/>
  <c r="BG144" i="120" s="1"/>
  <c r="BF145" i="120"/>
  <c r="BG145" i="120" s="1"/>
  <c r="BQ145" i="120"/>
  <c r="BQ144" i="120"/>
  <c r="BQ143" i="120"/>
  <c r="BQ142" i="120"/>
  <c r="BQ141" i="120"/>
  <c r="BQ140" i="120"/>
  <c r="BQ139" i="120"/>
  <c r="BQ138" i="120"/>
  <c r="BQ137" i="120"/>
  <c r="BQ136" i="120"/>
  <c r="BQ135" i="120"/>
  <c r="BQ134" i="120"/>
  <c r="BQ133" i="120"/>
  <c r="BQ132" i="120"/>
  <c r="BQ131" i="120"/>
  <c r="BQ130" i="120"/>
  <c r="BQ129" i="120"/>
  <c r="BQ128" i="120"/>
  <c r="BQ127" i="120"/>
  <c r="BQ126" i="120"/>
  <c r="BQ125" i="120"/>
  <c r="BQ124" i="120"/>
  <c r="BQ123" i="120"/>
  <c r="BQ122" i="120"/>
  <c r="BQ121" i="120"/>
  <c r="BQ120" i="120"/>
  <c r="BQ119" i="120"/>
  <c r="BQ118" i="120"/>
  <c r="BQ117" i="120"/>
  <c r="BQ116" i="120"/>
  <c r="BQ115" i="120"/>
  <c r="BQ114" i="120"/>
  <c r="BQ113" i="120"/>
  <c r="BQ112" i="120"/>
  <c r="BQ111" i="120"/>
  <c r="BQ110" i="120"/>
  <c r="BQ109" i="120"/>
  <c r="BQ108" i="120"/>
  <c r="BQ107" i="120"/>
  <c r="BQ101" i="120"/>
  <c r="BQ100" i="120"/>
  <c r="BQ99" i="120"/>
  <c r="BQ98" i="120"/>
  <c r="BQ97" i="120"/>
  <c r="BQ96" i="120"/>
  <c r="BQ95" i="120"/>
  <c r="BQ94" i="120"/>
  <c r="BQ93" i="120"/>
  <c r="BQ92" i="120"/>
  <c r="BQ91" i="120"/>
  <c r="BQ90" i="120"/>
  <c r="BQ89" i="120"/>
  <c r="BQ88" i="120"/>
  <c r="BQ87" i="120"/>
  <c r="BQ86" i="120"/>
  <c r="BQ85" i="120"/>
  <c r="BQ84" i="120"/>
  <c r="BQ83" i="120"/>
  <c r="BQ82" i="120"/>
  <c r="BQ81" i="120"/>
  <c r="BQ80" i="120"/>
  <c r="BQ79" i="120"/>
  <c r="BQ78" i="120"/>
  <c r="BQ77" i="120"/>
  <c r="BQ76" i="120"/>
  <c r="BQ75" i="120"/>
  <c r="BQ74" i="120"/>
  <c r="BQ73" i="120"/>
  <c r="BQ72" i="120"/>
  <c r="BQ71" i="120"/>
  <c r="BQ70" i="120"/>
  <c r="BQ69" i="120"/>
  <c r="BQ68" i="120"/>
  <c r="BQ67" i="120"/>
  <c r="BQ66" i="120"/>
  <c r="BQ65" i="120"/>
  <c r="BQ64" i="120"/>
  <c r="BQ63" i="120"/>
  <c r="BQ62" i="120"/>
  <c r="BQ61" i="120"/>
  <c r="BQ60" i="120"/>
  <c r="BQ59" i="120"/>
  <c r="BQ58" i="120"/>
  <c r="BQ57" i="120"/>
  <c r="BQ56" i="120"/>
  <c r="BQ55" i="120"/>
  <c r="BQ54" i="120"/>
  <c r="BQ53" i="120"/>
  <c r="BQ52" i="120"/>
  <c r="BQ51" i="120"/>
  <c r="BQ50" i="120"/>
  <c r="BQ49" i="120"/>
  <c r="BQ48" i="120"/>
  <c r="BQ47" i="120"/>
  <c r="BQ46" i="120"/>
  <c r="BQ45" i="120"/>
  <c r="BQ44" i="120"/>
  <c r="BQ43" i="120"/>
  <c r="BQ42" i="120"/>
  <c r="BQ41" i="120"/>
  <c r="BQ40" i="120"/>
  <c r="BQ39" i="120"/>
  <c r="BQ38" i="120"/>
  <c r="BQ37" i="120"/>
  <c r="BQ36" i="120"/>
  <c r="BQ35" i="120"/>
  <c r="BQ34" i="120"/>
  <c r="BQ33" i="120"/>
  <c r="BQ32" i="120"/>
  <c r="BQ30" i="120"/>
  <c r="BQ29" i="120"/>
  <c r="BQ28" i="120"/>
  <c r="BQ27" i="120"/>
  <c r="BQ26" i="120"/>
  <c r="BQ25" i="120"/>
  <c r="BQ24" i="120"/>
  <c r="BQ23" i="120"/>
  <c r="BQ22" i="120"/>
  <c r="BQ21" i="120"/>
  <c r="BQ20" i="120"/>
  <c r="BQ19" i="120"/>
  <c r="BQ18" i="120"/>
  <c r="BQ17" i="120"/>
  <c r="BQ16" i="120"/>
  <c r="BQ15" i="120"/>
  <c r="BQ14" i="120"/>
  <c r="BQ13" i="120"/>
  <c r="BQ12" i="120"/>
  <c r="BQ11" i="120"/>
  <c r="BQ10" i="120"/>
  <c r="BQ9" i="120"/>
  <c r="BQ8" i="120"/>
  <c r="BQ7" i="120"/>
  <c r="BQ6" i="120"/>
  <c r="BQ5" i="120"/>
  <c r="BI6" i="120"/>
  <c r="BM6" i="120"/>
  <c r="BI7" i="120"/>
  <c r="BM7" i="120"/>
  <c r="BI8" i="120"/>
  <c r="BM8" i="120"/>
  <c r="BI9" i="120"/>
  <c r="BJ9" i="120" s="1"/>
  <c r="BM9" i="120"/>
  <c r="BI10" i="120"/>
  <c r="BM10" i="120"/>
  <c r="BI11" i="120"/>
  <c r="BM11" i="120"/>
  <c r="BI12" i="120"/>
  <c r="BJ12" i="120" s="1"/>
  <c r="BM12" i="120"/>
  <c r="BI13" i="120"/>
  <c r="BL13" i="120" s="1"/>
  <c r="BM13" i="120"/>
  <c r="BI14" i="120"/>
  <c r="BM14" i="120"/>
  <c r="BI15" i="120"/>
  <c r="BM15" i="120"/>
  <c r="BI16" i="120"/>
  <c r="BJ16" i="120" s="1"/>
  <c r="BM16" i="120"/>
  <c r="BI17" i="120"/>
  <c r="BM17" i="120"/>
  <c r="BI18" i="120"/>
  <c r="BL18" i="120" s="1"/>
  <c r="BM18" i="120"/>
  <c r="BI19" i="120"/>
  <c r="BM19" i="120"/>
  <c r="BM20" i="120"/>
  <c r="BI22" i="120"/>
  <c r="BM22" i="120"/>
  <c r="BI23" i="120"/>
  <c r="BM23" i="120"/>
  <c r="BI24" i="120"/>
  <c r="BJ24" i="120" s="1"/>
  <c r="BM24" i="120"/>
  <c r="BI25" i="120"/>
  <c r="BJ25" i="120" s="1"/>
  <c r="BM25" i="120"/>
  <c r="BI26" i="120"/>
  <c r="BL26" i="120" s="1"/>
  <c r="BM26" i="120"/>
  <c r="BI27" i="120"/>
  <c r="BJ27" i="120" s="1"/>
  <c r="BM27" i="120"/>
  <c r="BI28" i="120"/>
  <c r="BJ28" i="120" s="1"/>
  <c r="BM28" i="120"/>
  <c r="BI29" i="120"/>
  <c r="BL29" i="120" s="1"/>
  <c r="BM29" i="120"/>
  <c r="BI30" i="120"/>
  <c r="BJ30" i="120" s="1"/>
  <c r="BM30" i="120"/>
  <c r="BI32" i="120"/>
  <c r="BJ32" i="120" s="1"/>
  <c r="BI33" i="120"/>
  <c r="BJ33" i="120" s="1"/>
  <c r="BM33" i="120"/>
  <c r="BI34" i="120"/>
  <c r="BJ34" i="120" s="1"/>
  <c r="BM34" i="120"/>
  <c r="BI35" i="120"/>
  <c r="BM35" i="120"/>
  <c r="BI36" i="120"/>
  <c r="BJ36" i="120" s="1"/>
  <c r="BM36" i="120"/>
  <c r="BI37" i="120"/>
  <c r="BM37" i="120"/>
  <c r="BI38" i="120"/>
  <c r="BJ38" i="120" s="1"/>
  <c r="BM38" i="120"/>
  <c r="BI39" i="120"/>
  <c r="BM39" i="120"/>
  <c r="BI40" i="120"/>
  <c r="BJ40" i="120" s="1"/>
  <c r="BM40" i="120"/>
  <c r="BI41" i="120"/>
  <c r="BJ41" i="120" s="1"/>
  <c r="BM41" i="120"/>
  <c r="BI42" i="120"/>
  <c r="BM42" i="120"/>
  <c r="BI43" i="120"/>
  <c r="BJ43" i="120" s="1"/>
  <c r="BM43" i="120"/>
  <c r="BI44" i="120"/>
  <c r="BM44" i="120"/>
  <c r="BI45" i="120"/>
  <c r="BJ45" i="120" s="1"/>
  <c r="BM45" i="120"/>
  <c r="BI46" i="120"/>
  <c r="BM46" i="120"/>
  <c r="BI47" i="120"/>
  <c r="BM47" i="120"/>
  <c r="BI48" i="120"/>
  <c r="BM48" i="120"/>
  <c r="BI49" i="120"/>
  <c r="BJ49" i="120" s="1"/>
  <c r="BM49" i="120"/>
  <c r="BI50" i="120"/>
  <c r="BJ50" i="120" s="1"/>
  <c r="BM50" i="120"/>
  <c r="BI51" i="120"/>
  <c r="BJ51" i="120" s="1"/>
  <c r="BM51" i="120"/>
  <c r="BI52" i="120"/>
  <c r="BJ52" i="120" s="1"/>
  <c r="BM52" i="120"/>
  <c r="BI53" i="120"/>
  <c r="BJ53" i="120" s="1"/>
  <c r="BM53" i="120"/>
  <c r="BL54" i="120"/>
  <c r="BI54" i="120"/>
  <c r="BM54" i="120"/>
  <c r="BI55" i="120"/>
  <c r="BJ55" i="120" s="1"/>
  <c r="BM55" i="120"/>
  <c r="BI56" i="120"/>
  <c r="BJ56" i="120"/>
  <c r="BM56" i="120"/>
  <c r="BI57" i="120"/>
  <c r="BJ57" i="120" s="1"/>
  <c r="BM57" i="120"/>
  <c r="BI58" i="120"/>
  <c r="BJ58" i="120" s="1"/>
  <c r="BM58" i="120"/>
  <c r="BI59" i="120"/>
  <c r="BM59" i="120"/>
  <c r="BI60" i="120"/>
  <c r="BJ60" i="120" s="1"/>
  <c r="BM60" i="120"/>
  <c r="BI61" i="120"/>
  <c r="BM61" i="120"/>
  <c r="BI62" i="120"/>
  <c r="BJ62" i="120" s="1"/>
  <c r="BM62" i="120"/>
  <c r="BI63" i="120"/>
  <c r="BJ63" i="120" s="1"/>
  <c r="BM63" i="120"/>
  <c r="BI64" i="120"/>
  <c r="BJ64" i="120" s="1"/>
  <c r="BM64" i="120"/>
  <c r="BL65" i="120"/>
  <c r="BI65" i="120"/>
  <c r="BM65" i="120"/>
  <c r="BI66" i="120"/>
  <c r="BJ66" i="120" s="1"/>
  <c r="BM66" i="120"/>
  <c r="BI67" i="120"/>
  <c r="BM67" i="120"/>
  <c r="BI68" i="120"/>
  <c r="BJ68" i="120" s="1"/>
  <c r="BM68" i="120"/>
  <c r="BI69" i="120"/>
  <c r="BJ69" i="120" s="1"/>
  <c r="BM69" i="120"/>
  <c r="BI70" i="120"/>
  <c r="BJ70" i="120" s="1"/>
  <c r="BM70" i="120"/>
  <c r="BI71" i="120"/>
  <c r="BM71" i="120"/>
  <c r="BI72" i="120"/>
  <c r="BM72" i="120"/>
  <c r="BI73" i="120"/>
  <c r="BM73" i="120"/>
  <c r="BI74" i="120"/>
  <c r="BJ74" i="120" s="1"/>
  <c r="BM74" i="120"/>
  <c r="BI75" i="120"/>
  <c r="BJ75" i="120" s="1"/>
  <c r="BM75" i="120"/>
  <c r="BI76" i="120"/>
  <c r="BJ76" i="120" s="1"/>
  <c r="BM76" i="120"/>
  <c r="BI77" i="120"/>
  <c r="BM77" i="120"/>
  <c r="BI78" i="120"/>
  <c r="BJ78" i="120" s="1"/>
  <c r="BM78" i="120"/>
  <c r="BI79" i="120"/>
  <c r="BJ79" i="120" s="1"/>
  <c r="BM79" i="120"/>
  <c r="BI80" i="120"/>
  <c r="BM80" i="120"/>
  <c r="BI81" i="120"/>
  <c r="BM81" i="120"/>
  <c r="BI82" i="120"/>
  <c r="BM82" i="120"/>
  <c r="BI83" i="120"/>
  <c r="BM83" i="120"/>
  <c r="BI84" i="120"/>
  <c r="BM84" i="120"/>
  <c r="BI85" i="120"/>
  <c r="BJ85" i="120" s="1"/>
  <c r="BM85" i="120"/>
  <c r="BI86" i="120"/>
  <c r="BJ86" i="120" s="1"/>
  <c r="BM86" i="120"/>
  <c r="BI87" i="120"/>
  <c r="BJ87" i="120" s="1"/>
  <c r="BM87" i="120"/>
  <c r="BI88" i="120"/>
  <c r="BM88" i="120"/>
  <c r="BI89" i="120"/>
  <c r="BJ89" i="120" s="1"/>
  <c r="BM89" i="120"/>
  <c r="BI90" i="120"/>
  <c r="BM90" i="120"/>
  <c r="BI91" i="120"/>
  <c r="BJ91" i="120" s="1"/>
  <c r="BM91" i="120"/>
  <c r="BI92" i="120"/>
  <c r="BJ92" i="120" s="1"/>
  <c r="BM92" i="120"/>
  <c r="BI93" i="120"/>
  <c r="BM93" i="120"/>
  <c r="BI94" i="120"/>
  <c r="BJ94" i="120" s="1"/>
  <c r="BM94" i="120"/>
  <c r="BI95" i="120"/>
  <c r="BJ95" i="120" s="1"/>
  <c r="BM95" i="120"/>
  <c r="BI96" i="120"/>
  <c r="BJ96" i="120" s="1"/>
  <c r="BM96" i="120"/>
  <c r="BI97" i="120"/>
  <c r="BJ97" i="120" s="1"/>
  <c r="BM97" i="120"/>
  <c r="BI98" i="120"/>
  <c r="BJ98" i="120" s="1"/>
  <c r="BM98" i="120"/>
  <c r="BI99" i="120"/>
  <c r="BJ99" i="120" s="1"/>
  <c r="BM99" i="120"/>
  <c r="BI100" i="120"/>
  <c r="BJ100" i="120" s="1"/>
  <c r="BM100" i="120"/>
  <c r="BI101" i="120"/>
  <c r="BJ101" i="120" s="1"/>
  <c r="BM101" i="120"/>
  <c r="BI107" i="120"/>
  <c r="BJ107" i="120" s="1"/>
  <c r="BM107" i="120"/>
  <c r="BI108" i="120"/>
  <c r="BJ108" i="120" s="1"/>
  <c r="BM108" i="120"/>
  <c r="BI109" i="120"/>
  <c r="BM109" i="120"/>
  <c r="BI110" i="120"/>
  <c r="BL110" i="120" s="1"/>
  <c r="BM110" i="120"/>
  <c r="BI111" i="120"/>
  <c r="BJ111" i="120" s="1"/>
  <c r="BM111" i="120"/>
  <c r="BI112" i="120"/>
  <c r="BJ112" i="120" s="1"/>
  <c r="BM112" i="120"/>
  <c r="BI113" i="120"/>
  <c r="BJ113" i="120" s="1"/>
  <c r="BM113" i="120"/>
  <c r="BI114" i="120"/>
  <c r="BJ114" i="120" s="1"/>
  <c r="BM114" i="120"/>
  <c r="BI115" i="120"/>
  <c r="BJ115" i="120" s="1"/>
  <c r="BM115" i="120"/>
  <c r="BI116" i="120"/>
  <c r="BJ116" i="120" s="1"/>
  <c r="BM116" i="120"/>
  <c r="BI117" i="120"/>
  <c r="BJ117" i="120" s="1"/>
  <c r="BM117" i="120"/>
  <c r="BI118" i="120"/>
  <c r="BJ118" i="120" s="1"/>
  <c r="BM118" i="120"/>
  <c r="BI119" i="120"/>
  <c r="BJ119" i="120" s="1"/>
  <c r="BM119" i="120"/>
  <c r="BI120" i="120"/>
  <c r="BJ120" i="120" s="1"/>
  <c r="BM120" i="120"/>
  <c r="BI121" i="120"/>
  <c r="BJ121" i="120" s="1"/>
  <c r="BM121" i="120"/>
  <c r="BI122" i="120"/>
  <c r="BJ122" i="120" s="1"/>
  <c r="BM122" i="120"/>
  <c r="BI123" i="120"/>
  <c r="BJ123" i="120" s="1"/>
  <c r="BM123" i="120"/>
  <c r="BI124" i="120"/>
  <c r="BJ124" i="120" s="1"/>
  <c r="BI125" i="120"/>
  <c r="BJ125" i="120" s="1"/>
  <c r="BM125" i="120"/>
  <c r="BI126" i="120"/>
  <c r="BJ126" i="120" s="1"/>
  <c r="BM126" i="120"/>
  <c r="BI127" i="120"/>
  <c r="BM127" i="120"/>
  <c r="BI128" i="120"/>
  <c r="BJ128" i="120" s="1"/>
  <c r="BM128" i="120"/>
  <c r="BI129" i="120"/>
  <c r="BM129" i="120"/>
  <c r="BI130" i="120"/>
  <c r="BM130" i="120"/>
  <c r="BI131" i="120"/>
  <c r="BJ131" i="120" s="1"/>
  <c r="BM131" i="120"/>
  <c r="BI132" i="120"/>
  <c r="BJ132" i="120" s="1"/>
  <c r="BM132" i="120"/>
  <c r="BI133" i="120"/>
  <c r="BL133" i="120" s="1"/>
  <c r="BM133" i="120"/>
  <c r="BI134" i="120"/>
  <c r="BJ134" i="120" s="1"/>
  <c r="BM134" i="120"/>
  <c r="BI135" i="120"/>
  <c r="BJ135" i="120" s="1"/>
  <c r="BM135" i="120"/>
  <c r="BI136" i="120"/>
  <c r="BL136" i="120" s="1"/>
  <c r="BM136" i="120"/>
  <c r="BI137" i="120"/>
  <c r="BJ137" i="120" s="1"/>
  <c r="BM137" i="120"/>
  <c r="BI138" i="120"/>
  <c r="BJ138" i="120" s="1"/>
  <c r="BM138" i="120"/>
  <c r="BI139" i="120"/>
  <c r="BJ139" i="120" s="1"/>
  <c r="BM139" i="120"/>
  <c r="BI140" i="120"/>
  <c r="BJ140" i="120" s="1"/>
  <c r="BM140" i="120"/>
  <c r="BI141" i="120"/>
  <c r="BJ141" i="120" s="1"/>
  <c r="BM141" i="120"/>
  <c r="BI142" i="120"/>
  <c r="BJ142" i="120" s="1"/>
  <c r="BM142" i="120"/>
  <c r="BI143" i="120"/>
  <c r="BJ143" i="120" s="1"/>
  <c r="BM143" i="120"/>
  <c r="BI144" i="120"/>
  <c r="BL144" i="120" s="1"/>
  <c r="BM144" i="120"/>
  <c r="BI145" i="120"/>
  <c r="BJ145" i="120" s="1"/>
  <c r="BM145" i="120"/>
  <c r="BM5" i="120"/>
  <c r="BI5" i="120"/>
  <c r="BJ5" i="120" s="1"/>
  <c r="BF5" i="120"/>
  <c r="BG5" i="120" s="1"/>
  <c r="BC145" i="120"/>
  <c r="BC144" i="120"/>
  <c r="BC143" i="120"/>
  <c r="BC142" i="120"/>
  <c r="BC141" i="120"/>
  <c r="BC140" i="120"/>
  <c r="BC139" i="120"/>
  <c r="BC138" i="120"/>
  <c r="BC137" i="120"/>
  <c r="BC136" i="120"/>
  <c r="BC135" i="120"/>
  <c r="BC134" i="120"/>
  <c r="BC133" i="120"/>
  <c r="BC132" i="120"/>
  <c r="BC131" i="120"/>
  <c r="BC130" i="120"/>
  <c r="BC129" i="120"/>
  <c r="BC128" i="120"/>
  <c r="BC127" i="120"/>
  <c r="BC126" i="120"/>
  <c r="BC125" i="120"/>
  <c r="BC124" i="120"/>
  <c r="BC123" i="120"/>
  <c r="BC122" i="120"/>
  <c r="BC121" i="120"/>
  <c r="BC120" i="120"/>
  <c r="BC119" i="120"/>
  <c r="BC118" i="120"/>
  <c r="BC117" i="120"/>
  <c r="BC116" i="120"/>
  <c r="BC115" i="120"/>
  <c r="BC114" i="120"/>
  <c r="BC113" i="120"/>
  <c r="BC112" i="120"/>
  <c r="BC111" i="120"/>
  <c r="BC110" i="120"/>
  <c r="BC109" i="120"/>
  <c r="BC108" i="120"/>
  <c r="BC107" i="120"/>
  <c r="BC101" i="120"/>
  <c r="BC100" i="120"/>
  <c r="BC99" i="120"/>
  <c r="BC98" i="120"/>
  <c r="BC97" i="120"/>
  <c r="BC96" i="120"/>
  <c r="BC95" i="120"/>
  <c r="BC94" i="120"/>
  <c r="BC93" i="120"/>
  <c r="BC92" i="120"/>
  <c r="BC91" i="120"/>
  <c r="BC90" i="120"/>
  <c r="BC89" i="120"/>
  <c r="BC88" i="120"/>
  <c r="BC87" i="120"/>
  <c r="BC86" i="120"/>
  <c r="BC85" i="120"/>
  <c r="BC84" i="120"/>
  <c r="BC83" i="120"/>
  <c r="BC82" i="120"/>
  <c r="BC81" i="120"/>
  <c r="BC80" i="120"/>
  <c r="BC79" i="120"/>
  <c r="BC78" i="120"/>
  <c r="BC77" i="120"/>
  <c r="BC76" i="120"/>
  <c r="BC75" i="120"/>
  <c r="BC74" i="120"/>
  <c r="BC73" i="120"/>
  <c r="BC72" i="120"/>
  <c r="BC71" i="120"/>
  <c r="BC70" i="120"/>
  <c r="BC69" i="120"/>
  <c r="BC68" i="120"/>
  <c r="BC67" i="120"/>
  <c r="BC66" i="120"/>
  <c r="BC65" i="120"/>
  <c r="BC64" i="120"/>
  <c r="BC63" i="120"/>
  <c r="BC62" i="120"/>
  <c r="BC61" i="120"/>
  <c r="BC60" i="120"/>
  <c r="BC59" i="120"/>
  <c r="BC58" i="120"/>
  <c r="BC57" i="120"/>
  <c r="BC56" i="120"/>
  <c r="BC55" i="120"/>
  <c r="BC54" i="120"/>
  <c r="BC53" i="120"/>
  <c r="BC52" i="120"/>
  <c r="BC51" i="120"/>
  <c r="BC50" i="120"/>
  <c r="BC49" i="120"/>
  <c r="BC48" i="120"/>
  <c r="BC47" i="120"/>
  <c r="BC46" i="120"/>
  <c r="BC45" i="120"/>
  <c r="BC44" i="120"/>
  <c r="BC43" i="120"/>
  <c r="BC42" i="120"/>
  <c r="BC41" i="120"/>
  <c r="BC40" i="120"/>
  <c r="BC39" i="120"/>
  <c r="BC38" i="120"/>
  <c r="BC37" i="120"/>
  <c r="BC36" i="120"/>
  <c r="BC35" i="120"/>
  <c r="BC34" i="120"/>
  <c r="BC33" i="120"/>
  <c r="BC32" i="120"/>
  <c r="BC30" i="120"/>
  <c r="BC29" i="120"/>
  <c r="BC28" i="120"/>
  <c r="BC27" i="120"/>
  <c r="BC26" i="120"/>
  <c r="BC25" i="120"/>
  <c r="BC24" i="120"/>
  <c r="BC23" i="120"/>
  <c r="BC22" i="120"/>
  <c r="BC21" i="120"/>
  <c r="BC20" i="120"/>
  <c r="BC19" i="120"/>
  <c r="BC18" i="120"/>
  <c r="BC17" i="120"/>
  <c r="BC16" i="120"/>
  <c r="BC15" i="120"/>
  <c r="BC14" i="120"/>
  <c r="BC13" i="120"/>
  <c r="BC12" i="120"/>
  <c r="BC11" i="120"/>
  <c r="BC10" i="120"/>
  <c r="BC9" i="120"/>
  <c r="BC8" i="120"/>
  <c r="BC7" i="120"/>
  <c r="BC6" i="120"/>
  <c r="BC5" i="120"/>
  <c r="BB145" i="120"/>
  <c r="BB144" i="120"/>
  <c r="BB143" i="120"/>
  <c r="BB142" i="120"/>
  <c r="BB141" i="120"/>
  <c r="BB140" i="120"/>
  <c r="BB139" i="120"/>
  <c r="BB138" i="120"/>
  <c r="BB137" i="120"/>
  <c r="BB136" i="120"/>
  <c r="BB135" i="120"/>
  <c r="BB134" i="120"/>
  <c r="BB133" i="120"/>
  <c r="BB132" i="120"/>
  <c r="BB131" i="120"/>
  <c r="BB130" i="120"/>
  <c r="BB129" i="120"/>
  <c r="BB128" i="120"/>
  <c r="BB127" i="120"/>
  <c r="BB126" i="120"/>
  <c r="BB125" i="120"/>
  <c r="BB124" i="120"/>
  <c r="BB123" i="120"/>
  <c r="BB122" i="120"/>
  <c r="BB121" i="120"/>
  <c r="BB120" i="120"/>
  <c r="BB119" i="120"/>
  <c r="BB118" i="120"/>
  <c r="BB117" i="120"/>
  <c r="BB116" i="120"/>
  <c r="BB115" i="120"/>
  <c r="BB114" i="120"/>
  <c r="BB113" i="120"/>
  <c r="BB112" i="120"/>
  <c r="BB111" i="120"/>
  <c r="BB110" i="120"/>
  <c r="BB109" i="120"/>
  <c r="BB108" i="120"/>
  <c r="BB107" i="120"/>
  <c r="BB101" i="120"/>
  <c r="BB100" i="120"/>
  <c r="BB99" i="120"/>
  <c r="BB98" i="120"/>
  <c r="BB97" i="120"/>
  <c r="BB96" i="120"/>
  <c r="BB95" i="120"/>
  <c r="BB94" i="120"/>
  <c r="BB93" i="120"/>
  <c r="BB92" i="120"/>
  <c r="BB91" i="120"/>
  <c r="BB90" i="120"/>
  <c r="BB89" i="120"/>
  <c r="BB88" i="120"/>
  <c r="BB87" i="120"/>
  <c r="BB86" i="120"/>
  <c r="BB85" i="120"/>
  <c r="BB84" i="120"/>
  <c r="BB83" i="120"/>
  <c r="BB82" i="120"/>
  <c r="BB81" i="120"/>
  <c r="BB80" i="120"/>
  <c r="BB79" i="120"/>
  <c r="BB78" i="120"/>
  <c r="BB77" i="120"/>
  <c r="BB76" i="120"/>
  <c r="BB75" i="120"/>
  <c r="BB74" i="120"/>
  <c r="BB73" i="120"/>
  <c r="BB72" i="120"/>
  <c r="BB71" i="120"/>
  <c r="BB70" i="120"/>
  <c r="BB69" i="120"/>
  <c r="BB68" i="120"/>
  <c r="BB67" i="120"/>
  <c r="BB66" i="120"/>
  <c r="BB65" i="120"/>
  <c r="BB64" i="120"/>
  <c r="BB63" i="120"/>
  <c r="BB62" i="120"/>
  <c r="BB61" i="120"/>
  <c r="BB60" i="120"/>
  <c r="BB59" i="120"/>
  <c r="BB58" i="120"/>
  <c r="BB57" i="120"/>
  <c r="BB56" i="120"/>
  <c r="BB55" i="120"/>
  <c r="BB54" i="120"/>
  <c r="BB53" i="120"/>
  <c r="BB52" i="120"/>
  <c r="BB51" i="120"/>
  <c r="BB50" i="120"/>
  <c r="BB49" i="120"/>
  <c r="BB48" i="120"/>
  <c r="BB47" i="120"/>
  <c r="BB46" i="120"/>
  <c r="BB45" i="120"/>
  <c r="BB44" i="120"/>
  <c r="BB43" i="120"/>
  <c r="BB42" i="120"/>
  <c r="BB41" i="120"/>
  <c r="BB40" i="120"/>
  <c r="BB39" i="120"/>
  <c r="BB38" i="120"/>
  <c r="BB37" i="120"/>
  <c r="BB36" i="120"/>
  <c r="BB35" i="120"/>
  <c r="BB34" i="120"/>
  <c r="BB33" i="120"/>
  <c r="BB32" i="120"/>
  <c r="BB30" i="120"/>
  <c r="BB29" i="120"/>
  <c r="BB28" i="120"/>
  <c r="BB27" i="120"/>
  <c r="BB26" i="120"/>
  <c r="BB25" i="120"/>
  <c r="BB24" i="120"/>
  <c r="BB23" i="120"/>
  <c r="BB22" i="120"/>
  <c r="BB21" i="120"/>
  <c r="BB20" i="120"/>
  <c r="BB19" i="120"/>
  <c r="BB18" i="120"/>
  <c r="BB17" i="120"/>
  <c r="BB16" i="120"/>
  <c r="BB15" i="120"/>
  <c r="BB14" i="120"/>
  <c r="BB13" i="120"/>
  <c r="BB12" i="120"/>
  <c r="BB11" i="120"/>
  <c r="BB10" i="120"/>
  <c r="BB9" i="120"/>
  <c r="BB8" i="120"/>
  <c r="BB7" i="120"/>
  <c r="BB6" i="120"/>
  <c r="BB5" i="120"/>
  <c r="AG6" i="120"/>
  <c r="AH6" i="120" s="1"/>
  <c r="AJ6" i="120"/>
  <c r="AN6" i="120"/>
  <c r="AQ6" i="120"/>
  <c r="AT6" i="120"/>
  <c r="AX6" i="120"/>
  <c r="AG7" i="120"/>
  <c r="AJ7" i="120"/>
  <c r="AK7" i="120" s="1"/>
  <c r="AN7" i="120"/>
  <c r="AQ7" i="120"/>
  <c r="AR7" i="120" s="1"/>
  <c r="AT7" i="120"/>
  <c r="AU7" i="120" s="1"/>
  <c r="AX7" i="120"/>
  <c r="AG8" i="120"/>
  <c r="AH8" i="120" s="1"/>
  <c r="AJ8" i="120"/>
  <c r="AK8" i="120" s="1"/>
  <c r="AN8" i="120"/>
  <c r="AQ8" i="120"/>
  <c r="AT8" i="120"/>
  <c r="AU8" i="120" s="1"/>
  <c r="AX8" i="120"/>
  <c r="AG9" i="120"/>
  <c r="AH9" i="120" s="1"/>
  <c r="AJ9" i="120"/>
  <c r="AK9" i="120" s="1"/>
  <c r="AN9" i="120"/>
  <c r="AQ9" i="120"/>
  <c r="AR9" i="120" s="1"/>
  <c r="AT9" i="120"/>
  <c r="AX9" i="120"/>
  <c r="AG10" i="120"/>
  <c r="AJ10" i="120"/>
  <c r="AN10" i="120"/>
  <c r="AQ10" i="120"/>
  <c r="AT10" i="120"/>
  <c r="AX10" i="120"/>
  <c r="AG11" i="120"/>
  <c r="AJ11" i="120"/>
  <c r="AN11" i="120"/>
  <c r="AQ11" i="120"/>
  <c r="AR11" i="120" s="1"/>
  <c r="AT11" i="120"/>
  <c r="AX11" i="120"/>
  <c r="AG12" i="120"/>
  <c r="AJ12" i="120"/>
  <c r="AK12" i="120" s="1"/>
  <c r="AN12" i="120"/>
  <c r="AQ12" i="120"/>
  <c r="AT12" i="120"/>
  <c r="AU12" i="120" s="1"/>
  <c r="AX12" i="120"/>
  <c r="AG13" i="120"/>
  <c r="AJ13" i="120"/>
  <c r="AN13" i="120"/>
  <c r="AQ13" i="120"/>
  <c r="AT13" i="120"/>
  <c r="AX13" i="120"/>
  <c r="AG14" i="120"/>
  <c r="AJ14" i="120"/>
  <c r="AN14" i="120"/>
  <c r="AQ14" i="120"/>
  <c r="AT14" i="120"/>
  <c r="AX14" i="120"/>
  <c r="AG15" i="120"/>
  <c r="AJ15" i="120"/>
  <c r="AK15" i="120" s="1"/>
  <c r="AN15" i="120"/>
  <c r="AQ15" i="120"/>
  <c r="AR15" i="120" s="1"/>
  <c r="AT15" i="120"/>
  <c r="AU15" i="120" s="1"/>
  <c r="AX15" i="120"/>
  <c r="AG16" i="120"/>
  <c r="AH16" i="120" s="1"/>
  <c r="AJ16" i="120"/>
  <c r="AN16" i="120"/>
  <c r="AQ16" i="120"/>
  <c r="AT16" i="120"/>
  <c r="AU16" i="120" s="1"/>
  <c r="AX16" i="120"/>
  <c r="AG17" i="120"/>
  <c r="AH17" i="120" s="1"/>
  <c r="AJ17" i="120"/>
  <c r="AN17" i="120"/>
  <c r="AQ17" i="120"/>
  <c r="AR17" i="120" s="1"/>
  <c r="AT17" i="120"/>
  <c r="AX17" i="120"/>
  <c r="AG18" i="120"/>
  <c r="AJ18" i="120"/>
  <c r="AN18" i="120"/>
  <c r="AQ18" i="120"/>
  <c r="AR18" i="120" s="1"/>
  <c r="AT18" i="120"/>
  <c r="AX18" i="120"/>
  <c r="AG19" i="120"/>
  <c r="AH19" i="120" s="1"/>
  <c r="AJ19" i="120"/>
  <c r="AN19" i="120"/>
  <c r="AQ19" i="120"/>
  <c r="AT19" i="120"/>
  <c r="AU19" i="120" s="1"/>
  <c r="AX19" i="120"/>
  <c r="AG20" i="120"/>
  <c r="AJ20" i="120"/>
  <c r="AK20" i="120" s="1"/>
  <c r="AN20" i="120"/>
  <c r="AQ20" i="120"/>
  <c r="AT20" i="120"/>
  <c r="AX20" i="120"/>
  <c r="AG21" i="120"/>
  <c r="AH21" i="120" s="1"/>
  <c r="AJ21" i="120"/>
  <c r="AK21" i="120" s="1"/>
  <c r="AN21" i="120"/>
  <c r="AQ21" i="120"/>
  <c r="AR21" i="120" s="1"/>
  <c r="AT21" i="120"/>
  <c r="AU21" i="120" s="1"/>
  <c r="AX21" i="120"/>
  <c r="AG22" i="120"/>
  <c r="AH22" i="120" s="1"/>
  <c r="AJ22" i="120"/>
  <c r="AN22" i="120"/>
  <c r="AQ22" i="120"/>
  <c r="AR22" i="120" s="1"/>
  <c r="AT22" i="120"/>
  <c r="AX22" i="120"/>
  <c r="AG23" i="120"/>
  <c r="AH23" i="120" s="1"/>
  <c r="AJ23" i="120"/>
  <c r="AK23" i="120" s="1"/>
  <c r="AN23" i="120"/>
  <c r="AQ23" i="120"/>
  <c r="AT23" i="120"/>
  <c r="AU23" i="120" s="1"/>
  <c r="AX23" i="120"/>
  <c r="AG24" i="120"/>
  <c r="AH24" i="120" s="1"/>
  <c r="AJ24" i="120"/>
  <c r="AK24" i="120" s="1"/>
  <c r="AN24" i="120"/>
  <c r="AQ24" i="120"/>
  <c r="AR24" i="120" s="1"/>
  <c r="AT24" i="120"/>
  <c r="AU24" i="120" s="1"/>
  <c r="AX24" i="120"/>
  <c r="AG25" i="120"/>
  <c r="AH25" i="120" s="1"/>
  <c r="AJ25" i="120"/>
  <c r="AK25" i="120" s="1"/>
  <c r="AN25" i="120"/>
  <c r="AQ25" i="120"/>
  <c r="AR25" i="120" s="1"/>
  <c r="AT25" i="120"/>
  <c r="AX25" i="120"/>
  <c r="AG26" i="120"/>
  <c r="AJ26" i="120"/>
  <c r="AK26" i="120" s="1"/>
  <c r="AN26" i="120"/>
  <c r="AQ26" i="120"/>
  <c r="AT26" i="120"/>
  <c r="AU26" i="120" s="1"/>
  <c r="AX26" i="120"/>
  <c r="AG27" i="120"/>
  <c r="AH27" i="120" s="1"/>
  <c r="AJ27" i="120"/>
  <c r="AK27" i="120" s="1"/>
  <c r="AN27" i="120"/>
  <c r="AQ27" i="120"/>
  <c r="AR27" i="120" s="1"/>
  <c r="AT27" i="120"/>
  <c r="AU27" i="120" s="1"/>
  <c r="AX27" i="120"/>
  <c r="AG28" i="120"/>
  <c r="AH28" i="120" s="1"/>
  <c r="AJ28" i="120"/>
  <c r="AK28" i="120" s="1"/>
  <c r="AN28" i="120"/>
  <c r="AQ28" i="120"/>
  <c r="AR28" i="120" s="1"/>
  <c r="AT28" i="120"/>
  <c r="AU28" i="120" s="1"/>
  <c r="AX28" i="120"/>
  <c r="AG29" i="120"/>
  <c r="AJ29" i="120"/>
  <c r="AN29" i="120"/>
  <c r="AQ29" i="120"/>
  <c r="AW29" i="120" s="1"/>
  <c r="AT29" i="120"/>
  <c r="AX29" i="120"/>
  <c r="AG30" i="120"/>
  <c r="AH30" i="120" s="1"/>
  <c r="AJ30" i="120"/>
  <c r="AK30" i="120" s="1"/>
  <c r="AN30" i="120"/>
  <c r="AQ30" i="120"/>
  <c r="AW30" i="120" s="1"/>
  <c r="AT30" i="120"/>
  <c r="AU30" i="120" s="1"/>
  <c r="AX30" i="120"/>
  <c r="AG32" i="120"/>
  <c r="AH32" i="120" s="1"/>
  <c r="AJ32" i="120"/>
  <c r="AK32" i="120" s="1"/>
  <c r="AN32" i="120"/>
  <c r="AQ32" i="120"/>
  <c r="AR32" i="120" s="1"/>
  <c r="AT32" i="120"/>
  <c r="AU32" i="120" s="1"/>
  <c r="AX32" i="120"/>
  <c r="AG33" i="120"/>
  <c r="AJ33" i="120"/>
  <c r="AN33" i="120"/>
  <c r="AQ33" i="120"/>
  <c r="AT33" i="120"/>
  <c r="AU33" i="120" s="1"/>
  <c r="AX33" i="120"/>
  <c r="AG34" i="120"/>
  <c r="AH34" i="120" s="1"/>
  <c r="AJ34" i="120"/>
  <c r="AK34" i="120" s="1"/>
  <c r="AN34" i="120"/>
  <c r="AQ34" i="120"/>
  <c r="AR34" i="120" s="1"/>
  <c r="AT34" i="120"/>
  <c r="AX34" i="120"/>
  <c r="AG35" i="120"/>
  <c r="AH35" i="120" s="1"/>
  <c r="AJ35" i="120"/>
  <c r="AK35" i="120" s="1"/>
  <c r="AN35" i="120"/>
  <c r="AQ35" i="120"/>
  <c r="AR35" i="120" s="1"/>
  <c r="AT35" i="120"/>
  <c r="AU35" i="120" s="1"/>
  <c r="AX35" i="120"/>
  <c r="AG36" i="120"/>
  <c r="AJ36" i="120"/>
  <c r="AK36" i="120" s="1"/>
  <c r="AN36" i="120"/>
  <c r="AQ36" i="120"/>
  <c r="AT36" i="120"/>
  <c r="AU36" i="120" s="1"/>
  <c r="AX36" i="120"/>
  <c r="AG37" i="120"/>
  <c r="AJ37" i="120"/>
  <c r="AN37" i="120"/>
  <c r="AQ37" i="120"/>
  <c r="AT37" i="120"/>
  <c r="AX37" i="120"/>
  <c r="AG38" i="120"/>
  <c r="AH38" i="120" s="1"/>
  <c r="AJ38" i="120"/>
  <c r="AN38" i="120"/>
  <c r="AQ38" i="120"/>
  <c r="AR38" i="120" s="1"/>
  <c r="AT38" i="120"/>
  <c r="AU38" i="120" s="1"/>
  <c r="AX38" i="120"/>
  <c r="AG39" i="120"/>
  <c r="AH39" i="120" s="1"/>
  <c r="AJ39" i="120"/>
  <c r="AN39" i="120"/>
  <c r="AQ39" i="120"/>
  <c r="AT39" i="120"/>
  <c r="AX39" i="120"/>
  <c r="AG40" i="120"/>
  <c r="AH40" i="120" s="1"/>
  <c r="AJ40" i="120"/>
  <c r="AK40" i="120" s="1"/>
  <c r="AN40" i="120"/>
  <c r="AQ40" i="120"/>
  <c r="AR40" i="120" s="1"/>
  <c r="AT40" i="120"/>
  <c r="AX40" i="120"/>
  <c r="AG41" i="120"/>
  <c r="AH41" i="120" s="1"/>
  <c r="AJ41" i="120"/>
  <c r="AK41" i="120" s="1"/>
  <c r="AN41" i="120"/>
  <c r="AQ41" i="120"/>
  <c r="AR41" i="120" s="1"/>
  <c r="AT41" i="120"/>
  <c r="AX41" i="120"/>
  <c r="AG42" i="120"/>
  <c r="AH42" i="120" s="1"/>
  <c r="AJ42" i="120"/>
  <c r="AK42" i="120" s="1"/>
  <c r="AN42" i="120"/>
  <c r="AQ42" i="120"/>
  <c r="AR42" i="120" s="1"/>
  <c r="AT42" i="120"/>
  <c r="AU42" i="120" s="1"/>
  <c r="AX42" i="120"/>
  <c r="AG43" i="120"/>
  <c r="AJ43" i="120"/>
  <c r="AK43" i="120" s="1"/>
  <c r="AN43" i="120"/>
  <c r="AQ43" i="120"/>
  <c r="AT43" i="120"/>
  <c r="AU43" i="120" s="1"/>
  <c r="AX43" i="120"/>
  <c r="AG44" i="120"/>
  <c r="AH44" i="120" s="1"/>
  <c r="AJ44" i="120"/>
  <c r="AN44" i="120"/>
  <c r="AQ44" i="120"/>
  <c r="AR44" i="120" s="1"/>
  <c r="AT44" i="120"/>
  <c r="AX44" i="120"/>
  <c r="AG45" i="120"/>
  <c r="AH45" i="120" s="1"/>
  <c r="AJ45" i="120"/>
  <c r="AK45" i="120" s="1"/>
  <c r="AN45" i="120"/>
  <c r="AQ45" i="120"/>
  <c r="AR45" i="120" s="1"/>
  <c r="AT45" i="120"/>
  <c r="AU45" i="120" s="1"/>
  <c r="AX45" i="120"/>
  <c r="AG46" i="120"/>
  <c r="AJ46" i="120"/>
  <c r="AN46" i="120"/>
  <c r="AQ46" i="120"/>
  <c r="AR46" i="120" s="1"/>
  <c r="AT46" i="120"/>
  <c r="AX46" i="120"/>
  <c r="AG47" i="120"/>
  <c r="AH47" i="120" s="1"/>
  <c r="AJ47" i="120"/>
  <c r="AK47" i="120" s="1"/>
  <c r="AN47" i="120"/>
  <c r="AQ47" i="120"/>
  <c r="AR47" i="120" s="1"/>
  <c r="AT47" i="120"/>
  <c r="AU47" i="120" s="1"/>
  <c r="AX47" i="120"/>
  <c r="AG48" i="120"/>
  <c r="AJ48" i="120"/>
  <c r="AN48" i="120"/>
  <c r="AQ48" i="120"/>
  <c r="AT48" i="120"/>
  <c r="AX48" i="120"/>
  <c r="AG49" i="120"/>
  <c r="AH49" i="120" s="1"/>
  <c r="AJ49" i="120"/>
  <c r="AK49" i="120" s="1"/>
  <c r="AN49" i="120"/>
  <c r="AQ49" i="120"/>
  <c r="AR49" i="120" s="1"/>
  <c r="AT49" i="120"/>
  <c r="AU49" i="120" s="1"/>
  <c r="AX49" i="120"/>
  <c r="AG50" i="120"/>
  <c r="AH50" i="120" s="1"/>
  <c r="AJ50" i="120"/>
  <c r="AK50" i="120" s="1"/>
  <c r="AN50" i="120"/>
  <c r="AQ50" i="120"/>
  <c r="AR50" i="120" s="1"/>
  <c r="AT50" i="120"/>
  <c r="AU50" i="120" s="1"/>
  <c r="AX50" i="120"/>
  <c r="AG51" i="120"/>
  <c r="AH51" i="120" s="1"/>
  <c r="AJ51" i="120"/>
  <c r="AK51" i="120" s="1"/>
  <c r="AN51" i="120"/>
  <c r="AQ51" i="120"/>
  <c r="AR51" i="120" s="1"/>
  <c r="AT51" i="120"/>
  <c r="AU51" i="120" s="1"/>
  <c r="AX51" i="120"/>
  <c r="AG52" i="120"/>
  <c r="AH52" i="120" s="1"/>
  <c r="AJ52" i="120"/>
  <c r="AK52" i="120" s="1"/>
  <c r="AN52" i="120"/>
  <c r="AQ52" i="120"/>
  <c r="AT52" i="120"/>
  <c r="AU52" i="120" s="1"/>
  <c r="AX52" i="120"/>
  <c r="AG53" i="120"/>
  <c r="AJ53" i="120"/>
  <c r="AK53" i="120" s="1"/>
  <c r="AN53" i="120"/>
  <c r="AQ53" i="120"/>
  <c r="AR53" i="120" s="1"/>
  <c r="AT53" i="120"/>
  <c r="AU53" i="120" s="1"/>
  <c r="AX53" i="120"/>
  <c r="AG54" i="120"/>
  <c r="AH54" i="120" s="1"/>
  <c r="AJ54" i="120"/>
  <c r="AN54" i="120"/>
  <c r="AQ54" i="120"/>
  <c r="AR54" i="120" s="1"/>
  <c r="AT54" i="120"/>
  <c r="AX54" i="120"/>
  <c r="AG55" i="120"/>
  <c r="AH55" i="120" s="1"/>
  <c r="AJ55" i="120"/>
  <c r="AN55" i="120"/>
  <c r="AQ55" i="120"/>
  <c r="AT55" i="120"/>
  <c r="AU55" i="120" s="1"/>
  <c r="AX55" i="120"/>
  <c r="AG56" i="120"/>
  <c r="AJ56" i="120"/>
  <c r="AK56" i="120" s="1"/>
  <c r="AN56" i="120"/>
  <c r="AQ56" i="120"/>
  <c r="AR56" i="120" s="1"/>
  <c r="AT56" i="120"/>
  <c r="AX56" i="120"/>
  <c r="AG57" i="120"/>
  <c r="AH57" i="120" s="1"/>
  <c r="AJ57" i="120"/>
  <c r="AK57" i="120" s="1"/>
  <c r="AN57" i="120"/>
  <c r="AQ57" i="120"/>
  <c r="AT57" i="120"/>
  <c r="AU57" i="120" s="1"/>
  <c r="AX57" i="120"/>
  <c r="AG58" i="120"/>
  <c r="AH58" i="120" s="1"/>
  <c r="AJ58" i="120"/>
  <c r="AK58" i="120" s="1"/>
  <c r="AN58" i="120"/>
  <c r="AQ58" i="120"/>
  <c r="AR58" i="120" s="1"/>
  <c r="AT58" i="120"/>
  <c r="AU58" i="120" s="1"/>
  <c r="AX58" i="120"/>
  <c r="AG59" i="120"/>
  <c r="AH59" i="120" s="1"/>
  <c r="AJ59" i="120"/>
  <c r="AK59" i="120" s="1"/>
  <c r="AN59" i="120"/>
  <c r="AQ59" i="120"/>
  <c r="AR59" i="120" s="1"/>
  <c r="AT59" i="120"/>
  <c r="AU59" i="120" s="1"/>
  <c r="AX59" i="120"/>
  <c r="AG60" i="120"/>
  <c r="AJ60" i="120"/>
  <c r="AK60" i="120" s="1"/>
  <c r="AN60" i="120"/>
  <c r="AQ60" i="120"/>
  <c r="AR60" i="120" s="1"/>
  <c r="AT60" i="120"/>
  <c r="AU60" i="120" s="1"/>
  <c r="AX60" i="120"/>
  <c r="AG61" i="120"/>
  <c r="AJ61" i="120"/>
  <c r="AN61" i="120"/>
  <c r="AQ61" i="120"/>
  <c r="AT61" i="120"/>
  <c r="AX61" i="120"/>
  <c r="AG62" i="120"/>
  <c r="AJ62" i="120"/>
  <c r="AK62" i="120" s="1"/>
  <c r="AN62" i="120"/>
  <c r="AQ62" i="120"/>
  <c r="AR62" i="120" s="1"/>
  <c r="AT62" i="120"/>
  <c r="AU62" i="120" s="1"/>
  <c r="AX62" i="120"/>
  <c r="AG63" i="120"/>
  <c r="AH63" i="120" s="1"/>
  <c r="AJ63" i="120"/>
  <c r="AN63" i="120"/>
  <c r="AQ63" i="120"/>
  <c r="AT63" i="120"/>
  <c r="AU63" i="120" s="1"/>
  <c r="AX63" i="120"/>
  <c r="AG64" i="120"/>
  <c r="AH64" i="120" s="1"/>
  <c r="AJ64" i="120"/>
  <c r="AN64" i="120"/>
  <c r="AQ64" i="120"/>
  <c r="AR64" i="120" s="1"/>
  <c r="AT64" i="120"/>
  <c r="AX64" i="120"/>
  <c r="AG65" i="120"/>
  <c r="AH65" i="120" s="1"/>
  <c r="AJ65" i="120"/>
  <c r="AN65" i="120"/>
  <c r="AQ65" i="120"/>
  <c r="AR65" i="120" s="1"/>
  <c r="AT65" i="120"/>
  <c r="AX65" i="120"/>
  <c r="AG66" i="120"/>
  <c r="AJ66" i="120"/>
  <c r="AN66" i="120"/>
  <c r="AQ66" i="120"/>
  <c r="AT66" i="120"/>
  <c r="AX66" i="120"/>
  <c r="AG67" i="120"/>
  <c r="AH67" i="120" s="1"/>
  <c r="AJ67" i="120"/>
  <c r="AN67" i="120"/>
  <c r="AQ67" i="120"/>
  <c r="AR67" i="120" s="1"/>
  <c r="AT67" i="120"/>
  <c r="AX67" i="120"/>
  <c r="AG68" i="120"/>
  <c r="AJ68" i="120"/>
  <c r="AK68" i="120" s="1"/>
  <c r="AN68" i="120"/>
  <c r="AQ68" i="120"/>
  <c r="AT68" i="120"/>
  <c r="AU68" i="120" s="1"/>
  <c r="AX68" i="120"/>
  <c r="AG69" i="120"/>
  <c r="AJ69" i="120"/>
  <c r="AK69" i="120" s="1"/>
  <c r="AN69" i="120"/>
  <c r="AQ69" i="120"/>
  <c r="AR69" i="120" s="1"/>
  <c r="AT69" i="120"/>
  <c r="AU69" i="120" s="1"/>
  <c r="AX69" i="120"/>
  <c r="AG70" i="120"/>
  <c r="AJ70" i="120"/>
  <c r="AK70" i="120" s="1"/>
  <c r="AN70" i="120"/>
  <c r="AQ70" i="120"/>
  <c r="AT70" i="120"/>
  <c r="AU70" i="120" s="1"/>
  <c r="AX70" i="120"/>
  <c r="AG71" i="120"/>
  <c r="AJ71" i="120"/>
  <c r="AN71" i="120"/>
  <c r="AQ71" i="120"/>
  <c r="AT71" i="120"/>
  <c r="AX71" i="120"/>
  <c r="AG72" i="120"/>
  <c r="AJ72" i="120"/>
  <c r="AN72" i="120"/>
  <c r="AQ72" i="120"/>
  <c r="AT72" i="120"/>
  <c r="AX72" i="120"/>
  <c r="AG73" i="120"/>
  <c r="AJ73" i="120"/>
  <c r="AN73" i="120"/>
  <c r="AQ73" i="120"/>
  <c r="AT73" i="120"/>
  <c r="AX73" i="120"/>
  <c r="AG74" i="120"/>
  <c r="AH74" i="120" s="1"/>
  <c r="AJ74" i="120"/>
  <c r="AK74" i="120" s="1"/>
  <c r="AN74" i="120"/>
  <c r="AQ74" i="120"/>
  <c r="AT74" i="120"/>
  <c r="AU74" i="120" s="1"/>
  <c r="AX74" i="120"/>
  <c r="AG75" i="120"/>
  <c r="AJ75" i="120"/>
  <c r="AK75" i="120" s="1"/>
  <c r="AN75" i="120"/>
  <c r="AQ75" i="120"/>
  <c r="AR75" i="120" s="1"/>
  <c r="AT75" i="120"/>
  <c r="AU75" i="120" s="1"/>
  <c r="AX75" i="120"/>
  <c r="AG76" i="120"/>
  <c r="AJ76" i="120"/>
  <c r="AK76" i="120" s="1"/>
  <c r="AN76" i="120"/>
  <c r="AQ76" i="120"/>
  <c r="AR76" i="120" s="1"/>
  <c r="AT76" i="120"/>
  <c r="AU76" i="120" s="1"/>
  <c r="AX76" i="120"/>
  <c r="AG77" i="120"/>
  <c r="AJ77" i="120"/>
  <c r="AN77" i="120"/>
  <c r="AQ77" i="120"/>
  <c r="AT77" i="120"/>
  <c r="AX77" i="120"/>
  <c r="AG78" i="120"/>
  <c r="AJ78" i="120"/>
  <c r="AK78" i="120" s="1"/>
  <c r="AN78" i="120"/>
  <c r="AQ78" i="120"/>
  <c r="AR78" i="120" s="1"/>
  <c r="AT78" i="120"/>
  <c r="AU78" i="120" s="1"/>
  <c r="AX78" i="120"/>
  <c r="AG79" i="120"/>
  <c r="AJ79" i="120"/>
  <c r="AK79" i="120" s="1"/>
  <c r="AN79" i="120"/>
  <c r="AQ79" i="120"/>
  <c r="AT79" i="120"/>
  <c r="AU79" i="120" s="1"/>
  <c r="AX79" i="120"/>
  <c r="AG80" i="120"/>
  <c r="AJ80" i="120"/>
  <c r="AN80" i="120"/>
  <c r="AQ80" i="120"/>
  <c r="AT80" i="120"/>
  <c r="AX80" i="120"/>
  <c r="AG81" i="120"/>
  <c r="AJ81" i="120"/>
  <c r="AN81" i="120"/>
  <c r="AQ81" i="120"/>
  <c r="AT81" i="120"/>
  <c r="AX81" i="120"/>
  <c r="AG82" i="120"/>
  <c r="AJ82" i="120"/>
  <c r="AN82" i="120"/>
  <c r="AQ82" i="120"/>
  <c r="AT82" i="120"/>
  <c r="AX82" i="120"/>
  <c r="AG83" i="120"/>
  <c r="AJ83" i="120"/>
  <c r="AN83" i="120"/>
  <c r="AQ83" i="120"/>
  <c r="AT83" i="120"/>
  <c r="AX83" i="120"/>
  <c r="AG84" i="120"/>
  <c r="AJ84" i="120"/>
  <c r="AK84" i="120" s="1"/>
  <c r="AN84" i="120"/>
  <c r="AQ84" i="120"/>
  <c r="AT84" i="120"/>
  <c r="AU84" i="120" s="1"/>
  <c r="AX84" i="120"/>
  <c r="AG85" i="120"/>
  <c r="AJ85" i="120"/>
  <c r="AN85" i="120"/>
  <c r="AQ85" i="120"/>
  <c r="AT85" i="120"/>
  <c r="AX85" i="120"/>
  <c r="AG86" i="120"/>
  <c r="AJ86" i="120"/>
  <c r="AN86" i="120"/>
  <c r="AQ86" i="120"/>
  <c r="AT86" i="120"/>
  <c r="AX86" i="120"/>
  <c r="AG87" i="120"/>
  <c r="AJ87" i="120"/>
  <c r="AN87" i="120"/>
  <c r="AQ87" i="120"/>
  <c r="AT87" i="120"/>
  <c r="AX87" i="120"/>
  <c r="AG88" i="120"/>
  <c r="AJ88" i="120"/>
  <c r="AN88" i="120"/>
  <c r="AQ88" i="120"/>
  <c r="AT88" i="120"/>
  <c r="AX88" i="120"/>
  <c r="AG89" i="120"/>
  <c r="AH89" i="120" s="1"/>
  <c r="AJ89" i="120"/>
  <c r="AK89" i="120" s="1"/>
  <c r="AN89" i="120"/>
  <c r="AQ89" i="120"/>
  <c r="AT89" i="120"/>
  <c r="AU89" i="120" s="1"/>
  <c r="AX89" i="120"/>
  <c r="AG90" i="120"/>
  <c r="AJ90" i="120"/>
  <c r="AN90" i="120"/>
  <c r="AQ90" i="120"/>
  <c r="AT90" i="120"/>
  <c r="AX90" i="120"/>
  <c r="AG91" i="120"/>
  <c r="AJ91" i="120"/>
  <c r="AN91" i="120"/>
  <c r="AQ91" i="120"/>
  <c r="AT91" i="120"/>
  <c r="AX91" i="120"/>
  <c r="AG92" i="120"/>
  <c r="AH92" i="120" s="1"/>
  <c r="AJ92" i="120"/>
  <c r="AK92" i="120" s="1"/>
  <c r="AN92" i="120"/>
  <c r="AQ92" i="120"/>
  <c r="AR92" i="120" s="1"/>
  <c r="AT92" i="120"/>
  <c r="AU92" i="120" s="1"/>
  <c r="AX92" i="120"/>
  <c r="AG93" i="120"/>
  <c r="AJ93" i="120"/>
  <c r="AN93" i="120"/>
  <c r="AQ93" i="120"/>
  <c r="AT93" i="120"/>
  <c r="AX93" i="120"/>
  <c r="AG94" i="120"/>
  <c r="AJ94" i="120"/>
  <c r="AK94" i="120" s="1"/>
  <c r="AN94" i="120"/>
  <c r="AQ94" i="120"/>
  <c r="AT94" i="120"/>
  <c r="AU94" i="120" s="1"/>
  <c r="AX94" i="120"/>
  <c r="AG95" i="120"/>
  <c r="AJ95" i="120"/>
  <c r="AK95" i="120" s="1"/>
  <c r="AN95" i="120"/>
  <c r="AQ95" i="120"/>
  <c r="AT95" i="120"/>
  <c r="AU95" i="120" s="1"/>
  <c r="AX95" i="120"/>
  <c r="AG96" i="120"/>
  <c r="AH96" i="120" s="1"/>
  <c r="AJ96" i="120"/>
  <c r="AK96" i="120" s="1"/>
  <c r="AN96" i="120"/>
  <c r="AQ96" i="120"/>
  <c r="AR96" i="120" s="1"/>
  <c r="AT96" i="120"/>
  <c r="AU96" i="120" s="1"/>
  <c r="AX96" i="120"/>
  <c r="AG97" i="120"/>
  <c r="AH97" i="120" s="1"/>
  <c r="AJ97" i="120"/>
  <c r="AK97" i="120" s="1"/>
  <c r="AN97" i="120"/>
  <c r="AQ97" i="120"/>
  <c r="AR97" i="120" s="1"/>
  <c r="AT97" i="120"/>
  <c r="AU97" i="120" s="1"/>
  <c r="AX97" i="120"/>
  <c r="AG98" i="120"/>
  <c r="AJ98" i="120"/>
  <c r="AK98" i="120" s="1"/>
  <c r="AN98" i="120"/>
  <c r="AQ98" i="120"/>
  <c r="AR98" i="120" s="1"/>
  <c r="AT98" i="120"/>
  <c r="AU98" i="120" s="1"/>
  <c r="AX98" i="120"/>
  <c r="AG99" i="120"/>
  <c r="AH99" i="120" s="1"/>
  <c r="AJ99" i="120"/>
  <c r="AK99" i="120" s="1"/>
  <c r="AN99" i="120"/>
  <c r="AQ99" i="120"/>
  <c r="AR99" i="120" s="1"/>
  <c r="AT99" i="120"/>
  <c r="AU99" i="120"/>
  <c r="AX99" i="120"/>
  <c r="AG100" i="120"/>
  <c r="AH100" i="120" s="1"/>
  <c r="AJ100" i="120"/>
  <c r="AK100" i="120" s="1"/>
  <c r="AN100" i="120"/>
  <c r="AQ100" i="120"/>
  <c r="AR100" i="120" s="1"/>
  <c r="AT100" i="120"/>
  <c r="AU100" i="120" s="1"/>
  <c r="AX100" i="120"/>
  <c r="AG101" i="120"/>
  <c r="AH101" i="120" s="1"/>
  <c r="AJ101" i="120"/>
  <c r="AK101" i="120" s="1"/>
  <c r="AN101" i="120"/>
  <c r="AQ101" i="120"/>
  <c r="AR101" i="120" s="1"/>
  <c r="AT101" i="120"/>
  <c r="AU101" i="120" s="1"/>
  <c r="AX101" i="120"/>
  <c r="AG107" i="120"/>
  <c r="AH107" i="120" s="1"/>
  <c r="AJ107" i="120"/>
  <c r="AK107" i="120" s="1"/>
  <c r="AN107" i="120"/>
  <c r="AQ107" i="120"/>
  <c r="AR107" i="120" s="1"/>
  <c r="AT107" i="120"/>
  <c r="AU107" i="120" s="1"/>
  <c r="AX107" i="120"/>
  <c r="AG108" i="120"/>
  <c r="AH108" i="120" s="1"/>
  <c r="AJ108" i="120"/>
  <c r="AK108" i="120" s="1"/>
  <c r="AN108" i="120"/>
  <c r="AQ108" i="120"/>
  <c r="AR108" i="120" s="1"/>
  <c r="AT108" i="120"/>
  <c r="AU108" i="120" s="1"/>
  <c r="AX108" i="120"/>
  <c r="AG109" i="120"/>
  <c r="AH109" i="120" s="1"/>
  <c r="AJ109" i="120"/>
  <c r="AK109" i="120" s="1"/>
  <c r="AN109" i="120"/>
  <c r="AQ109" i="120"/>
  <c r="AT109" i="120"/>
  <c r="AU109" i="120" s="1"/>
  <c r="AX109" i="120"/>
  <c r="AG110" i="120"/>
  <c r="AH110" i="120" s="1"/>
  <c r="AJ110" i="120"/>
  <c r="AK110" i="120" s="1"/>
  <c r="AN110" i="120"/>
  <c r="AQ110" i="120"/>
  <c r="AR110" i="120" s="1"/>
  <c r="AT110" i="120"/>
  <c r="AU110" i="120" s="1"/>
  <c r="AX110" i="120"/>
  <c r="AG111" i="120"/>
  <c r="AH111" i="120" s="1"/>
  <c r="AJ111" i="120"/>
  <c r="AK111" i="120" s="1"/>
  <c r="AN111" i="120"/>
  <c r="AQ111" i="120"/>
  <c r="AR111" i="120" s="1"/>
  <c r="AT111" i="120"/>
  <c r="AU111" i="120" s="1"/>
  <c r="AX111" i="120"/>
  <c r="AG112" i="120"/>
  <c r="AH112" i="120" s="1"/>
  <c r="AJ112" i="120"/>
  <c r="AK112" i="120" s="1"/>
  <c r="AN112" i="120"/>
  <c r="AQ112" i="120"/>
  <c r="AT112" i="120"/>
  <c r="AU112" i="120" s="1"/>
  <c r="AX112" i="120"/>
  <c r="AG113" i="120"/>
  <c r="AH113" i="120" s="1"/>
  <c r="AJ113" i="120"/>
  <c r="AK113" i="120" s="1"/>
  <c r="AN113" i="120"/>
  <c r="AQ113" i="120"/>
  <c r="AT113" i="120"/>
  <c r="AU113" i="120" s="1"/>
  <c r="AX113" i="120"/>
  <c r="AG114" i="120"/>
  <c r="AH114" i="120" s="1"/>
  <c r="AJ114" i="120"/>
  <c r="AK114" i="120" s="1"/>
  <c r="AN114" i="120"/>
  <c r="AQ114" i="120"/>
  <c r="AR114" i="120" s="1"/>
  <c r="AT114" i="120"/>
  <c r="AU114" i="120" s="1"/>
  <c r="AX114" i="120"/>
  <c r="AG115" i="120"/>
  <c r="AH115" i="120" s="1"/>
  <c r="AJ115" i="120"/>
  <c r="AK115" i="120" s="1"/>
  <c r="AN115" i="120"/>
  <c r="AQ115" i="120"/>
  <c r="AR115" i="120" s="1"/>
  <c r="AT115" i="120"/>
  <c r="AU115" i="120" s="1"/>
  <c r="AX115" i="120"/>
  <c r="AG116" i="120"/>
  <c r="AJ116" i="120"/>
  <c r="AK116" i="120"/>
  <c r="AN116" i="120"/>
  <c r="AQ116" i="120"/>
  <c r="AT116" i="120"/>
  <c r="AU116" i="120" s="1"/>
  <c r="AX116" i="120"/>
  <c r="AG117" i="120"/>
  <c r="AH117" i="120" s="1"/>
  <c r="AJ117" i="120"/>
  <c r="AK117" i="120" s="1"/>
  <c r="AN117" i="120"/>
  <c r="AQ117" i="120"/>
  <c r="AR117" i="120" s="1"/>
  <c r="AT117" i="120"/>
  <c r="AU117" i="120" s="1"/>
  <c r="AX117" i="120"/>
  <c r="AG118" i="120"/>
  <c r="AH118" i="120" s="1"/>
  <c r="AJ118" i="120"/>
  <c r="AN118" i="120"/>
  <c r="AQ118" i="120"/>
  <c r="AT118" i="120"/>
  <c r="AU118" i="120" s="1"/>
  <c r="AX118" i="120"/>
  <c r="AG119" i="120"/>
  <c r="AH119" i="120" s="1"/>
  <c r="AJ119" i="120"/>
  <c r="AK119" i="120" s="1"/>
  <c r="AN119" i="120"/>
  <c r="AQ119" i="120"/>
  <c r="AT119" i="120"/>
  <c r="AU119" i="120"/>
  <c r="AX119" i="120"/>
  <c r="AG120" i="120"/>
  <c r="AH120" i="120" s="1"/>
  <c r="AJ120" i="120"/>
  <c r="AK120" i="120" s="1"/>
  <c r="AN120" i="120"/>
  <c r="AQ120" i="120"/>
  <c r="AR120" i="120" s="1"/>
  <c r="AT120" i="120"/>
  <c r="AU120" i="120" s="1"/>
  <c r="AX120" i="120"/>
  <c r="AG121" i="120"/>
  <c r="AH121" i="120" s="1"/>
  <c r="AJ121" i="120"/>
  <c r="AK121" i="120" s="1"/>
  <c r="AN121" i="120"/>
  <c r="AQ121" i="120"/>
  <c r="AT121" i="120"/>
  <c r="AU121" i="120" s="1"/>
  <c r="AX121" i="120"/>
  <c r="AG122" i="120"/>
  <c r="AH122" i="120" s="1"/>
  <c r="AJ122" i="120"/>
  <c r="AK122" i="120" s="1"/>
  <c r="AN122" i="120"/>
  <c r="AQ122" i="120"/>
  <c r="AR122" i="120" s="1"/>
  <c r="AT122" i="120"/>
  <c r="AU122" i="120" s="1"/>
  <c r="AX122" i="120"/>
  <c r="AG123" i="120"/>
  <c r="AH123" i="120" s="1"/>
  <c r="AJ123" i="120"/>
  <c r="AK123" i="120" s="1"/>
  <c r="AN123" i="120"/>
  <c r="AQ123" i="120"/>
  <c r="AR123" i="120" s="1"/>
  <c r="AT123" i="120"/>
  <c r="AU123" i="120" s="1"/>
  <c r="AX123" i="120"/>
  <c r="AG124" i="120"/>
  <c r="AH124" i="120" s="1"/>
  <c r="AJ124" i="120"/>
  <c r="AK124" i="120" s="1"/>
  <c r="AN124" i="120"/>
  <c r="AQ124" i="120"/>
  <c r="AT124" i="120"/>
  <c r="AU124" i="120" s="1"/>
  <c r="AX124" i="120"/>
  <c r="AG125" i="120"/>
  <c r="AJ125" i="120"/>
  <c r="AK125" i="120" s="1"/>
  <c r="AN125" i="120"/>
  <c r="AQ125" i="120"/>
  <c r="AR125" i="120" s="1"/>
  <c r="AT125" i="120"/>
  <c r="AU125" i="120" s="1"/>
  <c r="AX125" i="120"/>
  <c r="AG126" i="120"/>
  <c r="AJ126" i="120"/>
  <c r="AK126" i="120" s="1"/>
  <c r="AN126" i="120"/>
  <c r="AQ126" i="120"/>
  <c r="AR126" i="120" s="1"/>
  <c r="AT126" i="120"/>
  <c r="AX126" i="120"/>
  <c r="AG127" i="120"/>
  <c r="AJ127" i="120"/>
  <c r="AN127" i="120"/>
  <c r="AQ127" i="120"/>
  <c r="AT127" i="120"/>
  <c r="AX127" i="120"/>
  <c r="AG128" i="120"/>
  <c r="AH128" i="120" s="1"/>
  <c r="AJ128" i="120"/>
  <c r="AK128" i="120" s="1"/>
  <c r="AN128" i="120"/>
  <c r="AQ128" i="120"/>
  <c r="AT128" i="120"/>
  <c r="AU128" i="120" s="1"/>
  <c r="AX128" i="120"/>
  <c r="AG129" i="120"/>
  <c r="AH129" i="120" s="1"/>
  <c r="AJ129" i="120"/>
  <c r="AN129" i="120"/>
  <c r="AQ129" i="120"/>
  <c r="AR129" i="120" s="1"/>
  <c r="AT129" i="120"/>
  <c r="AX129" i="120"/>
  <c r="AG130" i="120"/>
  <c r="AH130" i="120" s="1"/>
  <c r="AJ130" i="120"/>
  <c r="AN130" i="120"/>
  <c r="AQ130" i="120"/>
  <c r="AR130" i="120" s="1"/>
  <c r="AT130" i="120"/>
  <c r="AX130" i="120"/>
  <c r="AG131" i="120"/>
  <c r="AJ131" i="120"/>
  <c r="AK131" i="120" s="1"/>
  <c r="AN131" i="120"/>
  <c r="AQ131" i="120"/>
  <c r="AT131" i="120"/>
  <c r="AU131" i="120" s="1"/>
  <c r="AX131" i="120"/>
  <c r="AG132" i="120"/>
  <c r="AJ132" i="120"/>
  <c r="AK132" i="120" s="1"/>
  <c r="AN132" i="120"/>
  <c r="AQ132" i="120"/>
  <c r="AR132" i="120" s="1"/>
  <c r="AT132" i="120"/>
  <c r="AU132" i="120"/>
  <c r="AX132" i="120"/>
  <c r="AG133" i="120"/>
  <c r="AJ133" i="120"/>
  <c r="AN133" i="120"/>
  <c r="AQ133" i="120"/>
  <c r="AT133" i="120"/>
  <c r="AX133" i="120"/>
  <c r="AG134" i="120"/>
  <c r="AH134" i="120" s="1"/>
  <c r="AJ134" i="120"/>
  <c r="AK134" i="120" s="1"/>
  <c r="AN134" i="120"/>
  <c r="AQ134" i="120"/>
  <c r="AR134" i="120" s="1"/>
  <c r="AT134" i="120"/>
  <c r="AU134" i="120" s="1"/>
  <c r="AX134" i="120"/>
  <c r="AG135" i="120"/>
  <c r="AJ135" i="120"/>
  <c r="AK135" i="120" s="1"/>
  <c r="AN135" i="120"/>
  <c r="AQ135" i="120"/>
  <c r="AT135" i="120"/>
  <c r="AU135" i="120" s="1"/>
  <c r="AX135" i="120"/>
  <c r="AG136" i="120"/>
  <c r="AJ136" i="120"/>
  <c r="AN136" i="120"/>
  <c r="AQ136" i="120"/>
  <c r="AT136" i="120"/>
  <c r="AX136" i="120"/>
  <c r="AG137" i="120"/>
  <c r="AH137" i="120" s="1"/>
  <c r="AJ137" i="120"/>
  <c r="AK137" i="120" s="1"/>
  <c r="AN137" i="120"/>
  <c r="AQ137" i="120"/>
  <c r="AR137" i="120" s="1"/>
  <c r="AT137" i="120"/>
  <c r="AU137" i="120" s="1"/>
  <c r="AX137" i="120"/>
  <c r="AG138" i="120"/>
  <c r="AH138" i="120" s="1"/>
  <c r="AJ138" i="120"/>
  <c r="AK138" i="120" s="1"/>
  <c r="AN138" i="120"/>
  <c r="AQ138" i="120"/>
  <c r="AR138" i="120" s="1"/>
  <c r="AT138" i="120"/>
  <c r="AX138" i="120"/>
  <c r="AG139" i="120"/>
  <c r="AH139" i="120" s="1"/>
  <c r="AJ139" i="120"/>
  <c r="AK139" i="120"/>
  <c r="AN139" i="120"/>
  <c r="AQ139" i="120"/>
  <c r="AR139" i="120" s="1"/>
  <c r="AT139" i="120"/>
  <c r="AU139" i="120"/>
  <c r="AX139" i="120"/>
  <c r="AG140" i="120"/>
  <c r="AJ140" i="120"/>
  <c r="AN140" i="120"/>
  <c r="AQ140" i="120"/>
  <c r="AT140" i="120"/>
  <c r="AX140" i="120"/>
  <c r="AG141" i="120"/>
  <c r="AJ141" i="120"/>
  <c r="AK141" i="120" s="1"/>
  <c r="AN141" i="120"/>
  <c r="AQ141" i="120"/>
  <c r="AT141" i="120"/>
  <c r="AU141" i="120" s="1"/>
  <c r="AX141" i="120"/>
  <c r="AG142" i="120"/>
  <c r="AJ142" i="120"/>
  <c r="AK142" i="120" s="1"/>
  <c r="AN142" i="120"/>
  <c r="AQ142" i="120"/>
  <c r="AR142" i="120" s="1"/>
  <c r="AT142" i="120"/>
  <c r="AU142" i="120" s="1"/>
  <c r="AX142" i="120"/>
  <c r="AG143" i="120"/>
  <c r="AJ143" i="120"/>
  <c r="AK143" i="120" s="1"/>
  <c r="AN143" i="120"/>
  <c r="AQ143" i="120"/>
  <c r="AT143" i="120"/>
  <c r="AU143" i="120" s="1"/>
  <c r="AX143" i="120"/>
  <c r="AG144" i="120"/>
  <c r="AH144" i="120" s="1"/>
  <c r="AJ144" i="120"/>
  <c r="AK144" i="120" s="1"/>
  <c r="AN144" i="120"/>
  <c r="AQ144" i="120"/>
  <c r="AR144" i="120" s="1"/>
  <c r="AT144" i="120"/>
  <c r="AU144" i="120" s="1"/>
  <c r="AX144" i="120"/>
  <c r="AG145" i="120"/>
  <c r="AH145" i="120"/>
  <c r="AJ145" i="120"/>
  <c r="AK145" i="120"/>
  <c r="AN145" i="120"/>
  <c r="AQ145" i="120"/>
  <c r="AR145" i="120" s="1"/>
  <c r="AT145" i="120"/>
  <c r="AU145" i="120" s="1"/>
  <c r="AX145" i="120"/>
  <c r="AX5" i="120"/>
  <c r="AN5" i="120"/>
  <c r="AH5" i="120"/>
  <c r="AT5" i="120"/>
  <c r="AU5" i="120" s="1"/>
  <c r="AQ5" i="120"/>
  <c r="AR5" i="120" s="1"/>
  <c r="AJ5" i="120"/>
  <c r="AK5" i="120" s="1"/>
  <c r="AG5" i="120"/>
  <c r="AW117" i="120" l="1"/>
  <c r="BL111" i="120"/>
  <c r="BL87" i="120"/>
  <c r="AW99" i="120"/>
  <c r="BL86" i="120"/>
  <c r="AM19" i="120"/>
  <c r="AM140" i="120"/>
  <c r="BL49" i="120"/>
  <c r="BL134" i="120"/>
  <c r="AW64" i="120"/>
  <c r="AM42" i="120"/>
  <c r="AM75" i="120"/>
  <c r="BL76" i="120"/>
  <c r="BL79" i="120"/>
  <c r="BJ144" i="120"/>
  <c r="BL137" i="120"/>
  <c r="BL129" i="120"/>
  <c r="BL121" i="120"/>
  <c r="BL90" i="120"/>
  <c r="AW41" i="120"/>
  <c r="BJ110" i="120"/>
  <c r="BL16" i="120"/>
  <c r="BL80" i="120"/>
  <c r="BL32" i="120"/>
  <c r="AW34" i="120"/>
  <c r="BL140" i="120"/>
  <c r="BL116" i="120"/>
  <c r="BL66" i="120"/>
  <c r="BL55" i="120"/>
  <c r="BL20" i="120"/>
  <c r="BL123" i="120"/>
  <c r="BL62" i="120"/>
  <c r="AW115" i="120"/>
  <c r="AW77" i="120"/>
  <c r="BL142" i="120"/>
  <c r="BI21" i="120"/>
  <c r="BL21" i="120" s="1"/>
  <c r="BL47" i="120"/>
  <c r="BL40" i="120"/>
  <c r="BL17" i="120"/>
  <c r="BG137" i="120"/>
  <c r="BG129" i="120"/>
  <c r="BG123" i="120"/>
  <c r="BG121" i="120"/>
  <c r="BG62" i="120"/>
  <c r="BG32" i="120"/>
  <c r="BL138" i="120"/>
  <c r="BL72" i="120"/>
  <c r="BL46" i="120"/>
  <c r="BL132" i="120"/>
  <c r="BL130" i="120"/>
  <c r="BL124" i="120"/>
  <c r="BL112" i="120"/>
  <c r="BL75" i="120"/>
  <c r="BL35" i="120"/>
  <c r="BL109" i="120"/>
  <c r="AW82" i="120"/>
  <c r="AU41" i="120"/>
  <c r="BL113" i="120"/>
  <c r="BL84" i="120"/>
  <c r="BL145" i="120"/>
  <c r="BL92" i="120"/>
  <c r="BL74" i="120"/>
  <c r="BL45" i="120"/>
  <c r="BL24" i="120"/>
  <c r="BL100" i="120"/>
  <c r="BL71" i="120"/>
  <c r="BL70" i="120"/>
  <c r="BL64" i="120"/>
  <c r="BL58" i="120"/>
  <c r="BL33" i="120"/>
  <c r="BL12" i="120"/>
  <c r="BL9" i="120"/>
  <c r="BL5" i="120"/>
  <c r="BL99" i="120"/>
  <c r="BL98" i="120"/>
  <c r="BL53" i="120"/>
  <c r="BL48" i="120"/>
  <c r="BL41" i="120"/>
  <c r="BL8" i="120"/>
  <c r="AW91" i="120"/>
  <c r="AM66" i="120"/>
  <c r="AW57" i="120"/>
  <c r="AW56" i="120"/>
  <c r="AM55" i="120"/>
  <c r="BL141" i="120"/>
  <c r="BL118" i="120"/>
  <c r="BL59" i="120"/>
  <c r="BL43" i="120"/>
  <c r="BL38" i="120"/>
  <c r="BL22" i="120"/>
  <c r="BL14" i="120"/>
  <c r="AW131" i="120"/>
  <c r="BL97" i="120"/>
  <c r="BL91" i="120"/>
  <c r="BL81" i="120"/>
  <c r="BL37" i="120"/>
  <c r="BL30" i="120"/>
  <c r="BL28" i="120"/>
  <c r="BL10" i="120"/>
  <c r="AW138" i="120"/>
  <c r="AW136" i="120"/>
  <c r="AW83" i="120"/>
  <c r="BL128" i="120"/>
  <c r="BL119" i="120"/>
  <c r="BL93" i="120"/>
  <c r="BL83" i="120"/>
  <c r="BL63" i="120"/>
  <c r="BL51" i="120"/>
  <c r="BL39" i="120"/>
  <c r="BL34" i="120"/>
  <c r="BL25" i="120"/>
  <c r="AM101" i="120"/>
  <c r="BL94" i="120"/>
  <c r="BJ84" i="120"/>
  <c r="BJ47" i="120"/>
  <c r="BJ35" i="120"/>
  <c r="BJ26" i="120"/>
  <c r="BL115" i="120"/>
  <c r="BJ109" i="120"/>
  <c r="BL108" i="120"/>
  <c r="BL101" i="120"/>
  <c r="BL96" i="120"/>
  <c r="BL78" i="120"/>
  <c r="BJ59" i="120"/>
  <c r="BL42" i="120"/>
  <c r="BL23" i="120"/>
  <c r="BJ23" i="120"/>
  <c r="BL125" i="120"/>
  <c r="BL107" i="120"/>
  <c r="BL95" i="120"/>
  <c r="BL88" i="120"/>
  <c r="BL67" i="120"/>
  <c r="BL143" i="120"/>
  <c r="BL139" i="120"/>
  <c r="BL135" i="120"/>
  <c r="BL131" i="120"/>
  <c r="BL127" i="120"/>
  <c r="BL126" i="120"/>
  <c r="BL120" i="120"/>
  <c r="BL15" i="120"/>
  <c r="BJ15" i="120"/>
  <c r="BL82" i="120"/>
  <c r="BL73" i="120"/>
  <c r="BL61" i="120"/>
  <c r="BL60" i="120"/>
  <c r="BL11" i="120"/>
  <c r="BL122" i="120"/>
  <c r="BL117" i="120"/>
  <c r="BL85" i="120"/>
  <c r="BL52" i="120"/>
  <c r="BL19" i="120"/>
  <c r="BJ19" i="120"/>
  <c r="BL57" i="120"/>
  <c r="BL56" i="120"/>
  <c r="BL44" i="120"/>
  <c r="BL36" i="120"/>
  <c r="BL7" i="120"/>
  <c r="BJ7" i="120"/>
  <c r="BL114" i="120"/>
  <c r="BL77" i="120"/>
  <c r="BL27" i="120"/>
  <c r="BL89" i="120"/>
  <c r="BL69" i="120"/>
  <c r="BL68" i="120"/>
  <c r="BL50" i="120"/>
  <c r="BL6" i="120"/>
  <c r="AW80" i="120"/>
  <c r="AW74" i="120"/>
  <c r="AW61" i="120"/>
  <c r="AW60" i="120"/>
  <c r="AW40" i="120"/>
  <c r="AM85" i="120"/>
  <c r="AW89" i="120"/>
  <c r="AM88" i="120"/>
  <c r="AM109" i="120"/>
  <c r="AM116" i="120"/>
  <c r="AW119" i="120"/>
  <c r="AW92" i="120"/>
  <c r="AM69" i="120"/>
  <c r="AW72" i="120"/>
  <c r="AU138" i="120"/>
  <c r="AW90" i="120"/>
  <c r="AW84" i="120"/>
  <c r="AH75" i="120"/>
  <c r="AM48" i="120"/>
  <c r="AM24" i="120"/>
  <c r="AW24" i="120"/>
  <c r="AK55" i="120"/>
  <c r="AM122" i="120"/>
  <c r="AW94" i="120"/>
  <c r="AW11" i="120"/>
  <c r="AW65" i="120"/>
  <c r="AW51" i="120"/>
  <c r="AM145" i="120"/>
  <c r="AW141" i="120"/>
  <c r="AM138" i="120"/>
  <c r="AM137" i="120"/>
  <c r="AW127" i="120"/>
  <c r="AW126" i="120"/>
  <c r="AM126" i="120"/>
  <c r="AM110" i="120"/>
  <c r="AM100" i="120"/>
  <c r="AM96" i="120"/>
  <c r="AW27" i="120"/>
  <c r="AW21" i="120"/>
  <c r="AM11" i="120"/>
  <c r="AW128" i="120"/>
  <c r="AW109" i="120"/>
  <c r="AW139" i="120"/>
  <c r="AW129" i="120"/>
  <c r="AR119" i="120"/>
  <c r="AM119" i="120"/>
  <c r="AM111" i="120"/>
  <c r="AM90" i="120"/>
  <c r="AW85" i="120"/>
  <c r="AM81" i="120"/>
  <c r="AW73" i="120"/>
  <c r="AW71" i="120"/>
  <c r="AM70" i="120"/>
  <c r="AW53" i="120"/>
  <c r="AM49" i="120"/>
  <c r="AM47" i="120"/>
  <c r="AM32" i="120"/>
  <c r="AM26" i="120"/>
  <c r="AM25" i="120"/>
  <c r="AW23" i="120"/>
  <c r="AM22" i="120"/>
  <c r="AM13" i="120"/>
  <c r="AW6" i="120"/>
  <c r="AM141" i="120"/>
  <c r="AR89" i="120"/>
  <c r="AW81" i="120"/>
  <c r="AM33" i="120"/>
  <c r="AW32" i="120"/>
  <c r="AW28" i="120"/>
  <c r="AW18" i="120"/>
  <c r="AM54" i="120"/>
  <c r="AM34" i="120"/>
  <c r="AW33" i="120"/>
  <c r="AW10" i="120"/>
  <c r="AM91" i="120"/>
  <c r="AH69" i="120"/>
  <c r="AU56" i="120"/>
  <c r="AW46" i="120"/>
  <c r="AM40" i="120"/>
  <c r="AK19" i="120"/>
  <c r="AW7" i="120"/>
  <c r="AM83" i="120"/>
  <c r="AR74" i="120"/>
  <c r="AU40" i="120"/>
  <c r="AM37" i="120"/>
  <c r="AM118" i="120"/>
  <c r="AK118" i="120"/>
  <c r="AM56" i="120"/>
  <c r="AH56" i="120"/>
  <c r="AR43" i="120"/>
  <c r="AW43" i="120"/>
  <c r="AM5" i="120"/>
  <c r="AW142" i="120"/>
  <c r="AM142" i="120"/>
  <c r="AW133" i="120"/>
  <c r="AM132" i="120"/>
  <c r="AM127" i="120"/>
  <c r="AM125" i="120"/>
  <c r="AW118" i="120"/>
  <c r="AR118" i="120"/>
  <c r="AW112" i="120"/>
  <c r="AR112" i="120"/>
  <c r="AW5" i="120"/>
  <c r="AW130" i="120"/>
  <c r="AW116" i="120"/>
  <c r="AR116" i="120"/>
  <c r="AW140" i="120"/>
  <c r="AW135" i="120"/>
  <c r="AW134" i="120"/>
  <c r="AW132" i="120"/>
  <c r="AM124" i="120"/>
  <c r="AW143" i="120"/>
  <c r="AM134" i="120"/>
  <c r="AH126" i="120"/>
  <c r="AW120" i="120"/>
  <c r="AW111" i="120"/>
  <c r="AW97" i="120"/>
  <c r="AM80" i="120"/>
  <c r="AU34" i="120"/>
  <c r="AW113" i="120"/>
  <c r="AM131" i="120"/>
  <c r="AW124" i="120"/>
  <c r="AW122" i="120"/>
  <c r="AW121" i="120"/>
  <c r="AM139" i="120"/>
  <c r="AM136" i="120"/>
  <c r="AM135" i="120"/>
  <c r="AM133" i="120"/>
  <c r="AH132" i="120"/>
  <c r="AM129" i="120"/>
  <c r="AU126" i="120"/>
  <c r="AH125" i="120"/>
  <c r="AM107" i="120"/>
  <c r="AM63" i="120"/>
  <c r="AK63" i="120"/>
  <c r="AR57" i="120"/>
  <c r="AM46" i="120"/>
  <c r="AH46" i="120"/>
  <c r="AW62" i="120"/>
  <c r="AM20" i="120"/>
  <c r="AM60" i="120"/>
  <c r="AH60" i="120"/>
  <c r="AR26" i="120"/>
  <c r="AW26" i="120"/>
  <c r="AW98" i="120"/>
  <c r="AM93" i="120"/>
  <c r="AM92" i="120"/>
  <c r="AM87" i="120"/>
  <c r="AM82" i="120"/>
  <c r="AW69" i="120"/>
  <c r="AM64" i="120"/>
  <c r="AW47" i="120"/>
  <c r="AW42" i="120"/>
  <c r="AM35" i="120"/>
  <c r="AR23" i="120"/>
  <c r="AW22" i="120"/>
  <c r="AW15" i="120"/>
  <c r="AW12" i="120"/>
  <c r="AM10" i="120"/>
  <c r="AW93" i="120"/>
  <c r="AM84" i="120"/>
  <c r="AW78" i="120"/>
  <c r="AW76" i="120"/>
  <c r="AW75" i="120"/>
  <c r="AM71" i="120"/>
  <c r="AM61" i="120"/>
  <c r="AW48" i="120"/>
  <c r="AM44" i="120"/>
  <c r="AM30" i="120"/>
  <c r="AM6" i="120"/>
  <c r="AM114" i="120"/>
  <c r="AW96" i="120"/>
  <c r="AM58" i="120"/>
  <c r="AM50" i="120"/>
  <c r="AW49" i="120"/>
  <c r="AW35" i="120"/>
  <c r="AR30" i="120"/>
  <c r="AM27" i="120"/>
  <c r="AH26" i="120"/>
  <c r="AM23" i="120"/>
  <c r="AW20" i="120"/>
  <c r="AW14" i="120"/>
  <c r="AM9" i="120"/>
  <c r="AM28" i="120"/>
  <c r="AM17" i="120"/>
  <c r="AM115" i="120"/>
  <c r="AM95" i="120"/>
  <c r="AM76" i="120"/>
  <c r="AM77" i="120"/>
  <c r="AM72" i="120"/>
  <c r="AW63" i="120"/>
  <c r="AW25" i="120"/>
  <c r="AM21" i="120"/>
  <c r="AM14" i="120"/>
  <c r="AM97" i="120"/>
  <c r="AM89" i="120"/>
  <c r="AW86" i="120"/>
  <c r="AM68" i="120"/>
  <c r="AW36" i="120"/>
  <c r="AM86" i="120"/>
  <c r="AH62" i="120"/>
  <c r="AM62" i="120"/>
  <c r="AW125" i="120"/>
  <c r="AM113" i="120"/>
  <c r="AW108" i="120"/>
  <c r="AW54" i="120"/>
  <c r="AH53" i="120"/>
  <c r="AM53" i="120"/>
  <c r="AM18" i="120"/>
  <c r="AH18" i="120"/>
  <c r="AM130" i="120"/>
  <c r="AR124" i="120"/>
  <c r="AW123" i="120"/>
  <c r="AM117" i="120"/>
  <c r="AM112" i="120"/>
  <c r="AW110" i="120"/>
  <c r="AR109" i="120"/>
  <c r="AW101" i="120"/>
  <c r="AW100" i="120"/>
  <c r="AW87" i="120"/>
  <c r="AM79" i="120"/>
  <c r="AH78" i="120"/>
  <c r="AM78" i="120"/>
  <c r="AR68" i="120"/>
  <c r="AW68" i="120"/>
  <c r="AW19" i="120"/>
  <c r="AR19" i="120"/>
  <c r="AH142" i="120"/>
  <c r="AR128" i="120"/>
  <c r="AM121" i="120"/>
  <c r="AH116" i="120"/>
  <c r="AR113" i="120"/>
  <c r="AH94" i="120"/>
  <c r="AM94" i="120"/>
  <c r="AW88" i="120"/>
  <c r="AR79" i="120"/>
  <c r="AW79" i="120"/>
  <c r="AR55" i="120"/>
  <c r="AW55" i="120"/>
  <c r="AM43" i="120"/>
  <c r="AH43" i="120"/>
  <c r="AW144" i="120"/>
  <c r="AW145" i="120"/>
  <c r="AW137" i="120"/>
  <c r="AM123" i="120"/>
  <c r="AW114" i="120"/>
  <c r="AR121" i="120"/>
  <c r="AM98" i="120"/>
  <c r="AH98" i="120"/>
  <c r="AR39" i="120"/>
  <c r="AW39" i="120"/>
  <c r="AK38" i="120"/>
  <c r="AM38" i="120"/>
  <c r="AM143" i="120"/>
  <c r="AM144" i="120"/>
  <c r="AM120" i="120"/>
  <c r="AM108" i="120"/>
  <c r="AM128" i="120"/>
  <c r="AW107" i="120"/>
  <c r="AR95" i="120"/>
  <c r="AW95" i="120"/>
  <c r="AR70" i="120"/>
  <c r="AW70" i="120"/>
  <c r="AW52" i="120"/>
  <c r="AR52" i="120"/>
  <c r="AM99" i="120"/>
  <c r="AH76" i="120"/>
  <c r="AH70" i="120"/>
  <c r="AM67" i="120"/>
  <c r="AR63" i="120"/>
  <c r="AM16" i="120"/>
  <c r="AK16" i="120"/>
  <c r="AM7" i="120"/>
  <c r="AH7" i="120"/>
  <c r="AH95" i="120"/>
  <c r="AH79" i="120"/>
  <c r="AH68" i="120"/>
  <c r="AW9" i="120"/>
  <c r="AU9" i="120"/>
  <c r="AM57" i="120"/>
  <c r="AW37" i="120"/>
  <c r="AR36" i="120"/>
  <c r="AK33" i="120"/>
  <c r="AW17" i="120"/>
  <c r="AM8" i="120"/>
  <c r="AR94" i="120"/>
  <c r="AM51" i="120"/>
  <c r="AW50" i="120"/>
  <c r="AW44" i="120"/>
  <c r="AM41" i="120"/>
  <c r="AM39" i="120"/>
  <c r="AM29" i="120"/>
  <c r="AM15" i="120"/>
  <c r="AH15" i="120"/>
  <c r="AW8" i="120"/>
  <c r="AR8" i="120"/>
  <c r="AM65" i="120"/>
  <c r="AW59" i="120"/>
  <c r="AW58" i="120"/>
  <c r="AM52" i="120"/>
  <c r="AW45" i="120"/>
  <c r="AM36" i="120"/>
  <c r="AH36" i="120"/>
  <c r="AW16" i="120"/>
  <c r="AR16" i="120"/>
  <c r="AM74" i="120"/>
  <c r="AW38" i="120"/>
  <c r="AU25" i="120"/>
  <c r="AU20" i="120"/>
  <c r="AM73" i="120"/>
  <c r="AW67" i="120"/>
  <c r="AW66" i="120"/>
  <c r="AM59" i="120"/>
  <c r="AM45" i="120"/>
  <c r="AW13" i="120"/>
  <c r="AM12" i="120"/>
  <c r="AR6" i="120"/>
  <c r="AH11" i="120"/>
  <c r="X6" i="120" l="1"/>
  <c r="X7" i="120"/>
  <c r="X8" i="120"/>
  <c r="X9" i="120"/>
  <c r="X10" i="120"/>
  <c r="X11" i="120"/>
  <c r="X12" i="120"/>
  <c r="X13" i="120"/>
  <c r="X14" i="120"/>
  <c r="X15" i="120"/>
  <c r="X16" i="120"/>
  <c r="X17" i="120"/>
  <c r="X18" i="120"/>
  <c r="X19" i="120"/>
  <c r="X20" i="120"/>
  <c r="X21" i="120"/>
  <c r="X22" i="120"/>
  <c r="X23" i="120"/>
  <c r="X24" i="120"/>
  <c r="X25" i="120"/>
  <c r="X26" i="120"/>
  <c r="X27" i="120"/>
  <c r="X28" i="120"/>
  <c r="X29" i="120"/>
  <c r="X30" i="120"/>
  <c r="X32" i="120"/>
  <c r="X33" i="120"/>
  <c r="X34" i="120"/>
  <c r="X35" i="120"/>
  <c r="X36" i="120"/>
  <c r="X37" i="120"/>
  <c r="X38" i="120"/>
  <c r="X39" i="120"/>
  <c r="X40" i="120"/>
  <c r="X41" i="120"/>
  <c r="X42" i="120"/>
  <c r="X43" i="120"/>
  <c r="X44" i="120"/>
  <c r="X45" i="120"/>
  <c r="X46" i="120"/>
  <c r="X47" i="120"/>
  <c r="X48" i="120"/>
  <c r="X49" i="120"/>
  <c r="X50" i="120"/>
  <c r="X51" i="120"/>
  <c r="X52" i="120"/>
  <c r="X53" i="120"/>
  <c r="X54" i="120"/>
  <c r="X55" i="120"/>
  <c r="X56" i="120"/>
  <c r="X57" i="120"/>
  <c r="X58" i="120"/>
  <c r="X59" i="120"/>
  <c r="X60" i="120"/>
  <c r="X61" i="120"/>
  <c r="X62" i="120"/>
  <c r="X63" i="120"/>
  <c r="X64" i="120"/>
  <c r="X65" i="120"/>
  <c r="X66" i="120"/>
  <c r="X67" i="120"/>
  <c r="X68" i="120"/>
  <c r="X69" i="120"/>
  <c r="X70" i="120"/>
  <c r="X71" i="120"/>
  <c r="X72" i="120"/>
  <c r="X73" i="120"/>
  <c r="X74" i="120"/>
  <c r="X75" i="120"/>
  <c r="X76" i="120"/>
  <c r="X77" i="120"/>
  <c r="X78" i="120"/>
  <c r="X79" i="120"/>
  <c r="X80" i="120"/>
  <c r="X81" i="120"/>
  <c r="X82" i="120"/>
  <c r="X83" i="120"/>
  <c r="X84" i="120"/>
  <c r="X85" i="120"/>
  <c r="X86" i="120"/>
  <c r="X87" i="120"/>
  <c r="X88" i="120"/>
  <c r="X89" i="120"/>
  <c r="X90" i="120"/>
  <c r="X91" i="120"/>
  <c r="X92" i="120"/>
  <c r="X93" i="120"/>
  <c r="X94" i="120"/>
  <c r="X95" i="120"/>
  <c r="X96" i="120"/>
  <c r="X97" i="120"/>
  <c r="X98" i="120"/>
  <c r="X99" i="120"/>
  <c r="X100" i="120"/>
  <c r="X101" i="120"/>
  <c r="X107" i="120"/>
  <c r="X108" i="120"/>
  <c r="X109" i="120"/>
  <c r="X110" i="120"/>
  <c r="X111" i="120"/>
  <c r="X112" i="120"/>
  <c r="X113" i="120"/>
  <c r="X114" i="120"/>
  <c r="X115" i="120"/>
  <c r="X116" i="120"/>
  <c r="X117" i="120"/>
  <c r="X118" i="120"/>
  <c r="X119" i="120"/>
  <c r="X120" i="120"/>
  <c r="X121" i="120"/>
  <c r="X122" i="120"/>
  <c r="X123" i="120"/>
  <c r="X124" i="120"/>
  <c r="X125" i="120"/>
  <c r="X126" i="120"/>
  <c r="X127" i="120"/>
  <c r="X128" i="120"/>
  <c r="X129" i="120"/>
  <c r="X130" i="120"/>
  <c r="X131" i="120"/>
  <c r="X132" i="120"/>
  <c r="X133" i="120"/>
  <c r="X134" i="120"/>
  <c r="X135" i="120"/>
  <c r="X136" i="120"/>
  <c r="X137" i="120"/>
  <c r="X138" i="120"/>
  <c r="X139" i="120"/>
  <c r="X140" i="120"/>
  <c r="X141" i="120"/>
  <c r="X142" i="120"/>
  <c r="X143" i="120"/>
  <c r="X144" i="120"/>
  <c r="X145" i="120"/>
  <c r="X5" i="120"/>
  <c r="N6" i="117"/>
  <c r="N7" i="117"/>
  <c r="N8" i="117"/>
  <c r="N9" i="117"/>
  <c r="N10" i="117"/>
  <c r="N11" i="117"/>
  <c r="N12" i="117"/>
  <c r="N13" i="117"/>
  <c r="N14" i="117"/>
  <c r="N15" i="117"/>
  <c r="N16" i="117"/>
  <c r="N17" i="117"/>
  <c r="N18" i="117"/>
  <c r="N19" i="117"/>
  <c r="N20" i="117"/>
  <c r="N21" i="117"/>
  <c r="N22" i="117"/>
  <c r="N23" i="117"/>
  <c r="N24" i="117"/>
  <c r="N25" i="117"/>
  <c r="N26" i="117"/>
  <c r="N27" i="117"/>
  <c r="N28" i="117"/>
  <c r="N29" i="117"/>
  <c r="N30" i="117"/>
  <c r="N31" i="117"/>
  <c r="N32" i="117"/>
  <c r="N33" i="117"/>
  <c r="N34" i="117"/>
  <c r="N35" i="117"/>
  <c r="N36" i="117"/>
  <c r="N37" i="117"/>
  <c r="N38" i="117"/>
  <c r="N39" i="117"/>
  <c r="N40" i="117"/>
  <c r="N41" i="117"/>
  <c r="N42" i="117"/>
  <c r="N43" i="117"/>
  <c r="N44" i="117"/>
  <c r="N45" i="117"/>
  <c r="N46" i="117"/>
  <c r="N47" i="117"/>
  <c r="N48" i="117"/>
  <c r="N49" i="117"/>
  <c r="N50" i="117"/>
  <c r="N51" i="117"/>
  <c r="N52" i="117"/>
  <c r="N53" i="117"/>
  <c r="N54" i="117"/>
  <c r="N55" i="117"/>
  <c r="N56" i="117"/>
  <c r="N57" i="117"/>
  <c r="N58" i="117"/>
  <c r="N59" i="117"/>
  <c r="N60" i="117"/>
  <c r="N61" i="117"/>
  <c r="N62" i="117"/>
  <c r="N63" i="117"/>
  <c r="N64" i="117"/>
  <c r="N65" i="117"/>
  <c r="N66" i="117"/>
  <c r="N67" i="117"/>
  <c r="N68" i="117"/>
  <c r="N69" i="117"/>
  <c r="N70" i="117"/>
  <c r="N71" i="117"/>
  <c r="N72" i="117"/>
  <c r="N73" i="117"/>
  <c r="N74" i="117"/>
  <c r="N75" i="117"/>
  <c r="N76" i="117"/>
  <c r="N77" i="117"/>
  <c r="N78" i="117"/>
  <c r="N79" i="117"/>
  <c r="N80" i="117"/>
  <c r="N81" i="117"/>
  <c r="N82" i="117"/>
  <c r="N83" i="117"/>
  <c r="N84" i="117"/>
  <c r="N85" i="117"/>
  <c r="N86" i="117"/>
  <c r="N87" i="117"/>
  <c r="N88" i="117"/>
  <c r="N89" i="117"/>
  <c r="N90" i="117"/>
  <c r="N91" i="117"/>
  <c r="N92" i="117"/>
  <c r="N93" i="117"/>
  <c r="N94" i="117"/>
  <c r="N95" i="117"/>
  <c r="N96" i="117"/>
  <c r="N97" i="117"/>
  <c r="N98" i="117"/>
  <c r="N99" i="117"/>
  <c r="N100" i="117"/>
  <c r="N101" i="117"/>
  <c r="N102" i="117"/>
  <c r="N103" i="117"/>
  <c r="N104" i="117"/>
  <c r="N105" i="117"/>
  <c r="N106" i="117"/>
  <c r="N107" i="117"/>
  <c r="N108" i="117"/>
  <c r="N109" i="117"/>
  <c r="N110" i="117"/>
  <c r="N111" i="117"/>
  <c r="N112" i="117"/>
  <c r="N113" i="117"/>
  <c r="N114" i="117"/>
  <c r="N115" i="117"/>
  <c r="N116" i="117"/>
  <c r="N117" i="117"/>
  <c r="N118" i="117"/>
  <c r="N119" i="117"/>
  <c r="N120" i="117"/>
  <c r="N121" i="117"/>
  <c r="N122" i="117"/>
  <c r="N123" i="117"/>
  <c r="N124" i="117"/>
  <c r="N125" i="117"/>
  <c r="N126" i="117"/>
  <c r="N127" i="117"/>
  <c r="N128" i="117"/>
  <c r="N129" i="117"/>
  <c r="N130" i="117"/>
  <c r="N131" i="117"/>
  <c r="N132" i="117"/>
  <c r="N133" i="117"/>
  <c r="N134" i="117"/>
  <c r="N135" i="117"/>
  <c r="N136" i="117"/>
  <c r="N137" i="117"/>
  <c r="N138" i="117"/>
  <c r="N139" i="117"/>
  <c r="N140" i="117"/>
  <c r="N141" i="117"/>
  <c r="N142" i="117"/>
  <c r="N143" i="117"/>
  <c r="N144" i="117"/>
  <c r="N145" i="117"/>
  <c r="N146" i="117"/>
  <c r="N147" i="117"/>
  <c r="N148" i="117"/>
  <c r="N149" i="117"/>
  <c r="N150" i="117"/>
  <c r="N151" i="117"/>
  <c r="N152" i="117"/>
  <c r="N153" i="117"/>
  <c r="N154" i="117"/>
  <c r="N155" i="117"/>
  <c r="N156" i="117"/>
  <c r="N157" i="117"/>
  <c r="N158" i="117"/>
  <c r="N159" i="117"/>
  <c r="N160" i="117"/>
  <c r="N161" i="117"/>
  <c r="N162" i="117"/>
  <c r="N163" i="117"/>
  <c r="N164" i="117"/>
  <c r="N165" i="117"/>
  <c r="N166" i="117"/>
  <c r="N167" i="117"/>
  <c r="N168" i="117"/>
  <c r="N169" i="117"/>
  <c r="N170" i="117"/>
  <c r="N171" i="117"/>
  <c r="N172" i="117"/>
  <c r="N173" i="117"/>
  <c r="N174" i="117"/>
  <c r="N175" i="117"/>
  <c r="N176" i="117"/>
  <c r="N177" i="117"/>
  <c r="N178" i="117"/>
  <c r="N179" i="117"/>
  <c r="N180" i="117"/>
  <c r="N181" i="117"/>
  <c r="N182" i="117"/>
  <c r="N183" i="117"/>
  <c r="N184" i="117"/>
  <c r="N185" i="117"/>
  <c r="N186" i="117"/>
  <c r="N187" i="117"/>
  <c r="N188" i="117"/>
  <c r="N189" i="117"/>
  <c r="N190" i="117"/>
  <c r="N191" i="117"/>
  <c r="N192" i="117"/>
  <c r="N193" i="117"/>
  <c r="N194" i="117"/>
  <c r="N195" i="117"/>
  <c r="N196" i="117"/>
  <c r="N197" i="117"/>
  <c r="N198" i="117"/>
  <c r="N199" i="117"/>
  <c r="N200" i="117"/>
  <c r="N201" i="117"/>
  <c r="N202" i="117"/>
  <c r="N203" i="117"/>
  <c r="N204" i="117"/>
  <c r="N205" i="117"/>
  <c r="N206" i="117"/>
  <c r="N207" i="117"/>
  <c r="N208" i="117"/>
  <c r="N209" i="117"/>
  <c r="N210" i="117"/>
  <c r="N211" i="117"/>
  <c r="N212" i="117"/>
  <c r="N213" i="117"/>
  <c r="N214" i="117"/>
  <c r="N215" i="117"/>
  <c r="N216" i="117"/>
  <c r="N217" i="117"/>
  <c r="N218" i="117"/>
  <c r="N219" i="117"/>
  <c r="N220" i="117"/>
  <c r="N221" i="117"/>
  <c r="N222" i="117"/>
  <c r="N223" i="117"/>
  <c r="N224" i="117"/>
  <c r="N225" i="117"/>
  <c r="N226" i="117"/>
  <c r="N227" i="117"/>
  <c r="N228" i="117"/>
  <c r="N229" i="117"/>
  <c r="N230" i="117"/>
  <c r="N231" i="117"/>
  <c r="N232" i="117"/>
  <c r="N233" i="117"/>
  <c r="N234" i="117"/>
  <c r="N235" i="117"/>
  <c r="N236" i="117"/>
  <c r="N237" i="117"/>
  <c r="N238" i="117"/>
  <c r="N239" i="117"/>
  <c r="N240" i="117"/>
  <c r="N241" i="117"/>
  <c r="N242" i="117"/>
  <c r="N243" i="117"/>
  <c r="N244" i="117"/>
  <c r="N245" i="117"/>
  <c r="N246" i="117"/>
  <c r="N247" i="117"/>
  <c r="N248" i="117"/>
  <c r="N249" i="117"/>
  <c r="N250" i="117"/>
  <c r="N251" i="117"/>
  <c r="N252" i="117"/>
  <c r="N253" i="117"/>
  <c r="N254" i="117"/>
  <c r="N255" i="117"/>
  <c r="N256" i="117"/>
  <c r="N257" i="117"/>
  <c r="N258" i="117"/>
  <c r="N259" i="117"/>
  <c r="N260" i="117"/>
  <c r="N261" i="117"/>
  <c r="N262" i="117"/>
  <c r="N263" i="117"/>
  <c r="N264" i="117"/>
  <c r="N265" i="117"/>
  <c r="N266" i="117"/>
  <c r="N267" i="117"/>
  <c r="N268" i="117"/>
  <c r="N269" i="117"/>
  <c r="N270" i="117"/>
  <c r="N271" i="117"/>
  <c r="N272" i="117"/>
  <c r="N273" i="117"/>
  <c r="N274" i="117"/>
  <c r="N275" i="117"/>
  <c r="N276" i="117"/>
  <c r="N277" i="117"/>
  <c r="N278" i="117"/>
  <c r="N279" i="117"/>
  <c r="N280" i="117"/>
  <c r="N281" i="117"/>
  <c r="N282" i="117"/>
  <c r="N283" i="117"/>
  <c r="N284" i="117"/>
  <c r="N285" i="117"/>
  <c r="N286" i="117"/>
  <c r="N287" i="117"/>
  <c r="N288" i="117"/>
  <c r="N289" i="117"/>
  <c r="N290" i="117"/>
  <c r="N291" i="117"/>
  <c r="N292" i="117"/>
  <c r="N293" i="117"/>
  <c r="N294" i="117"/>
  <c r="N295" i="117"/>
  <c r="N296" i="117"/>
  <c r="N297" i="117"/>
  <c r="N298" i="117"/>
  <c r="N299" i="117"/>
  <c r="N300" i="117"/>
  <c r="N301" i="117"/>
  <c r="N302" i="117"/>
  <c r="N303" i="117"/>
  <c r="N304" i="117"/>
  <c r="N305" i="117"/>
  <c r="N306" i="117"/>
  <c r="N307" i="117"/>
  <c r="N308" i="117"/>
  <c r="N309" i="117"/>
  <c r="N310" i="117"/>
  <c r="N311" i="117"/>
  <c r="N312" i="117"/>
  <c r="N313" i="117"/>
  <c r="N314" i="117"/>
  <c r="N315" i="117"/>
  <c r="N316" i="117"/>
  <c r="N317" i="117"/>
  <c r="N318" i="117"/>
  <c r="N319" i="117"/>
  <c r="N320" i="117"/>
  <c r="N321" i="117"/>
  <c r="N322" i="117"/>
  <c r="N323" i="117"/>
  <c r="N324" i="117"/>
  <c r="N325" i="117"/>
  <c r="N326" i="117"/>
  <c r="N327" i="117"/>
  <c r="N328" i="117"/>
  <c r="N329" i="117"/>
  <c r="N330" i="117"/>
  <c r="N331" i="117"/>
  <c r="N332" i="117"/>
  <c r="N333" i="117"/>
  <c r="N334" i="117"/>
  <c r="N335" i="117"/>
  <c r="N336" i="117"/>
  <c r="N337" i="117"/>
  <c r="N338" i="117"/>
  <c r="N339" i="117"/>
  <c r="N340" i="117"/>
  <c r="N341" i="117"/>
  <c r="N342" i="117"/>
  <c r="N343" i="117"/>
  <c r="N344" i="117"/>
  <c r="N345" i="117"/>
  <c r="N346" i="117"/>
  <c r="N347" i="117"/>
  <c r="N348" i="117"/>
  <c r="N349" i="117"/>
  <c r="N350" i="117"/>
  <c r="N351" i="117"/>
  <c r="N352" i="117"/>
  <c r="N353" i="117"/>
  <c r="N354" i="117"/>
  <c r="N355" i="117"/>
  <c r="N356" i="117"/>
  <c r="N357" i="117"/>
  <c r="N358" i="117"/>
  <c r="N359" i="117"/>
  <c r="N360" i="117"/>
  <c r="N361" i="117"/>
  <c r="N362" i="117"/>
  <c r="N363" i="117"/>
  <c r="N364" i="117"/>
  <c r="N365" i="117"/>
  <c r="N366" i="117"/>
  <c r="N367" i="117"/>
  <c r="N368" i="117"/>
  <c r="N369" i="117"/>
  <c r="N370" i="117"/>
  <c r="N371" i="117"/>
  <c r="N372" i="117"/>
  <c r="N373" i="117"/>
  <c r="N374" i="117"/>
  <c r="N375" i="117"/>
  <c r="N376" i="117"/>
  <c r="N377" i="117"/>
  <c r="N378" i="117"/>
  <c r="N379" i="117"/>
  <c r="N380" i="117"/>
  <c r="N381" i="117"/>
  <c r="N382" i="117"/>
  <c r="N383" i="117"/>
  <c r="N384" i="117"/>
  <c r="N385" i="117"/>
  <c r="N386" i="117"/>
  <c r="N387" i="117"/>
  <c r="N388" i="117"/>
  <c r="N389" i="117"/>
  <c r="N390" i="117"/>
  <c r="N391" i="117"/>
  <c r="N392" i="117"/>
  <c r="N393" i="117"/>
  <c r="N394" i="117"/>
  <c r="N395" i="117"/>
  <c r="N396" i="117"/>
  <c r="N397" i="117"/>
  <c r="N398" i="117"/>
  <c r="N399" i="117"/>
  <c r="N400" i="117"/>
  <c r="N401" i="117"/>
  <c r="N402" i="117"/>
  <c r="N403" i="117"/>
  <c r="N404" i="117"/>
  <c r="N405" i="117"/>
  <c r="N406" i="117"/>
  <c r="N407" i="117"/>
  <c r="N408" i="117"/>
  <c r="N409" i="117"/>
  <c r="N410" i="117"/>
  <c r="N411" i="117"/>
  <c r="N412" i="117"/>
  <c r="N413" i="117"/>
  <c r="N414" i="117"/>
  <c r="N415" i="117"/>
  <c r="N416" i="117"/>
  <c r="N417" i="117"/>
  <c r="N418" i="117"/>
  <c r="N419" i="117"/>
  <c r="N420" i="117"/>
  <c r="N421" i="117"/>
  <c r="N422" i="117"/>
  <c r="N423" i="117"/>
  <c r="N424" i="117"/>
  <c r="N425" i="117"/>
  <c r="N426" i="117"/>
  <c r="N427" i="117"/>
  <c r="N428" i="117"/>
  <c r="N429" i="117"/>
  <c r="N430" i="117"/>
  <c r="N431" i="117"/>
  <c r="N432" i="117"/>
  <c r="N433" i="117"/>
  <c r="N434" i="117"/>
  <c r="N435" i="117"/>
  <c r="N436" i="117"/>
  <c r="N437" i="117"/>
  <c r="N438" i="117"/>
  <c r="N439" i="117"/>
  <c r="N440" i="117"/>
  <c r="N441" i="117"/>
  <c r="N442" i="117"/>
  <c r="N443" i="117"/>
  <c r="N444" i="117"/>
  <c r="N445" i="117"/>
  <c r="N446" i="117"/>
  <c r="N447" i="117"/>
  <c r="N448" i="117"/>
  <c r="N449" i="117"/>
  <c r="N450" i="117"/>
  <c r="N451" i="117"/>
  <c r="N452" i="117"/>
  <c r="N453" i="117"/>
  <c r="N454" i="117"/>
  <c r="N455" i="117"/>
  <c r="N456" i="117"/>
  <c r="N457" i="117"/>
  <c r="N458" i="117"/>
  <c r="N459" i="117"/>
  <c r="N460" i="117"/>
  <c r="N461" i="117"/>
  <c r="N462" i="117"/>
  <c r="N463" i="117"/>
  <c r="N464" i="117"/>
  <c r="N465" i="117"/>
  <c r="N466" i="117"/>
  <c r="N467" i="117"/>
  <c r="N468" i="117"/>
  <c r="N469" i="117"/>
  <c r="N470" i="117"/>
  <c r="N471" i="117"/>
  <c r="N472" i="117"/>
  <c r="N473" i="117"/>
  <c r="N474" i="117"/>
  <c r="N475" i="117"/>
  <c r="N476" i="117"/>
  <c r="N477" i="117"/>
  <c r="N478" i="117"/>
  <c r="N479" i="117"/>
  <c r="N480" i="117"/>
  <c r="N481" i="117"/>
  <c r="N482" i="117"/>
  <c r="N483" i="117"/>
  <c r="N484" i="117"/>
  <c r="N485" i="117"/>
  <c r="N486" i="117"/>
  <c r="N487" i="117"/>
  <c r="N488" i="117"/>
  <c r="N489" i="117"/>
  <c r="N490" i="117"/>
  <c r="N491" i="117"/>
  <c r="N492" i="117"/>
  <c r="N493" i="117"/>
  <c r="N494" i="117"/>
  <c r="N495" i="117"/>
  <c r="N496" i="117"/>
  <c r="N497" i="117"/>
  <c r="N498" i="117"/>
  <c r="N499" i="117"/>
  <c r="N500" i="117"/>
  <c r="N501" i="117"/>
  <c r="N502" i="117"/>
  <c r="N503" i="117"/>
  <c r="N504" i="117"/>
  <c r="N505" i="117"/>
  <c r="N506" i="117"/>
  <c r="N507" i="117"/>
  <c r="N508" i="117"/>
  <c r="N509" i="117"/>
  <c r="N510" i="117"/>
  <c r="N511" i="117"/>
  <c r="N512" i="117"/>
  <c r="N513" i="117"/>
  <c r="N514" i="117"/>
  <c r="N515" i="117"/>
  <c r="N516" i="117"/>
  <c r="N517" i="117"/>
  <c r="N518" i="117"/>
  <c r="N519" i="117"/>
  <c r="N520" i="117"/>
  <c r="N521" i="117"/>
  <c r="N522" i="117"/>
  <c r="N523" i="117"/>
  <c r="N524" i="117"/>
  <c r="N525" i="117"/>
  <c r="N526" i="117"/>
  <c r="N527" i="117"/>
  <c r="N528" i="117"/>
  <c r="N529" i="117"/>
  <c r="N530" i="117"/>
  <c r="N531" i="117"/>
  <c r="N532" i="117"/>
  <c r="N533" i="117"/>
  <c r="N534" i="117"/>
  <c r="N535" i="117"/>
  <c r="N536" i="117"/>
  <c r="N537" i="117"/>
  <c r="N538" i="117"/>
  <c r="N539" i="117"/>
  <c r="N540" i="117"/>
  <c r="N541" i="117"/>
  <c r="N542" i="117"/>
  <c r="N543" i="117"/>
  <c r="N544" i="117"/>
  <c r="N545" i="117"/>
  <c r="N546" i="117"/>
  <c r="N547" i="117"/>
  <c r="N548" i="117"/>
  <c r="N549" i="117"/>
  <c r="N550" i="117"/>
  <c r="N551" i="117"/>
  <c r="N552" i="117"/>
  <c r="N553" i="117"/>
  <c r="N554" i="117"/>
  <c r="N555" i="117"/>
  <c r="N556" i="117"/>
  <c r="N557" i="117"/>
  <c r="N558" i="117"/>
  <c r="N559" i="117"/>
  <c r="N560" i="117"/>
  <c r="N561" i="117"/>
  <c r="N562" i="117"/>
  <c r="N563" i="117"/>
  <c r="N564" i="117"/>
  <c r="N565" i="117"/>
  <c r="N566" i="117"/>
  <c r="N567" i="117"/>
  <c r="N568" i="117"/>
  <c r="N569" i="117"/>
  <c r="N570" i="117"/>
  <c r="N571" i="117"/>
  <c r="N572" i="117"/>
  <c r="N573" i="117"/>
  <c r="N574" i="117"/>
  <c r="N575" i="117"/>
  <c r="N576" i="117"/>
  <c r="N577" i="117"/>
  <c r="N578" i="117"/>
  <c r="N579" i="117"/>
  <c r="N580" i="117"/>
  <c r="N581" i="117"/>
  <c r="N582" i="117"/>
  <c r="N583" i="117"/>
  <c r="N584" i="117"/>
  <c r="N585" i="117"/>
  <c r="N586" i="117"/>
  <c r="N587" i="117"/>
  <c r="N588" i="117"/>
  <c r="N589" i="117"/>
  <c r="N590" i="117"/>
  <c r="N591" i="117"/>
  <c r="N592" i="117"/>
  <c r="N593" i="117"/>
  <c r="N594" i="117"/>
  <c r="N595" i="117"/>
  <c r="N596" i="117"/>
  <c r="N597" i="117"/>
  <c r="N598" i="117"/>
  <c r="N599" i="117"/>
  <c r="N600" i="117"/>
  <c r="N601" i="117"/>
  <c r="N602" i="117"/>
  <c r="N603" i="117"/>
  <c r="N604" i="117"/>
  <c r="N605" i="117"/>
  <c r="N606" i="117"/>
  <c r="N607" i="117"/>
  <c r="N608" i="117"/>
  <c r="N609" i="117"/>
  <c r="N610" i="117"/>
  <c r="N611" i="117"/>
  <c r="N612" i="117"/>
  <c r="N613" i="117"/>
  <c r="N614" i="117"/>
  <c r="N615" i="117"/>
  <c r="N616" i="117"/>
  <c r="N617" i="117"/>
  <c r="N618" i="117"/>
  <c r="N619" i="117"/>
  <c r="N620" i="117"/>
  <c r="N621" i="117"/>
  <c r="N622" i="117"/>
  <c r="N623" i="117"/>
  <c r="N624" i="117"/>
  <c r="N625" i="117"/>
  <c r="N626" i="117"/>
  <c r="N627" i="117"/>
  <c r="N628" i="117"/>
  <c r="N629" i="117"/>
  <c r="N630" i="117"/>
  <c r="N631" i="117"/>
  <c r="N632" i="117"/>
  <c r="N633" i="117"/>
  <c r="N634" i="117"/>
  <c r="N635" i="117"/>
  <c r="N636" i="117"/>
  <c r="N637" i="117"/>
  <c r="N638" i="117"/>
  <c r="N639" i="117"/>
  <c r="N640" i="117"/>
  <c r="N641" i="117"/>
  <c r="N642" i="117"/>
  <c r="N643" i="117"/>
  <c r="N644" i="117"/>
  <c r="N645" i="117"/>
  <c r="N646" i="117"/>
  <c r="N647" i="117"/>
  <c r="N648" i="117"/>
  <c r="N649" i="117"/>
  <c r="N650" i="117"/>
  <c r="N651" i="117"/>
  <c r="N652" i="117"/>
  <c r="N653" i="117"/>
  <c r="N654" i="117"/>
  <c r="N655" i="117"/>
  <c r="N656" i="117"/>
  <c r="N657" i="117"/>
  <c r="N658" i="117"/>
  <c r="N659" i="117"/>
  <c r="N660" i="117"/>
  <c r="N661" i="117"/>
  <c r="N662" i="117"/>
  <c r="N663" i="117"/>
  <c r="N664" i="117"/>
  <c r="N665" i="117"/>
  <c r="N666" i="117"/>
  <c r="N667" i="117"/>
  <c r="N668" i="117"/>
  <c r="N669" i="117"/>
  <c r="N670" i="117"/>
  <c r="N671" i="117"/>
  <c r="N672" i="117"/>
  <c r="N673" i="117"/>
  <c r="N674" i="117"/>
  <c r="N675" i="117"/>
  <c r="N676" i="117"/>
  <c r="N677" i="117"/>
  <c r="N678" i="117"/>
  <c r="N679" i="117"/>
  <c r="N680" i="117"/>
  <c r="N681" i="117"/>
  <c r="N682" i="117"/>
  <c r="N683" i="117"/>
  <c r="N684" i="117"/>
  <c r="N685" i="117"/>
  <c r="N686" i="117"/>
  <c r="N687" i="117"/>
  <c r="N688" i="117"/>
  <c r="N689" i="117"/>
  <c r="N690" i="117"/>
  <c r="N691" i="117"/>
  <c r="N692" i="117"/>
  <c r="N693" i="117"/>
  <c r="N694" i="117"/>
  <c r="N695" i="117"/>
  <c r="N696" i="117"/>
  <c r="N697" i="117"/>
  <c r="N698" i="117"/>
  <c r="N699" i="117"/>
  <c r="N700" i="117"/>
  <c r="N701" i="117"/>
  <c r="N702" i="117"/>
  <c r="N703" i="117"/>
  <c r="N704" i="117"/>
  <c r="N705" i="117"/>
  <c r="N706" i="117"/>
  <c r="N707" i="117"/>
  <c r="N708" i="117"/>
  <c r="N709" i="117"/>
  <c r="N710" i="117"/>
  <c r="N711" i="117"/>
  <c r="N712" i="117"/>
  <c r="N713" i="117"/>
  <c r="N714" i="117"/>
  <c r="N715" i="117"/>
  <c r="N716" i="117"/>
  <c r="N717" i="117"/>
  <c r="N718" i="117"/>
  <c r="N719" i="117"/>
  <c r="N720" i="117"/>
  <c r="N721" i="117"/>
  <c r="N722" i="117"/>
  <c r="N723" i="117"/>
  <c r="N724" i="117"/>
  <c r="N725" i="117"/>
  <c r="N726" i="117"/>
  <c r="N727" i="117"/>
  <c r="N728" i="117"/>
  <c r="N729" i="117"/>
  <c r="N730" i="117"/>
  <c r="N731" i="117"/>
  <c r="N732" i="117"/>
  <c r="N733" i="117"/>
  <c r="N734" i="117"/>
  <c r="N735" i="117"/>
  <c r="N736" i="117"/>
  <c r="N737" i="117"/>
  <c r="N738" i="117"/>
  <c r="N739" i="117"/>
  <c r="N740" i="117"/>
  <c r="N741" i="117"/>
  <c r="N742" i="117"/>
  <c r="N743" i="117"/>
  <c r="N744" i="117"/>
  <c r="N745" i="117"/>
  <c r="N746" i="117"/>
  <c r="N747" i="117"/>
  <c r="N748" i="117"/>
  <c r="N749" i="117"/>
  <c r="N750" i="117"/>
  <c r="N751" i="117"/>
  <c r="N752" i="117"/>
  <c r="N753" i="117"/>
  <c r="N754" i="117"/>
  <c r="N755" i="117"/>
  <c r="N756" i="117"/>
  <c r="N757" i="117"/>
  <c r="N758" i="117"/>
  <c r="N759" i="117"/>
  <c r="N760" i="117"/>
  <c r="N761" i="117"/>
  <c r="N762" i="117"/>
  <c r="N763" i="117"/>
  <c r="N764" i="117"/>
  <c r="N765" i="117"/>
  <c r="N766" i="117"/>
  <c r="N767" i="117"/>
  <c r="N768" i="117"/>
  <c r="N769" i="117"/>
  <c r="N770" i="117"/>
  <c r="N771" i="117"/>
  <c r="N772" i="117"/>
  <c r="N773" i="117"/>
  <c r="N774" i="117"/>
  <c r="N775" i="117"/>
  <c r="N776" i="117"/>
  <c r="N777" i="117"/>
  <c r="N778" i="117"/>
  <c r="N779" i="117"/>
  <c r="N780" i="117"/>
  <c r="N781" i="117"/>
  <c r="N782" i="117"/>
  <c r="N783" i="117"/>
  <c r="N784" i="117"/>
  <c r="N785" i="117"/>
  <c r="N786" i="117"/>
  <c r="N787" i="117"/>
  <c r="N788" i="117"/>
  <c r="N789" i="117"/>
  <c r="N790" i="117"/>
  <c r="N791" i="117"/>
  <c r="N792" i="117"/>
  <c r="N793" i="117"/>
  <c r="N794" i="117"/>
  <c r="N795" i="117"/>
  <c r="N796" i="117"/>
  <c r="N797" i="117"/>
  <c r="N798" i="117"/>
  <c r="N799" i="117"/>
  <c r="N800" i="117"/>
  <c r="N801" i="117"/>
  <c r="N802" i="117"/>
  <c r="N803" i="117"/>
  <c r="N804" i="117"/>
  <c r="N805" i="117"/>
  <c r="N806" i="117"/>
  <c r="N807" i="117"/>
  <c r="N808" i="117"/>
  <c r="N5" i="117"/>
  <c r="L18" i="117"/>
  <c r="L6" i="117"/>
  <c r="L7" i="117"/>
  <c r="L8" i="117"/>
  <c r="L9" i="117"/>
  <c r="L10" i="117"/>
  <c r="L11" i="117"/>
  <c r="L12" i="117"/>
  <c r="L13" i="117"/>
  <c r="L14" i="117"/>
  <c r="L15" i="117"/>
  <c r="L16" i="117"/>
  <c r="L17" i="117"/>
  <c r="L19" i="117"/>
  <c r="L20" i="117"/>
  <c r="L21" i="117"/>
  <c r="L22" i="117"/>
  <c r="L23" i="117"/>
  <c r="L24" i="117"/>
  <c r="L25" i="117"/>
  <c r="L26" i="117"/>
  <c r="L27" i="117"/>
  <c r="L28" i="117"/>
  <c r="L29" i="117"/>
  <c r="L30" i="117"/>
  <c r="L31" i="117"/>
  <c r="L32" i="117"/>
  <c r="L33" i="117"/>
  <c r="L34" i="117"/>
  <c r="L35" i="117"/>
  <c r="L36" i="117"/>
  <c r="L37" i="117"/>
  <c r="L38" i="117"/>
  <c r="L39" i="117"/>
  <c r="L40" i="117"/>
  <c r="L41" i="117"/>
  <c r="L42" i="117"/>
  <c r="L43" i="117"/>
  <c r="L44" i="117"/>
  <c r="L45" i="117"/>
  <c r="L46" i="117"/>
  <c r="L47" i="117"/>
  <c r="L48" i="117"/>
  <c r="L49" i="117"/>
  <c r="L50" i="117"/>
  <c r="L51" i="117"/>
  <c r="L52" i="117"/>
  <c r="L53" i="117"/>
  <c r="L54" i="117"/>
  <c r="L55" i="117"/>
  <c r="L56" i="117"/>
  <c r="L57" i="117"/>
  <c r="L58" i="117"/>
  <c r="L59" i="117"/>
  <c r="L60" i="117"/>
  <c r="L61" i="117"/>
  <c r="L62" i="117"/>
  <c r="L63" i="117"/>
  <c r="L64" i="117"/>
  <c r="L65" i="117"/>
  <c r="L66" i="117"/>
  <c r="L67" i="117"/>
  <c r="L68" i="117"/>
  <c r="L69" i="117"/>
  <c r="L70" i="117"/>
  <c r="L71" i="117"/>
  <c r="L72" i="117"/>
  <c r="L73" i="117"/>
  <c r="L74" i="117"/>
  <c r="L75" i="117"/>
  <c r="L76" i="117"/>
  <c r="L77" i="117"/>
  <c r="L78" i="117"/>
  <c r="L79" i="117"/>
  <c r="L80" i="117"/>
  <c r="L81" i="117"/>
  <c r="L82" i="117"/>
  <c r="L83" i="117"/>
  <c r="L84" i="117"/>
  <c r="L85" i="117"/>
  <c r="L86" i="117"/>
  <c r="L87" i="117"/>
  <c r="L88" i="117"/>
  <c r="L89" i="117"/>
  <c r="L90" i="117"/>
  <c r="L91" i="117"/>
  <c r="L92" i="117"/>
  <c r="L93" i="117"/>
  <c r="L94" i="117"/>
  <c r="L95" i="117"/>
  <c r="L96" i="117"/>
  <c r="L97" i="117"/>
  <c r="L98" i="117"/>
  <c r="L99" i="117"/>
  <c r="L100" i="117"/>
  <c r="L101" i="117"/>
  <c r="L102" i="117"/>
  <c r="L103" i="117"/>
  <c r="L104" i="117"/>
  <c r="L105" i="117"/>
  <c r="L106" i="117"/>
  <c r="L107" i="117"/>
  <c r="L108" i="117"/>
  <c r="L109" i="117"/>
  <c r="L110" i="117"/>
  <c r="L111" i="117"/>
  <c r="L112" i="117"/>
  <c r="L113" i="117"/>
  <c r="L114" i="117"/>
  <c r="L115" i="117"/>
  <c r="L116" i="117"/>
  <c r="L117" i="117"/>
  <c r="L118" i="117"/>
  <c r="L119" i="117"/>
  <c r="L120" i="117"/>
  <c r="L121" i="117"/>
  <c r="L122" i="117"/>
  <c r="L123" i="117"/>
  <c r="L124" i="117"/>
  <c r="L125" i="117"/>
  <c r="L126" i="117"/>
  <c r="L127" i="117"/>
  <c r="L128" i="117"/>
  <c r="L129" i="117"/>
  <c r="L130" i="117"/>
  <c r="L131" i="117"/>
  <c r="L132" i="117"/>
  <c r="L133" i="117"/>
  <c r="L134" i="117"/>
  <c r="L135" i="117"/>
  <c r="L136" i="117"/>
  <c r="L137" i="117"/>
  <c r="L138" i="117"/>
  <c r="L139" i="117"/>
  <c r="L140" i="117"/>
  <c r="L141" i="117"/>
  <c r="L142" i="117"/>
  <c r="L143" i="117"/>
  <c r="L144" i="117"/>
  <c r="L145" i="117"/>
  <c r="L146" i="117"/>
  <c r="L147" i="117"/>
  <c r="L148" i="117"/>
  <c r="L149" i="117"/>
  <c r="L150" i="117"/>
  <c r="L151" i="117"/>
  <c r="L152" i="117"/>
  <c r="L153" i="117"/>
  <c r="L154" i="117"/>
  <c r="L155" i="117"/>
  <c r="L156" i="117"/>
  <c r="L157" i="117"/>
  <c r="L158" i="117"/>
  <c r="L159" i="117"/>
  <c r="L160" i="117"/>
  <c r="L161" i="117"/>
  <c r="L162" i="117"/>
  <c r="L163" i="117"/>
  <c r="L164" i="117"/>
  <c r="L165" i="117"/>
  <c r="L166" i="117"/>
  <c r="L167" i="117"/>
  <c r="L168" i="117"/>
  <c r="L169" i="117"/>
  <c r="L170" i="117"/>
  <c r="L171" i="117"/>
  <c r="L172" i="117"/>
  <c r="L173" i="117"/>
  <c r="L174" i="117"/>
  <c r="L175" i="117"/>
  <c r="L176" i="117"/>
  <c r="L177" i="117"/>
  <c r="L178" i="117"/>
  <c r="L179" i="117"/>
  <c r="L180" i="117"/>
  <c r="L181" i="117"/>
  <c r="L182" i="117"/>
  <c r="L183" i="117"/>
  <c r="L184" i="117"/>
  <c r="L185" i="117"/>
  <c r="L186" i="117"/>
  <c r="L187" i="117"/>
  <c r="L188" i="117"/>
  <c r="L189" i="117"/>
  <c r="L190" i="117"/>
  <c r="L191" i="117"/>
  <c r="L192" i="117"/>
  <c r="L193" i="117"/>
  <c r="L194" i="117"/>
  <c r="L195" i="117"/>
  <c r="L196" i="117"/>
  <c r="L197" i="117"/>
  <c r="L198" i="117"/>
  <c r="L199" i="117"/>
  <c r="L200" i="117"/>
  <c r="L201" i="117"/>
  <c r="L202" i="117"/>
  <c r="L203" i="117"/>
  <c r="L204" i="117"/>
  <c r="L205" i="117"/>
  <c r="L206" i="117"/>
  <c r="L207" i="117"/>
  <c r="L208" i="117"/>
  <c r="L209" i="117"/>
  <c r="L210" i="117"/>
  <c r="L211" i="117"/>
  <c r="L212" i="117"/>
  <c r="L213" i="117"/>
  <c r="L214" i="117"/>
  <c r="L215" i="117"/>
  <c r="L216" i="117"/>
  <c r="L217" i="117"/>
  <c r="L218" i="117"/>
  <c r="L219" i="117"/>
  <c r="L220" i="117"/>
  <c r="L221" i="117"/>
  <c r="L222" i="117"/>
  <c r="L223" i="117"/>
  <c r="L224" i="117"/>
  <c r="L225" i="117"/>
  <c r="L226" i="117"/>
  <c r="L227" i="117"/>
  <c r="L228" i="117"/>
  <c r="L229" i="117"/>
  <c r="L230" i="117"/>
  <c r="L231" i="117"/>
  <c r="L232" i="117"/>
  <c r="L233" i="117"/>
  <c r="L234" i="117"/>
  <c r="L235" i="117"/>
  <c r="L236" i="117"/>
  <c r="L237" i="117"/>
  <c r="L238" i="117"/>
  <c r="L239" i="117"/>
  <c r="L240" i="117"/>
  <c r="L241" i="117"/>
  <c r="L242" i="117"/>
  <c r="L243" i="117"/>
  <c r="L244" i="117"/>
  <c r="L245" i="117"/>
  <c r="L246" i="117"/>
  <c r="L247" i="117"/>
  <c r="L248" i="117"/>
  <c r="L249" i="117"/>
  <c r="L250" i="117"/>
  <c r="L251" i="117"/>
  <c r="L252" i="117"/>
  <c r="L253" i="117"/>
  <c r="L254" i="117"/>
  <c r="L255" i="117"/>
  <c r="L256" i="117"/>
  <c r="L257" i="117"/>
  <c r="L258" i="117"/>
  <c r="L259" i="117"/>
  <c r="L260" i="117"/>
  <c r="L261" i="117"/>
  <c r="L262" i="117"/>
  <c r="L263" i="117"/>
  <c r="L264" i="117"/>
  <c r="L265" i="117"/>
  <c r="L266" i="117"/>
  <c r="L267" i="117"/>
  <c r="L268" i="117"/>
  <c r="L269" i="117"/>
  <c r="L270" i="117"/>
  <c r="L271" i="117"/>
  <c r="L272" i="117"/>
  <c r="L273" i="117"/>
  <c r="L274" i="117"/>
  <c r="L275" i="117"/>
  <c r="L276" i="117"/>
  <c r="L277" i="117"/>
  <c r="L278" i="117"/>
  <c r="L279" i="117"/>
  <c r="L280" i="117"/>
  <c r="L281" i="117"/>
  <c r="L282" i="117"/>
  <c r="L283" i="117"/>
  <c r="L284" i="117"/>
  <c r="L285" i="117"/>
  <c r="L286" i="117"/>
  <c r="L287" i="117"/>
  <c r="L288" i="117"/>
  <c r="L289" i="117"/>
  <c r="L290" i="117"/>
  <c r="L291" i="117"/>
  <c r="L292" i="117"/>
  <c r="L293" i="117"/>
  <c r="L294" i="117"/>
  <c r="L295" i="117"/>
  <c r="L296" i="117"/>
  <c r="L297" i="117"/>
  <c r="L298" i="117"/>
  <c r="L299" i="117"/>
  <c r="L300" i="117"/>
  <c r="L301" i="117"/>
  <c r="L302" i="117"/>
  <c r="L303" i="117"/>
  <c r="L304" i="117"/>
  <c r="L305" i="117"/>
  <c r="L306" i="117"/>
  <c r="L307" i="117"/>
  <c r="L308" i="117"/>
  <c r="L309" i="117"/>
  <c r="L310" i="117"/>
  <c r="L311" i="117"/>
  <c r="L312" i="117"/>
  <c r="L313" i="117"/>
  <c r="L314" i="117"/>
  <c r="L315" i="117"/>
  <c r="L316" i="117"/>
  <c r="L317" i="117"/>
  <c r="L318" i="117"/>
  <c r="L319" i="117"/>
  <c r="L320" i="117"/>
  <c r="L321" i="117"/>
  <c r="L322" i="117"/>
  <c r="L323" i="117"/>
  <c r="L324" i="117"/>
  <c r="L325" i="117"/>
  <c r="L326" i="117"/>
  <c r="L327" i="117"/>
  <c r="L328" i="117"/>
  <c r="L329" i="117"/>
  <c r="L330" i="117"/>
  <c r="L331" i="117"/>
  <c r="L332" i="117"/>
  <c r="L333" i="117"/>
  <c r="L334" i="117"/>
  <c r="L335" i="117"/>
  <c r="L336" i="117"/>
  <c r="L337" i="117"/>
  <c r="L338" i="117"/>
  <c r="L339" i="117"/>
  <c r="L340" i="117"/>
  <c r="L341" i="117"/>
  <c r="L342" i="117"/>
  <c r="L343" i="117"/>
  <c r="L344" i="117"/>
  <c r="L345" i="117"/>
  <c r="L346" i="117"/>
  <c r="L347" i="117"/>
  <c r="L348" i="117"/>
  <c r="L349" i="117"/>
  <c r="L350" i="117"/>
  <c r="L351" i="117"/>
  <c r="L352" i="117"/>
  <c r="L353" i="117"/>
  <c r="L354" i="117"/>
  <c r="L355" i="117"/>
  <c r="L356" i="117"/>
  <c r="L357" i="117"/>
  <c r="L358" i="117"/>
  <c r="L359" i="117"/>
  <c r="L360" i="117"/>
  <c r="L361" i="117"/>
  <c r="L362" i="117"/>
  <c r="L363" i="117"/>
  <c r="L364" i="117"/>
  <c r="L365" i="117"/>
  <c r="L366" i="117"/>
  <c r="L367" i="117"/>
  <c r="L368" i="117"/>
  <c r="L369" i="117"/>
  <c r="L370" i="117"/>
  <c r="L371" i="117"/>
  <c r="L372" i="117"/>
  <c r="L373" i="117"/>
  <c r="L374" i="117"/>
  <c r="L375" i="117"/>
  <c r="L376" i="117"/>
  <c r="L377" i="117"/>
  <c r="L378" i="117"/>
  <c r="L379" i="117"/>
  <c r="L380" i="117"/>
  <c r="L381" i="117"/>
  <c r="L382" i="117"/>
  <c r="L383" i="117"/>
  <c r="L384" i="117"/>
  <c r="L385" i="117"/>
  <c r="L386" i="117"/>
  <c r="L387" i="117"/>
  <c r="L388" i="117"/>
  <c r="L389" i="117"/>
  <c r="L390" i="117"/>
  <c r="L391" i="117"/>
  <c r="L392" i="117"/>
  <c r="L393" i="117"/>
  <c r="L394" i="117"/>
  <c r="L395" i="117"/>
  <c r="L396" i="117"/>
  <c r="L397" i="117"/>
  <c r="L398" i="117"/>
  <c r="L399" i="117"/>
  <c r="L400" i="117"/>
  <c r="L401" i="117"/>
  <c r="L402" i="117"/>
  <c r="L403" i="117"/>
  <c r="L404" i="117"/>
  <c r="L405" i="117"/>
  <c r="L406" i="117"/>
  <c r="L407" i="117"/>
  <c r="L408" i="117"/>
  <c r="L409" i="117"/>
  <c r="L410" i="117"/>
  <c r="L411" i="117"/>
  <c r="L412" i="117"/>
  <c r="L413" i="117"/>
  <c r="L414" i="117"/>
  <c r="L415" i="117"/>
  <c r="L416" i="117"/>
  <c r="L417" i="117"/>
  <c r="L418" i="117"/>
  <c r="L419" i="117"/>
  <c r="L420" i="117"/>
  <c r="L421" i="117"/>
  <c r="L422" i="117"/>
  <c r="L423" i="117"/>
  <c r="L424" i="117"/>
  <c r="L425" i="117"/>
  <c r="L426" i="117"/>
  <c r="L427" i="117"/>
  <c r="L428" i="117"/>
  <c r="L429" i="117"/>
  <c r="L430" i="117"/>
  <c r="L431" i="117"/>
  <c r="L432" i="117"/>
  <c r="L433" i="117"/>
  <c r="L434" i="117"/>
  <c r="L435" i="117"/>
  <c r="L436" i="117"/>
  <c r="L437" i="117"/>
  <c r="L438" i="117"/>
  <c r="L439" i="117"/>
  <c r="L440" i="117"/>
  <c r="L441" i="117"/>
  <c r="L442" i="117"/>
  <c r="L443" i="117"/>
  <c r="L444" i="117"/>
  <c r="L445" i="117"/>
  <c r="L446" i="117"/>
  <c r="L447" i="117"/>
  <c r="L448" i="117"/>
  <c r="L449" i="117"/>
  <c r="L450" i="117"/>
  <c r="L451" i="117"/>
  <c r="L452" i="117"/>
  <c r="L453" i="117"/>
  <c r="L454" i="117"/>
  <c r="L455" i="117"/>
  <c r="L456" i="117"/>
  <c r="L457" i="117"/>
  <c r="L458" i="117"/>
  <c r="L459" i="117"/>
  <c r="L460" i="117"/>
  <c r="L461" i="117"/>
  <c r="L462" i="117"/>
  <c r="L463" i="117"/>
  <c r="L464" i="117"/>
  <c r="L465" i="117"/>
  <c r="L466" i="117"/>
  <c r="L467" i="117"/>
  <c r="L468" i="117"/>
  <c r="L469" i="117"/>
  <c r="L470" i="117"/>
  <c r="L471" i="117"/>
  <c r="L472" i="117"/>
  <c r="L473" i="117"/>
  <c r="L474" i="117"/>
  <c r="L475" i="117"/>
  <c r="L476" i="117"/>
  <c r="L477" i="117"/>
  <c r="L478" i="117"/>
  <c r="L479" i="117"/>
  <c r="L480" i="117"/>
  <c r="L481" i="117"/>
  <c r="L482" i="117"/>
  <c r="L483" i="117"/>
  <c r="L484" i="117"/>
  <c r="L485" i="117"/>
  <c r="L486" i="117"/>
  <c r="L487" i="117"/>
  <c r="L488" i="117"/>
  <c r="L489" i="117"/>
  <c r="L490" i="117"/>
  <c r="L491" i="117"/>
  <c r="L492" i="117"/>
  <c r="L493" i="117"/>
  <c r="L494" i="117"/>
  <c r="L495" i="117"/>
  <c r="L496" i="117"/>
  <c r="L497" i="117"/>
  <c r="L498" i="117"/>
  <c r="L499" i="117"/>
  <c r="L500" i="117"/>
  <c r="L501" i="117"/>
  <c r="L502" i="117"/>
  <c r="L503" i="117"/>
  <c r="L504" i="117"/>
  <c r="L505" i="117"/>
  <c r="L506" i="117"/>
  <c r="L507" i="117"/>
  <c r="L508" i="117"/>
  <c r="L509" i="117"/>
  <c r="L510" i="117"/>
  <c r="L511" i="117"/>
  <c r="L512" i="117"/>
  <c r="L513" i="117"/>
  <c r="L514" i="117"/>
  <c r="L515" i="117"/>
  <c r="L516" i="117"/>
  <c r="L517" i="117"/>
  <c r="L518" i="117"/>
  <c r="L519" i="117"/>
  <c r="L520" i="117"/>
  <c r="L521" i="117"/>
  <c r="L522" i="117"/>
  <c r="L523" i="117"/>
  <c r="L524" i="117"/>
  <c r="L525" i="117"/>
  <c r="L526" i="117"/>
  <c r="L527" i="117"/>
  <c r="L528" i="117"/>
  <c r="L529" i="117"/>
  <c r="L530" i="117"/>
  <c r="L531" i="117"/>
  <c r="L532" i="117"/>
  <c r="L533" i="117"/>
  <c r="L534" i="117"/>
  <c r="L535" i="117"/>
  <c r="L536" i="117"/>
  <c r="L537" i="117"/>
  <c r="L538" i="117"/>
  <c r="L539" i="117"/>
  <c r="L540" i="117"/>
  <c r="L541" i="117"/>
  <c r="L542" i="117"/>
  <c r="L543" i="117"/>
  <c r="L544" i="117"/>
  <c r="L545" i="117"/>
  <c r="L546" i="117"/>
  <c r="L547" i="117"/>
  <c r="L548" i="117"/>
  <c r="L549" i="117"/>
  <c r="L550" i="117"/>
  <c r="L551" i="117"/>
  <c r="L552" i="117"/>
  <c r="L553" i="117"/>
  <c r="L554" i="117"/>
  <c r="L555" i="117"/>
  <c r="L556" i="117"/>
  <c r="L557" i="117"/>
  <c r="L558" i="117"/>
  <c r="L559" i="117"/>
  <c r="L560" i="117"/>
  <c r="L561" i="117"/>
  <c r="L562" i="117"/>
  <c r="L563" i="117"/>
  <c r="L564" i="117"/>
  <c r="L565" i="117"/>
  <c r="L566" i="117"/>
  <c r="L567" i="117"/>
  <c r="L568" i="117"/>
  <c r="L569" i="117"/>
  <c r="L570" i="117"/>
  <c r="L571" i="117"/>
  <c r="L572" i="117"/>
  <c r="L573" i="117"/>
  <c r="L574" i="117"/>
  <c r="L575" i="117"/>
  <c r="L576" i="117"/>
  <c r="L577" i="117"/>
  <c r="L578" i="117"/>
  <c r="L579" i="117"/>
  <c r="L580" i="117"/>
  <c r="L581" i="117"/>
  <c r="L582" i="117"/>
  <c r="L583" i="117"/>
  <c r="L584" i="117"/>
  <c r="L585" i="117"/>
  <c r="L586" i="117"/>
  <c r="L587" i="117"/>
  <c r="L588" i="117"/>
  <c r="L589" i="117"/>
  <c r="L590" i="117"/>
  <c r="L591" i="117"/>
  <c r="L592" i="117"/>
  <c r="L593" i="117"/>
  <c r="L594" i="117"/>
  <c r="L595" i="117"/>
  <c r="L596" i="117"/>
  <c r="L597" i="117"/>
  <c r="L598" i="117"/>
  <c r="L599" i="117"/>
  <c r="L600" i="117"/>
  <c r="L601" i="117"/>
  <c r="L602" i="117"/>
  <c r="L603" i="117"/>
  <c r="L604" i="117"/>
  <c r="L605" i="117"/>
  <c r="L606" i="117"/>
  <c r="L607" i="117"/>
  <c r="L608" i="117"/>
  <c r="L609" i="117"/>
  <c r="L610" i="117"/>
  <c r="L611" i="117"/>
  <c r="L612" i="117"/>
  <c r="L613" i="117"/>
  <c r="L614" i="117"/>
  <c r="L615" i="117"/>
  <c r="L616" i="117"/>
  <c r="L617" i="117"/>
  <c r="L618" i="117"/>
  <c r="L619" i="117"/>
  <c r="L620" i="117"/>
  <c r="L621" i="117"/>
  <c r="L622" i="117"/>
  <c r="L623" i="117"/>
  <c r="L624" i="117"/>
  <c r="L625" i="117"/>
  <c r="L626" i="117"/>
  <c r="L627" i="117"/>
  <c r="L628" i="117"/>
  <c r="L629" i="117"/>
  <c r="L630" i="117"/>
  <c r="L631" i="117"/>
  <c r="L632" i="117"/>
  <c r="L633" i="117"/>
  <c r="L634" i="117"/>
  <c r="L635" i="117"/>
  <c r="L636" i="117"/>
  <c r="L637" i="117"/>
  <c r="L638" i="117"/>
  <c r="L639" i="117"/>
  <c r="L640" i="117"/>
  <c r="L641" i="117"/>
  <c r="L642" i="117"/>
  <c r="L643" i="117"/>
  <c r="L644" i="117"/>
  <c r="L645" i="117"/>
  <c r="L646" i="117"/>
  <c r="L647" i="117"/>
  <c r="L648" i="117"/>
  <c r="L649" i="117"/>
  <c r="L650" i="117"/>
  <c r="L651" i="117"/>
  <c r="L652" i="117"/>
  <c r="L653" i="117"/>
  <c r="L654" i="117"/>
  <c r="L655" i="117"/>
  <c r="L656" i="117"/>
  <c r="L657" i="117"/>
  <c r="L658" i="117"/>
  <c r="L659" i="117"/>
  <c r="L660" i="117"/>
  <c r="L661" i="117"/>
  <c r="L662" i="117"/>
  <c r="L663" i="117"/>
  <c r="L664" i="117"/>
  <c r="L665" i="117"/>
  <c r="L666" i="117"/>
  <c r="L667" i="117"/>
  <c r="L668" i="117"/>
  <c r="L669" i="117"/>
  <c r="L670" i="117"/>
  <c r="L671" i="117"/>
  <c r="L672" i="117"/>
  <c r="L673" i="117"/>
  <c r="L674" i="117"/>
  <c r="L675" i="117"/>
  <c r="L676" i="117"/>
  <c r="L677" i="117"/>
  <c r="L678" i="117"/>
  <c r="L679" i="117"/>
  <c r="L680" i="117"/>
  <c r="L681" i="117"/>
  <c r="L682" i="117"/>
  <c r="L683" i="117"/>
  <c r="L684" i="117"/>
  <c r="L685" i="117"/>
  <c r="L686" i="117"/>
  <c r="L687" i="117"/>
  <c r="L688" i="117"/>
  <c r="L689" i="117"/>
  <c r="L690" i="117"/>
  <c r="L691" i="117"/>
  <c r="L692" i="117"/>
  <c r="L693" i="117"/>
  <c r="L694" i="117"/>
  <c r="L695" i="117"/>
  <c r="L696" i="117"/>
  <c r="L697" i="117"/>
  <c r="L698" i="117"/>
  <c r="L699" i="117"/>
  <c r="L700" i="117"/>
  <c r="L701" i="117"/>
  <c r="L702" i="117"/>
  <c r="L703" i="117"/>
  <c r="L704" i="117"/>
  <c r="L705" i="117"/>
  <c r="L706" i="117"/>
  <c r="L707" i="117"/>
  <c r="L708" i="117"/>
  <c r="L709" i="117"/>
  <c r="L710" i="117"/>
  <c r="L711" i="117"/>
  <c r="L712" i="117"/>
  <c r="L713" i="117"/>
  <c r="L714" i="117"/>
  <c r="L715" i="117"/>
  <c r="L716" i="117"/>
  <c r="L717" i="117"/>
  <c r="L718" i="117"/>
  <c r="L719" i="117"/>
  <c r="L720" i="117"/>
  <c r="L721" i="117"/>
  <c r="L722" i="117"/>
  <c r="L723" i="117"/>
  <c r="L724" i="117"/>
  <c r="L725" i="117"/>
  <c r="L726" i="117"/>
  <c r="L727" i="117"/>
  <c r="L728" i="117"/>
  <c r="L729" i="117"/>
  <c r="L730" i="117"/>
  <c r="L731" i="117"/>
  <c r="L732" i="117"/>
  <c r="L733" i="117"/>
  <c r="L734" i="117"/>
  <c r="L735" i="117"/>
  <c r="L736" i="117"/>
  <c r="L737" i="117"/>
  <c r="L738" i="117"/>
  <c r="L739" i="117"/>
  <c r="L740" i="117"/>
  <c r="L741" i="117"/>
  <c r="L742" i="117"/>
  <c r="L743" i="117"/>
  <c r="L744" i="117"/>
  <c r="L745" i="117"/>
  <c r="L746" i="117"/>
  <c r="L747" i="117"/>
  <c r="L748" i="117"/>
  <c r="L749" i="117"/>
  <c r="L750" i="117"/>
  <c r="L751" i="117"/>
  <c r="L752" i="117"/>
  <c r="L753" i="117"/>
  <c r="L754" i="117"/>
  <c r="L755" i="117"/>
  <c r="L756" i="117"/>
  <c r="L757" i="117"/>
  <c r="L758" i="117"/>
  <c r="L759" i="117"/>
  <c r="L760" i="117"/>
  <c r="L761" i="117"/>
  <c r="L762" i="117"/>
  <c r="L763" i="117"/>
  <c r="L764" i="117"/>
  <c r="L765" i="117"/>
  <c r="L766" i="117"/>
  <c r="L767" i="117"/>
  <c r="L768" i="117"/>
  <c r="L769" i="117"/>
  <c r="L770" i="117"/>
  <c r="L771" i="117"/>
  <c r="L772" i="117"/>
  <c r="L773" i="117"/>
  <c r="L774" i="117"/>
  <c r="L775" i="117"/>
  <c r="L776" i="117"/>
  <c r="L777" i="117"/>
  <c r="L778" i="117"/>
  <c r="L779" i="117"/>
  <c r="L780" i="117"/>
  <c r="L781" i="117"/>
  <c r="L782" i="117"/>
  <c r="L783" i="117"/>
  <c r="L784" i="117"/>
  <c r="L785" i="117"/>
  <c r="L786" i="117"/>
  <c r="L787" i="117"/>
  <c r="L788" i="117"/>
  <c r="L789" i="117"/>
  <c r="L790" i="117"/>
  <c r="L791" i="117"/>
  <c r="L792" i="117"/>
  <c r="L793" i="117"/>
  <c r="L794" i="117"/>
  <c r="L795" i="117"/>
  <c r="L796" i="117"/>
  <c r="L797" i="117"/>
  <c r="L798" i="117"/>
  <c r="L799" i="117"/>
  <c r="L800" i="117"/>
  <c r="L801" i="117"/>
  <c r="L802" i="117"/>
  <c r="L803" i="117"/>
  <c r="L804" i="117"/>
  <c r="L805" i="117"/>
  <c r="L806" i="117"/>
  <c r="L807" i="117"/>
  <c r="L808" i="117"/>
  <c r="L5" i="117"/>
  <c r="M20" i="117"/>
  <c r="M21" i="117"/>
  <c r="M22" i="117"/>
  <c r="M23" i="117"/>
  <c r="M24" i="117"/>
  <c r="M25" i="117"/>
  <c r="M26" i="117"/>
  <c r="M27" i="117"/>
  <c r="M28" i="117"/>
  <c r="M29" i="117"/>
  <c r="M30" i="117"/>
  <c r="M31" i="117"/>
  <c r="M32" i="117"/>
  <c r="M33" i="117"/>
  <c r="M34" i="117"/>
  <c r="M35" i="117"/>
  <c r="M36" i="117"/>
  <c r="M37" i="117"/>
  <c r="M38" i="117"/>
  <c r="M39" i="117"/>
  <c r="M40" i="117"/>
  <c r="M41" i="117"/>
  <c r="M42" i="117"/>
  <c r="M43" i="117"/>
  <c r="M44" i="117"/>
  <c r="M45" i="117"/>
  <c r="M46" i="117"/>
  <c r="M47" i="117"/>
  <c r="M48" i="117"/>
  <c r="M49" i="117"/>
  <c r="M50" i="117"/>
  <c r="M51" i="117"/>
  <c r="M52" i="117"/>
  <c r="M53" i="117"/>
  <c r="M54" i="117"/>
  <c r="M55" i="117"/>
  <c r="M56" i="117"/>
  <c r="M57" i="117"/>
  <c r="M58" i="117"/>
  <c r="M59" i="117"/>
  <c r="M60" i="117"/>
  <c r="M61" i="117"/>
  <c r="M62" i="117"/>
  <c r="M63" i="117"/>
  <c r="M64" i="117"/>
  <c r="M65" i="117"/>
  <c r="M66" i="117"/>
  <c r="M67" i="117"/>
  <c r="M68" i="117"/>
  <c r="M69" i="117"/>
  <c r="M70" i="117"/>
  <c r="M71" i="117"/>
  <c r="M72" i="117"/>
  <c r="M73" i="117"/>
  <c r="M74" i="117"/>
  <c r="M75" i="117"/>
  <c r="M76" i="117"/>
  <c r="M77" i="117"/>
  <c r="M78" i="117"/>
  <c r="M79" i="117"/>
  <c r="M80" i="117"/>
  <c r="M81" i="117"/>
  <c r="M82" i="117"/>
  <c r="M83" i="117"/>
  <c r="M84" i="117"/>
  <c r="M85" i="117"/>
  <c r="M86" i="117"/>
  <c r="M87" i="117"/>
  <c r="M88" i="117"/>
  <c r="M89" i="117"/>
  <c r="M90" i="117"/>
  <c r="M91" i="117"/>
  <c r="M92" i="117"/>
  <c r="M93" i="117"/>
  <c r="M94" i="117"/>
  <c r="M95" i="117"/>
  <c r="M96" i="117"/>
  <c r="M97" i="117"/>
  <c r="M98" i="117"/>
  <c r="M99" i="117"/>
  <c r="M100" i="117"/>
  <c r="M101" i="117"/>
  <c r="M102" i="117"/>
  <c r="M103" i="117"/>
  <c r="M104" i="117"/>
  <c r="M105" i="117"/>
  <c r="M106" i="117"/>
  <c r="M107" i="117"/>
  <c r="M108" i="117"/>
  <c r="M109" i="117"/>
  <c r="M110" i="117"/>
  <c r="M111" i="117"/>
  <c r="M112" i="117"/>
  <c r="M113" i="117"/>
  <c r="M114" i="117"/>
  <c r="M115" i="117"/>
  <c r="M116" i="117"/>
  <c r="M117" i="117"/>
  <c r="M118" i="117"/>
  <c r="M119" i="117"/>
  <c r="M120" i="117"/>
  <c r="M121" i="117"/>
  <c r="M122" i="117"/>
  <c r="M123" i="117"/>
  <c r="M124" i="117"/>
  <c r="M125" i="117"/>
  <c r="M126" i="117"/>
  <c r="M127" i="117"/>
  <c r="M128" i="117"/>
  <c r="M129" i="117"/>
  <c r="M130" i="117"/>
  <c r="M131" i="117"/>
  <c r="M132" i="117"/>
  <c r="M133" i="117"/>
  <c r="M134" i="117"/>
  <c r="M135" i="117"/>
  <c r="M136" i="117"/>
  <c r="M137" i="117"/>
  <c r="M138" i="117"/>
  <c r="M139" i="117"/>
  <c r="M140" i="117"/>
  <c r="M141" i="117"/>
  <c r="M142" i="117"/>
  <c r="M143" i="117"/>
  <c r="M144" i="117"/>
  <c r="M145" i="117"/>
  <c r="M146" i="117"/>
  <c r="M147" i="117"/>
  <c r="M148" i="117"/>
  <c r="M149" i="117"/>
  <c r="M150" i="117"/>
  <c r="M151" i="117"/>
  <c r="M152" i="117"/>
  <c r="M153" i="117"/>
  <c r="M154" i="117"/>
  <c r="M155" i="117"/>
  <c r="M156" i="117"/>
  <c r="M157" i="117"/>
  <c r="M158" i="117"/>
  <c r="M159" i="117"/>
  <c r="M160" i="117"/>
  <c r="M161" i="117"/>
  <c r="M162" i="117"/>
  <c r="M163" i="117"/>
  <c r="M164" i="117"/>
  <c r="M165" i="117"/>
  <c r="M166" i="117"/>
  <c r="M167" i="117"/>
  <c r="M168" i="117"/>
  <c r="M169" i="117"/>
  <c r="M170" i="117"/>
  <c r="M171" i="117"/>
  <c r="M172" i="117"/>
  <c r="M173" i="117"/>
  <c r="M174" i="117"/>
  <c r="M175" i="117"/>
  <c r="M176" i="117"/>
  <c r="M177" i="117"/>
  <c r="M178" i="117"/>
  <c r="M179" i="117"/>
  <c r="M180" i="117"/>
  <c r="M181" i="117"/>
  <c r="M182" i="117"/>
  <c r="M183" i="117"/>
  <c r="M184" i="117"/>
  <c r="M185" i="117"/>
  <c r="M186" i="117"/>
  <c r="M187" i="117"/>
  <c r="M188" i="117"/>
  <c r="M189" i="117"/>
  <c r="M190" i="117"/>
  <c r="M191" i="117"/>
  <c r="M192" i="117"/>
  <c r="M193" i="117"/>
  <c r="M194" i="117"/>
  <c r="M195" i="117"/>
  <c r="M196" i="117"/>
  <c r="M197" i="117"/>
  <c r="M198" i="117"/>
  <c r="M199" i="117"/>
  <c r="M200" i="117"/>
  <c r="M201" i="117"/>
  <c r="M202" i="117"/>
  <c r="M203" i="117"/>
  <c r="M204" i="117"/>
  <c r="M205" i="117"/>
  <c r="M206" i="117"/>
  <c r="M207" i="117"/>
  <c r="M208" i="117"/>
  <c r="M209" i="117"/>
  <c r="M210" i="117"/>
  <c r="M211" i="117"/>
  <c r="M212" i="117"/>
  <c r="M213" i="117"/>
  <c r="M214" i="117"/>
  <c r="M215" i="117"/>
  <c r="M216" i="117"/>
  <c r="M217" i="117"/>
  <c r="M218" i="117"/>
  <c r="M219" i="117"/>
  <c r="M220" i="117"/>
  <c r="M221" i="117"/>
  <c r="M222" i="117"/>
  <c r="M223" i="117"/>
  <c r="M224" i="117"/>
  <c r="M225" i="117"/>
  <c r="M226" i="117"/>
  <c r="M227" i="117"/>
  <c r="M228" i="117"/>
  <c r="M229" i="117"/>
  <c r="M230" i="117"/>
  <c r="M231" i="117"/>
  <c r="M232" i="117"/>
  <c r="M233" i="117"/>
  <c r="M234" i="117"/>
  <c r="M235" i="117"/>
  <c r="M236" i="117"/>
  <c r="M237" i="117"/>
  <c r="M238" i="117"/>
  <c r="M239" i="117"/>
  <c r="M240" i="117"/>
  <c r="M241" i="117"/>
  <c r="M242" i="117"/>
  <c r="M243" i="117"/>
  <c r="M244" i="117"/>
  <c r="M245" i="117"/>
  <c r="M246" i="117"/>
  <c r="M247" i="117"/>
  <c r="M248" i="117"/>
  <c r="M249" i="117"/>
  <c r="M250" i="117"/>
  <c r="M251" i="117"/>
  <c r="M252" i="117"/>
  <c r="M253" i="117"/>
  <c r="M254" i="117"/>
  <c r="M255" i="117"/>
  <c r="M256" i="117"/>
  <c r="M257" i="117"/>
  <c r="M258" i="117"/>
  <c r="M259" i="117"/>
  <c r="M260" i="117"/>
  <c r="M261" i="117"/>
  <c r="M262" i="117"/>
  <c r="M263" i="117"/>
  <c r="M264" i="117"/>
  <c r="M265" i="117"/>
  <c r="M266" i="117"/>
  <c r="M267" i="117"/>
  <c r="M268" i="117"/>
  <c r="M269" i="117"/>
  <c r="M270" i="117"/>
  <c r="M271" i="117"/>
  <c r="M272" i="117"/>
  <c r="M273" i="117"/>
  <c r="M274" i="117"/>
  <c r="M275" i="117"/>
  <c r="M276" i="117"/>
  <c r="M277" i="117"/>
  <c r="M278" i="117"/>
  <c r="M279" i="117"/>
  <c r="M280" i="117"/>
  <c r="M281" i="117"/>
  <c r="M282" i="117"/>
  <c r="M283" i="117"/>
  <c r="M284" i="117"/>
  <c r="M285" i="117"/>
  <c r="M286" i="117"/>
  <c r="M287" i="117"/>
  <c r="M288" i="117"/>
  <c r="M289" i="117"/>
  <c r="M290" i="117"/>
  <c r="M291" i="117"/>
  <c r="M292" i="117"/>
  <c r="M293" i="117"/>
  <c r="M294" i="117"/>
  <c r="M295" i="117"/>
  <c r="M296" i="117"/>
  <c r="M297" i="117"/>
  <c r="M298" i="117"/>
  <c r="M299" i="117"/>
  <c r="M300" i="117"/>
  <c r="M301" i="117"/>
  <c r="M302" i="117"/>
  <c r="M303" i="117"/>
  <c r="M304" i="117"/>
  <c r="M305" i="117"/>
  <c r="M306" i="117"/>
  <c r="M307" i="117"/>
  <c r="M308" i="117"/>
  <c r="M309" i="117"/>
  <c r="M310" i="117"/>
  <c r="M311" i="117"/>
  <c r="M312" i="117"/>
  <c r="M313" i="117"/>
  <c r="M314" i="117"/>
  <c r="M315" i="117"/>
  <c r="M316" i="117"/>
  <c r="M317" i="117"/>
  <c r="M318" i="117"/>
  <c r="M319" i="117"/>
  <c r="M320" i="117"/>
  <c r="M321" i="117"/>
  <c r="M322" i="117"/>
  <c r="M323" i="117"/>
  <c r="M324" i="117"/>
  <c r="M325" i="117"/>
  <c r="M326" i="117"/>
  <c r="M327" i="117"/>
  <c r="M328" i="117"/>
  <c r="M329" i="117"/>
  <c r="M330" i="117"/>
  <c r="M331" i="117"/>
  <c r="M332" i="117"/>
  <c r="M333" i="117"/>
  <c r="M334" i="117"/>
  <c r="M335" i="117"/>
  <c r="M336" i="117"/>
  <c r="M337" i="117"/>
  <c r="M338" i="117"/>
  <c r="M339" i="117"/>
  <c r="M340" i="117"/>
  <c r="M341" i="117"/>
  <c r="M342" i="117"/>
  <c r="M343" i="117"/>
  <c r="M344" i="117"/>
  <c r="M345" i="117"/>
  <c r="M346" i="117"/>
  <c r="M347" i="117"/>
  <c r="M348" i="117"/>
  <c r="M349" i="117"/>
  <c r="M350" i="117"/>
  <c r="M351" i="117"/>
  <c r="M352" i="117"/>
  <c r="M353" i="117"/>
  <c r="M354" i="117"/>
  <c r="M355" i="117"/>
  <c r="M356" i="117"/>
  <c r="M357" i="117"/>
  <c r="M358" i="117"/>
  <c r="M359" i="117"/>
  <c r="M360" i="117"/>
  <c r="M361" i="117"/>
  <c r="M362" i="117"/>
  <c r="M363" i="117"/>
  <c r="M364" i="117"/>
  <c r="M365" i="117"/>
  <c r="M366" i="117"/>
  <c r="M367" i="117"/>
  <c r="M368" i="117"/>
  <c r="M369" i="117"/>
  <c r="M370" i="117"/>
  <c r="M371" i="117"/>
  <c r="M372" i="117"/>
  <c r="M373" i="117"/>
  <c r="M374" i="117"/>
  <c r="M375" i="117"/>
  <c r="M376" i="117"/>
  <c r="M377" i="117"/>
  <c r="M378" i="117"/>
  <c r="M379" i="117"/>
  <c r="M380" i="117"/>
  <c r="M381" i="117"/>
  <c r="M382" i="117"/>
  <c r="M383" i="117"/>
  <c r="M384" i="117"/>
  <c r="M385" i="117"/>
  <c r="M386" i="117"/>
  <c r="M387" i="117"/>
  <c r="M388" i="117"/>
  <c r="M389" i="117"/>
  <c r="M390" i="117"/>
  <c r="M391" i="117"/>
  <c r="M392" i="117"/>
  <c r="M393" i="117"/>
  <c r="M394" i="117"/>
  <c r="M395" i="117"/>
  <c r="M396" i="117"/>
  <c r="M397" i="117"/>
  <c r="M398" i="117"/>
  <c r="M399" i="117"/>
  <c r="M400" i="117"/>
  <c r="M401" i="117"/>
  <c r="M402" i="117"/>
  <c r="M403" i="117"/>
  <c r="M404" i="117"/>
  <c r="M405" i="117"/>
  <c r="M406" i="117"/>
  <c r="M407" i="117"/>
  <c r="M408" i="117"/>
  <c r="M409" i="117"/>
  <c r="M410" i="117"/>
  <c r="M411" i="117"/>
  <c r="M412" i="117"/>
  <c r="M413" i="117"/>
  <c r="M414" i="117"/>
  <c r="M415" i="117"/>
  <c r="M416" i="117"/>
  <c r="M417" i="117"/>
  <c r="M418" i="117"/>
  <c r="M419" i="117"/>
  <c r="M420" i="117"/>
  <c r="M421" i="117"/>
  <c r="M422" i="117"/>
  <c r="M423" i="117"/>
  <c r="M424" i="117"/>
  <c r="M425" i="117"/>
  <c r="M426" i="117"/>
  <c r="M427" i="117"/>
  <c r="M428" i="117"/>
  <c r="M429" i="117"/>
  <c r="M430" i="117"/>
  <c r="M431" i="117"/>
  <c r="M432" i="117"/>
  <c r="M433" i="117"/>
  <c r="M434" i="117"/>
  <c r="M435" i="117"/>
  <c r="M436" i="117"/>
  <c r="M437" i="117"/>
  <c r="M438" i="117"/>
  <c r="M439" i="117"/>
  <c r="M440" i="117"/>
  <c r="M441" i="117"/>
  <c r="M442" i="117"/>
  <c r="M443" i="117"/>
  <c r="M444" i="117"/>
  <c r="M445" i="117"/>
  <c r="M446" i="117"/>
  <c r="M447" i="117"/>
  <c r="M448" i="117"/>
  <c r="M449" i="117"/>
  <c r="M450" i="117"/>
  <c r="M451" i="117"/>
  <c r="M452" i="117"/>
  <c r="M453" i="117"/>
  <c r="M454" i="117"/>
  <c r="M455" i="117"/>
  <c r="M456" i="117"/>
  <c r="M457" i="117"/>
  <c r="M458" i="117"/>
  <c r="M459" i="117"/>
  <c r="M460" i="117"/>
  <c r="M461" i="117"/>
  <c r="M462" i="117"/>
  <c r="M463" i="117"/>
  <c r="M464" i="117"/>
  <c r="M465" i="117"/>
  <c r="M466" i="117"/>
  <c r="M467" i="117"/>
  <c r="M468" i="117"/>
  <c r="M469" i="117"/>
  <c r="M470" i="117"/>
  <c r="M471" i="117"/>
  <c r="M472" i="117"/>
  <c r="M473" i="117"/>
  <c r="M474" i="117"/>
  <c r="M475" i="117"/>
  <c r="M476" i="117"/>
  <c r="M477" i="117"/>
  <c r="M478" i="117"/>
  <c r="M479" i="117"/>
  <c r="M480" i="117"/>
  <c r="M481" i="117"/>
  <c r="M482" i="117"/>
  <c r="M483" i="117"/>
  <c r="M484" i="117"/>
  <c r="M485" i="117"/>
  <c r="M486" i="117"/>
  <c r="M487" i="117"/>
  <c r="M488" i="117"/>
  <c r="M489" i="117"/>
  <c r="M490" i="117"/>
  <c r="M491" i="117"/>
  <c r="M492" i="117"/>
  <c r="M493" i="117"/>
  <c r="M494" i="117"/>
  <c r="M495" i="117"/>
  <c r="M496" i="117"/>
  <c r="M497" i="117"/>
  <c r="M498" i="117"/>
  <c r="M499" i="117"/>
  <c r="M500" i="117"/>
  <c r="M501" i="117"/>
  <c r="M502" i="117"/>
  <c r="M503" i="117"/>
  <c r="M504" i="117"/>
  <c r="M505" i="117"/>
  <c r="M506" i="117"/>
  <c r="M507" i="117"/>
  <c r="M508" i="117"/>
  <c r="M509" i="117"/>
  <c r="M510" i="117"/>
  <c r="M511" i="117"/>
  <c r="M512" i="117"/>
  <c r="M513" i="117"/>
  <c r="M514" i="117"/>
  <c r="M515" i="117"/>
  <c r="M516" i="117"/>
  <c r="M517" i="117"/>
  <c r="M518" i="117"/>
  <c r="M519" i="117"/>
  <c r="M520" i="117"/>
  <c r="M521" i="117"/>
  <c r="M522" i="117"/>
  <c r="M523" i="117"/>
  <c r="M524" i="117"/>
  <c r="M525" i="117"/>
  <c r="M526" i="117"/>
  <c r="M527" i="117"/>
  <c r="M528" i="117"/>
  <c r="M529" i="117"/>
  <c r="M530" i="117"/>
  <c r="M531" i="117"/>
  <c r="M532" i="117"/>
  <c r="M533" i="117"/>
  <c r="M534" i="117"/>
  <c r="M535" i="117"/>
  <c r="M536" i="117"/>
  <c r="M537" i="117"/>
  <c r="M538" i="117"/>
  <c r="M539" i="117"/>
  <c r="M540" i="117"/>
  <c r="M541" i="117"/>
  <c r="M542" i="117"/>
  <c r="M543" i="117"/>
  <c r="M544" i="117"/>
  <c r="M545" i="117"/>
  <c r="M546" i="117"/>
  <c r="M547" i="117"/>
  <c r="M548" i="117"/>
  <c r="M549" i="117"/>
  <c r="M550" i="117"/>
  <c r="M551" i="117"/>
  <c r="M552" i="117"/>
  <c r="M553" i="117"/>
  <c r="M554" i="117"/>
  <c r="M555" i="117"/>
  <c r="M556" i="117"/>
  <c r="M557" i="117"/>
  <c r="M558" i="117"/>
  <c r="M559" i="117"/>
  <c r="M560" i="117"/>
  <c r="M561" i="117"/>
  <c r="M562" i="117"/>
  <c r="M563" i="117"/>
  <c r="M564" i="117"/>
  <c r="M565" i="117"/>
  <c r="M566" i="117"/>
  <c r="M567" i="117"/>
  <c r="M568" i="117"/>
  <c r="M569" i="117"/>
  <c r="M570" i="117"/>
  <c r="M571" i="117"/>
  <c r="M572" i="117"/>
  <c r="M573" i="117"/>
  <c r="M574" i="117"/>
  <c r="M575" i="117"/>
  <c r="M576" i="117"/>
  <c r="M577" i="117"/>
  <c r="M578" i="117"/>
  <c r="M579" i="117"/>
  <c r="M580" i="117"/>
  <c r="M581" i="117"/>
  <c r="M582" i="117"/>
  <c r="M583" i="117"/>
  <c r="M584" i="117"/>
  <c r="M585" i="117"/>
  <c r="M586" i="117"/>
  <c r="M587" i="117"/>
  <c r="M588" i="117"/>
  <c r="M589" i="117"/>
  <c r="M590" i="117"/>
  <c r="M591" i="117"/>
  <c r="M592" i="117"/>
  <c r="M593" i="117"/>
  <c r="M594" i="117"/>
  <c r="M595" i="117"/>
  <c r="M596" i="117"/>
  <c r="M597" i="117"/>
  <c r="M598" i="117"/>
  <c r="M599" i="117"/>
  <c r="M600" i="117"/>
  <c r="M601" i="117"/>
  <c r="M602" i="117"/>
  <c r="M603" i="117"/>
  <c r="M604" i="117"/>
  <c r="M605" i="117"/>
  <c r="M606" i="117"/>
  <c r="M607" i="117"/>
  <c r="M608" i="117"/>
  <c r="M609" i="117"/>
  <c r="M610" i="117"/>
  <c r="M611" i="117"/>
  <c r="M612" i="117"/>
  <c r="M613" i="117"/>
  <c r="M614" i="117"/>
  <c r="M615" i="117"/>
  <c r="M616" i="117"/>
  <c r="M617" i="117"/>
  <c r="M618" i="117"/>
  <c r="M619" i="117"/>
  <c r="M620" i="117"/>
  <c r="M621" i="117"/>
  <c r="M622" i="117"/>
  <c r="M623" i="117"/>
  <c r="M624" i="117"/>
  <c r="M625" i="117"/>
  <c r="M626" i="117"/>
  <c r="M627" i="117"/>
  <c r="M628" i="117"/>
  <c r="M629" i="117"/>
  <c r="M630" i="117"/>
  <c r="M631" i="117"/>
  <c r="M632" i="117"/>
  <c r="M633" i="117"/>
  <c r="M634" i="117"/>
  <c r="M635" i="117"/>
  <c r="M636" i="117"/>
  <c r="M637" i="117"/>
  <c r="M638" i="117"/>
  <c r="M639" i="117"/>
  <c r="M640" i="117"/>
  <c r="M641" i="117"/>
  <c r="M642" i="117"/>
  <c r="M643" i="117"/>
  <c r="M644" i="117"/>
  <c r="M645" i="117"/>
  <c r="M646" i="117"/>
  <c r="M647" i="117"/>
  <c r="M648" i="117"/>
  <c r="M649" i="117"/>
  <c r="M650" i="117"/>
  <c r="M651" i="117"/>
  <c r="M652" i="117"/>
  <c r="M653" i="117"/>
  <c r="M654" i="117"/>
  <c r="M655" i="117"/>
  <c r="M656" i="117"/>
  <c r="M657" i="117"/>
  <c r="M658" i="117"/>
  <c r="M659" i="117"/>
  <c r="M660" i="117"/>
  <c r="M661" i="117"/>
  <c r="M662" i="117"/>
  <c r="M663" i="117"/>
  <c r="M664" i="117"/>
  <c r="M665" i="117"/>
  <c r="M666" i="117"/>
  <c r="M667" i="117"/>
  <c r="M668" i="117"/>
  <c r="M669" i="117"/>
  <c r="M670" i="117"/>
  <c r="M671" i="117"/>
  <c r="M672" i="117"/>
  <c r="M673" i="117"/>
  <c r="M674" i="117"/>
  <c r="M675" i="117"/>
  <c r="M676" i="117"/>
  <c r="M677" i="117"/>
  <c r="M678" i="117"/>
  <c r="M679" i="117"/>
  <c r="M680" i="117"/>
  <c r="M681" i="117"/>
  <c r="M682" i="117"/>
  <c r="M683" i="117"/>
  <c r="M684" i="117"/>
  <c r="M685" i="117"/>
  <c r="M686" i="117"/>
  <c r="M687" i="117"/>
  <c r="M688" i="117"/>
  <c r="M689" i="117"/>
  <c r="M690" i="117"/>
  <c r="M691" i="117"/>
  <c r="M692" i="117"/>
  <c r="M693" i="117"/>
  <c r="M694" i="117"/>
  <c r="M695" i="117"/>
  <c r="M696" i="117"/>
  <c r="M697" i="117"/>
  <c r="M698" i="117"/>
  <c r="M699" i="117"/>
  <c r="M700" i="117"/>
  <c r="M701" i="117"/>
  <c r="M702" i="117"/>
  <c r="M703" i="117"/>
  <c r="M704" i="117"/>
  <c r="M705" i="117"/>
  <c r="M706" i="117"/>
  <c r="M707" i="117"/>
  <c r="M708" i="117"/>
  <c r="M709" i="117"/>
  <c r="M710" i="117"/>
  <c r="M711" i="117"/>
  <c r="M712" i="117"/>
  <c r="M713" i="117"/>
  <c r="M714" i="117"/>
  <c r="M715" i="117"/>
  <c r="M716" i="117"/>
  <c r="M717" i="117"/>
  <c r="M718" i="117"/>
  <c r="M719" i="117"/>
  <c r="M720" i="117"/>
  <c r="M721" i="117"/>
  <c r="M722" i="117"/>
  <c r="M723" i="117"/>
  <c r="M724" i="117"/>
  <c r="M725" i="117"/>
  <c r="M726" i="117"/>
  <c r="M727" i="117"/>
  <c r="M728" i="117"/>
  <c r="M729" i="117"/>
  <c r="M730" i="117"/>
  <c r="M731" i="117"/>
  <c r="M732" i="117"/>
  <c r="M733" i="117"/>
  <c r="M734" i="117"/>
  <c r="M735" i="117"/>
  <c r="M736" i="117"/>
  <c r="M737" i="117"/>
  <c r="M738" i="117"/>
  <c r="M739" i="117"/>
  <c r="M740" i="117"/>
  <c r="M741" i="117"/>
  <c r="M742" i="117"/>
  <c r="M743" i="117"/>
  <c r="M744" i="117"/>
  <c r="M745" i="117"/>
  <c r="M746" i="117"/>
  <c r="M747" i="117"/>
  <c r="M748" i="117"/>
  <c r="M749" i="117"/>
  <c r="M750" i="117"/>
  <c r="M751" i="117"/>
  <c r="M752" i="117"/>
  <c r="M753" i="117"/>
  <c r="M754" i="117"/>
  <c r="M755" i="117"/>
  <c r="M756" i="117"/>
  <c r="M757" i="117"/>
  <c r="M758" i="117"/>
  <c r="M759" i="117"/>
  <c r="M760" i="117"/>
  <c r="M761" i="117"/>
  <c r="M762" i="117"/>
  <c r="M763" i="117"/>
  <c r="M764" i="117"/>
  <c r="M765" i="117"/>
  <c r="M766" i="117"/>
  <c r="M767" i="117"/>
  <c r="M768" i="117"/>
  <c r="M769" i="117"/>
  <c r="M770" i="117"/>
  <c r="M771" i="117"/>
  <c r="M772" i="117"/>
  <c r="M773" i="117"/>
  <c r="M774" i="117"/>
  <c r="M775" i="117"/>
  <c r="M776" i="117"/>
  <c r="M777" i="117"/>
  <c r="M778" i="117"/>
  <c r="M779" i="117"/>
  <c r="M780" i="117"/>
  <c r="M781" i="117"/>
  <c r="M782" i="117"/>
  <c r="M783" i="117"/>
  <c r="M784" i="117"/>
  <c r="M785" i="117"/>
  <c r="M786" i="117"/>
  <c r="M787" i="117"/>
  <c r="M788" i="117"/>
  <c r="M789" i="117"/>
  <c r="M790" i="117"/>
  <c r="M791" i="117"/>
  <c r="M792" i="117"/>
  <c r="M793" i="117"/>
  <c r="M794" i="117"/>
  <c r="M795" i="117"/>
  <c r="M796" i="117"/>
  <c r="M797" i="117"/>
  <c r="M798" i="117"/>
  <c r="M799" i="117"/>
  <c r="M800" i="117"/>
  <c r="M801" i="117"/>
  <c r="M802" i="117"/>
  <c r="M803" i="117"/>
  <c r="M804" i="117"/>
  <c r="M805" i="117"/>
  <c r="M806" i="117"/>
  <c r="M807" i="117"/>
  <c r="M808" i="117"/>
  <c r="M6" i="117"/>
  <c r="M7" i="117"/>
  <c r="M8" i="117"/>
  <c r="M9" i="117"/>
  <c r="M10" i="117"/>
  <c r="M11" i="117"/>
  <c r="M12" i="117"/>
  <c r="M13" i="117"/>
  <c r="M14" i="117"/>
  <c r="M15" i="117"/>
  <c r="M16" i="117"/>
  <c r="M17" i="117"/>
  <c r="M18" i="117"/>
  <c r="M19" i="117"/>
  <c r="M5" i="117"/>
  <c r="U5" i="120"/>
  <c r="U23" i="120"/>
  <c r="U24" i="120"/>
  <c r="U25" i="120"/>
  <c r="U26" i="120"/>
  <c r="U27" i="120"/>
  <c r="U28" i="120"/>
  <c r="U29" i="120"/>
  <c r="U30" i="120"/>
  <c r="U33" i="120"/>
  <c r="U34" i="120"/>
  <c r="U35" i="120"/>
  <c r="U36" i="120"/>
  <c r="U37" i="120"/>
  <c r="U38" i="120"/>
  <c r="U39" i="120"/>
  <c r="U40" i="120"/>
  <c r="U41" i="120"/>
  <c r="U42" i="120"/>
  <c r="U43" i="120"/>
  <c r="U44" i="120"/>
  <c r="U45" i="120"/>
  <c r="U46" i="120"/>
  <c r="U47" i="120"/>
  <c r="U48" i="120"/>
  <c r="U49" i="120"/>
  <c r="U50" i="120"/>
  <c r="U51" i="120"/>
  <c r="U52" i="120"/>
  <c r="U53" i="120"/>
  <c r="U54" i="120"/>
  <c r="U55" i="120"/>
  <c r="U56" i="120"/>
  <c r="U57" i="120"/>
  <c r="U58" i="120"/>
  <c r="U59" i="120"/>
  <c r="U60" i="120"/>
  <c r="U61" i="120"/>
  <c r="U62" i="120"/>
  <c r="U63" i="120"/>
  <c r="U64" i="120"/>
  <c r="U65" i="120"/>
  <c r="U66" i="120"/>
  <c r="U67" i="120"/>
  <c r="U68" i="120"/>
  <c r="U69" i="120"/>
  <c r="U70" i="120"/>
  <c r="U71" i="120"/>
  <c r="U72" i="120"/>
  <c r="U73" i="120"/>
  <c r="U74" i="120"/>
  <c r="U75" i="120"/>
  <c r="U76" i="120"/>
  <c r="U77" i="120"/>
  <c r="U78" i="120"/>
  <c r="U79" i="120"/>
  <c r="U80" i="120"/>
  <c r="U81" i="120"/>
  <c r="U82" i="120"/>
  <c r="U83" i="120"/>
  <c r="U84" i="120"/>
  <c r="U85" i="120"/>
  <c r="U86" i="120"/>
  <c r="U87" i="120"/>
  <c r="U88" i="120"/>
  <c r="U89" i="120"/>
  <c r="U90" i="120"/>
  <c r="U91" i="120"/>
  <c r="U92" i="120"/>
  <c r="U93" i="120"/>
  <c r="U94" i="120"/>
  <c r="U95" i="120"/>
  <c r="U96" i="120"/>
  <c r="U97" i="120"/>
  <c r="U98" i="120"/>
  <c r="U99" i="120"/>
  <c r="U100" i="120"/>
  <c r="U101" i="120"/>
  <c r="U107" i="120"/>
  <c r="U108" i="120"/>
  <c r="U109" i="120"/>
  <c r="U110" i="120"/>
  <c r="U111" i="120"/>
  <c r="U112" i="120"/>
  <c r="U113" i="120"/>
  <c r="U114" i="120"/>
  <c r="U115" i="120"/>
  <c r="U116" i="120"/>
  <c r="U117" i="120"/>
  <c r="U118" i="120"/>
  <c r="U119" i="120"/>
  <c r="U120" i="120"/>
  <c r="U121" i="120"/>
  <c r="U122" i="120"/>
  <c r="U123" i="120"/>
  <c r="U124" i="120"/>
  <c r="U125" i="120"/>
  <c r="U126" i="120"/>
  <c r="U127" i="120"/>
  <c r="U128" i="120"/>
  <c r="U129" i="120"/>
  <c r="U130" i="120"/>
  <c r="U131" i="120"/>
  <c r="U132" i="120"/>
  <c r="U133" i="120"/>
  <c r="U134" i="120"/>
  <c r="U135" i="120"/>
  <c r="U136" i="120"/>
  <c r="U137" i="120"/>
  <c r="U138" i="120"/>
  <c r="U139" i="120"/>
  <c r="U140" i="120"/>
  <c r="U141" i="120"/>
  <c r="U142" i="120"/>
  <c r="U143" i="120"/>
  <c r="U144" i="120"/>
  <c r="U145" i="120"/>
  <c r="U22" i="120"/>
  <c r="U6" i="120"/>
  <c r="U7" i="120"/>
  <c r="U8" i="120"/>
  <c r="U9" i="120"/>
  <c r="U10" i="120"/>
  <c r="U11" i="120"/>
  <c r="U12" i="120"/>
  <c r="U13" i="120"/>
  <c r="U14" i="120"/>
  <c r="U15" i="120"/>
  <c r="U16" i="120"/>
  <c r="U17" i="120"/>
  <c r="U18" i="120"/>
  <c r="U19" i="120"/>
  <c r="U20" i="120"/>
  <c r="K23" i="120"/>
  <c r="K24" i="120"/>
  <c r="K25" i="120"/>
  <c r="K26" i="120"/>
  <c r="K27" i="120"/>
  <c r="K28" i="120"/>
  <c r="K29" i="120"/>
  <c r="K30" i="120"/>
  <c r="K33" i="120"/>
  <c r="K34" i="120"/>
  <c r="K35" i="120"/>
  <c r="K36" i="120"/>
  <c r="K37" i="120"/>
  <c r="K38" i="120"/>
  <c r="K39" i="120"/>
  <c r="K40" i="120"/>
  <c r="K41" i="120"/>
  <c r="K42" i="120"/>
  <c r="K43" i="120"/>
  <c r="K44" i="120"/>
  <c r="K45" i="120"/>
  <c r="K46" i="120"/>
  <c r="K47" i="120"/>
  <c r="K48" i="120"/>
  <c r="K49" i="120"/>
  <c r="K50" i="120"/>
  <c r="K51" i="120"/>
  <c r="K52" i="120"/>
  <c r="K53" i="120"/>
  <c r="K54" i="120"/>
  <c r="K55" i="120"/>
  <c r="K56" i="120"/>
  <c r="K57" i="120"/>
  <c r="K58" i="120"/>
  <c r="K59" i="120"/>
  <c r="K60" i="120"/>
  <c r="K61" i="120"/>
  <c r="K62" i="120"/>
  <c r="K63" i="120"/>
  <c r="K64" i="120"/>
  <c r="K65" i="120"/>
  <c r="K66" i="120"/>
  <c r="K67" i="120"/>
  <c r="K68" i="120"/>
  <c r="K69" i="120"/>
  <c r="K70" i="120"/>
  <c r="K71" i="120"/>
  <c r="K72" i="120"/>
  <c r="K73" i="120"/>
  <c r="K74" i="120"/>
  <c r="K75" i="120"/>
  <c r="K76" i="120"/>
  <c r="K77" i="120"/>
  <c r="K78" i="120"/>
  <c r="K79" i="120"/>
  <c r="K80" i="120"/>
  <c r="K81" i="120"/>
  <c r="K82" i="120"/>
  <c r="K83" i="120"/>
  <c r="K84" i="120"/>
  <c r="K85" i="120"/>
  <c r="K86" i="120"/>
  <c r="K87" i="120"/>
  <c r="K88" i="120"/>
  <c r="K89" i="120"/>
  <c r="K90" i="120"/>
  <c r="K91" i="120"/>
  <c r="K92" i="120"/>
  <c r="K93" i="120"/>
  <c r="K94" i="120"/>
  <c r="K95" i="120"/>
  <c r="K96" i="120"/>
  <c r="K97" i="120"/>
  <c r="K98" i="120"/>
  <c r="K99" i="120"/>
  <c r="K100" i="120"/>
  <c r="K101" i="120"/>
  <c r="K107" i="120"/>
  <c r="K108" i="120"/>
  <c r="K109" i="120"/>
  <c r="K110" i="120"/>
  <c r="K111" i="120"/>
  <c r="K112" i="120"/>
  <c r="K113" i="120"/>
  <c r="K114" i="120"/>
  <c r="K115" i="120"/>
  <c r="K116" i="120"/>
  <c r="K117" i="120"/>
  <c r="K118" i="120"/>
  <c r="K119" i="120"/>
  <c r="K120" i="120"/>
  <c r="K121" i="120"/>
  <c r="K122" i="120"/>
  <c r="K123" i="120"/>
  <c r="K124" i="120"/>
  <c r="K125" i="120"/>
  <c r="K126" i="120"/>
  <c r="K127" i="120"/>
  <c r="K128" i="120"/>
  <c r="K129" i="120"/>
  <c r="K130" i="120"/>
  <c r="K131" i="120"/>
  <c r="K132" i="120"/>
  <c r="K133" i="120"/>
  <c r="K134" i="120"/>
  <c r="K135" i="120"/>
  <c r="K136" i="120"/>
  <c r="K137" i="120"/>
  <c r="K138" i="120"/>
  <c r="K139" i="120"/>
  <c r="K140" i="120"/>
  <c r="K141" i="120"/>
  <c r="K142" i="120"/>
  <c r="K143" i="120"/>
  <c r="K144" i="120"/>
  <c r="K145" i="120"/>
  <c r="K22" i="120"/>
  <c r="K6" i="120"/>
  <c r="K7" i="120"/>
  <c r="K8" i="120"/>
  <c r="K9" i="120"/>
  <c r="K10" i="120"/>
  <c r="K11" i="120"/>
  <c r="K12" i="120"/>
  <c r="K13" i="120"/>
  <c r="K14" i="120"/>
  <c r="K15" i="120"/>
  <c r="K16" i="120"/>
  <c r="K17" i="120"/>
  <c r="K18" i="120"/>
  <c r="K19" i="120"/>
  <c r="K20" i="120"/>
  <c r="K5" i="120"/>
  <c r="Q145" i="120"/>
  <c r="R145" i="120" s="1"/>
  <c r="N145" i="120"/>
  <c r="G145" i="120"/>
  <c r="H145" i="120" s="1"/>
  <c r="D145" i="120"/>
  <c r="Q144" i="120"/>
  <c r="R144" i="120" s="1"/>
  <c r="N144" i="120"/>
  <c r="G144" i="120"/>
  <c r="D144" i="120"/>
  <c r="E144" i="120" s="1"/>
  <c r="Q143" i="120"/>
  <c r="R143" i="120" s="1"/>
  <c r="N143" i="120"/>
  <c r="G143" i="120"/>
  <c r="H143" i="120" s="1"/>
  <c r="D143" i="120"/>
  <c r="Q142" i="120"/>
  <c r="R142" i="120" s="1"/>
  <c r="N142" i="120"/>
  <c r="O142" i="120" s="1"/>
  <c r="G142" i="120"/>
  <c r="H142" i="120" s="1"/>
  <c r="D142" i="120"/>
  <c r="Q141" i="120"/>
  <c r="R141" i="120" s="1"/>
  <c r="N141" i="120"/>
  <c r="G141" i="120"/>
  <c r="H141" i="120" s="1"/>
  <c r="D141" i="120"/>
  <c r="Q140" i="120"/>
  <c r="N140" i="120"/>
  <c r="G140" i="120"/>
  <c r="H140" i="120" s="1"/>
  <c r="D140" i="120"/>
  <c r="Q139" i="120"/>
  <c r="N139" i="120"/>
  <c r="G139" i="120"/>
  <c r="H139" i="120" s="1"/>
  <c r="D139" i="120"/>
  <c r="Q138" i="120"/>
  <c r="R138" i="120" s="1"/>
  <c r="N138" i="120"/>
  <c r="O138" i="120" s="1"/>
  <c r="G138" i="120"/>
  <c r="D138" i="120"/>
  <c r="E138" i="120" s="1"/>
  <c r="Q137" i="120"/>
  <c r="R137" i="120" s="1"/>
  <c r="N137" i="120"/>
  <c r="O137" i="120" s="1"/>
  <c r="G137" i="120"/>
  <c r="H137" i="120" s="1"/>
  <c r="D137" i="120"/>
  <c r="E137" i="120" s="1"/>
  <c r="Q136" i="120"/>
  <c r="N136" i="120"/>
  <c r="G136" i="120"/>
  <c r="D136" i="120"/>
  <c r="Q135" i="120"/>
  <c r="R135" i="120" s="1"/>
  <c r="N135" i="120"/>
  <c r="G135" i="120"/>
  <c r="H135" i="120" s="1"/>
  <c r="D135" i="120"/>
  <c r="Q134" i="120"/>
  <c r="N134" i="120"/>
  <c r="G134" i="120"/>
  <c r="H134" i="120" s="1"/>
  <c r="D134" i="120"/>
  <c r="Q133" i="120"/>
  <c r="N133" i="120"/>
  <c r="G133" i="120"/>
  <c r="D133" i="120"/>
  <c r="Q132" i="120"/>
  <c r="R132" i="120" s="1"/>
  <c r="N132" i="120"/>
  <c r="G132" i="120"/>
  <c r="D132" i="120"/>
  <c r="E132" i="120" s="1"/>
  <c r="Q131" i="120"/>
  <c r="R131" i="120" s="1"/>
  <c r="N131" i="120"/>
  <c r="G131" i="120"/>
  <c r="H131" i="120" s="1"/>
  <c r="D131" i="120"/>
  <c r="Q130" i="120"/>
  <c r="N130" i="120"/>
  <c r="O130" i="120" s="1"/>
  <c r="G130" i="120"/>
  <c r="D130" i="120"/>
  <c r="E130" i="120" s="1"/>
  <c r="Q129" i="120"/>
  <c r="N129" i="120"/>
  <c r="O129" i="120" s="1"/>
  <c r="G129" i="120"/>
  <c r="D129" i="120"/>
  <c r="E129" i="120" s="1"/>
  <c r="Q128" i="120"/>
  <c r="N128" i="120"/>
  <c r="O128" i="120" s="1"/>
  <c r="G128" i="120"/>
  <c r="H128" i="120" s="1"/>
  <c r="D128" i="120"/>
  <c r="E128" i="120" s="1"/>
  <c r="Q127" i="120"/>
  <c r="N127" i="120"/>
  <c r="G127" i="120"/>
  <c r="D127" i="120"/>
  <c r="Q126" i="120"/>
  <c r="R126" i="120" s="1"/>
  <c r="N126" i="120"/>
  <c r="G126" i="120"/>
  <c r="D126" i="120"/>
  <c r="E126" i="120" s="1"/>
  <c r="Q125" i="120"/>
  <c r="R125" i="120" s="1"/>
  <c r="N125" i="120"/>
  <c r="O125" i="120" s="1"/>
  <c r="G125" i="120"/>
  <c r="H125" i="120" s="1"/>
  <c r="D125" i="120"/>
  <c r="Q124" i="120"/>
  <c r="N124" i="120"/>
  <c r="G124" i="120"/>
  <c r="D124" i="120"/>
  <c r="Q123" i="120"/>
  <c r="N123" i="120"/>
  <c r="G123" i="120"/>
  <c r="D123" i="120"/>
  <c r="Q122" i="120"/>
  <c r="R122" i="120" s="1"/>
  <c r="N122" i="120"/>
  <c r="O122" i="120" s="1"/>
  <c r="G122" i="120"/>
  <c r="H122" i="120" s="1"/>
  <c r="D122" i="120"/>
  <c r="Q121" i="120"/>
  <c r="R121" i="120" s="1"/>
  <c r="N121" i="120"/>
  <c r="G121" i="120"/>
  <c r="D121" i="120"/>
  <c r="E121" i="120" s="1"/>
  <c r="Q120" i="120"/>
  <c r="R120" i="120" s="1"/>
  <c r="N120" i="120"/>
  <c r="O120" i="120" s="1"/>
  <c r="G120" i="120"/>
  <c r="H120" i="120" s="1"/>
  <c r="D120" i="120"/>
  <c r="Q119" i="120"/>
  <c r="R119" i="120" s="1"/>
  <c r="N119" i="120"/>
  <c r="G119" i="120"/>
  <c r="D119" i="120"/>
  <c r="E119" i="120" s="1"/>
  <c r="Q118" i="120"/>
  <c r="R118" i="120" s="1"/>
  <c r="N118" i="120"/>
  <c r="O118" i="120" s="1"/>
  <c r="G118" i="120"/>
  <c r="H118" i="120" s="1"/>
  <c r="D118" i="120"/>
  <c r="Q117" i="120"/>
  <c r="R117" i="120" s="1"/>
  <c r="N117" i="120"/>
  <c r="G117" i="120"/>
  <c r="D117" i="120"/>
  <c r="E117" i="120" s="1"/>
  <c r="Q116" i="120"/>
  <c r="R116" i="120" s="1"/>
  <c r="N116" i="120"/>
  <c r="O116" i="120" s="1"/>
  <c r="G116" i="120"/>
  <c r="H116" i="120" s="1"/>
  <c r="D116" i="120"/>
  <c r="E116" i="120" s="1"/>
  <c r="Q115" i="120"/>
  <c r="R115" i="120" s="1"/>
  <c r="N115" i="120"/>
  <c r="O115" i="120" s="1"/>
  <c r="G115" i="120"/>
  <c r="D115" i="120"/>
  <c r="E115" i="120" s="1"/>
  <c r="Q114" i="120"/>
  <c r="R114" i="120" s="1"/>
  <c r="N114" i="120"/>
  <c r="O114" i="120" s="1"/>
  <c r="G114" i="120"/>
  <c r="H114" i="120" s="1"/>
  <c r="D114" i="120"/>
  <c r="E114" i="120" s="1"/>
  <c r="Q113" i="120"/>
  <c r="R113" i="120" s="1"/>
  <c r="N113" i="120"/>
  <c r="O113" i="120" s="1"/>
  <c r="G113" i="120"/>
  <c r="D113" i="120"/>
  <c r="E113" i="120" s="1"/>
  <c r="Q112" i="120"/>
  <c r="R112" i="120" s="1"/>
  <c r="N112" i="120"/>
  <c r="O112" i="120" s="1"/>
  <c r="G112" i="120"/>
  <c r="H112" i="120" s="1"/>
  <c r="D112" i="120"/>
  <c r="Q111" i="120"/>
  <c r="R111" i="120" s="1"/>
  <c r="N111" i="120"/>
  <c r="G111" i="120"/>
  <c r="D111" i="120"/>
  <c r="E111" i="120" s="1"/>
  <c r="Q110" i="120"/>
  <c r="R110" i="120" s="1"/>
  <c r="N110" i="120"/>
  <c r="O110" i="120" s="1"/>
  <c r="G110" i="120"/>
  <c r="H110" i="120" s="1"/>
  <c r="D110" i="120"/>
  <c r="Q109" i="120"/>
  <c r="R109" i="120" s="1"/>
  <c r="N109" i="120"/>
  <c r="G109" i="120"/>
  <c r="D109" i="120"/>
  <c r="E109" i="120" s="1"/>
  <c r="Q108" i="120"/>
  <c r="R108" i="120" s="1"/>
  <c r="N108" i="120"/>
  <c r="O108" i="120" s="1"/>
  <c r="G108" i="120"/>
  <c r="H108" i="120" s="1"/>
  <c r="D108" i="120"/>
  <c r="E108" i="120" s="1"/>
  <c r="Q107" i="120"/>
  <c r="R107" i="120" s="1"/>
  <c r="N107" i="120"/>
  <c r="O107" i="120" s="1"/>
  <c r="G107" i="120"/>
  <c r="D107" i="120"/>
  <c r="E107" i="120" s="1"/>
  <c r="Q101" i="120"/>
  <c r="R101" i="120" s="1"/>
  <c r="N101" i="120"/>
  <c r="G101" i="120"/>
  <c r="H101" i="120" s="1"/>
  <c r="D101" i="120"/>
  <c r="E101" i="120" s="1"/>
  <c r="Q100" i="120"/>
  <c r="R100" i="120" s="1"/>
  <c r="N100" i="120"/>
  <c r="G100" i="120"/>
  <c r="D100" i="120"/>
  <c r="E100" i="120" s="1"/>
  <c r="Q99" i="120"/>
  <c r="R99" i="120" s="1"/>
  <c r="N99" i="120"/>
  <c r="O99" i="120" s="1"/>
  <c r="G99" i="120"/>
  <c r="D99" i="120"/>
  <c r="E99" i="120" s="1"/>
  <c r="Q98" i="120"/>
  <c r="R98" i="120" s="1"/>
  <c r="N98" i="120"/>
  <c r="O98" i="120" s="1"/>
  <c r="G98" i="120"/>
  <c r="D98" i="120"/>
  <c r="E98" i="120" s="1"/>
  <c r="Q97" i="120"/>
  <c r="R97" i="120" s="1"/>
  <c r="N97" i="120"/>
  <c r="O97" i="120" s="1"/>
  <c r="G97" i="120"/>
  <c r="D97" i="120"/>
  <c r="E97" i="120" s="1"/>
  <c r="Q96" i="120"/>
  <c r="R96" i="120" s="1"/>
  <c r="N96" i="120"/>
  <c r="O96" i="120" s="1"/>
  <c r="G96" i="120"/>
  <c r="D96" i="120"/>
  <c r="E96" i="120" s="1"/>
  <c r="Q95" i="120"/>
  <c r="R95" i="120" s="1"/>
  <c r="N95" i="120"/>
  <c r="O95" i="120" s="1"/>
  <c r="G95" i="120"/>
  <c r="D95" i="120"/>
  <c r="E95" i="120" s="1"/>
  <c r="Q94" i="120"/>
  <c r="N94" i="120"/>
  <c r="G94" i="120"/>
  <c r="H94" i="120" s="1"/>
  <c r="D94" i="120"/>
  <c r="E94" i="120" s="1"/>
  <c r="Q93" i="120"/>
  <c r="N93" i="120"/>
  <c r="G93" i="120"/>
  <c r="H93" i="120" s="1"/>
  <c r="D93" i="120"/>
  <c r="Q92" i="120"/>
  <c r="R92" i="120" s="1"/>
  <c r="N92" i="120"/>
  <c r="G92" i="120"/>
  <c r="H92" i="120" s="1"/>
  <c r="D92" i="120"/>
  <c r="E92" i="120" s="1"/>
  <c r="Q91" i="120"/>
  <c r="N91" i="120"/>
  <c r="G91" i="120"/>
  <c r="D91" i="120"/>
  <c r="Q90" i="120"/>
  <c r="N90" i="120"/>
  <c r="G90" i="120"/>
  <c r="H90" i="120" s="1"/>
  <c r="D90" i="120"/>
  <c r="Q89" i="120"/>
  <c r="N89" i="120"/>
  <c r="G89" i="120"/>
  <c r="H89" i="120" s="1"/>
  <c r="D89" i="120"/>
  <c r="Q88" i="120"/>
  <c r="N88" i="120"/>
  <c r="G88" i="120"/>
  <c r="D88" i="120"/>
  <c r="Q87" i="120"/>
  <c r="N87" i="120"/>
  <c r="G87" i="120"/>
  <c r="D87" i="120"/>
  <c r="Q86" i="120"/>
  <c r="N86" i="120"/>
  <c r="G86" i="120"/>
  <c r="D86" i="120"/>
  <c r="Q85" i="120"/>
  <c r="N85" i="120"/>
  <c r="G85" i="120"/>
  <c r="D85" i="120"/>
  <c r="Q84" i="120"/>
  <c r="N84" i="120"/>
  <c r="G84" i="120"/>
  <c r="H84" i="120" s="1"/>
  <c r="D84" i="120"/>
  <c r="Q83" i="120"/>
  <c r="N83" i="120"/>
  <c r="G83" i="120"/>
  <c r="D83" i="120"/>
  <c r="Q82" i="120"/>
  <c r="N82" i="120"/>
  <c r="G82" i="120"/>
  <c r="H82" i="120" s="1"/>
  <c r="D82" i="120"/>
  <c r="Q81" i="120"/>
  <c r="N81" i="120"/>
  <c r="G81" i="120"/>
  <c r="H81" i="120" s="1"/>
  <c r="D81" i="120"/>
  <c r="Q80" i="120"/>
  <c r="N80" i="120"/>
  <c r="G80" i="120"/>
  <c r="D80" i="120"/>
  <c r="Q79" i="120"/>
  <c r="R79" i="120" s="1"/>
  <c r="N79" i="120"/>
  <c r="G79" i="120"/>
  <c r="H79" i="120" s="1"/>
  <c r="D79" i="120"/>
  <c r="E79" i="120" s="1"/>
  <c r="Q78" i="120"/>
  <c r="R78" i="120" s="1"/>
  <c r="N78" i="120"/>
  <c r="O78" i="120" s="1"/>
  <c r="G78" i="120"/>
  <c r="H78" i="120" s="1"/>
  <c r="D78" i="120"/>
  <c r="E78" i="120" s="1"/>
  <c r="Q77" i="120"/>
  <c r="N77" i="120"/>
  <c r="G77" i="120"/>
  <c r="D77" i="120"/>
  <c r="Q76" i="120"/>
  <c r="R76" i="120" s="1"/>
  <c r="N76" i="120"/>
  <c r="G76" i="120"/>
  <c r="D76" i="120"/>
  <c r="E76" i="120" s="1"/>
  <c r="Q75" i="120"/>
  <c r="N75" i="120"/>
  <c r="O75" i="120" s="1"/>
  <c r="G75" i="120"/>
  <c r="D75" i="120"/>
  <c r="E75" i="120" s="1"/>
  <c r="Q74" i="120"/>
  <c r="R74" i="120" s="1"/>
  <c r="N74" i="120"/>
  <c r="O74" i="120" s="1"/>
  <c r="G74" i="120"/>
  <c r="H74" i="120" s="1"/>
  <c r="D74" i="120"/>
  <c r="Q73" i="120"/>
  <c r="N73" i="120"/>
  <c r="G73" i="120"/>
  <c r="D73" i="120"/>
  <c r="Q72" i="120"/>
  <c r="N72" i="120"/>
  <c r="G72" i="120"/>
  <c r="H72" i="120" s="1"/>
  <c r="D72" i="120"/>
  <c r="Q71" i="120"/>
  <c r="N71" i="120"/>
  <c r="G71" i="120"/>
  <c r="D71" i="120"/>
  <c r="Q70" i="120"/>
  <c r="N70" i="120"/>
  <c r="G70" i="120"/>
  <c r="D70" i="120"/>
  <c r="Q69" i="120"/>
  <c r="N69" i="120"/>
  <c r="O69" i="120" s="1"/>
  <c r="G69" i="120"/>
  <c r="H69" i="120" s="1"/>
  <c r="D69" i="120"/>
  <c r="E69" i="120" s="1"/>
  <c r="Q68" i="120"/>
  <c r="R68" i="120" s="1"/>
  <c r="N68" i="120"/>
  <c r="G68" i="120"/>
  <c r="H68" i="120" s="1"/>
  <c r="D68" i="120"/>
  <c r="Q67" i="120"/>
  <c r="N67" i="120"/>
  <c r="O67" i="120" s="1"/>
  <c r="G67" i="120"/>
  <c r="D67" i="120"/>
  <c r="E67" i="120" s="1"/>
  <c r="Q66" i="120"/>
  <c r="R66" i="120" s="1"/>
  <c r="N66" i="120"/>
  <c r="G66" i="120"/>
  <c r="H66" i="120" s="1"/>
  <c r="D66" i="120"/>
  <c r="Q65" i="120"/>
  <c r="R65" i="120" s="1"/>
  <c r="N65" i="120"/>
  <c r="G65" i="120"/>
  <c r="H65" i="120" s="1"/>
  <c r="D65" i="120"/>
  <c r="E65" i="120" s="1"/>
  <c r="Q64" i="120"/>
  <c r="R64" i="120" s="1"/>
  <c r="N64" i="120"/>
  <c r="O64" i="120" s="1"/>
  <c r="G64" i="120"/>
  <c r="H64" i="120" s="1"/>
  <c r="D64" i="120"/>
  <c r="E64" i="120" s="1"/>
  <c r="Q63" i="120"/>
  <c r="R63" i="120" s="1"/>
  <c r="N63" i="120"/>
  <c r="G63" i="120"/>
  <c r="H63" i="120" s="1"/>
  <c r="D63" i="120"/>
  <c r="E63" i="120" s="1"/>
  <c r="Q62" i="120"/>
  <c r="N62" i="120"/>
  <c r="G62" i="120"/>
  <c r="H62" i="120" s="1"/>
  <c r="D62" i="120"/>
  <c r="Q61" i="120"/>
  <c r="N61" i="120"/>
  <c r="G61" i="120"/>
  <c r="H61" i="120" s="1"/>
  <c r="D61" i="120"/>
  <c r="Q60" i="120"/>
  <c r="R60" i="120" s="1"/>
  <c r="N60" i="120"/>
  <c r="G60" i="120"/>
  <c r="H60" i="120" s="1"/>
  <c r="D60" i="120"/>
  <c r="E60" i="120" s="1"/>
  <c r="Q59" i="120"/>
  <c r="R59" i="120" s="1"/>
  <c r="N59" i="120"/>
  <c r="O59" i="120" s="1"/>
  <c r="G59" i="120"/>
  <c r="H59" i="120" s="1"/>
  <c r="D59" i="120"/>
  <c r="E59" i="120" s="1"/>
  <c r="Q58" i="120"/>
  <c r="N58" i="120"/>
  <c r="G58" i="120"/>
  <c r="H58" i="120" s="1"/>
  <c r="D58" i="120"/>
  <c r="E58" i="120" s="1"/>
  <c r="Q57" i="120"/>
  <c r="N57" i="120"/>
  <c r="G57" i="120"/>
  <c r="H57" i="120" s="1"/>
  <c r="D57" i="120"/>
  <c r="Q56" i="120"/>
  <c r="N56" i="120"/>
  <c r="G56" i="120"/>
  <c r="H56" i="120" s="1"/>
  <c r="D56" i="120"/>
  <c r="Q55" i="120"/>
  <c r="N55" i="120"/>
  <c r="G55" i="120"/>
  <c r="H55" i="120" s="1"/>
  <c r="D55" i="120"/>
  <c r="Q54" i="120"/>
  <c r="N54" i="120"/>
  <c r="G54" i="120"/>
  <c r="D54" i="120"/>
  <c r="E54" i="120" s="1"/>
  <c r="Q53" i="120"/>
  <c r="R53" i="120" s="1"/>
  <c r="N53" i="120"/>
  <c r="G53" i="120"/>
  <c r="H53" i="120" s="1"/>
  <c r="D53" i="120"/>
  <c r="E53" i="120" s="1"/>
  <c r="Q52" i="120"/>
  <c r="R52" i="120" s="1"/>
  <c r="N52" i="120"/>
  <c r="G52" i="120"/>
  <c r="D52" i="120"/>
  <c r="E52" i="120" s="1"/>
  <c r="Q51" i="120"/>
  <c r="N51" i="120"/>
  <c r="G51" i="120"/>
  <c r="H51" i="120" s="1"/>
  <c r="D51" i="120"/>
  <c r="Q50" i="120"/>
  <c r="R50" i="120" s="1"/>
  <c r="N50" i="120"/>
  <c r="G50" i="120"/>
  <c r="H50" i="120" s="1"/>
  <c r="D50" i="120"/>
  <c r="E50" i="120" s="1"/>
  <c r="Q49" i="120"/>
  <c r="N49" i="120"/>
  <c r="O49" i="120" s="1"/>
  <c r="G49" i="120"/>
  <c r="H49" i="120" s="1"/>
  <c r="D49" i="120"/>
  <c r="E49" i="120" s="1"/>
  <c r="Q48" i="120"/>
  <c r="N48" i="120"/>
  <c r="G48" i="120"/>
  <c r="D48" i="120"/>
  <c r="Q47" i="120"/>
  <c r="R47" i="120" s="1"/>
  <c r="N47" i="120"/>
  <c r="G47" i="120"/>
  <c r="D47" i="120"/>
  <c r="E47" i="120" s="1"/>
  <c r="Q46" i="120"/>
  <c r="N46" i="120"/>
  <c r="O46" i="120" s="1"/>
  <c r="G46" i="120"/>
  <c r="D46" i="120"/>
  <c r="E46" i="120" s="1"/>
  <c r="Q45" i="120"/>
  <c r="R45" i="120" s="1"/>
  <c r="N45" i="120"/>
  <c r="O45" i="120" s="1"/>
  <c r="G45" i="120"/>
  <c r="H45" i="120" s="1"/>
  <c r="D45" i="120"/>
  <c r="Q44" i="120"/>
  <c r="N44" i="120"/>
  <c r="O44" i="120" s="1"/>
  <c r="G44" i="120"/>
  <c r="H44" i="120" s="1"/>
  <c r="D44" i="120"/>
  <c r="E44" i="120" s="1"/>
  <c r="Q43" i="120"/>
  <c r="N43" i="120"/>
  <c r="G43" i="120"/>
  <c r="H43" i="120" s="1"/>
  <c r="D43" i="120"/>
  <c r="Q42" i="120"/>
  <c r="N42" i="120"/>
  <c r="G42" i="120"/>
  <c r="D42" i="120"/>
  <c r="Q41" i="120"/>
  <c r="N41" i="120"/>
  <c r="O41" i="120" s="1"/>
  <c r="G41" i="120"/>
  <c r="H41" i="120" s="1"/>
  <c r="D41" i="120"/>
  <c r="E41" i="120" s="1"/>
  <c r="Q40" i="120"/>
  <c r="R40" i="120" s="1"/>
  <c r="N40" i="120"/>
  <c r="G40" i="120"/>
  <c r="H40" i="120" s="1"/>
  <c r="D40" i="120"/>
  <c r="E40" i="120" s="1"/>
  <c r="Q39" i="120"/>
  <c r="N39" i="120"/>
  <c r="O39" i="120" s="1"/>
  <c r="G39" i="120"/>
  <c r="D39" i="120"/>
  <c r="E39" i="120" s="1"/>
  <c r="Q38" i="120"/>
  <c r="R38" i="120" s="1"/>
  <c r="N38" i="120"/>
  <c r="G38" i="120"/>
  <c r="H38" i="120" s="1"/>
  <c r="D38" i="120"/>
  <c r="Q37" i="120"/>
  <c r="N37" i="120"/>
  <c r="G37" i="120"/>
  <c r="D37" i="120"/>
  <c r="Q36" i="120"/>
  <c r="R36" i="120" s="1"/>
  <c r="N36" i="120"/>
  <c r="O36" i="120" s="1"/>
  <c r="G36" i="120"/>
  <c r="H36" i="120" s="1"/>
  <c r="D36" i="120"/>
  <c r="E36" i="120" s="1"/>
  <c r="Q35" i="120"/>
  <c r="R35" i="120" s="1"/>
  <c r="N35" i="120"/>
  <c r="O35" i="120" s="1"/>
  <c r="G35" i="120"/>
  <c r="H35" i="120" s="1"/>
  <c r="D35" i="120"/>
  <c r="Q34" i="120"/>
  <c r="R34" i="120" s="1"/>
  <c r="N34" i="120"/>
  <c r="G34" i="120"/>
  <c r="H34" i="120" s="1"/>
  <c r="D34" i="120"/>
  <c r="Q33" i="120"/>
  <c r="R33" i="120" s="1"/>
  <c r="N33" i="120"/>
  <c r="G33" i="120"/>
  <c r="H33" i="120" s="1"/>
  <c r="D33" i="120"/>
  <c r="Q32" i="120"/>
  <c r="R32" i="120" s="1"/>
  <c r="N32" i="120"/>
  <c r="G32" i="120"/>
  <c r="H32" i="120" s="1"/>
  <c r="D32" i="120"/>
  <c r="Q30" i="120"/>
  <c r="R30" i="120" s="1"/>
  <c r="N30" i="120"/>
  <c r="G30" i="120"/>
  <c r="H30" i="120" s="1"/>
  <c r="D30" i="120"/>
  <c r="Q29" i="120"/>
  <c r="N29" i="120"/>
  <c r="G29" i="120"/>
  <c r="D29" i="120"/>
  <c r="Q28" i="120"/>
  <c r="R28" i="120" s="1"/>
  <c r="N28" i="120"/>
  <c r="O28" i="120" s="1"/>
  <c r="G28" i="120"/>
  <c r="H28" i="120" s="1"/>
  <c r="D28" i="120"/>
  <c r="Q27" i="120"/>
  <c r="R27" i="120" s="1"/>
  <c r="N27" i="120"/>
  <c r="O27" i="120" s="1"/>
  <c r="G27" i="120"/>
  <c r="H27" i="120" s="1"/>
  <c r="D27" i="120"/>
  <c r="E27" i="120" s="1"/>
  <c r="Q26" i="120"/>
  <c r="R26" i="120" s="1"/>
  <c r="N26" i="120"/>
  <c r="O26" i="120" s="1"/>
  <c r="G26" i="120"/>
  <c r="D26" i="120"/>
  <c r="E26" i="120" s="1"/>
  <c r="Q25" i="120"/>
  <c r="R25" i="120" s="1"/>
  <c r="N25" i="120"/>
  <c r="O25" i="120" s="1"/>
  <c r="G25" i="120"/>
  <c r="H25" i="120" s="1"/>
  <c r="D25" i="120"/>
  <c r="E25" i="120" s="1"/>
  <c r="Q24" i="120"/>
  <c r="N24" i="120"/>
  <c r="G24" i="120"/>
  <c r="H24" i="120" s="1"/>
  <c r="D24" i="120"/>
  <c r="E24" i="120" s="1"/>
  <c r="Q23" i="120"/>
  <c r="R23" i="120" s="1"/>
  <c r="N23" i="120"/>
  <c r="O23" i="120" s="1"/>
  <c r="G23" i="120"/>
  <c r="H23" i="120" s="1"/>
  <c r="D23" i="120"/>
  <c r="Q22" i="120"/>
  <c r="N22" i="120"/>
  <c r="O22" i="120" s="1"/>
  <c r="G22" i="120"/>
  <c r="D22" i="120"/>
  <c r="E22" i="120" s="1"/>
  <c r="Q20" i="120"/>
  <c r="R20" i="120" s="1"/>
  <c r="N20" i="120"/>
  <c r="G20" i="120"/>
  <c r="H20" i="120" s="1"/>
  <c r="D20" i="120"/>
  <c r="Q19" i="120"/>
  <c r="R19" i="120" s="1"/>
  <c r="N19" i="120"/>
  <c r="O19" i="120" s="1"/>
  <c r="G19" i="120"/>
  <c r="H19" i="120" s="1"/>
  <c r="D19" i="120"/>
  <c r="E19" i="120" s="1"/>
  <c r="Q18" i="120"/>
  <c r="N18" i="120"/>
  <c r="O18" i="120" s="1"/>
  <c r="G18" i="120"/>
  <c r="D18" i="120"/>
  <c r="E18" i="120" s="1"/>
  <c r="Q17" i="120"/>
  <c r="N17" i="120"/>
  <c r="O17" i="120" s="1"/>
  <c r="G17" i="120"/>
  <c r="D17" i="120"/>
  <c r="E17" i="120" s="1"/>
  <c r="Q16" i="120"/>
  <c r="R16" i="120" s="1"/>
  <c r="N16" i="120"/>
  <c r="O16" i="120" s="1"/>
  <c r="G16" i="120"/>
  <c r="D16" i="120"/>
  <c r="E16" i="120" s="1"/>
  <c r="Q15" i="120"/>
  <c r="N15" i="120"/>
  <c r="G15" i="120"/>
  <c r="H15" i="120" s="1"/>
  <c r="D15" i="120"/>
  <c r="Q14" i="120"/>
  <c r="N14" i="120"/>
  <c r="G14" i="120"/>
  <c r="D14" i="120"/>
  <c r="Q13" i="120"/>
  <c r="N13" i="120"/>
  <c r="G13" i="120"/>
  <c r="D13" i="120"/>
  <c r="Q12" i="120"/>
  <c r="R12" i="120" s="1"/>
  <c r="N12" i="120"/>
  <c r="G12" i="120"/>
  <c r="H12" i="120" s="1"/>
  <c r="D12" i="120"/>
  <c r="Q11" i="120"/>
  <c r="N11" i="120"/>
  <c r="O11" i="120" s="1"/>
  <c r="G11" i="120"/>
  <c r="D11" i="120"/>
  <c r="E11" i="120" s="1"/>
  <c r="Q10" i="120"/>
  <c r="N10" i="120"/>
  <c r="G10" i="120"/>
  <c r="D10" i="120"/>
  <c r="Q9" i="120"/>
  <c r="R9" i="120" s="1"/>
  <c r="N9" i="120"/>
  <c r="O9" i="120" s="1"/>
  <c r="G9" i="120"/>
  <c r="D9" i="120"/>
  <c r="E9" i="120" s="1"/>
  <c r="Q8" i="120"/>
  <c r="N8" i="120"/>
  <c r="G8" i="120"/>
  <c r="D8" i="120"/>
  <c r="Q7" i="120"/>
  <c r="R7" i="120" s="1"/>
  <c r="N7" i="120"/>
  <c r="O7" i="120" s="1"/>
  <c r="G7" i="120"/>
  <c r="H7" i="120" s="1"/>
  <c r="D7" i="120"/>
  <c r="Q6" i="120"/>
  <c r="R6" i="120" s="1"/>
  <c r="N6" i="120"/>
  <c r="O6" i="120" s="1"/>
  <c r="G6" i="120"/>
  <c r="D6" i="120"/>
  <c r="E6" i="120" s="1"/>
  <c r="Q5" i="120"/>
  <c r="R5" i="120" s="1"/>
  <c r="N5" i="120"/>
  <c r="O5" i="120" s="1"/>
  <c r="G5" i="120"/>
  <c r="H5" i="120" s="1"/>
  <c r="D5" i="120"/>
  <c r="O32" i="120" l="1"/>
  <c r="T32" i="120"/>
  <c r="E32" i="120"/>
  <c r="J32" i="120"/>
  <c r="J12" i="120"/>
  <c r="J20" i="120"/>
  <c r="J88" i="120"/>
  <c r="J125" i="120"/>
  <c r="T10" i="120"/>
  <c r="T14" i="120"/>
  <c r="T29" i="120"/>
  <c r="T34" i="120"/>
  <c r="T38" i="120"/>
  <c r="T42" i="120"/>
  <c r="T50" i="120"/>
  <c r="T52" i="120"/>
  <c r="T54" i="120"/>
  <c r="T58" i="120"/>
  <c r="T60" i="120"/>
  <c r="T62" i="120"/>
  <c r="T68" i="120"/>
  <c r="T70" i="120"/>
  <c r="T72" i="120"/>
  <c r="T76" i="120"/>
  <c r="T86" i="120"/>
  <c r="T90" i="120"/>
  <c r="T94" i="120"/>
  <c r="T100" i="120"/>
  <c r="T111" i="120"/>
  <c r="T119" i="120"/>
  <c r="T121" i="120"/>
  <c r="T123" i="120"/>
  <c r="T127" i="120"/>
  <c r="T131" i="120"/>
  <c r="T133" i="120"/>
  <c r="T135" i="120"/>
  <c r="T139" i="120"/>
  <c r="T141" i="120"/>
  <c r="T143" i="120"/>
  <c r="T145" i="120"/>
  <c r="J142" i="120"/>
  <c r="J141" i="120"/>
  <c r="T13" i="120"/>
  <c r="T15" i="120"/>
  <c r="T24" i="120"/>
  <c r="T30" i="120"/>
  <c r="T33" i="120"/>
  <c r="T37" i="120"/>
  <c r="T43" i="120"/>
  <c r="T47" i="120"/>
  <c r="T51" i="120"/>
  <c r="T53" i="120"/>
  <c r="T57" i="120"/>
  <c r="T65" i="120"/>
  <c r="T73" i="120"/>
  <c r="T93" i="120"/>
  <c r="T136" i="120"/>
  <c r="J7" i="120"/>
  <c r="J13" i="120"/>
  <c r="J15" i="120"/>
  <c r="J28" i="120"/>
  <c r="J30" i="120"/>
  <c r="J33" i="120"/>
  <c r="J35" i="120"/>
  <c r="J37" i="120"/>
  <c r="J43" i="120"/>
  <c r="J45" i="120"/>
  <c r="J51" i="120"/>
  <c r="J55" i="120"/>
  <c r="J57" i="120"/>
  <c r="J61" i="120"/>
  <c r="J73" i="120"/>
  <c r="J77" i="120"/>
  <c r="J83" i="120"/>
  <c r="J85" i="120"/>
  <c r="J87" i="120"/>
  <c r="J89" i="120"/>
  <c r="J91" i="120"/>
  <c r="J93" i="120"/>
  <c r="J110" i="120"/>
  <c r="J112" i="120"/>
  <c r="J118" i="120"/>
  <c r="J120" i="120"/>
  <c r="J122" i="120"/>
  <c r="J124" i="120"/>
  <c r="J134" i="120"/>
  <c r="J136" i="120"/>
  <c r="J140" i="120"/>
  <c r="J78" i="120"/>
  <c r="T66" i="120"/>
  <c r="T55" i="120"/>
  <c r="T61" i="120"/>
  <c r="T63" i="120"/>
  <c r="T77" i="120"/>
  <c r="T79" i="120"/>
  <c r="T85" i="120"/>
  <c r="T87" i="120"/>
  <c r="T89" i="120"/>
  <c r="T91" i="120"/>
  <c r="T101" i="120"/>
  <c r="T124" i="120"/>
  <c r="T126" i="120"/>
  <c r="T132" i="120"/>
  <c r="T144" i="120"/>
  <c r="J79" i="120"/>
  <c r="J68" i="120"/>
  <c r="J8" i="120"/>
  <c r="J10" i="120"/>
  <c r="J14" i="120"/>
  <c r="J23" i="120"/>
  <c r="J29" i="120"/>
  <c r="J34" i="120"/>
  <c r="J38" i="120"/>
  <c r="J42" i="120"/>
  <c r="J48" i="120"/>
  <c r="J56" i="120"/>
  <c r="J62" i="120"/>
  <c r="J66" i="120"/>
  <c r="J70" i="120"/>
  <c r="J72" i="120"/>
  <c r="J74" i="120"/>
  <c r="J80" i="120"/>
  <c r="J82" i="120"/>
  <c r="J84" i="120"/>
  <c r="J86" i="120"/>
  <c r="J90" i="120"/>
  <c r="J123" i="120"/>
  <c r="J127" i="120"/>
  <c r="J131" i="120"/>
  <c r="J133" i="120"/>
  <c r="J135" i="120"/>
  <c r="J139" i="120"/>
  <c r="J143" i="120"/>
  <c r="J145" i="120"/>
  <c r="J60" i="120"/>
  <c r="T22" i="120"/>
  <c r="J52" i="120"/>
  <c r="T116" i="120"/>
  <c r="T19" i="120"/>
  <c r="J44" i="120"/>
  <c r="J117" i="120"/>
  <c r="T108" i="120"/>
  <c r="T48" i="120"/>
  <c r="T56" i="120"/>
  <c r="T80" i="120"/>
  <c r="T82" i="120"/>
  <c r="T84" i="120"/>
  <c r="T129" i="120"/>
  <c r="T11" i="120"/>
  <c r="J36" i="120"/>
  <c r="J109" i="120"/>
  <c r="T49" i="120"/>
  <c r="T95" i="120"/>
  <c r="J26" i="120"/>
  <c r="J96" i="120"/>
  <c r="T41" i="120"/>
  <c r="T128" i="120"/>
  <c r="J25" i="120"/>
  <c r="T96" i="120"/>
  <c r="T9" i="120"/>
  <c r="J6" i="120"/>
  <c r="J69" i="120"/>
  <c r="J53" i="120"/>
  <c r="J27" i="120"/>
  <c r="J126" i="120"/>
  <c r="J97" i="120"/>
  <c r="T74" i="120"/>
  <c r="T118" i="120"/>
  <c r="T110" i="120"/>
  <c r="T97" i="120"/>
  <c r="T130" i="120"/>
  <c r="T138" i="120"/>
  <c r="J11" i="120"/>
  <c r="J59" i="120"/>
  <c r="J132" i="120"/>
  <c r="J116" i="120"/>
  <c r="J95" i="120"/>
  <c r="T23" i="120"/>
  <c r="T40" i="120"/>
  <c r="T92" i="120"/>
  <c r="T18" i="120"/>
  <c r="J18" i="120"/>
  <c r="J58" i="120"/>
  <c r="J50" i="120"/>
  <c r="J24" i="120"/>
  <c r="J115" i="120"/>
  <c r="J107" i="120"/>
  <c r="J94" i="120"/>
  <c r="T39" i="120"/>
  <c r="T115" i="120"/>
  <c r="T107" i="120"/>
  <c r="T117" i="120"/>
  <c r="T140" i="120"/>
  <c r="T17" i="120"/>
  <c r="J17" i="120"/>
  <c r="J9" i="120"/>
  <c r="J65" i="120"/>
  <c r="J49" i="120"/>
  <c r="J41" i="120"/>
  <c r="J130" i="120"/>
  <c r="J114" i="120"/>
  <c r="J101" i="120"/>
  <c r="J76" i="120"/>
  <c r="T46" i="120"/>
  <c r="T28" i="120"/>
  <c r="T78" i="120"/>
  <c r="T122" i="120"/>
  <c r="T114" i="120"/>
  <c r="T142" i="120"/>
  <c r="J108" i="120"/>
  <c r="T64" i="120"/>
  <c r="T16" i="120"/>
  <c r="T7" i="120"/>
  <c r="J16" i="120"/>
  <c r="J64" i="120"/>
  <c r="J40" i="120"/>
  <c r="J138" i="120"/>
  <c r="J129" i="120"/>
  <c r="J121" i="120"/>
  <c r="J113" i="120"/>
  <c r="J100" i="120"/>
  <c r="J92" i="120"/>
  <c r="J75" i="120"/>
  <c r="T69" i="120"/>
  <c r="T45" i="120"/>
  <c r="T27" i="120"/>
  <c r="T113" i="120"/>
  <c r="T125" i="120"/>
  <c r="T20" i="120"/>
  <c r="T109" i="120"/>
  <c r="J19" i="120"/>
  <c r="J67" i="120"/>
  <c r="T6" i="120"/>
  <c r="J22" i="120"/>
  <c r="J63" i="120"/>
  <c r="J47" i="120"/>
  <c r="J39" i="120"/>
  <c r="J137" i="120"/>
  <c r="J128" i="120"/>
  <c r="J99" i="120"/>
  <c r="T44" i="120"/>
  <c r="T36" i="120"/>
  <c r="T26" i="120"/>
  <c r="T120" i="120"/>
  <c r="T112" i="120"/>
  <c r="T99" i="120"/>
  <c r="T12" i="120"/>
  <c r="T137" i="120"/>
  <c r="J54" i="120"/>
  <c r="J46" i="120"/>
  <c r="J144" i="120"/>
  <c r="J119" i="120"/>
  <c r="J111" i="120"/>
  <c r="J98" i="120"/>
  <c r="T67" i="120"/>
  <c r="T59" i="120"/>
  <c r="T35" i="120"/>
  <c r="T25" i="120"/>
  <c r="T75" i="120"/>
  <c r="T98" i="120"/>
  <c r="T81" i="120"/>
  <c r="J81" i="120"/>
  <c r="E145" i="120"/>
  <c r="O30" i="120"/>
  <c r="R44" i="120"/>
  <c r="E23" i="120"/>
  <c r="E34" i="120"/>
  <c r="T83" i="120"/>
  <c r="O79" i="120"/>
  <c r="E112" i="120"/>
  <c r="E28" i="120"/>
  <c r="O53" i="120"/>
  <c r="E110" i="120"/>
  <c r="E122" i="120"/>
  <c r="O100" i="120"/>
  <c r="O101" i="120"/>
  <c r="E125" i="120"/>
  <c r="E15" i="120"/>
  <c r="O34" i="120"/>
  <c r="E118" i="120"/>
  <c r="E5" i="120"/>
  <c r="E120" i="120"/>
  <c r="T8" i="120"/>
  <c r="O121" i="120"/>
  <c r="H47" i="120"/>
  <c r="O50" i="120"/>
  <c r="E68" i="120"/>
  <c r="O119" i="120"/>
  <c r="O117" i="120"/>
  <c r="O60" i="120"/>
  <c r="O109" i="120"/>
  <c r="O111" i="120"/>
  <c r="O126" i="120"/>
  <c r="O132" i="120"/>
  <c r="E7" i="120"/>
  <c r="E30" i="120"/>
  <c r="H26" i="120"/>
  <c r="H9" i="120"/>
  <c r="H16" i="120"/>
  <c r="H6" i="120"/>
  <c r="E74" i="120"/>
  <c r="H75" i="120"/>
  <c r="R41" i="120"/>
  <c r="E43" i="120"/>
  <c r="H52" i="120"/>
  <c r="T71" i="120"/>
  <c r="O76" i="120"/>
  <c r="R49" i="120"/>
  <c r="H138" i="120"/>
  <c r="E35" i="120"/>
  <c r="E45" i="120"/>
  <c r="H54" i="120"/>
  <c r="O68" i="120"/>
  <c r="H98" i="120"/>
  <c r="H113" i="120"/>
  <c r="O47" i="120"/>
  <c r="O63" i="120"/>
  <c r="O65" i="120"/>
  <c r="T88" i="120"/>
  <c r="H132" i="120"/>
  <c r="O40" i="120"/>
  <c r="R69" i="120"/>
  <c r="H100" i="120"/>
  <c r="H109" i="120"/>
  <c r="H119" i="120"/>
  <c r="R75" i="120"/>
  <c r="O52" i="120"/>
  <c r="J71" i="120"/>
  <c r="H76" i="120"/>
  <c r="H97" i="120"/>
  <c r="H126" i="120"/>
  <c r="H96" i="120"/>
  <c r="H115" i="120"/>
  <c r="R128" i="120"/>
  <c r="H95" i="120"/>
  <c r="H99" i="120"/>
  <c r="H111" i="120"/>
  <c r="O144" i="120"/>
  <c r="H107" i="120"/>
  <c r="H117" i="120"/>
  <c r="H121" i="120"/>
  <c r="E142" i="120"/>
  <c r="O145" i="120"/>
  <c r="T134" i="120"/>
  <c r="H144" i="120"/>
  <c r="E30" i="70" l="1"/>
  <c r="O8" i="70"/>
  <c r="O6" i="70"/>
  <c r="E71" i="70"/>
  <c r="O67" i="70"/>
  <c r="O69" i="70"/>
  <c r="CO6" i="116" l="1"/>
  <c r="CN7" i="116"/>
  <c r="CN8" i="116"/>
  <c r="CN9" i="116"/>
  <c r="CN10" i="116"/>
  <c r="CN11" i="116"/>
  <c r="CN12" i="116"/>
  <c r="CN13" i="116"/>
  <c r="CN14" i="116"/>
  <c r="CN15" i="116"/>
  <c r="CN16" i="116"/>
  <c r="CN17" i="116"/>
  <c r="CN18" i="116"/>
  <c r="CN19" i="116"/>
  <c r="CN20" i="116"/>
  <c r="CN21" i="116"/>
  <c r="CN22" i="116"/>
  <c r="CN23" i="116"/>
  <c r="CN24" i="116"/>
  <c r="CN25" i="116"/>
  <c r="CN26" i="116"/>
  <c r="CN27" i="116"/>
  <c r="CN28" i="116"/>
  <c r="CN29" i="116"/>
  <c r="CN30" i="116"/>
  <c r="CN31" i="116"/>
  <c r="CN32" i="116"/>
  <c r="CN34" i="116"/>
  <c r="CN35" i="116"/>
  <c r="CN36" i="116"/>
  <c r="CN37" i="116"/>
  <c r="CN38" i="116"/>
  <c r="CN39" i="116"/>
  <c r="CN40" i="116"/>
  <c r="CN41" i="116"/>
  <c r="CN42" i="116"/>
  <c r="CN43" i="116"/>
  <c r="CN44" i="116"/>
  <c r="CN45" i="116"/>
  <c r="CN46" i="116"/>
  <c r="CN47" i="116"/>
  <c r="CN48" i="116"/>
  <c r="CN49" i="116"/>
  <c r="CN50" i="116"/>
  <c r="CN51" i="116"/>
  <c r="CN52" i="116"/>
  <c r="CN53" i="116"/>
  <c r="CN54" i="116"/>
  <c r="CN55" i="116"/>
  <c r="CN56" i="116"/>
  <c r="CN57" i="116"/>
  <c r="CN58" i="116"/>
  <c r="CN59" i="116"/>
  <c r="CN60" i="116"/>
  <c r="CN61" i="116"/>
  <c r="CN62" i="116"/>
  <c r="CN63" i="116"/>
  <c r="CN64" i="116"/>
  <c r="CN65" i="116"/>
  <c r="CN66" i="116"/>
  <c r="CN67" i="116"/>
  <c r="CN68" i="116"/>
  <c r="CN69" i="116"/>
  <c r="CN70" i="116"/>
  <c r="CN71" i="116"/>
  <c r="CN72" i="116"/>
  <c r="CN73" i="116"/>
  <c r="CN74" i="116"/>
  <c r="CN75" i="116"/>
  <c r="CN76" i="116"/>
  <c r="CN77" i="116"/>
  <c r="CN78" i="116"/>
  <c r="CN79" i="116"/>
  <c r="CN80" i="116"/>
  <c r="CN81" i="116"/>
  <c r="CN82" i="116"/>
  <c r="CN83" i="116"/>
  <c r="CN84" i="116"/>
  <c r="CN85" i="116"/>
  <c r="CN86" i="116"/>
  <c r="CN87" i="116"/>
  <c r="CN88" i="116"/>
  <c r="CN89" i="116"/>
  <c r="CN90" i="116"/>
  <c r="CN91" i="116"/>
  <c r="CN92" i="116"/>
  <c r="CN93" i="116"/>
  <c r="CN94" i="116"/>
  <c r="CN95" i="116"/>
  <c r="CN96" i="116"/>
  <c r="CN97" i="116"/>
  <c r="CN98" i="116"/>
  <c r="CN99" i="116"/>
  <c r="CN100" i="116"/>
  <c r="CN101" i="116"/>
  <c r="CN102" i="116"/>
  <c r="CN103" i="116"/>
  <c r="CN104" i="116"/>
  <c r="CN105" i="116"/>
  <c r="CN106" i="116"/>
  <c r="CN107" i="116"/>
  <c r="CN108" i="116"/>
  <c r="CN109" i="116"/>
  <c r="CN110" i="116"/>
  <c r="CN111" i="116"/>
  <c r="CN112" i="116"/>
  <c r="CN113" i="116"/>
  <c r="CN114" i="116"/>
  <c r="CN115" i="116"/>
  <c r="CN116" i="116"/>
  <c r="CN117" i="116"/>
  <c r="CN118" i="116"/>
  <c r="CN119" i="116"/>
  <c r="CN120" i="116"/>
  <c r="CN121" i="116"/>
  <c r="CN122" i="116"/>
  <c r="CN123" i="116"/>
  <c r="CN124" i="116"/>
  <c r="CN125" i="116"/>
  <c r="CN126" i="116"/>
  <c r="CN127" i="116"/>
  <c r="CN128" i="116"/>
  <c r="CN129" i="116"/>
  <c r="CN130" i="116"/>
  <c r="CN131" i="116"/>
  <c r="CN132" i="116"/>
  <c r="CN133" i="116"/>
  <c r="CN134" i="116"/>
  <c r="CN135" i="116"/>
  <c r="CN136" i="116"/>
  <c r="CN137" i="116"/>
  <c r="CN138" i="116"/>
  <c r="CN139" i="116"/>
  <c r="CN140" i="116"/>
  <c r="CN141" i="116"/>
  <c r="CN142" i="116"/>
  <c r="CN143" i="116"/>
  <c r="CN144" i="116"/>
  <c r="CN145" i="116"/>
  <c r="CN146" i="116"/>
  <c r="CN147" i="116"/>
  <c r="CN148" i="116"/>
  <c r="CN149" i="116"/>
  <c r="CN150" i="116"/>
  <c r="CN151" i="116"/>
  <c r="CN152" i="116"/>
  <c r="CN153" i="116"/>
  <c r="CN154" i="116"/>
  <c r="CN155" i="116"/>
  <c r="CN156" i="116"/>
  <c r="CN157" i="116"/>
  <c r="CN6" i="116"/>
  <c r="CO7" i="116"/>
  <c r="CO8" i="116"/>
  <c r="CO9" i="116"/>
  <c r="CO10" i="116"/>
  <c r="CO11" i="116"/>
  <c r="CO12" i="116"/>
  <c r="CO13" i="116"/>
  <c r="CO14" i="116"/>
  <c r="CO15" i="116"/>
  <c r="CO16" i="116"/>
  <c r="CO17" i="116"/>
  <c r="CO18" i="116"/>
  <c r="CO19" i="116"/>
  <c r="CO20" i="116"/>
  <c r="CO21" i="116"/>
  <c r="CO22" i="116"/>
  <c r="CO23" i="116"/>
  <c r="CO24" i="116"/>
  <c r="CO25" i="116"/>
  <c r="CO26" i="116"/>
  <c r="CO27" i="116"/>
  <c r="CO28" i="116"/>
  <c r="CO29" i="116"/>
  <c r="CO30" i="116"/>
  <c r="CO31" i="116"/>
  <c r="CO32" i="116"/>
  <c r="CO34" i="116"/>
  <c r="CO35" i="116"/>
  <c r="CO36" i="116"/>
  <c r="CO37" i="116"/>
  <c r="CO38" i="116"/>
  <c r="CO39" i="116"/>
  <c r="CO40" i="116"/>
  <c r="CO41" i="116"/>
  <c r="CO42" i="116"/>
  <c r="CO43" i="116"/>
  <c r="CO44" i="116"/>
  <c r="CO45" i="116"/>
  <c r="CO46" i="116"/>
  <c r="CO47" i="116"/>
  <c r="CO48" i="116"/>
  <c r="CO49" i="116"/>
  <c r="CO50" i="116"/>
  <c r="CO51" i="116"/>
  <c r="CO52" i="116"/>
  <c r="CO53" i="116"/>
  <c r="CO54" i="116"/>
  <c r="CO55" i="116"/>
  <c r="CO56" i="116"/>
  <c r="CO57" i="116"/>
  <c r="CO58" i="116"/>
  <c r="CO59" i="116"/>
  <c r="CO60" i="116"/>
  <c r="CO61" i="116"/>
  <c r="CO62" i="116"/>
  <c r="CO63" i="116"/>
  <c r="CO64" i="116"/>
  <c r="CO65" i="116"/>
  <c r="CO66" i="116"/>
  <c r="CO67" i="116"/>
  <c r="CO68" i="116"/>
  <c r="CO69" i="116"/>
  <c r="CO70" i="116"/>
  <c r="CO71" i="116"/>
  <c r="CO72" i="116"/>
  <c r="CO73" i="116"/>
  <c r="CO74" i="116"/>
  <c r="CO75" i="116"/>
  <c r="CO76" i="116"/>
  <c r="CO77" i="116"/>
  <c r="CO78" i="116"/>
  <c r="CO79" i="116"/>
  <c r="CO80" i="116"/>
  <c r="CO81" i="116"/>
  <c r="CO82" i="116"/>
  <c r="CO83" i="116"/>
  <c r="CO84" i="116"/>
  <c r="CO85" i="116"/>
  <c r="CO86" i="116"/>
  <c r="CO87" i="116"/>
  <c r="CO88" i="116"/>
  <c r="CO89" i="116"/>
  <c r="CO90" i="116"/>
  <c r="CO91" i="116"/>
  <c r="CO92" i="116"/>
  <c r="CO93" i="116"/>
  <c r="CO94" i="116"/>
  <c r="CO95" i="116"/>
  <c r="CO96" i="116"/>
  <c r="CO97" i="116"/>
  <c r="CO98" i="116"/>
  <c r="CO99" i="116"/>
  <c r="CO100" i="116"/>
  <c r="CO101" i="116"/>
  <c r="CO102" i="116"/>
  <c r="CO103" i="116"/>
  <c r="CO104" i="116"/>
  <c r="CO105" i="116"/>
  <c r="CO106" i="116"/>
  <c r="CO107" i="116"/>
  <c r="CO108" i="116"/>
  <c r="CO109" i="116"/>
  <c r="CO110" i="116"/>
  <c r="CO111" i="116"/>
  <c r="CO112" i="116"/>
  <c r="CO113" i="116"/>
  <c r="CO114" i="116"/>
  <c r="CO115" i="116"/>
  <c r="CO116" i="116"/>
  <c r="CO117" i="116"/>
  <c r="CO118" i="116"/>
  <c r="CO119" i="116"/>
  <c r="CO120" i="116"/>
  <c r="CO121" i="116"/>
  <c r="CO122" i="116"/>
  <c r="CO123" i="116"/>
  <c r="CO124" i="116"/>
  <c r="CO125" i="116"/>
  <c r="CO126" i="116"/>
  <c r="CO127" i="116"/>
  <c r="CO128" i="116"/>
  <c r="CO129" i="116"/>
  <c r="CO130" i="116"/>
  <c r="CO131" i="116"/>
  <c r="CO132" i="116"/>
  <c r="CO133" i="116"/>
  <c r="CO134" i="116"/>
  <c r="CO135" i="116"/>
  <c r="CO136" i="116"/>
  <c r="CO137" i="116"/>
  <c r="CO138" i="116"/>
  <c r="CO139" i="116"/>
  <c r="CO140" i="116"/>
  <c r="CO141" i="116"/>
  <c r="CO142" i="116"/>
  <c r="CO143" i="116"/>
  <c r="CO144" i="116"/>
  <c r="CO145" i="116"/>
  <c r="CO146" i="116"/>
  <c r="CO147" i="116"/>
  <c r="CO148" i="116"/>
  <c r="CO149" i="116"/>
  <c r="CO150" i="116"/>
  <c r="CO151" i="116"/>
  <c r="CO152" i="116"/>
  <c r="CO153" i="116"/>
  <c r="CO154" i="116"/>
  <c r="CO155" i="116"/>
  <c r="CO156" i="116"/>
  <c r="CO157" i="116"/>
  <c r="CJ7" i="116"/>
  <c r="CJ8" i="116"/>
  <c r="CJ9" i="116"/>
  <c r="CJ10" i="116"/>
  <c r="CJ11" i="116"/>
  <c r="CJ12" i="116"/>
  <c r="CJ13" i="116"/>
  <c r="CJ14" i="116"/>
  <c r="CJ15" i="116"/>
  <c r="CJ16" i="116"/>
  <c r="CJ17" i="116"/>
  <c r="CJ18" i="116"/>
  <c r="CJ19" i="116"/>
  <c r="CJ20" i="116"/>
  <c r="CJ21" i="116"/>
  <c r="CJ22" i="116"/>
  <c r="CJ23" i="116"/>
  <c r="CJ24" i="116"/>
  <c r="CJ25" i="116"/>
  <c r="CJ26" i="116"/>
  <c r="CJ27" i="116"/>
  <c r="CJ28" i="116"/>
  <c r="CJ29" i="116"/>
  <c r="CJ30" i="116"/>
  <c r="CJ31" i="116"/>
  <c r="CJ32" i="116"/>
  <c r="CJ34" i="116"/>
  <c r="CJ35" i="116"/>
  <c r="CJ36" i="116"/>
  <c r="CJ37" i="116"/>
  <c r="CJ38" i="116"/>
  <c r="CJ39" i="116"/>
  <c r="CJ40" i="116"/>
  <c r="CJ41" i="116"/>
  <c r="CJ42" i="116"/>
  <c r="CJ43" i="116"/>
  <c r="CJ44" i="116"/>
  <c r="CJ45" i="116"/>
  <c r="CJ46" i="116"/>
  <c r="CJ47" i="116"/>
  <c r="CJ48" i="116"/>
  <c r="CJ49" i="116"/>
  <c r="CJ50" i="116"/>
  <c r="CJ51" i="116"/>
  <c r="CJ52" i="116"/>
  <c r="CJ53" i="116"/>
  <c r="CJ54" i="116"/>
  <c r="CJ55" i="116"/>
  <c r="CJ56" i="116"/>
  <c r="CJ57" i="116"/>
  <c r="CJ58" i="116"/>
  <c r="CJ59" i="116"/>
  <c r="CJ60" i="116"/>
  <c r="CJ61" i="116"/>
  <c r="CJ62" i="116"/>
  <c r="CJ63" i="116"/>
  <c r="CJ64" i="116"/>
  <c r="CJ65" i="116"/>
  <c r="CJ66" i="116"/>
  <c r="CJ67" i="116"/>
  <c r="CJ68" i="116"/>
  <c r="CJ69" i="116"/>
  <c r="CJ70" i="116"/>
  <c r="CJ71" i="116"/>
  <c r="CJ72" i="116"/>
  <c r="CJ73" i="116"/>
  <c r="CJ74" i="116"/>
  <c r="CJ75" i="116"/>
  <c r="CJ76" i="116"/>
  <c r="CJ77" i="116"/>
  <c r="CJ78" i="116"/>
  <c r="CJ79" i="116"/>
  <c r="CJ80" i="116"/>
  <c r="CJ81" i="116"/>
  <c r="CJ82" i="116"/>
  <c r="CJ83" i="116"/>
  <c r="CJ84" i="116"/>
  <c r="CJ85" i="116"/>
  <c r="CJ86" i="116"/>
  <c r="CJ87" i="116"/>
  <c r="CJ88" i="116"/>
  <c r="CJ89" i="116"/>
  <c r="CJ90" i="116"/>
  <c r="CJ91" i="116"/>
  <c r="CJ92" i="116"/>
  <c r="CJ93" i="116"/>
  <c r="CJ94" i="116"/>
  <c r="CJ95" i="116"/>
  <c r="CJ96" i="116"/>
  <c r="CJ97" i="116"/>
  <c r="CJ98" i="116"/>
  <c r="CJ99" i="116"/>
  <c r="CJ100" i="116"/>
  <c r="CJ101" i="116"/>
  <c r="CJ102" i="116"/>
  <c r="CJ103" i="116"/>
  <c r="CJ104" i="116"/>
  <c r="CJ105" i="116"/>
  <c r="CJ106" i="116"/>
  <c r="CJ107" i="116"/>
  <c r="CJ108" i="116"/>
  <c r="CJ109" i="116"/>
  <c r="CJ110" i="116"/>
  <c r="CJ111" i="116"/>
  <c r="CJ112" i="116"/>
  <c r="CJ113" i="116"/>
  <c r="CJ114" i="116"/>
  <c r="CJ115" i="116"/>
  <c r="CJ116" i="116"/>
  <c r="CJ117" i="116"/>
  <c r="CJ118" i="116"/>
  <c r="CJ119" i="116"/>
  <c r="CJ120" i="116"/>
  <c r="CJ121" i="116"/>
  <c r="CJ122" i="116"/>
  <c r="CJ123" i="116"/>
  <c r="CJ124" i="116"/>
  <c r="CJ125" i="116"/>
  <c r="CJ126" i="116"/>
  <c r="CJ127" i="116"/>
  <c r="CJ128" i="116"/>
  <c r="CJ129" i="116"/>
  <c r="CJ130" i="116"/>
  <c r="CJ131" i="116"/>
  <c r="CJ132" i="116"/>
  <c r="CJ133" i="116"/>
  <c r="CJ134" i="116"/>
  <c r="CJ135" i="116"/>
  <c r="CJ136" i="116"/>
  <c r="CJ137" i="116"/>
  <c r="CJ138" i="116"/>
  <c r="CJ139" i="116"/>
  <c r="CJ140" i="116"/>
  <c r="CJ141" i="116"/>
  <c r="CJ142" i="116"/>
  <c r="CJ143" i="116"/>
  <c r="CJ144" i="116"/>
  <c r="CJ145" i="116"/>
  <c r="CJ146" i="116"/>
  <c r="CJ147" i="116"/>
  <c r="CJ148" i="116"/>
  <c r="CJ149" i="116"/>
  <c r="CJ150" i="116"/>
  <c r="CJ151" i="116"/>
  <c r="CJ152" i="116"/>
  <c r="CJ153" i="116"/>
  <c r="CJ154" i="116"/>
  <c r="CJ155" i="116"/>
  <c r="CJ156" i="116"/>
  <c r="CJ157" i="116"/>
  <c r="CJ6" i="116"/>
  <c r="CE7" i="116"/>
  <c r="CE8" i="116"/>
  <c r="CE9" i="116"/>
  <c r="CE10" i="116"/>
  <c r="CE11" i="116"/>
  <c r="CE12" i="116"/>
  <c r="CE13" i="116"/>
  <c r="CE14" i="116"/>
  <c r="CE15" i="116"/>
  <c r="CE16" i="116"/>
  <c r="CE17" i="116"/>
  <c r="CE18" i="116"/>
  <c r="CE19" i="116"/>
  <c r="CE20" i="116"/>
  <c r="CE21" i="116"/>
  <c r="CE22" i="116"/>
  <c r="CE23" i="116"/>
  <c r="CE24" i="116"/>
  <c r="CE25" i="116"/>
  <c r="CE26" i="116"/>
  <c r="CE27" i="116"/>
  <c r="CE28" i="116"/>
  <c r="CE29" i="116"/>
  <c r="CE30" i="116"/>
  <c r="CE31" i="116"/>
  <c r="CE32" i="116"/>
  <c r="CE34" i="116"/>
  <c r="CE35" i="116"/>
  <c r="CE36" i="116"/>
  <c r="CE37" i="116"/>
  <c r="CE38" i="116"/>
  <c r="CE39" i="116"/>
  <c r="CE40" i="116"/>
  <c r="CE41" i="116"/>
  <c r="CE42" i="116"/>
  <c r="CE43" i="116"/>
  <c r="CE44" i="116"/>
  <c r="CE45" i="116"/>
  <c r="CE46" i="116"/>
  <c r="CE47" i="116"/>
  <c r="CE48" i="116"/>
  <c r="CE49" i="116"/>
  <c r="CE50" i="116"/>
  <c r="CE51" i="116"/>
  <c r="CE52" i="116"/>
  <c r="CE53" i="116"/>
  <c r="CE54" i="116"/>
  <c r="CE55" i="116"/>
  <c r="CE56" i="116"/>
  <c r="CE57" i="116"/>
  <c r="CE58" i="116"/>
  <c r="CE59" i="116"/>
  <c r="CE60" i="116"/>
  <c r="CE61" i="116"/>
  <c r="CE62" i="116"/>
  <c r="CE63" i="116"/>
  <c r="CE64" i="116"/>
  <c r="CE65" i="116"/>
  <c r="CE66" i="116"/>
  <c r="CE67" i="116"/>
  <c r="CE68" i="116"/>
  <c r="CE69" i="116"/>
  <c r="CE70" i="116"/>
  <c r="CE71" i="116"/>
  <c r="CE72" i="116"/>
  <c r="CE73" i="116"/>
  <c r="CE74" i="116"/>
  <c r="CE75" i="116"/>
  <c r="CE76" i="116"/>
  <c r="CE77" i="116"/>
  <c r="CE78" i="116"/>
  <c r="CE79" i="116"/>
  <c r="CE80" i="116"/>
  <c r="CE81" i="116"/>
  <c r="CE82" i="116"/>
  <c r="CE83" i="116"/>
  <c r="CE84" i="116"/>
  <c r="CE85" i="116"/>
  <c r="CE86" i="116"/>
  <c r="CE87" i="116"/>
  <c r="CE88" i="116"/>
  <c r="CE89" i="116"/>
  <c r="CE90" i="116"/>
  <c r="CE91" i="116"/>
  <c r="CE92" i="116"/>
  <c r="CE93" i="116"/>
  <c r="CE94" i="116"/>
  <c r="CE95" i="116"/>
  <c r="CE96" i="116"/>
  <c r="CE97" i="116"/>
  <c r="CE98" i="116"/>
  <c r="CE99" i="116"/>
  <c r="CE100" i="116"/>
  <c r="CE101" i="116"/>
  <c r="CE102" i="116"/>
  <c r="CE103" i="116"/>
  <c r="CE104" i="116"/>
  <c r="CE105" i="116"/>
  <c r="CE106" i="116"/>
  <c r="CE107" i="116"/>
  <c r="CE108" i="116"/>
  <c r="CE109" i="116"/>
  <c r="CE110" i="116"/>
  <c r="CE111" i="116"/>
  <c r="CE112" i="116"/>
  <c r="CE113" i="116"/>
  <c r="CE114" i="116"/>
  <c r="CE115" i="116"/>
  <c r="CE116" i="116"/>
  <c r="CE117" i="116"/>
  <c r="CE118" i="116"/>
  <c r="CE119" i="116"/>
  <c r="CE120" i="116"/>
  <c r="CE121" i="116"/>
  <c r="CE122" i="116"/>
  <c r="CE123" i="116"/>
  <c r="CE124" i="116"/>
  <c r="CE125" i="116"/>
  <c r="CE126" i="116"/>
  <c r="CE127" i="116"/>
  <c r="CE128" i="116"/>
  <c r="CE129" i="116"/>
  <c r="CE130" i="116"/>
  <c r="CE131" i="116"/>
  <c r="CE132" i="116"/>
  <c r="CE133" i="116"/>
  <c r="CE134" i="116"/>
  <c r="CE135" i="116"/>
  <c r="CE136" i="116"/>
  <c r="CE137" i="116"/>
  <c r="CE138" i="116"/>
  <c r="CE139" i="116"/>
  <c r="CE140" i="116"/>
  <c r="CE141" i="116"/>
  <c r="CE142" i="116"/>
  <c r="CE143" i="116"/>
  <c r="CE144" i="116"/>
  <c r="CE145" i="116"/>
  <c r="CE146" i="116"/>
  <c r="CE147" i="116"/>
  <c r="CE148" i="116"/>
  <c r="CE149" i="116"/>
  <c r="CE150" i="116"/>
  <c r="CE151" i="116"/>
  <c r="CE152" i="116"/>
  <c r="CE153" i="116"/>
  <c r="CE154" i="116"/>
  <c r="CE155" i="116"/>
  <c r="CE156" i="116"/>
  <c r="CE157" i="116"/>
  <c r="CE6" i="116"/>
  <c r="CI7" i="116"/>
  <c r="CI8" i="116"/>
  <c r="CI9" i="116"/>
  <c r="CI10" i="116"/>
  <c r="CI11" i="116"/>
  <c r="CI12" i="116"/>
  <c r="CI13" i="116"/>
  <c r="CI14" i="116"/>
  <c r="CI15" i="116"/>
  <c r="CI16" i="116"/>
  <c r="CI17" i="116"/>
  <c r="CI18" i="116"/>
  <c r="CI19" i="116"/>
  <c r="CI20" i="116"/>
  <c r="CI21" i="116"/>
  <c r="CI22" i="116"/>
  <c r="CI23" i="116"/>
  <c r="CI24" i="116"/>
  <c r="CI25" i="116"/>
  <c r="CI26" i="116"/>
  <c r="CI27" i="116"/>
  <c r="CI28" i="116"/>
  <c r="CI29" i="116"/>
  <c r="CI30" i="116"/>
  <c r="CI31" i="116"/>
  <c r="CI32" i="116"/>
  <c r="CI34" i="116"/>
  <c r="CI35" i="116"/>
  <c r="CI36" i="116"/>
  <c r="CI37" i="116"/>
  <c r="CI38" i="116"/>
  <c r="CI39" i="116"/>
  <c r="CI40" i="116"/>
  <c r="CI41" i="116"/>
  <c r="CI42" i="116"/>
  <c r="CI43" i="116"/>
  <c r="CI44" i="116"/>
  <c r="CI45" i="116"/>
  <c r="CI46" i="116"/>
  <c r="CI47" i="116"/>
  <c r="CI48" i="116"/>
  <c r="CI49" i="116"/>
  <c r="CI50" i="116"/>
  <c r="CI51" i="116"/>
  <c r="CI52" i="116"/>
  <c r="CI53" i="116"/>
  <c r="CI54" i="116"/>
  <c r="CI55" i="116"/>
  <c r="CI56" i="116"/>
  <c r="CI57" i="116"/>
  <c r="CI58" i="116"/>
  <c r="CI59" i="116"/>
  <c r="CI60" i="116"/>
  <c r="CI61" i="116"/>
  <c r="CI62" i="116"/>
  <c r="CI63" i="116"/>
  <c r="CI64" i="116"/>
  <c r="CI65" i="116"/>
  <c r="CI66" i="116"/>
  <c r="CI67" i="116"/>
  <c r="CI68" i="116"/>
  <c r="CI69" i="116"/>
  <c r="CI70" i="116"/>
  <c r="CI71" i="116"/>
  <c r="CI72" i="116"/>
  <c r="CI73" i="116"/>
  <c r="CI74" i="116"/>
  <c r="CI75" i="116"/>
  <c r="CI76" i="116"/>
  <c r="CI77" i="116"/>
  <c r="CI78" i="116"/>
  <c r="CI79" i="116"/>
  <c r="CI80" i="116"/>
  <c r="CI81" i="116"/>
  <c r="CI82" i="116"/>
  <c r="CI83" i="116"/>
  <c r="CI84" i="116"/>
  <c r="CI85" i="116"/>
  <c r="CI86" i="116"/>
  <c r="CI87" i="116"/>
  <c r="CI88" i="116"/>
  <c r="CI89" i="116"/>
  <c r="CI90" i="116"/>
  <c r="CI91" i="116"/>
  <c r="CI92" i="116"/>
  <c r="CI93" i="116"/>
  <c r="CI94" i="116"/>
  <c r="CI95" i="116"/>
  <c r="CI96" i="116"/>
  <c r="CI97" i="116"/>
  <c r="CI98" i="116"/>
  <c r="CI99" i="116"/>
  <c r="CI100" i="116"/>
  <c r="CI101" i="116"/>
  <c r="CI102" i="116"/>
  <c r="CI103" i="116"/>
  <c r="CI104" i="116"/>
  <c r="CI105" i="116"/>
  <c r="CI106" i="116"/>
  <c r="CI107" i="116"/>
  <c r="CI108" i="116"/>
  <c r="CI109" i="116"/>
  <c r="CI110" i="116"/>
  <c r="CI111" i="116"/>
  <c r="CI112" i="116"/>
  <c r="CI113" i="116"/>
  <c r="CI114" i="116"/>
  <c r="CI115" i="116"/>
  <c r="CI116" i="116"/>
  <c r="CI117" i="116"/>
  <c r="CI118" i="116"/>
  <c r="CI119" i="116"/>
  <c r="CI120" i="116"/>
  <c r="CI121" i="116"/>
  <c r="CI122" i="116"/>
  <c r="CI123" i="116"/>
  <c r="CI124" i="116"/>
  <c r="CI125" i="116"/>
  <c r="CI126" i="116"/>
  <c r="CI127" i="116"/>
  <c r="CI128" i="116"/>
  <c r="CI129" i="116"/>
  <c r="CI130" i="116"/>
  <c r="CI131" i="116"/>
  <c r="CI132" i="116"/>
  <c r="CI133" i="116"/>
  <c r="CI134" i="116"/>
  <c r="CI135" i="116"/>
  <c r="CI136" i="116"/>
  <c r="CI137" i="116"/>
  <c r="CI138" i="116"/>
  <c r="CI139" i="116"/>
  <c r="CI140" i="116"/>
  <c r="CI141" i="116"/>
  <c r="CI142" i="116"/>
  <c r="CI143" i="116"/>
  <c r="CI144" i="116"/>
  <c r="CI145" i="116"/>
  <c r="CI146" i="116"/>
  <c r="CI147" i="116"/>
  <c r="CI148" i="116"/>
  <c r="CI149" i="116"/>
  <c r="CI150" i="116"/>
  <c r="CI151" i="116"/>
  <c r="CI152" i="116"/>
  <c r="CI153" i="116"/>
  <c r="CI154" i="116"/>
  <c r="CI155" i="116"/>
  <c r="CI156" i="116"/>
  <c r="CI157" i="116"/>
  <c r="CI6" i="116"/>
  <c r="CD7" i="116"/>
  <c r="CD8" i="116"/>
  <c r="CD9" i="116"/>
  <c r="CD10" i="116"/>
  <c r="CD11" i="116"/>
  <c r="CD12" i="116"/>
  <c r="CD13" i="116"/>
  <c r="CD14" i="116"/>
  <c r="CD15" i="116"/>
  <c r="CD16" i="116"/>
  <c r="CD17" i="116"/>
  <c r="CD18" i="116"/>
  <c r="CD19" i="116"/>
  <c r="CD20" i="116"/>
  <c r="CD21" i="116"/>
  <c r="CD22" i="116"/>
  <c r="CD23" i="116"/>
  <c r="CD24" i="116"/>
  <c r="CD25" i="116"/>
  <c r="CD26" i="116"/>
  <c r="CD27" i="116"/>
  <c r="CD28" i="116"/>
  <c r="CD29" i="116"/>
  <c r="CD30" i="116"/>
  <c r="CD31" i="116"/>
  <c r="CD32" i="116"/>
  <c r="CD34" i="116"/>
  <c r="CD35" i="116"/>
  <c r="CD36" i="116"/>
  <c r="CD37" i="116"/>
  <c r="CD38" i="116"/>
  <c r="CD39" i="116"/>
  <c r="CD40" i="116"/>
  <c r="CD41" i="116"/>
  <c r="CD42" i="116"/>
  <c r="CD43" i="116"/>
  <c r="CD44" i="116"/>
  <c r="CD45" i="116"/>
  <c r="CD46" i="116"/>
  <c r="CD47" i="116"/>
  <c r="CD48" i="116"/>
  <c r="CD49" i="116"/>
  <c r="CD50" i="116"/>
  <c r="CD51" i="116"/>
  <c r="CD52" i="116"/>
  <c r="CD53" i="116"/>
  <c r="CD54" i="116"/>
  <c r="CD55" i="116"/>
  <c r="CD56" i="116"/>
  <c r="CD57" i="116"/>
  <c r="CD58" i="116"/>
  <c r="CD59" i="116"/>
  <c r="CD60" i="116"/>
  <c r="CD61" i="116"/>
  <c r="CD62" i="116"/>
  <c r="CD63" i="116"/>
  <c r="CD64" i="116"/>
  <c r="CD65" i="116"/>
  <c r="CD66" i="116"/>
  <c r="CD67" i="116"/>
  <c r="CD68" i="116"/>
  <c r="CD69" i="116"/>
  <c r="CD70" i="116"/>
  <c r="CD71" i="116"/>
  <c r="CD72" i="116"/>
  <c r="CD73" i="116"/>
  <c r="CD74" i="116"/>
  <c r="CD75" i="116"/>
  <c r="CD76" i="116"/>
  <c r="CD77" i="116"/>
  <c r="CD78" i="116"/>
  <c r="CD79" i="116"/>
  <c r="CD80" i="116"/>
  <c r="CD81" i="116"/>
  <c r="CD82" i="116"/>
  <c r="CD83" i="116"/>
  <c r="CD84" i="116"/>
  <c r="CD85" i="116"/>
  <c r="CD86" i="116"/>
  <c r="CD87" i="116"/>
  <c r="CD88" i="116"/>
  <c r="CD89" i="116"/>
  <c r="CD90" i="116"/>
  <c r="CD91" i="116"/>
  <c r="CD92" i="116"/>
  <c r="CD93" i="116"/>
  <c r="CD94" i="116"/>
  <c r="CD95" i="116"/>
  <c r="CD96" i="116"/>
  <c r="CD97" i="116"/>
  <c r="CD98" i="116"/>
  <c r="CD99" i="116"/>
  <c r="CD100" i="116"/>
  <c r="CD101" i="116"/>
  <c r="CD102" i="116"/>
  <c r="CD103" i="116"/>
  <c r="CD104" i="116"/>
  <c r="CD105" i="116"/>
  <c r="CD106" i="116"/>
  <c r="CD107" i="116"/>
  <c r="CD108" i="116"/>
  <c r="CD109" i="116"/>
  <c r="CD110" i="116"/>
  <c r="CD111" i="116"/>
  <c r="CD112" i="116"/>
  <c r="CD113" i="116"/>
  <c r="CD114" i="116"/>
  <c r="CD115" i="116"/>
  <c r="CD116" i="116"/>
  <c r="CD117" i="116"/>
  <c r="CD118" i="116"/>
  <c r="CD119" i="116"/>
  <c r="CD120" i="116"/>
  <c r="CD121" i="116"/>
  <c r="CD122" i="116"/>
  <c r="CD123" i="116"/>
  <c r="CD124" i="116"/>
  <c r="CD125" i="116"/>
  <c r="CD126" i="116"/>
  <c r="CD127" i="116"/>
  <c r="CD128" i="116"/>
  <c r="CD129" i="116"/>
  <c r="CD130" i="116"/>
  <c r="CD131" i="116"/>
  <c r="CD132" i="116"/>
  <c r="CD133" i="116"/>
  <c r="CD134" i="116"/>
  <c r="CD135" i="116"/>
  <c r="CD136" i="116"/>
  <c r="CD137" i="116"/>
  <c r="CD138" i="116"/>
  <c r="CD139" i="116"/>
  <c r="CD140" i="116"/>
  <c r="CD141" i="116"/>
  <c r="CD142" i="116"/>
  <c r="CD143" i="116"/>
  <c r="CD144" i="116"/>
  <c r="CD145" i="116"/>
  <c r="CD146" i="116"/>
  <c r="CD147" i="116"/>
  <c r="CD148" i="116"/>
  <c r="CD149" i="116"/>
  <c r="CD150" i="116"/>
  <c r="CD151" i="116"/>
  <c r="CD152" i="116"/>
  <c r="CD153" i="116"/>
  <c r="CD154" i="116"/>
  <c r="CD155" i="116"/>
  <c r="CD156" i="116"/>
  <c r="CD157" i="116"/>
  <c r="CD6" i="116"/>
  <c r="BZ7" i="116"/>
  <c r="BZ8" i="116"/>
  <c r="BZ9" i="116"/>
  <c r="BZ10" i="116"/>
  <c r="BZ11" i="116"/>
  <c r="BZ12" i="116"/>
  <c r="BZ13" i="116"/>
  <c r="BZ14" i="116"/>
  <c r="BZ15" i="116"/>
  <c r="BZ16" i="116"/>
  <c r="BZ17" i="116"/>
  <c r="BZ18" i="116"/>
  <c r="BZ19" i="116"/>
  <c r="BZ20" i="116"/>
  <c r="BZ21" i="116"/>
  <c r="BZ22" i="116"/>
  <c r="BZ23" i="116"/>
  <c r="BZ24" i="116"/>
  <c r="BZ25" i="116"/>
  <c r="BZ26" i="116"/>
  <c r="BZ27" i="116"/>
  <c r="BZ28" i="116"/>
  <c r="BZ29" i="116"/>
  <c r="BZ30" i="116"/>
  <c r="BZ31" i="116"/>
  <c r="BZ32" i="116"/>
  <c r="BZ34" i="116"/>
  <c r="BZ35" i="116"/>
  <c r="BZ36" i="116"/>
  <c r="BZ37" i="116"/>
  <c r="BZ38" i="116"/>
  <c r="BZ39" i="116"/>
  <c r="BZ40" i="116"/>
  <c r="BZ41" i="116"/>
  <c r="BZ42" i="116"/>
  <c r="BZ43" i="116"/>
  <c r="BZ44" i="116"/>
  <c r="BZ45" i="116"/>
  <c r="BZ46" i="116"/>
  <c r="BZ47" i="116"/>
  <c r="BZ48" i="116"/>
  <c r="BZ49" i="116"/>
  <c r="BZ50" i="116"/>
  <c r="BZ51" i="116"/>
  <c r="BZ52" i="116"/>
  <c r="BZ53" i="116"/>
  <c r="BZ54" i="116"/>
  <c r="BZ55" i="116"/>
  <c r="BZ56" i="116"/>
  <c r="BZ57" i="116"/>
  <c r="BZ58" i="116"/>
  <c r="BZ59" i="116"/>
  <c r="BZ60" i="116"/>
  <c r="BZ61" i="116"/>
  <c r="BZ62" i="116"/>
  <c r="BZ63" i="116"/>
  <c r="BZ64" i="116"/>
  <c r="BZ65" i="116"/>
  <c r="BZ66" i="116"/>
  <c r="BZ67" i="116"/>
  <c r="BZ68" i="116"/>
  <c r="BZ69" i="116"/>
  <c r="BZ70" i="116"/>
  <c r="BZ71" i="116"/>
  <c r="BZ72" i="116"/>
  <c r="BZ73" i="116"/>
  <c r="BZ74" i="116"/>
  <c r="BZ75" i="116"/>
  <c r="BZ76" i="116"/>
  <c r="BZ77" i="116"/>
  <c r="BZ78" i="116"/>
  <c r="BZ79" i="116"/>
  <c r="BZ80" i="116"/>
  <c r="BZ81" i="116"/>
  <c r="BZ82" i="116"/>
  <c r="BZ83" i="116"/>
  <c r="BZ84" i="116"/>
  <c r="BZ85" i="116"/>
  <c r="BZ86" i="116"/>
  <c r="BZ87" i="116"/>
  <c r="BZ88" i="116"/>
  <c r="BZ89" i="116"/>
  <c r="BZ90" i="116"/>
  <c r="BZ91" i="116"/>
  <c r="BZ92" i="116"/>
  <c r="BZ93" i="116"/>
  <c r="BZ94" i="116"/>
  <c r="BZ95" i="116"/>
  <c r="BZ96" i="116"/>
  <c r="BZ97" i="116"/>
  <c r="BZ98" i="116"/>
  <c r="BZ99" i="116"/>
  <c r="BZ100" i="116"/>
  <c r="BZ101" i="116"/>
  <c r="BZ102" i="116"/>
  <c r="BZ103" i="116"/>
  <c r="BZ104" i="116"/>
  <c r="BZ105" i="116"/>
  <c r="BZ106" i="116"/>
  <c r="BZ107" i="116"/>
  <c r="BZ108" i="116"/>
  <c r="BZ109" i="116"/>
  <c r="BZ110" i="116"/>
  <c r="BZ111" i="116"/>
  <c r="BZ112" i="116"/>
  <c r="BZ113" i="116"/>
  <c r="BZ114" i="116"/>
  <c r="BZ115" i="116"/>
  <c r="BZ116" i="116"/>
  <c r="BZ117" i="116"/>
  <c r="BZ118" i="116"/>
  <c r="BZ119" i="116"/>
  <c r="BZ120" i="116"/>
  <c r="BZ121" i="116"/>
  <c r="BZ122" i="116"/>
  <c r="BZ123" i="116"/>
  <c r="BZ124" i="116"/>
  <c r="BZ125" i="116"/>
  <c r="BZ126" i="116"/>
  <c r="BZ127" i="116"/>
  <c r="BZ128" i="116"/>
  <c r="BZ129" i="116"/>
  <c r="BZ130" i="116"/>
  <c r="BZ131" i="116"/>
  <c r="BZ132" i="116"/>
  <c r="BZ133" i="116"/>
  <c r="BZ134" i="116"/>
  <c r="BZ135" i="116"/>
  <c r="BZ136" i="116"/>
  <c r="BZ137" i="116"/>
  <c r="BZ138" i="116"/>
  <c r="BZ139" i="116"/>
  <c r="BZ140" i="116"/>
  <c r="BZ141" i="116"/>
  <c r="BZ142" i="116"/>
  <c r="BZ143" i="116"/>
  <c r="BZ144" i="116"/>
  <c r="BZ145" i="116"/>
  <c r="BZ146" i="116"/>
  <c r="BZ147" i="116"/>
  <c r="BZ148" i="116"/>
  <c r="BZ149" i="116"/>
  <c r="BZ150" i="116"/>
  <c r="BZ151" i="116"/>
  <c r="BZ152" i="116"/>
  <c r="BZ153" i="116"/>
  <c r="BZ154" i="116"/>
  <c r="BZ155" i="116"/>
  <c r="BZ156" i="116"/>
  <c r="BZ157" i="116"/>
  <c r="BZ6" i="116"/>
  <c r="BY7" i="116"/>
  <c r="BY8" i="116"/>
  <c r="BY9" i="116"/>
  <c r="BY10" i="116"/>
  <c r="BY11" i="116"/>
  <c r="BY12" i="116"/>
  <c r="BY13" i="116"/>
  <c r="BY14" i="116"/>
  <c r="BY15" i="116"/>
  <c r="BY16" i="116"/>
  <c r="BY17" i="116"/>
  <c r="BY18" i="116"/>
  <c r="BY19" i="116"/>
  <c r="BY20" i="116"/>
  <c r="BY21" i="116"/>
  <c r="BY22" i="116"/>
  <c r="BY23" i="116"/>
  <c r="BY24" i="116"/>
  <c r="BY25" i="116"/>
  <c r="BY26" i="116"/>
  <c r="BY27" i="116"/>
  <c r="BY28" i="116"/>
  <c r="BY29" i="116"/>
  <c r="BY30" i="116"/>
  <c r="BY31" i="116"/>
  <c r="BY32" i="116"/>
  <c r="BY34" i="116"/>
  <c r="BY35" i="116"/>
  <c r="BY36" i="116"/>
  <c r="BY37" i="116"/>
  <c r="BY38" i="116"/>
  <c r="BY39" i="116"/>
  <c r="BY40" i="116"/>
  <c r="BY41" i="116"/>
  <c r="BY42" i="116"/>
  <c r="BY43" i="116"/>
  <c r="BY44" i="116"/>
  <c r="BY45" i="116"/>
  <c r="BY46" i="116"/>
  <c r="BY47" i="116"/>
  <c r="BY48" i="116"/>
  <c r="BY49" i="116"/>
  <c r="BY50" i="116"/>
  <c r="BY51" i="116"/>
  <c r="BY52" i="116"/>
  <c r="BY53" i="116"/>
  <c r="BY54" i="116"/>
  <c r="BY55" i="116"/>
  <c r="BY56" i="116"/>
  <c r="BY57" i="116"/>
  <c r="BY58" i="116"/>
  <c r="BY59" i="116"/>
  <c r="BY60" i="116"/>
  <c r="BY61" i="116"/>
  <c r="BY62" i="116"/>
  <c r="BY63" i="116"/>
  <c r="BY64" i="116"/>
  <c r="BY65" i="116"/>
  <c r="BY66" i="116"/>
  <c r="BY67" i="116"/>
  <c r="BY68" i="116"/>
  <c r="BY69" i="116"/>
  <c r="BY70" i="116"/>
  <c r="BY71" i="116"/>
  <c r="BY72" i="116"/>
  <c r="BY73" i="116"/>
  <c r="BY74" i="116"/>
  <c r="BY75" i="116"/>
  <c r="BY76" i="116"/>
  <c r="BY77" i="116"/>
  <c r="BY78" i="116"/>
  <c r="BY79" i="116"/>
  <c r="BY80" i="116"/>
  <c r="BY81" i="116"/>
  <c r="BY82" i="116"/>
  <c r="BY83" i="116"/>
  <c r="BY84" i="116"/>
  <c r="BY85" i="116"/>
  <c r="BY86" i="116"/>
  <c r="BY87" i="116"/>
  <c r="BY88" i="116"/>
  <c r="BY89" i="116"/>
  <c r="BY90" i="116"/>
  <c r="BY91" i="116"/>
  <c r="BY92" i="116"/>
  <c r="BY93" i="116"/>
  <c r="BY94" i="116"/>
  <c r="BY95" i="116"/>
  <c r="BY96" i="116"/>
  <c r="BY97" i="116"/>
  <c r="BY98" i="116"/>
  <c r="BY99" i="116"/>
  <c r="BY100" i="116"/>
  <c r="BY101" i="116"/>
  <c r="BY102" i="116"/>
  <c r="BY103" i="116"/>
  <c r="BY104" i="116"/>
  <c r="BY105" i="116"/>
  <c r="BY106" i="116"/>
  <c r="BY107" i="116"/>
  <c r="BY108" i="116"/>
  <c r="BY109" i="116"/>
  <c r="BY110" i="116"/>
  <c r="BY111" i="116"/>
  <c r="BY112" i="116"/>
  <c r="BY113" i="116"/>
  <c r="BY114" i="116"/>
  <c r="BY115" i="116"/>
  <c r="BY116" i="116"/>
  <c r="BY117" i="116"/>
  <c r="BY118" i="116"/>
  <c r="BY119" i="116"/>
  <c r="BY120" i="116"/>
  <c r="BY121" i="116"/>
  <c r="BY122" i="116"/>
  <c r="BY123" i="116"/>
  <c r="BY124" i="116"/>
  <c r="BY125" i="116"/>
  <c r="BY126" i="116"/>
  <c r="BY127" i="116"/>
  <c r="BY128" i="116"/>
  <c r="BY129" i="116"/>
  <c r="BY130" i="116"/>
  <c r="BY131" i="116"/>
  <c r="BY132" i="116"/>
  <c r="BY133" i="116"/>
  <c r="BY134" i="116"/>
  <c r="BY135" i="116"/>
  <c r="BY136" i="116"/>
  <c r="BY137" i="116"/>
  <c r="BY138" i="116"/>
  <c r="BY139" i="116"/>
  <c r="BY140" i="116"/>
  <c r="BY141" i="116"/>
  <c r="BY142" i="116"/>
  <c r="BY143" i="116"/>
  <c r="BY144" i="116"/>
  <c r="BY145" i="116"/>
  <c r="BY146" i="116"/>
  <c r="BY147" i="116"/>
  <c r="BY148" i="116"/>
  <c r="BY149" i="116"/>
  <c r="BY150" i="116"/>
  <c r="BY151" i="116"/>
  <c r="BY152" i="116"/>
  <c r="BY153" i="116"/>
  <c r="BY154" i="116"/>
  <c r="BY155" i="116"/>
  <c r="BY156" i="116"/>
  <c r="BY157" i="116"/>
  <c r="BY6" i="116"/>
  <c r="BT6" i="116"/>
  <c r="AB49" i="110" l="1"/>
  <c r="U63" i="118" l="1"/>
  <c r="C130" i="110" l="1"/>
  <c r="D130" i="110" l="1"/>
  <c r="J129" i="118"/>
  <c r="T7" i="118" l="1"/>
  <c r="U7" i="118"/>
  <c r="T8" i="118"/>
  <c r="U8" i="118"/>
  <c r="T9" i="118"/>
  <c r="U9" i="118"/>
  <c r="T10" i="118"/>
  <c r="U10" i="118"/>
  <c r="T11" i="118"/>
  <c r="U11" i="118"/>
  <c r="T12" i="118"/>
  <c r="U12" i="118"/>
  <c r="T13" i="118"/>
  <c r="U13" i="118"/>
  <c r="T14" i="118"/>
  <c r="U14" i="118"/>
  <c r="T15" i="118"/>
  <c r="U15" i="118"/>
  <c r="T16" i="118"/>
  <c r="U16" i="118"/>
  <c r="T17" i="118"/>
  <c r="U17" i="118"/>
  <c r="T18" i="118"/>
  <c r="U18" i="118"/>
  <c r="T19" i="118"/>
  <c r="U19" i="118"/>
  <c r="T20" i="118"/>
  <c r="U20" i="118"/>
  <c r="T21" i="118"/>
  <c r="U21" i="118"/>
  <c r="T22" i="118"/>
  <c r="U22" i="118"/>
  <c r="T23" i="118"/>
  <c r="U23" i="118"/>
  <c r="T24" i="118"/>
  <c r="U24" i="118"/>
  <c r="T25" i="118"/>
  <c r="U25" i="118"/>
  <c r="T26" i="118"/>
  <c r="U26" i="118"/>
  <c r="T27" i="118"/>
  <c r="U27" i="118"/>
  <c r="T28" i="118"/>
  <c r="U28" i="118"/>
  <c r="T29" i="118"/>
  <c r="U29" i="118"/>
  <c r="T30" i="118"/>
  <c r="U30" i="118"/>
  <c r="T31" i="118"/>
  <c r="U31" i="118"/>
  <c r="T32" i="118"/>
  <c r="U32" i="118"/>
  <c r="T33" i="118"/>
  <c r="U33" i="118"/>
  <c r="T34" i="118"/>
  <c r="U34" i="118"/>
  <c r="T35" i="118"/>
  <c r="U35" i="118"/>
  <c r="T36" i="118"/>
  <c r="U36" i="118"/>
  <c r="T37" i="118"/>
  <c r="U37" i="118"/>
  <c r="T38" i="118"/>
  <c r="U38" i="118"/>
  <c r="T39" i="118"/>
  <c r="U39" i="118"/>
  <c r="T40" i="118"/>
  <c r="U40" i="118"/>
  <c r="T41" i="118"/>
  <c r="U41" i="118"/>
  <c r="T42" i="118"/>
  <c r="U42" i="118"/>
  <c r="T43" i="118"/>
  <c r="U43" i="118"/>
  <c r="T44" i="118"/>
  <c r="U44" i="118"/>
  <c r="T45" i="118"/>
  <c r="U45" i="118"/>
  <c r="T46" i="118"/>
  <c r="U46" i="118"/>
  <c r="T47" i="118"/>
  <c r="U47" i="118"/>
  <c r="T48" i="118"/>
  <c r="U48" i="118"/>
  <c r="T49" i="118"/>
  <c r="U49" i="118"/>
  <c r="T50" i="118"/>
  <c r="U50" i="118"/>
  <c r="T51" i="118"/>
  <c r="U51" i="118"/>
  <c r="T52" i="118"/>
  <c r="U52" i="118"/>
  <c r="T53" i="118"/>
  <c r="U53" i="118"/>
  <c r="T54" i="118"/>
  <c r="U54" i="118"/>
  <c r="T55" i="118"/>
  <c r="U55" i="118"/>
  <c r="T56" i="118"/>
  <c r="U56" i="118"/>
  <c r="T57" i="118"/>
  <c r="U57" i="118"/>
  <c r="T58" i="118"/>
  <c r="U58" i="118"/>
  <c r="T59" i="118"/>
  <c r="U59" i="118"/>
  <c r="T60" i="118"/>
  <c r="U60" i="118"/>
  <c r="T61" i="118"/>
  <c r="U61" i="118"/>
  <c r="T62" i="118"/>
  <c r="U62" i="118"/>
  <c r="T63" i="118"/>
  <c r="T64" i="118"/>
  <c r="U64" i="118"/>
  <c r="T65" i="118"/>
  <c r="U65" i="118"/>
  <c r="T66" i="118"/>
  <c r="T67" i="118"/>
  <c r="U67" i="118"/>
  <c r="T68" i="118"/>
  <c r="U68" i="118"/>
  <c r="T69" i="118"/>
  <c r="U69" i="118"/>
  <c r="T70" i="118"/>
  <c r="U70" i="118"/>
  <c r="T71" i="118"/>
  <c r="U71" i="118"/>
  <c r="T72" i="118"/>
  <c r="U72" i="118"/>
  <c r="T73" i="118"/>
  <c r="U73" i="118"/>
  <c r="T74" i="118"/>
  <c r="U74" i="118"/>
  <c r="T75" i="118"/>
  <c r="U75" i="118"/>
  <c r="T76" i="118"/>
  <c r="U76" i="118"/>
  <c r="T77" i="118"/>
  <c r="U77" i="118"/>
  <c r="T78" i="118"/>
  <c r="U78" i="118"/>
  <c r="T79" i="118"/>
  <c r="U79" i="118"/>
  <c r="T80" i="118"/>
  <c r="U80" i="118"/>
  <c r="T81" i="118"/>
  <c r="U81" i="118"/>
  <c r="T82" i="118"/>
  <c r="U82" i="118"/>
  <c r="T83" i="118"/>
  <c r="U83" i="118"/>
  <c r="T84" i="118"/>
  <c r="U84" i="118"/>
  <c r="T85" i="118"/>
  <c r="U85" i="118"/>
  <c r="T86" i="118"/>
  <c r="U86" i="118"/>
  <c r="T87" i="118"/>
  <c r="U87" i="118"/>
  <c r="T88" i="118"/>
  <c r="U88" i="118"/>
  <c r="T89" i="118"/>
  <c r="U89" i="118"/>
  <c r="T90" i="118"/>
  <c r="U90" i="118"/>
  <c r="T91" i="118"/>
  <c r="U91" i="118"/>
  <c r="T92" i="118"/>
  <c r="U92" i="118"/>
  <c r="T93" i="118"/>
  <c r="U93" i="118"/>
  <c r="T94" i="118"/>
  <c r="U94" i="118"/>
  <c r="T95" i="118"/>
  <c r="U95" i="118"/>
  <c r="T96" i="118"/>
  <c r="U96" i="118"/>
  <c r="T97" i="118"/>
  <c r="U97" i="118"/>
  <c r="T98" i="118"/>
  <c r="U98" i="118"/>
  <c r="T99" i="118"/>
  <c r="U99" i="118"/>
  <c r="T100" i="118"/>
  <c r="U100" i="118"/>
  <c r="T101" i="118"/>
  <c r="U101" i="118"/>
  <c r="T102" i="118"/>
  <c r="U102" i="118"/>
  <c r="T103" i="118"/>
  <c r="U103" i="118"/>
  <c r="T104" i="118"/>
  <c r="U104" i="118"/>
  <c r="T105" i="118"/>
  <c r="U105" i="118"/>
  <c r="T106" i="118"/>
  <c r="U106" i="118"/>
  <c r="T107" i="118"/>
  <c r="U107" i="118"/>
  <c r="T108" i="118"/>
  <c r="U108" i="118"/>
  <c r="T109" i="118"/>
  <c r="U109" i="118"/>
  <c r="T110" i="118"/>
  <c r="U110" i="118"/>
  <c r="T111" i="118"/>
  <c r="U111" i="118"/>
  <c r="T112" i="118"/>
  <c r="U112" i="118"/>
  <c r="T113" i="118"/>
  <c r="U113" i="118"/>
  <c r="T114" i="118"/>
  <c r="U114" i="118"/>
  <c r="T115" i="118"/>
  <c r="U115" i="118"/>
  <c r="T116" i="118"/>
  <c r="U116" i="118"/>
  <c r="T117" i="118"/>
  <c r="U117" i="118"/>
  <c r="T118" i="118"/>
  <c r="U118" i="118"/>
  <c r="T119" i="118"/>
  <c r="U119" i="118"/>
  <c r="T120" i="118"/>
  <c r="U120" i="118"/>
  <c r="T121" i="118"/>
  <c r="U121" i="118"/>
  <c r="T122" i="118"/>
  <c r="U122" i="118"/>
  <c r="T123" i="118"/>
  <c r="U123" i="118"/>
  <c r="T124" i="118"/>
  <c r="U124" i="118"/>
  <c r="T125" i="118"/>
  <c r="U125" i="118"/>
  <c r="T126" i="118"/>
  <c r="U126" i="118"/>
  <c r="T127" i="118"/>
  <c r="U127" i="118"/>
  <c r="T128" i="118"/>
  <c r="U128" i="118"/>
  <c r="T129" i="118"/>
  <c r="U129" i="118"/>
  <c r="T130" i="118"/>
  <c r="U130" i="118"/>
  <c r="T131" i="118"/>
  <c r="U131" i="118"/>
  <c r="T132" i="118"/>
  <c r="U132" i="118"/>
  <c r="T133" i="118"/>
  <c r="U133" i="118"/>
  <c r="T134" i="118"/>
  <c r="U134" i="118"/>
  <c r="T135" i="118"/>
  <c r="U135" i="118"/>
  <c r="T136" i="118"/>
  <c r="U136" i="118"/>
  <c r="T137" i="118"/>
  <c r="U137" i="118"/>
  <c r="T138" i="118"/>
  <c r="U138" i="118"/>
  <c r="T139" i="118"/>
  <c r="U139" i="118"/>
  <c r="T140" i="118"/>
  <c r="U140" i="118"/>
  <c r="T141" i="118"/>
  <c r="U141" i="118"/>
  <c r="T142" i="118"/>
  <c r="U142" i="118"/>
  <c r="T143" i="118"/>
  <c r="U143" i="118"/>
  <c r="T144" i="118"/>
  <c r="U144" i="118"/>
  <c r="T145" i="118"/>
  <c r="U145" i="118"/>
  <c r="T146" i="118"/>
  <c r="U146" i="118"/>
  <c r="T147" i="118"/>
  <c r="U147" i="118"/>
  <c r="T148" i="118"/>
  <c r="U148" i="118"/>
  <c r="T149" i="118"/>
  <c r="U149" i="118"/>
  <c r="T150" i="118"/>
  <c r="U150" i="118"/>
  <c r="T151" i="118"/>
  <c r="U151" i="118"/>
  <c r="R152" i="118"/>
  <c r="S152" i="118"/>
  <c r="T152" i="118"/>
  <c r="U152" i="118"/>
  <c r="T153" i="118"/>
  <c r="U153" i="118"/>
  <c r="T154" i="118"/>
  <c r="U154" i="118"/>
  <c r="T155" i="118"/>
  <c r="U155" i="118"/>
  <c r="T156" i="118"/>
  <c r="U156" i="118"/>
  <c r="T157" i="118"/>
  <c r="U157" i="118"/>
  <c r="T158" i="118"/>
  <c r="U158" i="118"/>
  <c r="T159" i="118"/>
  <c r="U159" i="118"/>
  <c r="T160" i="118"/>
  <c r="U160" i="118"/>
  <c r="T161" i="118"/>
  <c r="U161" i="118"/>
  <c r="T162" i="118"/>
  <c r="U162" i="118"/>
  <c r="U6" i="118"/>
  <c r="T6" i="118"/>
  <c r="O7" i="118"/>
  <c r="P7" i="118"/>
  <c r="O8" i="118"/>
  <c r="P8" i="118"/>
  <c r="O9" i="118"/>
  <c r="P9" i="118"/>
  <c r="O10" i="118"/>
  <c r="P10" i="118"/>
  <c r="O11" i="118"/>
  <c r="P11" i="118"/>
  <c r="O12" i="118"/>
  <c r="P12" i="118"/>
  <c r="O13" i="118"/>
  <c r="P13" i="118"/>
  <c r="O14" i="118"/>
  <c r="P14" i="118"/>
  <c r="O15" i="118"/>
  <c r="P15" i="118"/>
  <c r="O16" i="118"/>
  <c r="P16" i="118"/>
  <c r="O17" i="118"/>
  <c r="P17" i="118"/>
  <c r="O18" i="118"/>
  <c r="P18" i="118"/>
  <c r="O19" i="118"/>
  <c r="P19" i="118"/>
  <c r="O20" i="118"/>
  <c r="P20" i="118"/>
  <c r="O21" i="118"/>
  <c r="P21" i="118"/>
  <c r="O22" i="118"/>
  <c r="P22" i="118"/>
  <c r="O23" i="118"/>
  <c r="P23" i="118"/>
  <c r="O24" i="118"/>
  <c r="P24" i="118"/>
  <c r="O25" i="118"/>
  <c r="P25" i="118"/>
  <c r="O26" i="118"/>
  <c r="P26" i="118"/>
  <c r="O27" i="118"/>
  <c r="P27" i="118"/>
  <c r="O28" i="118"/>
  <c r="P28" i="118"/>
  <c r="O29" i="118"/>
  <c r="P29" i="118"/>
  <c r="O30" i="118"/>
  <c r="P30" i="118"/>
  <c r="O31" i="118"/>
  <c r="P31" i="118"/>
  <c r="O32" i="118"/>
  <c r="P32" i="118"/>
  <c r="O33" i="118"/>
  <c r="P33" i="118"/>
  <c r="O34" i="118"/>
  <c r="P34" i="118"/>
  <c r="O35" i="118"/>
  <c r="P35" i="118"/>
  <c r="O36" i="118"/>
  <c r="P36" i="118"/>
  <c r="O37" i="118"/>
  <c r="P37" i="118"/>
  <c r="O38" i="118"/>
  <c r="P38" i="118"/>
  <c r="O39" i="118"/>
  <c r="P39" i="118"/>
  <c r="O40" i="118"/>
  <c r="P40" i="118"/>
  <c r="O41" i="118"/>
  <c r="P41" i="118"/>
  <c r="O42" i="118"/>
  <c r="P42" i="118"/>
  <c r="O43" i="118"/>
  <c r="P43" i="118"/>
  <c r="O44" i="118"/>
  <c r="P44" i="118"/>
  <c r="O45" i="118"/>
  <c r="P45" i="118"/>
  <c r="O46" i="118"/>
  <c r="P46" i="118"/>
  <c r="O47" i="118"/>
  <c r="P47" i="118"/>
  <c r="O48" i="118"/>
  <c r="P48" i="118"/>
  <c r="O49" i="118"/>
  <c r="P49" i="118"/>
  <c r="O50" i="118"/>
  <c r="P50" i="118"/>
  <c r="O51" i="118"/>
  <c r="P51" i="118"/>
  <c r="O52" i="118"/>
  <c r="P52" i="118"/>
  <c r="O53" i="118"/>
  <c r="P53" i="118"/>
  <c r="O54" i="118"/>
  <c r="P54" i="118"/>
  <c r="O55" i="118"/>
  <c r="P55" i="118"/>
  <c r="O56" i="118"/>
  <c r="P56" i="118"/>
  <c r="O57" i="118"/>
  <c r="P57" i="118"/>
  <c r="O58" i="118"/>
  <c r="P58" i="118"/>
  <c r="O59" i="118"/>
  <c r="P59" i="118"/>
  <c r="O60" i="118"/>
  <c r="P60" i="118"/>
  <c r="O61" i="118"/>
  <c r="P61" i="118"/>
  <c r="O62" i="118"/>
  <c r="P62" i="118"/>
  <c r="O63" i="118"/>
  <c r="P63" i="118"/>
  <c r="O64" i="118"/>
  <c r="P64" i="118"/>
  <c r="O65" i="118"/>
  <c r="P65" i="118"/>
  <c r="O66" i="118"/>
  <c r="P66" i="118"/>
  <c r="O67" i="118"/>
  <c r="P67" i="118"/>
  <c r="O68" i="118"/>
  <c r="P68" i="118"/>
  <c r="O69" i="118"/>
  <c r="P69" i="118"/>
  <c r="O70" i="118"/>
  <c r="P70" i="118"/>
  <c r="O71" i="118"/>
  <c r="P71" i="118"/>
  <c r="O72" i="118"/>
  <c r="P72" i="118"/>
  <c r="O73" i="118"/>
  <c r="P73" i="118"/>
  <c r="O74" i="118"/>
  <c r="P74" i="118"/>
  <c r="O75" i="118"/>
  <c r="P75" i="118"/>
  <c r="O76" i="118"/>
  <c r="P76" i="118"/>
  <c r="O77" i="118"/>
  <c r="P77" i="118"/>
  <c r="O78" i="118"/>
  <c r="P78" i="118"/>
  <c r="O79" i="118"/>
  <c r="P79" i="118"/>
  <c r="O80" i="118"/>
  <c r="P80" i="118"/>
  <c r="O81" i="118"/>
  <c r="P81" i="118"/>
  <c r="O82" i="118"/>
  <c r="P82" i="118"/>
  <c r="O83" i="118"/>
  <c r="P83" i="118"/>
  <c r="O84" i="118"/>
  <c r="P84" i="118"/>
  <c r="O85" i="118"/>
  <c r="P85" i="118"/>
  <c r="O86" i="118"/>
  <c r="P86" i="118"/>
  <c r="O87" i="118"/>
  <c r="P87" i="118"/>
  <c r="O88" i="118"/>
  <c r="P88" i="118"/>
  <c r="O89" i="118"/>
  <c r="P89" i="118"/>
  <c r="O90" i="118"/>
  <c r="P90" i="118"/>
  <c r="O91" i="118"/>
  <c r="P91" i="118"/>
  <c r="O92" i="118"/>
  <c r="P92" i="118"/>
  <c r="O93" i="118"/>
  <c r="P93" i="118"/>
  <c r="O94" i="118"/>
  <c r="P94" i="118"/>
  <c r="O95" i="118"/>
  <c r="P95" i="118"/>
  <c r="O96" i="118"/>
  <c r="P96" i="118"/>
  <c r="O97" i="118"/>
  <c r="P97" i="118"/>
  <c r="O98" i="118"/>
  <c r="P98" i="118"/>
  <c r="O99" i="118"/>
  <c r="P99" i="118"/>
  <c r="O100" i="118"/>
  <c r="P100" i="118"/>
  <c r="O101" i="118"/>
  <c r="P101" i="118"/>
  <c r="O102" i="118"/>
  <c r="P102" i="118"/>
  <c r="O103" i="118"/>
  <c r="P103" i="118"/>
  <c r="O104" i="118"/>
  <c r="P104" i="118"/>
  <c r="O105" i="118"/>
  <c r="P105" i="118"/>
  <c r="O106" i="118"/>
  <c r="P106" i="118"/>
  <c r="O107" i="118"/>
  <c r="P107" i="118"/>
  <c r="O108" i="118"/>
  <c r="P108" i="118"/>
  <c r="O109" i="118"/>
  <c r="P109" i="118"/>
  <c r="O110" i="118"/>
  <c r="P110" i="118"/>
  <c r="O111" i="118"/>
  <c r="P111" i="118"/>
  <c r="O112" i="118"/>
  <c r="P112" i="118"/>
  <c r="O113" i="118"/>
  <c r="P113" i="118"/>
  <c r="O114" i="118"/>
  <c r="P114" i="118"/>
  <c r="O115" i="118"/>
  <c r="P115" i="118"/>
  <c r="O116" i="118"/>
  <c r="P116" i="118"/>
  <c r="O117" i="118"/>
  <c r="P117" i="118"/>
  <c r="O118" i="118"/>
  <c r="P118" i="118"/>
  <c r="O119" i="118"/>
  <c r="P119" i="118"/>
  <c r="O120" i="118"/>
  <c r="P120" i="118"/>
  <c r="O121" i="118"/>
  <c r="P121" i="118"/>
  <c r="O122" i="118"/>
  <c r="P122" i="118"/>
  <c r="O123" i="118"/>
  <c r="P123" i="118"/>
  <c r="O124" i="118"/>
  <c r="P124" i="118"/>
  <c r="O125" i="118"/>
  <c r="P125" i="118"/>
  <c r="O126" i="118"/>
  <c r="P126" i="118"/>
  <c r="O127" i="118"/>
  <c r="P127" i="118"/>
  <c r="O128" i="118"/>
  <c r="P128" i="118"/>
  <c r="O129" i="118"/>
  <c r="P129" i="118"/>
  <c r="O130" i="118"/>
  <c r="P130" i="118"/>
  <c r="O131" i="118"/>
  <c r="P131" i="118"/>
  <c r="O132" i="118"/>
  <c r="P132" i="118"/>
  <c r="O133" i="118"/>
  <c r="P133" i="118"/>
  <c r="O134" i="118"/>
  <c r="P134" i="118"/>
  <c r="O135" i="118"/>
  <c r="P135" i="118"/>
  <c r="O136" i="118"/>
  <c r="P136" i="118"/>
  <c r="O137" i="118"/>
  <c r="P137" i="118"/>
  <c r="O138" i="118"/>
  <c r="P138" i="118"/>
  <c r="O139" i="118"/>
  <c r="P139" i="118"/>
  <c r="O140" i="118"/>
  <c r="P140" i="118"/>
  <c r="O141" i="118"/>
  <c r="P141" i="118"/>
  <c r="O142" i="118"/>
  <c r="P142" i="118"/>
  <c r="O143" i="118"/>
  <c r="P143" i="118"/>
  <c r="O144" i="118"/>
  <c r="P144" i="118"/>
  <c r="O145" i="118"/>
  <c r="P145" i="118"/>
  <c r="O146" i="118"/>
  <c r="P146" i="118"/>
  <c r="O147" i="118"/>
  <c r="P147" i="118"/>
  <c r="O148" i="118"/>
  <c r="P148" i="118"/>
  <c r="O149" i="118"/>
  <c r="P149" i="118"/>
  <c r="O150" i="118"/>
  <c r="P150" i="118"/>
  <c r="O151" i="118"/>
  <c r="P151" i="118"/>
  <c r="M152" i="118"/>
  <c r="N152" i="118"/>
  <c r="O152" i="118"/>
  <c r="P152" i="118"/>
  <c r="O153" i="118"/>
  <c r="P153" i="118"/>
  <c r="O154" i="118"/>
  <c r="P154" i="118"/>
  <c r="O155" i="118"/>
  <c r="P155" i="118"/>
  <c r="O156" i="118"/>
  <c r="P156" i="118"/>
  <c r="O157" i="118"/>
  <c r="P157" i="118"/>
  <c r="O158" i="118"/>
  <c r="P158" i="118"/>
  <c r="O159" i="118"/>
  <c r="P159" i="118"/>
  <c r="O160" i="118"/>
  <c r="P160" i="118"/>
  <c r="O161" i="118"/>
  <c r="P161" i="118"/>
  <c r="O162" i="118"/>
  <c r="P162" i="118"/>
  <c r="P6" i="118"/>
  <c r="O6" i="118"/>
  <c r="J7" i="118"/>
  <c r="K7" i="118"/>
  <c r="J8" i="118"/>
  <c r="K8" i="118"/>
  <c r="J9" i="118"/>
  <c r="K9" i="118"/>
  <c r="J10" i="118"/>
  <c r="K10" i="118"/>
  <c r="J11" i="118"/>
  <c r="K11" i="118"/>
  <c r="J12" i="118"/>
  <c r="K12" i="118"/>
  <c r="J13" i="118"/>
  <c r="K13" i="118"/>
  <c r="J14" i="118"/>
  <c r="K14" i="118"/>
  <c r="J15" i="118"/>
  <c r="K15" i="118"/>
  <c r="J16" i="118"/>
  <c r="K16" i="118"/>
  <c r="J17" i="118"/>
  <c r="K17" i="118"/>
  <c r="J18" i="118"/>
  <c r="K18" i="118"/>
  <c r="J19" i="118"/>
  <c r="K19" i="118"/>
  <c r="J20" i="118"/>
  <c r="K20" i="118"/>
  <c r="J21" i="118"/>
  <c r="K21" i="118"/>
  <c r="J22" i="118"/>
  <c r="K22" i="118"/>
  <c r="J23" i="118"/>
  <c r="K23" i="118"/>
  <c r="J24" i="118"/>
  <c r="K24" i="118"/>
  <c r="J25" i="118"/>
  <c r="K25" i="118"/>
  <c r="J26" i="118"/>
  <c r="K26" i="118"/>
  <c r="J27" i="118"/>
  <c r="K27" i="118"/>
  <c r="J28" i="118"/>
  <c r="K28" i="118"/>
  <c r="J29" i="118"/>
  <c r="K29" i="118"/>
  <c r="J30" i="118"/>
  <c r="K30" i="118"/>
  <c r="J31" i="118"/>
  <c r="K31" i="118"/>
  <c r="J32" i="118"/>
  <c r="K32" i="118"/>
  <c r="J33" i="118"/>
  <c r="K33" i="118"/>
  <c r="J34" i="118"/>
  <c r="K34" i="118"/>
  <c r="J35" i="118"/>
  <c r="K35" i="118"/>
  <c r="J36" i="118"/>
  <c r="K36" i="118"/>
  <c r="J37" i="118"/>
  <c r="K37" i="118"/>
  <c r="J38" i="118"/>
  <c r="K38" i="118"/>
  <c r="J39" i="118"/>
  <c r="K39" i="118"/>
  <c r="J40" i="118"/>
  <c r="K40" i="118"/>
  <c r="J41" i="118"/>
  <c r="K41" i="118"/>
  <c r="J42" i="118"/>
  <c r="K42" i="118"/>
  <c r="J43" i="118"/>
  <c r="K43" i="118"/>
  <c r="J44" i="118"/>
  <c r="K44" i="118"/>
  <c r="J45" i="118"/>
  <c r="K45" i="118"/>
  <c r="J46" i="118"/>
  <c r="K46" i="118"/>
  <c r="J47" i="118"/>
  <c r="K47" i="118"/>
  <c r="J48" i="118"/>
  <c r="K48" i="118"/>
  <c r="J49" i="118"/>
  <c r="K49" i="118"/>
  <c r="J50" i="118"/>
  <c r="K50" i="118"/>
  <c r="J51" i="118"/>
  <c r="K51" i="118"/>
  <c r="J52" i="118"/>
  <c r="K52" i="118"/>
  <c r="J53" i="118"/>
  <c r="K53" i="118"/>
  <c r="J54" i="118"/>
  <c r="K54" i="118"/>
  <c r="J55" i="118"/>
  <c r="K55" i="118"/>
  <c r="J56" i="118"/>
  <c r="K56" i="118"/>
  <c r="J57" i="118"/>
  <c r="K57" i="118"/>
  <c r="J58" i="118"/>
  <c r="K58" i="118"/>
  <c r="J59" i="118"/>
  <c r="K59" i="118"/>
  <c r="J60" i="118"/>
  <c r="K60" i="118"/>
  <c r="J61" i="118"/>
  <c r="K61" i="118"/>
  <c r="J62" i="118"/>
  <c r="K62" i="118"/>
  <c r="J63" i="118"/>
  <c r="K63" i="118"/>
  <c r="J64" i="118"/>
  <c r="K64" i="118"/>
  <c r="J65" i="118"/>
  <c r="K65" i="118"/>
  <c r="J66" i="118"/>
  <c r="K66" i="118"/>
  <c r="J67" i="118"/>
  <c r="K67" i="118"/>
  <c r="J68" i="118"/>
  <c r="K68" i="118"/>
  <c r="J69" i="118"/>
  <c r="K69" i="118"/>
  <c r="J70" i="118"/>
  <c r="K70" i="118"/>
  <c r="J71" i="118"/>
  <c r="K71" i="118"/>
  <c r="J72" i="118"/>
  <c r="K72" i="118"/>
  <c r="J73" i="118"/>
  <c r="K73" i="118"/>
  <c r="J74" i="118"/>
  <c r="K74" i="118"/>
  <c r="J75" i="118"/>
  <c r="K75" i="118"/>
  <c r="J76" i="118"/>
  <c r="K76" i="118"/>
  <c r="J77" i="118"/>
  <c r="K77" i="118"/>
  <c r="J78" i="118"/>
  <c r="K78" i="118"/>
  <c r="J79" i="118"/>
  <c r="K79" i="118"/>
  <c r="J80" i="118"/>
  <c r="K80" i="118"/>
  <c r="J81" i="118"/>
  <c r="K81" i="118"/>
  <c r="J82" i="118"/>
  <c r="K82" i="118"/>
  <c r="J83" i="118"/>
  <c r="K83" i="118"/>
  <c r="J84" i="118"/>
  <c r="K84" i="118"/>
  <c r="J85" i="118"/>
  <c r="K85" i="118"/>
  <c r="J86" i="118"/>
  <c r="K86" i="118"/>
  <c r="J87" i="118"/>
  <c r="K87" i="118"/>
  <c r="J88" i="118"/>
  <c r="K88" i="118"/>
  <c r="J89" i="118"/>
  <c r="K89" i="118"/>
  <c r="J90" i="118"/>
  <c r="K90" i="118"/>
  <c r="J91" i="118"/>
  <c r="K91" i="118"/>
  <c r="J92" i="118"/>
  <c r="K92" i="118"/>
  <c r="J93" i="118"/>
  <c r="K93" i="118"/>
  <c r="J94" i="118"/>
  <c r="K94" i="118"/>
  <c r="J95" i="118"/>
  <c r="K95" i="118"/>
  <c r="J96" i="118"/>
  <c r="K96" i="118"/>
  <c r="J97" i="118"/>
  <c r="K97" i="118"/>
  <c r="J98" i="118"/>
  <c r="K98" i="118"/>
  <c r="J99" i="118"/>
  <c r="K99" i="118"/>
  <c r="J100" i="118"/>
  <c r="K100" i="118"/>
  <c r="J101" i="118"/>
  <c r="K101" i="118"/>
  <c r="J102" i="118"/>
  <c r="K102" i="118"/>
  <c r="J103" i="118"/>
  <c r="K103" i="118"/>
  <c r="J104" i="118"/>
  <c r="K104" i="118"/>
  <c r="J105" i="118"/>
  <c r="K105" i="118"/>
  <c r="J106" i="118"/>
  <c r="K106" i="118"/>
  <c r="J107" i="118"/>
  <c r="K107" i="118"/>
  <c r="J108" i="118"/>
  <c r="K108" i="118"/>
  <c r="J109" i="118"/>
  <c r="K109" i="118"/>
  <c r="J110" i="118"/>
  <c r="K110" i="118"/>
  <c r="J111" i="118"/>
  <c r="K111" i="118"/>
  <c r="J112" i="118"/>
  <c r="K112" i="118"/>
  <c r="J113" i="118"/>
  <c r="K113" i="118"/>
  <c r="J114" i="118"/>
  <c r="K114" i="118"/>
  <c r="J115" i="118"/>
  <c r="K115" i="118"/>
  <c r="J116" i="118"/>
  <c r="K116" i="118"/>
  <c r="J117" i="118"/>
  <c r="K117" i="118"/>
  <c r="J118" i="118"/>
  <c r="K118" i="118"/>
  <c r="J119" i="118"/>
  <c r="K119" i="118"/>
  <c r="J120" i="118"/>
  <c r="K120" i="118"/>
  <c r="J121" i="118"/>
  <c r="K121" i="118"/>
  <c r="J122" i="118"/>
  <c r="K122" i="118"/>
  <c r="J123" i="118"/>
  <c r="K123" i="118"/>
  <c r="J124" i="118"/>
  <c r="K124" i="118"/>
  <c r="J125" i="118"/>
  <c r="K125" i="118"/>
  <c r="J126" i="118"/>
  <c r="K126" i="118"/>
  <c r="J127" i="118"/>
  <c r="K127" i="118"/>
  <c r="J128" i="118"/>
  <c r="K128" i="118"/>
  <c r="K129" i="118"/>
  <c r="J130" i="118"/>
  <c r="K130" i="118"/>
  <c r="J131" i="118"/>
  <c r="K131" i="118"/>
  <c r="J132" i="118"/>
  <c r="K132" i="118"/>
  <c r="J133" i="118"/>
  <c r="K133" i="118"/>
  <c r="J134" i="118"/>
  <c r="K134" i="118"/>
  <c r="J135" i="118"/>
  <c r="K135" i="118"/>
  <c r="J136" i="118"/>
  <c r="K136" i="118"/>
  <c r="J137" i="118"/>
  <c r="K137" i="118"/>
  <c r="J138" i="118"/>
  <c r="K138" i="118"/>
  <c r="J139" i="118"/>
  <c r="K139" i="118"/>
  <c r="J140" i="118"/>
  <c r="K140" i="118"/>
  <c r="J141" i="118"/>
  <c r="K141" i="118"/>
  <c r="J142" i="118"/>
  <c r="K142" i="118"/>
  <c r="J143" i="118"/>
  <c r="K143" i="118"/>
  <c r="J144" i="118"/>
  <c r="K144" i="118"/>
  <c r="J145" i="118"/>
  <c r="K145" i="118"/>
  <c r="J146" i="118"/>
  <c r="K146" i="118"/>
  <c r="J147" i="118"/>
  <c r="K147" i="118"/>
  <c r="J148" i="118"/>
  <c r="K148" i="118"/>
  <c r="J149" i="118"/>
  <c r="K149" i="118"/>
  <c r="J150" i="118"/>
  <c r="K150" i="118"/>
  <c r="J151" i="118"/>
  <c r="K151" i="118"/>
  <c r="H152" i="118"/>
  <c r="I152" i="118"/>
  <c r="J152" i="118"/>
  <c r="K152" i="118"/>
  <c r="J153" i="118"/>
  <c r="K153" i="118"/>
  <c r="J154" i="118"/>
  <c r="K154" i="118"/>
  <c r="J155" i="118"/>
  <c r="K155" i="118"/>
  <c r="J156" i="118"/>
  <c r="K156" i="118"/>
  <c r="J157" i="118"/>
  <c r="K157" i="118"/>
  <c r="J158" i="118"/>
  <c r="K158" i="118"/>
  <c r="J159" i="118"/>
  <c r="K159" i="118"/>
  <c r="J160" i="118"/>
  <c r="K160" i="118"/>
  <c r="J161" i="118"/>
  <c r="K161" i="118"/>
  <c r="J162" i="118"/>
  <c r="K162" i="118"/>
  <c r="K6" i="118"/>
  <c r="J6" i="118"/>
  <c r="E6" i="118"/>
  <c r="E7" i="118"/>
  <c r="F7" i="118"/>
  <c r="E8" i="118"/>
  <c r="F8" i="118"/>
  <c r="E9" i="118"/>
  <c r="F9" i="118"/>
  <c r="E10" i="118"/>
  <c r="F10" i="118"/>
  <c r="E11" i="118"/>
  <c r="F11" i="118"/>
  <c r="E12" i="118"/>
  <c r="F12" i="118"/>
  <c r="E13" i="118"/>
  <c r="F13" i="118"/>
  <c r="E14" i="118"/>
  <c r="F14" i="118"/>
  <c r="E15" i="118"/>
  <c r="F15" i="118"/>
  <c r="E16" i="118"/>
  <c r="F16" i="118"/>
  <c r="E17" i="118"/>
  <c r="F17" i="118"/>
  <c r="E18" i="118"/>
  <c r="F18" i="118"/>
  <c r="E19" i="118"/>
  <c r="F19" i="118"/>
  <c r="E20" i="118"/>
  <c r="F20" i="118"/>
  <c r="E21" i="118"/>
  <c r="F21" i="118"/>
  <c r="E22" i="118"/>
  <c r="F22" i="118"/>
  <c r="E23" i="118"/>
  <c r="F23" i="118"/>
  <c r="E24" i="118"/>
  <c r="F24" i="118"/>
  <c r="E25" i="118"/>
  <c r="F25" i="118"/>
  <c r="E26" i="118"/>
  <c r="F26" i="118"/>
  <c r="E27" i="118"/>
  <c r="F27" i="118"/>
  <c r="E28" i="118"/>
  <c r="F28" i="118"/>
  <c r="E29" i="118"/>
  <c r="F29" i="118"/>
  <c r="E30" i="118"/>
  <c r="F30" i="118"/>
  <c r="E31" i="118"/>
  <c r="F31" i="118"/>
  <c r="E32" i="118"/>
  <c r="F32" i="118"/>
  <c r="E33" i="118"/>
  <c r="F33" i="118"/>
  <c r="E34" i="118"/>
  <c r="F34" i="118"/>
  <c r="E35" i="118"/>
  <c r="F35" i="118"/>
  <c r="E36" i="118"/>
  <c r="F36" i="118"/>
  <c r="E37" i="118"/>
  <c r="F37" i="118"/>
  <c r="E38" i="118"/>
  <c r="F38" i="118"/>
  <c r="E39" i="118"/>
  <c r="F39" i="118"/>
  <c r="E40" i="118"/>
  <c r="F40" i="118"/>
  <c r="E41" i="118"/>
  <c r="F41" i="118"/>
  <c r="E42" i="118"/>
  <c r="F42" i="118"/>
  <c r="E43" i="118"/>
  <c r="F43" i="118"/>
  <c r="E44" i="118"/>
  <c r="F44" i="118"/>
  <c r="E45" i="118"/>
  <c r="F45" i="118"/>
  <c r="E46" i="118"/>
  <c r="F46" i="118"/>
  <c r="E47" i="118"/>
  <c r="F47" i="118"/>
  <c r="E48" i="118"/>
  <c r="F48" i="118"/>
  <c r="E49" i="118"/>
  <c r="F49" i="118"/>
  <c r="E50" i="118"/>
  <c r="F50" i="118"/>
  <c r="E51" i="118"/>
  <c r="F51" i="118"/>
  <c r="E52" i="118"/>
  <c r="F52" i="118"/>
  <c r="E53" i="118"/>
  <c r="F53" i="118"/>
  <c r="E54" i="118"/>
  <c r="F54" i="118"/>
  <c r="E55" i="118"/>
  <c r="F55" i="118"/>
  <c r="E56" i="118"/>
  <c r="F56" i="118"/>
  <c r="E57" i="118"/>
  <c r="F57" i="118"/>
  <c r="E58" i="118"/>
  <c r="F58" i="118"/>
  <c r="E59" i="118"/>
  <c r="F59" i="118"/>
  <c r="E60" i="118"/>
  <c r="F60" i="118"/>
  <c r="E61" i="118"/>
  <c r="F61" i="118"/>
  <c r="E62" i="118"/>
  <c r="F62" i="118"/>
  <c r="E63" i="118"/>
  <c r="F63" i="118"/>
  <c r="E64" i="118"/>
  <c r="F64" i="118"/>
  <c r="E65" i="118"/>
  <c r="F65" i="118"/>
  <c r="E66" i="118"/>
  <c r="F66" i="118"/>
  <c r="E67" i="118"/>
  <c r="F67" i="118"/>
  <c r="E68" i="118"/>
  <c r="F68" i="118"/>
  <c r="E69" i="118"/>
  <c r="F69" i="118"/>
  <c r="E70" i="118"/>
  <c r="F70" i="118"/>
  <c r="E71" i="118"/>
  <c r="F71" i="118"/>
  <c r="E72" i="118"/>
  <c r="F72" i="118"/>
  <c r="E73" i="118"/>
  <c r="F73" i="118"/>
  <c r="E74" i="118"/>
  <c r="F74" i="118"/>
  <c r="E75" i="118"/>
  <c r="F75" i="118"/>
  <c r="E76" i="118"/>
  <c r="F76" i="118"/>
  <c r="E77" i="118"/>
  <c r="F77" i="118"/>
  <c r="E78" i="118"/>
  <c r="F78" i="118"/>
  <c r="E79" i="118"/>
  <c r="F79" i="118"/>
  <c r="E80" i="118"/>
  <c r="F80" i="118"/>
  <c r="E81" i="118"/>
  <c r="F81" i="118"/>
  <c r="E82" i="118"/>
  <c r="F82" i="118"/>
  <c r="E83" i="118"/>
  <c r="F83" i="118"/>
  <c r="E84" i="118"/>
  <c r="F84" i="118"/>
  <c r="E85" i="118"/>
  <c r="F85" i="118"/>
  <c r="E86" i="118"/>
  <c r="F86" i="118"/>
  <c r="E87" i="118"/>
  <c r="F87" i="118"/>
  <c r="E88" i="118"/>
  <c r="F88" i="118"/>
  <c r="E89" i="118"/>
  <c r="F89" i="118"/>
  <c r="E90" i="118"/>
  <c r="F90" i="118"/>
  <c r="E91" i="118"/>
  <c r="F91" i="118"/>
  <c r="E92" i="118"/>
  <c r="F92" i="118"/>
  <c r="E93" i="118"/>
  <c r="F93" i="118"/>
  <c r="E94" i="118"/>
  <c r="F94" i="118"/>
  <c r="E95" i="118"/>
  <c r="F95" i="118"/>
  <c r="E96" i="118"/>
  <c r="F96" i="118"/>
  <c r="E97" i="118"/>
  <c r="F97" i="118"/>
  <c r="E98" i="118"/>
  <c r="F98" i="118"/>
  <c r="E99" i="118"/>
  <c r="F99" i="118"/>
  <c r="E100" i="118"/>
  <c r="F100" i="118"/>
  <c r="E101" i="118"/>
  <c r="F101" i="118"/>
  <c r="E102" i="118"/>
  <c r="F102" i="118"/>
  <c r="E103" i="118"/>
  <c r="F103" i="118"/>
  <c r="E104" i="118"/>
  <c r="F104" i="118"/>
  <c r="E105" i="118"/>
  <c r="F105" i="118"/>
  <c r="E106" i="118"/>
  <c r="F106" i="118"/>
  <c r="E107" i="118"/>
  <c r="F107" i="118"/>
  <c r="E108" i="118"/>
  <c r="F108" i="118"/>
  <c r="E109" i="118"/>
  <c r="F109" i="118"/>
  <c r="E110" i="118"/>
  <c r="F110" i="118"/>
  <c r="E111" i="118"/>
  <c r="F111" i="118"/>
  <c r="E112" i="118"/>
  <c r="F112" i="118"/>
  <c r="E113" i="118"/>
  <c r="F113" i="118"/>
  <c r="E114" i="118"/>
  <c r="F114" i="118"/>
  <c r="E115" i="118"/>
  <c r="F115" i="118"/>
  <c r="E116" i="118"/>
  <c r="F116" i="118"/>
  <c r="E117" i="118"/>
  <c r="F117" i="118"/>
  <c r="E118" i="118"/>
  <c r="F118" i="118"/>
  <c r="E119" i="118"/>
  <c r="F119" i="118"/>
  <c r="E120" i="118"/>
  <c r="F120" i="118"/>
  <c r="E121" i="118"/>
  <c r="F121" i="118"/>
  <c r="E122" i="118"/>
  <c r="F122" i="118"/>
  <c r="E123" i="118"/>
  <c r="F123" i="118"/>
  <c r="E124" i="118"/>
  <c r="F124" i="118"/>
  <c r="E125" i="118"/>
  <c r="F125" i="118"/>
  <c r="E126" i="118"/>
  <c r="F126" i="118"/>
  <c r="E127" i="118"/>
  <c r="F127" i="118"/>
  <c r="E128" i="118"/>
  <c r="F128" i="118"/>
  <c r="E129" i="118"/>
  <c r="F129" i="118"/>
  <c r="E130" i="118"/>
  <c r="F130" i="118"/>
  <c r="E131" i="118"/>
  <c r="F131" i="118"/>
  <c r="E132" i="118"/>
  <c r="F132" i="118"/>
  <c r="E133" i="118"/>
  <c r="F133" i="118"/>
  <c r="E134" i="118"/>
  <c r="F134" i="118"/>
  <c r="E135" i="118"/>
  <c r="F135" i="118"/>
  <c r="E136" i="118"/>
  <c r="F136" i="118"/>
  <c r="E137" i="118"/>
  <c r="F137" i="118"/>
  <c r="E138" i="118"/>
  <c r="F138" i="118"/>
  <c r="E139" i="118"/>
  <c r="F139" i="118"/>
  <c r="E140" i="118"/>
  <c r="F140" i="118"/>
  <c r="E141" i="118"/>
  <c r="F141" i="118"/>
  <c r="E142" i="118"/>
  <c r="F142" i="118"/>
  <c r="E143" i="118"/>
  <c r="F143" i="118"/>
  <c r="E144" i="118"/>
  <c r="F144" i="118"/>
  <c r="E145" i="118"/>
  <c r="F145" i="118"/>
  <c r="E146" i="118"/>
  <c r="F146" i="118"/>
  <c r="E147" i="118"/>
  <c r="F147" i="118"/>
  <c r="E148" i="118"/>
  <c r="F148" i="118"/>
  <c r="E149" i="118"/>
  <c r="F149" i="118"/>
  <c r="E150" i="118"/>
  <c r="F150" i="118"/>
  <c r="E151" i="118"/>
  <c r="F151" i="118"/>
  <c r="E152" i="118"/>
  <c r="F152" i="118"/>
  <c r="E153" i="118"/>
  <c r="F153" i="118"/>
  <c r="E154" i="118"/>
  <c r="F154" i="118"/>
  <c r="E155" i="118"/>
  <c r="F155" i="118"/>
  <c r="E156" i="118"/>
  <c r="F156" i="118"/>
  <c r="E157" i="118"/>
  <c r="F157" i="118"/>
  <c r="E158" i="118"/>
  <c r="F158" i="118"/>
  <c r="E159" i="118"/>
  <c r="F159" i="118"/>
  <c r="E160" i="118"/>
  <c r="F160" i="118"/>
  <c r="E161" i="118"/>
  <c r="F161" i="118"/>
  <c r="E162" i="118"/>
  <c r="F162" i="118"/>
  <c r="F6" i="118"/>
  <c r="D152" i="118"/>
  <c r="C152" i="118"/>
  <c r="A4" i="118"/>
  <c r="L152" i="118" l="1"/>
  <c r="Q152" i="118"/>
  <c r="V152" i="118"/>
  <c r="G152" i="118"/>
  <c r="P8" i="70" l="1"/>
  <c r="P9" i="70"/>
  <c r="P10" i="70"/>
  <c r="P12" i="70"/>
  <c r="P17" i="70"/>
  <c r="P21" i="70"/>
  <c r="P22" i="70"/>
  <c r="P31" i="70"/>
  <c r="P32" i="70"/>
  <c r="P33" i="70"/>
  <c r="P34" i="70"/>
  <c r="P35" i="70"/>
  <c r="P70" i="70"/>
  <c r="P76" i="70"/>
  <c r="P79" i="70"/>
  <c r="P80" i="70"/>
  <c r="P95" i="70"/>
  <c r="P125" i="70"/>
  <c r="P126" i="70"/>
  <c r="P132" i="70"/>
  <c r="P142" i="70"/>
  <c r="P145" i="70"/>
  <c r="L124" i="70" l="1"/>
  <c r="O94" i="70"/>
  <c r="P101" i="82"/>
  <c r="Q101" i="82" l="1"/>
  <c r="O102" i="70"/>
  <c r="O103" i="70"/>
  <c r="O104" i="70"/>
  <c r="O105" i="70"/>
  <c r="O106" i="70"/>
  <c r="L106" i="70"/>
  <c r="Q106" i="70" s="1"/>
  <c r="L105" i="70"/>
  <c r="L104" i="70"/>
  <c r="L103" i="70"/>
  <c r="AZ126" i="116"/>
  <c r="BC126" i="116"/>
  <c r="BG126" i="116"/>
  <c r="BK126" i="116"/>
  <c r="BN126" i="116"/>
  <c r="BQ156" i="116"/>
  <c r="BT7" i="116"/>
  <c r="BT8" i="116"/>
  <c r="BT9" i="116"/>
  <c r="BT10" i="116"/>
  <c r="BT11" i="116"/>
  <c r="BT12" i="116"/>
  <c r="BT13" i="116"/>
  <c r="BT14" i="116"/>
  <c r="BT15" i="116"/>
  <c r="BT16" i="116"/>
  <c r="BT17" i="116"/>
  <c r="BT18" i="116"/>
  <c r="BT19" i="116"/>
  <c r="BT20" i="116"/>
  <c r="BT21" i="116"/>
  <c r="BT22" i="116"/>
  <c r="BT23" i="116"/>
  <c r="BT24" i="116"/>
  <c r="BT25" i="116"/>
  <c r="BT26" i="116"/>
  <c r="BT27" i="116"/>
  <c r="BT28" i="116"/>
  <c r="BT29" i="116"/>
  <c r="BT30" i="116"/>
  <c r="BT31" i="116"/>
  <c r="BT32" i="116"/>
  <c r="BT34" i="116"/>
  <c r="BT35" i="116"/>
  <c r="BT36" i="116"/>
  <c r="BT37" i="116"/>
  <c r="BT38" i="116"/>
  <c r="BT39" i="116"/>
  <c r="BT40" i="116"/>
  <c r="BT41" i="116"/>
  <c r="BT42" i="116"/>
  <c r="BT43" i="116"/>
  <c r="BT44" i="116"/>
  <c r="BT45" i="116"/>
  <c r="BT46" i="116"/>
  <c r="BT47" i="116"/>
  <c r="BT48" i="116"/>
  <c r="BT49" i="116"/>
  <c r="BT50" i="116"/>
  <c r="BT51" i="116"/>
  <c r="BT52" i="116"/>
  <c r="BT53" i="116"/>
  <c r="BT54" i="116"/>
  <c r="BT55" i="116"/>
  <c r="BT56" i="116"/>
  <c r="BT57" i="116"/>
  <c r="BT58" i="116"/>
  <c r="BT59" i="116"/>
  <c r="BT60" i="116"/>
  <c r="BT61" i="116"/>
  <c r="BT62" i="116"/>
  <c r="BT63" i="116"/>
  <c r="BT64" i="116"/>
  <c r="BT65" i="116"/>
  <c r="BT66" i="116"/>
  <c r="BT67" i="116"/>
  <c r="BT68" i="116"/>
  <c r="BT69" i="116"/>
  <c r="BT70" i="116"/>
  <c r="BT71" i="116"/>
  <c r="BT72" i="116"/>
  <c r="BT73" i="116"/>
  <c r="BT74" i="116"/>
  <c r="BT75" i="116"/>
  <c r="BT76" i="116"/>
  <c r="BT77" i="116"/>
  <c r="BT78" i="116"/>
  <c r="BT79" i="116"/>
  <c r="BT80" i="116"/>
  <c r="BT81" i="116"/>
  <c r="BT82" i="116"/>
  <c r="BT83" i="116"/>
  <c r="BT84" i="116"/>
  <c r="BT85" i="116"/>
  <c r="BT86" i="116"/>
  <c r="BT87" i="116"/>
  <c r="BT88" i="116"/>
  <c r="BT89" i="116"/>
  <c r="BT90" i="116"/>
  <c r="BT91" i="116"/>
  <c r="BT92" i="116"/>
  <c r="BT93" i="116"/>
  <c r="BT94" i="116"/>
  <c r="BT95" i="116"/>
  <c r="BT96" i="116"/>
  <c r="BT103" i="116"/>
  <c r="BT104" i="116"/>
  <c r="BT105" i="116"/>
  <c r="BT106" i="116"/>
  <c r="BT107" i="116"/>
  <c r="BT97" i="116"/>
  <c r="BT98" i="116"/>
  <c r="BT99" i="116"/>
  <c r="BT100" i="116"/>
  <c r="BT101" i="116"/>
  <c r="BT102" i="116"/>
  <c r="BT108" i="116"/>
  <c r="BT109" i="116"/>
  <c r="BT110" i="116"/>
  <c r="BT111" i="116"/>
  <c r="BT112" i="116"/>
  <c r="BT113" i="116"/>
  <c r="BT114" i="116"/>
  <c r="BT115" i="116"/>
  <c r="BT116" i="116"/>
  <c r="BT117" i="116"/>
  <c r="BT118" i="116"/>
  <c r="BT119" i="116"/>
  <c r="BT120" i="116"/>
  <c r="BT121" i="116"/>
  <c r="BT122" i="116"/>
  <c r="BT123" i="116"/>
  <c r="BT124" i="116"/>
  <c r="BT125" i="116"/>
  <c r="BT126" i="116"/>
  <c r="BT127" i="116"/>
  <c r="BT128" i="116"/>
  <c r="BT129" i="116"/>
  <c r="BT130" i="116"/>
  <c r="BT131" i="116"/>
  <c r="BT132" i="116"/>
  <c r="BT133" i="116"/>
  <c r="BT134" i="116"/>
  <c r="BT135" i="116"/>
  <c r="BT136" i="116"/>
  <c r="BT137" i="116"/>
  <c r="BT138" i="116"/>
  <c r="BT139" i="116"/>
  <c r="BT140" i="116"/>
  <c r="BT141" i="116"/>
  <c r="BT142" i="116"/>
  <c r="BT143" i="116"/>
  <c r="BT144" i="116"/>
  <c r="BT145" i="116"/>
  <c r="BT146" i="116"/>
  <c r="BT147" i="116"/>
  <c r="BT148" i="116"/>
  <c r="BT149" i="116"/>
  <c r="BT150" i="116"/>
  <c r="BT151" i="116"/>
  <c r="BT152" i="116"/>
  <c r="BT153" i="116"/>
  <c r="BT154" i="116"/>
  <c r="BT155" i="116"/>
  <c r="BT156" i="116"/>
  <c r="BT157" i="116"/>
  <c r="BQ7" i="116"/>
  <c r="BQ8" i="116"/>
  <c r="BQ9" i="116"/>
  <c r="BQ10" i="116"/>
  <c r="BQ11" i="116"/>
  <c r="BQ12" i="116"/>
  <c r="BQ13" i="116"/>
  <c r="BQ14" i="116"/>
  <c r="BQ15" i="116"/>
  <c r="BQ16" i="116"/>
  <c r="BQ17" i="116"/>
  <c r="BQ18" i="116"/>
  <c r="BQ19" i="116"/>
  <c r="BQ20" i="116"/>
  <c r="BQ21" i="116"/>
  <c r="BQ22" i="116"/>
  <c r="BQ23" i="116"/>
  <c r="BQ24" i="116"/>
  <c r="BQ25" i="116"/>
  <c r="BQ26" i="116"/>
  <c r="BQ27" i="116"/>
  <c r="BQ28" i="116"/>
  <c r="BQ29" i="116"/>
  <c r="BQ30" i="116"/>
  <c r="BQ31" i="116"/>
  <c r="BQ32" i="116"/>
  <c r="BQ34" i="116"/>
  <c r="BQ35" i="116"/>
  <c r="BQ36" i="116"/>
  <c r="BQ37" i="116"/>
  <c r="BQ38" i="116"/>
  <c r="BQ39" i="116"/>
  <c r="BQ40" i="116"/>
  <c r="BQ41" i="116"/>
  <c r="BQ42" i="116"/>
  <c r="BQ43" i="116"/>
  <c r="BQ44" i="116"/>
  <c r="BQ45" i="116"/>
  <c r="BQ46" i="116"/>
  <c r="BQ47" i="116"/>
  <c r="BQ48" i="116"/>
  <c r="BQ49" i="116"/>
  <c r="BQ50" i="116"/>
  <c r="BQ51" i="116"/>
  <c r="BQ52" i="116"/>
  <c r="BQ53" i="116"/>
  <c r="BQ54" i="116"/>
  <c r="BQ55" i="116"/>
  <c r="BQ56" i="116"/>
  <c r="BQ57" i="116"/>
  <c r="BQ58" i="116"/>
  <c r="BQ59" i="116"/>
  <c r="BQ60" i="116"/>
  <c r="BQ61" i="116"/>
  <c r="BQ62" i="116"/>
  <c r="BQ63" i="116"/>
  <c r="BQ64" i="116"/>
  <c r="BQ65" i="116"/>
  <c r="BQ66" i="116"/>
  <c r="BQ67" i="116"/>
  <c r="BQ68" i="116"/>
  <c r="BQ69" i="116"/>
  <c r="BQ70" i="116"/>
  <c r="BQ71" i="116"/>
  <c r="BQ72" i="116"/>
  <c r="BQ73" i="116"/>
  <c r="BQ74" i="116"/>
  <c r="BQ75" i="116"/>
  <c r="BQ76" i="116"/>
  <c r="BQ77" i="116"/>
  <c r="BQ78" i="116"/>
  <c r="BQ79" i="116"/>
  <c r="BQ80" i="116"/>
  <c r="BQ81" i="116"/>
  <c r="BQ82" i="116"/>
  <c r="BQ83" i="116"/>
  <c r="BQ84" i="116"/>
  <c r="BQ85" i="116"/>
  <c r="BQ86" i="116"/>
  <c r="BQ87" i="116"/>
  <c r="BQ88" i="116"/>
  <c r="BQ89" i="116"/>
  <c r="BQ90" i="116"/>
  <c r="BQ91" i="116"/>
  <c r="BQ92" i="116"/>
  <c r="BQ93" i="116"/>
  <c r="BQ94" i="116"/>
  <c r="BQ95" i="116"/>
  <c r="BQ96" i="116"/>
  <c r="BQ103" i="116"/>
  <c r="BQ104" i="116"/>
  <c r="BQ105" i="116"/>
  <c r="BQ106" i="116"/>
  <c r="BQ107" i="116"/>
  <c r="BQ97" i="116"/>
  <c r="BQ98" i="116"/>
  <c r="BQ99" i="116"/>
  <c r="BQ100" i="116"/>
  <c r="BQ101" i="116"/>
  <c r="BQ102" i="116"/>
  <c r="BQ108" i="116"/>
  <c r="BQ109" i="116"/>
  <c r="BQ110" i="116"/>
  <c r="BQ111" i="116"/>
  <c r="BQ112" i="116"/>
  <c r="BQ113" i="116"/>
  <c r="BQ114" i="116"/>
  <c r="BQ115" i="116"/>
  <c r="BQ116" i="116"/>
  <c r="BQ117" i="116"/>
  <c r="BQ118" i="116"/>
  <c r="BQ119" i="116"/>
  <c r="BQ120" i="116"/>
  <c r="BQ122" i="116"/>
  <c r="BQ124" i="116"/>
  <c r="BQ125" i="116"/>
  <c r="BQ126" i="116"/>
  <c r="BQ127" i="116"/>
  <c r="BQ128" i="116"/>
  <c r="BQ129" i="116"/>
  <c r="BQ130" i="116"/>
  <c r="BQ131" i="116"/>
  <c r="BQ132" i="116"/>
  <c r="BQ133" i="116"/>
  <c r="BQ134" i="116"/>
  <c r="BQ135" i="116"/>
  <c r="BQ136" i="116"/>
  <c r="BQ137" i="116"/>
  <c r="BQ138" i="116"/>
  <c r="BQ139" i="116"/>
  <c r="BQ140" i="116"/>
  <c r="BQ141" i="116"/>
  <c r="BQ142" i="116"/>
  <c r="BQ143" i="116"/>
  <c r="BQ144" i="116"/>
  <c r="BQ145" i="116"/>
  <c r="BQ146" i="116"/>
  <c r="BQ147" i="116"/>
  <c r="BQ148" i="116"/>
  <c r="BQ149" i="116"/>
  <c r="BQ150" i="116"/>
  <c r="BQ151" i="116"/>
  <c r="BQ152" i="116"/>
  <c r="BQ153" i="116"/>
  <c r="BQ154" i="116"/>
  <c r="BQ155" i="116"/>
  <c r="BQ157" i="116"/>
  <c r="BQ6" i="116"/>
  <c r="BN7" i="116"/>
  <c r="BN8" i="116"/>
  <c r="BN9" i="116"/>
  <c r="BN10" i="116"/>
  <c r="BN11" i="116"/>
  <c r="BN12" i="116"/>
  <c r="BN13" i="116"/>
  <c r="BN14" i="116"/>
  <c r="BN15" i="116"/>
  <c r="BN16" i="116"/>
  <c r="BN17" i="116"/>
  <c r="BN18" i="116"/>
  <c r="BN19" i="116"/>
  <c r="BN20" i="116"/>
  <c r="BN21" i="116"/>
  <c r="BN22" i="116"/>
  <c r="BN23" i="116"/>
  <c r="BN24" i="116"/>
  <c r="BN25" i="116"/>
  <c r="BN26" i="116"/>
  <c r="BN27" i="116"/>
  <c r="BN28" i="116"/>
  <c r="BN29" i="116"/>
  <c r="BN30" i="116"/>
  <c r="BN31" i="116"/>
  <c r="BN32" i="116"/>
  <c r="BN34" i="116"/>
  <c r="BN35" i="116"/>
  <c r="BN36" i="116"/>
  <c r="BN37" i="116"/>
  <c r="BN38" i="116"/>
  <c r="BN39" i="116"/>
  <c r="BN40" i="116"/>
  <c r="BN41" i="116"/>
  <c r="BN42" i="116"/>
  <c r="BN43" i="116"/>
  <c r="BN44" i="116"/>
  <c r="BN45" i="116"/>
  <c r="BN46" i="116"/>
  <c r="BN47" i="116"/>
  <c r="BN48" i="116"/>
  <c r="BN49" i="116"/>
  <c r="BN50" i="116"/>
  <c r="BN51" i="116"/>
  <c r="BN52" i="116"/>
  <c r="BN53" i="116"/>
  <c r="BN54" i="116"/>
  <c r="BN55" i="116"/>
  <c r="BN56" i="116"/>
  <c r="BN57" i="116"/>
  <c r="BN58" i="116"/>
  <c r="BN59" i="116"/>
  <c r="BN60" i="116"/>
  <c r="BN61" i="116"/>
  <c r="BN62" i="116"/>
  <c r="BN63" i="116"/>
  <c r="BN64" i="116"/>
  <c r="BN65" i="116"/>
  <c r="BN66" i="116"/>
  <c r="BN67" i="116"/>
  <c r="BN68" i="116"/>
  <c r="BN69" i="116"/>
  <c r="BN70" i="116"/>
  <c r="BN71" i="116"/>
  <c r="BN72" i="116"/>
  <c r="BN73" i="116"/>
  <c r="BN74" i="116"/>
  <c r="BN75" i="116"/>
  <c r="BN76" i="116"/>
  <c r="BN77" i="116"/>
  <c r="BN78" i="116"/>
  <c r="BN79" i="116"/>
  <c r="BN80" i="116"/>
  <c r="BN81" i="116"/>
  <c r="BN82" i="116"/>
  <c r="BN83" i="116"/>
  <c r="BN84" i="116"/>
  <c r="BN85" i="116"/>
  <c r="BN86" i="116"/>
  <c r="BN87" i="116"/>
  <c r="BN88" i="116"/>
  <c r="BN89" i="116"/>
  <c r="BN90" i="116"/>
  <c r="BN91" i="116"/>
  <c r="BN92" i="116"/>
  <c r="BN93" i="116"/>
  <c r="BN94" i="116"/>
  <c r="BN95" i="116"/>
  <c r="BN96" i="116"/>
  <c r="BN103" i="116"/>
  <c r="BN104" i="116"/>
  <c r="BN105" i="116"/>
  <c r="BN106" i="116"/>
  <c r="BN107" i="116"/>
  <c r="BN97" i="116"/>
  <c r="BN98" i="116"/>
  <c r="BN99" i="116"/>
  <c r="BN100" i="116"/>
  <c r="BN101" i="116"/>
  <c r="BN102" i="116"/>
  <c r="BN108" i="116"/>
  <c r="BN109" i="116"/>
  <c r="BN110" i="116"/>
  <c r="BN111" i="116"/>
  <c r="BN112" i="116"/>
  <c r="BN113" i="116"/>
  <c r="BN114" i="116"/>
  <c r="BN115" i="116"/>
  <c r="BN116" i="116"/>
  <c r="BN117" i="116"/>
  <c r="BN118" i="116"/>
  <c r="BN119" i="116"/>
  <c r="BN120" i="116"/>
  <c r="BN121" i="116"/>
  <c r="BN122" i="116"/>
  <c r="BN123" i="116"/>
  <c r="BN124" i="116"/>
  <c r="BN125" i="116"/>
  <c r="BN127" i="116"/>
  <c r="BN128" i="116"/>
  <c r="BN129" i="116"/>
  <c r="BN130" i="116"/>
  <c r="BN131" i="116"/>
  <c r="BN132" i="116"/>
  <c r="BN133" i="116"/>
  <c r="BN134" i="116"/>
  <c r="BN135" i="116"/>
  <c r="BN136" i="116"/>
  <c r="BN137" i="116"/>
  <c r="BN138" i="116"/>
  <c r="BN139" i="116"/>
  <c r="BN140" i="116"/>
  <c r="BN141" i="116"/>
  <c r="BN142" i="116"/>
  <c r="BN143" i="116"/>
  <c r="BN144" i="116"/>
  <c r="BN145" i="116"/>
  <c r="BN146" i="116"/>
  <c r="BN147" i="116"/>
  <c r="BN148" i="116"/>
  <c r="BN149" i="116"/>
  <c r="BN150" i="116"/>
  <c r="BN151" i="116"/>
  <c r="BN152" i="116"/>
  <c r="BN153" i="116"/>
  <c r="BN154" i="116"/>
  <c r="BN155" i="116"/>
  <c r="BN156" i="116"/>
  <c r="BN157" i="116"/>
  <c r="BN6" i="116"/>
  <c r="BK7" i="116"/>
  <c r="BK8" i="116"/>
  <c r="BK9" i="116"/>
  <c r="BK10" i="116"/>
  <c r="BK11" i="116"/>
  <c r="BK12" i="116"/>
  <c r="BK13" i="116"/>
  <c r="BK14" i="116"/>
  <c r="BK15" i="116"/>
  <c r="BK16" i="116"/>
  <c r="BK17" i="116"/>
  <c r="BK18" i="116"/>
  <c r="BK19" i="116"/>
  <c r="BK20" i="116"/>
  <c r="BK21" i="116"/>
  <c r="BK22" i="116"/>
  <c r="BK23" i="116"/>
  <c r="BK24" i="116"/>
  <c r="BK25" i="116"/>
  <c r="BK26" i="116"/>
  <c r="BK27" i="116"/>
  <c r="BK28" i="116"/>
  <c r="BK29" i="116"/>
  <c r="BK30" i="116"/>
  <c r="BK31" i="116"/>
  <c r="BK32" i="116"/>
  <c r="BK34" i="116"/>
  <c r="BK35" i="116"/>
  <c r="BK36" i="116"/>
  <c r="BK37" i="116"/>
  <c r="BK38" i="116"/>
  <c r="BK39" i="116"/>
  <c r="BK40" i="116"/>
  <c r="BK41" i="116"/>
  <c r="BK42" i="116"/>
  <c r="BK43" i="116"/>
  <c r="BK44" i="116"/>
  <c r="BK45" i="116"/>
  <c r="BK46" i="116"/>
  <c r="BK47" i="116"/>
  <c r="BK48" i="116"/>
  <c r="BK49" i="116"/>
  <c r="BK50" i="116"/>
  <c r="BK51" i="116"/>
  <c r="BK52" i="116"/>
  <c r="BK53" i="116"/>
  <c r="BK54" i="116"/>
  <c r="BK55" i="116"/>
  <c r="BK56" i="116"/>
  <c r="BK57" i="116"/>
  <c r="BK58" i="116"/>
  <c r="BK59" i="116"/>
  <c r="BK60" i="116"/>
  <c r="BK61" i="116"/>
  <c r="BK62" i="116"/>
  <c r="BK63" i="116"/>
  <c r="BK64" i="116"/>
  <c r="BK65" i="116"/>
  <c r="BK66" i="116"/>
  <c r="BK67" i="116"/>
  <c r="BK68" i="116"/>
  <c r="BK69" i="116"/>
  <c r="BK70" i="116"/>
  <c r="BK71" i="116"/>
  <c r="BK72" i="116"/>
  <c r="BK73" i="116"/>
  <c r="BK74" i="116"/>
  <c r="BK75" i="116"/>
  <c r="BK76" i="116"/>
  <c r="BK77" i="116"/>
  <c r="BK78" i="116"/>
  <c r="BK79" i="116"/>
  <c r="BK80" i="116"/>
  <c r="BK81" i="116"/>
  <c r="BK82" i="116"/>
  <c r="BK83" i="116"/>
  <c r="BK84" i="116"/>
  <c r="BK85" i="116"/>
  <c r="BK86" i="116"/>
  <c r="BK87" i="116"/>
  <c r="BK88" i="116"/>
  <c r="BK89" i="116"/>
  <c r="BK90" i="116"/>
  <c r="BK91" i="116"/>
  <c r="BK92" i="116"/>
  <c r="BK93" i="116"/>
  <c r="BK94" i="116"/>
  <c r="BK95" i="116"/>
  <c r="BK96" i="116"/>
  <c r="BK103" i="116"/>
  <c r="BK104" i="116"/>
  <c r="BK105" i="116"/>
  <c r="BK106" i="116"/>
  <c r="BK107" i="116"/>
  <c r="BK97" i="116"/>
  <c r="BK98" i="116"/>
  <c r="BK99" i="116"/>
  <c r="BK100" i="116"/>
  <c r="BK101" i="116"/>
  <c r="BK102" i="116"/>
  <c r="BK108" i="116"/>
  <c r="BK109" i="116"/>
  <c r="BK110" i="116"/>
  <c r="BK111" i="116"/>
  <c r="BK112" i="116"/>
  <c r="BK113" i="116"/>
  <c r="BK114" i="116"/>
  <c r="BK115" i="116"/>
  <c r="BK116" i="116"/>
  <c r="BK117" i="116"/>
  <c r="BK118" i="116"/>
  <c r="BK119" i="116"/>
  <c r="BK120" i="116"/>
  <c r="BK121" i="116"/>
  <c r="BK122" i="116"/>
  <c r="BK123" i="116"/>
  <c r="BK124" i="116"/>
  <c r="BK125" i="116"/>
  <c r="BK127" i="116"/>
  <c r="BK128" i="116"/>
  <c r="BK129" i="116"/>
  <c r="BK130" i="116"/>
  <c r="BK131" i="116"/>
  <c r="BK132" i="116"/>
  <c r="BK133" i="116"/>
  <c r="BK134" i="116"/>
  <c r="BK135" i="116"/>
  <c r="BK136" i="116"/>
  <c r="BK137" i="116"/>
  <c r="BK138" i="116"/>
  <c r="BK139" i="116"/>
  <c r="BK140" i="116"/>
  <c r="BK141" i="116"/>
  <c r="BK142" i="116"/>
  <c r="BK143" i="116"/>
  <c r="BK144" i="116"/>
  <c r="BK145" i="116"/>
  <c r="BK146" i="116"/>
  <c r="BK147" i="116"/>
  <c r="BK148" i="116"/>
  <c r="BK149" i="116"/>
  <c r="BK150" i="116"/>
  <c r="BK151" i="116"/>
  <c r="BK152" i="116"/>
  <c r="BK153" i="116"/>
  <c r="BK154" i="116"/>
  <c r="BK155" i="116"/>
  <c r="BK156" i="116"/>
  <c r="BK157" i="116"/>
  <c r="BK6" i="116"/>
  <c r="BG7" i="116"/>
  <c r="BG8" i="116"/>
  <c r="BG9" i="116"/>
  <c r="BG10" i="116"/>
  <c r="BG11" i="116"/>
  <c r="BG12" i="116"/>
  <c r="BG13" i="116"/>
  <c r="BG14" i="116"/>
  <c r="BG15" i="116"/>
  <c r="BG16" i="116"/>
  <c r="BG17" i="116"/>
  <c r="BG18" i="116"/>
  <c r="BG19" i="116"/>
  <c r="BG20" i="116"/>
  <c r="BG21" i="116"/>
  <c r="BG22" i="116"/>
  <c r="BG23" i="116"/>
  <c r="BG24" i="116"/>
  <c r="BG25" i="116"/>
  <c r="BG26" i="116"/>
  <c r="BG27" i="116"/>
  <c r="BG28" i="116"/>
  <c r="BG29" i="116"/>
  <c r="BG30" i="116"/>
  <c r="BG31" i="116"/>
  <c r="BG32" i="116"/>
  <c r="BG34" i="116"/>
  <c r="BG35" i="116"/>
  <c r="BG36" i="116"/>
  <c r="BG37" i="116"/>
  <c r="BG38" i="116"/>
  <c r="BG39" i="116"/>
  <c r="BG40" i="116"/>
  <c r="BG41" i="116"/>
  <c r="BG42" i="116"/>
  <c r="BG43" i="116"/>
  <c r="BG44" i="116"/>
  <c r="BG45" i="116"/>
  <c r="BG46" i="116"/>
  <c r="BG47" i="116"/>
  <c r="BG48" i="116"/>
  <c r="BG49" i="116"/>
  <c r="BG50" i="116"/>
  <c r="BG51" i="116"/>
  <c r="BG52" i="116"/>
  <c r="BG53" i="116"/>
  <c r="BG54" i="116"/>
  <c r="BG55" i="116"/>
  <c r="BG56" i="116"/>
  <c r="BG57" i="116"/>
  <c r="BG58" i="116"/>
  <c r="BG59" i="116"/>
  <c r="BG60" i="116"/>
  <c r="BG61" i="116"/>
  <c r="BG62" i="116"/>
  <c r="BG63" i="116"/>
  <c r="BG64" i="116"/>
  <c r="BG65" i="116"/>
  <c r="BG66" i="116"/>
  <c r="BG67" i="116"/>
  <c r="BG68" i="116"/>
  <c r="BG69" i="116"/>
  <c r="BG70" i="116"/>
  <c r="BG71" i="116"/>
  <c r="BG72" i="116"/>
  <c r="BG73" i="116"/>
  <c r="BG74" i="116"/>
  <c r="BG75" i="116"/>
  <c r="BG76" i="116"/>
  <c r="BG77" i="116"/>
  <c r="BG78" i="116"/>
  <c r="BG79" i="116"/>
  <c r="BG80" i="116"/>
  <c r="BG81" i="116"/>
  <c r="BG82" i="116"/>
  <c r="BG83" i="116"/>
  <c r="BG84" i="116"/>
  <c r="BG85" i="116"/>
  <c r="BG86" i="116"/>
  <c r="BG87" i="116"/>
  <c r="BG88" i="116"/>
  <c r="BG89" i="116"/>
  <c r="BG90" i="116"/>
  <c r="BG91" i="116"/>
  <c r="BG92" i="116"/>
  <c r="BG93" i="116"/>
  <c r="BG94" i="116"/>
  <c r="BG95" i="116"/>
  <c r="BG96" i="116"/>
  <c r="BG103" i="116"/>
  <c r="BG104" i="116"/>
  <c r="BG105" i="116"/>
  <c r="BG106" i="116"/>
  <c r="BG107" i="116"/>
  <c r="BG97" i="116"/>
  <c r="BG98" i="116"/>
  <c r="BG99" i="116"/>
  <c r="BG100" i="116"/>
  <c r="BG101" i="116"/>
  <c r="BG102" i="116"/>
  <c r="BG108" i="116"/>
  <c r="BG109" i="116"/>
  <c r="BG110" i="116"/>
  <c r="BG111" i="116"/>
  <c r="BG112" i="116"/>
  <c r="BG113" i="116"/>
  <c r="BG114" i="116"/>
  <c r="BG115" i="116"/>
  <c r="BG116" i="116"/>
  <c r="BG117" i="116"/>
  <c r="BG118" i="116"/>
  <c r="BG119" i="116"/>
  <c r="BG120" i="116"/>
  <c r="BG121" i="116"/>
  <c r="BG122" i="116"/>
  <c r="BG123" i="116"/>
  <c r="BG124" i="116"/>
  <c r="BG125" i="116"/>
  <c r="BG127" i="116"/>
  <c r="BG128" i="116"/>
  <c r="BG129" i="116"/>
  <c r="BG130" i="116"/>
  <c r="BG131" i="116"/>
  <c r="BG132" i="116"/>
  <c r="BG133" i="116"/>
  <c r="BG134" i="116"/>
  <c r="BG135" i="116"/>
  <c r="BG136" i="116"/>
  <c r="BG137" i="116"/>
  <c r="BG138" i="116"/>
  <c r="BG139" i="116"/>
  <c r="BG140" i="116"/>
  <c r="BG141" i="116"/>
  <c r="BG142" i="116"/>
  <c r="BG143" i="116"/>
  <c r="BG144" i="116"/>
  <c r="BG145" i="116"/>
  <c r="BG146" i="116"/>
  <c r="BG147" i="116"/>
  <c r="BG148" i="116"/>
  <c r="BG149" i="116"/>
  <c r="BG150" i="116"/>
  <c r="BG151" i="116"/>
  <c r="BG152" i="116"/>
  <c r="BG153" i="116"/>
  <c r="BG154" i="116"/>
  <c r="BG155" i="116"/>
  <c r="BG156" i="116"/>
  <c r="BG157" i="116"/>
  <c r="BG6" i="116"/>
  <c r="BC7" i="116"/>
  <c r="BC8" i="116"/>
  <c r="BC9" i="116"/>
  <c r="BC10" i="116"/>
  <c r="BC11" i="116"/>
  <c r="BC12" i="116"/>
  <c r="BC13" i="116"/>
  <c r="BC14" i="116"/>
  <c r="BC15" i="116"/>
  <c r="BC16" i="116"/>
  <c r="BC17" i="116"/>
  <c r="BC18" i="116"/>
  <c r="BC19" i="116"/>
  <c r="BC20" i="116"/>
  <c r="BC21" i="116"/>
  <c r="BC22" i="116"/>
  <c r="BC23" i="116"/>
  <c r="BC24" i="116"/>
  <c r="BC25" i="116"/>
  <c r="BC26" i="116"/>
  <c r="BC27" i="116"/>
  <c r="BC28" i="116"/>
  <c r="BC29" i="116"/>
  <c r="BC30" i="116"/>
  <c r="BC31" i="116"/>
  <c r="BC32" i="116"/>
  <c r="BC34" i="116"/>
  <c r="BC35" i="116"/>
  <c r="BC36" i="116"/>
  <c r="BC37" i="116"/>
  <c r="BC38" i="116"/>
  <c r="BC39" i="116"/>
  <c r="BC40" i="116"/>
  <c r="BC41" i="116"/>
  <c r="BC42" i="116"/>
  <c r="BC43" i="116"/>
  <c r="BC44" i="116"/>
  <c r="BC45" i="116"/>
  <c r="BC46" i="116"/>
  <c r="BC47" i="116"/>
  <c r="BC48" i="116"/>
  <c r="BC49" i="116"/>
  <c r="BC50" i="116"/>
  <c r="BC51" i="116"/>
  <c r="BC52" i="116"/>
  <c r="BC53" i="116"/>
  <c r="BC54" i="116"/>
  <c r="BC55" i="116"/>
  <c r="BC56" i="116"/>
  <c r="BC57" i="116"/>
  <c r="BC58" i="116"/>
  <c r="BC59" i="116"/>
  <c r="BC60" i="116"/>
  <c r="BC61" i="116"/>
  <c r="BC62" i="116"/>
  <c r="BC63" i="116"/>
  <c r="BC64" i="116"/>
  <c r="BC65" i="116"/>
  <c r="BC66" i="116"/>
  <c r="BC67" i="116"/>
  <c r="BC68" i="116"/>
  <c r="BC69" i="116"/>
  <c r="BC70" i="116"/>
  <c r="BC71" i="116"/>
  <c r="BC72" i="116"/>
  <c r="BC73" i="116"/>
  <c r="BC74" i="116"/>
  <c r="BC75" i="116"/>
  <c r="BC76" i="116"/>
  <c r="BC77" i="116"/>
  <c r="BC78" i="116"/>
  <c r="BC79" i="116"/>
  <c r="BC80" i="116"/>
  <c r="BC81" i="116"/>
  <c r="BC82" i="116"/>
  <c r="BC83" i="116"/>
  <c r="BC84" i="116"/>
  <c r="BC85" i="116"/>
  <c r="BC86" i="116"/>
  <c r="BC87" i="116"/>
  <c r="BC88" i="116"/>
  <c r="BC89" i="116"/>
  <c r="BC90" i="116"/>
  <c r="BC91" i="116"/>
  <c r="BC92" i="116"/>
  <c r="BC93" i="116"/>
  <c r="BC94" i="116"/>
  <c r="BC95" i="116"/>
  <c r="BC96" i="116"/>
  <c r="BC103" i="116"/>
  <c r="BC104" i="116"/>
  <c r="BC105" i="116"/>
  <c r="BC106" i="116"/>
  <c r="BC107" i="116"/>
  <c r="BC97" i="116"/>
  <c r="BC98" i="116"/>
  <c r="BC99" i="116"/>
  <c r="BC100" i="116"/>
  <c r="BC101" i="116"/>
  <c r="BC102" i="116"/>
  <c r="BC108" i="116"/>
  <c r="BC109" i="116"/>
  <c r="BC110" i="116"/>
  <c r="BC111" i="116"/>
  <c r="BC112" i="116"/>
  <c r="BC113" i="116"/>
  <c r="BC114" i="116"/>
  <c r="BC115" i="116"/>
  <c r="BC116" i="116"/>
  <c r="BC117" i="116"/>
  <c r="BC118" i="116"/>
  <c r="BC119" i="116"/>
  <c r="BC120" i="116"/>
  <c r="BC121" i="116"/>
  <c r="BC122" i="116"/>
  <c r="BC123" i="116"/>
  <c r="BC124" i="116"/>
  <c r="BC125" i="116"/>
  <c r="BC127" i="116"/>
  <c r="BC128" i="116"/>
  <c r="BC129" i="116"/>
  <c r="BC130" i="116"/>
  <c r="BC131" i="116"/>
  <c r="BC132" i="116"/>
  <c r="BC133" i="116"/>
  <c r="BC134" i="116"/>
  <c r="BC135" i="116"/>
  <c r="BC136" i="116"/>
  <c r="BC137" i="116"/>
  <c r="BC138" i="116"/>
  <c r="BC139" i="116"/>
  <c r="BC140" i="116"/>
  <c r="BC141" i="116"/>
  <c r="BC142" i="116"/>
  <c r="BC143" i="116"/>
  <c r="BC144" i="116"/>
  <c r="BC145" i="116"/>
  <c r="BC146" i="116"/>
  <c r="BC147" i="116"/>
  <c r="BC148" i="116"/>
  <c r="BC149" i="116"/>
  <c r="BC150" i="116"/>
  <c r="BC151" i="116"/>
  <c r="BC152" i="116"/>
  <c r="BC153" i="116"/>
  <c r="BC154" i="116"/>
  <c r="BC155" i="116"/>
  <c r="BC156" i="116"/>
  <c r="BC157" i="116"/>
  <c r="AZ7" i="116"/>
  <c r="AZ8" i="116"/>
  <c r="AZ9" i="116"/>
  <c r="AZ10" i="116"/>
  <c r="AZ11" i="116"/>
  <c r="AZ12" i="116"/>
  <c r="AZ13" i="116"/>
  <c r="AZ14" i="116"/>
  <c r="AZ15" i="116"/>
  <c r="AZ16" i="116"/>
  <c r="AZ17" i="116"/>
  <c r="AZ18" i="116"/>
  <c r="AZ19" i="116"/>
  <c r="AZ20" i="116"/>
  <c r="AZ21" i="116"/>
  <c r="AZ22" i="116"/>
  <c r="AZ23" i="116"/>
  <c r="AZ24" i="116"/>
  <c r="AZ25" i="116"/>
  <c r="AZ26" i="116"/>
  <c r="AZ27" i="116"/>
  <c r="AZ28" i="116"/>
  <c r="AZ29" i="116"/>
  <c r="AZ30" i="116"/>
  <c r="AZ31" i="116"/>
  <c r="AZ32" i="116"/>
  <c r="AZ34" i="116"/>
  <c r="AZ35" i="116"/>
  <c r="AZ36" i="116"/>
  <c r="AZ37" i="116"/>
  <c r="AZ38" i="116"/>
  <c r="AZ39" i="116"/>
  <c r="AZ40" i="116"/>
  <c r="AZ41" i="116"/>
  <c r="AZ42" i="116"/>
  <c r="AZ43" i="116"/>
  <c r="AZ44" i="116"/>
  <c r="AZ45" i="116"/>
  <c r="AZ46" i="116"/>
  <c r="AZ47" i="116"/>
  <c r="AZ48" i="116"/>
  <c r="AZ49" i="116"/>
  <c r="AZ50" i="116"/>
  <c r="AZ51" i="116"/>
  <c r="AZ52" i="116"/>
  <c r="AZ53" i="116"/>
  <c r="AZ54" i="116"/>
  <c r="AZ55" i="116"/>
  <c r="AZ56" i="116"/>
  <c r="AZ57" i="116"/>
  <c r="AZ58" i="116"/>
  <c r="AZ59" i="116"/>
  <c r="AZ60" i="116"/>
  <c r="AZ61" i="116"/>
  <c r="AZ62" i="116"/>
  <c r="AZ63" i="116"/>
  <c r="AZ64" i="116"/>
  <c r="AZ65" i="116"/>
  <c r="AZ66" i="116"/>
  <c r="AZ67" i="116"/>
  <c r="AZ68" i="116"/>
  <c r="AZ69" i="116"/>
  <c r="AZ70" i="116"/>
  <c r="AZ71" i="116"/>
  <c r="AZ72" i="116"/>
  <c r="AZ73" i="116"/>
  <c r="AZ74" i="116"/>
  <c r="AZ75" i="116"/>
  <c r="AZ76" i="116"/>
  <c r="AZ77" i="116"/>
  <c r="AZ78" i="116"/>
  <c r="AZ79" i="116"/>
  <c r="AZ80" i="116"/>
  <c r="AZ81" i="116"/>
  <c r="AZ82" i="116"/>
  <c r="AZ83" i="116"/>
  <c r="AZ84" i="116"/>
  <c r="AZ85" i="116"/>
  <c r="AZ86" i="116"/>
  <c r="AZ87" i="116"/>
  <c r="AZ88" i="116"/>
  <c r="AZ89" i="116"/>
  <c r="AZ90" i="116"/>
  <c r="AZ91" i="116"/>
  <c r="AZ92" i="116"/>
  <c r="AZ93" i="116"/>
  <c r="AZ94" i="116"/>
  <c r="AZ95" i="116"/>
  <c r="AZ96" i="116"/>
  <c r="AZ103" i="116"/>
  <c r="AZ104" i="116"/>
  <c r="AZ105" i="116"/>
  <c r="AZ106" i="116"/>
  <c r="AZ107" i="116"/>
  <c r="AZ97" i="116"/>
  <c r="AZ98" i="116"/>
  <c r="AZ99" i="116"/>
  <c r="AZ100" i="116"/>
  <c r="AZ101" i="116"/>
  <c r="AZ102" i="116"/>
  <c r="AZ108" i="116"/>
  <c r="AZ109" i="116"/>
  <c r="AZ110" i="116"/>
  <c r="AZ111" i="116"/>
  <c r="AZ112" i="116"/>
  <c r="AZ113" i="116"/>
  <c r="AZ114" i="116"/>
  <c r="AZ115" i="116"/>
  <c r="AZ116" i="116"/>
  <c r="AZ117" i="116"/>
  <c r="AZ118" i="116"/>
  <c r="AZ119" i="116"/>
  <c r="AZ120" i="116"/>
  <c r="AZ121" i="116"/>
  <c r="AZ122" i="116"/>
  <c r="AZ123" i="116"/>
  <c r="AZ124" i="116"/>
  <c r="AZ125" i="116"/>
  <c r="AZ127" i="116"/>
  <c r="AZ128" i="116"/>
  <c r="AZ129" i="116"/>
  <c r="AZ130" i="116"/>
  <c r="AZ131" i="116"/>
  <c r="AZ132" i="116"/>
  <c r="AZ133" i="116"/>
  <c r="AZ134" i="116"/>
  <c r="AZ135" i="116"/>
  <c r="AZ136" i="116"/>
  <c r="AZ137" i="116"/>
  <c r="AZ138" i="116"/>
  <c r="AZ139" i="116"/>
  <c r="AZ140" i="116"/>
  <c r="AZ141" i="116"/>
  <c r="AZ142" i="116"/>
  <c r="AZ143" i="116"/>
  <c r="AZ144" i="116"/>
  <c r="AZ145" i="116"/>
  <c r="AZ146" i="116"/>
  <c r="AZ147" i="116"/>
  <c r="AZ148" i="116"/>
  <c r="AZ149" i="116"/>
  <c r="AZ150" i="116"/>
  <c r="AZ151" i="116"/>
  <c r="AZ152" i="116"/>
  <c r="AZ153" i="116"/>
  <c r="AZ154" i="116"/>
  <c r="AZ155" i="116"/>
  <c r="AZ156" i="116"/>
  <c r="AZ157" i="116"/>
  <c r="BC6" i="116"/>
  <c r="AZ6" i="116"/>
  <c r="R6" i="116"/>
  <c r="AO6" i="116"/>
  <c r="AR6" i="116"/>
  <c r="AO7" i="116"/>
  <c r="AO8" i="116"/>
  <c r="AO9" i="116"/>
  <c r="AO10" i="116"/>
  <c r="AO11" i="116"/>
  <c r="AO12" i="116"/>
  <c r="AO13" i="116"/>
  <c r="AO14" i="116"/>
  <c r="AO15" i="116"/>
  <c r="AO16" i="116"/>
  <c r="AO17" i="116"/>
  <c r="AO18" i="116"/>
  <c r="AO19" i="116"/>
  <c r="AO20" i="116"/>
  <c r="AO21" i="116"/>
  <c r="AO22" i="116"/>
  <c r="AO23" i="116"/>
  <c r="AO24" i="116"/>
  <c r="AO25" i="116"/>
  <c r="AO26" i="116"/>
  <c r="AO27" i="116"/>
  <c r="AO28" i="116"/>
  <c r="AO29" i="116"/>
  <c r="AO30" i="116"/>
  <c r="AO31" i="116"/>
  <c r="AO32" i="116"/>
  <c r="AO34" i="116"/>
  <c r="AO35" i="116"/>
  <c r="AO36" i="116"/>
  <c r="AO37" i="116"/>
  <c r="AO38" i="116"/>
  <c r="AO39" i="116"/>
  <c r="AO40" i="116"/>
  <c r="AO41" i="116"/>
  <c r="AO42" i="116"/>
  <c r="AO43" i="116"/>
  <c r="AO44" i="116"/>
  <c r="AO45" i="116"/>
  <c r="AO46" i="116"/>
  <c r="AO47" i="116"/>
  <c r="AO48" i="116"/>
  <c r="AO49" i="116"/>
  <c r="AO50" i="116"/>
  <c r="AO51" i="116"/>
  <c r="AO52" i="116"/>
  <c r="AO53" i="116"/>
  <c r="AO54" i="116"/>
  <c r="AO55" i="116"/>
  <c r="AO56" i="116"/>
  <c r="AO57" i="116"/>
  <c r="AO58" i="116"/>
  <c r="AO59" i="116"/>
  <c r="AO60" i="116"/>
  <c r="AO61" i="116"/>
  <c r="AO62" i="116"/>
  <c r="AO63" i="116"/>
  <c r="AO64" i="116"/>
  <c r="AO65" i="116"/>
  <c r="AO66" i="116"/>
  <c r="AO67" i="116"/>
  <c r="AO68" i="116"/>
  <c r="AO69" i="116"/>
  <c r="AO70" i="116"/>
  <c r="AO71" i="116"/>
  <c r="AO72" i="116"/>
  <c r="AO73" i="116"/>
  <c r="AO74" i="116"/>
  <c r="AO75" i="116"/>
  <c r="AO76" i="116"/>
  <c r="AO77" i="116"/>
  <c r="AO78" i="116"/>
  <c r="AO79" i="116"/>
  <c r="AO80" i="116"/>
  <c r="AO81" i="116"/>
  <c r="AO82" i="116"/>
  <c r="AO83" i="116"/>
  <c r="AO84" i="116"/>
  <c r="AO85" i="116"/>
  <c r="AO86" i="116"/>
  <c r="AO87" i="116"/>
  <c r="AO88" i="116"/>
  <c r="AO89" i="116"/>
  <c r="AO90" i="116"/>
  <c r="AO91" i="116"/>
  <c r="AO92" i="116"/>
  <c r="AO93" i="116"/>
  <c r="AO94" i="116"/>
  <c r="AO95" i="116"/>
  <c r="AO96" i="116"/>
  <c r="AO103" i="116"/>
  <c r="AO104" i="116"/>
  <c r="AO105" i="116"/>
  <c r="AO106" i="116"/>
  <c r="AO107" i="116"/>
  <c r="AO97" i="116"/>
  <c r="AO98" i="116"/>
  <c r="AO99" i="116"/>
  <c r="AO100" i="116"/>
  <c r="AO101" i="116"/>
  <c r="AO102" i="116"/>
  <c r="AO108" i="116"/>
  <c r="AP108" i="116" s="1"/>
  <c r="AO109" i="116"/>
  <c r="AP109" i="116" s="1"/>
  <c r="AO110" i="116"/>
  <c r="AP110" i="116" s="1"/>
  <c r="AO111" i="116"/>
  <c r="AP111" i="116" s="1"/>
  <c r="AO112" i="116"/>
  <c r="AP112" i="116" s="1"/>
  <c r="AO113" i="116"/>
  <c r="AP113" i="116" s="1"/>
  <c r="AO114" i="116"/>
  <c r="AP114" i="116" s="1"/>
  <c r="AO115" i="116"/>
  <c r="AP115" i="116" s="1"/>
  <c r="AO116" i="116"/>
  <c r="AP116" i="116" s="1"/>
  <c r="AO117" i="116"/>
  <c r="AP117" i="116" s="1"/>
  <c r="AO118" i="116"/>
  <c r="AP118" i="116" s="1"/>
  <c r="AO119" i="116"/>
  <c r="AO120" i="116"/>
  <c r="AO121" i="116"/>
  <c r="AO122" i="116"/>
  <c r="AO123" i="116"/>
  <c r="AO124" i="116"/>
  <c r="AO125" i="116"/>
  <c r="AO126" i="116"/>
  <c r="AO127" i="116"/>
  <c r="AO128" i="116"/>
  <c r="AO129" i="116"/>
  <c r="AO130" i="116"/>
  <c r="AO131" i="116"/>
  <c r="AO132" i="116"/>
  <c r="AO133" i="116"/>
  <c r="AO134" i="116"/>
  <c r="AO135" i="116"/>
  <c r="AO136" i="116"/>
  <c r="AO137" i="116"/>
  <c r="AO138" i="116"/>
  <c r="AO139" i="116"/>
  <c r="AO140" i="116"/>
  <c r="AO141" i="116"/>
  <c r="AO142" i="116"/>
  <c r="AO143" i="116"/>
  <c r="AO144" i="116"/>
  <c r="AO145" i="116"/>
  <c r="AO146" i="116"/>
  <c r="AO147" i="116"/>
  <c r="AO148" i="116"/>
  <c r="AO149" i="116"/>
  <c r="AO150" i="116"/>
  <c r="AO151" i="116"/>
  <c r="AO152" i="116"/>
  <c r="AO153" i="116"/>
  <c r="AO154" i="116"/>
  <c r="AO155" i="116"/>
  <c r="AO156" i="116"/>
  <c r="AO157" i="116"/>
  <c r="AM7" i="116"/>
  <c r="AM8" i="116"/>
  <c r="AM9" i="116"/>
  <c r="AM10" i="116"/>
  <c r="AM11" i="116"/>
  <c r="AM12" i="116"/>
  <c r="AM13" i="116"/>
  <c r="AM14" i="116"/>
  <c r="AM15" i="116"/>
  <c r="AM16" i="116"/>
  <c r="AM17" i="116"/>
  <c r="AM18" i="116"/>
  <c r="AM19" i="116"/>
  <c r="AM20" i="116"/>
  <c r="AM21" i="116"/>
  <c r="AM22" i="116"/>
  <c r="AM23" i="116"/>
  <c r="AM24" i="116"/>
  <c r="AM25" i="116"/>
  <c r="AM26" i="116"/>
  <c r="AM27" i="116"/>
  <c r="AM28" i="116"/>
  <c r="AM29" i="116"/>
  <c r="AM30" i="116"/>
  <c r="AM31" i="116"/>
  <c r="AM32" i="116"/>
  <c r="AM34" i="116"/>
  <c r="AM35" i="116"/>
  <c r="AM36" i="116"/>
  <c r="AM37" i="116"/>
  <c r="AM38" i="116"/>
  <c r="AM39" i="116"/>
  <c r="AM40" i="116"/>
  <c r="AM41" i="116"/>
  <c r="AM42" i="116"/>
  <c r="AM43" i="116"/>
  <c r="AM44" i="116"/>
  <c r="AM45" i="116"/>
  <c r="AM46" i="116"/>
  <c r="AM47" i="116"/>
  <c r="AM48" i="116"/>
  <c r="AM49" i="116"/>
  <c r="AM50" i="116"/>
  <c r="AM51" i="116"/>
  <c r="AM52" i="116"/>
  <c r="AM53" i="116"/>
  <c r="AM54" i="116"/>
  <c r="AM55" i="116"/>
  <c r="AM56" i="116"/>
  <c r="AM57" i="116"/>
  <c r="AM58" i="116"/>
  <c r="AM59" i="116"/>
  <c r="AM60" i="116"/>
  <c r="AM61" i="116"/>
  <c r="AM62" i="116"/>
  <c r="AM63" i="116"/>
  <c r="AM64" i="116"/>
  <c r="AM65" i="116"/>
  <c r="AM66" i="116"/>
  <c r="AM67" i="116"/>
  <c r="AM68" i="116"/>
  <c r="AM69" i="116"/>
  <c r="AM70" i="116"/>
  <c r="AM71" i="116"/>
  <c r="AM72" i="116"/>
  <c r="AM73" i="116"/>
  <c r="AM74" i="116"/>
  <c r="AM75" i="116"/>
  <c r="AM76" i="116"/>
  <c r="AM77" i="116"/>
  <c r="AM78" i="116"/>
  <c r="AM79" i="116"/>
  <c r="AM80" i="116"/>
  <c r="AM81" i="116"/>
  <c r="AM82" i="116"/>
  <c r="AM83" i="116"/>
  <c r="AM84" i="116"/>
  <c r="AM85" i="116"/>
  <c r="AM86" i="116"/>
  <c r="AM87" i="116"/>
  <c r="AM88" i="116"/>
  <c r="AM89" i="116"/>
  <c r="AM90" i="116"/>
  <c r="AM91" i="116"/>
  <c r="AM92" i="116"/>
  <c r="AM93" i="116"/>
  <c r="AM94" i="116"/>
  <c r="AM95" i="116"/>
  <c r="AM96" i="116"/>
  <c r="AM103" i="116"/>
  <c r="AM104" i="116"/>
  <c r="AM105" i="116"/>
  <c r="AM106" i="116"/>
  <c r="AM107" i="116"/>
  <c r="AM97" i="116"/>
  <c r="AM98" i="116"/>
  <c r="AM99" i="116"/>
  <c r="AM100" i="116"/>
  <c r="AM101" i="116"/>
  <c r="AM102" i="116"/>
  <c r="AM108" i="116"/>
  <c r="AM109" i="116"/>
  <c r="AM110" i="116"/>
  <c r="AM111" i="116"/>
  <c r="AM112" i="116"/>
  <c r="AM113" i="116"/>
  <c r="AM114" i="116"/>
  <c r="AM115" i="116"/>
  <c r="AM116" i="116"/>
  <c r="AM117" i="116"/>
  <c r="AM118" i="116"/>
  <c r="AM119" i="116"/>
  <c r="AM120" i="116"/>
  <c r="AM121" i="116"/>
  <c r="AM122" i="116"/>
  <c r="AM123" i="116"/>
  <c r="AM124" i="116"/>
  <c r="AM125" i="116"/>
  <c r="AM126" i="116"/>
  <c r="AM127" i="116"/>
  <c r="AM128" i="116"/>
  <c r="AM129" i="116"/>
  <c r="AM130" i="116"/>
  <c r="AM131" i="116"/>
  <c r="AM132" i="116"/>
  <c r="AM133" i="116"/>
  <c r="AM134" i="116"/>
  <c r="AM135" i="116"/>
  <c r="AM136" i="116"/>
  <c r="AM137" i="116"/>
  <c r="AM138" i="116"/>
  <c r="AM139" i="116"/>
  <c r="AM140" i="116"/>
  <c r="AM141" i="116"/>
  <c r="AM142" i="116"/>
  <c r="AM143" i="116"/>
  <c r="AM144" i="116"/>
  <c r="AM145" i="116"/>
  <c r="AM146" i="116"/>
  <c r="AM147" i="116"/>
  <c r="AM148" i="116"/>
  <c r="AM149" i="116"/>
  <c r="AM150" i="116"/>
  <c r="AM151" i="116"/>
  <c r="AM152" i="116"/>
  <c r="AM153" i="116"/>
  <c r="AM154" i="116"/>
  <c r="AM155" i="116"/>
  <c r="AM156" i="116"/>
  <c r="AM157" i="116"/>
  <c r="AM6" i="116"/>
  <c r="AJ7" i="116"/>
  <c r="AJ8" i="116"/>
  <c r="AJ9" i="116"/>
  <c r="AJ10" i="116"/>
  <c r="AJ11" i="116"/>
  <c r="AJ12" i="116"/>
  <c r="AJ13" i="116"/>
  <c r="AJ14" i="116"/>
  <c r="AJ15" i="116"/>
  <c r="AJ16" i="116"/>
  <c r="AJ17" i="116"/>
  <c r="AJ18" i="116"/>
  <c r="AJ19" i="116"/>
  <c r="AJ20" i="116"/>
  <c r="AJ21" i="116"/>
  <c r="AJ22" i="116"/>
  <c r="AJ23" i="116"/>
  <c r="AJ24" i="116"/>
  <c r="AJ25" i="116"/>
  <c r="AJ26" i="116"/>
  <c r="AJ27" i="116"/>
  <c r="AJ28" i="116"/>
  <c r="AJ29" i="116"/>
  <c r="AJ30" i="116"/>
  <c r="AJ31" i="116"/>
  <c r="AJ32" i="116"/>
  <c r="AJ34" i="116"/>
  <c r="AJ35" i="116"/>
  <c r="AJ36" i="116"/>
  <c r="AJ37" i="116"/>
  <c r="AJ38" i="116"/>
  <c r="AJ39" i="116"/>
  <c r="AJ40" i="116"/>
  <c r="AJ41" i="116"/>
  <c r="AJ42" i="116"/>
  <c r="AJ43" i="116"/>
  <c r="AJ44" i="116"/>
  <c r="AJ45" i="116"/>
  <c r="AJ46" i="116"/>
  <c r="AJ47" i="116"/>
  <c r="AJ48" i="116"/>
  <c r="AJ49" i="116"/>
  <c r="AJ50" i="116"/>
  <c r="AJ51" i="116"/>
  <c r="AJ52" i="116"/>
  <c r="AJ53" i="116"/>
  <c r="AJ54" i="116"/>
  <c r="AJ55" i="116"/>
  <c r="AJ56" i="116"/>
  <c r="AJ57" i="116"/>
  <c r="AJ58" i="116"/>
  <c r="AJ59" i="116"/>
  <c r="AJ60" i="116"/>
  <c r="AJ61" i="116"/>
  <c r="AJ62" i="116"/>
  <c r="AJ63" i="116"/>
  <c r="AJ64" i="116"/>
  <c r="AJ65" i="116"/>
  <c r="AJ66" i="116"/>
  <c r="AJ67" i="116"/>
  <c r="AJ68" i="116"/>
  <c r="AJ69" i="116"/>
  <c r="AJ70" i="116"/>
  <c r="AJ71" i="116"/>
  <c r="AJ72" i="116"/>
  <c r="AJ73" i="116"/>
  <c r="AJ74" i="116"/>
  <c r="AJ75" i="116"/>
  <c r="AJ76" i="116"/>
  <c r="AJ77" i="116"/>
  <c r="AJ78" i="116"/>
  <c r="AJ79" i="116"/>
  <c r="AJ80" i="116"/>
  <c r="AJ81" i="116"/>
  <c r="AJ82" i="116"/>
  <c r="AJ83" i="116"/>
  <c r="AJ84" i="116"/>
  <c r="AJ85" i="116"/>
  <c r="AJ86" i="116"/>
  <c r="AJ87" i="116"/>
  <c r="AJ88" i="116"/>
  <c r="AJ89" i="116"/>
  <c r="AJ90" i="116"/>
  <c r="AJ91" i="116"/>
  <c r="AJ92" i="116"/>
  <c r="AJ93" i="116"/>
  <c r="AJ94" i="116"/>
  <c r="AJ95" i="116"/>
  <c r="AJ96" i="116"/>
  <c r="AJ103" i="116"/>
  <c r="AJ104" i="116"/>
  <c r="AJ105" i="116"/>
  <c r="AJ106" i="116"/>
  <c r="AJ107" i="116"/>
  <c r="AJ97" i="116"/>
  <c r="AJ98" i="116"/>
  <c r="AJ99" i="116"/>
  <c r="AJ100" i="116"/>
  <c r="AJ101" i="116"/>
  <c r="AJ102" i="116"/>
  <c r="AJ108" i="116"/>
  <c r="AK108" i="116" s="1"/>
  <c r="AJ109" i="116"/>
  <c r="AK109" i="116" s="1"/>
  <c r="AJ110" i="116"/>
  <c r="AK110" i="116" s="1"/>
  <c r="AJ111" i="116"/>
  <c r="AK111" i="116" s="1"/>
  <c r="AJ112" i="116"/>
  <c r="AK112" i="116" s="1"/>
  <c r="AJ113" i="116"/>
  <c r="AK113" i="116" s="1"/>
  <c r="AJ114" i="116"/>
  <c r="AK114" i="116" s="1"/>
  <c r="AJ115" i="116"/>
  <c r="AK115" i="116" s="1"/>
  <c r="AJ116" i="116"/>
  <c r="AK116" i="116" s="1"/>
  <c r="AJ117" i="116"/>
  <c r="AK117" i="116" s="1"/>
  <c r="AJ118" i="116"/>
  <c r="AK118" i="116" s="1"/>
  <c r="AJ119" i="116"/>
  <c r="AJ120" i="116"/>
  <c r="AJ121" i="116"/>
  <c r="AJ122" i="116"/>
  <c r="AJ123" i="116"/>
  <c r="AJ124" i="116"/>
  <c r="AJ125" i="116"/>
  <c r="AJ126" i="116"/>
  <c r="AJ127" i="116"/>
  <c r="AJ128" i="116"/>
  <c r="AJ129" i="116"/>
  <c r="AJ130" i="116"/>
  <c r="AJ131" i="116"/>
  <c r="AJ132" i="116"/>
  <c r="AJ133" i="116"/>
  <c r="AJ134" i="116"/>
  <c r="AJ135" i="116"/>
  <c r="AJ136" i="116"/>
  <c r="AJ137" i="116"/>
  <c r="AJ138" i="116"/>
  <c r="AJ139" i="116"/>
  <c r="AJ140" i="116"/>
  <c r="AJ141" i="116"/>
  <c r="AJ142" i="116"/>
  <c r="AJ143" i="116"/>
  <c r="AJ144" i="116"/>
  <c r="AJ145" i="116"/>
  <c r="AJ146" i="116"/>
  <c r="AJ147" i="116"/>
  <c r="AJ148" i="116"/>
  <c r="AJ149" i="116"/>
  <c r="AJ150" i="116"/>
  <c r="AJ151" i="116"/>
  <c r="AJ152" i="116"/>
  <c r="AJ153" i="116"/>
  <c r="AJ154" i="116"/>
  <c r="AJ155" i="116"/>
  <c r="AJ156" i="116"/>
  <c r="AJ157" i="116"/>
  <c r="AJ6" i="116"/>
  <c r="AG7" i="116"/>
  <c r="AG8" i="116"/>
  <c r="AG9" i="116"/>
  <c r="AG10" i="116"/>
  <c r="AG11" i="116"/>
  <c r="AG12" i="116"/>
  <c r="AG13" i="116"/>
  <c r="AG14" i="116"/>
  <c r="AG15" i="116"/>
  <c r="AG16" i="116"/>
  <c r="AG17" i="116"/>
  <c r="AG18" i="116"/>
  <c r="AG19" i="116"/>
  <c r="AG20" i="116"/>
  <c r="AG21" i="116"/>
  <c r="AG22" i="116"/>
  <c r="AG23" i="116"/>
  <c r="AG24" i="116"/>
  <c r="AG25" i="116"/>
  <c r="AG26" i="116"/>
  <c r="AG27" i="116"/>
  <c r="AG28" i="116"/>
  <c r="AG29" i="116"/>
  <c r="AG30" i="116"/>
  <c r="AG31" i="116"/>
  <c r="AG32" i="116"/>
  <c r="AG34" i="116"/>
  <c r="AG35" i="116"/>
  <c r="AG36" i="116"/>
  <c r="AG37" i="116"/>
  <c r="AG38" i="116"/>
  <c r="AG39" i="116"/>
  <c r="AG40" i="116"/>
  <c r="AG41" i="116"/>
  <c r="AG42" i="116"/>
  <c r="AG43" i="116"/>
  <c r="AG44" i="116"/>
  <c r="AG45" i="116"/>
  <c r="AG46" i="116"/>
  <c r="AG47" i="116"/>
  <c r="AG48" i="116"/>
  <c r="AG49" i="116"/>
  <c r="AG50" i="116"/>
  <c r="AG51" i="116"/>
  <c r="AG52" i="116"/>
  <c r="AG53" i="116"/>
  <c r="AG54" i="116"/>
  <c r="AG55" i="116"/>
  <c r="AG56" i="116"/>
  <c r="AG57" i="116"/>
  <c r="AG58" i="116"/>
  <c r="AG59" i="116"/>
  <c r="AG60" i="116"/>
  <c r="AG61" i="116"/>
  <c r="AG62" i="116"/>
  <c r="AG63" i="116"/>
  <c r="AG64" i="116"/>
  <c r="AG65" i="116"/>
  <c r="AG66" i="116"/>
  <c r="AG67" i="116"/>
  <c r="AG68" i="116"/>
  <c r="AG69" i="116"/>
  <c r="AG70" i="116"/>
  <c r="AG71" i="116"/>
  <c r="AG72" i="116"/>
  <c r="AG73" i="116"/>
  <c r="AG74" i="116"/>
  <c r="AG75" i="116"/>
  <c r="AG76" i="116"/>
  <c r="AG77" i="116"/>
  <c r="AG78" i="116"/>
  <c r="AG79" i="116"/>
  <c r="AG80" i="116"/>
  <c r="AG81" i="116"/>
  <c r="AG82" i="116"/>
  <c r="AG83" i="116"/>
  <c r="AG84" i="116"/>
  <c r="AG85" i="116"/>
  <c r="AG86" i="116"/>
  <c r="AG87" i="116"/>
  <c r="AG88" i="116"/>
  <c r="AG89" i="116"/>
  <c r="AG90" i="116"/>
  <c r="AG91" i="116"/>
  <c r="AG92" i="116"/>
  <c r="AG93" i="116"/>
  <c r="AG94" i="116"/>
  <c r="AG95" i="116"/>
  <c r="AG96" i="116"/>
  <c r="AG103" i="116"/>
  <c r="AG104" i="116"/>
  <c r="AG105" i="116"/>
  <c r="AG106" i="116"/>
  <c r="AG107" i="116"/>
  <c r="AG97" i="116"/>
  <c r="AG98" i="116"/>
  <c r="AG99" i="116"/>
  <c r="AG100" i="116"/>
  <c r="AG101" i="116"/>
  <c r="AG102" i="116"/>
  <c r="AG108" i="116"/>
  <c r="AH108" i="116" s="1"/>
  <c r="AG109" i="116"/>
  <c r="AH109" i="116" s="1"/>
  <c r="AG110" i="116"/>
  <c r="AH110" i="116" s="1"/>
  <c r="AG111" i="116"/>
  <c r="AH111" i="116" s="1"/>
  <c r="AG112" i="116"/>
  <c r="AH112" i="116" s="1"/>
  <c r="AG113" i="116"/>
  <c r="AH113" i="116" s="1"/>
  <c r="AG114" i="116"/>
  <c r="AH114" i="116" s="1"/>
  <c r="AG115" i="116"/>
  <c r="AH115" i="116" s="1"/>
  <c r="AG116" i="116"/>
  <c r="AH116" i="116" s="1"/>
  <c r="AG117" i="116"/>
  <c r="AH117" i="116" s="1"/>
  <c r="AG118" i="116"/>
  <c r="AH118" i="116" s="1"/>
  <c r="AG119" i="116"/>
  <c r="AG120" i="116"/>
  <c r="AG121" i="116"/>
  <c r="AG122" i="116"/>
  <c r="AG123" i="116"/>
  <c r="AG124" i="116"/>
  <c r="AG125" i="116"/>
  <c r="AG126" i="116"/>
  <c r="AG127" i="116"/>
  <c r="AG128" i="116"/>
  <c r="AG129" i="116"/>
  <c r="AG130" i="116"/>
  <c r="AG131" i="116"/>
  <c r="AG132" i="116"/>
  <c r="AG133" i="116"/>
  <c r="AG134" i="116"/>
  <c r="AG135" i="116"/>
  <c r="AG136" i="116"/>
  <c r="AG137" i="116"/>
  <c r="AG138" i="116"/>
  <c r="AG139" i="116"/>
  <c r="AG140" i="116"/>
  <c r="AG141" i="116"/>
  <c r="AG142" i="116"/>
  <c r="AG143" i="116"/>
  <c r="AG144" i="116"/>
  <c r="AG145" i="116"/>
  <c r="AG146" i="116"/>
  <c r="AG147" i="116"/>
  <c r="AG148" i="116"/>
  <c r="AG149" i="116"/>
  <c r="AG150" i="116"/>
  <c r="AG151" i="116"/>
  <c r="AG152" i="116"/>
  <c r="AG153" i="116"/>
  <c r="AG154" i="116"/>
  <c r="AG155" i="116"/>
  <c r="AG156" i="116"/>
  <c r="AG157" i="116"/>
  <c r="AG6" i="116"/>
  <c r="D7" i="116"/>
  <c r="D8" i="116"/>
  <c r="D9" i="116"/>
  <c r="D10" i="116"/>
  <c r="D11" i="116"/>
  <c r="D12" i="116"/>
  <c r="D13" i="116"/>
  <c r="D14" i="116"/>
  <c r="D15" i="116"/>
  <c r="D16" i="116"/>
  <c r="D17" i="116"/>
  <c r="D18" i="116"/>
  <c r="D19" i="116"/>
  <c r="D20" i="116"/>
  <c r="D21" i="116"/>
  <c r="D22" i="116"/>
  <c r="D23" i="116"/>
  <c r="D24" i="116"/>
  <c r="D25" i="116"/>
  <c r="D26" i="116"/>
  <c r="D27" i="116"/>
  <c r="D28" i="116"/>
  <c r="D29" i="116"/>
  <c r="D30" i="116"/>
  <c r="D31" i="116"/>
  <c r="D32" i="116"/>
  <c r="D34" i="116"/>
  <c r="D35" i="116"/>
  <c r="D36" i="116"/>
  <c r="D37" i="116"/>
  <c r="D38" i="116"/>
  <c r="D39" i="116"/>
  <c r="D40" i="116"/>
  <c r="D41" i="116"/>
  <c r="D42" i="116"/>
  <c r="D43" i="116"/>
  <c r="D44" i="116"/>
  <c r="D45" i="116"/>
  <c r="D46" i="116"/>
  <c r="D47" i="116"/>
  <c r="D48" i="116"/>
  <c r="D49" i="116"/>
  <c r="D50" i="116"/>
  <c r="D51" i="116"/>
  <c r="D52" i="116"/>
  <c r="D53" i="116"/>
  <c r="D54" i="116"/>
  <c r="D55" i="116"/>
  <c r="D56" i="116"/>
  <c r="D57" i="116"/>
  <c r="D58" i="116"/>
  <c r="D59" i="116"/>
  <c r="D60" i="116"/>
  <c r="D61" i="116"/>
  <c r="D62" i="116"/>
  <c r="D63" i="116"/>
  <c r="D64" i="116"/>
  <c r="D65" i="116"/>
  <c r="D66" i="116"/>
  <c r="D67" i="116"/>
  <c r="D68" i="116"/>
  <c r="D69" i="116"/>
  <c r="D70" i="116"/>
  <c r="D71" i="116"/>
  <c r="D72" i="116"/>
  <c r="D73" i="116"/>
  <c r="D74" i="116"/>
  <c r="D75" i="116"/>
  <c r="D76" i="116"/>
  <c r="D77" i="116"/>
  <c r="D78" i="116"/>
  <c r="D79" i="116"/>
  <c r="D80" i="116"/>
  <c r="D81" i="116"/>
  <c r="D82" i="116"/>
  <c r="D83" i="116"/>
  <c r="D84" i="116"/>
  <c r="D85" i="116"/>
  <c r="D86" i="116"/>
  <c r="D87" i="116"/>
  <c r="D88" i="116"/>
  <c r="D89" i="116"/>
  <c r="D90" i="116"/>
  <c r="D91" i="116"/>
  <c r="D92" i="116"/>
  <c r="D93" i="116"/>
  <c r="D94" i="116"/>
  <c r="D95" i="116"/>
  <c r="D96" i="116"/>
  <c r="D103" i="116"/>
  <c r="D104" i="116"/>
  <c r="D105" i="116"/>
  <c r="D106" i="116"/>
  <c r="D107" i="116"/>
  <c r="D97" i="116"/>
  <c r="D98" i="116"/>
  <c r="D99" i="116"/>
  <c r="D100" i="116"/>
  <c r="D101" i="116"/>
  <c r="D102" i="116"/>
  <c r="D108" i="116"/>
  <c r="D109" i="116"/>
  <c r="D110" i="116"/>
  <c r="D111" i="116"/>
  <c r="D112" i="116"/>
  <c r="D113" i="116"/>
  <c r="D114" i="116"/>
  <c r="D115" i="116"/>
  <c r="D116" i="116"/>
  <c r="D117" i="116"/>
  <c r="D118" i="116"/>
  <c r="D119" i="116"/>
  <c r="D120" i="116"/>
  <c r="D121" i="116"/>
  <c r="D122" i="116"/>
  <c r="D123" i="116"/>
  <c r="D124" i="116"/>
  <c r="D125" i="116"/>
  <c r="D126" i="116"/>
  <c r="D127" i="116"/>
  <c r="D128" i="116"/>
  <c r="D129" i="116"/>
  <c r="D130" i="116"/>
  <c r="D131" i="116"/>
  <c r="D132" i="116"/>
  <c r="D133" i="116"/>
  <c r="D134" i="116"/>
  <c r="D135" i="116"/>
  <c r="D136" i="116"/>
  <c r="D137" i="116"/>
  <c r="D138" i="116"/>
  <c r="D139" i="116"/>
  <c r="D140" i="116"/>
  <c r="D141" i="116"/>
  <c r="D142" i="116"/>
  <c r="D143" i="116"/>
  <c r="D144" i="116"/>
  <c r="D145" i="116"/>
  <c r="D146" i="116"/>
  <c r="D147" i="116"/>
  <c r="D148" i="116"/>
  <c r="D149" i="116"/>
  <c r="D150" i="116"/>
  <c r="D151" i="116"/>
  <c r="D152" i="116"/>
  <c r="D153" i="116"/>
  <c r="D154" i="116"/>
  <c r="D155" i="116"/>
  <c r="D156" i="116"/>
  <c r="D157" i="116"/>
  <c r="F7" i="116"/>
  <c r="F8" i="116"/>
  <c r="F9" i="116"/>
  <c r="F10" i="116"/>
  <c r="F11" i="116"/>
  <c r="F12" i="116"/>
  <c r="F13" i="116"/>
  <c r="F14" i="116"/>
  <c r="F15" i="116"/>
  <c r="F16" i="116"/>
  <c r="F17" i="116"/>
  <c r="F18" i="116"/>
  <c r="F19" i="116"/>
  <c r="F20" i="116"/>
  <c r="F21" i="116"/>
  <c r="F22" i="116"/>
  <c r="F23" i="116"/>
  <c r="F24" i="116"/>
  <c r="F25" i="116"/>
  <c r="F26" i="116"/>
  <c r="F27" i="116"/>
  <c r="F28" i="116"/>
  <c r="F29" i="116"/>
  <c r="F30" i="116"/>
  <c r="F31" i="116"/>
  <c r="F32" i="116"/>
  <c r="F34" i="116"/>
  <c r="F35" i="116"/>
  <c r="F36" i="116"/>
  <c r="F38" i="116"/>
  <c r="F39" i="116"/>
  <c r="F40" i="116"/>
  <c r="F41" i="116"/>
  <c r="F42" i="116"/>
  <c r="F43" i="116"/>
  <c r="F44" i="116"/>
  <c r="F45" i="116"/>
  <c r="F46" i="116"/>
  <c r="F47" i="116"/>
  <c r="F48" i="116"/>
  <c r="F49" i="116"/>
  <c r="F50" i="116"/>
  <c r="F51" i="116"/>
  <c r="F52" i="116"/>
  <c r="F53" i="116"/>
  <c r="F54" i="116"/>
  <c r="F55" i="116"/>
  <c r="F56" i="116"/>
  <c r="F57" i="116"/>
  <c r="F58" i="116"/>
  <c r="F59" i="116"/>
  <c r="F60" i="116"/>
  <c r="F61" i="116"/>
  <c r="F62" i="116"/>
  <c r="F63" i="116"/>
  <c r="F64" i="116"/>
  <c r="F65" i="116"/>
  <c r="F66" i="116"/>
  <c r="F67" i="116"/>
  <c r="F68" i="116"/>
  <c r="F69" i="116"/>
  <c r="F70" i="116"/>
  <c r="F71" i="116"/>
  <c r="F72" i="116"/>
  <c r="F73" i="116"/>
  <c r="F74" i="116"/>
  <c r="F75" i="116"/>
  <c r="F76" i="116"/>
  <c r="F77" i="116"/>
  <c r="F78" i="116"/>
  <c r="F79" i="116"/>
  <c r="F80" i="116"/>
  <c r="F81" i="116"/>
  <c r="F82" i="116"/>
  <c r="F83" i="116"/>
  <c r="F84" i="116"/>
  <c r="F85" i="116"/>
  <c r="F86" i="116"/>
  <c r="F87" i="116"/>
  <c r="F88" i="116"/>
  <c r="F89" i="116"/>
  <c r="F90" i="116"/>
  <c r="F91" i="116"/>
  <c r="F92" i="116"/>
  <c r="F93" i="116"/>
  <c r="F94" i="116"/>
  <c r="F95" i="116"/>
  <c r="F96" i="116"/>
  <c r="F103" i="116"/>
  <c r="F104" i="116"/>
  <c r="F105" i="116"/>
  <c r="F106" i="116"/>
  <c r="F107" i="116"/>
  <c r="F97" i="116"/>
  <c r="F98" i="116"/>
  <c r="F99" i="116"/>
  <c r="F100" i="116"/>
  <c r="F101" i="116"/>
  <c r="F102" i="116"/>
  <c r="F108" i="116"/>
  <c r="F109" i="116"/>
  <c r="F110" i="116"/>
  <c r="F111" i="116"/>
  <c r="F112" i="116"/>
  <c r="F113" i="116"/>
  <c r="F114" i="116"/>
  <c r="F115" i="116"/>
  <c r="F116" i="116"/>
  <c r="F117" i="116"/>
  <c r="F118" i="116"/>
  <c r="F119" i="116"/>
  <c r="F120" i="116"/>
  <c r="F121" i="116"/>
  <c r="F122" i="116"/>
  <c r="F123" i="116"/>
  <c r="F124" i="116"/>
  <c r="F125" i="116"/>
  <c r="F126" i="116"/>
  <c r="F127" i="116"/>
  <c r="F128" i="116"/>
  <c r="F129" i="116"/>
  <c r="F130" i="116"/>
  <c r="F131" i="116"/>
  <c r="F132" i="116"/>
  <c r="F133" i="116"/>
  <c r="F134" i="116"/>
  <c r="F135" i="116"/>
  <c r="F136" i="116"/>
  <c r="F137" i="116"/>
  <c r="F138" i="116"/>
  <c r="F139" i="116"/>
  <c r="F140" i="116"/>
  <c r="F141" i="116"/>
  <c r="F142" i="116"/>
  <c r="F143" i="116"/>
  <c r="F144" i="116"/>
  <c r="F145" i="116"/>
  <c r="F146" i="116"/>
  <c r="F147" i="116"/>
  <c r="F148" i="116"/>
  <c r="F149" i="116"/>
  <c r="F150" i="116"/>
  <c r="F151" i="116"/>
  <c r="F152" i="116"/>
  <c r="F153" i="116"/>
  <c r="F154" i="116"/>
  <c r="F155" i="116"/>
  <c r="F156" i="116"/>
  <c r="F157" i="116"/>
  <c r="I7" i="116"/>
  <c r="I8" i="116"/>
  <c r="I9" i="116"/>
  <c r="I10" i="116"/>
  <c r="I11" i="116"/>
  <c r="I12" i="116"/>
  <c r="I13" i="116"/>
  <c r="I14" i="116"/>
  <c r="I15" i="116"/>
  <c r="I16" i="116"/>
  <c r="I17" i="116"/>
  <c r="I18" i="116"/>
  <c r="I19" i="116"/>
  <c r="I20" i="116"/>
  <c r="I21" i="116"/>
  <c r="I22" i="116"/>
  <c r="I23" i="116"/>
  <c r="I24" i="116"/>
  <c r="I25" i="116"/>
  <c r="I26" i="116"/>
  <c r="I27" i="116"/>
  <c r="I28" i="116"/>
  <c r="I29" i="116"/>
  <c r="I30" i="116"/>
  <c r="I31" i="116"/>
  <c r="I32" i="116"/>
  <c r="I34" i="116"/>
  <c r="I35" i="116"/>
  <c r="I36" i="116"/>
  <c r="I37" i="116"/>
  <c r="I38" i="116"/>
  <c r="I39" i="116"/>
  <c r="I40" i="116"/>
  <c r="I41" i="116"/>
  <c r="I42" i="116"/>
  <c r="I43" i="116"/>
  <c r="I44" i="116"/>
  <c r="I45" i="116"/>
  <c r="I46" i="116"/>
  <c r="I47" i="116"/>
  <c r="I48" i="116"/>
  <c r="I49" i="116"/>
  <c r="I50" i="116"/>
  <c r="I51" i="116"/>
  <c r="I52" i="116"/>
  <c r="I53" i="116"/>
  <c r="I54" i="116"/>
  <c r="I55" i="116"/>
  <c r="I56" i="116"/>
  <c r="I57" i="116"/>
  <c r="I58" i="116"/>
  <c r="I59" i="116"/>
  <c r="I60" i="116"/>
  <c r="I61" i="116"/>
  <c r="I62" i="116"/>
  <c r="I63" i="116"/>
  <c r="I64" i="116"/>
  <c r="I65" i="116"/>
  <c r="I66" i="116"/>
  <c r="I67" i="116"/>
  <c r="I68" i="116"/>
  <c r="I69" i="116"/>
  <c r="I70" i="116"/>
  <c r="I71" i="116"/>
  <c r="I72" i="116"/>
  <c r="I73" i="116"/>
  <c r="I74" i="116"/>
  <c r="I75" i="116"/>
  <c r="I76" i="116"/>
  <c r="I77" i="116"/>
  <c r="I78" i="116"/>
  <c r="I79" i="116"/>
  <c r="I80" i="116"/>
  <c r="I81" i="116"/>
  <c r="I82" i="116"/>
  <c r="I83" i="116"/>
  <c r="I84" i="116"/>
  <c r="I85" i="116"/>
  <c r="I86" i="116"/>
  <c r="I87" i="116"/>
  <c r="I88" i="116"/>
  <c r="I89" i="116"/>
  <c r="I90" i="116"/>
  <c r="I91" i="116"/>
  <c r="I92" i="116"/>
  <c r="I93" i="116"/>
  <c r="I94" i="116"/>
  <c r="I95" i="116"/>
  <c r="I96" i="116"/>
  <c r="I103" i="116"/>
  <c r="I104" i="116"/>
  <c r="I105" i="116"/>
  <c r="I106" i="116"/>
  <c r="I107" i="116"/>
  <c r="I97" i="116"/>
  <c r="I98" i="116"/>
  <c r="I99" i="116"/>
  <c r="I100" i="116"/>
  <c r="I101" i="116"/>
  <c r="I102" i="116"/>
  <c r="I108" i="116"/>
  <c r="J108" i="116" s="1"/>
  <c r="I109" i="116"/>
  <c r="J109" i="116" s="1"/>
  <c r="I110" i="116"/>
  <c r="J110" i="116" s="1"/>
  <c r="I111" i="116"/>
  <c r="J111" i="116" s="1"/>
  <c r="I112" i="116"/>
  <c r="J112" i="116" s="1"/>
  <c r="I113" i="116"/>
  <c r="J113" i="116" s="1"/>
  <c r="I114" i="116"/>
  <c r="J114" i="116" s="1"/>
  <c r="I115" i="116"/>
  <c r="J115" i="116" s="1"/>
  <c r="I116" i="116"/>
  <c r="J116" i="116" s="1"/>
  <c r="I117" i="116"/>
  <c r="J117" i="116" s="1"/>
  <c r="I118" i="116"/>
  <c r="J118" i="116" s="1"/>
  <c r="I119" i="116"/>
  <c r="I120" i="116"/>
  <c r="I121" i="116"/>
  <c r="I122" i="116"/>
  <c r="I123" i="116"/>
  <c r="I124" i="116"/>
  <c r="I125" i="116"/>
  <c r="I126" i="116"/>
  <c r="I127" i="116"/>
  <c r="I128" i="116"/>
  <c r="I129" i="116"/>
  <c r="I130" i="116"/>
  <c r="I131" i="116"/>
  <c r="I132" i="116"/>
  <c r="I133" i="116"/>
  <c r="I134" i="116"/>
  <c r="I135" i="116"/>
  <c r="I136" i="116"/>
  <c r="I137" i="116"/>
  <c r="I138" i="116"/>
  <c r="I139" i="116"/>
  <c r="I140" i="116"/>
  <c r="I141" i="116"/>
  <c r="I142" i="116"/>
  <c r="I143" i="116"/>
  <c r="I144" i="116"/>
  <c r="I145" i="116"/>
  <c r="I146" i="116"/>
  <c r="I147" i="116"/>
  <c r="I148" i="116"/>
  <c r="I149" i="116"/>
  <c r="I150" i="116"/>
  <c r="I151" i="116"/>
  <c r="I152" i="116"/>
  <c r="I153" i="116"/>
  <c r="I154" i="116"/>
  <c r="I155" i="116"/>
  <c r="I156" i="116"/>
  <c r="I157" i="116"/>
  <c r="L7" i="116"/>
  <c r="L8" i="116"/>
  <c r="L9" i="116"/>
  <c r="L10" i="116"/>
  <c r="L11" i="116"/>
  <c r="L12" i="116"/>
  <c r="L13" i="116"/>
  <c r="L14" i="116"/>
  <c r="L15" i="116"/>
  <c r="L16" i="116"/>
  <c r="L17" i="116"/>
  <c r="L18" i="116"/>
  <c r="L19" i="116"/>
  <c r="L20" i="116"/>
  <c r="L21" i="116"/>
  <c r="L22" i="116"/>
  <c r="L23" i="116"/>
  <c r="L24" i="116"/>
  <c r="L25" i="116"/>
  <c r="L26" i="116"/>
  <c r="L27" i="116"/>
  <c r="L28" i="116"/>
  <c r="L29" i="116"/>
  <c r="L30" i="116"/>
  <c r="L31" i="116"/>
  <c r="L32" i="116"/>
  <c r="L34" i="116"/>
  <c r="L35" i="116"/>
  <c r="L36" i="116"/>
  <c r="L37" i="116"/>
  <c r="L38" i="116"/>
  <c r="L39" i="116"/>
  <c r="L40" i="116"/>
  <c r="L41" i="116"/>
  <c r="L42" i="116"/>
  <c r="L43" i="116"/>
  <c r="L44" i="116"/>
  <c r="L45" i="116"/>
  <c r="L46" i="116"/>
  <c r="L47" i="116"/>
  <c r="L48" i="116"/>
  <c r="L49" i="116"/>
  <c r="L50" i="116"/>
  <c r="L51" i="116"/>
  <c r="L52" i="116"/>
  <c r="L53" i="116"/>
  <c r="L54" i="116"/>
  <c r="L55" i="116"/>
  <c r="L56" i="116"/>
  <c r="L57" i="116"/>
  <c r="L58" i="116"/>
  <c r="L59" i="116"/>
  <c r="L60" i="116"/>
  <c r="L61" i="116"/>
  <c r="L62" i="116"/>
  <c r="L63" i="116"/>
  <c r="L64" i="116"/>
  <c r="L65" i="116"/>
  <c r="L66" i="116"/>
  <c r="L67" i="116"/>
  <c r="L68" i="116"/>
  <c r="L69" i="116"/>
  <c r="L70" i="116"/>
  <c r="L71" i="116"/>
  <c r="L72" i="116"/>
  <c r="L73" i="116"/>
  <c r="L74" i="116"/>
  <c r="L75" i="116"/>
  <c r="L76" i="116"/>
  <c r="L77" i="116"/>
  <c r="L78" i="116"/>
  <c r="L79" i="116"/>
  <c r="L80" i="116"/>
  <c r="L81" i="116"/>
  <c r="L82" i="116"/>
  <c r="L83" i="116"/>
  <c r="L84" i="116"/>
  <c r="L85" i="116"/>
  <c r="L86" i="116"/>
  <c r="L87" i="116"/>
  <c r="L88" i="116"/>
  <c r="L89" i="116"/>
  <c r="L90" i="116"/>
  <c r="L91" i="116"/>
  <c r="L92" i="116"/>
  <c r="L93" i="116"/>
  <c r="L94" i="116"/>
  <c r="L95" i="116"/>
  <c r="L96" i="116"/>
  <c r="L103" i="116"/>
  <c r="L104" i="116"/>
  <c r="L105" i="116"/>
  <c r="L106" i="116"/>
  <c r="L107" i="116"/>
  <c r="L97" i="116"/>
  <c r="L98" i="116"/>
  <c r="L99" i="116"/>
  <c r="L100" i="116"/>
  <c r="L101" i="116"/>
  <c r="L102" i="116"/>
  <c r="L108" i="116"/>
  <c r="M108" i="116" s="1"/>
  <c r="L109" i="116"/>
  <c r="M109" i="116" s="1"/>
  <c r="L110" i="116"/>
  <c r="M110" i="116" s="1"/>
  <c r="L111" i="116"/>
  <c r="M111" i="116" s="1"/>
  <c r="L112" i="116"/>
  <c r="M112" i="116" s="1"/>
  <c r="L113" i="116"/>
  <c r="M113" i="116" s="1"/>
  <c r="L114" i="116"/>
  <c r="M114" i="116" s="1"/>
  <c r="L115" i="116"/>
  <c r="M115" i="116" s="1"/>
  <c r="L116" i="116"/>
  <c r="M116" i="116" s="1"/>
  <c r="L117" i="116"/>
  <c r="M117" i="116" s="1"/>
  <c r="L118" i="116"/>
  <c r="M118" i="116" s="1"/>
  <c r="L119" i="116"/>
  <c r="L120" i="116"/>
  <c r="L121" i="116"/>
  <c r="L122" i="116"/>
  <c r="L123" i="116"/>
  <c r="L124" i="116"/>
  <c r="L125" i="116"/>
  <c r="L126" i="116"/>
  <c r="L127" i="116"/>
  <c r="L128" i="116"/>
  <c r="L129" i="116"/>
  <c r="L130" i="116"/>
  <c r="L131" i="116"/>
  <c r="L132" i="116"/>
  <c r="L133" i="116"/>
  <c r="L134" i="116"/>
  <c r="L135" i="116"/>
  <c r="L136" i="116"/>
  <c r="L137" i="116"/>
  <c r="L138" i="116"/>
  <c r="L139" i="116"/>
  <c r="L140" i="116"/>
  <c r="L141" i="116"/>
  <c r="L142" i="116"/>
  <c r="L143" i="116"/>
  <c r="L144" i="116"/>
  <c r="L145" i="116"/>
  <c r="L146" i="116"/>
  <c r="L147" i="116"/>
  <c r="L148" i="116"/>
  <c r="L149" i="116"/>
  <c r="L150" i="116"/>
  <c r="L151" i="116"/>
  <c r="L152" i="116"/>
  <c r="L153" i="116"/>
  <c r="L154" i="116"/>
  <c r="L155" i="116"/>
  <c r="L156" i="116"/>
  <c r="L157" i="116"/>
  <c r="O7" i="116"/>
  <c r="O8" i="116"/>
  <c r="O9" i="116"/>
  <c r="O10" i="116"/>
  <c r="O11" i="116"/>
  <c r="O12" i="116"/>
  <c r="O13" i="116"/>
  <c r="O14" i="116"/>
  <c r="O15" i="116"/>
  <c r="O16" i="116"/>
  <c r="O17" i="116"/>
  <c r="O18" i="116"/>
  <c r="O19" i="116"/>
  <c r="O20" i="116"/>
  <c r="O21" i="116"/>
  <c r="O22" i="116"/>
  <c r="O23" i="116"/>
  <c r="O24" i="116"/>
  <c r="O25" i="116"/>
  <c r="O26" i="116"/>
  <c r="O27" i="116"/>
  <c r="O28" i="116"/>
  <c r="O29" i="116"/>
  <c r="O30" i="116"/>
  <c r="O31" i="116"/>
  <c r="O32" i="116"/>
  <c r="O34" i="116"/>
  <c r="O35" i="116"/>
  <c r="O36" i="116"/>
  <c r="O37" i="116"/>
  <c r="O38" i="116"/>
  <c r="O39" i="116"/>
  <c r="O40" i="116"/>
  <c r="O41" i="116"/>
  <c r="O42" i="116"/>
  <c r="O43" i="116"/>
  <c r="O44" i="116"/>
  <c r="O45" i="116"/>
  <c r="O46" i="116"/>
  <c r="O47" i="116"/>
  <c r="O48" i="116"/>
  <c r="O49" i="116"/>
  <c r="O50" i="116"/>
  <c r="O51" i="116"/>
  <c r="O52" i="116"/>
  <c r="O53" i="116"/>
  <c r="O54" i="116"/>
  <c r="O55" i="116"/>
  <c r="O56" i="116"/>
  <c r="O57" i="116"/>
  <c r="O58" i="116"/>
  <c r="O59" i="116"/>
  <c r="O60" i="116"/>
  <c r="O61" i="116"/>
  <c r="O62" i="116"/>
  <c r="O63" i="116"/>
  <c r="O64" i="116"/>
  <c r="O65" i="116"/>
  <c r="O66" i="116"/>
  <c r="O67" i="116"/>
  <c r="O68" i="116"/>
  <c r="O69" i="116"/>
  <c r="O70" i="116"/>
  <c r="O71" i="116"/>
  <c r="O72" i="116"/>
  <c r="O73" i="116"/>
  <c r="O74" i="116"/>
  <c r="O75" i="116"/>
  <c r="O76" i="116"/>
  <c r="O77" i="116"/>
  <c r="O78" i="116"/>
  <c r="O79" i="116"/>
  <c r="O80" i="116"/>
  <c r="O81" i="116"/>
  <c r="O82" i="116"/>
  <c r="O83" i="116"/>
  <c r="O84" i="116"/>
  <c r="O85" i="116"/>
  <c r="O86" i="116"/>
  <c r="O87" i="116"/>
  <c r="O88" i="116"/>
  <c r="O89" i="116"/>
  <c r="O90" i="116"/>
  <c r="O91" i="116"/>
  <c r="O92" i="116"/>
  <c r="O93" i="116"/>
  <c r="O94" i="116"/>
  <c r="O95" i="116"/>
  <c r="O96" i="116"/>
  <c r="O103" i="116"/>
  <c r="O104" i="116"/>
  <c r="O105" i="116"/>
  <c r="O106" i="116"/>
  <c r="O107" i="116"/>
  <c r="O97" i="116"/>
  <c r="O98" i="116"/>
  <c r="O99" i="116"/>
  <c r="O100" i="116"/>
  <c r="O101" i="116"/>
  <c r="O102" i="116"/>
  <c r="O108" i="116"/>
  <c r="P108" i="116" s="1"/>
  <c r="O109" i="116"/>
  <c r="P109" i="116" s="1"/>
  <c r="O110" i="116"/>
  <c r="P110" i="116" s="1"/>
  <c r="O111" i="116"/>
  <c r="P111" i="116" s="1"/>
  <c r="O112" i="116"/>
  <c r="P112" i="116" s="1"/>
  <c r="O113" i="116"/>
  <c r="P113" i="116" s="1"/>
  <c r="O114" i="116"/>
  <c r="P114" i="116" s="1"/>
  <c r="O115" i="116"/>
  <c r="P115" i="116" s="1"/>
  <c r="O116" i="116"/>
  <c r="P116" i="116" s="1"/>
  <c r="O117" i="116"/>
  <c r="P117" i="116" s="1"/>
  <c r="O118" i="116"/>
  <c r="P118" i="116" s="1"/>
  <c r="O119" i="116"/>
  <c r="O120" i="116"/>
  <c r="O121" i="116"/>
  <c r="O122" i="116"/>
  <c r="O123" i="116"/>
  <c r="O124" i="116"/>
  <c r="O125" i="116"/>
  <c r="O126" i="116"/>
  <c r="O127" i="116"/>
  <c r="O128" i="116"/>
  <c r="O129" i="116"/>
  <c r="O130" i="116"/>
  <c r="O131" i="116"/>
  <c r="O132" i="116"/>
  <c r="O133" i="116"/>
  <c r="O134" i="116"/>
  <c r="O135" i="116"/>
  <c r="O136" i="116"/>
  <c r="O137" i="116"/>
  <c r="O138" i="116"/>
  <c r="O139" i="116"/>
  <c r="O140" i="116"/>
  <c r="O141" i="116"/>
  <c r="O142" i="116"/>
  <c r="O143" i="116"/>
  <c r="O144" i="116"/>
  <c r="O145" i="116"/>
  <c r="O146" i="116"/>
  <c r="O147" i="116"/>
  <c r="O148" i="116"/>
  <c r="O149" i="116"/>
  <c r="O150" i="116"/>
  <c r="O151" i="116"/>
  <c r="O152" i="116"/>
  <c r="O153" i="116"/>
  <c r="O154" i="116"/>
  <c r="O155" i="116"/>
  <c r="O156" i="116"/>
  <c r="O157" i="116"/>
  <c r="R7" i="116"/>
  <c r="R8" i="116"/>
  <c r="R9" i="116"/>
  <c r="R10" i="116"/>
  <c r="R11" i="116"/>
  <c r="R12" i="116"/>
  <c r="R13" i="116"/>
  <c r="R14" i="116"/>
  <c r="R15" i="116"/>
  <c r="R16" i="116"/>
  <c r="R17" i="116"/>
  <c r="R18" i="116"/>
  <c r="R19" i="116"/>
  <c r="R20" i="116"/>
  <c r="R21" i="116"/>
  <c r="R22" i="116"/>
  <c r="R23" i="116"/>
  <c r="R24" i="116"/>
  <c r="R25" i="116"/>
  <c r="R26" i="116"/>
  <c r="R27" i="116"/>
  <c r="R28" i="116"/>
  <c r="R29" i="116"/>
  <c r="R30" i="116"/>
  <c r="R31" i="116"/>
  <c r="R32" i="116"/>
  <c r="R34" i="116"/>
  <c r="R35" i="116"/>
  <c r="R36" i="116"/>
  <c r="R37" i="116"/>
  <c r="R38" i="116"/>
  <c r="R39" i="116"/>
  <c r="R40" i="116"/>
  <c r="R41" i="116"/>
  <c r="R42" i="116"/>
  <c r="R43" i="116"/>
  <c r="R44" i="116"/>
  <c r="R45" i="116"/>
  <c r="R46" i="116"/>
  <c r="R47" i="116"/>
  <c r="R48" i="116"/>
  <c r="R49" i="116"/>
  <c r="R50" i="116"/>
  <c r="R51" i="116"/>
  <c r="R52" i="116"/>
  <c r="R53" i="116"/>
  <c r="R54" i="116"/>
  <c r="R55" i="116"/>
  <c r="R56" i="116"/>
  <c r="R57" i="116"/>
  <c r="R58" i="116"/>
  <c r="R59" i="116"/>
  <c r="R60" i="116"/>
  <c r="R61" i="116"/>
  <c r="R62" i="116"/>
  <c r="R63" i="116"/>
  <c r="R64" i="116"/>
  <c r="R65" i="116"/>
  <c r="R66" i="116"/>
  <c r="R67" i="116"/>
  <c r="R68" i="116"/>
  <c r="R69" i="116"/>
  <c r="R70" i="116"/>
  <c r="R71" i="116"/>
  <c r="R72" i="116"/>
  <c r="R73" i="116"/>
  <c r="R74" i="116"/>
  <c r="R75" i="116"/>
  <c r="R76" i="116"/>
  <c r="R77" i="116"/>
  <c r="R78" i="116"/>
  <c r="R79" i="116"/>
  <c r="R80" i="116"/>
  <c r="R81" i="116"/>
  <c r="R82" i="116"/>
  <c r="R83" i="116"/>
  <c r="R84" i="116"/>
  <c r="R85" i="116"/>
  <c r="R86" i="116"/>
  <c r="R87" i="116"/>
  <c r="R88" i="116"/>
  <c r="R89" i="116"/>
  <c r="R90" i="116"/>
  <c r="R91" i="116"/>
  <c r="R92" i="116"/>
  <c r="R93" i="116"/>
  <c r="R94" i="116"/>
  <c r="R95" i="116"/>
  <c r="R96" i="116"/>
  <c r="R103" i="116"/>
  <c r="R104" i="116"/>
  <c r="R105" i="116"/>
  <c r="R106" i="116"/>
  <c r="R107" i="116"/>
  <c r="R97" i="116"/>
  <c r="R98" i="116"/>
  <c r="R99" i="116"/>
  <c r="R100" i="116"/>
  <c r="R101" i="116"/>
  <c r="R102" i="116"/>
  <c r="R108" i="116"/>
  <c r="S108" i="116" s="1"/>
  <c r="R109" i="116"/>
  <c r="S109" i="116" s="1"/>
  <c r="R110" i="116"/>
  <c r="S110" i="116" s="1"/>
  <c r="R111" i="116"/>
  <c r="S111" i="116" s="1"/>
  <c r="R112" i="116"/>
  <c r="S112" i="116" s="1"/>
  <c r="R113" i="116"/>
  <c r="S113" i="116" s="1"/>
  <c r="R114" i="116"/>
  <c r="S114" i="116" s="1"/>
  <c r="R115" i="116"/>
  <c r="S115" i="116" s="1"/>
  <c r="R116" i="116"/>
  <c r="S116" i="116" s="1"/>
  <c r="R117" i="116"/>
  <c r="S117" i="116" s="1"/>
  <c r="R118" i="116"/>
  <c r="S118" i="116" s="1"/>
  <c r="R119" i="116"/>
  <c r="R120" i="116"/>
  <c r="R121" i="116"/>
  <c r="R122" i="116"/>
  <c r="R123" i="116"/>
  <c r="R124" i="116"/>
  <c r="R125" i="116"/>
  <c r="R126" i="116"/>
  <c r="R127" i="116"/>
  <c r="R128" i="116"/>
  <c r="R129" i="116"/>
  <c r="R130" i="116"/>
  <c r="R131" i="116"/>
  <c r="R132" i="116"/>
  <c r="R133" i="116"/>
  <c r="R134" i="116"/>
  <c r="R135" i="116"/>
  <c r="R136" i="116"/>
  <c r="R137" i="116"/>
  <c r="R138" i="116"/>
  <c r="R139" i="116"/>
  <c r="R140" i="116"/>
  <c r="R141" i="116"/>
  <c r="R142" i="116"/>
  <c r="R143" i="116"/>
  <c r="R144" i="116"/>
  <c r="R145" i="116"/>
  <c r="R146" i="116"/>
  <c r="R147" i="116"/>
  <c r="R148" i="116"/>
  <c r="R149" i="116"/>
  <c r="R150" i="116"/>
  <c r="R151" i="116"/>
  <c r="R152" i="116"/>
  <c r="R153" i="116"/>
  <c r="R154" i="116"/>
  <c r="R155" i="116"/>
  <c r="R156" i="116"/>
  <c r="R157" i="116"/>
  <c r="U7" i="116"/>
  <c r="U8" i="116"/>
  <c r="U9" i="116"/>
  <c r="U10" i="116"/>
  <c r="U11" i="116"/>
  <c r="U12" i="116"/>
  <c r="U13" i="116"/>
  <c r="U14" i="116"/>
  <c r="U15" i="116"/>
  <c r="U16" i="116"/>
  <c r="U17" i="116"/>
  <c r="U18" i="116"/>
  <c r="U19" i="116"/>
  <c r="U20" i="116"/>
  <c r="U21" i="116"/>
  <c r="U22" i="116"/>
  <c r="U23" i="116"/>
  <c r="U24" i="116"/>
  <c r="U25" i="116"/>
  <c r="U26" i="116"/>
  <c r="U27" i="116"/>
  <c r="U28" i="116"/>
  <c r="U29" i="116"/>
  <c r="U30" i="116"/>
  <c r="U31" i="116"/>
  <c r="U32" i="116"/>
  <c r="U34" i="116"/>
  <c r="U35" i="116"/>
  <c r="U36" i="116"/>
  <c r="U37" i="116"/>
  <c r="U38" i="116"/>
  <c r="U39" i="116"/>
  <c r="U40" i="116"/>
  <c r="U41" i="116"/>
  <c r="U42" i="116"/>
  <c r="U43" i="116"/>
  <c r="U44" i="116"/>
  <c r="U45" i="116"/>
  <c r="U46" i="116"/>
  <c r="U47" i="116"/>
  <c r="U48" i="116"/>
  <c r="U49" i="116"/>
  <c r="U50" i="116"/>
  <c r="U51" i="116"/>
  <c r="U52" i="116"/>
  <c r="U53" i="116"/>
  <c r="U54" i="116"/>
  <c r="U55" i="116"/>
  <c r="U56" i="116"/>
  <c r="U57" i="116"/>
  <c r="U58" i="116"/>
  <c r="U59" i="116"/>
  <c r="U60" i="116"/>
  <c r="U61" i="116"/>
  <c r="U62" i="116"/>
  <c r="U63" i="116"/>
  <c r="U64" i="116"/>
  <c r="U65" i="116"/>
  <c r="U66" i="116"/>
  <c r="U67" i="116"/>
  <c r="U68" i="116"/>
  <c r="U69" i="116"/>
  <c r="U70" i="116"/>
  <c r="U71" i="116"/>
  <c r="U72" i="116"/>
  <c r="U73" i="116"/>
  <c r="U74" i="116"/>
  <c r="U75" i="116"/>
  <c r="U76" i="116"/>
  <c r="U77" i="116"/>
  <c r="U78" i="116"/>
  <c r="U79" i="116"/>
  <c r="U80" i="116"/>
  <c r="U81" i="116"/>
  <c r="U82" i="116"/>
  <c r="U83" i="116"/>
  <c r="U84" i="116"/>
  <c r="U85" i="116"/>
  <c r="U86" i="116"/>
  <c r="U87" i="116"/>
  <c r="U88" i="116"/>
  <c r="U89" i="116"/>
  <c r="U90" i="116"/>
  <c r="U91" i="116"/>
  <c r="U92" i="116"/>
  <c r="U93" i="116"/>
  <c r="U94" i="116"/>
  <c r="U95" i="116"/>
  <c r="U96" i="116"/>
  <c r="U103" i="116"/>
  <c r="U104" i="116"/>
  <c r="U105" i="116"/>
  <c r="U106" i="116"/>
  <c r="U107" i="116"/>
  <c r="U97" i="116"/>
  <c r="U98" i="116"/>
  <c r="U99" i="116"/>
  <c r="U100" i="116"/>
  <c r="U101" i="116"/>
  <c r="U102" i="116"/>
  <c r="U108" i="116"/>
  <c r="V108" i="116" s="1"/>
  <c r="U109" i="116"/>
  <c r="V109" i="116" s="1"/>
  <c r="U110" i="116"/>
  <c r="V110" i="116" s="1"/>
  <c r="U111" i="116"/>
  <c r="V111" i="116" s="1"/>
  <c r="U112" i="116"/>
  <c r="V112" i="116" s="1"/>
  <c r="U113" i="116"/>
  <c r="V113" i="116" s="1"/>
  <c r="U114" i="116"/>
  <c r="V114" i="116" s="1"/>
  <c r="U115" i="116"/>
  <c r="V115" i="116" s="1"/>
  <c r="U116" i="116"/>
  <c r="V116" i="116" s="1"/>
  <c r="U117" i="116"/>
  <c r="V117" i="116" s="1"/>
  <c r="U118" i="116"/>
  <c r="V118" i="116" s="1"/>
  <c r="U119" i="116"/>
  <c r="U120" i="116"/>
  <c r="U121" i="116"/>
  <c r="U122" i="116"/>
  <c r="U123" i="116"/>
  <c r="U124" i="116"/>
  <c r="U125" i="116"/>
  <c r="U126" i="116"/>
  <c r="U127" i="116"/>
  <c r="U128" i="116"/>
  <c r="U129" i="116"/>
  <c r="U130" i="116"/>
  <c r="U131" i="116"/>
  <c r="U132" i="116"/>
  <c r="U133" i="116"/>
  <c r="U134" i="116"/>
  <c r="U135" i="116"/>
  <c r="U136" i="116"/>
  <c r="U137" i="116"/>
  <c r="U138" i="116"/>
  <c r="U139" i="116"/>
  <c r="U140" i="116"/>
  <c r="U141" i="116"/>
  <c r="U142" i="116"/>
  <c r="U143" i="116"/>
  <c r="U144" i="116"/>
  <c r="U145" i="116"/>
  <c r="U146" i="116"/>
  <c r="U147" i="116"/>
  <c r="U148" i="116"/>
  <c r="U149" i="116"/>
  <c r="U150" i="116"/>
  <c r="U151" i="116"/>
  <c r="U152" i="116"/>
  <c r="U153" i="116"/>
  <c r="U154" i="116"/>
  <c r="U155" i="116"/>
  <c r="U156" i="116"/>
  <c r="U157" i="116"/>
  <c r="X7" i="116"/>
  <c r="X8" i="116"/>
  <c r="X9" i="116"/>
  <c r="X10" i="116"/>
  <c r="X11" i="116"/>
  <c r="X12" i="116"/>
  <c r="X13" i="116"/>
  <c r="X14" i="116"/>
  <c r="X15" i="116"/>
  <c r="X16" i="116"/>
  <c r="X17" i="116"/>
  <c r="X18" i="116"/>
  <c r="X19" i="116"/>
  <c r="X20" i="116"/>
  <c r="X21" i="116"/>
  <c r="X22" i="116"/>
  <c r="X23" i="116"/>
  <c r="X24" i="116"/>
  <c r="X25" i="116"/>
  <c r="X26" i="116"/>
  <c r="X27" i="116"/>
  <c r="X28" i="116"/>
  <c r="X29" i="116"/>
  <c r="X30" i="116"/>
  <c r="X31" i="116"/>
  <c r="X32" i="116"/>
  <c r="X34" i="116"/>
  <c r="X35" i="116"/>
  <c r="X36" i="116"/>
  <c r="X37" i="116"/>
  <c r="X38" i="116"/>
  <c r="X39" i="116"/>
  <c r="X40" i="116"/>
  <c r="X41" i="116"/>
  <c r="X42" i="116"/>
  <c r="X43" i="116"/>
  <c r="X44" i="116"/>
  <c r="X45" i="116"/>
  <c r="X46" i="116"/>
  <c r="X47" i="116"/>
  <c r="X48" i="116"/>
  <c r="X49" i="116"/>
  <c r="X50" i="116"/>
  <c r="X51" i="116"/>
  <c r="X52" i="116"/>
  <c r="X53" i="116"/>
  <c r="X54" i="116"/>
  <c r="X55" i="116"/>
  <c r="X56" i="116"/>
  <c r="X57" i="116"/>
  <c r="X58" i="116"/>
  <c r="X59" i="116"/>
  <c r="X60" i="116"/>
  <c r="X61" i="116"/>
  <c r="X62" i="116"/>
  <c r="X63" i="116"/>
  <c r="X64" i="116"/>
  <c r="X65" i="116"/>
  <c r="X66" i="116"/>
  <c r="X67" i="116"/>
  <c r="X68" i="116"/>
  <c r="X69" i="116"/>
  <c r="X70" i="116"/>
  <c r="X71" i="116"/>
  <c r="X72" i="116"/>
  <c r="X73" i="116"/>
  <c r="X74" i="116"/>
  <c r="X75" i="116"/>
  <c r="X76" i="116"/>
  <c r="X77" i="116"/>
  <c r="X78" i="116"/>
  <c r="X79" i="116"/>
  <c r="X80" i="116"/>
  <c r="X81" i="116"/>
  <c r="X82" i="116"/>
  <c r="X83" i="116"/>
  <c r="X84" i="116"/>
  <c r="X85" i="116"/>
  <c r="X86" i="116"/>
  <c r="X87" i="116"/>
  <c r="X88" i="116"/>
  <c r="X89" i="116"/>
  <c r="X90" i="116"/>
  <c r="X91" i="116"/>
  <c r="X92" i="116"/>
  <c r="X93" i="116"/>
  <c r="X94" i="116"/>
  <c r="X95" i="116"/>
  <c r="X96" i="116"/>
  <c r="X103" i="116"/>
  <c r="X104" i="116"/>
  <c r="X105" i="116"/>
  <c r="X106" i="116"/>
  <c r="X107" i="116"/>
  <c r="X97" i="116"/>
  <c r="X98" i="116"/>
  <c r="X99" i="116"/>
  <c r="X100" i="116"/>
  <c r="X101" i="116"/>
  <c r="X102" i="116"/>
  <c r="X108" i="116"/>
  <c r="Y108" i="116" s="1"/>
  <c r="X109" i="116"/>
  <c r="Y109" i="116" s="1"/>
  <c r="X110" i="116"/>
  <c r="Y110" i="116" s="1"/>
  <c r="X111" i="116"/>
  <c r="Y111" i="116" s="1"/>
  <c r="X112" i="116"/>
  <c r="Y112" i="116" s="1"/>
  <c r="X113" i="116"/>
  <c r="Y113" i="116" s="1"/>
  <c r="X114" i="116"/>
  <c r="Y114" i="116" s="1"/>
  <c r="X115" i="116"/>
  <c r="Y115" i="116" s="1"/>
  <c r="X116" i="116"/>
  <c r="Y116" i="116" s="1"/>
  <c r="X117" i="116"/>
  <c r="Y117" i="116" s="1"/>
  <c r="X118" i="116"/>
  <c r="Y118" i="116" s="1"/>
  <c r="X119" i="116"/>
  <c r="X120" i="116"/>
  <c r="X121" i="116"/>
  <c r="X122" i="116"/>
  <c r="X123" i="116"/>
  <c r="X124" i="116"/>
  <c r="X125" i="116"/>
  <c r="X126" i="116"/>
  <c r="X127" i="116"/>
  <c r="X128" i="116"/>
  <c r="X129" i="116"/>
  <c r="X130" i="116"/>
  <c r="X131" i="116"/>
  <c r="X132" i="116"/>
  <c r="X133" i="116"/>
  <c r="X134" i="116"/>
  <c r="X135" i="116"/>
  <c r="X136" i="116"/>
  <c r="X137" i="116"/>
  <c r="X138" i="116"/>
  <c r="X139" i="116"/>
  <c r="X140" i="116"/>
  <c r="X141" i="116"/>
  <c r="X142" i="116"/>
  <c r="X143" i="116"/>
  <c r="X144" i="116"/>
  <c r="X145" i="116"/>
  <c r="X146" i="116"/>
  <c r="X147" i="116"/>
  <c r="X148" i="116"/>
  <c r="X149" i="116"/>
  <c r="X150" i="116"/>
  <c r="X151" i="116"/>
  <c r="X152" i="116"/>
  <c r="X153" i="116"/>
  <c r="X154" i="116"/>
  <c r="X155" i="116"/>
  <c r="X156" i="116"/>
  <c r="X157" i="116"/>
  <c r="AA7" i="116"/>
  <c r="AA8" i="116"/>
  <c r="AA9" i="116"/>
  <c r="AA10" i="116"/>
  <c r="AA11" i="116"/>
  <c r="AA12" i="116"/>
  <c r="AA13" i="116"/>
  <c r="AA14" i="116"/>
  <c r="AA15" i="116"/>
  <c r="AA16" i="116"/>
  <c r="AA17" i="116"/>
  <c r="AA18" i="116"/>
  <c r="AA19" i="116"/>
  <c r="AA20" i="116"/>
  <c r="AA21" i="116"/>
  <c r="AA22" i="116"/>
  <c r="AA23" i="116"/>
  <c r="AA24" i="116"/>
  <c r="AA25" i="116"/>
  <c r="AA26" i="116"/>
  <c r="AA27" i="116"/>
  <c r="AA28" i="116"/>
  <c r="AA29" i="116"/>
  <c r="AA30" i="116"/>
  <c r="AA31" i="116"/>
  <c r="AA32" i="116"/>
  <c r="AA34" i="116"/>
  <c r="AA35" i="116"/>
  <c r="AA36" i="116"/>
  <c r="AA37" i="116"/>
  <c r="AA38" i="116"/>
  <c r="AA39" i="116"/>
  <c r="AA40" i="116"/>
  <c r="AA41" i="116"/>
  <c r="AA42" i="116"/>
  <c r="AA43" i="116"/>
  <c r="AA44" i="116"/>
  <c r="AA45" i="116"/>
  <c r="AA46" i="116"/>
  <c r="AA47" i="116"/>
  <c r="AA48" i="116"/>
  <c r="AA49" i="116"/>
  <c r="AA50" i="116"/>
  <c r="AA51" i="116"/>
  <c r="AA52" i="116"/>
  <c r="AA53" i="116"/>
  <c r="AA54" i="116"/>
  <c r="AA55" i="116"/>
  <c r="AA56" i="116"/>
  <c r="AA57" i="116"/>
  <c r="AA58" i="116"/>
  <c r="AA59" i="116"/>
  <c r="AA60" i="116"/>
  <c r="AA61" i="116"/>
  <c r="AA62" i="116"/>
  <c r="AA63" i="116"/>
  <c r="AA64" i="116"/>
  <c r="AA65" i="116"/>
  <c r="AA66" i="116"/>
  <c r="AA67" i="116"/>
  <c r="AA68" i="116"/>
  <c r="AA69" i="116"/>
  <c r="AA70" i="116"/>
  <c r="AA71" i="116"/>
  <c r="AA72" i="116"/>
  <c r="AA73" i="116"/>
  <c r="AA74" i="116"/>
  <c r="AA75" i="116"/>
  <c r="AA76" i="116"/>
  <c r="AA77" i="116"/>
  <c r="AA78" i="116"/>
  <c r="AA79" i="116"/>
  <c r="AA80" i="116"/>
  <c r="AA81" i="116"/>
  <c r="AA82" i="116"/>
  <c r="AA83" i="116"/>
  <c r="AA84" i="116"/>
  <c r="AA85" i="116"/>
  <c r="AA86" i="116"/>
  <c r="AA87" i="116"/>
  <c r="AA88" i="116"/>
  <c r="AA89" i="116"/>
  <c r="AA90" i="116"/>
  <c r="AA91" i="116"/>
  <c r="AA92" i="116"/>
  <c r="AA93" i="116"/>
  <c r="AA94" i="116"/>
  <c r="AA95" i="116"/>
  <c r="AA96" i="116"/>
  <c r="AA103" i="116"/>
  <c r="AA104" i="116"/>
  <c r="AA105" i="116"/>
  <c r="AA106" i="116"/>
  <c r="AA107" i="116"/>
  <c r="AA97" i="116"/>
  <c r="AA98" i="116"/>
  <c r="AA99" i="116"/>
  <c r="AA100" i="116"/>
  <c r="AA101" i="116"/>
  <c r="AA102" i="116"/>
  <c r="AA108" i="116"/>
  <c r="AB108" i="116" s="1"/>
  <c r="AA109" i="116"/>
  <c r="AB109" i="116" s="1"/>
  <c r="AA110" i="116"/>
  <c r="AB110" i="116" s="1"/>
  <c r="AA111" i="116"/>
  <c r="AB111" i="116" s="1"/>
  <c r="AA112" i="116"/>
  <c r="AB112" i="116" s="1"/>
  <c r="AA113" i="116"/>
  <c r="AB113" i="116" s="1"/>
  <c r="AA114" i="116"/>
  <c r="AB114" i="116" s="1"/>
  <c r="AA115" i="116"/>
  <c r="AB115" i="116" s="1"/>
  <c r="AA116" i="116"/>
  <c r="AB116" i="116" s="1"/>
  <c r="AA117" i="116"/>
  <c r="AB117" i="116" s="1"/>
  <c r="AA118" i="116"/>
  <c r="AB118" i="116" s="1"/>
  <c r="AA119" i="116"/>
  <c r="AA120" i="116"/>
  <c r="AA121" i="116"/>
  <c r="AA122" i="116"/>
  <c r="AA123" i="116"/>
  <c r="AA124" i="116"/>
  <c r="AA125" i="116"/>
  <c r="AA126" i="116"/>
  <c r="AA127" i="116"/>
  <c r="AA128" i="116"/>
  <c r="AA129" i="116"/>
  <c r="AA130" i="116"/>
  <c r="AA131" i="116"/>
  <c r="AA132" i="116"/>
  <c r="AA133" i="116"/>
  <c r="AA134" i="116"/>
  <c r="AA135" i="116"/>
  <c r="AA136" i="116"/>
  <c r="AA137" i="116"/>
  <c r="AA138" i="116"/>
  <c r="AA139" i="116"/>
  <c r="AA140" i="116"/>
  <c r="AA141" i="116"/>
  <c r="AA142" i="116"/>
  <c r="AA143" i="116"/>
  <c r="AA144" i="116"/>
  <c r="AA145" i="116"/>
  <c r="AA146" i="116"/>
  <c r="AA147" i="116"/>
  <c r="AA148" i="116"/>
  <c r="AA149" i="116"/>
  <c r="AA150" i="116"/>
  <c r="AA151" i="116"/>
  <c r="AA152" i="116"/>
  <c r="AA153" i="116"/>
  <c r="AA154" i="116"/>
  <c r="AA155" i="116"/>
  <c r="AA156" i="116"/>
  <c r="AA157" i="116"/>
  <c r="AD8" i="116"/>
  <c r="AD9" i="116"/>
  <c r="AD10" i="116"/>
  <c r="AD11" i="116"/>
  <c r="AD12" i="116"/>
  <c r="AD13" i="116"/>
  <c r="AD14" i="116"/>
  <c r="AD15" i="116"/>
  <c r="AD16" i="116"/>
  <c r="AD17" i="116"/>
  <c r="AD18" i="116"/>
  <c r="AD19" i="116"/>
  <c r="AD20" i="116"/>
  <c r="AD21" i="116"/>
  <c r="AD22" i="116"/>
  <c r="AD23" i="116"/>
  <c r="AD24" i="116"/>
  <c r="AD25" i="116"/>
  <c r="AD26" i="116"/>
  <c r="AD27" i="116"/>
  <c r="AD28" i="116"/>
  <c r="AD29" i="116"/>
  <c r="AD30" i="116"/>
  <c r="AD31" i="116"/>
  <c r="AD32" i="116"/>
  <c r="AD34" i="116"/>
  <c r="AD35" i="116"/>
  <c r="AD36" i="116"/>
  <c r="AD37" i="116"/>
  <c r="AD38" i="116"/>
  <c r="AD39" i="116"/>
  <c r="AD40" i="116"/>
  <c r="AD41" i="116"/>
  <c r="AD42" i="116"/>
  <c r="AD43" i="116"/>
  <c r="AD44" i="116"/>
  <c r="AD45" i="116"/>
  <c r="AD46" i="116"/>
  <c r="AD47" i="116"/>
  <c r="AD48" i="116"/>
  <c r="AD49" i="116"/>
  <c r="AD50" i="116"/>
  <c r="AD51" i="116"/>
  <c r="AD52" i="116"/>
  <c r="AD53" i="116"/>
  <c r="AD54" i="116"/>
  <c r="AD55" i="116"/>
  <c r="AD56" i="116"/>
  <c r="AD57" i="116"/>
  <c r="AD58" i="116"/>
  <c r="AD59" i="116"/>
  <c r="AD60" i="116"/>
  <c r="AD61" i="116"/>
  <c r="AD62" i="116"/>
  <c r="AD63" i="116"/>
  <c r="AD64" i="116"/>
  <c r="AD65" i="116"/>
  <c r="AD66" i="116"/>
  <c r="AD67" i="116"/>
  <c r="AD68" i="116"/>
  <c r="AD69" i="116"/>
  <c r="AD70" i="116"/>
  <c r="AD71" i="116"/>
  <c r="AD72" i="116"/>
  <c r="AD73" i="116"/>
  <c r="AD74" i="116"/>
  <c r="AD75" i="116"/>
  <c r="AD76" i="116"/>
  <c r="AD77" i="116"/>
  <c r="AD78" i="116"/>
  <c r="AD79" i="116"/>
  <c r="AD80" i="116"/>
  <c r="AD81" i="116"/>
  <c r="AD82" i="116"/>
  <c r="AD83" i="116"/>
  <c r="AD84" i="116"/>
  <c r="AD85" i="116"/>
  <c r="AD86" i="116"/>
  <c r="AD87" i="116"/>
  <c r="AD88" i="116"/>
  <c r="AD89" i="116"/>
  <c r="AD90" i="116"/>
  <c r="AD91" i="116"/>
  <c r="AD92" i="116"/>
  <c r="AD93" i="116"/>
  <c r="AD94" i="116"/>
  <c r="AD95" i="116"/>
  <c r="AD96" i="116"/>
  <c r="AD103" i="116"/>
  <c r="AD104" i="116"/>
  <c r="AD105" i="116"/>
  <c r="AD106" i="116"/>
  <c r="AD107" i="116"/>
  <c r="AD97" i="116"/>
  <c r="AD98" i="116"/>
  <c r="AD99" i="116"/>
  <c r="AD100" i="116"/>
  <c r="AD101" i="116"/>
  <c r="AD102" i="116"/>
  <c r="AD108" i="116"/>
  <c r="AE108" i="116" s="1"/>
  <c r="AD109" i="116"/>
  <c r="AE109" i="116" s="1"/>
  <c r="AD110" i="116"/>
  <c r="AE110" i="116" s="1"/>
  <c r="AD111" i="116"/>
  <c r="AE111" i="116" s="1"/>
  <c r="AD112" i="116"/>
  <c r="AE112" i="116" s="1"/>
  <c r="AD113" i="116"/>
  <c r="AE113" i="116" s="1"/>
  <c r="AD114" i="116"/>
  <c r="AE114" i="116" s="1"/>
  <c r="AD115" i="116"/>
  <c r="AE115" i="116" s="1"/>
  <c r="AD116" i="116"/>
  <c r="AE116" i="116" s="1"/>
  <c r="AD117" i="116"/>
  <c r="AE117" i="116" s="1"/>
  <c r="AD118" i="116"/>
  <c r="AE118" i="116" s="1"/>
  <c r="AD119" i="116"/>
  <c r="AD120" i="116"/>
  <c r="AD121" i="116"/>
  <c r="AD122" i="116"/>
  <c r="AD123" i="116"/>
  <c r="AD124" i="116"/>
  <c r="AD125" i="116"/>
  <c r="AD126" i="116"/>
  <c r="AD127" i="116"/>
  <c r="AD128" i="116"/>
  <c r="AD129" i="116"/>
  <c r="AD130" i="116"/>
  <c r="AD131" i="116"/>
  <c r="AD132" i="116"/>
  <c r="AD133" i="116"/>
  <c r="AD134" i="116"/>
  <c r="AD135" i="116"/>
  <c r="AD136" i="116"/>
  <c r="AD137" i="116"/>
  <c r="AD138" i="116"/>
  <c r="AD139" i="116"/>
  <c r="AD140" i="116"/>
  <c r="AD141" i="116"/>
  <c r="AD142" i="116"/>
  <c r="AD143" i="116"/>
  <c r="AD144" i="116"/>
  <c r="AD145" i="116"/>
  <c r="AD146" i="116"/>
  <c r="AD147" i="116"/>
  <c r="AD148" i="116"/>
  <c r="AD149" i="116"/>
  <c r="AD150" i="116"/>
  <c r="AD151" i="116"/>
  <c r="AD152" i="116"/>
  <c r="AD153" i="116"/>
  <c r="AD154" i="116"/>
  <c r="AD155" i="116"/>
  <c r="AD156" i="116"/>
  <c r="AD157" i="116"/>
  <c r="AD7" i="116"/>
  <c r="AD6" i="116"/>
  <c r="AA6" i="116"/>
  <c r="X6" i="116"/>
  <c r="U6" i="116"/>
  <c r="O6" i="116"/>
  <c r="D6" i="116"/>
  <c r="F6" i="116"/>
  <c r="I6" i="116"/>
  <c r="L6" i="116"/>
  <c r="R106" i="70" l="1"/>
  <c r="S106" i="70"/>
  <c r="N97" i="17"/>
  <c r="N103" i="17"/>
  <c r="N104" i="17"/>
  <c r="N105" i="17"/>
  <c r="N106" i="17"/>
  <c r="N107" i="17"/>
  <c r="W105" i="24"/>
  <c r="W106" i="24"/>
  <c r="Z107" i="24"/>
  <c r="C107" i="24" s="1"/>
  <c r="D107" i="24" s="1"/>
  <c r="W107" i="24"/>
  <c r="W108" i="24"/>
  <c r="W109" i="24"/>
  <c r="T105" i="110"/>
  <c r="AB105" i="110"/>
  <c r="AB113" i="110"/>
  <c r="AH107" i="110"/>
  <c r="AB107" i="110" s="1"/>
  <c r="AH106" i="110"/>
  <c r="AB106" i="110" s="1"/>
  <c r="Z106" i="110"/>
  <c r="T106" i="110" s="1"/>
  <c r="Z112" i="110"/>
  <c r="Z111" i="110"/>
  <c r="Z110" i="110"/>
  <c r="Z109" i="110"/>
  <c r="Z108" i="110"/>
  <c r="L97" i="110"/>
  <c r="L98" i="110"/>
  <c r="L99" i="110"/>
  <c r="L100" i="110"/>
  <c r="L101" i="110"/>
  <c r="L102" i="110"/>
  <c r="L103" i="110"/>
  <c r="L104" i="110"/>
  <c r="L105" i="110"/>
  <c r="L106" i="110"/>
  <c r="L107" i="110"/>
  <c r="U105" i="110" l="1"/>
  <c r="AC107" i="110"/>
  <c r="AC106" i="110"/>
  <c r="U106" i="110"/>
  <c r="AC113" i="110"/>
  <c r="AC105" i="110"/>
  <c r="T106" i="70"/>
  <c r="Z109" i="24"/>
  <c r="C109" i="24" s="1"/>
  <c r="D109" i="24" s="1"/>
  <c r="Z108" i="24"/>
  <c r="C108" i="24" s="1"/>
  <c r="D108" i="24" s="1"/>
  <c r="Z105" i="24"/>
  <c r="C105" i="24" s="1"/>
  <c r="D105" i="24" s="1"/>
  <c r="Z106" i="24"/>
  <c r="C106" i="24" s="1"/>
  <c r="D106" i="24" s="1"/>
  <c r="X109" i="24"/>
  <c r="Y109" i="24" s="1"/>
  <c r="X108" i="24"/>
  <c r="Y108" i="24" s="1"/>
  <c r="X107" i="24"/>
  <c r="Y107" i="24" s="1"/>
  <c r="X106" i="24"/>
  <c r="Y106" i="24" s="1"/>
  <c r="X105" i="24"/>
  <c r="Y105" i="24" s="1"/>
  <c r="AA107" i="24"/>
  <c r="G92" i="110"/>
  <c r="C92" i="110" s="1"/>
  <c r="G89" i="110"/>
  <c r="C89" i="110" s="1"/>
  <c r="G88" i="110"/>
  <c r="C88" i="110" s="1"/>
  <c r="G87" i="110"/>
  <c r="C87" i="110" s="1"/>
  <c r="G86" i="110"/>
  <c r="C86" i="110" s="1"/>
  <c r="G84" i="110"/>
  <c r="AB151" i="110"/>
  <c r="T151" i="110"/>
  <c r="L151" i="110"/>
  <c r="C151" i="110"/>
  <c r="AB150" i="110"/>
  <c r="T150" i="110"/>
  <c r="L150" i="110"/>
  <c r="C150" i="110"/>
  <c r="AB149" i="110"/>
  <c r="T149" i="110"/>
  <c r="L149" i="110"/>
  <c r="C149" i="110"/>
  <c r="AB148" i="110"/>
  <c r="T148" i="110"/>
  <c r="L148" i="110"/>
  <c r="C148" i="110"/>
  <c r="AB147" i="110"/>
  <c r="T147" i="110"/>
  <c r="L147" i="110"/>
  <c r="C147" i="110"/>
  <c r="AB146" i="110"/>
  <c r="T146" i="110"/>
  <c r="L146" i="110"/>
  <c r="C146" i="110"/>
  <c r="AB145" i="110"/>
  <c r="T145" i="110"/>
  <c r="L145" i="110"/>
  <c r="C145" i="110"/>
  <c r="AB144" i="110"/>
  <c r="T144" i="110"/>
  <c r="L144" i="110"/>
  <c r="C144" i="110"/>
  <c r="AB143" i="110"/>
  <c r="T143" i="110"/>
  <c r="L143" i="110"/>
  <c r="C143" i="110"/>
  <c r="AB142" i="110"/>
  <c r="T142" i="110"/>
  <c r="L142" i="110"/>
  <c r="C142" i="110"/>
  <c r="AB141" i="110"/>
  <c r="T141" i="110"/>
  <c r="L141" i="110"/>
  <c r="C141" i="110"/>
  <c r="AB140" i="110"/>
  <c r="T140" i="110"/>
  <c r="L140" i="110"/>
  <c r="C140" i="110"/>
  <c r="AB139" i="110"/>
  <c r="T139" i="110"/>
  <c r="L139" i="110"/>
  <c r="C139" i="110"/>
  <c r="AB138" i="110"/>
  <c r="T138" i="110"/>
  <c r="L138" i="110"/>
  <c r="C138" i="110"/>
  <c r="AB137" i="110"/>
  <c r="T137" i="110"/>
  <c r="L137" i="110"/>
  <c r="C137" i="110"/>
  <c r="AB136" i="110"/>
  <c r="T136" i="110"/>
  <c r="L136" i="110"/>
  <c r="C136" i="110"/>
  <c r="AB135" i="110"/>
  <c r="T135" i="110"/>
  <c r="L135" i="110"/>
  <c r="C135" i="110"/>
  <c r="AB134" i="110"/>
  <c r="T134" i="110"/>
  <c r="L134" i="110"/>
  <c r="C134" i="110"/>
  <c r="AB133" i="110"/>
  <c r="T133" i="110"/>
  <c r="L133" i="110"/>
  <c r="C133" i="110"/>
  <c r="AB132" i="110"/>
  <c r="T132" i="110"/>
  <c r="L132" i="110"/>
  <c r="C132" i="110"/>
  <c r="AB131" i="110"/>
  <c r="T131" i="110"/>
  <c r="L131" i="110"/>
  <c r="C131" i="110"/>
  <c r="AB130" i="110"/>
  <c r="T130" i="110"/>
  <c r="L130" i="110"/>
  <c r="AB129" i="110"/>
  <c r="T129" i="110"/>
  <c r="L129" i="110"/>
  <c r="C129" i="110"/>
  <c r="AB128" i="110"/>
  <c r="T128" i="110"/>
  <c r="L128" i="110"/>
  <c r="C128" i="110"/>
  <c r="AB127" i="110"/>
  <c r="T127" i="110"/>
  <c r="L127" i="110"/>
  <c r="C127" i="110"/>
  <c r="AB126" i="110"/>
  <c r="T126" i="110"/>
  <c r="L126" i="110"/>
  <c r="C126" i="110"/>
  <c r="AB125" i="110"/>
  <c r="T125" i="110"/>
  <c r="L125" i="110"/>
  <c r="C125" i="110"/>
  <c r="AB124" i="110"/>
  <c r="T124" i="110"/>
  <c r="L124" i="110"/>
  <c r="C124" i="110"/>
  <c r="AB123" i="110"/>
  <c r="T123" i="110"/>
  <c r="L123" i="110"/>
  <c r="C123" i="110"/>
  <c r="AB122" i="110"/>
  <c r="T122" i="110"/>
  <c r="L122" i="110"/>
  <c r="C122" i="110"/>
  <c r="AB121" i="110"/>
  <c r="T121" i="110"/>
  <c r="L121" i="110"/>
  <c r="C121" i="110"/>
  <c r="AB120" i="110"/>
  <c r="T120" i="110"/>
  <c r="L120" i="110"/>
  <c r="C120" i="110"/>
  <c r="AB119" i="110"/>
  <c r="T119" i="110"/>
  <c r="L119" i="110"/>
  <c r="C119" i="110"/>
  <c r="AB118" i="110"/>
  <c r="T118" i="110"/>
  <c r="L118" i="110"/>
  <c r="C118" i="110"/>
  <c r="AB117" i="110"/>
  <c r="T117" i="110"/>
  <c r="L117" i="110"/>
  <c r="C117" i="110"/>
  <c r="AB116" i="110"/>
  <c r="T116" i="110"/>
  <c r="L116" i="110"/>
  <c r="C116" i="110"/>
  <c r="AB115" i="110"/>
  <c r="T115" i="110"/>
  <c r="L115" i="110"/>
  <c r="C115" i="110"/>
  <c r="AB114" i="110"/>
  <c r="T114" i="110"/>
  <c r="L114" i="110"/>
  <c r="C114" i="110"/>
  <c r="T113" i="110"/>
  <c r="L113" i="110"/>
  <c r="C113" i="110"/>
  <c r="C107" i="110"/>
  <c r="C106" i="110"/>
  <c r="C105" i="110"/>
  <c r="C104" i="110"/>
  <c r="C103" i="110"/>
  <c r="C102" i="110"/>
  <c r="C101" i="110"/>
  <c r="C100" i="110"/>
  <c r="C99" i="110"/>
  <c r="C98" i="110"/>
  <c r="C97" i="110"/>
  <c r="AB112" i="110"/>
  <c r="AC112" i="110" s="1"/>
  <c r="T112" i="110"/>
  <c r="L112" i="110"/>
  <c r="C112" i="110"/>
  <c r="AB111" i="110"/>
  <c r="T111" i="110"/>
  <c r="L111" i="110"/>
  <c r="C111" i="110"/>
  <c r="AB110" i="110"/>
  <c r="T110" i="110"/>
  <c r="L110" i="110"/>
  <c r="C110" i="110"/>
  <c r="AB109" i="110"/>
  <c r="T109" i="110"/>
  <c r="L109" i="110"/>
  <c r="C109" i="110"/>
  <c r="AB108" i="110"/>
  <c r="T108" i="110"/>
  <c r="L108" i="110"/>
  <c r="C108" i="110"/>
  <c r="AB96" i="110"/>
  <c r="T96" i="110"/>
  <c r="L96" i="110"/>
  <c r="C96" i="110"/>
  <c r="AB95" i="110"/>
  <c r="T95" i="110"/>
  <c r="L95" i="110"/>
  <c r="C95" i="110"/>
  <c r="AB94" i="110"/>
  <c r="T94" i="110"/>
  <c r="L94" i="110"/>
  <c r="C94" i="110"/>
  <c r="AB93" i="110"/>
  <c r="T93" i="110"/>
  <c r="L93" i="110"/>
  <c r="C93" i="110"/>
  <c r="AB92" i="110"/>
  <c r="T92" i="110"/>
  <c r="L92" i="110"/>
  <c r="AB91" i="110"/>
  <c r="T91" i="110"/>
  <c r="L91" i="110"/>
  <c r="C91" i="110"/>
  <c r="AB90" i="110"/>
  <c r="T90" i="110"/>
  <c r="L90" i="110"/>
  <c r="C90" i="110"/>
  <c r="AB89" i="110"/>
  <c r="T89" i="110"/>
  <c r="L89" i="110"/>
  <c r="AB88" i="110"/>
  <c r="T88" i="110"/>
  <c r="L88" i="110"/>
  <c r="AB87" i="110"/>
  <c r="T87" i="110"/>
  <c r="L87" i="110"/>
  <c r="AB86" i="110"/>
  <c r="T86" i="110"/>
  <c r="L86" i="110"/>
  <c r="AB85" i="110"/>
  <c r="T85" i="110"/>
  <c r="L85" i="110"/>
  <c r="C85" i="110"/>
  <c r="AB84" i="110"/>
  <c r="T84" i="110"/>
  <c r="L84" i="110"/>
  <c r="AB83" i="110"/>
  <c r="T83" i="110"/>
  <c r="L83" i="110"/>
  <c r="C83" i="110"/>
  <c r="AB82" i="110"/>
  <c r="T82" i="110"/>
  <c r="L82" i="110"/>
  <c r="C82" i="110"/>
  <c r="AB81" i="110"/>
  <c r="T81" i="110"/>
  <c r="L81" i="110"/>
  <c r="C81" i="110"/>
  <c r="AB80" i="110"/>
  <c r="T80" i="110"/>
  <c r="L80" i="110"/>
  <c r="C80" i="110"/>
  <c r="AB79" i="110"/>
  <c r="T79" i="110"/>
  <c r="L79" i="110"/>
  <c r="C79" i="110"/>
  <c r="AB78" i="110"/>
  <c r="T78" i="110"/>
  <c r="L78" i="110"/>
  <c r="C78" i="110"/>
  <c r="AB77" i="110"/>
  <c r="T77" i="110"/>
  <c r="L77" i="110"/>
  <c r="C77" i="110"/>
  <c r="AB76" i="110"/>
  <c r="T76" i="110"/>
  <c r="L76" i="110"/>
  <c r="C76" i="110"/>
  <c r="AB75" i="110"/>
  <c r="T75" i="110"/>
  <c r="L75" i="110"/>
  <c r="C75" i="110"/>
  <c r="AB74" i="110"/>
  <c r="T74" i="110"/>
  <c r="L74" i="110"/>
  <c r="C74" i="110"/>
  <c r="AB73" i="110"/>
  <c r="T73" i="110"/>
  <c r="L73" i="110"/>
  <c r="C73" i="110"/>
  <c r="AB72" i="110"/>
  <c r="T72" i="110"/>
  <c r="L72" i="110"/>
  <c r="C72" i="110"/>
  <c r="AB71" i="110"/>
  <c r="T71" i="110"/>
  <c r="L71" i="110"/>
  <c r="C71" i="110"/>
  <c r="AB70" i="110"/>
  <c r="T70" i="110"/>
  <c r="L70" i="110"/>
  <c r="C70" i="110"/>
  <c r="AB69" i="110"/>
  <c r="T69" i="110"/>
  <c r="L69" i="110"/>
  <c r="C69" i="110"/>
  <c r="AB68" i="110"/>
  <c r="T68" i="110"/>
  <c r="L68" i="110"/>
  <c r="C68" i="110"/>
  <c r="AB67" i="110"/>
  <c r="T67" i="110"/>
  <c r="L67" i="110"/>
  <c r="C67" i="110"/>
  <c r="AB66" i="110"/>
  <c r="T66" i="110"/>
  <c r="L66" i="110"/>
  <c r="C66" i="110"/>
  <c r="AB65" i="110"/>
  <c r="T65" i="110"/>
  <c r="L65" i="110"/>
  <c r="C65" i="110"/>
  <c r="AB64" i="110"/>
  <c r="T64" i="110"/>
  <c r="L64" i="110"/>
  <c r="C64" i="110"/>
  <c r="AB63" i="110"/>
  <c r="T63" i="110"/>
  <c r="L63" i="110"/>
  <c r="C63" i="110"/>
  <c r="AB62" i="110"/>
  <c r="T62" i="110"/>
  <c r="L62" i="110"/>
  <c r="C62" i="110"/>
  <c r="AB61" i="110"/>
  <c r="T61" i="110"/>
  <c r="L61" i="110"/>
  <c r="C61" i="110"/>
  <c r="AB60" i="110"/>
  <c r="T60" i="110"/>
  <c r="L60" i="110"/>
  <c r="C60" i="110"/>
  <c r="AB59" i="110"/>
  <c r="T59" i="110"/>
  <c r="L59" i="110"/>
  <c r="C59" i="110"/>
  <c r="AB58" i="110"/>
  <c r="T58" i="110"/>
  <c r="L58" i="110"/>
  <c r="C58" i="110"/>
  <c r="AB57" i="110"/>
  <c r="T57" i="110"/>
  <c r="L57" i="110"/>
  <c r="C57" i="110"/>
  <c r="AB56" i="110"/>
  <c r="T56" i="110"/>
  <c r="L56" i="110"/>
  <c r="C56" i="110"/>
  <c r="AB55" i="110"/>
  <c r="T55" i="110"/>
  <c r="L55" i="110"/>
  <c r="C55" i="110"/>
  <c r="AB54" i="110"/>
  <c r="T54" i="110"/>
  <c r="L54" i="110"/>
  <c r="C54" i="110"/>
  <c r="AB53" i="110"/>
  <c r="T53" i="110"/>
  <c r="L53" i="110"/>
  <c r="C53" i="110"/>
  <c r="AB52" i="110"/>
  <c r="T52" i="110"/>
  <c r="L52" i="110"/>
  <c r="C52" i="110"/>
  <c r="AB51" i="110"/>
  <c r="T51" i="110"/>
  <c r="L51" i="110"/>
  <c r="C51" i="110"/>
  <c r="AB50" i="110"/>
  <c r="T50" i="110"/>
  <c r="L50" i="110"/>
  <c r="C50" i="110"/>
  <c r="T49" i="110"/>
  <c r="L49" i="110"/>
  <c r="C49" i="110"/>
  <c r="AB48" i="110"/>
  <c r="T48" i="110"/>
  <c r="L48" i="110"/>
  <c r="C48" i="110"/>
  <c r="AB47" i="110"/>
  <c r="T47" i="110"/>
  <c r="L47" i="110"/>
  <c r="C47" i="110"/>
  <c r="AB46" i="110"/>
  <c r="T46" i="110"/>
  <c r="L46" i="110"/>
  <c r="C46" i="110"/>
  <c r="AB45" i="110"/>
  <c r="T45" i="110"/>
  <c r="L45" i="110"/>
  <c r="C45" i="110"/>
  <c r="AB44" i="110"/>
  <c r="T44" i="110"/>
  <c r="L44" i="110"/>
  <c r="C44" i="110"/>
  <c r="AB43" i="110"/>
  <c r="T43" i="110"/>
  <c r="L43" i="110"/>
  <c r="C43" i="110"/>
  <c r="AB42" i="110"/>
  <c r="T42" i="110"/>
  <c r="L42" i="110"/>
  <c r="C42" i="110"/>
  <c r="AB41" i="110"/>
  <c r="T41" i="110"/>
  <c r="L41" i="110"/>
  <c r="C41" i="110"/>
  <c r="AB40" i="110"/>
  <c r="T40" i="110"/>
  <c r="L40" i="110"/>
  <c r="C40" i="110"/>
  <c r="AB39" i="110"/>
  <c r="T39" i="110"/>
  <c r="L39" i="110"/>
  <c r="C39" i="110"/>
  <c r="AB38" i="110"/>
  <c r="T38" i="110"/>
  <c r="L38" i="110"/>
  <c r="C38" i="110"/>
  <c r="AB37" i="110"/>
  <c r="T37" i="110"/>
  <c r="L37" i="110"/>
  <c r="C37" i="110"/>
  <c r="AB36" i="110"/>
  <c r="T36" i="110"/>
  <c r="L36" i="110"/>
  <c r="C36" i="110"/>
  <c r="AB35" i="110"/>
  <c r="T35" i="110"/>
  <c r="L35" i="110"/>
  <c r="C35" i="110"/>
  <c r="AB34" i="110"/>
  <c r="T34" i="110"/>
  <c r="L34" i="110"/>
  <c r="C34" i="110"/>
  <c r="AB32" i="110"/>
  <c r="T32" i="110"/>
  <c r="L32" i="110"/>
  <c r="C32" i="110"/>
  <c r="AB31" i="110"/>
  <c r="T31" i="110"/>
  <c r="L31" i="110"/>
  <c r="C31" i="110"/>
  <c r="AB30" i="110"/>
  <c r="T30" i="110"/>
  <c r="L30" i="110"/>
  <c r="C30" i="110"/>
  <c r="AB29" i="110"/>
  <c r="T29" i="110"/>
  <c r="L29" i="110"/>
  <c r="C29" i="110"/>
  <c r="AB28" i="110"/>
  <c r="T28" i="110"/>
  <c r="L28" i="110"/>
  <c r="C28" i="110"/>
  <c r="AB27" i="110"/>
  <c r="T27" i="110"/>
  <c r="L27" i="110"/>
  <c r="C27" i="110"/>
  <c r="AB26" i="110"/>
  <c r="T26" i="110"/>
  <c r="L26" i="110"/>
  <c r="C26" i="110"/>
  <c r="AB25" i="110"/>
  <c r="T25" i="110"/>
  <c r="L25" i="110"/>
  <c r="C25" i="110"/>
  <c r="AB24" i="110"/>
  <c r="T24" i="110"/>
  <c r="L24" i="110"/>
  <c r="C24" i="110"/>
  <c r="AB23" i="110"/>
  <c r="T23" i="110"/>
  <c r="L23" i="110"/>
  <c r="C23" i="110"/>
  <c r="AB22" i="110"/>
  <c r="T22" i="110"/>
  <c r="L22" i="110"/>
  <c r="C22" i="110"/>
  <c r="AB21" i="110"/>
  <c r="T21" i="110"/>
  <c r="L21" i="110"/>
  <c r="C21" i="110"/>
  <c r="AB20" i="110"/>
  <c r="T20" i="110"/>
  <c r="L20" i="110"/>
  <c r="C20" i="110"/>
  <c r="AB19" i="110"/>
  <c r="T19" i="110"/>
  <c r="L19" i="110"/>
  <c r="C19" i="110"/>
  <c r="AB18" i="110"/>
  <c r="T18" i="110"/>
  <c r="L18" i="110"/>
  <c r="C18" i="110"/>
  <c r="AB17" i="110"/>
  <c r="T17" i="110"/>
  <c r="L17" i="110"/>
  <c r="C17" i="110"/>
  <c r="AB16" i="110"/>
  <c r="T16" i="110"/>
  <c r="L16" i="110"/>
  <c r="C16" i="110"/>
  <c r="AB15" i="110"/>
  <c r="T15" i="110"/>
  <c r="L15" i="110"/>
  <c r="C15" i="110"/>
  <c r="AB14" i="110"/>
  <c r="T14" i="110"/>
  <c r="L14" i="110"/>
  <c r="C14" i="110"/>
  <c r="AB13" i="110"/>
  <c r="T13" i="110"/>
  <c r="L13" i="110"/>
  <c r="C13" i="110"/>
  <c r="AB12" i="110"/>
  <c r="T12" i="110"/>
  <c r="L12" i="110"/>
  <c r="C12" i="110"/>
  <c r="AB11" i="110"/>
  <c r="T11" i="110"/>
  <c r="L11" i="110"/>
  <c r="C11" i="110"/>
  <c r="AB10" i="110"/>
  <c r="T10" i="110"/>
  <c r="L10" i="110"/>
  <c r="C10" i="110"/>
  <c r="AB9" i="110"/>
  <c r="T9" i="110"/>
  <c r="L9" i="110"/>
  <c r="C9" i="110"/>
  <c r="AB8" i="110"/>
  <c r="T8" i="110"/>
  <c r="L8" i="110"/>
  <c r="C8" i="110"/>
  <c r="AB7" i="110"/>
  <c r="T7" i="110"/>
  <c r="L7" i="110"/>
  <c r="C7" i="110"/>
  <c r="AB6" i="110"/>
  <c r="T6" i="110"/>
  <c r="L6" i="110"/>
  <c r="C6" i="110"/>
  <c r="M17" i="110" l="1"/>
  <c r="M27" i="110"/>
  <c r="M36" i="110"/>
  <c r="M46" i="110"/>
  <c r="U9" i="110"/>
  <c r="U15" i="110"/>
  <c r="U23" i="110"/>
  <c r="U25" i="110"/>
  <c r="U31" i="110"/>
  <c r="U38" i="110"/>
  <c r="U44" i="110"/>
  <c r="AC50" i="110"/>
  <c r="AC58" i="110"/>
  <c r="AC66" i="110"/>
  <c r="AC72" i="110"/>
  <c r="AC7" i="110"/>
  <c r="AC11" i="110"/>
  <c r="AC15" i="110"/>
  <c r="D6" i="110"/>
  <c r="D8" i="110"/>
  <c r="D10" i="110"/>
  <c r="D12" i="110"/>
  <c r="D14" i="110"/>
  <c r="D16" i="110"/>
  <c r="D18" i="110"/>
  <c r="D20" i="110"/>
  <c r="D22" i="110"/>
  <c r="D24" i="110"/>
  <c r="D26" i="110"/>
  <c r="D28" i="110"/>
  <c r="D30" i="110"/>
  <c r="D32" i="110"/>
  <c r="D35" i="110"/>
  <c r="D37" i="110"/>
  <c r="D39" i="110"/>
  <c r="D41" i="110"/>
  <c r="D43" i="110"/>
  <c r="D45" i="110"/>
  <c r="D47" i="110"/>
  <c r="D49" i="110"/>
  <c r="M51" i="110"/>
  <c r="M53" i="110"/>
  <c r="M55" i="110"/>
  <c r="M57" i="110"/>
  <c r="M59" i="110"/>
  <c r="M61" i="110"/>
  <c r="M63" i="110"/>
  <c r="M65" i="110"/>
  <c r="M67" i="110"/>
  <c r="M69" i="110"/>
  <c r="M71" i="110"/>
  <c r="M73" i="110"/>
  <c r="M75" i="110"/>
  <c r="M77" i="110"/>
  <c r="M79" i="110"/>
  <c r="M81" i="110"/>
  <c r="M83" i="110"/>
  <c r="U85" i="110"/>
  <c r="M88" i="110"/>
  <c r="M90" i="110"/>
  <c r="U92" i="110"/>
  <c r="U94" i="110"/>
  <c r="U96" i="110"/>
  <c r="U109" i="110"/>
  <c r="U111" i="110"/>
  <c r="D99" i="110"/>
  <c r="D107" i="110"/>
  <c r="D115" i="110"/>
  <c r="D117" i="110"/>
  <c r="D119" i="110"/>
  <c r="D121" i="110"/>
  <c r="D123" i="110"/>
  <c r="D125" i="110"/>
  <c r="D129" i="110"/>
  <c r="M131" i="110"/>
  <c r="M133" i="110"/>
  <c r="M135" i="110"/>
  <c r="M137" i="110"/>
  <c r="M139" i="110"/>
  <c r="M141" i="110"/>
  <c r="M143" i="110"/>
  <c r="M145" i="110"/>
  <c r="M147" i="110"/>
  <c r="M149" i="110"/>
  <c r="M151" i="110"/>
  <c r="D92" i="110"/>
  <c r="M9" i="110"/>
  <c r="M19" i="110"/>
  <c r="M12" i="110"/>
  <c r="M20" i="110"/>
  <c r="M22" i="110"/>
  <c r="M24" i="110"/>
  <c r="M26" i="110"/>
  <c r="M28" i="110"/>
  <c r="M30" i="110"/>
  <c r="M32" i="110"/>
  <c r="M35" i="110"/>
  <c r="M37" i="110"/>
  <c r="M39" i="110"/>
  <c r="M41" i="110"/>
  <c r="M43" i="110"/>
  <c r="M45" i="110"/>
  <c r="M47" i="110"/>
  <c r="M49" i="110"/>
  <c r="U51" i="110"/>
  <c r="U53" i="110"/>
  <c r="U55" i="110"/>
  <c r="U57" i="110"/>
  <c r="U59" i="110"/>
  <c r="U61" i="110"/>
  <c r="U63" i="110"/>
  <c r="U65" i="110"/>
  <c r="U67" i="110"/>
  <c r="U69" i="110"/>
  <c r="U71" i="110"/>
  <c r="U73" i="110"/>
  <c r="U75" i="110"/>
  <c r="U77" i="110"/>
  <c r="U79" i="110"/>
  <c r="U81" i="110"/>
  <c r="U83" i="110"/>
  <c r="AC85" i="110"/>
  <c r="U88" i="110"/>
  <c r="U90" i="110"/>
  <c r="AC92" i="110"/>
  <c r="AC94" i="110"/>
  <c r="AC96" i="110"/>
  <c r="AC109" i="110"/>
  <c r="AC111" i="110"/>
  <c r="D100" i="110"/>
  <c r="D113" i="110"/>
  <c r="M115" i="110"/>
  <c r="M117" i="110"/>
  <c r="M119" i="110"/>
  <c r="M121" i="110"/>
  <c r="M123" i="110"/>
  <c r="M125" i="110"/>
  <c r="M127" i="110"/>
  <c r="M129" i="110"/>
  <c r="U131" i="110"/>
  <c r="U133" i="110"/>
  <c r="U135" i="110"/>
  <c r="U137" i="110"/>
  <c r="U139" i="110"/>
  <c r="U141" i="110"/>
  <c r="U143" i="110"/>
  <c r="U145" i="110"/>
  <c r="U147" i="110"/>
  <c r="U149" i="110"/>
  <c r="U151" i="110"/>
  <c r="M7" i="110"/>
  <c r="M8" i="110"/>
  <c r="M18" i="110"/>
  <c r="U14" i="110"/>
  <c r="U18" i="110"/>
  <c r="U22" i="110"/>
  <c r="U30" i="110"/>
  <c r="U43" i="110"/>
  <c r="AC73" i="110"/>
  <c r="AC77" i="110"/>
  <c r="AC79" i="110"/>
  <c r="AC81" i="110"/>
  <c r="AC83" i="110"/>
  <c r="M86" i="110"/>
  <c r="AC88" i="110"/>
  <c r="AC90" i="110"/>
  <c r="D93" i="110"/>
  <c r="D95" i="110"/>
  <c r="D108" i="110"/>
  <c r="D110" i="110"/>
  <c r="D112" i="110"/>
  <c r="D101" i="110"/>
  <c r="M113" i="110"/>
  <c r="U115" i="110"/>
  <c r="U117" i="110"/>
  <c r="U119" i="110"/>
  <c r="U121" i="110"/>
  <c r="U123" i="110"/>
  <c r="U125" i="110"/>
  <c r="U127" i="110"/>
  <c r="U129" i="110"/>
  <c r="AC131" i="110"/>
  <c r="AC133" i="110"/>
  <c r="AC135" i="110"/>
  <c r="AC137" i="110"/>
  <c r="AC139" i="110"/>
  <c r="AC141" i="110"/>
  <c r="AC143" i="110"/>
  <c r="AC145" i="110"/>
  <c r="AC147" i="110"/>
  <c r="AC149" i="110"/>
  <c r="AC151" i="110"/>
  <c r="M13" i="110"/>
  <c r="M10" i="110"/>
  <c r="M14" i="110"/>
  <c r="U6" i="110"/>
  <c r="U10" i="110"/>
  <c r="U16" i="110"/>
  <c r="U24" i="110"/>
  <c r="U28" i="110"/>
  <c r="U32" i="110"/>
  <c r="U37" i="110"/>
  <c r="U41" i="110"/>
  <c r="U47" i="110"/>
  <c r="U49" i="110"/>
  <c r="AC53" i="110"/>
  <c r="AC57" i="110"/>
  <c r="AC61" i="110"/>
  <c r="AC71" i="110"/>
  <c r="AC6" i="110"/>
  <c r="AC10" i="110"/>
  <c r="AC14" i="110"/>
  <c r="AC16" i="110"/>
  <c r="AC18" i="110"/>
  <c r="AC20" i="110"/>
  <c r="AC22" i="110"/>
  <c r="AC24" i="110"/>
  <c r="AC26" i="110"/>
  <c r="AC30" i="110"/>
  <c r="AC35" i="110"/>
  <c r="AC39" i="110"/>
  <c r="AC41" i="110"/>
  <c r="AC45" i="110"/>
  <c r="AC47" i="110"/>
  <c r="D50" i="110"/>
  <c r="D52" i="110"/>
  <c r="D54" i="110"/>
  <c r="D56" i="110"/>
  <c r="D58" i="110"/>
  <c r="D60" i="110"/>
  <c r="D62" i="110"/>
  <c r="D64" i="110"/>
  <c r="D66" i="110"/>
  <c r="D68" i="110"/>
  <c r="D70" i="110"/>
  <c r="D72" i="110"/>
  <c r="D74" i="110"/>
  <c r="D76" i="110"/>
  <c r="D78" i="110"/>
  <c r="D80" i="110"/>
  <c r="D82" i="110"/>
  <c r="M84" i="110"/>
  <c r="U86" i="110"/>
  <c r="D89" i="110"/>
  <c r="D91" i="110"/>
  <c r="M93" i="110"/>
  <c r="M95" i="110"/>
  <c r="M108" i="110"/>
  <c r="M110" i="110"/>
  <c r="M112" i="110"/>
  <c r="D102" i="110"/>
  <c r="U113" i="110"/>
  <c r="AC115" i="110"/>
  <c r="AC117" i="110"/>
  <c r="AC119" i="110"/>
  <c r="AC121" i="110"/>
  <c r="AC123" i="110"/>
  <c r="AC125" i="110"/>
  <c r="AC127" i="110"/>
  <c r="AC129" i="110"/>
  <c r="D132" i="110"/>
  <c r="D136" i="110"/>
  <c r="D138" i="110"/>
  <c r="D140" i="110"/>
  <c r="D142" i="110"/>
  <c r="D144" i="110"/>
  <c r="D146" i="110"/>
  <c r="D148" i="110"/>
  <c r="D150" i="110"/>
  <c r="M6" i="110"/>
  <c r="M16" i="110"/>
  <c r="U8" i="110"/>
  <c r="U12" i="110"/>
  <c r="U20" i="110"/>
  <c r="U26" i="110"/>
  <c r="U35" i="110"/>
  <c r="U39" i="110"/>
  <c r="U45" i="110"/>
  <c r="AC51" i="110"/>
  <c r="AC55" i="110"/>
  <c r="AC59" i="110"/>
  <c r="AC63" i="110"/>
  <c r="AC65" i="110"/>
  <c r="AC69" i="110"/>
  <c r="AC75" i="110"/>
  <c r="AC8" i="110"/>
  <c r="AC12" i="110"/>
  <c r="AC37" i="110"/>
  <c r="AC43" i="110"/>
  <c r="D7" i="110"/>
  <c r="D11" i="110"/>
  <c r="D13" i="110"/>
  <c r="D15" i="110"/>
  <c r="D17" i="110"/>
  <c r="D19" i="110"/>
  <c r="D21" i="110"/>
  <c r="D23" i="110"/>
  <c r="D25" i="110"/>
  <c r="D27" i="110"/>
  <c r="D29" i="110"/>
  <c r="D31" i="110"/>
  <c r="D34" i="110"/>
  <c r="D36" i="110"/>
  <c r="D38" i="110"/>
  <c r="D40" i="110"/>
  <c r="D42" i="110"/>
  <c r="D44" i="110"/>
  <c r="D46" i="110"/>
  <c r="D48" i="110"/>
  <c r="M50" i="110"/>
  <c r="M52" i="110"/>
  <c r="M54" i="110"/>
  <c r="M56" i="110"/>
  <c r="M58" i="110"/>
  <c r="M60" i="110"/>
  <c r="M62" i="110"/>
  <c r="M64" i="110"/>
  <c r="M66" i="110"/>
  <c r="M68" i="110"/>
  <c r="M70" i="110"/>
  <c r="M72" i="110"/>
  <c r="M74" i="110"/>
  <c r="M76" i="110"/>
  <c r="M78" i="110"/>
  <c r="M80" i="110"/>
  <c r="M82" i="110"/>
  <c r="U84" i="110"/>
  <c r="AC86" i="110"/>
  <c r="M89" i="110"/>
  <c r="M91" i="110"/>
  <c r="U93" i="110"/>
  <c r="U95" i="110"/>
  <c r="U108" i="110"/>
  <c r="U110" i="110"/>
  <c r="U112" i="110"/>
  <c r="D103" i="110"/>
  <c r="D114" i="110"/>
  <c r="D116" i="110"/>
  <c r="D120" i="110"/>
  <c r="D122" i="110"/>
  <c r="D124" i="110"/>
  <c r="D126" i="110"/>
  <c r="D128" i="110"/>
  <c r="M130" i="110"/>
  <c r="M132" i="110"/>
  <c r="M134" i="110"/>
  <c r="M136" i="110"/>
  <c r="M138" i="110"/>
  <c r="M140" i="110"/>
  <c r="M142" i="110"/>
  <c r="M144" i="110"/>
  <c r="M146" i="110"/>
  <c r="M148" i="110"/>
  <c r="M150" i="110"/>
  <c r="D86" i="110"/>
  <c r="M15" i="110"/>
  <c r="M23" i="110"/>
  <c r="M31" i="110"/>
  <c r="M40" i="110"/>
  <c r="M44" i="110"/>
  <c r="U50" i="110"/>
  <c r="U52" i="110"/>
  <c r="U54" i="110"/>
  <c r="U56" i="110"/>
  <c r="U58" i="110"/>
  <c r="U60" i="110"/>
  <c r="U62" i="110"/>
  <c r="U64" i="110"/>
  <c r="U66" i="110"/>
  <c r="U68" i="110"/>
  <c r="U70" i="110"/>
  <c r="U72" i="110"/>
  <c r="U74" i="110"/>
  <c r="U76" i="110"/>
  <c r="U78" i="110"/>
  <c r="U80" i="110"/>
  <c r="U82" i="110"/>
  <c r="AC84" i="110"/>
  <c r="M87" i="110"/>
  <c r="U89" i="110"/>
  <c r="U91" i="110"/>
  <c r="AC93" i="110"/>
  <c r="AC95" i="110"/>
  <c r="AC108" i="110"/>
  <c r="AC110" i="110"/>
  <c r="D104" i="110"/>
  <c r="M114" i="110"/>
  <c r="M116" i="110"/>
  <c r="M118" i="110"/>
  <c r="M120" i="110"/>
  <c r="M122" i="110"/>
  <c r="M124" i="110"/>
  <c r="M126" i="110"/>
  <c r="M128" i="110"/>
  <c r="U130" i="110"/>
  <c r="U132" i="110"/>
  <c r="U136" i="110"/>
  <c r="U138" i="110"/>
  <c r="U140" i="110"/>
  <c r="U142" i="110"/>
  <c r="U144" i="110"/>
  <c r="U146" i="110"/>
  <c r="U148" i="110"/>
  <c r="U150" i="110"/>
  <c r="D87" i="110"/>
  <c r="M25" i="110"/>
  <c r="M38" i="110"/>
  <c r="M48" i="110"/>
  <c r="U11" i="110"/>
  <c r="U17" i="110"/>
  <c r="U21" i="110"/>
  <c r="U29" i="110"/>
  <c r="U36" i="110"/>
  <c r="U40" i="110"/>
  <c r="U46" i="110"/>
  <c r="AC52" i="110"/>
  <c r="AC54" i="110"/>
  <c r="AC62" i="110"/>
  <c r="AC68" i="110"/>
  <c r="AC70" i="110"/>
  <c r="AC76" i="110"/>
  <c r="AC78" i="110"/>
  <c r="AC80" i="110"/>
  <c r="AC82" i="110"/>
  <c r="D85" i="110"/>
  <c r="U87" i="110"/>
  <c r="AC89" i="110"/>
  <c r="AC91" i="110"/>
  <c r="D94" i="110"/>
  <c r="D96" i="110"/>
  <c r="D109" i="110"/>
  <c r="D111" i="110"/>
  <c r="D97" i="110"/>
  <c r="D105" i="110"/>
  <c r="U114" i="110"/>
  <c r="U116" i="110"/>
  <c r="U118" i="110"/>
  <c r="U122" i="110"/>
  <c r="U124" i="110"/>
  <c r="U126" i="110"/>
  <c r="AC130" i="110"/>
  <c r="AC132" i="110"/>
  <c r="AC136" i="110"/>
  <c r="AC138" i="110"/>
  <c r="AC140" i="110"/>
  <c r="AC142" i="110"/>
  <c r="AC144" i="110"/>
  <c r="AC146" i="110"/>
  <c r="AC148" i="110"/>
  <c r="AC150" i="110"/>
  <c r="D88" i="110"/>
  <c r="M11" i="110"/>
  <c r="M21" i="110"/>
  <c r="M29" i="110"/>
  <c r="M34" i="110"/>
  <c r="M42" i="110"/>
  <c r="U7" i="110"/>
  <c r="U13" i="110"/>
  <c r="U19" i="110"/>
  <c r="U27" i="110"/>
  <c r="U34" i="110"/>
  <c r="U42" i="110"/>
  <c r="U48" i="110"/>
  <c r="AC56" i="110"/>
  <c r="AC60" i="110"/>
  <c r="AC64" i="110"/>
  <c r="AC74" i="110"/>
  <c r="AC9" i="110"/>
  <c r="AC13" i="110"/>
  <c r="AC17" i="110"/>
  <c r="AC19" i="110"/>
  <c r="AC21" i="110"/>
  <c r="AC23" i="110"/>
  <c r="AC25" i="110"/>
  <c r="AC27" i="110"/>
  <c r="AC29" i="110"/>
  <c r="AC31" i="110"/>
  <c r="AC34" i="110"/>
  <c r="AC36" i="110"/>
  <c r="AC38" i="110"/>
  <c r="AC40" i="110"/>
  <c r="AC42" i="110"/>
  <c r="AC44" i="110"/>
  <c r="AC46" i="110"/>
  <c r="AC48" i="110"/>
  <c r="D51" i="110"/>
  <c r="D53" i="110"/>
  <c r="D55" i="110"/>
  <c r="D57" i="110"/>
  <c r="D59" i="110"/>
  <c r="D61" i="110"/>
  <c r="D63" i="110"/>
  <c r="D65" i="110"/>
  <c r="D67" i="110"/>
  <c r="D69" i="110"/>
  <c r="D71" i="110"/>
  <c r="D73" i="110"/>
  <c r="D75" i="110"/>
  <c r="D77" i="110"/>
  <c r="D79" i="110"/>
  <c r="D81" i="110"/>
  <c r="D83" i="110"/>
  <c r="M85" i="110"/>
  <c r="AC87" i="110"/>
  <c r="D90" i="110"/>
  <c r="M92" i="110"/>
  <c r="M94" i="110"/>
  <c r="M96" i="110"/>
  <c r="M109" i="110"/>
  <c r="M111" i="110"/>
  <c r="D98" i="110"/>
  <c r="D106" i="110"/>
  <c r="AC114" i="110"/>
  <c r="AC116" i="110"/>
  <c r="AC118" i="110"/>
  <c r="AC120" i="110"/>
  <c r="AC122" i="110"/>
  <c r="AC124" i="110"/>
  <c r="AC126" i="110"/>
  <c r="AC128" i="110"/>
  <c r="D131" i="110"/>
  <c r="D133" i="110"/>
  <c r="D135" i="110"/>
  <c r="D137" i="110"/>
  <c r="D139" i="110"/>
  <c r="D141" i="110"/>
  <c r="D143" i="110"/>
  <c r="D145" i="110"/>
  <c r="D147" i="110"/>
  <c r="D149" i="110"/>
  <c r="D151" i="110"/>
  <c r="D9" i="110"/>
  <c r="D127" i="110"/>
  <c r="D118" i="110"/>
  <c r="U134" i="110"/>
  <c r="D134" i="110"/>
  <c r="U128" i="110"/>
  <c r="U120" i="110"/>
  <c r="AC134" i="110"/>
  <c r="AC32" i="110"/>
  <c r="AC49" i="110"/>
  <c r="AC28" i="110"/>
  <c r="AC67" i="110"/>
  <c r="AA108" i="24"/>
  <c r="AA109" i="24"/>
  <c r="AA106" i="24"/>
  <c r="AA105" i="24"/>
  <c r="E114" i="70"/>
  <c r="E7" i="105"/>
  <c r="G7" i="105"/>
  <c r="G6" i="105"/>
  <c r="F6" i="105"/>
  <c r="H6" i="105"/>
  <c r="L108" i="70"/>
  <c r="O109" i="70"/>
  <c r="E100" i="70"/>
  <c r="AA124" i="120" l="1"/>
  <c r="J119" i="70"/>
  <c r="O114" i="70"/>
  <c r="O111" i="70"/>
  <c r="E113" i="70"/>
  <c r="E111" i="70"/>
  <c r="L114" i="70"/>
  <c r="Q114" i="70" l="1"/>
  <c r="Q109" i="70"/>
  <c r="S109" i="70" s="1"/>
  <c r="Q111" i="70"/>
  <c r="S111" i="70" s="1"/>
  <c r="R114" i="70" l="1"/>
  <c r="S114" i="70"/>
  <c r="T114" i="70"/>
  <c r="T109" i="70"/>
  <c r="T111" i="70"/>
  <c r="R111" i="70"/>
  <c r="R109" i="70"/>
  <c r="E28" i="5" l="1"/>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8" i="5"/>
  <c r="E9" i="5"/>
  <c r="E10" i="5"/>
  <c r="E11" i="5"/>
  <c r="E12" i="5"/>
  <c r="E13" i="5"/>
  <c r="E14" i="5"/>
  <c r="E15" i="5"/>
  <c r="E16" i="5"/>
  <c r="E17" i="5"/>
  <c r="E18" i="5"/>
  <c r="E19" i="5"/>
  <c r="E20" i="5"/>
  <c r="E21" i="5"/>
  <c r="E22" i="5"/>
  <c r="E23" i="5"/>
  <c r="E24" i="5"/>
  <c r="E25" i="5"/>
  <c r="E26" i="5"/>
  <c r="E27" i="5"/>
  <c r="E6" i="5"/>
  <c r="N146" i="17"/>
  <c r="N131" i="17"/>
  <c r="N132" i="17"/>
  <c r="N133" i="17"/>
  <c r="N134" i="17"/>
  <c r="N135" i="17"/>
  <c r="N136" i="17"/>
  <c r="N137" i="17"/>
  <c r="N138" i="17"/>
  <c r="N139" i="17"/>
  <c r="N140" i="17"/>
  <c r="N141" i="17"/>
  <c r="N142" i="17"/>
  <c r="N143" i="17"/>
  <c r="N144" i="17"/>
  <c r="N145" i="17"/>
  <c r="O126" i="15"/>
  <c r="O127" i="15"/>
  <c r="O128" i="15"/>
  <c r="O129" i="15"/>
  <c r="O130" i="15"/>
  <c r="O131" i="15"/>
  <c r="O132" i="15"/>
  <c r="O133" i="15"/>
  <c r="O134" i="15"/>
  <c r="O135" i="15"/>
  <c r="O136" i="15"/>
  <c r="O137" i="15"/>
  <c r="O138" i="15"/>
  <c r="O139" i="15"/>
  <c r="O140" i="15"/>
  <c r="O141" i="15"/>
  <c r="O97" i="15"/>
  <c r="O98" i="15"/>
  <c r="O99" i="15"/>
  <c r="O100" i="15"/>
  <c r="O101" i="15"/>
  <c r="O102" i="15"/>
  <c r="O103" i="15"/>
  <c r="O104" i="15"/>
  <c r="O105" i="15"/>
  <c r="O106" i="15"/>
  <c r="O107" i="15"/>
  <c r="O108" i="15"/>
  <c r="O109" i="15"/>
  <c r="O110" i="15"/>
  <c r="O111" i="15"/>
  <c r="O112" i="15"/>
  <c r="O113" i="15"/>
  <c r="O114" i="15"/>
  <c r="O115" i="15"/>
  <c r="O116" i="15"/>
  <c r="O117" i="15"/>
  <c r="O118" i="15"/>
  <c r="O119" i="15"/>
  <c r="O120" i="15"/>
  <c r="O121" i="15"/>
  <c r="O122" i="15"/>
  <c r="O123" i="15"/>
  <c r="O124" i="15"/>
  <c r="O125" i="15"/>
  <c r="O30" i="15"/>
  <c r="O31" i="15"/>
  <c r="O32" i="15"/>
  <c r="O33" i="15"/>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72" i="15"/>
  <c r="O73" i="15"/>
  <c r="O74" i="15"/>
  <c r="O75" i="15"/>
  <c r="O76" i="15"/>
  <c r="O77" i="15"/>
  <c r="O78" i="15"/>
  <c r="O79" i="15"/>
  <c r="O80" i="15"/>
  <c r="O81" i="15"/>
  <c r="O82" i="15"/>
  <c r="O83" i="15"/>
  <c r="O84" i="15"/>
  <c r="O85" i="15"/>
  <c r="O86" i="15"/>
  <c r="O87" i="15"/>
  <c r="O88" i="15"/>
  <c r="O89" i="15"/>
  <c r="O90" i="15"/>
  <c r="O91" i="15"/>
  <c r="O92" i="15"/>
  <c r="O93" i="15"/>
  <c r="O94" i="15"/>
  <c r="O95" i="15"/>
  <c r="O96" i="15"/>
  <c r="A9" i="86"/>
  <c r="D100" i="46" l="1"/>
  <c r="X100" i="46"/>
  <c r="A3" i="26"/>
  <c r="W9" i="113"/>
  <c r="W10" i="113"/>
  <c r="W11" i="113"/>
  <c r="W12" i="113"/>
  <c r="W13" i="113"/>
  <c r="W14" i="113"/>
  <c r="W15" i="113"/>
  <c r="S3" i="113"/>
  <c r="R3" i="113"/>
  <c r="Q3" i="113"/>
  <c r="P3" i="113"/>
  <c r="O3" i="113"/>
  <c r="N3" i="113"/>
  <c r="M3" i="113"/>
  <c r="L3" i="113"/>
  <c r="K3" i="113"/>
  <c r="J3" i="113"/>
  <c r="I3" i="113"/>
  <c r="H3" i="113"/>
  <c r="G3" i="113"/>
  <c r="F3" i="113"/>
  <c r="E3" i="113"/>
  <c r="D3" i="113"/>
  <c r="C3" i="113"/>
  <c r="B3" i="113"/>
  <c r="S2" i="113"/>
  <c r="W26" i="113" s="1"/>
  <c r="R2" i="113"/>
  <c r="W25" i="113" s="1"/>
  <c r="Q2" i="113"/>
  <c r="W24" i="113" s="1"/>
  <c r="P2" i="113"/>
  <c r="W23" i="113" s="1"/>
  <c r="O2" i="113"/>
  <c r="N2" i="113"/>
  <c r="W21" i="113" s="1"/>
  <c r="M2" i="113"/>
  <c r="W27" i="113" s="1"/>
  <c r="L2" i="113"/>
  <c r="W19" i="113" s="1"/>
  <c r="K2" i="113"/>
  <c r="W18" i="113" s="1"/>
  <c r="J2" i="113"/>
  <c r="W17" i="113" s="1"/>
  <c r="I2" i="113"/>
  <c r="W16" i="113" s="1"/>
  <c r="H2" i="113"/>
  <c r="G2" i="113"/>
  <c r="F2" i="113"/>
  <c r="E2" i="113"/>
  <c r="D2" i="113"/>
  <c r="C2" i="113"/>
  <c r="B2" i="113"/>
  <c r="X6" i="114"/>
  <c r="Z6" i="114"/>
  <c r="AA6" i="114"/>
  <c r="AB6" i="114"/>
  <c r="AC6" i="114"/>
  <c r="AD6" i="114"/>
  <c r="AE6" i="114"/>
  <c r="AF6" i="114"/>
  <c r="AG6" i="114"/>
  <c r="AH6" i="114"/>
  <c r="AI6" i="114"/>
  <c r="AJ6" i="114"/>
  <c r="AK6" i="114"/>
  <c r="AL6" i="114"/>
  <c r="AM6" i="114"/>
  <c r="AN6" i="114"/>
  <c r="AO6" i="114"/>
  <c r="AP6" i="114"/>
  <c r="AR6" i="114"/>
  <c r="AT6" i="114"/>
  <c r="AV6" i="114"/>
  <c r="AW6" i="114"/>
  <c r="AY6" i="114"/>
  <c r="AZ6" i="114"/>
  <c r="BB6" i="114"/>
  <c r="BC6" i="114"/>
  <c r="BD6" i="114"/>
  <c r="BF6" i="114"/>
  <c r="X7" i="114"/>
  <c r="Z7" i="114"/>
  <c r="AA7" i="114"/>
  <c r="AB7" i="114"/>
  <c r="AC7" i="114"/>
  <c r="AD7" i="114"/>
  <c r="AE7" i="114"/>
  <c r="AF7" i="114"/>
  <c r="AG7" i="114"/>
  <c r="AH7" i="114"/>
  <c r="AI7" i="114"/>
  <c r="AJ7" i="114"/>
  <c r="AK7" i="114"/>
  <c r="AL7" i="114"/>
  <c r="AM7" i="114"/>
  <c r="AN7" i="114"/>
  <c r="AO7" i="114"/>
  <c r="AP7" i="114"/>
  <c r="AR7" i="114"/>
  <c r="AT7" i="114"/>
  <c r="AV7" i="114"/>
  <c r="AW7" i="114"/>
  <c r="AY7" i="114"/>
  <c r="AZ7" i="114"/>
  <c r="BB7" i="114"/>
  <c r="BC7" i="114"/>
  <c r="BD7" i="114"/>
  <c r="BF7" i="114"/>
  <c r="A65" i="114"/>
  <c r="A100" i="28" l="1"/>
  <c r="A99" i="28"/>
  <c r="A98" i="28"/>
  <c r="A97" i="28"/>
  <c r="A96" i="28"/>
  <c r="L144" i="70" l="1"/>
  <c r="L143" i="70"/>
  <c r="L141" i="70"/>
  <c r="L140" i="70"/>
  <c r="L139" i="70"/>
  <c r="L138" i="70"/>
  <c r="L137" i="70"/>
  <c r="L136" i="70"/>
  <c r="L135" i="70"/>
  <c r="L134" i="70"/>
  <c r="L133" i="70"/>
  <c r="L131" i="70"/>
  <c r="L130" i="70"/>
  <c r="L129" i="70"/>
  <c r="L128" i="70"/>
  <c r="L127" i="70"/>
  <c r="L123" i="70"/>
  <c r="L122" i="70"/>
  <c r="L120" i="70"/>
  <c r="L118" i="70"/>
  <c r="L117" i="70"/>
  <c r="L116" i="70"/>
  <c r="L115" i="70"/>
  <c r="L110" i="70"/>
  <c r="L107" i="70"/>
  <c r="L97" i="70"/>
  <c r="L99" i="70"/>
  <c r="L100" i="70"/>
  <c r="L83" i="70"/>
  <c r="L84" i="70"/>
  <c r="L85" i="70"/>
  <c r="L86" i="70"/>
  <c r="L87" i="70"/>
  <c r="L88" i="70"/>
  <c r="L89" i="70"/>
  <c r="L90" i="70"/>
  <c r="L91" i="70"/>
  <c r="L92" i="70"/>
  <c r="L93" i="70"/>
  <c r="L94" i="70"/>
  <c r="L82" i="70"/>
  <c r="L81" i="70"/>
  <c r="L78" i="70"/>
  <c r="L77" i="70"/>
  <c r="L73" i="70"/>
  <c r="L74" i="70"/>
  <c r="L75" i="70"/>
  <c r="L72" i="70"/>
  <c r="L41" i="70"/>
  <c r="L42" i="70"/>
  <c r="L43" i="70"/>
  <c r="L44" i="70"/>
  <c r="L45" i="70"/>
  <c r="L46" i="70"/>
  <c r="L47" i="70"/>
  <c r="L48" i="70"/>
  <c r="L49" i="70"/>
  <c r="L50" i="70"/>
  <c r="L51" i="70"/>
  <c r="L52" i="70"/>
  <c r="L53" i="70"/>
  <c r="L54" i="70"/>
  <c r="L55" i="70"/>
  <c r="L56" i="70"/>
  <c r="L57" i="70"/>
  <c r="L58" i="70"/>
  <c r="L59" i="70"/>
  <c r="L60" i="70"/>
  <c r="L61" i="70"/>
  <c r="L62" i="70"/>
  <c r="L63" i="70"/>
  <c r="L64" i="70"/>
  <c r="L65" i="70"/>
  <c r="L66" i="70"/>
  <c r="L67" i="70"/>
  <c r="L68" i="70"/>
  <c r="L69" i="70"/>
  <c r="L40" i="70"/>
  <c r="L39" i="70"/>
  <c r="L38" i="70"/>
  <c r="L37" i="70"/>
  <c r="L30" i="70"/>
  <c r="L29" i="70"/>
  <c r="L28" i="70"/>
  <c r="L27" i="70"/>
  <c r="L26" i="70"/>
  <c r="L25" i="70"/>
  <c r="L24" i="70"/>
  <c r="L23" i="70"/>
  <c r="L20" i="70"/>
  <c r="L19" i="70"/>
  <c r="L18" i="70"/>
  <c r="L16" i="70"/>
  <c r="L15" i="70"/>
  <c r="L14" i="70"/>
  <c r="L13" i="70"/>
  <c r="L11" i="70"/>
  <c r="L7" i="70"/>
  <c r="L6" i="70"/>
  <c r="E122" i="70" l="1"/>
  <c r="O122" i="70"/>
  <c r="E124" i="70" l="1"/>
  <c r="O124" i="70"/>
  <c r="E123" i="70"/>
  <c r="O123" i="70"/>
  <c r="E81" i="70"/>
  <c r="O81" i="70"/>
  <c r="E82" i="70"/>
  <c r="O82" i="70"/>
  <c r="E83" i="70"/>
  <c r="O83" i="70"/>
  <c r="E84" i="70"/>
  <c r="O84" i="70"/>
  <c r="E85" i="70"/>
  <c r="O85" i="70"/>
  <c r="E86" i="70"/>
  <c r="O86" i="70"/>
  <c r="E87" i="70"/>
  <c r="O87" i="70"/>
  <c r="E88" i="70"/>
  <c r="O88" i="70"/>
  <c r="E89" i="70"/>
  <c r="O89" i="70"/>
  <c r="E90" i="70"/>
  <c r="O90" i="70"/>
  <c r="E91" i="70"/>
  <c r="O91" i="70"/>
  <c r="Q88" i="70" l="1"/>
  <c r="S88" i="70" s="1"/>
  <c r="Q84" i="70"/>
  <c r="S84" i="70" s="1"/>
  <c r="Q123" i="70"/>
  <c r="S123" i="70" s="1"/>
  <c r="Q87" i="70"/>
  <c r="S87" i="70" s="1"/>
  <c r="Q91" i="70"/>
  <c r="S91" i="70" s="1"/>
  <c r="Q86" i="70"/>
  <c r="S86" i="70" s="1"/>
  <c r="Q89" i="70"/>
  <c r="S89" i="70" s="1"/>
  <c r="Q85" i="70"/>
  <c r="S85" i="70" s="1"/>
  <c r="T88" i="70" l="1"/>
  <c r="T85" i="70"/>
  <c r="R86" i="70"/>
  <c r="R91" i="70"/>
  <c r="T87" i="70"/>
  <c r="R84" i="70"/>
  <c r="T84" i="70"/>
  <c r="R87" i="70"/>
  <c r="R88" i="70"/>
  <c r="T86" i="70"/>
  <c r="R123" i="70"/>
  <c r="T123" i="70"/>
  <c r="T89" i="70"/>
  <c r="R89" i="70"/>
  <c r="T91" i="70"/>
  <c r="R85" i="70"/>
  <c r="O145" i="70" l="1"/>
  <c r="O119" i="70"/>
  <c r="O108" i="70"/>
  <c r="O116" i="70"/>
  <c r="O120" i="70"/>
  <c r="O110" i="70"/>
  <c r="O113" i="70"/>
  <c r="O118" i="70"/>
  <c r="O121" i="70"/>
  <c r="O112" i="70"/>
  <c r="O107" i="70"/>
  <c r="O117" i="70"/>
  <c r="O115" i="70"/>
  <c r="H12" i="85"/>
  <c r="H11" i="85"/>
  <c r="H10" i="85"/>
  <c r="E115" i="70" l="1"/>
  <c r="E117" i="70"/>
  <c r="E107" i="70"/>
  <c r="E112" i="70"/>
  <c r="E121" i="70"/>
  <c r="E118" i="70"/>
  <c r="E110" i="70"/>
  <c r="Q110" i="70" s="1"/>
  <c r="S110" i="70" s="1"/>
  <c r="E120" i="70"/>
  <c r="E116" i="70"/>
  <c r="E108" i="70"/>
  <c r="E119" i="70"/>
  <c r="E6" i="70"/>
  <c r="E7" i="70"/>
  <c r="O7" i="70"/>
  <c r="E8" i="70"/>
  <c r="E9" i="70"/>
  <c r="O9" i="70"/>
  <c r="E10" i="70"/>
  <c r="O10" i="70"/>
  <c r="E11" i="70"/>
  <c r="O11" i="70"/>
  <c r="E12" i="70"/>
  <c r="O12" i="70"/>
  <c r="E13" i="70"/>
  <c r="O13" i="70"/>
  <c r="E14" i="70"/>
  <c r="O14" i="70"/>
  <c r="E15" i="70"/>
  <c r="O15" i="70"/>
  <c r="E16" i="70"/>
  <c r="O16" i="70"/>
  <c r="E17" i="70"/>
  <c r="O17" i="70"/>
  <c r="E18" i="70"/>
  <c r="O18" i="70"/>
  <c r="E19" i="70"/>
  <c r="O19" i="70"/>
  <c r="E20" i="70"/>
  <c r="O20" i="70"/>
  <c r="E21" i="70"/>
  <c r="O21" i="70"/>
  <c r="E22" i="70"/>
  <c r="O22" i="70"/>
  <c r="E23" i="70"/>
  <c r="O23" i="70"/>
  <c r="E24" i="70"/>
  <c r="O24" i="70"/>
  <c r="E25" i="70"/>
  <c r="O25" i="70"/>
  <c r="E26" i="70"/>
  <c r="O26" i="70"/>
  <c r="E27" i="70"/>
  <c r="O27" i="70"/>
  <c r="E28" i="70"/>
  <c r="O28" i="70"/>
  <c r="E29" i="70"/>
  <c r="O29" i="70"/>
  <c r="O30" i="70"/>
  <c r="E31" i="70"/>
  <c r="O31" i="70"/>
  <c r="E32" i="70"/>
  <c r="O32" i="70"/>
  <c r="E33" i="70"/>
  <c r="O33" i="70"/>
  <c r="E34" i="70"/>
  <c r="O34" i="70"/>
  <c r="E35" i="70"/>
  <c r="O35" i="70"/>
  <c r="E36" i="70"/>
  <c r="O36" i="70"/>
  <c r="E37" i="70"/>
  <c r="O37" i="70"/>
  <c r="E38" i="70"/>
  <c r="O38" i="70"/>
  <c r="E39" i="70"/>
  <c r="O39" i="70"/>
  <c r="E40" i="70"/>
  <c r="O40" i="70"/>
  <c r="E41" i="70"/>
  <c r="O41" i="70"/>
  <c r="E42" i="70"/>
  <c r="O42" i="70"/>
  <c r="E43" i="70"/>
  <c r="O43" i="70"/>
  <c r="E44" i="70"/>
  <c r="O44" i="70"/>
  <c r="E45" i="70"/>
  <c r="O45" i="70"/>
  <c r="E46" i="70"/>
  <c r="O46" i="70"/>
  <c r="E47" i="70"/>
  <c r="O47" i="70"/>
  <c r="E48" i="70"/>
  <c r="O48" i="70"/>
  <c r="E49" i="70"/>
  <c r="O49" i="70"/>
  <c r="E50" i="70"/>
  <c r="O50" i="70"/>
  <c r="E51" i="70"/>
  <c r="O51" i="70"/>
  <c r="E52" i="70"/>
  <c r="O52" i="70"/>
  <c r="E53" i="70"/>
  <c r="O53" i="70"/>
  <c r="E54" i="70"/>
  <c r="O54" i="70"/>
  <c r="E55" i="70"/>
  <c r="O55" i="70"/>
  <c r="E56" i="70"/>
  <c r="O56" i="70"/>
  <c r="E57" i="70"/>
  <c r="O57" i="70"/>
  <c r="E58" i="70"/>
  <c r="O58" i="70"/>
  <c r="E59" i="70"/>
  <c r="O59" i="70"/>
  <c r="E60" i="70"/>
  <c r="O60" i="70"/>
  <c r="E61" i="70"/>
  <c r="O61" i="70"/>
  <c r="E62" i="70"/>
  <c r="O62" i="70"/>
  <c r="E63" i="70"/>
  <c r="O63" i="70"/>
  <c r="E64" i="70"/>
  <c r="O64" i="70"/>
  <c r="E65" i="70"/>
  <c r="O65" i="70"/>
  <c r="E66" i="70"/>
  <c r="O66" i="70"/>
  <c r="E67" i="70"/>
  <c r="E68" i="70"/>
  <c r="O68" i="70"/>
  <c r="E69" i="70"/>
  <c r="E70" i="70"/>
  <c r="O70" i="70"/>
  <c r="O71" i="70"/>
  <c r="E72" i="70"/>
  <c r="O72" i="70"/>
  <c r="E73" i="70"/>
  <c r="O73" i="70"/>
  <c r="E74" i="70"/>
  <c r="O74" i="70"/>
  <c r="E75" i="70"/>
  <c r="O75" i="70"/>
  <c r="E76" i="70"/>
  <c r="O76" i="70"/>
  <c r="E77" i="70"/>
  <c r="O77" i="70"/>
  <c r="E78" i="70"/>
  <c r="O78" i="70"/>
  <c r="E79" i="70"/>
  <c r="O79" i="70"/>
  <c r="E92" i="70"/>
  <c r="O92" i="70"/>
  <c r="E80" i="70"/>
  <c r="O80" i="70"/>
  <c r="E94" i="70"/>
  <c r="E95" i="70"/>
  <c r="E96" i="70"/>
  <c r="O96" i="70"/>
  <c r="E97" i="70"/>
  <c r="O97" i="70"/>
  <c r="E98" i="70"/>
  <c r="O98" i="70"/>
  <c r="E99" i="70"/>
  <c r="O99" i="70"/>
  <c r="Q100" i="70"/>
  <c r="S100" i="70" s="1"/>
  <c r="E101" i="70"/>
  <c r="O101" i="70"/>
  <c r="Q101" i="70"/>
  <c r="S101" i="70" s="1"/>
  <c r="E93" i="70"/>
  <c r="O93" i="70"/>
  <c r="E125" i="70"/>
  <c r="O125" i="70"/>
  <c r="E126" i="70"/>
  <c r="O126" i="70"/>
  <c r="E127" i="70"/>
  <c r="O127" i="70"/>
  <c r="E128" i="70"/>
  <c r="O128" i="70"/>
  <c r="E129" i="70"/>
  <c r="O129" i="70"/>
  <c r="E130" i="70"/>
  <c r="O130" i="70"/>
  <c r="E131" i="70"/>
  <c r="O131" i="70"/>
  <c r="E132" i="70"/>
  <c r="O132" i="70"/>
  <c r="E133" i="70"/>
  <c r="O133" i="70"/>
  <c r="E134" i="70"/>
  <c r="O134" i="70"/>
  <c r="E135" i="70"/>
  <c r="O135" i="70"/>
  <c r="E136" i="70"/>
  <c r="O136" i="70"/>
  <c r="E137" i="70"/>
  <c r="O137" i="70"/>
  <c r="E138" i="70"/>
  <c r="O138" i="70"/>
  <c r="E139" i="70"/>
  <c r="O139" i="70"/>
  <c r="E140" i="70"/>
  <c r="O140" i="70"/>
  <c r="O141" i="70"/>
  <c r="E142" i="70"/>
  <c r="O142" i="70"/>
  <c r="E143" i="70"/>
  <c r="O143" i="70"/>
  <c r="E144" i="70"/>
  <c r="O144" i="70"/>
  <c r="E145" i="70"/>
  <c r="Q9" i="70" l="1"/>
  <c r="Q32" i="70"/>
  <c r="S32" i="70" s="1"/>
  <c r="Q132" i="70"/>
  <c r="Q80" i="70"/>
  <c r="Q112" i="70"/>
  <c r="S112" i="70" s="1"/>
  <c r="Q126" i="70"/>
  <c r="Q79" i="70"/>
  <c r="R110" i="70"/>
  <c r="T110" i="70"/>
  <c r="T100" i="70"/>
  <c r="R100" i="70"/>
  <c r="T101" i="70"/>
  <c r="R101" i="70"/>
  <c r="Q115" i="70"/>
  <c r="S115" i="70" s="1"/>
  <c r="Q121" i="70"/>
  <c r="S121" i="70" s="1"/>
  <c r="Q118" i="70"/>
  <c r="S118" i="70" s="1"/>
  <c r="Q117" i="70"/>
  <c r="S117" i="70" s="1"/>
  <c r="Q116" i="70"/>
  <c r="S116" i="70" s="1"/>
  <c r="Q145" i="70"/>
  <c r="S145" i="70" s="1"/>
  <c r="Q25" i="70"/>
  <c r="S25" i="70" s="1"/>
  <c r="Q70" i="70"/>
  <c r="S70" i="70" s="1"/>
  <c r="Q56" i="70"/>
  <c r="S56" i="70" s="1"/>
  <c r="Q134" i="70"/>
  <c r="S134" i="70" s="1"/>
  <c r="Q51" i="70"/>
  <c r="S51" i="70" s="1"/>
  <c r="Q42" i="70"/>
  <c r="S42" i="70" s="1"/>
  <c r="Q22" i="70"/>
  <c r="S22" i="70" s="1"/>
  <c r="Q16" i="70"/>
  <c r="S16" i="70" s="1"/>
  <c r="Q17" i="70"/>
  <c r="S17" i="70" s="1"/>
  <c r="Q54" i="70"/>
  <c r="S54" i="70" s="1"/>
  <c r="Q62" i="70"/>
  <c r="S62" i="70" s="1"/>
  <c r="Q94" i="70"/>
  <c r="S94" i="70" s="1"/>
  <c r="Q55" i="70"/>
  <c r="S55" i="70" s="1"/>
  <c r="Q45" i="70"/>
  <c r="S45" i="70" s="1"/>
  <c r="Q33" i="70"/>
  <c r="S33" i="70" s="1"/>
  <c r="Q10" i="70"/>
  <c r="S10" i="70" s="1"/>
  <c r="Q58" i="70"/>
  <c r="S58" i="70" s="1"/>
  <c r="Q142" i="70"/>
  <c r="S142" i="70" s="1"/>
  <c r="Q57" i="70"/>
  <c r="S57" i="70" s="1"/>
  <c r="Q95" i="70"/>
  <c r="S95" i="70" s="1"/>
  <c r="Q12" i="70"/>
  <c r="S12" i="70" s="1"/>
  <c r="Q43" i="70"/>
  <c r="S43" i="70" s="1"/>
  <c r="Q35" i="70"/>
  <c r="S35" i="70" s="1"/>
  <c r="Q68" i="70"/>
  <c r="S68" i="70" s="1"/>
  <c r="Q21" i="70"/>
  <c r="S21" i="70" s="1"/>
  <c r="Q139" i="70"/>
  <c r="S139" i="70" s="1"/>
  <c r="Q140" i="70"/>
  <c r="S140" i="70" s="1"/>
  <c r="Q125" i="70"/>
  <c r="S125" i="70" s="1"/>
  <c r="Q76" i="70"/>
  <c r="S76" i="70" s="1"/>
  <c r="Q72" i="70"/>
  <c r="S72" i="70" s="1"/>
  <c r="Q34" i="70"/>
  <c r="S34" i="70" s="1"/>
  <c r="Q31" i="70"/>
  <c r="S31" i="70" s="1"/>
  <c r="Q8" i="70"/>
  <c r="S8" i="70" s="1"/>
  <c r="R80" i="70" l="1"/>
  <c r="S80" i="70"/>
  <c r="R132" i="70"/>
  <c r="S132" i="70"/>
  <c r="R79" i="70"/>
  <c r="S79" i="70"/>
  <c r="R126" i="70"/>
  <c r="S126" i="70"/>
  <c r="R9" i="70"/>
  <c r="S9" i="70"/>
  <c r="T80" i="70"/>
  <c r="T79" i="70"/>
  <c r="R32" i="70"/>
  <c r="T9" i="70"/>
  <c r="T112" i="70"/>
  <c r="T32" i="70"/>
  <c r="T126" i="70"/>
  <c r="R112" i="70"/>
  <c r="T132" i="70"/>
  <c r="R55" i="70"/>
  <c r="T55" i="70"/>
  <c r="T121" i="70"/>
  <c r="R121" i="70"/>
  <c r="R25" i="70"/>
  <c r="T25" i="70"/>
  <c r="T117" i="70"/>
  <c r="R117" i="70"/>
  <c r="T125" i="70"/>
  <c r="R125" i="70"/>
  <c r="T8" i="70"/>
  <c r="R8" i="70"/>
  <c r="R34" i="70"/>
  <c r="T34" i="70"/>
  <c r="T139" i="70"/>
  <c r="R139" i="70"/>
  <c r="R94" i="70"/>
  <c r="T94" i="70"/>
  <c r="R17" i="70"/>
  <c r="T17" i="70"/>
  <c r="T118" i="70"/>
  <c r="R118" i="70"/>
  <c r="T43" i="70"/>
  <c r="R43" i="70"/>
  <c r="T10" i="70"/>
  <c r="R10" i="70"/>
  <c r="T76" i="70"/>
  <c r="R76" i="70"/>
  <c r="T22" i="70"/>
  <c r="R22" i="70"/>
  <c r="R62" i="70"/>
  <c r="T62" i="70"/>
  <c r="R54" i="70"/>
  <c r="T54" i="70"/>
  <c r="T134" i="70"/>
  <c r="R134" i="70"/>
  <c r="T31" i="70"/>
  <c r="R31" i="70"/>
  <c r="T70" i="70"/>
  <c r="R70" i="70"/>
  <c r="T57" i="70"/>
  <c r="R57" i="70"/>
  <c r="T21" i="70"/>
  <c r="R21" i="70"/>
  <c r="R95" i="70"/>
  <c r="T95" i="70"/>
  <c r="T142" i="70"/>
  <c r="R142" i="70"/>
  <c r="R45" i="70"/>
  <c r="T45" i="70"/>
  <c r="T51" i="70"/>
  <c r="R51" i="70"/>
  <c r="T116" i="70"/>
  <c r="R116" i="70"/>
  <c r="R68" i="70"/>
  <c r="T68" i="70"/>
  <c r="T42" i="70"/>
  <c r="R42" i="70"/>
  <c r="R56" i="70"/>
  <c r="T56" i="70"/>
  <c r="T145" i="70"/>
  <c r="R145" i="70"/>
  <c r="T12" i="70"/>
  <c r="R12" i="70"/>
  <c r="R33" i="70"/>
  <c r="T33" i="70"/>
  <c r="T72" i="70"/>
  <c r="R72" i="70"/>
  <c r="R140" i="70"/>
  <c r="T140" i="70"/>
  <c r="R35" i="70"/>
  <c r="T35" i="70"/>
  <c r="T58" i="70"/>
  <c r="R58" i="70"/>
  <c r="R16" i="70"/>
  <c r="T16" i="70"/>
  <c r="T115" i="70"/>
  <c r="R115" i="70"/>
  <c r="B4" i="75"/>
  <c r="O9" i="15" l="1"/>
  <c r="O10" i="15"/>
  <c r="O11" i="15"/>
  <c r="O12" i="15"/>
  <c r="O13" i="15"/>
  <c r="O14" i="15"/>
  <c r="O15" i="15"/>
  <c r="O16" i="15"/>
  <c r="O17" i="15"/>
  <c r="O18" i="15"/>
  <c r="O19" i="15"/>
  <c r="O20" i="15"/>
  <c r="O21" i="15"/>
  <c r="O22" i="15"/>
  <c r="O23" i="15"/>
  <c r="O24" i="15"/>
  <c r="O25" i="15"/>
  <c r="O26" i="15"/>
  <c r="O27" i="15"/>
  <c r="O28" i="15"/>
  <c r="O29" i="15"/>
  <c r="AE8" i="109" l="1"/>
  <c r="AE9" i="109"/>
  <c r="AE10" i="109"/>
  <c r="AE11" i="109"/>
  <c r="AE12" i="109"/>
  <c r="AE13" i="109"/>
  <c r="AE16" i="109"/>
  <c r="AE17" i="109"/>
  <c r="AE18" i="109"/>
  <c r="H4" i="109"/>
  <c r="B2" i="109"/>
  <c r="F2" i="52"/>
  <c r="B7" i="104"/>
  <c r="R13" i="104" l="1"/>
  <c r="R12" i="104"/>
  <c r="R11" i="104"/>
  <c r="R10" i="104"/>
  <c r="R9" i="104"/>
  <c r="R8" i="104"/>
  <c r="AE19" i="109" l="1"/>
  <c r="J52" i="52" l="1"/>
  <c r="A4" i="101" l="1"/>
  <c r="H20" i="26" l="1"/>
  <c r="G20" i="26"/>
  <c r="I20" i="26"/>
  <c r="H7" i="26"/>
  <c r="H15" i="26"/>
  <c r="H22" i="26"/>
  <c r="H30" i="26"/>
  <c r="H38" i="26"/>
  <c r="H46" i="26"/>
  <c r="H54" i="26"/>
  <c r="H62" i="26"/>
  <c r="H70" i="26"/>
  <c r="H78" i="26"/>
  <c r="H86" i="26"/>
  <c r="H94" i="26"/>
  <c r="H102" i="26"/>
  <c r="H110" i="26"/>
  <c r="H118" i="26"/>
  <c r="H126" i="26"/>
  <c r="H134" i="26"/>
  <c r="I8" i="26"/>
  <c r="I16" i="26"/>
  <c r="I23" i="26"/>
  <c r="I31" i="26"/>
  <c r="I39" i="26"/>
  <c r="I47" i="26"/>
  <c r="I55" i="26"/>
  <c r="I63" i="26"/>
  <c r="I71" i="26"/>
  <c r="I79" i="26"/>
  <c r="I87" i="26"/>
  <c r="I95" i="26"/>
  <c r="I103" i="26"/>
  <c r="I111" i="26"/>
  <c r="I119" i="26"/>
  <c r="I127" i="26"/>
  <c r="I135" i="26"/>
  <c r="H34" i="26"/>
  <c r="H58" i="26"/>
  <c r="H106" i="26"/>
  <c r="I12" i="26"/>
  <c r="I51" i="26"/>
  <c r="I75" i="26"/>
  <c r="I115" i="26"/>
  <c r="H92" i="26"/>
  <c r="I14" i="26"/>
  <c r="I61" i="26"/>
  <c r="I93" i="26"/>
  <c r="H8" i="26"/>
  <c r="H16" i="26"/>
  <c r="H23" i="26"/>
  <c r="H31" i="26"/>
  <c r="H39" i="26"/>
  <c r="H47" i="26"/>
  <c r="H55" i="26"/>
  <c r="H63" i="26"/>
  <c r="H71" i="26"/>
  <c r="H79" i="26"/>
  <c r="H87" i="26"/>
  <c r="H95" i="26"/>
  <c r="H103" i="26"/>
  <c r="H111" i="26"/>
  <c r="H119" i="26"/>
  <c r="H127" i="26"/>
  <c r="H135" i="26"/>
  <c r="I9" i="26"/>
  <c r="I17" i="26"/>
  <c r="I24" i="26"/>
  <c r="I32" i="26"/>
  <c r="I40" i="26"/>
  <c r="I48" i="26"/>
  <c r="I56" i="26"/>
  <c r="I64" i="26"/>
  <c r="I72" i="26"/>
  <c r="I80" i="26"/>
  <c r="I88" i="26"/>
  <c r="I96" i="26"/>
  <c r="I104" i="26"/>
  <c r="I112" i="26"/>
  <c r="I120" i="26"/>
  <c r="I128" i="26"/>
  <c r="I136" i="26"/>
  <c r="H26" i="26"/>
  <c r="H50" i="26"/>
  <c r="H90" i="26"/>
  <c r="H130" i="26"/>
  <c r="I27" i="26"/>
  <c r="I67" i="26"/>
  <c r="I107" i="26"/>
  <c r="H108" i="26"/>
  <c r="I29" i="26"/>
  <c r="I69" i="26"/>
  <c r="I117" i="26"/>
  <c r="H9" i="26"/>
  <c r="H17" i="26"/>
  <c r="H24" i="26"/>
  <c r="H32" i="26"/>
  <c r="H40" i="26"/>
  <c r="H48" i="26"/>
  <c r="H56" i="26"/>
  <c r="H64" i="26"/>
  <c r="H72" i="26"/>
  <c r="H80" i="26"/>
  <c r="H88" i="26"/>
  <c r="H96" i="26"/>
  <c r="H104" i="26"/>
  <c r="H112" i="26"/>
  <c r="H120" i="26"/>
  <c r="H128" i="26"/>
  <c r="H136" i="26"/>
  <c r="I10" i="26"/>
  <c r="I18" i="26"/>
  <c r="I25" i="26"/>
  <c r="I33" i="26"/>
  <c r="I41" i="26"/>
  <c r="I49" i="26"/>
  <c r="I57" i="26"/>
  <c r="I65" i="26"/>
  <c r="I73" i="26"/>
  <c r="I81" i="26"/>
  <c r="I89" i="26"/>
  <c r="I97" i="26"/>
  <c r="I105" i="26"/>
  <c r="I113" i="26"/>
  <c r="I121" i="26"/>
  <c r="I129" i="26"/>
  <c r="I137" i="26"/>
  <c r="H19" i="26"/>
  <c r="H66" i="26"/>
  <c r="H98" i="26"/>
  <c r="H138" i="26"/>
  <c r="I43" i="26"/>
  <c r="I83" i="26"/>
  <c r="I123" i="26"/>
  <c r="H100" i="26"/>
  <c r="I21" i="26"/>
  <c r="I53" i="26"/>
  <c r="I101" i="26"/>
  <c r="H10" i="26"/>
  <c r="H18" i="26"/>
  <c r="H25" i="26"/>
  <c r="H33" i="26"/>
  <c r="H41" i="26"/>
  <c r="H49" i="26"/>
  <c r="H57" i="26"/>
  <c r="H65" i="26"/>
  <c r="H73" i="26"/>
  <c r="H81" i="26"/>
  <c r="H89" i="26"/>
  <c r="H97" i="26"/>
  <c r="H105" i="26"/>
  <c r="H113" i="26"/>
  <c r="H121" i="26"/>
  <c r="H129" i="26"/>
  <c r="H137" i="26"/>
  <c r="I11" i="26"/>
  <c r="I19" i="26"/>
  <c r="I26" i="26"/>
  <c r="I34" i="26"/>
  <c r="I42" i="26"/>
  <c r="I50" i="26"/>
  <c r="I58" i="26"/>
  <c r="I66" i="26"/>
  <c r="I74" i="26"/>
  <c r="I82" i="26"/>
  <c r="I90" i="26"/>
  <c r="I98" i="26"/>
  <c r="I106" i="26"/>
  <c r="I114" i="26"/>
  <c r="I122" i="26"/>
  <c r="I130" i="26"/>
  <c r="I138" i="26"/>
  <c r="H11" i="26"/>
  <c r="H74" i="26"/>
  <c r="H122" i="26"/>
  <c r="I35" i="26"/>
  <c r="I91" i="26"/>
  <c r="I131" i="26"/>
  <c r="H124" i="26"/>
  <c r="I45" i="26"/>
  <c r="I109" i="26"/>
  <c r="H12" i="26"/>
  <c r="H27" i="26"/>
  <c r="H35" i="26"/>
  <c r="H43" i="26"/>
  <c r="H51" i="26"/>
  <c r="H59" i="26"/>
  <c r="H67" i="26"/>
  <c r="H75" i="26"/>
  <c r="H83" i="26"/>
  <c r="H91" i="26"/>
  <c r="H99" i="26"/>
  <c r="H107" i="26"/>
  <c r="H115" i="26"/>
  <c r="H123" i="26"/>
  <c r="H131" i="26"/>
  <c r="H139" i="26"/>
  <c r="I13" i="26"/>
  <c r="I28" i="26"/>
  <c r="I36" i="26"/>
  <c r="I44" i="26"/>
  <c r="I52" i="26"/>
  <c r="I60" i="26"/>
  <c r="I68" i="26"/>
  <c r="I76" i="26"/>
  <c r="I84" i="26"/>
  <c r="I92" i="26"/>
  <c r="I100" i="26"/>
  <c r="I108" i="26"/>
  <c r="I116" i="26"/>
  <c r="I124" i="26"/>
  <c r="I132" i="26"/>
  <c r="I6" i="26"/>
  <c r="H13" i="26"/>
  <c r="H28" i="26"/>
  <c r="H36" i="26"/>
  <c r="H44" i="26"/>
  <c r="H52" i="26"/>
  <c r="H60" i="26"/>
  <c r="H68" i="26"/>
  <c r="H76" i="26"/>
  <c r="H84" i="26"/>
  <c r="H132" i="26"/>
  <c r="H6" i="26"/>
  <c r="I85" i="26"/>
  <c r="I133" i="26"/>
  <c r="H14" i="26"/>
  <c r="H21" i="26"/>
  <c r="H29" i="26"/>
  <c r="H37" i="26"/>
  <c r="H45" i="26"/>
  <c r="H53" i="26"/>
  <c r="H61" i="26"/>
  <c r="H69" i="26"/>
  <c r="H77" i="26"/>
  <c r="H85" i="26"/>
  <c r="H93" i="26"/>
  <c r="H101" i="26"/>
  <c r="H109" i="26"/>
  <c r="H117" i="26"/>
  <c r="H125" i="26"/>
  <c r="H133" i="26"/>
  <c r="I7" i="26"/>
  <c r="I15" i="26"/>
  <c r="I22" i="26"/>
  <c r="I30" i="26"/>
  <c r="I38" i="26"/>
  <c r="I46" i="26"/>
  <c r="I54" i="26"/>
  <c r="I62" i="26"/>
  <c r="I70" i="26"/>
  <c r="I78" i="26"/>
  <c r="I86" i="26"/>
  <c r="I94" i="26"/>
  <c r="I102" i="26"/>
  <c r="I110" i="26"/>
  <c r="I118" i="26"/>
  <c r="I126" i="26"/>
  <c r="I134" i="26"/>
  <c r="H42" i="26"/>
  <c r="H82" i="26"/>
  <c r="H114" i="26"/>
  <c r="I59" i="26"/>
  <c r="I99" i="26"/>
  <c r="I139" i="26"/>
  <c r="H116" i="26"/>
  <c r="I37" i="26"/>
  <c r="I77" i="26"/>
  <c r="I125" i="26"/>
  <c r="G6" i="26"/>
  <c r="G69" i="26"/>
  <c r="G129" i="26"/>
  <c r="G7" i="26"/>
  <c r="G70" i="26"/>
  <c r="G130" i="26"/>
  <c r="G8" i="26"/>
  <c r="G71" i="26"/>
  <c r="G131" i="26"/>
  <c r="G9" i="26"/>
  <c r="G72" i="26"/>
  <c r="G132" i="26"/>
  <c r="G41" i="26"/>
  <c r="G105" i="26"/>
  <c r="G50" i="26"/>
  <c r="G113" i="26"/>
  <c r="G59" i="26"/>
  <c r="G119" i="26"/>
  <c r="G68" i="26"/>
  <c r="G128" i="26"/>
  <c r="G32" i="26"/>
  <c r="G96" i="26"/>
  <c r="G65" i="26"/>
  <c r="G125" i="26"/>
  <c r="G11" i="26"/>
  <c r="G83" i="26"/>
  <c r="G28" i="26"/>
  <c r="G92" i="26"/>
  <c r="G62" i="26"/>
  <c r="G122" i="26"/>
  <c r="G29" i="26"/>
  <c r="G93" i="26"/>
  <c r="G30" i="26"/>
  <c r="G94" i="26"/>
  <c r="G31" i="26"/>
  <c r="G95" i="26"/>
  <c r="G74" i="26"/>
  <c r="G100" i="26"/>
  <c r="G53" i="26"/>
  <c r="G54" i="26"/>
  <c r="G115" i="26"/>
  <c r="G55" i="26"/>
  <c r="G56" i="26"/>
  <c r="G116" i="26"/>
  <c r="G25" i="26"/>
  <c r="G89" i="26"/>
  <c r="G34" i="26"/>
  <c r="G98" i="26"/>
  <c r="G134" i="26"/>
  <c r="G43" i="26"/>
  <c r="G107" i="26"/>
  <c r="G52" i="26"/>
  <c r="G114" i="26"/>
  <c r="G37" i="26"/>
  <c r="G38" i="26"/>
  <c r="G103" i="26"/>
  <c r="G139" i="26"/>
  <c r="G40" i="26"/>
  <c r="G73" i="26"/>
  <c r="G19" i="26"/>
  <c r="G91" i="26"/>
  <c r="G36" i="26"/>
  <c r="G121" i="26"/>
  <c r="G14" i="26"/>
  <c r="G77" i="26"/>
  <c r="G15" i="26"/>
  <c r="G78" i="26"/>
  <c r="G16" i="26"/>
  <c r="G79" i="26"/>
  <c r="G17" i="26"/>
  <c r="G80" i="26"/>
  <c r="G49" i="26"/>
  <c r="G112" i="26"/>
  <c r="G58" i="26"/>
  <c r="G118" i="26"/>
  <c r="G67" i="26"/>
  <c r="G127" i="26"/>
  <c r="G13" i="26"/>
  <c r="G76" i="26"/>
  <c r="G101" i="26"/>
  <c r="G137" i="26"/>
  <c r="G102" i="26"/>
  <c r="G138" i="26"/>
  <c r="G39" i="26"/>
  <c r="G104" i="26"/>
  <c r="G10" i="26"/>
  <c r="G82" i="26"/>
  <c r="G27" i="26"/>
  <c r="G136" i="26"/>
  <c r="G61" i="26"/>
  <c r="G21" i="26"/>
  <c r="G85" i="26"/>
  <c r="G22" i="26"/>
  <c r="G86" i="26"/>
  <c r="G23" i="26"/>
  <c r="G87" i="26"/>
  <c r="G24" i="26"/>
  <c r="G88" i="26"/>
  <c r="G57" i="26"/>
  <c r="G117" i="26"/>
  <c r="G66" i="26"/>
  <c r="G126" i="26"/>
  <c r="G12" i="26"/>
  <c r="G75" i="26"/>
  <c r="G84" i="26"/>
  <c r="G45" i="26"/>
  <c r="G109" i="26"/>
  <c r="G46" i="26"/>
  <c r="G110" i="26"/>
  <c r="G47" i="26"/>
  <c r="G48" i="26"/>
  <c r="G111" i="26"/>
  <c r="G18" i="26"/>
  <c r="G81" i="26"/>
  <c r="G123" i="26"/>
  <c r="G124" i="26"/>
  <c r="G133" i="26"/>
  <c r="G99" i="26"/>
  <c r="G108" i="26"/>
  <c r="G63" i="26"/>
  <c r="G42" i="26"/>
  <c r="G90" i="26"/>
  <c r="G120" i="26"/>
  <c r="G51" i="26"/>
  <c r="G64" i="26"/>
  <c r="G33" i="26"/>
  <c r="G106" i="26"/>
  <c r="G35" i="26"/>
  <c r="G44" i="26"/>
  <c r="G26" i="26"/>
  <c r="G60" i="26"/>
  <c r="G97" i="26"/>
  <c r="G135" i="26"/>
  <c r="B2" i="106"/>
  <c r="E20" i="26" l="1"/>
  <c r="E115" i="26"/>
  <c r="F115" i="26" s="1"/>
  <c r="E26" i="26"/>
  <c r="F26" i="26" s="1"/>
  <c r="E109" i="26"/>
  <c r="F109" i="26" s="1"/>
  <c r="E108" i="26"/>
  <c r="F108" i="26" s="1"/>
  <c r="E90" i="26"/>
  <c r="F90" i="26" s="1"/>
  <c r="E111" i="26"/>
  <c r="F111" i="26" s="1"/>
  <c r="E46" i="26"/>
  <c r="F46" i="26" s="1"/>
  <c r="E35" i="26"/>
  <c r="F35" i="26" s="1"/>
  <c r="E97" i="26"/>
  <c r="F97" i="26" s="1"/>
  <c r="E99" i="26"/>
  <c r="F99" i="26" s="1"/>
  <c r="E47" i="26"/>
  <c r="F47" i="26" s="1"/>
  <c r="E110" i="26"/>
  <c r="F110" i="26" s="1"/>
  <c r="E18" i="26"/>
  <c r="F18" i="26" s="1"/>
  <c r="E133" i="26"/>
  <c r="F133" i="26" s="1"/>
  <c r="E44" i="26"/>
  <c r="F44" i="26" s="1"/>
  <c r="E126" i="26"/>
  <c r="F126" i="26" s="1"/>
  <c r="E60" i="26"/>
  <c r="F60" i="26" s="1"/>
  <c r="E33" i="26"/>
  <c r="F33" i="26" s="1"/>
  <c r="E57" i="26"/>
  <c r="F57" i="26" s="1"/>
  <c r="E24" i="26"/>
  <c r="F24" i="26" s="1"/>
  <c r="E85" i="26"/>
  <c r="F85" i="26" s="1"/>
  <c r="E61" i="26"/>
  <c r="F61" i="26" s="1"/>
  <c r="E13" i="26"/>
  <c r="F13" i="26" s="1"/>
  <c r="E17" i="26"/>
  <c r="F17" i="26" s="1"/>
  <c r="E40" i="26"/>
  <c r="F40" i="26" s="1"/>
  <c r="E52" i="26"/>
  <c r="F52" i="26" s="1"/>
  <c r="E95" i="26"/>
  <c r="F95" i="26" s="1"/>
  <c r="E125" i="26"/>
  <c r="F125" i="26" s="1"/>
  <c r="E113" i="26"/>
  <c r="F113" i="26" s="1"/>
  <c r="E7" i="26"/>
  <c r="F7" i="26" s="1"/>
  <c r="E78" i="26"/>
  <c r="F78" i="26" s="1"/>
  <c r="E64" i="26"/>
  <c r="F64" i="26" s="1"/>
  <c r="E77" i="26"/>
  <c r="F77" i="26" s="1"/>
  <c r="E124" i="26"/>
  <c r="F124" i="26" s="1"/>
  <c r="E136" i="26"/>
  <c r="F136" i="26" s="1"/>
  <c r="E127" i="26"/>
  <c r="F127" i="26" s="1"/>
  <c r="E49" i="26"/>
  <c r="F49" i="26" s="1"/>
  <c r="E121" i="26"/>
  <c r="F121" i="26" s="1"/>
  <c r="E139" i="26"/>
  <c r="F139" i="26" s="1"/>
  <c r="E134" i="26"/>
  <c r="F134" i="26" s="1"/>
  <c r="E89" i="26"/>
  <c r="F89" i="26" s="1"/>
  <c r="E56" i="26"/>
  <c r="F56" i="26" s="1"/>
  <c r="E29" i="26"/>
  <c r="F29" i="26" s="1"/>
  <c r="E32" i="26"/>
  <c r="F32" i="26" s="1"/>
  <c r="E119" i="26"/>
  <c r="F119" i="26" s="1"/>
  <c r="E8" i="26"/>
  <c r="F8" i="26" s="1"/>
  <c r="E129" i="26"/>
  <c r="F129" i="26" s="1"/>
  <c r="E42" i="26"/>
  <c r="F42" i="26" s="1"/>
  <c r="E81" i="26"/>
  <c r="F81" i="26" s="1"/>
  <c r="E48" i="26"/>
  <c r="F48" i="26" s="1"/>
  <c r="E66" i="26"/>
  <c r="F66" i="26" s="1"/>
  <c r="E86" i="26"/>
  <c r="F86" i="26" s="1"/>
  <c r="E39" i="26"/>
  <c r="F39" i="26" s="1"/>
  <c r="E58" i="26"/>
  <c r="F58" i="26" s="1"/>
  <c r="E19" i="26"/>
  <c r="F19" i="26" s="1"/>
  <c r="E103" i="26"/>
  <c r="F103" i="26" s="1"/>
  <c r="E30" i="26"/>
  <c r="F30" i="26" s="1"/>
  <c r="E92" i="26"/>
  <c r="F92" i="26" s="1"/>
  <c r="E41" i="26"/>
  <c r="F41" i="26" s="1"/>
  <c r="E9" i="26"/>
  <c r="F9" i="26" s="1"/>
  <c r="E130" i="26"/>
  <c r="F130" i="26" s="1"/>
  <c r="E135" i="26"/>
  <c r="F135" i="26" s="1"/>
  <c r="E51" i="26"/>
  <c r="F51" i="26" s="1"/>
  <c r="E63" i="26"/>
  <c r="F63" i="26" s="1"/>
  <c r="E75" i="26"/>
  <c r="F75" i="26" s="1"/>
  <c r="E21" i="26"/>
  <c r="F21" i="26" s="1"/>
  <c r="E138" i="26"/>
  <c r="F138" i="26" s="1"/>
  <c r="E37" i="26"/>
  <c r="F37" i="26" s="1"/>
  <c r="E98" i="26"/>
  <c r="F98" i="26" s="1"/>
  <c r="E53" i="26"/>
  <c r="F53" i="26" s="1"/>
  <c r="E74" i="26"/>
  <c r="F74" i="26" s="1"/>
  <c r="E31" i="26"/>
  <c r="E122" i="26"/>
  <c r="F122" i="26" s="1"/>
  <c r="E65" i="26"/>
  <c r="F65" i="26" s="1"/>
  <c r="E128" i="26"/>
  <c r="F128" i="26" s="1"/>
  <c r="E50" i="26"/>
  <c r="F50" i="26" s="1"/>
  <c r="E131" i="26"/>
  <c r="F131" i="26" s="1"/>
  <c r="E84" i="26"/>
  <c r="F84" i="26" s="1"/>
  <c r="E87" i="26"/>
  <c r="F87" i="26" s="1"/>
  <c r="E10" i="26"/>
  <c r="F10" i="26" s="1"/>
  <c r="E102" i="26"/>
  <c r="F102" i="26" s="1"/>
  <c r="E67" i="26"/>
  <c r="F67" i="26" s="1"/>
  <c r="E79" i="26"/>
  <c r="F79" i="26" s="1"/>
  <c r="E36" i="26"/>
  <c r="F36" i="26" s="1"/>
  <c r="E73" i="26"/>
  <c r="F73" i="26" s="1"/>
  <c r="E107" i="26"/>
  <c r="F107" i="26" s="1"/>
  <c r="E25" i="26"/>
  <c r="F25" i="26" s="1"/>
  <c r="E62" i="26"/>
  <c r="F62" i="26" s="1"/>
  <c r="E59" i="26"/>
  <c r="F59" i="26" s="1"/>
  <c r="E132" i="26"/>
  <c r="F132" i="26" s="1"/>
  <c r="E69" i="26"/>
  <c r="F69" i="26" s="1"/>
  <c r="E117" i="26"/>
  <c r="F117" i="26" s="1"/>
  <c r="E88" i="26"/>
  <c r="F88" i="26" s="1"/>
  <c r="E22" i="26"/>
  <c r="F22" i="26" s="1"/>
  <c r="E27" i="26"/>
  <c r="F27" i="26" s="1"/>
  <c r="E104" i="26"/>
  <c r="F104" i="26" s="1"/>
  <c r="E76" i="26"/>
  <c r="F76" i="26" s="1"/>
  <c r="E80" i="26"/>
  <c r="F80" i="26" s="1"/>
  <c r="E14" i="26"/>
  <c r="F14" i="26" s="1"/>
  <c r="E91" i="26"/>
  <c r="F91" i="26" s="1"/>
  <c r="E114" i="26"/>
  <c r="F114" i="26" s="1"/>
  <c r="E54" i="26"/>
  <c r="F54" i="26" s="1"/>
  <c r="E28" i="26"/>
  <c r="F28" i="26" s="1"/>
  <c r="E70" i="26"/>
  <c r="F70" i="26" s="1"/>
  <c r="E120" i="26"/>
  <c r="F120" i="26" s="1"/>
  <c r="E123" i="26"/>
  <c r="F123" i="26" s="1"/>
  <c r="E12" i="26"/>
  <c r="F12" i="26" s="1"/>
  <c r="E137" i="26"/>
  <c r="F137" i="26" s="1"/>
  <c r="E112" i="26"/>
  <c r="F112" i="26" s="1"/>
  <c r="E15" i="26"/>
  <c r="F15" i="26" s="1"/>
  <c r="E34" i="26"/>
  <c r="F34" i="26" s="1"/>
  <c r="E116" i="26"/>
  <c r="F116" i="26" s="1"/>
  <c r="E93" i="26"/>
  <c r="F93" i="26" s="1"/>
  <c r="E68" i="26"/>
  <c r="F68" i="26" s="1"/>
  <c r="E71" i="26"/>
  <c r="F71" i="26" s="1"/>
  <c r="E106" i="26"/>
  <c r="F106" i="26" s="1"/>
  <c r="E45" i="26"/>
  <c r="F45" i="26" s="1"/>
  <c r="E23" i="26"/>
  <c r="F23" i="26" s="1"/>
  <c r="E82" i="26"/>
  <c r="F82" i="26" s="1"/>
  <c r="E101" i="26"/>
  <c r="F101" i="26" s="1"/>
  <c r="E118" i="26"/>
  <c r="F118" i="26" s="1"/>
  <c r="E16" i="26"/>
  <c r="F16" i="26" s="1"/>
  <c r="E38" i="26"/>
  <c r="F38" i="26" s="1"/>
  <c r="E43" i="26"/>
  <c r="F43" i="26" s="1"/>
  <c r="E55" i="26"/>
  <c r="F55" i="26" s="1"/>
  <c r="E100" i="26"/>
  <c r="F100" i="26" s="1"/>
  <c r="E94" i="26"/>
  <c r="F94" i="26" s="1"/>
  <c r="E83" i="26"/>
  <c r="F83" i="26" s="1"/>
  <c r="E11" i="26"/>
  <c r="F11" i="26" s="1"/>
  <c r="E96" i="26"/>
  <c r="F96" i="26" s="1"/>
  <c r="E105" i="26"/>
  <c r="F105" i="26" s="1"/>
  <c r="E72" i="26"/>
  <c r="F72" i="26" s="1"/>
  <c r="E6" i="26"/>
  <c r="F6" i="26" s="1"/>
  <c r="F52" i="85"/>
  <c r="A3" i="70"/>
  <c r="F54" i="85"/>
  <c r="F51" i="85"/>
  <c r="A3" i="91"/>
  <c r="A3" i="28"/>
  <c r="A3" i="29"/>
  <c r="A3" i="24"/>
  <c r="F59" i="85"/>
  <c r="K17" i="106"/>
  <c r="K20" i="106"/>
  <c r="K23" i="106"/>
  <c r="K26" i="106"/>
  <c r="L26" i="106"/>
  <c r="J99" i="70" s="1"/>
  <c r="L23" i="106"/>
  <c r="J98" i="70" s="1"/>
  <c r="L20" i="106"/>
  <c r="J97" i="70" s="1"/>
  <c r="L17" i="106"/>
  <c r="J96" i="70" s="1"/>
  <c r="N127" i="17"/>
  <c r="F75" i="85"/>
  <c r="F73" i="85"/>
  <c r="F74" i="85" s="1"/>
  <c r="A3" i="82"/>
  <c r="F60" i="85"/>
  <c r="F62" i="85"/>
  <c r="J16" i="106"/>
  <c r="Z97" i="110" s="1"/>
  <c r="T97" i="110" s="1"/>
  <c r="U97" i="110" s="1"/>
  <c r="J19" i="106"/>
  <c r="Z99" i="110" s="1"/>
  <c r="T99" i="110" s="1"/>
  <c r="J22" i="106"/>
  <c r="Z101" i="110" s="1"/>
  <c r="T101" i="110" s="1"/>
  <c r="J25" i="106"/>
  <c r="Z103" i="110" s="1"/>
  <c r="T103" i="110" s="1"/>
  <c r="A4" i="103"/>
  <c r="E99" i="108" s="1"/>
  <c r="F53" i="85"/>
  <c r="A3" i="79"/>
  <c r="N9" i="17"/>
  <c r="N10" i="17"/>
  <c r="N15" i="17"/>
  <c r="N16" i="17"/>
  <c r="N22" i="17"/>
  <c r="N23" i="17"/>
  <c r="N24" i="17"/>
  <c r="N27" i="17"/>
  <c r="N28" i="17"/>
  <c r="N29" i="17"/>
  <c r="N32" i="17"/>
  <c r="N33" i="17"/>
  <c r="N35" i="17"/>
  <c r="N36" i="17"/>
  <c r="N37" i="17"/>
  <c r="N38" i="17"/>
  <c r="N46" i="17"/>
  <c r="N49" i="17"/>
  <c r="N50" i="17"/>
  <c r="N51" i="17"/>
  <c r="N53" i="17"/>
  <c r="N56" i="17"/>
  <c r="N58" i="17"/>
  <c r="N59" i="17"/>
  <c r="N60" i="17"/>
  <c r="N61" i="17"/>
  <c r="N62" i="17"/>
  <c r="N64" i="17"/>
  <c r="N65" i="17"/>
  <c r="N66" i="17"/>
  <c r="N72" i="17"/>
  <c r="N73" i="17"/>
  <c r="N76" i="17"/>
  <c r="N79" i="17"/>
  <c r="N80" i="17"/>
  <c r="N81" i="17"/>
  <c r="N82" i="17"/>
  <c r="N84" i="17"/>
  <c r="N87" i="17"/>
  <c r="N89" i="17"/>
  <c r="N90" i="17"/>
  <c r="N91" i="17"/>
  <c r="N94" i="17"/>
  <c r="N96" i="17"/>
  <c r="N98" i="17"/>
  <c r="N99" i="17"/>
  <c r="N100" i="17"/>
  <c r="N101" i="17"/>
  <c r="N102" i="17"/>
  <c r="N108" i="17"/>
  <c r="N109" i="17"/>
  <c r="N110" i="17"/>
  <c r="N111" i="17"/>
  <c r="N112" i="17"/>
  <c r="N113" i="17"/>
  <c r="N114" i="17"/>
  <c r="N115" i="17"/>
  <c r="N116" i="17"/>
  <c r="N117" i="17"/>
  <c r="N118" i="17"/>
  <c r="N119" i="17"/>
  <c r="N120" i="17"/>
  <c r="N121" i="17"/>
  <c r="N122" i="17"/>
  <c r="N123" i="17"/>
  <c r="N124" i="17"/>
  <c r="N125" i="17"/>
  <c r="N126" i="17"/>
  <c r="N128" i="17"/>
  <c r="N129" i="17"/>
  <c r="N130" i="17"/>
  <c r="E7" i="5"/>
  <c r="F55" i="85"/>
  <c r="F61" i="85"/>
  <c r="F63" i="85"/>
  <c r="D15" i="106"/>
  <c r="J15" i="106" s="1"/>
  <c r="E15" i="106"/>
  <c r="H15" i="106"/>
  <c r="J18" i="106"/>
  <c r="Z100" i="110" s="1"/>
  <c r="T100" i="110" s="1"/>
  <c r="J21" i="106"/>
  <c r="Z102" i="110" s="1"/>
  <c r="T102" i="110" s="1"/>
  <c r="J24" i="106"/>
  <c r="Z104" i="110" s="1"/>
  <c r="T104" i="110" s="1"/>
  <c r="J27" i="106"/>
  <c r="Z107" i="110" s="1"/>
  <c r="T107" i="110" s="1"/>
  <c r="A3" i="98"/>
  <c r="A3" i="97"/>
  <c r="B12" i="106"/>
  <c r="N95" i="17"/>
  <c r="N93" i="17"/>
  <c r="N92" i="17"/>
  <c r="N88" i="17"/>
  <c r="N86" i="17"/>
  <c r="N85" i="17"/>
  <c r="N83" i="17"/>
  <c r="N78" i="17"/>
  <c r="N77" i="17"/>
  <c r="N75" i="17"/>
  <c r="N74" i="17"/>
  <c r="N71" i="17"/>
  <c r="N70" i="17"/>
  <c r="N69" i="17"/>
  <c r="N68" i="17"/>
  <c r="N67" i="17"/>
  <c r="N63" i="17"/>
  <c r="N57" i="17"/>
  <c r="N55" i="17"/>
  <c r="N54" i="17"/>
  <c r="N52" i="17"/>
  <c r="N48" i="17"/>
  <c r="N47" i="17"/>
  <c r="N45" i="17"/>
  <c r="N44" i="17"/>
  <c r="N43" i="17"/>
  <c r="N42" i="17"/>
  <c r="N41" i="17"/>
  <c r="N40" i="17"/>
  <c r="N39" i="17"/>
  <c r="N31" i="17"/>
  <c r="B3" i="105"/>
  <c r="J80" i="52"/>
  <c r="M80" i="52"/>
  <c r="P80" i="52"/>
  <c r="S80" i="52"/>
  <c r="V80" i="52"/>
  <c r="V52" i="52"/>
  <c r="S52" i="52"/>
  <c r="P52" i="52"/>
  <c r="M52" i="52"/>
  <c r="V91" i="52"/>
  <c r="V98" i="52"/>
  <c r="S98" i="52"/>
  <c r="P98" i="52"/>
  <c r="M98" i="52"/>
  <c r="J98" i="52"/>
  <c r="S91" i="52"/>
  <c r="P91" i="52"/>
  <c r="M91" i="52"/>
  <c r="J91" i="52"/>
  <c r="E41" i="104"/>
  <c r="G41" i="104"/>
  <c r="I41" i="104"/>
  <c r="K41" i="104"/>
  <c r="M41" i="104"/>
  <c r="M10" i="104"/>
  <c r="K10" i="104"/>
  <c r="I10" i="104"/>
  <c r="G10" i="104"/>
  <c r="E10" i="104"/>
  <c r="O8" i="15"/>
  <c r="N19" i="17"/>
  <c r="N8" i="17"/>
  <c r="N11" i="17"/>
  <c r="N12" i="17"/>
  <c r="N13" i="17"/>
  <c r="N14" i="17"/>
  <c r="N17" i="17"/>
  <c r="N18" i="17"/>
  <c r="N20" i="17"/>
  <c r="N21" i="17"/>
  <c r="N25" i="17"/>
  <c r="N26" i="17"/>
  <c r="N30" i="17"/>
  <c r="N34" i="17"/>
  <c r="N7" i="17"/>
  <c r="E24" i="104"/>
  <c r="M24" i="104"/>
  <c r="K24" i="104"/>
  <c r="I24" i="104"/>
  <c r="G24" i="104"/>
  <c r="V102" i="73" l="1"/>
  <c r="S102" i="73"/>
  <c r="T102" i="73"/>
  <c r="R102" i="73"/>
  <c r="P109" i="70"/>
  <c r="P112" i="70"/>
  <c r="P36" i="70"/>
  <c r="P121" i="70"/>
  <c r="P71" i="70"/>
  <c r="P124" i="70"/>
  <c r="P102" i="70"/>
  <c r="P103" i="70"/>
  <c r="P106" i="70"/>
  <c r="P104" i="70"/>
  <c r="P105" i="70"/>
  <c r="P108" i="70"/>
  <c r="P113" i="70"/>
  <c r="P119" i="70"/>
  <c r="P111" i="70"/>
  <c r="P114" i="70"/>
  <c r="P116" i="70"/>
  <c r="P137" i="70"/>
  <c r="P30" i="70"/>
  <c r="H31" i="73" s="1"/>
  <c r="P107" i="70"/>
  <c r="AN119" i="116" s="1"/>
  <c r="AP119" i="116" s="1"/>
  <c r="P24" i="70"/>
  <c r="AN24" i="116" s="1"/>
  <c r="AP24" i="116" s="1"/>
  <c r="P58" i="70"/>
  <c r="H59" i="73" s="1"/>
  <c r="P130" i="70"/>
  <c r="P87" i="70"/>
  <c r="P18" i="70"/>
  <c r="P53" i="70"/>
  <c r="P82" i="70"/>
  <c r="P90" i="70"/>
  <c r="P136" i="70"/>
  <c r="P44" i="70"/>
  <c r="P86" i="70"/>
  <c r="P128" i="70"/>
  <c r="P56" i="70"/>
  <c r="P50" i="70"/>
  <c r="P141" i="70"/>
  <c r="P123" i="70"/>
  <c r="P133" i="70"/>
  <c r="P6" i="70"/>
  <c r="P78" i="70"/>
  <c r="P59" i="70"/>
  <c r="P120" i="70"/>
  <c r="AN132" i="116" s="1"/>
  <c r="AP132" i="116" s="1"/>
  <c r="P39" i="70"/>
  <c r="H40" i="73" s="1"/>
  <c r="P11" i="70"/>
  <c r="AN11" i="116" s="1"/>
  <c r="AP11" i="116" s="1"/>
  <c r="P139" i="70"/>
  <c r="D132" i="90" s="1"/>
  <c r="C132" i="90" s="1"/>
  <c r="P54" i="70"/>
  <c r="P26" i="70"/>
  <c r="P122" i="70"/>
  <c r="P89" i="70"/>
  <c r="P118" i="70"/>
  <c r="P77" i="70"/>
  <c r="P115" i="70"/>
  <c r="P66" i="70"/>
  <c r="P83" i="70"/>
  <c r="P63" i="70"/>
  <c r="P52" i="70"/>
  <c r="P73" i="70"/>
  <c r="P129" i="70"/>
  <c r="P51" i="70"/>
  <c r="P72" i="70"/>
  <c r="P135" i="70"/>
  <c r="P94" i="70"/>
  <c r="P37" i="70"/>
  <c r="P68" i="70"/>
  <c r="P7" i="70"/>
  <c r="D6" i="90" s="1"/>
  <c r="C6" i="90" s="1"/>
  <c r="P65" i="70"/>
  <c r="AN66" i="116" s="1"/>
  <c r="AP66" i="116" s="1"/>
  <c r="P131" i="70"/>
  <c r="H127" i="73" s="1"/>
  <c r="P20" i="70"/>
  <c r="P57" i="70"/>
  <c r="P143" i="70"/>
  <c r="P84" i="70"/>
  <c r="P48" i="70"/>
  <c r="P88" i="70"/>
  <c r="P42" i="70"/>
  <c r="P23" i="70"/>
  <c r="P91" i="70"/>
  <c r="P49" i="70"/>
  <c r="P67" i="70"/>
  <c r="P144" i="70"/>
  <c r="P13" i="70"/>
  <c r="P43" i="70"/>
  <c r="P75" i="70"/>
  <c r="P117" i="70"/>
  <c r="P46" i="70"/>
  <c r="P93" i="70"/>
  <c r="P15" i="70"/>
  <c r="D14" i="90" s="1"/>
  <c r="C14" i="90" s="1"/>
  <c r="P25" i="70"/>
  <c r="H26" i="73" s="1"/>
  <c r="P74" i="70"/>
  <c r="AN75" i="116" s="1"/>
  <c r="AP75" i="116" s="1"/>
  <c r="P40" i="70"/>
  <c r="AN41" i="116" s="1"/>
  <c r="AP41" i="116" s="1"/>
  <c r="P134" i="70"/>
  <c r="P69" i="70"/>
  <c r="P138" i="70"/>
  <c r="P92" i="70"/>
  <c r="P85" i="70"/>
  <c r="P55" i="70"/>
  <c r="P45" i="70"/>
  <c r="P81" i="70"/>
  <c r="P41" i="70"/>
  <c r="P110" i="70"/>
  <c r="P27" i="70"/>
  <c r="P64" i="70"/>
  <c r="P14" i="70"/>
  <c r="AN14" i="116" s="1"/>
  <c r="AP14" i="116" s="1"/>
  <c r="P140" i="70"/>
  <c r="P127" i="70"/>
  <c r="P29" i="70"/>
  <c r="P38" i="70"/>
  <c r="P19" i="70"/>
  <c r="P28" i="70"/>
  <c r="AN28" i="116" s="1"/>
  <c r="AP28" i="116" s="1"/>
  <c r="P62" i="70"/>
  <c r="D60" i="90" s="1"/>
  <c r="C60" i="90" s="1"/>
  <c r="P16" i="70"/>
  <c r="D15" i="90" s="1"/>
  <c r="C15" i="90" s="1"/>
  <c r="P60" i="70"/>
  <c r="P47" i="70"/>
  <c r="P61" i="70"/>
  <c r="Q102" i="70"/>
  <c r="S102" i="70" s="1"/>
  <c r="Q103" i="70"/>
  <c r="S103" i="70" s="1"/>
  <c r="Q104" i="70"/>
  <c r="S104" i="70" s="1"/>
  <c r="Q105" i="70"/>
  <c r="S105" i="70" s="1"/>
  <c r="Q7" i="70"/>
  <c r="Q135" i="70"/>
  <c r="Q53" i="70"/>
  <c r="S53" i="70" s="1"/>
  <c r="Q6" i="70"/>
  <c r="S6" i="70" s="1"/>
  <c r="Q69" i="70"/>
  <c r="S69" i="70" s="1"/>
  <c r="C105" i="120"/>
  <c r="M102" i="120"/>
  <c r="M104" i="120"/>
  <c r="C104" i="120"/>
  <c r="M106" i="120"/>
  <c r="C102" i="120"/>
  <c r="M103" i="120"/>
  <c r="M105" i="120"/>
  <c r="C106" i="120"/>
  <c r="C103" i="120"/>
  <c r="AP106" i="120"/>
  <c r="AF106" i="120"/>
  <c r="AP104" i="120"/>
  <c r="AP102" i="120"/>
  <c r="AF103" i="120"/>
  <c r="AF102" i="120"/>
  <c r="AP103" i="120"/>
  <c r="AF104" i="120"/>
  <c r="AP105" i="120"/>
  <c r="AF105" i="120"/>
  <c r="Q96" i="70"/>
  <c r="D99" i="79"/>
  <c r="C99" i="79" s="1"/>
  <c r="N102" i="98" s="1"/>
  <c r="D100" i="5"/>
  <c r="C100" i="5" s="1"/>
  <c r="Q102" i="73"/>
  <c r="P102" i="73"/>
  <c r="O102" i="73"/>
  <c r="N102" i="73"/>
  <c r="F101" i="125"/>
  <c r="E101" i="125"/>
  <c r="G101" i="125" s="1"/>
  <c r="AP31" i="120"/>
  <c r="AI31" i="120"/>
  <c r="AL31" i="120" s="1"/>
  <c r="AO31" i="120" s="1"/>
  <c r="AF31" i="120"/>
  <c r="AS31" i="120"/>
  <c r="AV31" i="120" s="1"/>
  <c r="AY31" i="120" s="1"/>
  <c r="AR20" i="26"/>
  <c r="R20" i="26"/>
  <c r="T20" i="26"/>
  <c r="AV20" i="26"/>
  <c r="U20" i="26"/>
  <c r="AW20" i="26"/>
  <c r="V20" i="26"/>
  <c r="AM20" i="26"/>
  <c r="W20" i="26"/>
  <c r="AO20" i="26"/>
  <c r="AX20" i="26"/>
  <c r="AP20" i="26"/>
  <c r="AA20" i="26"/>
  <c r="AQ20" i="26"/>
  <c r="AB20" i="26"/>
  <c r="Q20" i="26"/>
  <c r="AI20" i="26"/>
  <c r="AU20" i="26"/>
  <c r="AJ20" i="26"/>
  <c r="AL20" i="26"/>
  <c r="Z20" i="26"/>
  <c r="O20" i="26"/>
  <c r="F20" i="26"/>
  <c r="F31" i="26"/>
  <c r="H32" i="82"/>
  <c r="N33" i="73" s="1"/>
  <c r="AP31" i="46"/>
  <c r="CC33" i="116"/>
  <c r="CL33" i="116"/>
  <c r="AO31" i="46"/>
  <c r="CB33" i="116"/>
  <c r="BE33" i="116"/>
  <c r="AN31" i="46"/>
  <c r="AM31" i="46"/>
  <c r="L32" i="18"/>
  <c r="BM33" i="116"/>
  <c r="BO33" i="116" s="1"/>
  <c r="BB33" i="116"/>
  <c r="BD33" i="116" s="1"/>
  <c r="J32" i="18"/>
  <c r="AY33" i="116"/>
  <c r="BA33" i="116" s="1"/>
  <c r="AL31" i="46"/>
  <c r="K32" i="18"/>
  <c r="CH33" i="116"/>
  <c r="BX33" i="116"/>
  <c r="CG33" i="116"/>
  <c r="BJ33" i="116"/>
  <c r="BL33" i="116" s="1"/>
  <c r="AK31" i="46"/>
  <c r="BW33" i="116"/>
  <c r="AQ31" i="46"/>
  <c r="BS33" i="116"/>
  <c r="BU33" i="116" s="1"/>
  <c r="CM33" i="116"/>
  <c r="BF33" i="116"/>
  <c r="BH33" i="116" s="1"/>
  <c r="BP33" i="116"/>
  <c r="BR33" i="116" s="1"/>
  <c r="BI33" i="116"/>
  <c r="AD35" i="24"/>
  <c r="AD34" i="24"/>
  <c r="AC35" i="24"/>
  <c r="AC34" i="24"/>
  <c r="AB35" i="24"/>
  <c r="AB34" i="24"/>
  <c r="AF34" i="24"/>
  <c r="AG35" i="24"/>
  <c r="AG34" i="24"/>
  <c r="AF35" i="24"/>
  <c r="AE35" i="24"/>
  <c r="AE34" i="24"/>
  <c r="AJ32" i="46"/>
  <c r="AI32" i="46"/>
  <c r="AG32" i="46"/>
  <c r="I33" i="17"/>
  <c r="AI35" i="24"/>
  <c r="AI34" i="24"/>
  <c r="AH32" i="46"/>
  <c r="AJ31" i="46"/>
  <c r="G19" i="38"/>
  <c r="F19" i="38" s="1"/>
  <c r="AH35" i="24"/>
  <c r="AH34" i="24"/>
  <c r="D19" i="38"/>
  <c r="C19" i="38" s="1"/>
  <c r="AI31" i="46"/>
  <c r="E19" i="38"/>
  <c r="AH31" i="46"/>
  <c r="AG31" i="46"/>
  <c r="H19" i="38"/>
  <c r="D5" i="79"/>
  <c r="C5" i="79" s="1"/>
  <c r="N8" i="98" s="1"/>
  <c r="AU33" i="116"/>
  <c r="AI33" i="116"/>
  <c r="AK33" i="116" s="1"/>
  <c r="AS33" i="116"/>
  <c r="W33" i="116"/>
  <c r="Y33" i="116" s="1"/>
  <c r="K33" i="116"/>
  <c r="M33" i="116" s="1"/>
  <c r="AQ33" i="116"/>
  <c r="H33" i="116"/>
  <c r="J33" i="116" s="1"/>
  <c r="AW33" i="116"/>
  <c r="N33" i="116"/>
  <c r="P33" i="116" s="1"/>
  <c r="AF33" i="116"/>
  <c r="AH33" i="116" s="1"/>
  <c r="T33" i="116"/>
  <c r="V33" i="116" s="1"/>
  <c r="AN33" i="116"/>
  <c r="AP33" i="116" s="1"/>
  <c r="Z33" i="116"/>
  <c r="AB33" i="116" s="1"/>
  <c r="C33" i="116"/>
  <c r="AC33" i="116"/>
  <c r="AE33" i="116" s="1"/>
  <c r="Q33" i="116"/>
  <c r="S33" i="116" s="1"/>
  <c r="E33" i="116"/>
  <c r="G33" i="116" s="1"/>
  <c r="C32" i="116"/>
  <c r="AL33" i="116"/>
  <c r="AT35" i="24"/>
  <c r="Q35" i="24" s="1"/>
  <c r="AL35" i="24"/>
  <c r="AS35" i="24"/>
  <c r="AK35" i="24"/>
  <c r="AJ35" i="24"/>
  <c r="AR35" i="24"/>
  <c r="J35" i="24" s="1"/>
  <c r="AQ35" i="24"/>
  <c r="AU35" i="24"/>
  <c r="AP35" i="24"/>
  <c r="AO35" i="24"/>
  <c r="AM35" i="24"/>
  <c r="AN35" i="24"/>
  <c r="AN32" i="46"/>
  <c r="AM32" i="46"/>
  <c r="AK117" i="24"/>
  <c r="AK118" i="24"/>
  <c r="CM100" i="116"/>
  <c r="CH98" i="116"/>
  <c r="CH102" i="116"/>
  <c r="CC100" i="116"/>
  <c r="CC111" i="116"/>
  <c r="BW97" i="116"/>
  <c r="BW101" i="116"/>
  <c r="CL101" i="116"/>
  <c r="CB97" i="116"/>
  <c r="CB101" i="116"/>
  <c r="BX97" i="116"/>
  <c r="CC115" i="116"/>
  <c r="CL99" i="116"/>
  <c r="CM99" i="116"/>
  <c r="BW100" i="116"/>
  <c r="CC110" i="116"/>
  <c r="CL97" i="116"/>
  <c r="CG99" i="116"/>
  <c r="CC112" i="116"/>
  <c r="BX101" i="116"/>
  <c r="BW99" i="116"/>
  <c r="CG97" i="116"/>
  <c r="BX99" i="116"/>
  <c r="CC109" i="116"/>
  <c r="CG102" i="116"/>
  <c r="CM97" i="116"/>
  <c r="CM101" i="116"/>
  <c r="CH99" i="116"/>
  <c r="CC97" i="116"/>
  <c r="CC101" i="116"/>
  <c r="CC113" i="116"/>
  <c r="BW98" i="116"/>
  <c r="BW102" i="116"/>
  <c r="CB98" i="116"/>
  <c r="BX98" i="116"/>
  <c r="BX102" i="116"/>
  <c r="CG101" i="116"/>
  <c r="CC116" i="116"/>
  <c r="CH101" i="116"/>
  <c r="CG98" i="116"/>
  <c r="BX100" i="116"/>
  <c r="CL98" i="116"/>
  <c r="CL102" i="116"/>
  <c r="CG100" i="116"/>
  <c r="CB102" i="116"/>
  <c r="CC114" i="116"/>
  <c r="CC108" i="116"/>
  <c r="CC99" i="116"/>
  <c r="CL100" i="116"/>
  <c r="CC118" i="116"/>
  <c r="CM98" i="116"/>
  <c r="CM102" i="116"/>
  <c r="CH100" i="116"/>
  <c r="CC98" i="116"/>
  <c r="CC102" i="116"/>
  <c r="BS6" i="116"/>
  <c r="CB99" i="116"/>
  <c r="CH97" i="116"/>
  <c r="CC117" i="116"/>
  <c r="CB100" i="116"/>
  <c r="CL49" i="116"/>
  <c r="BW136" i="116"/>
  <c r="M154" i="118"/>
  <c r="Q154" i="118" s="1"/>
  <c r="M156" i="118"/>
  <c r="Q156" i="118" s="1"/>
  <c r="M158" i="118"/>
  <c r="Q158" i="118" s="1"/>
  <c r="M160" i="118"/>
  <c r="Q160" i="118" s="1"/>
  <c r="M162" i="118"/>
  <c r="Q162" i="118" s="1"/>
  <c r="I96" i="118"/>
  <c r="I104" i="118"/>
  <c r="H151" i="118"/>
  <c r="L151" i="118" s="1"/>
  <c r="H153" i="118"/>
  <c r="L153" i="118" s="1"/>
  <c r="H155" i="118"/>
  <c r="L155" i="118" s="1"/>
  <c r="H157" i="118"/>
  <c r="L157" i="118" s="1"/>
  <c r="H159" i="118"/>
  <c r="L159" i="118" s="1"/>
  <c r="H161" i="118"/>
  <c r="L161" i="118" s="1"/>
  <c r="D155" i="118"/>
  <c r="C129" i="118"/>
  <c r="G129" i="118" s="1"/>
  <c r="C158" i="118"/>
  <c r="G158" i="118" s="1"/>
  <c r="C161" i="118"/>
  <c r="G161" i="118" s="1"/>
  <c r="H162" i="118"/>
  <c r="L162" i="118" s="1"/>
  <c r="C162" i="118"/>
  <c r="G162" i="118" s="1"/>
  <c r="N155" i="118"/>
  <c r="N161" i="118"/>
  <c r="I103" i="118"/>
  <c r="I158" i="118"/>
  <c r="D161" i="118"/>
  <c r="S154" i="118"/>
  <c r="S162" i="118"/>
  <c r="D162" i="118"/>
  <c r="N154" i="118"/>
  <c r="N156" i="118"/>
  <c r="N158" i="118"/>
  <c r="N160" i="118"/>
  <c r="N162" i="118"/>
  <c r="I99" i="118"/>
  <c r="I151" i="118"/>
  <c r="I153" i="118"/>
  <c r="I155" i="118"/>
  <c r="I157" i="118"/>
  <c r="I159" i="118"/>
  <c r="I161" i="118"/>
  <c r="D156" i="118"/>
  <c r="C151" i="118"/>
  <c r="G151" i="118" s="1"/>
  <c r="C159" i="118"/>
  <c r="G159" i="118" s="1"/>
  <c r="S153" i="118"/>
  <c r="S161" i="118"/>
  <c r="I97" i="118"/>
  <c r="C153" i="118"/>
  <c r="G153" i="118" s="1"/>
  <c r="H158" i="118"/>
  <c r="L158" i="118" s="1"/>
  <c r="D151" i="118"/>
  <c r="N153" i="118"/>
  <c r="N159" i="118"/>
  <c r="I160" i="118"/>
  <c r="C155" i="118"/>
  <c r="G155" i="118" s="1"/>
  <c r="R156" i="118"/>
  <c r="V156" i="118" s="1"/>
  <c r="R162" i="118"/>
  <c r="V162" i="118" s="1"/>
  <c r="I106" i="118"/>
  <c r="S158" i="118"/>
  <c r="BX136" i="116"/>
  <c r="R151" i="118"/>
  <c r="V151" i="118" s="1"/>
  <c r="R153" i="118"/>
  <c r="V153" i="118" s="1"/>
  <c r="R155" i="118"/>
  <c r="V155" i="118" s="1"/>
  <c r="R157" i="118"/>
  <c r="V157" i="118" s="1"/>
  <c r="R159" i="118"/>
  <c r="V159" i="118" s="1"/>
  <c r="R161" i="118"/>
  <c r="V161" i="118" s="1"/>
  <c r="I102" i="118"/>
  <c r="D157" i="118"/>
  <c r="C160" i="118"/>
  <c r="G160" i="118" s="1"/>
  <c r="D129" i="118"/>
  <c r="S151" i="118"/>
  <c r="S155" i="118"/>
  <c r="S157" i="118"/>
  <c r="S159" i="118"/>
  <c r="I105" i="118"/>
  <c r="D158" i="118"/>
  <c r="H160" i="118"/>
  <c r="L160" i="118" s="1"/>
  <c r="D159" i="118"/>
  <c r="N151" i="118"/>
  <c r="N157" i="118"/>
  <c r="I154" i="118"/>
  <c r="I162" i="118"/>
  <c r="D160" i="118"/>
  <c r="R160" i="118"/>
  <c r="V160" i="118" s="1"/>
  <c r="I98" i="118"/>
  <c r="C156" i="118"/>
  <c r="G156" i="118" s="1"/>
  <c r="S156" i="118"/>
  <c r="I101" i="118"/>
  <c r="C157" i="118"/>
  <c r="G157" i="118" s="1"/>
  <c r="M151" i="118"/>
  <c r="Q151" i="118" s="1"/>
  <c r="M153" i="118"/>
  <c r="Q153" i="118" s="1"/>
  <c r="M155" i="118"/>
  <c r="Q155" i="118" s="1"/>
  <c r="M157" i="118"/>
  <c r="Q157" i="118" s="1"/>
  <c r="M159" i="118"/>
  <c r="Q159" i="118" s="1"/>
  <c r="M161" i="118"/>
  <c r="Q161" i="118" s="1"/>
  <c r="I100" i="118"/>
  <c r="H154" i="118"/>
  <c r="L154" i="118" s="1"/>
  <c r="H156" i="118"/>
  <c r="L156" i="118" s="1"/>
  <c r="C154" i="118"/>
  <c r="G154" i="118" s="1"/>
  <c r="I156" i="118"/>
  <c r="R154" i="118"/>
  <c r="V154" i="118" s="1"/>
  <c r="R158" i="118"/>
  <c r="V158" i="118" s="1"/>
  <c r="D153" i="118"/>
  <c r="S160" i="118"/>
  <c r="D154" i="118"/>
  <c r="CB118" i="116"/>
  <c r="CB114" i="116"/>
  <c r="CB117" i="116"/>
  <c r="H101" i="118"/>
  <c r="L101" i="118" s="1"/>
  <c r="CL116" i="116"/>
  <c r="CB113" i="116"/>
  <c r="H106" i="118"/>
  <c r="L106" i="118" s="1"/>
  <c r="H102" i="118"/>
  <c r="L102" i="118" s="1"/>
  <c r="H105" i="118"/>
  <c r="L105" i="118" s="1"/>
  <c r="CB112" i="116"/>
  <c r="R112" i="118"/>
  <c r="V112" i="118" s="1"/>
  <c r="H100" i="118"/>
  <c r="L100" i="118" s="1"/>
  <c r="CB110" i="116"/>
  <c r="H98" i="118"/>
  <c r="L98" i="118" s="1"/>
  <c r="M96" i="118"/>
  <c r="Q96" i="118" s="1"/>
  <c r="CG116" i="116"/>
  <c r="CL117" i="116"/>
  <c r="CG117" i="116"/>
  <c r="CB109" i="116"/>
  <c r="R104" i="118"/>
  <c r="V104" i="118" s="1"/>
  <c r="CB108" i="116"/>
  <c r="H96" i="118"/>
  <c r="L96" i="118" s="1"/>
  <c r="CB111" i="116"/>
  <c r="H97" i="118"/>
  <c r="L97" i="118" s="1"/>
  <c r="CB116" i="116"/>
  <c r="H103" i="118"/>
  <c r="L103" i="118" s="1"/>
  <c r="R106" i="118"/>
  <c r="V106" i="118" s="1"/>
  <c r="M104" i="118"/>
  <c r="Q104" i="118" s="1"/>
  <c r="R105" i="118"/>
  <c r="V105" i="118" s="1"/>
  <c r="M105" i="118"/>
  <c r="Q105" i="118" s="1"/>
  <c r="H99" i="118"/>
  <c r="L99" i="118" s="1"/>
  <c r="CL118" i="116"/>
  <c r="CG108" i="116"/>
  <c r="CB115" i="116"/>
  <c r="H104" i="118"/>
  <c r="L104" i="118" s="1"/>
  <c r="CL119" i="116"/>
  <c r="CL67" i="116"/>
  <c r="CB36" i="116"/>
  <c r="M9" i="118"/>
  <c r="Q9" i="118" s="1"/>
  <c r="CG44" i="116"/>
  <c r="R57" i="118"/>
  <c r="V57" i="118" s="1"/>
  <c r="CL7" i="116"/>
  <c r="R15" i="118"/>
  <c r="V15" i="118" s="1"/>
  <c r="BW16" i="116"/>
  <c r="C20" i="118"/>
  <c r="G20" i="118" s="1"/>
  <c r="BW32" i="116"/>
  <c r="C36" i="118"/>
  <c r="G36" i="118" s="1"/>
  <c r="BW49" i="116"/>
  <c r="H52" i="118"/>
  <c r="L52" i="118" s="1"/>
  <c r="CB65" i="116"/>
  <c r="H68" i="118"/>
  <c r="L68" i="118" s="1"/>
  <c r="CB81" i="116"/>
  <c r="M84" i="118"/>
  <c r="Q84" i="118" s="1"/>
  <c r="CG104" i="116"/>
  <c r="CT104" i="116" s="1"/>
  <c r="AB103" i="120" s="1"/>
  <c r="C98" i="118"/>
  <c r="G98" i="118" s="1"/>
  <c r="BW129" i="116"/>
  <c r="C128" i="118"/>
  <c r="G128" i="118" s="1"/>
  <c r="CB147" i="116"/>
  <c r="H144" i="118"/>
  <c r="L144" i="118" s="1"/>
  <c r="CB19" i="116"/>
  <c r="H20" i="118"/>
  <c r="L20" i="118" s="1"/>
  <c r="CB32" i="116"/>
  <c r="H36" i="118"/>
  <c r="L36" i="118" s="1"/>
  <c r="CB49" i="116"/>
  <c r="M52" i="118"/>
  <c r="Q52" i="118" s="1"/>
  <c r="CG65" i="116"/>
  <c r="M68" i="118"/>
  <c r="Q68" i="118" s="1"/>
  <c r="CG81" i="116"/>
  <c r="R84" i="118"/>
  <c r="V84" i="118" s="1"/>
  <c r="CL104" i="116"/>
  <c r="CU104" i="116" s="1"/>
  <c r="AC103" i="120" s="1"/>
  <c r="C99" i="118"/>
  <c r="G99" i="118" s="1"/>
  <c r="CB129" i="116"/>
  <c r="H126" i="118"/>
  <c r="L126" i="118" s="1"/>
  <c r="CG145" i="116"/>
  <c r="M142" i="118"/>
  <c r="Q142" i="118" s="1"/>
  <c r="S106" i="118"/>
  <c r="CG22" i="116"/>
  <c r="M42" i="118"/>
  <c r="Q42" i="118" s="1"/>
  <c r="CB86" i="116"/>
  <c r="R89" i="118"/>
  <c r="V89" i="118" s="1"/>
  <c r="BW112" i="116"/>
  <c r="M114" i="118"/>
  <c r="Q114" i="118" s="1"/>
  <c r="CG133" i="116"/>
  <c r="R130" i="118"/>
  <c r="V130" i="118" s="1"/>
  <c r="CL149" i="116"/>
  <c r="R146" i="118"/>
  <c r="V146" i="118" s="1"/>
  <c r="CG6" i="116"/>
  <c r="M16" i="118"/>
  <c r="Q16" i="118" s="1"/>
  <c r="CG47" i="116"/>
  <c r="R52" i="118"/>
  <c r="V52" i="118" s="1"/>
  <c r="CL14" i="116"/>
  <c r="R18" i="118"/>
  <c r="V18" i="118" s="1"/>
  <c r="CL35" i="116"/>
  <c r="R40" i="118"/>
  <c r="V40" i="118" s="1"/>
  <c r="BW56" i="116"/>
  <c r="C59" i="118"/>
  <c r="G59" i="118" s="1"/>
  <c r="BW72" i="116"/>
  <c r="C75" i="118"/>
  <c r="G75" i="118" s="1"/>
  <c r="BW89" i="116"/>
  <c r="H92" i="118"/>
  <c r="L92" i="118" s="1"/>
  <c r="CG119" i="116"/>
  <c r="R116" i="118"/>
  <c r="V116" i="118" s="1"/>
  <c r="CL135" i="116"/>
  <c r="C135" i="118"/>
  <c r="G135" i="118" s="1"/>
  <c r="BW154" i="116"/>
  <c r="H6" i="118"/>
  <c r="L6" i="118" s="1"/>
  <c r="CG35" i="116"/>
  <c r="M44" i="118"/>
  <c r="Q44" i="118" s="1"/>
  <c r="CL69" i="116"/>
  <c r="R8" i="118"/>
  <c r="V8" i="118" s="1"/>
  <c r="CL28" i="116"/>
  <c r="CG15" i="116"/>
  <c r="M25" i="118"/>
  <c r="Q25" i="118" s="1"/>
  <c r="CL66" i="116"/>
  <c r="BW6" i="116"/>
  <c r="C10" i="118"/>
  <c r="G10" i="118" s="1"/>
  <c r="BW22" i="116"/>
  <c r="C26" i="118"/>
  <c r="G26" i="118" s="1"/>
  <c r="BW39" i="116"/>
  <c r="C42" i="118"/>
  <c r="G42" i="118" s="1"/>
  <c r="CB55" i="116"/>
  <c r="H58" i="118"/>
  <c r="L58" i="118" s="1"/>
  <c r="CB71" i="116"/>
  <c r="H74" i="118"/>
  <c r="L74" i="118" s="1"/>
  <c r="CB88" i="116"/>
  <c r="M91" i="118"/>
  <c r="Q91" i="118" s="1"/>
  <c r="BW118" i="116"/>
  <c r="C116" i="118"/>
  <c r="G116" i="118" s="1"/>
  <c r="CB137" i="116"/>
  <c r="H134" i="118"/>
  <c r="L134" i="118" s="1"/>
  <c r="CB153" i="116"/>
  <c r="H150" i="118"/>
  <c r="L150" i="118" s="1"/>
  <c r="CB22" i="116"/>
  <c r="H26" i="118"/>
  <c r="L26" i="118" s="1"/>
  <c r="CB39" i="116"/>
  <c r="H42" i="118"/>
  <c r="L42" i="118" s="1"/>
  <c r="CG55" i="116"/>
  <c r="M58" i="118"/>
  <c r="Q58" i="118" s="1"/>
  <c r="CG71" i="116"/>
  <c r="M74" i="118"/>
  <c r="Q74" i="118" s="1"/>
  <c r="CG88" i="116"/>
  <c r="R91" i="118"/>
  <c r="V91" i="118" s="1"/>
  <c r="BW119" i="116"/>
  <c r="H116" i="118"/>
  <c r="L116" i="118" s="1"/>
  <c r="CB135" i="116"/>
  <c r="M132" i="118"/>
  <c r="Q132" i="118" s="1"/>
  <c r="CG151" i="116"/>
  <c r="M148" i="118"/>
  <c r="Q148" i="118" s="1"/>
  <c r="CB7" i="116"/>
  <c r="H18" i="118"/>
  <c r="L18" i="118" s="1"/>
  <c r="CL73" i="116"/>
  <c r="R78" i="118"/>
  <c r="V78" i="118" s="1"/>
  <c r="BW93" i="116"/>
  <c r="C107" i="118"/>
  <c r="G107" i="118" s="1"/>
  <c r="CG123" i="116"/>
  <c r="M120" i="118"/>
  <c r="Q120" i="118" s="1"/>
  <c r="CL139" i="116"/>
  <c r="R136" i="118"/>
  <c r="V136" i="118" s="1"/>
  <c r="CL155" i="116"/>
  <c r="H13" i="118"/>
  <c r="L13" i="118" s="1"/>
  <c r="CG24" i="116"/>
  <c r="M32" i="118"/>
  <c r="Q32" i="118" s="1"/>
  <c r="CL57" i="116"/>
  <c r="R70" i="118"/>
  <c r="CL20" i="116"/>
  <c r="R24" i="118"/>
  <c r="V24" i="118" s="1"/>
  <c r="CL45" i="116"/>
  <c r="C49" i="118"/>
  <c r="G49" i="118" s="1"/>
  <c r="BW62" i="116"/>
  <c r="C65" i="118"/>
  <c r="G65" i="118" s="1"/>
  <c r="BW78" i="116"/>
  <c r="C81" i="118"/>
  <c r="G81" i="118" s="1"/>
  <c r="CB95" i="116"/>
  <c r="H109" i="118"/>
  <c r="L109" i="118" s="1"/>
  <c r="CL125" i="116"/>
  <c r="R122" i="118"/>
  <c r="V122" i="118" s="1"/>
  <c r="BW144" i="116"/>
  <c r="C141" i="118"/>
  <c r="G141" i="118" s="1"/>
  <c r="CB16" i="116"/>
  <c r="M12" i="118"/>
  <c r="Q12" i="118" s="1"/>
  <c r="CL51" i="116"/>
  <c r="R58" i="118"/>
  <c r="V58" i="118" s="1"/>
  <c r="CL12" i="116"/>
  <c r="R42" i="118"/>
  <c r="V42" i="118" s="1"/>
  <c r="BW19" i="116"/>
  <c r="C23" i="118"/>
  <c r="G23" i="118" s="1"/>
  <c r="BW36" i="116"/>
  <c r="C39" i="118"/>
  <c r="G39" i="118" s="1"/>
  <c r="CB52" i="116"/>
  <c r="H55" i="118"/>
  <c r="L55" i="118" s="1"/>
  <c r="CB17" i="116"/>
  <c r="H35" i="118"/>
  <c r="L35" i="118" s="1"/>
  <c r="CG31" i="116"/>
  <c r="M43" i="118"/>
  <c r="Q43" i="118" s="1"/>
  <c r="R7" i="118"/>
  <c r="V7" i="118" s="1"/>
  <c r="BW12" i="116"/>
  <c r="C16" i="118"/>
  <c r="G16" i="118" s="1"/>
  <c r="BW28" i="116"/>
  <c r="C32" i="118"/>
  <c r="G32" i="118" s="1"/>
  <c r="BW45" i="116"/>
  <c r="C48" i="118"/>
  <c r="G48" i="118" s="1"/>
  <c r="CB61" i="116"/>
  <c r="H64" i="118"/>
  <c r="L64" i="118" s="1"/>
  <c r="CB77" i="116"/>
  <c r="H80" i="118"/>
  <c r="L80" i="118" s="1"/>
  <c r="CG94" i="116"/>
  <c r="M108" i="118"/>
  <c r="Q108" i="118" s="1"/>
  <c r="BW125" i="116"/>
  <c r="C122" i="118"/>
  <c r="G122" i="118" s="1"/>
  <c r="CB143" i="116"/>
  <c r="H140" i="118"/>
  <c r="L140" i="118" s="1"/>
  <c r="BW92" i="116"/>
  <c r="H19" i="118"/>
  <c r="L19" i="118" s="1"/>
  <c r="CB28" i="116"/>
  <c r="H32" i="118"/>
  <c r="L32" i="118" s="1"/>
  <c r="CB45" i="116"/>
  <c r="H48" i="118"/>
  <c r="L48" i="118" s="1"/>
  <c r="CG61" i="116"/>
  <c r="M64" i="118"/>
  <c r="Q64" i="118" s="1"/>
  <c r="CG77" i="116"/>
  <c r="M80" i="118"/>
  <c r="Q80" i="118" s="1"/>
  <c r="CL94" i="116"/>
  <c r="R108" i="118"/>
  <c r="V108" i="118" s="1"/>
  <c r="CB125" i="116"/>
  <c r="H122" i="118"/>
  <c r="L122" i="118" s="1"/>
  <c r="CG141" i="116"/>
  <c r="M138" i="118"/>
  <c r="Q138" i="118" s="1"/>
  <c r="CG157" i="116"/>
  <c r="CG14" i="116"/>
  <c r="M22" i="118"/>
  <c r="Q22" i="118" s="1"/>
  <c r="CL81" i="116"/>
  <c r="H85" i="118"/>
  <c r="L85" i="118" s="1"/>
  <c r="BW105" i="116"/>
  <c r="C100" i="118"/>
  <c r="G100" i="118" s="1"/>
  <c r="CG129" i="116"/>
  <c r="M126" i="118"/>
  <c r="Q126" i="118" s="1"/>
  <c r="CL145" i="116"/>
  <c r="R142" i="118"/>
  <c r="V142" i="118" s="1"/>
  <c r="CB10" i="116"/>
  <c r="M6" i="118"/>
  <c r="Q6" i="118" s="1"/>
  <c r="CG37" i="116"/>
  <c r="M46" i="118"/>
  <c r="Q46" i="118" s="1"/>
  <c r="CL6" i="116"/>
  <c r="R14" i="118"/>
  <c r="V14" i="118" s="1"/>
  <c r="CL26" i="116"/>
  <c r="R34" i="118"/>
  <c r="V34" i="118" s="1"/>
  <c r="BW52" i="116"/>
  <c r="C55" i="118"/>
  <c r="G55" i="118" s="1"/>
  <c r="BW68" i="116"/>
  <c r="C71" i="118"/>
  <c r="G71" i="118" s="1"/>
  <c r="CB84" i="116"/>
  <c r="C88" i="118"/>
  <c r="G88" i="118" s="1"/>
  <c r="CB107" i="116"/>
  <c r="M112" i="118"/>
  <c r="Q112" i="118" s="1"/>
  <c r="CL131" i="116"/>
  <c r="R128" i="118"/>
  <c r="V128" i="118" s="1"/>
  <c r="BW150" i="116"/>
  <c r="C147" i="118"/>
  <c r="G147" i="118" s="1"/>
  <c r="CG20" i="116"/>
  <c r="CB46" i="116"/>
  <c r="M15" i="118"/>
  <c r="Q15" i="118" s="1"/>
  <c r="CL50" i="116"/>
  <c r="R65" i="118"/>
  <c r="V65" i="118" s="1"/>
  <c r="CL11" i="116"/>
  <c r="C6" i="118"/>
  <c r="G6" i="118" s="1"/>
  <c r="BW18" i="116"/>
  <c r="C22" i="118"/>
  <c r="G22" i="118" s="1"/>
  <c r="BW35" i="116"/>
  <c r="C38" i="118"/>
  <c r="G38" i="118" s="1"/>
  <c r="CB51" i="116"/>
  <c r="H54" i="118"/>
  <c r="L54" i="118" s="1"/>
  <c r="CB67" i="116"/>
  <c r="H70" i="118"/>
  <c r="CB83" i="116"/>
  <c r="H87" i="118"/>
  <c r="L87" i="118" s="1"/>
  <c r="CG106" i="116"/>
  <c r="CT106" i="116" s="1"/>
  <c r="AB105" i="120" s="1"/>
  <c r="C106" i="118"/>
  <c r="G106" i="118" s="1"/>
  <c r="BW131" i="116"/>
  <c r="H130" i="118"/>
  <c r="L130" i="118" s="1"/>
  <c r="CB149" i="116"/>
  <c r="H146" i="118"/>
  <c r="L146" i="118" s="1"/>
  <c r="CB12" i="116"/>
  <c r="H22" i="118"/>
  <c r="L22" i="118" s="1"/>
  <c r="CB35" i="116"/>
  <c r="H38" i="118"/>
  <c r="L38" i="118" s="1"/>
  <c r="CG51" i="116"/>
  <c r="M54" i="118"/>
  <c r="Q54" i="118" s="1"/>
  <c r="CG67" i="116"/>
  <c r="M70" i="118"/>
  <c r="CG83" i="116"/>
  <c r="M87" i="118"/>
  <c r="Q87" i="118" s="1"/>
  <c r="CL106" i="116"/>
  <c r="CU106" i="116" s="1"/>
  <c r="AC105" i="120" s="1"/>
  <c r="C112" i="118"/>
  <c r="G112" i="118" s="1"/>
  <c r="CB131" i="116"/>
  <c r="H128" i="118"/>
  <c r="L128" i="118" s="1"/>
  <c r="CG147" i="116"/>
  <c r="M144" i="118"/>
  <c r="Q144" i="118" s="1"/>
  <c r="H7" i="118"/>
  <c r="L7" i="118" s="1"/>
  <c r="CG30" i="116"/>
  <c r="R72" i="118"/>
  <c r="V72" i="118" s="1"/>
  <c r="CL88" i="116"/>
  <c r="C92" i="118"/>
  <c r="G92" i="118" s="1"/>
  <c r="CB119" i="116"/>
  <c r="M116" i="118"/>
  <c r="Q116" i="118" s="1"/>
  <c r="CG135" i="116"/>
  <c r="R132" i="118"/>
  <c r="V132" i="118" s="1"/>
  <c r="CL151" i="116"/>
  <c r="R148" i="118"/>
  <c r="V148" i="118" s="1"/>
  <c r="CG10" i="116"/>
  <c r="M24" i="118"/>
  <c r="Q24" i="118" s="1"/>
  <c r="CG49" i="116"/>
  <c r="R56" i="118"/>
  <c r="V56" i="118" s="1"/>
  <c r="CL16" i="116"/>
  <c r="R20" i="118"/>
  <c r="V20" i="118" s="1"/>
  <c r="CL39" i="116"/>
  <c r="R44" i="118"/>
  <c r="V44" i="118" s="1"/>
  <c r="BW58" i="116"/>
  <c r="C61" i="118"/>
  <c r="G61" i="118" s="1"/>
  <c r="BW74" i="116"/>
  <c r="C77" i="118"/>
  <c r="G77" i="118" s="1"/>
  <c r="BW91" i="116"/>
  <c r="H94" i="118"/>
  <c r="L94" i="118" s="1"/>
  <c r="CL121" i="116"/>
  <c r="R118" i="118"/>
  <c r="V118" i="118" s="1"/>
  <c r="BW138" i="116"/>
  <c r="C137" i="118"/>
  <c r="G137" i="118" s="1"/>
  <c r="BW156" i="116"/>
  <c r="H16" i="118"/>
  <c r="L16" i="118" s="1"/>
  <c r="CG39" i="116"/>
  <c r="R50" i="118"/>
  <c r="V50" i="118" s="1"/>
  <c r="CL75" i="116"/>
  <c r="R12" i="118"/>
  <c r="V12" i="118" s="1"/>
  <c r="BW15" i="116"/>
  <c r="C19" i="118"/>
  <c r="G19" i="118" s="1"/>
  <c r="BW31" i="116"/>
  <c r="C35" i="118"/>
  <c r="G35" i="118" s="1"/>
  <c r="BW48" i="116"/>
  <c r="H51" i="118"/>
  <c r="L51" i="118" s="1"/>
  <c r="H17" i="118"/>
  <c r="L17" i="118" s="1"/>
  <c r="CG23" i="116"/>
  <c r="M31" i="118"/>
  <c r="Q31" i="118" s="1"/>
  <c r="AN71" i="46"/>
  <c r="BW8" i="116"/>
  <c r="C12" i="118"/>
  <c r="G12" i="118" s="1"/>
  <c r="BW24" i="116"/>
  <c r="C28" i="118"/>
  <c r="G28" i="118" s="1"/>
  <c r="BW41" i="116"/>
  <c r="C44" i="118"/>
  <c r="G44" i="118" s="1"/>
  <c r="CB57" i="116"/>
  <c r="H60" i="118"/>
  <c r="L60" i="118" s="1"/>
  <c r="CB73" i="116"/>
  <c r="H76" i="118"/>
  <c r="L76" i="118" s="1"/>
  <c r="CB90" i="116"/>
  <c r="M93" i="118"/>
  <c r="Q93" i="118" s="1"/>
  <c r="BW121" i="116"/>
  <c r="C118" i="118"/>
  <c r="G118" i="118" s="1"/>
  <c r="CB139" i="116"/>
  <c r="H136" i="118"/>
  <c r="L136" i="118" s="1"/>
  <c r="CB155" i="116"/>
  <c r="C91" i="118"/>
  <c r="G91" i="118" s="1"/>
  <c r="CB24" i="116"/>
  <c r="H28" i="118"/>
  <c r="L28" i="118" s="1"/>
  <c r="CB41" i="116"/>
  <c r="H44" i="118"/>
  <c r="L44" i="118" s="1"/>
  <c r="CG57" i="116"/>
  <c r="M60" i="118"/>
  <c r="Q60" i="118" s="1"/>
  <c r="CG73" i="116"/>
  <c r="M76" i="118"/>
  <c r="Q76" i="118" s="1"/>
  <c r="CG90" i="116"/>
  <c r="R93" i="118"/>
  <c r="V93" i="118" s="1"/>
  <c r="CB121" i="116"/>
  <c r="H118" i="118"/>
  <c r="L118" i="118" s="1"/>
  <c r="CG137" i="116"/>
  <c r="M134" i="118"/>
  <c r="Q134" i="118" s="1"/>
  <c r="CG153" i="116"/>
  <c r="M150" i="118"/>
  <c r="Q150" i="118" s="1"/>
  <c r="CB8" i="116"/>
  <c r="M14" i="118"/>
  <c r="Q14" i="118" s="1"/>
  <c r="CL77" i="116"/>
  <c r="R80" i="118"/>
  <c r="V80" i="118" s="1"/>
  <c r="BW95" i="116"/>
  <c r="C109" i="118"/>
  <c r="G109" i="118" s="1"/>
  <c r="CG125" i="116"/>
  <c r="M122" i="118"/>
  <c r="Q122" i="118" s="1"/>
  <c r="CL141" i="116"/>
  <c r="R138" i="118"/>
  <c r="V138" i="118" s="1"/>
  <c r="CL157" i="116"/>
  <c r="H10" i="118"/>
  <c r="L10" i="118" s="1"/>
  <c r="CG28" i="116"/>
  <c r="M36" i="118"/>
  <c r="Q36" i="118" s="1"/>
  <c r="CL61" i="116"/>
  <c r="R6" i="118"/>
  <c r="V6" i="118" s="1"/>
  <c r="CL22" i="116"/>
  <c r="R26" i="118"/>
  <c r="V26" i="118" s="1"/>
  <c r="CL47" i="116"/>
  <c r="C51" i="118"/>
  <c r="G51" i="118" s="1"/>
  <c r="BW64" i="116"/>
  <c r="C67" i="118"/>
  <c r="G67" i="118" s="1"/>
  <c r="BW80" i="116"/>
  <c r="H83" i="118"/>
  <c r="L83" i="118" s="1"/>
  <c r="CB103" i="116"/>
  <c r="H111" i="118"/>
  <c r="L111" i="118" s="1"/>
  <c r="CL127" i="116"/>
  <c r="CB27" i="116"/>
  <c r="H45" i="118"/>
  <c r="L45" i="118" s="1"/>
  <c r="CG38" i="116"/>
  <c r="R49" i="118"/>
  <c r="V49" i="118" s="1"/>
  <c r="CL72" i="116"/>
  <c r="R11" i="118"/>
  <c r="V11" i="118" s="1"/>
  <c r="BW14" i="116"/>
  <c r="C18" i="118"/>
  <c r="G18" i="118" s="1"/>
  <c r="BW30" i="116"/>
  <c r="C34" i="118"/>
  <c r="G34" i="118" s="1"/>
  <c r="BW47" i="116"/>
  <c r="H50" i="118"/>
  <c r="L50" i="118" s="1"/>
  <c r="CB63" i="116"/>
  <c r="H66" i="118"/>
  <c r="L66" i="118" s="1"/>
  <c r="CB79" i="116"/>
  <c r="H82" i="118"/>
  <c r="L82" i="118" s="1"/>
  <c r="CG96" i="116"/>
  <c r="M110" i="118"/>
  <c r="Q110" i="118" s="1"/>
  <c r="BW127" i="116"/>
  <c r="C124" i="118"/>
  <c r="G124" i="118" s="1"/>
  <c r="CB145" i="116"/>
  <c r="H142" i="118"/>
  <c r="L142" i="118" s="1"/>
  <c r="CB9" i="116"/>
  <c r="H12" i="118"/>
  <c r="L12" i="118" s="1"/>
  <c r="CB30" i="116"/>
  <c r="H34" i="118"/>
  <c r="L34" i="118" s="1"/>
  <c r="CB47" i="116"/>
  <c r="M50" i="118"/>
  <c r="Q50" i="118" s="1"/>
  <c r="CG63" i="116"/>
  <c r="M66" i="118"/>
  <c r="Q66" i="118" s="1"/>
  <c r="CG79" i="116"/>
  <c r="M82" i="118"/>
  <c r="Q82" i="118" s="1"/>
  <c r="CL96" i="116"/>
  <c r="R110" i="118"/>
  <c r="V110" i="118" s="1"/>
  <c r="CB127" i="116"/>
  <c r="H124" i="118"/>
  <c r="L124" i="118" s="1"/>
  <c r="CG143" i="116"/>
  <c r="M140" i="118"/>
  <c r="Q140" i="118" s="1"/>
  <c r="CH108" i="116"/>
  <c r="CG18" i="116"/>
  <c r="M30" i="118"/>
  <c r="Q30" i="118" s="1"/>
  <c r="CL83" i="116"/>
  <c r="R87" i="118"/>
  <c r="V87" i="118" s="1"/>
  <c r="BW107" i="116"/>
  <c r="H112" i="118"/>
  <c r="L112" i="118" s="1"/>
  <c r="CG131" i="116"/>
  <c r="M128" i="118"/>
  <c r="Q128" i="118" s="1"/>
  <c r="CL147" i="116"/>
  <c r="R144" i="118"/>
  <c r="V144" i="118" s="1"/>
  <c r="CB14" i="116"/>
  <c r="M10" i="118"/>
  <c r="Q10" i="118" s="1"/>
  <c r="CG41" i="116"/>
  <c r="M48" i="118"/>
  <c r="Q48" i="118" s="1"/>
  <c r="CL10" i="116"/>
  <c r="R16" i="118"/>
  <c r="V16" i="118" s="1"/>
  <c r="CG9" i="116"/>
  <c r="M23" i="118"/>
  <c r="Q23" i="118" s="1"/>
  <c r="CL58" i="116"/>
  <c r="CL15" i="116"/>
  <c r="C8" i="118"/>
  <c r="G8" i="118" s="1"/>
  <c r="BW20" i="116"/>
  <c r="C24" i="118"/>
  <c r="G24" i="118" s="1"/>
  <c r="BW37" i="116"/>
  <c r="C40" i="118"/>
  <c r="G40" i="118" s="1"/>
  <c r="CB53" i="116"/>
  <c r="H56" i="118"/>
  <c r="L56" i="118" s="1"/>
  <c r="CB69" i="116"/>
  <c r="H72" i="118"/>
  <c r="L72" i="118" s="1"/>
  <c r="CG85" i="116"/>
  <c r="H89" i="118"/>
  <c r="L89" i="118" s="1"/>
  <c r="BW110" i="116"/>
  <c r="C114" i="118"/>
  <c r="G114" i="118" s="1"/>
  <c r="BW135" i="116"/>
  <c r="H132" i="118"/>
  <c r="L132" i="118" s="1"/>
  <c r="CB151" i="116"/>
  <c r="H148" i="118"/>
  <c r="L148" i="118" s="1"/>
  <c r="CB20" i="116"/>
  <c r="H24" i="118"/>
  <c r="L24" i="118" s="1"/>
  <c r="CB37" i="116"/>
  <c r="H40" i="118"/>
  <c r="L40" i="118" s="1"/>
  <c r="CG53" i="116"/>
  <c r="M56" i="118"/>
  <c r="Q56" i="118" s="1"/>
  <c r="CG69" i="116"/>
  <c r="M72" i="118"/>
  <c r="Q72" i="118" s="1"/>
  <c r="CL85" i="116"/>
  <c r="M89" i="118"/>
  <c r="Q89" i="118" s="1"/>
  <c r="BW111" i="116"/>
  <c r="H114" i="118"/>
  <c r="L114" i="118" s="1"/>
  <c r="CB133" i="116"/>
  <c r="M130" i="118"/>
  <c r="Q130" i="118" s="1"/>
  <c r="CG149" i="116"/>
  <c r="M146" i="118"/>
  <c r="Q146" i="118" s="1"/>
  <c r="N96" i="118"/>
  <c r="H8" i="118"/>
  <c r="L8" i="118" s="1"/>
  <c r="CG43" i="116"/>
  <c r="R76" i="118"/>
  <c r="V76" i="118" s="1"/>
  <c r="CL90" i="116"/>
  <c r="C94" i="118"/>
  <c r="G94" i="118" s="1"/>
  <c r="CG121" i="116"/>
  <c r="M118" i="118"/>
  <c r="Q118" i="118" s="1"/>
  <c r="CL137" i="116"/>
  <c r="R134" i="118"/>
  <c r="V134" i="118" s="1"/>
  <c r="CL153" i="116"/>
  <c r="R150" i="118"/>
  <c r="V150" i="118" s="1"/>
  <c r="CG16" i="116"/>
  <c r="M28" i="118"/>
  <c r="Q28" i="118" s="1"/>
  <c r="CL53" i="116"/>
  <c r="R60" i="118"/>
  <c r="V60" i="118" s="1"/>
  <c r="CL18" i="116"/>
  <c r="R22" i="118"/>
  <c r="V22" i="118" s="1"/>
  <c r="CL41" i="116"/>
  <c r="R46" i="118"/>
  <c r="V46" i="118" s="1"/>
  <c r="CM118" i="116"/>
  <c r="R30" i="118"/>
  <c r="V30" i="118" s="1"/>
  <c r="BW60" i="116"/>
  <c r="BW70" i="116"/>
  <c r="M85" i="118"/>
  <c r="Q85" i="118" s="1"/>
  <c r="H107" i="118"/>
  <c r="L107" i="118" s="1"/>
  <c r="C131" i="118"/>
  <c r="G131" i="118" s="1"/>
  <c r="C149" i="118"/>
  <c r="G149" i="118" s="1"/>
  <c r="CL59" i="116"/>
  <c r="BW25" i="116"/>
  <c r="C29" i="118"/>
  <c r="G29" i="118" s="1"/>
  <c r="CB58" i="116"/>
  <c r="H61" i="118"/>
  <c r="L61" i="118" s="1"/>
  <c r="CB74" i="116"/>
  <c r="H77" i="118"/>
  <c r="L77" i="118" s="1"/>
  <c r="CB91" i="116"/>
  <c r="M94" i="118"/>
  <c r="Q94" i="118" s="1"/>
  <c r="BW122" i="116"/>
  <c r="C121" i="118"/>
  <c r="G121" i="118" s="1"/>
  <c r="CB140" i="116"/>
  <c r="H137" i="118"/>
  <c r="L137" i="118" s="1"/>
  <c r="CB156" i="116"/>
  <c r="CM117" i="116"/>
  <c r="CB44" i="116"/>
  <c r="M51" i="118"/>
  <c r="Q51" i="118" s="1"/>
  <c r="CG64" i="116"/>
  <c r="M67" i="118"/>
  <c r="Q67" i="118" s="1"/>
  <c r="CG74" i="116"/>
  <c r="M77" i="118"/>
  <c r="Q77" i="118" s="1"/>
  <c r="CG91" i="116"/>
  <c r="R94" i="118"/>
  <c r="V94" i="118" s="1"/>
  <c r="CB122" i="116"/>
  <c r="H119" i="118"/>
  <c r="L119" i="118" s="1"/>
  <c r="CG138" i="116"/>
  <c r="M137" i="118"/>
  <c r="Q137" i="118" s="1"/>
  <c r="CG156" i="116"/>
  <c r="H25" i="118"/>
  <c r="L25" i="118" s="1"/>
  <c r="CG29" i="116"/>
  <c r="M39" i="118"/>
  <c r="Q39" i="118" s="1"/>
  <c r="CL70" i="116"/>
  <c r="R77" i="118"/>
  <c r="V77" i="118" s="1"/>
  <c r="CL91" i="116"/>
  <c r="C95" i="118"/>
  <c r="G95" i="118" s="1"/>
  <c r="CG122" i="116"/>
  <c r="M121" i="118"/>
  <c r="Q121" i="118" s="1"/>
  <c r="CL144" i="116"/>
  <c r="R141" i="118"/>
  <c r="V141" i="118" s="1"/>
  <c r="CM116" i="116"/>
  <c r="CB29" i="116"/>
  <c r="H41" i="118"/>
  <c r="L41" i="118" s="1"/>
  <c r="CG42" i="116"/>
  <c r="R55" i="118"/>
  <c r="V55" i="118" s="1"/>
  <c r="CL17" i="116"/>
  <c r="R21" i="118"/>
  <c r="V21" i="118" s="1"/>
  <c r="CL34" i="116"/>
  <c r="R37" i="118"/>
  <c r="V37" i="118" s="1"/>
  <c r="BW51" i="116"/>
  <c r="C54" i="118"/>
  <c r="G54" i="118" s="1"/>
  <c r="BW67" i="116"/>
  <c r="C70" i="118"/>
  <c r="BW83" i="116"/>
  <c r="R86" i="118"/>
  <c r="V86" i="118" s="1"/>
  <c r="CB106" i="116"/>
  <c r="C105" i="118"/>
  <c r="G105" i="118" s="1"/>
  <c r="CL130" i="116"/>
  <c r="R127" i="118"/>
  <c r="V127" i="118" s="1"/>
  <c r="BW147" i="116"/>
  <c r="C144" i="118"/>
  <c r="G144" i="118" s="1"/>
  <c r="BW140" i="116"/>
  <c r="M119" i="118"/>
  <c r="Q119" i="118" s="1"/>
  <c r="M37" i="118"/>
  <c r="Q37" i="118" s="1"/>
  <c r="C14" i="118"/>
  <c r="G14" i="118" s="1"/>
  <c r="BW43" i="116"/>
  <c r="H78" i="118"/>
  <c r="L78" i="118" s="1"/>
  <c r="BW123" i="116"/>
  <c r="H9" i="118"/>
  <c r="L9" i="118" s="1"/>
  <c r="CB43" i="116"/>
  <c r="M78" i="118"/>
  <c r="Q78" i="118" s="1"/>
  <c r="CB123" i="116"/>
  <c r="R82" i="118"/>
  <c r="V82" i="118" s="1"/>
  <c r="CG127" i="116"/>
  <c r="H14" i="118"/>
  <c r="L14" i="118" s="1"/>
  <c r="CL71" i="116"/>
  <c r="CB105" i="116"/>
  <c r="R114" i="118"/>
  <c r="V114" i="118" s="1"/>
  <c r="BW142" i="116"/>
  <c r="CB6" i="116"/>
  <c r="M38" i="118"/>
  <c r="Q38" i="118" s="1"/>
  <c r="R68" i="118"/>
  <c r="V68" i="118" s="1"/>
  <c r="R36" i="118"/>
  <c r="V36" i="118" s="1"/>
  <c r="C11" i="118"/>
  <c r="G11" i="118" s="1"/>
  <c r="C17" i="118"/>
  <c r="G17" i="118" s="1"/>
  <c r="C37" i="118"/>
  <c r="G37" i="118" s="1"/>
  <c r="C43" i="118"/>
  <c r="G43" i="118" s="1"/>
  <c r="H49" i="118"/>
  <c r="L49" i="118" s="1"/>
  <c r="CB64" i="116"/>
  <c r="H67" i="118"/>
  <c r="L67" i="118" s="1"/>
  <c r="CB80" i="116"/>
  <c r="M83" i="118"/>
  <c r="Q83" i="118" s="1"/>
  <c r="CG103" i="116"/>
  <c r="CT103" i="116" s="1"/>
  <c r="AB102" i="120" s="1"/>
  <c r="M111" i="118"/>
  <c r="Q111" i="118" s="1"/>
  <c r="BW130" i="116"/>
  <c r="C127" i="118"/>
  <c r="G127" i="118" s="1"/>
  <c r="CB146" i="116"/>
  <c r="H143" i="118"/>
  <c r="L143" i="118" s="1"/>
  <c r="S105" i="118"/>
  <c r="H23" i="118"/>
  <c r="L23" i="118" s="1"/>
  <c r="CG54" i="116"/>
  <c r="M57" i="118"/>
  <c r="Q57" i="118" s="1"/>
  <c r="CG70" i="116"/>
  <c r="CG80" i="116"/>
  <c r="R83" i="118"/>
  <c r="V83" i="118" s="1"/>
  <c r="CL103" i="116"/>
  <c r="CU103" i="116" s="1"/>
  <c r="AC102" i="120" s="1"/>
  <c r="R111" i="118"/>
  <c r="V111" i="118" s="1"/>
  <c r="CB128" i="116"/>
  <c r="H125" i="118"/>
  <c r="L125" i="118" s="1"/>
  <c r="CG146" i="116"/>
  <c r="M143" i="118"/>
  <c r="Q143" i="118" s="1"/>
  <c r="CB38" i="116"/>
  <c r="M11" i="118"/>
  <c r="Q11" i="118" s="1"/>
  <c r="CG46" i="116"/>
  <c r="R53" i="118"/>
  <c r="V53" i="118" s="1"/>
  <c r="CL80" i="116"/>
  <c r="C84" i="118"/>
  <c r="G84" i="118" s="1"/>
  <c r="BW104" i="116"/>
  <c r="C96" i="118"/>
  <c r="G96" i="118" s="1"/>
  <c r="CG130" i="116"/>
  <c r="R129" i="118"/>
  <c r="V129" i="118" s="1"/>
  <c r="CL150" i="116"/>
  <c r="R147" i="118"/>
  <c r="V147" i="118" s="1"/>
  <c r="S104" i="118"/>
  <c r="CG7" i="116"/>
  <c r="M19" i="118"/>
  <c r="Q19" i="118" s="1"/>
  <c r="CL60" i="116"/>
  <c r="R73" i="118"/>
  <c r="V73" i="118" s="1"/>
  <c r="CL23" i="116"/>
  <c r="R27" i="118"/>
  <c r="V27" i="118" s="1"/>
  <c r="BW54" i="116"/>
  <c r="C69" i="118"/>
  <c r="G69" i="118" s="1"/>
  <c r="C79" i="118"/>
  <c r="G79" i="118" s="1"/>
  <c r="CL123" i="116"/>
  <c r="R124" i="118"/>
  <c r="V124" i="118" s="1"/>
  <c r="C143" i="118"/>
  <c r="G143" i="118" s="1"/>
  <c r="M20" i="118"/>
  <c r="Q20" i="118" s="1"/>
  <c r="CG45" i="116"/>
  <c r="CL63" i="116"/>
  <c r="CL43" i="116"/>
  <c r="BW13" i="116"/>
  <c r="C25" i="118"/>
  <c r="G25" i="118" s="1"/>
  <c r="C31" i="118"/>
  <c r="G31" i="118" s="1"/>
  <c r="BW40" i="116"/>
  <c r="BW46" i="116"/>
  <c r="H57" i="118"/>
  <c r="L57" i="118" s="1"/>
  <c r="CB70" i="116"/>
  <c r="H73" i="118"/>
  <c r="L73" i="118" s="1"/>
  <c r="CL86" i="116"/>
  <c r="H90" i="118"/>
  <c r="L90" i="118" s="1"/>
  <c r="BW114" i="116"/>
  <c r="C115" i="118"/>
  <c r="G115" i="118" s="1"/>
  <c r="CB136" i="116"/>
  <c r="CF136" i="116" s="1"/>
  <c r="H133" i="118"/>
  <c r="L133" i="118" s="1"/>
  <c r="CB152" i="116"/>
  <c r="H149" i="118"/>
  <c r="L149" i="118" s="1"/>
  <c r="CH116" i="116"/>
  <c r="CB31" i="116"/>
  <c r="H43" i="118"/>
  <c r="L43" i="118" s="1"/>
  <c r="CG60" i="116"/>
  <c r="M63" i="118"/>
  <c r="Q63" i="118" s="1"/>
  <c r="M73" i="118"/>
  <c r="Q73" i="118" s="1"/>
  <c r="CB87" i="116"/>
  <c r="M90" i="118"/>
  <c r="Q90" i="118" s="1"/>
  <c r="BW115" i="116"/>
  <c r="H115" i="118"/>
  <c r="L115" i="118" s="1"/>
  <c r="CB134" i="116"/>
  <c r="M131" i="118"/>
  <c r="Q131" i="118" s="1"/>
  <c r="CG152" i="116"/>
  <c r="M149" i="118"/>
  <c r="Q149" i="118" s="1"/>
  <c r="CG17" i="116"/>
  <c r="M29" i="118"/>
  <c r="Q29" i="118" s="1"/>
  <c r="CL62" i="116"/>
  <c r="R69" i="118"/>
  <c r="V69" i="118" s="1"/>
  <c r="CG87" i="116"/>
  <c r="R90" i="118"/>
  <c r="V90" i="118" s="1"/>
  <c r="BW116" i="116"/>
  <c r="M115" i="118"/>
  <c r="Q115" i="118" s="1"/>
  <c r="CL138" i="116"/>
  <c r="R137" i="118"/>
  <c r="V137" i="118" s="1"/>
  <c r="CL156" i="116"/>
  <c r="CB11" i="116"/>
  <c r="H29" i="118"/>
  <c r="L29" i="118" s="1"/>
  <c r="CG27" i="116"/>
  <c r="M41" i="118"/>
  <c r="Q41" i="118" s="1"/>
  <c r="CL9" i="116"/>
  <c r="R17" i="118"/>
  <c r="V17" i="118" s="1"/>
  <c r="CL29" i="116"/>
  <c r="R33" i="118"/>
  <c r="V33" i="118" s="1"/>
  <c r="CL46" i="116"/>
  <c r="C50" i="118"/>
  <c r="G50" i="118" s="1"/>
  <c r="BW63" i="116"/>
  <c r="C66" i="118"/>
  <c r="G66" i="118" s="1"/>
  <c r="BW79" i="116"/>
  <c r="C82" i="118"/>
  <c r="G82" i="118" s="1"/>
  <c r="CB96" i="116"/>
  <c r="H110" i="118"/>
  <c r="L110" i="118" s="1"/>
  <c r="CL126" i="116"/>
  <c r="R123" i="118"/>
  <c r="V123" i="118" s="1"/>
  <c r="BW143" i="116"/>
  <c r="C140" i="118"/>
  <c r="G140" i="118" s="1"/>
  <c r="CM119" i="116"/>
  <c r="BW124" i="116"/>
  <c r="C133" i="118"/>
  <c r="G133" i="118" s="1"/>
  <c r="R28" i="118"/>
  <c r="V28" i="118" s="1"/>
  <c r="R143" i="118"/>
  <c r="V143" i="118" s="1"/>
  <c r="M7" i="118"/>
  <c r="Q7" i="118" s="1"/>
  <c r="R59" i="118"/>
  <c r="V59" i="118" s="1"/>
  <c r="R23" i="118"/>
  <c r="V23" i="118" s="1"/>
  <c r="R39" i="118"/>
  <c r="V39" i="118" s="1"/>
  <c r="C56" i="118"/>
  <c r="G56" i="118" s="1"/>
  <c r="C72" i="118"/>
  <c r="G72" i="118" s="1"/>
  <c r="C89" i="118"/>
  <c r="G89" i="118" s="1"/>
  <c r="BW109" i="116"/>
  <c r="C30" i="118"/>
  <c r="G30" i="118" s="1"/>
  <c r="CB59" i="116"/>
  <c r="M95" i="118"/>
  <c r="Q95" i="118" s="1"/>
  <c r="CB141" i="116"/>
  <c r="H30" i="118"/>
  <c r="L30" i="118" s="1"/>
  <c r="CG59" i="116"/>
  <c r="R95" i="118"/>
  <c r="V95" i="118" s="1"/>
  <c r="CG139" i="116"/>
  <c r="CB18" i="116"/>
  <c r="C111" i="118"/>
  <c r="G111" i="118" s="1"/>
  <c r="CL143" i="116"/>
  <c r="M40" i="118"/>
  <c r="Q40" i="118" s="1"/>
  <c r="CL24" i="116"/>
  <c r="R38" i="118"/>
  <c r="V38" i="118" s="1"/>
  <c r="BW82" i="116"/>
  <c r="C90" i="118"/>
  <c r="G90" i="118" s="1"/>
  <c r="CL133" i="116"/>
  <c r="BW152" i="116"/>
  <c r="CG26" i="116"/>
  <c r="R74" i="118"/>
  <c r="V74" i="118" s="1"/>
  <c r="BW21" i="116"/>
  <c r="BW27" i="116"/>
  <c r="BW34" i="116"/>
  <c r="CB54" i="116"/>
  <c r="CB60" i="116"/>
  <c r="H63" i="118"/>
  <c r="L63" i="118" s="1"/>
  <c r="CB76" i="116"/>
  <c r="H79" i="118"/>
  <c r="L79" i="118" s="1"/>
  <c r="CG93" i="116"/>
  <c r="M107" i="118"/>
  <c r="Q107" i="118" s="1"/>
  <c r="BW126" i="116"/>
  <c r="C123" i="118"/>
  <c r="G123" i="118" s="1"/>
  <c r="H129" i="118"/>
  <c r="L129" i="118" s="1"/>
  <c r="CB142" i="116"/>
  <c r="H139" i="118"/>
  <c r="L139" i="118" s="1"/>
  <c r="BW86" i="116"/>
  <c r="N104" i="118"/>
  <c r="CG50" i="116"/>
  <c r="M53" i="118"/>
  <c r="Q53" i="118" s="1"/>
  <c r="CG66" i="116"/>
  <c r="M69" i="118"/>
  <c r="Q69" i="118" s="1"/>
  <c r="CG76" i="116"/>
  <c r="M79" i="118"/>
  <c r="Q79" i="118" s="1"/>
  <c r="CL93" i="116"/>
  <c r="R107" i="118"/>
  <c r="V107" i="118" s="1"/>
  <c r="CB124" i="116"/>
  <c r="H121" i="118"/>
  <c r="L121" i="118" s="1"/>
  <c r="CG142" i="116"/>
  <c r="M139" i="118"/>
  <c r="Q139" i="118" s="1"/>
  <c r="BW87" i="116"/>
  <c r="H37" i="118"/>
  <c r="L37" i="118" s="1"/>
  <c r="CG36" i="116"/>
  <c r="M45" i="118"/>
  <c r="Q45" i="118" s="1"/>
  <c r="CL76" i="116"/>
  <c r="R79" i="118"/>
  <c r="V79" i="118" s="1"/>
  <c r="BW94" i="116"/>
  <c r="C108" i="118"/>
  <c r="G108" i="118" s="1"/>
  <c r="CG124" i="116"/>
  <c r="M123" i="118"/>
  <c r="Q123" i="118" s="1"/>
  <c r="CL146" i="116"/>
  <c r="CB34" i="116"/>
  <c r="CG48" i="116"/>
  <c r="CL19" i="116"/>
  <c r="CL36" i="116"/>
  <c r="BW53" i="116"/>
  <c r="BW69" i="116"/>
  <c r="CB85" i="116"/>
  <c r="R113" i="118"/>
  <c r="V113" i="118" s="1"/>
  <c r="C53" i="118"/>
  <c r="G53" i="118" s="1"/>
  <c r="C63" i="118"/>
  <c r="G63" i="118" s="1"/>
  <c r="CB93" i="116"/>
  <c r="BW113" i="116"/>
  <c r="BW146" i="116"/>
  <c r="CG8" i="116"/>
  <c r="R62" i="118"/>
  <c r="V62" i="118" s="1"/>
  <c r="CL8" i="116"/>
  <c r="BW7" i="116"/>
  <c r="C13" i="118"/>
  <c r="G13" i="118" s="1"/>
  <c r="BW42" i="116"/>
  <c r="C45" i="118"/>
  <c r="G45" i="118" s="1"/>
  <c r="CB66" i="116"/>
  <c r="H69" i="118"/>
  <c r="L69" i="118" s="1"/>
  <c r="CB82" i="116"/>
  <c r="R85" i="118"/>
  <c r="V85" i="118" s="1"/>
  <c r="CG105" i="116"/>
  <c r="CT105" i="116" s="1"/>
  <c r="AB104" i="120" s="1"/>
  <c r="C102" i="118"/>
  <c r="G102" i="118" s="1"/>
  <c r="BW132" i="116"/>
  <c r="CB148" i="116"/>
  <c r="H145" i="118"/>
  <c r="L145" i="118" s="1"/>
  <c r="CB15" i="116"/>
  <c r="H31" i="118"/>
  <c r="L31" i="118" s="1"/>
  <c r="CG56" i="116"/>
  <c r="M59" i="118"/>
  <c r="Q59" i="118" s="1"/>
  <c r="AM71" i="46"/>
  <c r="CG82" i="116"/>
  <c r="H86" i="118"/>
  <c r="L86" i="118" s="1"/>
  <c r="CL105" i="116"/>
  <c r="CU105" i="116" s="1"/>
  <c r="AC104" i="120" s="1"/>
  <c r="C103" i="118"/>
  <c r="G103" i="118" s="1"/>
  <c r="CB130" i="116"/>
  <c r="H127" i="118"/>
  <c r="L127" i="118" s="1"/>
  <c r="CG148" i="116"/>
  <c r="M145" i="118"/>
  <c r="Q145" i="118" s="1"/>
  <c r="CB48" i="116"/>
  <c r="M17" i="118"/>
  <c r="Q17" i="118" s="1"/>
  <c r="CL52" i="116"/>
  <c r="R61" i="118"/>
  <c r="V61" i="118" s="1"/>
  <c r="CL82" i="116"/>
  <c r="M86" i="118"/>
  <c r="Q86" i="118" s="1"/>
  <c r="BW106" i="116"/>
  <c r="C104" i="118"/>
  <c r="G104" i="118" s="1"/>
  <c r="CG132" i="116"/>
  <c r="R131" i="118"/>
  <c r="V131" i="118" s="1"/>
  <c r="CL152" i="116"/>
  <c r="R149" i="118"/>
  <c r="V149" i="118" s="1"/>
  <c r="H11" i="118"/>
  <c r="L11" i="118" s="1"/>
  <c r="CG13" i="116"/>
  <c r="M27" i="118"/>
  <c r="Q27" i="118" s="1"/>
  <c r="CL64" i="116"/>
  <c r="R9" i="118"/>
  <c r="V9" i="118" s="1"/>
  <c r="CL25" i="116"/>
  <c r="R29" i="118"/>
  <c r="V29" i="118" s="1"/>
  <c r="CL42" i="116"/>
  <c r="R45" i="118"/>
  <c r="V45" i="118" s="1"/>
  <c r="BW59" i="116"/>
  <c r="C62" i="118"/>
  <c r="G62" i="118" s="1"/>
  <c r="BW75" i="116"/>
  <c r="C78" i="118"/>
  <c r="G78" i="118" s="1"/>
  <c r="CB92" i="116"/>
  <c r="H95" i="118"/>
  <c r="L95" i="118" s="1"/>
  <c r="CL122" i="116"/>
  <c r="R119" i="118"/>
  <c r="V119" i="118" s="1"/>
  <c r="BW139" i="116"/>
  <c r="C136" i="118"/>
  <c r="G136" i="118" s="1"/>
  <c r="BW155" i="116"/>
  <c r="BW9" i="116"/>
  <c r="C117" i="118"/>
  <c r="G117" i="118" s="1"/>
  <c r="CL32" i="116"/>
  <c r="R66" i="118"/>
  <c r="V66" i="118" s="1"/>
  <c r="C97" i="118"/>
  <c r="G97" i="118" s="1"/>
  <c r="CL128" i="116"/>
  <c r="CG25" i="116"/>
  <c r="BW10" i="116"/>
  <c r="C46" i="118"/>
  <c r="G46" i="118" s="1"/>
  <c r="CB75" i="116"/>
  <c r="C120" i="118"/>
  <c r="G120" i="118" s="1"/>
  <c r="CB157" i="116"/>
  <c r="H46" i="118"/>
  <c r="L46" i="118" s="1"/>
  <c r="CG75" i="116"/>
  <c r="H120" i="118"/>
  <c r="L120" i="118" s="1"/>
  <c r="CG155" i="116"/>
  <c r="CL79" i="116"/>
  <c r="M124" i="118"/>
  <c r="Q124" i="118" s="1"/>
  <c r="CB13" i="116"/>
  <c r="R10" i="118"/>
  <c r="V10" i="118" s="1"/>
  <c r="BW66" i="116"/>
  <c r="C73" i="118"/>
  <c r="G73" i="118" s="1"/>
  <c r="R126" i="118"/>
  <c r="V126" i="118" s="1"/>
  <c r="C145" i="118"/>
  <c r="G145" i="118" s="1"/>
  <c r="M26" i="118"/>
  <c r="Q26" i="118" s="1"/>
  <c r="CL55" i="116"/>
  <c r="CL65" i="116"/>
  <c r="C21" i="118"/>
  <c r="G21" i="118" s="1"/>
  <c r="C27" i="118"/>
  <c r="G27" i="118" s="1"/>
  <c r="C33" i="118"/>
  <c r="G33" i="118" s="1"/>
  <c r="H53" i="118"/>
  <c r="L53" i="118" s="1"/>
  <c r="H59" i="118"/>
  <c r="L59" i="118" s="1"/>
  <c r="CB72" i="116"/>
  <c r="H75" i="118"/>
  <c r="L75" i="118" s="1"/>
  <c r="CB89" i="116"/>
  <c r="M92" i="118"/>
  <c r="Q92" i="118" s="1"/>
  <c r="BW120" i="116"/>
  <c r="C119" i="118"/>
  <c r="G119" i="118" s="1"/>
  <c r="CB138" i="116"/>
  <c r="H135" i="118"/>
  <c r="L135" i="118" s="1"/>
  <c r="CB154" i="116"/>
  <c r="C85" i="118"/>
  <c r="G85" i="118" s="1"/>
  <c r="CB40" i="116"/>
  <c r="M49" i="118"/>
  <c r="Q49" i="118" s="1"/>
  <c r="CG62" i="116"/>
  <c r="M65" i="118"/>
  <c r="Q65" i="118" s="1"/>
  <c r="CG72" i="116"/>
  <c r="M75" i="118"/>
  <c r="Q75" i="118" s="1"/>
  <c r="CG89" i="116"/>
  <c r="R92" i="118"/>
  <c r="V92" i="118" s="1"/>
  <c r="CB120" i="116"/>
  <c r="H117" i="118"/>
  <c r="L117" i="118" s="1"/>
  <c r="CG136" i="116"/>
  <c r="M135" i="118"/>
  <c r="Q135" i="118" s="1"/>
  <c r="CG154" i="116"/>
  <c r="C86" i="118"/>
  <c r="G86" i="118" s="1"/>
  <c r="CG21" i="116"/>
  <c r="M35" i="118"/>
  <c r="Q35" i="118" s="1"/>
  <c r="CL68" i="116"/>
  <c r="R75" i="118"/>
  <c r="V75" i="118" s="1"/>
  <c r="CL89" i="116"/>
  <c r="C93" i="118"/>
  <c r="G93" i="118" s="1"/>
  <c r="CG120" i="116"/>
  <c r="M117" i="118"/>
  <c r="Q117" i="118" s="1"/>
  <c r="CL142" i="116"/>
  <c r="R139" i="118"/>
  <c r="V139" i="118" s="1"/>
  <c r="BW88" i="116"/>
  <c r="CB21" i="116"/>
  <c r="H33" i="118"/>
  <c r="L33" i="118" s="1"/>
  <c r="CG34" i="116"/>
  <c r="M47" i="118"/>
  <c r="Q47" i="118" s="1"/>
  <c r="CL13" i="116"/>
  <c r="R19" i="118"/>
  <c r="V19" i="118" s="1"/>
  <c r="CL31" i="116"/>
  <c r="R35" i="118"/>
  <c r="V35" i="118" s="1"/>
  <c r="CL48" i="116"/>
  <c r="C52" i="118"/>
  <c r="G52" i="118" s="1"/>
  <c r="BW65" i="116"/>
  <c r="C68" i="118"/>
  <c r="G68" i="118" s="1"/>
  <c r="BW81" i="116"/>
  <c r="H84" i="118"/>
  <c r="L84" i="118" s="1"/>
  <c r="CB104" i="116"/>
  <c r="R125" i="118"/>
  <c r="V125" i="118" s="1"/>
  <c r="CL30" i="116"/>
  <c r="BW76" i="116"/>
  <c r="CG86" i="116"/>
  <c r="C101" i="118"/>
  <c r="G101" i="118" s="1"/>
  <c r="R120" i="118"/>
  <c r="V120" i="118" s="1"/>
  <c r="C139" i="118"/>
  <c r="G139" i="118" s="1"/>
  <c r="M8" i="118"/>
  <c r="Q8" i="118" s="1"/>
  <c r="C7" i="118"/>
  <c r="G7" i="118" s="1"/>
  <c r="C15" i="118"/>
  <c r="G15" i="118" s="1"/>
  <c r="BW23" i="116"/>
  <c r="BW29" i="116"/>
  <c r="C41" i="118"/>
  <c r="G41" i="118" s="1"/>
  <c r="C47" i="118"/>
  <c r="G47" i="118" s="1"/>
  <c r="CB56" i="116"/>
  <c r="CB62" i="116"/>
  <c r="H65" i="118"/>
  <c r="L65" i="118" s="1"/>
  <c r="CB78" i="116"/>
  <c r="H81" i="118"/>
  <c r="L81" i="118" s="1"/>
  <c r="CG95" i="116"/>
  <c r="M109" i="118"/>
  <c r="Q109" i="118" s="1"/>
  <c r="BW128" i="116"/>
  <c r="C125" i="118"/>
  <c r="G125" i="118" s="1"/>
  <c r="CB144" i="116"/>
  <c r="H141" i="118"/>
  <c r="L141" i="118" s="1"/>
  <c r="CH117" i="116"/>
  <c r="H15" i="118"/>
  <c r="L15" i="118" s="1"/>
  <c r="CG52" i="116"/>
  <c r="M55" i="118"/>
  <c r="Q55" i="118" s="1"/>
  <c r="CG68" i="116"/>
  <c r="CG78" i="116"/>
  <c r="M81" i="118"/>
  <c r="Q81" i="118" s="1"/>
  <c r="CL95" i="116"/>
  <c r="R109" i="118"/>
  <c r="V109" i="118" s="1"/>
  <c r="CB126" i="116"/>
  <c r="H123" i="118"/>
  <c r="L123" i="118" s="1"/>
  <c r="CG144" i="116"/>
  <c r="M141" i="118"/>
  <c r="Q141" i="118" s="1"/>
  <c r="CB25" i="116"/>
  <c r="H47" i="118"/>
  <c r="L47" i="118" s="1"/>
  <c r="CG40" i="116"/>
  <c r="R51" i="118"/>
  <c r="V51" i="118" s="1"/>
  <c r="CL78" i="116"/>
  <c r="R81" i="118"/>
  <c r="V81" i="118" s="1"/>
  <c r="BW96" i="116"/>
  <c r="C110" i="118"/>
  <c r="G110" i="118" s="1"/>
  <c r="CG128" i="116"/>
  <c r="M125" i="118"/>
  <c r="Q125" i="118" s="1"/>
  <c r="CL148" i="116"/>
  <c r="R145" i="118"/>
  <c r="V145" i="118" s="1"/>
  <c r="CB42" i="116"/>
  <c r="M13" i="118"/>
  <c r="Q13" i="118" s="1"/>
  <c r="CL56" i="116"/>
  <c r="R63" i="118"/>
  <c r="V63" i="118" s="1"/>
  <c r="CL21" i="116"/>
  <c r="R25" i="118"/>
  <c r="V25" i="118" s="1"/>
  <c r="CL38" i="116"/>
  <c r="R41" i="118"/>
  <c r="V41" i="118" s="1"/>
  <c r="BW55" i="116"/>
  <c r="C58" i="118"/>
  <c r="G58" i="118" s="1"/>
  <c r="BW71" i="116"/>
  <c r="C74" i="118"/>
  <c r="G74" i="118" s="1"/>
  <c r="CL87" i="116"/>
  <c r="H91" i="118"/>
  <c r="L91" i="118" s="1"/>
  <c r="BW117" i="116"/>
  <c r="R115" i="118"/>
  <c r="V115" i="118" s="1"/>
  <c r="CL134" i="116"/>
  <c r="C132" i="118"/>
  <c r="G132" i="118" s="1"/>
  <c r="BW151" i="116"/>
  <c r="C148" i="118"/>
  <c r="G148" i="118" s="1"/>
  <c r="C9" i="118"/>
  <c r="G9" i="118" s="1"/>
  <c r="CG126" i="116"/>
  <c r="R32" i="118"/>
  <c r="V32" i="118" s="1"/>
  <c r="H27" i="118"/>
  <c r="L27" i="118" s="1"/>
  <c r="R71" i="118"/>
  <c r="V71" i="118" s="1"/>
  <c r="BW26" i="116"/>
  <c r="H62" i="118"/>
  <c r="L62" i="118" s="1"/>
  <c r="CG92" i="116"/>
  <c r="M18" i="118"/>
  <c r="Q18" i="118" s="1"/>
  <c r="CG32" i="116"/>
  <c r="CL37" i="116"/>
  <c r="BW17" i="116"/>
  <c r="CG58" i="116"/>
  <c r="CL84" i="116"/>
  <c r="M129" i="118"/>
  <c r="Q129" i="118" s="1"/>
  <c r="CG11" i="116"/>
  <c r="R88" i="118"/>
  <c r="V88" i="118" s="1"/>
  <c r="CL136" i="116"/>
  <c r="R43" i="118"/>
  <c r="V43" i="118" s="1"/>
  <c r="C76" i="118"/>
  <c r="G76" i="118" s="1"/>
  <c r="R117" i="118"/>
  <c r="V117" i="118" s="1"/>
  <c r="BW137" i="116"/>
  <c r="BW145" i="116"/>
  <c r="BW153" i="116"/>
  <c r="BW133" i="116"/>
  <c r="C126" i="118"/>
  <c r="G126" i="118" s="1"/>
  <c r="R133" i="118"/>
  <c r="V133" i="118" s="1"/>
  <c r="M62" i="118"/>
  <c r="Q62" i="118" s="1"/>
  <c r="BW50" i="116"/>
  <c r="H71" i="118"/>
  <c r="L71" i="118" s="1"/>
  <c r="CG107" i="116"/>
  <c r="CT107" i="116" s="1"/>
  <c r="AB106" i="120" s="1"/>
  <c r="H147" i="118"/>
  <c r="L147" i="118" s="1"/>
  <c r="H21" i="118"/>
  <c r="L21" i="118" s="1"/>
  <c r="CL74" i="116"/>
  <c r="CG134" i="116"/>
  <c r="S112" i="118"/>
  <c r="R140" i="118"/>
  <c r="V140" i="118" s="1"/>
  <c r="M34" i="118"/>
  <c r="Q34" i="118" s="1"/>
  <c r="H39" i="118"/>
  <c r="L39" i="118" s="1"/>
  <c r="M71" i="118"/>
  <c r="Q71" i="118" s="1"/>
  <c r="CL107" i="116"/>
  <c r="CU107" i="116" s="1"/>
  <c r="AC106" i="120" s="1"/>
  <c r="M147" i="118"/>
  <c r="Q147" i="118" s="1"/>
  <c r="CL54" i="116"/>
  <c r="M113" i="118"/>
  <c r="Q113" i="118" s="1"/>
  <c r="CL154" i="116"/>
  <c r="BW61" i="116"/>
  <c r="CB94" i="116"/>
  <c r="C130" i="118"/>
  <c r="G130" i="118" s="1"/>
  <c r="C138" i="118"/>
  <c r="G138" i="118" s="1"/>
  <c r="C146" i="118"/>
  <c r="G146" i="118" s="1"/>
  <c r="R48" i="118"/>
  <c r="V48" i="118" s="1"/>
  <c r="R64" i="118"/>
  <c r="V64" i="118" s="1"/>
  <c r="CB50" i="116"/>
  <c r="BW134" i="116"/>
  <c r="M33" i="118"/>
  <c r="Q33" i="118" s="1"/>
  <c r="CL40" i="116"/>
  <c r="BW73" i="116"/>
  <c r="C80" i="118"/>
  <c r="G80" i="118" s="1"/>
  <c r="R121" i="118"/>
  <c r="V121" i="118" s="1"/>
  <c r="M133" i="118"/>
  <c r="Q133" i="118" s="1"/>
  <c r="M136" i="118"/>
  <c r="Q136" i="118" s="1"/>
  <c r="CL129" i="116"/>
  <c r="BW38" i="116"/>
  <c r="H88" i="118"/>
  <c r="L88" i="118" s="1"/>
  <c r="CL27" i="116"/>
  <c r="R47" i="118"/>
  <c r="V47" i="118" s="1"/>
  <c r="CL120" i="116"/>
  <c r="M127" i="118"/>
  <c r="Q127" i="118" s="1"/>
  <c r="BW148" i="116"/>
  <c r="BW11" i="116"/>
  <c r="N105" i="118"/>
  <c r="M61" i="118"/>
  <c r="Q61" i="118" s="1"/>
  <c r="M88" i="118"/>
  <c r="Q88" i="118" s="1"/>
  <c r="CB132" i="116"/>
  <c r="M21" i="118"/>
  <c r="Q21" i="118" s="1"/>
  <c r="BW85" i="116"/>
  <c r="R135" i="118"/>
  <c r="V135" i="118" s="1"/>
  <c r="C60" i="118"/>
  <c r="G60" i="118" s="1"/>
  <c r="H93" i="118"/>
  <c r="L93" i="118" s="1"/>
  <c r="BW141" i="116"/>
  <c r="BW149" i="116"/>
  <c r="BW157" i="116"/>
  <c r="I129" i="118"/>
  <c r="H131" i="118"/>
  <c r="L131" i="118" s="1"/>
  <c r="BW57" i="116"/>
  <c r="H108" i="118"/>
  <c r="L108" i="118" s="1"/>
  <c r="CB26" i="116"/>
  <c r="CG12" i="116"/>
  <c r="CB68" i="116"/>
  <c r="C113" i="118"/>
  <c r="G113" i="118" s="1"/>
  <c r="CB150" i="116"/>
  <c r="R13" i="118"/>
  <c r="V13" i="118" s="1"/>
  <c r="CL132" i="116"/>
  <c r="CG140" i="116"/>
  <c r="CL140" i="116"/>
  <c r="BW44" i="116"/>
  <c r="CG19" i="116"/>
  <c r="C64" i="118"/>
  <c r="G64" i="118" s="1"/>
  <c r="BW103" i="116"/>
  <c r="CB23" i="116"/>
  <c r="H113" i="118"/>
  <c r="L113" i="118" s="1"/>
  <c r="CG150" i="116"/>
  <c r="R67" i="118"/>
  <c r="V67" i="118" s="1"/>
  <c r="BW108" i="116"/>
  <c r="C87" i="118"/>
  <c r="G87" i="118" s="1"/>
  <c r="CL44" i="116"/>
  <c r="BW77" i="116"/>
  <c r="CL124" i="116"/>
  <c r="C134" i="118"/>
  <c r="G134" i="118" s="1"/>
  <c r="C142" i="118"/>
  <c r="G142" i="118" s="1"/>
  <c r="C150" i="118"/>
  <c r="G150" i="118" s="1"/>
  <c r="H138" i="118"/>
  <c r="L138" i="118" s="1"/>
  <c r="CL92" i="116"/>
  <c r="C57" i="118"/>
  <c r="G57" i="118" s="1"/>
  <c r="R54" i="118"/>
  <c r="V54" i="118" s="1"/>
  <c r="CG84" i="116"/>
  <c r="R31" i="118"/>
  <c r="V31" i="118" s="1"/>
  <c r="BW90" i="116"/>
  <c r="CC136" i="116"/>
  <c r="S117" i="118"/>
  <c r="N19" i="118"/>
  <c r="S127" i="118"/>
  <c r="D54" i="118"/>
  <c r="I41" i="118"/>
  <c r="S77" i="118"/>
  <c r="I119" i="118"/>
  <c r="N51" i="118"/>
  <c r="I77" i="118"/>
  <c r="D13" i="118"/>
  <c r="BX77" i="116"/>
  <c r="CM136" i="116"/>
  <c r="BX117" i="116"/>
  <c r="CM38" i="116"/>
  <c r="CM148" i="116"/>
  <c r="D76" i="118"/>
  <c r="S129" i="118"/>
  <c r="D105" i="118"/>
  <c r="S37" i="118"/>
  <c r="S141" i="118"/>
  <c r="N39" i="118"/>
  <c r="S94" i="118"/>
  <c r="I137" i="118"/>
  <c r="I61" i="118"/>
  <c r="S68" i="118"/>
  <c r="N112" i="118"/>
  <c r="S34" i="118"/>
  <c r="S142" i="118"/>
  <c r="N22" i="118"/>
  <c r="N80" i="118"/>
  <c r="I19" i="118"/>
  <c r="I80" i="118"/>
  <c r="BX157" i="116"/>
  <c r="BX61" i="116"/>
  <c r="S48" i="118"/>
  <c r="CM87" i="116"/>
  <c r="CM21" i="116"/>
  <c r="CH128" i="116"/>
  <c r="CC25" i="116"/>
  <c r="CH78" i="116"/>
  <c r="BX128" i="116"/>
  <c r="BX46" i="116"/>
  <c r="CH35" i="116"/>
  <c r="BX89" i="116"/>
  <c r="D150" i="118"/>
  <c r="D60" i="118"/>
  <c r="CM49" i="116"/>
  <c r="S86" i="118"/>
  <c r="S21" i="118"/>
  <c r="N121" i="118"/>
  <c r="I25" i="118"/>
  <c r="N77" i="118"/>
  <c r="D121" i="118"/>
  <c r="D45" i="118"/>
  <c r="N34" i="118"/>
  <c r="BX141" i="116"/>
  <c r="CM74" i="116"/>
  <c r="BX151" i="116"/>
  <c r="BX71" i="116"/>
  <c r="CM56" i="116"/>
  <c r="D134" i="118"/>
  <c r="S73" i="118"/>
  <c r="D144" i="118"/>
  <c r="D70" i="118"/>
  <c r="S55" i="118"/>
  <c r="D95" i="118"/>
  <c r="N137" i="118"/>
  <c r="N67" i="118"/>
  <c r="N94" i="118"/>
  <c r="D29" i="118"/>
  <c r="D147" i="118"/>
  <c r="D71" i="118"/>
  <c r="N46" i="118"/>
  <c r="D100" i="118"/>
  <c r="I122" i="118"/>
  <c r="I48" i="118"/>
  <c r="D122" i="118"/>
  <c r="BX55" i="116"/>
  <c r="CH68" i="116"/>
  <c r="CM69" i="116"/>
  <c r="D55" i="118"/>
  <c r="CH133" i="116"/>
  <c r="CC129" i="116"/>
  <c r="I32" i="118"/>
  <c r="CC65" i="116"/>
  <c r="CM7" i="116"/>
  <c r="BX145" i="116"/>
  <c r="BX65" i="116"/>
  <c r="CH34" i="116"/>
  <c r="CH120" i="116"/>
  <c r="CH154" i="116"/>
  <c r="CH72" i="116"/>
  <c r="CC138" i="116"/>
  <c r="CC56" i="116"/>
  <c r="CM59" i="116"/>
  <c r="CC105" i="116"/>
  <c r="CM24" i="116"/>
  <c r="CM143" i="116"/>
  <c r="CC18" i="116"/>
  <c r="CM92" i="116"/>
  <c r="CC26" i="116"/>
  <c r="CH92" i="116"/>
  <c r="BX26" i="116"/>
  <c r="BX155" i="116"/>
  <c r="BX59" i="116"/>
  <c r="CH13" i="116"/>
  <c r="CM82" i="116"/>
  <c r="CC130" i="116"/>
  <c r="CC15" i="116"/>
  <c r="CC82" i="116"/>
  <c r="BX17" i="116"/>
  <c r="BX142" i="116"/>
  <c r="BX60" i="116"/>
  <c r="CH16" i="116"/>
  <c r="CM90" i="116"/>
  <c r="BX111" i="116"/>
  <c r="CC37" i="116"/>
  <c r="BX110" i="116"/>
  <c r="BX37" i="116"/>
  <c r="CH9" i="116"/>
  <c r="BX109" i="116"/>
  <c r="CM36" i="116"/>
  <c r="CM146" i="116"/>
  <c r="CH36" i="116"/>
  <c r="CM93" i="116"/>
  <c r="BX86" i="116"/>
  <c r="CC76" i="116"/>
  <c r="BX11" i="116"/>
  <c r="CM133" i="116"/>
  <c r="BX54" i="116"/>
  <c r="CC14" i="116"/>
  <c r="CM83" i="116"/>
  <c r="CM96" i="116"/>
  <c r="CC30" i="116"/>
  <c r="CH96" i="116"/>
  <c r="BX30" i="116"/>
  <c r="CC27" i="116"/>
  <c r="BX143" i="116"/>
  <c r="BX63" i="116"/>
  <c r="CH27" i="116"/>
  <c r="BX116" i="116"/>
  <c r="CH152" i="116"/>
  <c r="CH60" i="116"/>
  <c r="CM86" i="116"/>
  <c r="BX21" i="116"/>
  <c r="BX146" i="116"/>
  <c r="BX64" i="116"/>
  <c r="CH28" i="116"/>
  <c r="BX95" i="116"/>
  <c r="CC42" i="116"/>
  <c r="CH52" i="116"/>
  <c r="BX154" i="116"/>
  <c r="CM35" i="116"/>
  <c r="N126" i="118"/>
  <c r="CM104" i="116"/>
  <c r="CC19" i="116"/>
  <c r="I64" i="118"/>
  <c r="S7" i="118"/>
  <c r="D138" i="118"/>
  <c r="D64" i="118"/>
  <c r="N33" i="118"/>
  <c r="N113" i="118"/>
  <c r="N147" i="118"/>
  <c r="N71" i="118"/>
  <c r="I131" i="118"/>
  <c r="I55" i="118"/>
  <c r="S58" i="118"/>
  <c r="I109" i="118"/>
  <c r="S24" i="118"/>
  <c r="S136" i="118"/>
  <c r="I18" i="118"/>
  <c r="S91" i="118"/>
  <c r="I26" i="118"/>
  <c r="N91" i="118"/>
  <c r="D26" i="118"/>
  <c r="D148" i="118"/>
  <c r="D58" i="118"/>
  <c r="N13" i="118"/>
  <c r="S81" i="118"/>
  <c r="I123" i="118"/>
  <c r="I15" i="118"/>
  <c r="I81" i="118"/>
  <c r="D17" i="118"/>
  <c r="D135" i="118"/>
  <c r="D59" i="118"/>
  <c r="N16" i="118"/>
  <c r="S89" i="118"/>
  <c r="D99" i="118"/>
  <c r="I36" i="118"/>
  <c r="D98" i="118"/>
  <c r="D36" i="118"/>
  <c r="N9" i="118"/>
  <c r="D97" i="118"/>
  <c r="S35" i="118"/>
  <c r="S139" i="118"/>
  <c r="N35" i="118"/>
  <c r="S92" i="118"/>
  <c r="D85" i="118"/>
  <c r="BX96" i="116"/>
  <c r="CC144" i="116"/>
  <c r="CM135" i="116"/>
  <c r="CM14" i="116"/>
  <c r="BX112" i="116"/>
  <c r="S108" i="118"/>
  <c r="CC147" i="116"/>
  <c r="BX49" i="116"/>
  <c r="CH44" i="116"/>
  <c r="CM128" i="116"/>
  <c r="CM48" i="116"/>
  <c r="CC21" i="116"/>
  <c r="CM89" i="116"/>
  <c r="CH136" i="116"/>
  <c r="CH62" i="116"/>
  <c r="BX120" i="116"/>
  <c r="BX40" i="116"/>
  <c r="CH12" i="116"/>
  <c r="BX82" i="116"/>
  <c r="CM71" i="116"/>
  <c r="CH127" i="116"/>
  <c r="CH155" i="116"/>
  <c r="CH75" i="116"/>
  <c r="CC157" i="116"/>
  <c r="CC75" i="116"/>
  <c r="BX10" i="116"/>
  <c r="CM122" i="116"/>
  <c r="CM42" i="116"/>
  <c r="CM152" i="116"/>
  <c r="CM52" i="116"/>
  <c r="CM105" i="116"/>
  <c r="CC148" i="116"/>
  <c r="CC66" i="116"/>
  <c r="CM8" i="116"/>
  <c r="CM123" i="116"/>
  <c r="CM41" i="116"/>
  <c r="CM153" i="116"/>
  <c r="CH43" i="116"/>
  <c r="CM85" i="116"/>
  <c r="CC20" i="116"/>
  <c r="CH85" i="116"/>
  <c r="BX20" i="116"/>
  <c r="BX137" i="116"/>
  <c r="CC85" i="116"/>
  <c r="CM19" i="116"/>
  <c r="CH124" i="116"/>
  <c r="BX87" i="116"/>
  <c r="CH76" i="116"/>
  <c r="CC142" i="116"/>
  <c r="CC60" i="116"/>
  <c r="CM65" i="116"/>
  <c r="BX113" i="116"/>
  <c r="CM30" i="116"/>
  <c r="CM147" i="116"/>
  <c r="CH18" i="116"/>
  <c r="CH79" i="116"/>
  <c r="CC9" i="116"/>
  <c r="CC79" i="116"/>
  <c r="BX14" i="116"/>
  <c r="BX139" i="116"/>
  <c r="CM126" i="116"/>
  <c r="CM46" i="116"/>
  <c r="CC11" i="116"/>
  <c r="CH87" i="116"/>
  <c r="CC134" i="116"/>
  <c r="CC31" i="116"/>
  <c r="CC70" i="116"/>
  <c r="CM37" i="116"/>
  <c r="CM127" i="116"/>
  <c r="CM47" i="116"/>
  <c r="CM157" i="116"/>
  <c r="CM77" i="116"/>
  <c r="CC121" i="116"/>
  <c r="CC41" i="116"/>
  <c r="BX121" i="116"/>
  <c r="BX41" i="116"/>
  <c r="BX57" i="116"/>
  <c r="CH7" i="116"/>
  <c r="CM80" i="116"/>
  <c r="CC128" i="116"/>
  <c r="CM78" i="116"/>
  <c r="CH95" i="116"/>
  <c r="S128" i="118"/>
  <c r="S14" i="118"/>
  <c r="CC86" i="116"/>
  <c r="CH81" i="116"/>
  <c r="I140" i="118"/>
  <c r="D48" i="118"/>
  <c r="N43" i="118"/>
  <c r="S121" i="118"/>
  <c r="S47" i="118"/>
  <c r="I21" i="118"/>
  <c r="S88" i="118"/>
  <c r="N129" i="118"/>
  <c r="N61" i="118"/>
  <c r="D113" i="118"/>
  <c r="D39" i="118"/>
  <c r="N12" i="118"/>
  <c r="D81" i="118"/>
  <c r="S70" i="118"/>
  <c r="N120" i="118"/>
  <c r="N148" i="118"/>
  <c r="N74" i="118"/>
  <c r="I150" i="118"/>
  <c r="I74" i="118"/>
  <c r="D10" i="118"/>
  <c r="S115" i="118"/>
  <c r="S41" i="118"/>
  <c r="S145" i="118"/>
  <c r="S51" i="118"/>
  <c r="S109" i="118"/>
  <c r="I141" i="118"/>
  <c r="I65" i="118"/>
  <c r="S8" i="118"/>
  <c r="S116" i="118"/>
  <c r="S40" i="118"/>
  <c r="S146" i="118"/>
  <c r="N42" i="118"/>
  <c r="S84" i="118"/>
  <c r="I20" i="118"/>
  <c r="N84" i="118"/>
  <c r="D20" i="118"/>
  <c r="D130" i="118"/>
  <c r="I84" i="118"/>
  <c r="S19" i="118"/>
  <c r="N117" i="118"/>
  <c r="D86" i="118"/>
  <c r="N75" i="118"/>
  <c r="I135" i="118"/>
  <c r="I59" i="118"/>
  <c r="S64" i="118"/>
  <c r="D101" i="118"/>
  <c r="S30" i="118"/>
  <c r="S140" i="118"/>
  <c r="N18" i="118"/>
  <c r="N78" i="118"/>
  <c r="I9" i="118"/>
  <c r="I78" i="118"/>
  <c r="D14" i="118"/>
  <c r="D132" i="118"/>
  <c r="S119" i="118"/>
  <c r="S45" i="118"/>
  <c r="I11" i="118"/>
  <c r="N86" i="118"/>
  <c r="I127" i="118"/>
  <c r="I31" i="118"/>
  <c r="I69" i="118"/>
  <c r="S36" i="118"/>
  <c r="S120" i="118"/>
  <c r="S46" i="118"/>
  <c r="S150" i="118"/>
  <c r="CH40" i="116"/>
  <c r="CC78" i="116"/>
  <c r="CH119" i="116"/>
  <c r="CH47" i="116"/>
  <c r="I85" i="118"/>
  <c r="CH65" i="116"/>
  <c r="BX129" i="116"/>
  <c r="BX32" i="116"/>
  <c r="CC36" i="116"/>
  <c r="CC104" i="116"/>
  <c r="CM31" i="116"/>
  <c r="BX88" i="116"/>
  <c r="CM68" i="116"/>
  <c r="CC120" i="116"/>
  <c r="CC40" i="116"/>
  <c r="CC89" i="116"/>
  <c r="BX23" i="116"/>
  <c r="BX148" i="116"/>
  <c r="BX66" i="116"/>
  <c r="CH32" i="116"/>
  <c r="BX103" i="116"/>
  <c r="CH139" i="116"/>
  <c r="CH59" i="116"/>
  <c r="CC141" i="116"/>
  <c r="CC59" i="116"/>
  <c r="CH25" i="116"/>
  <c r="CC92" i="116"/>
  <c r="CM25" i="116"/>
  <c r="CH132" i="116"/>
  <c r="CC48" i="116"/>
  <c r="CH82" i="116"/>
  <c r="BX132" i="116"/>
  <c r="CC50" i="116"/>
  <c r="CH45" i="116"/>
  <c r="CC93" i="116"/>
  <c r="CM18" i="116"/>
  <c r="CM137" i="116"/>
  <c r="CH149" i="116"/>
  <c r="CH69" i="116"/>
  <c r="CC151" i="116"/>
  <c r="CC69" i="116"/>
  <c r="CM15" i="116"/>
  <c r="CM120" i="116"/>
  <c r="BX69" i="116"/>
  <c r="CH48" i="116"/>
  <c r="BX94" i="116"/>
  <c r="CH142" i="116"/>
  <c r="CH66" i="116"/>
  <c r="BX126" i="116"/>
  <c r="BX44" i="116"/>
  <c r="CH26" i="116"/>
  <c r="CH86" i="116"/>
  <c r="CM10" i="116"/>
  <c r="CH131" i="116"/>
  <c r="CH143" i="116"/>
  <c r="CH63" i="116"/>
  <c r="CC145" i="116"/>
  <c r="CC63" i="116"/>
  <c r="CM72" i="116"/>
  <c r="BX149" i="116"/>
  <c r="CC96" i="116"/>
  <c r="CM29" i="116"/>
  <c r="CM156" i="116"/>
  <c r="CM62" i="116"/>
  <c r="BX115" i="116"/>
  <c r="CC152" i="116"/>
  <c r="CC54" i="116"/>
  <c r="CM55" i="116"/>
  <c r="CC103" i="116"/>
  <c r="CM22" i="116"/>
  <c r="CM141" i="116"/>
  <c r="CC8" i="116"/>
  <c r="CH90" i="116"/>
  <c r="CC24" i="116"/>
  <c r="CC90" i="116"/>
  <c r="BX24" i="116"/>
  <c r="CM124" i="116"/>
  <c r="CH144" i="116"/>
  <c r="CC62" i="116"/>
  <c r="D88" i="118"/>
  <c r="CH6" i="116"/>
  <c r="CH22" i="116"/>
  <c r="N64" i="118"/>
  <c r="CH104" i="116"/>
  <c r="D32" i="118"/>
  <c r="I35" i="118"/>
  <c r="I108" i="118"/>
  <c r="S31" i="118"/>
  <c r="D87" i="118"/>
  <c r="S67" i="118"/>
  <c r="I113" i="118"/>
  <c r="I39" i="118"/>
  <c r="I88" i="118"/>
  <c r="D23" i="118"/>
  <c r="D141" i="118"/>
  <c r="D65" i="118"/>
  <c r="N32" i="118"/>
  <c r="D107" i="118"/>
  <c r="N132" i="118"/>
  <c r="N58" i="118"/>
  <c r="I134" i="118"/>
  <c r="I58" i="118"/>
  <c r="N25" i="118"/>
  <c r="I91" i="118"/>
  <c r="S25" i="118"/>
  <c r="N125" i="118"/>
  <c r="I47" i="118"/>
  <c r="N81" i="118"/>
  <c r="D125" i="118"/>
  <c r="I49" i="118"/>
  <c r="N44" i="118"/>
  <c r="I92" i="118"/>
  <c r="S18" i="118"/>
  <c r="S130" i="118"/>
  <c r="N142" i="118"/>
  <c r="N68" i="118"/>
  <c r="I144" i="118"/>
  <c r="I68" i="118"/>
  <c r="S15" i="118"/>
  <c r="S113" i="118"/>
  <c r="D68" i="118"/>
  <c r="N47" i="118"/>
  <c r="D93" i="118"/>
  <c r="N135" i="118"/>
  <c r="N65" i="118"/>
  <c r="CH19" i="116"/>
  <c r="CC126" i="116"/>
  <c r="BX29" i="116"/>
  <c r="BX72" i="116"/>
  <c r="N6" i="118"/>
  <c r="CH145" i="116"/>
  <c r="CC49" i="116"/>
  <c r="N108" i="118"/>
  <c r="BX16" i="116"/>
  <c r="BX153" i="116"/>
  <c r="BX81" i="116"/>
  <c r="CM13" i="116"/>
  <c r="CM142" i="116"/>
  <c r="CH21" i="116"/>
  <c r="CH89" i="116"/>
  <c r="CC154" i="116"/>
  <c r="CC72" i="116"/>
  <c r="CM43" i="116"/>
  <c r="CM129" i="116"/>
  <c r="BX50" i="116"/>
  <c r="CC13" i="116"/>
  <c r="CM79" i="116"/>
  <c r="CC123" i="116"/>
  <c r="CC43" i="116"/>
  <c r="BX123" i="116"/>
  <c r="BX43" i="116"/>
  <c r="BX90" i="116"/>
  <c r="BX75" i="116"/>
  <c r="CM64" i="116"/>
  <c r="BX106" i="116"/>
  <c r="CH148" i="116"/>
  <c r="CH56" i="116"/>
  <c r="CH105" i="116"/>
  <c r="BX34" i="116"/>
  <c r="CC6" i="116"/>
  <c r="BX76" i="116"/>
  <c r="CM53" i="116"/>
  <c r="CH121" i="116"/>
  <c r="CC133" i="116"/>
  <c r="CH53" i="116"/>
  <c r="BX135" i="116"/>
  <c r="CC53" i="116"/>
  <c r="CM58" i="116"/>
  <c r="CM132" i="116"/>
  <c r="BX53" i="116"/>
  <c r="CC34" i="116"/>
  <c r="CM76" i="116"/>
  <c r="CC124" i="116"/>
  <c r="CH50" i="116"/>
  <c r="CH93" i="116"/>
  <c r="BX27" i="116"/>
  <c r="BX152" i="116"/>
  <c r="BX70" i="116"/>
  <c r="CH41" i="116"/>
  <c r="BX107" i="116"/>
  <c r="CC127" i="116"/>
  <c r="CC47" i="116"/>
  <c r="BX127" i="116"/>
  <c r="BX47" i="116"/>
  <c r="CH38" i="116"/>
  <c r="S66" i="118"/>
  <c r="BX79" i="116"/>
  <c r="CM9" i="116"/>
  <c r="CM138" i="116"/>
  <c r="CH17" i="116"/>
  <c r="CC87" i="116"/>
  <c r="BX114" i="116"/>
  <c r="BX38" i="116"/>
  <c r="CH8" i="116"/>
  <c r="BX80" i="116"/>
  <c r="CM61" i="116"/>
  <c r="CH125" i="116"/>
  <c r="CH153" i="116"/>
  <c r="CH73" i="116"/>
  <c r="CC155" i="116"/>
  <c r="CC73" i="116"/>
  <c r="BX8" i="116"/>
  <c r="CM23" i="116"/>
  <c r="CH130" i="116"/>
  <c r="CC38" i="116"/>
  <c r="CH80" i="116"/>
  <c r="CM134" i="116"/>
  <c r="D16" i="118"/>
  <c r="I71" i="118"/>
  <c r="D116" i="118"/>
  <c r="N109" i="118"/>
  <c r="D128" i="118"/>
  <c r="N49" i="118"/>
  <c r="D145" i="118"/>
  <c r="N124" i="118"/>
  <c r="I30" i="118"/>
  <c r="N37" i="118"/>
  <c r="S29" i="118"/>
  <c r="N145" i="118"/>
  <c r="D37" i="118"/>
  <c r="S22" i="118"/>
  <c r="N146" i="118"/>
  <c r="I40" i="118"/>
  <c r="CC57" i="116"/>
  <c r="CM40" i="116"/>
  <c r="N123" i="118"/>
  <c r="N139" i="118"/>
  <c r="N53" i="118"/>
  <c r="I79" i="118"/>
  <c r="D15" i="118"/>
  <c r="D131" i="118"/>
  <c r="D57" i="118"/>
  <c r="N10" i="118"/>
  <c r="S87" i="118"/>
  <c r="S110" i="118"/>
  <c r="I34" i="118"/>
  <c r="N110" i="118"/>
  <c r="D34" i="118"/>
  <c r="I45" i="118"/>
  <c r="I110" i="118"/>
  <c r="S33" i="118"/>
  <c r="S137" i="118"/>
  <c r="N29" i="118"/>
  <c r="N90" i="118"/>
  <c r="I149" i="118"/>
  <c r="I73" i="118"/>
  <c r="D7" i="118"/>
  <c r="S124" i="118"/>
  <c r="D51" i="118"/>
  <c r="I10" i="118"/>
  <c r="S80" i="118"/>
  <c r="I118" i="118"/>
  <c r="I44" i="118"/>
  <c r="D118" i="118"/>
  <c r="D44" i="118"/>
  <c r="I17" i="118"/>
  <c r="S147" i="118"/>
  <c r="N11" i="118"/>
  <c r="S83" i="118"/>
  <c r="D127" i="118"/>
  <c r="I51" i="118"/>
  <c r="S50" i="118"/>
  <c r="I94" i="118"/>
  <c r="S20" i="118"/>
  <c r="S132" i="118"/>
  <c r="I7" i="118"/>
  <c r="N87" i="118"/>
  <c r="I22" i="118"/>
  <c r="I87" i="118"/>
  <c r="D22" i="118"/>
  <c r="D9" i="118"/>
  <c r="D133" i="118"/>
  <c r="S32" i="118"/>
  <c r="CH71" i="116"/>
  <c r="CC71" i="116"/>
  <c r="BX133" i="116"/>
  <c r="S28" i="118"/>
  <c r="BX58" i="116"/>
  <c r="CH29" i="116"/>
  <c r="BX125" i="116"/>
  <c r="BX134" i="116"/>
  <c r="CH88" i="116"/>
  <c r="CM95" i="116"/>
  <c r="D146" i="118"/>
  <c r="S42" i="118"/>
  <c r="D42" i="118"/>
  <c r="D33" i="118"/>
  <c r="I52" i="118"/>
  <c r="D119" i="118"/>
  <c r="S126" i="118"/>
  <c r="D111" i="118"/>
  <c r="I138" i="118"/>
  <c r="I27" i="118"/>
  <c r="S9" i="118"/>
  <c r="D103" i="118"/>
  <c r="D21" i="118"/>
  <c r="S60" i="118"/>
  <c r="CH137" i="116"/>
  <c r="I24" i="118"/>
  <c r="I56" i="118"/>
  <c r="S39" i="118"/>
  <c r="BX104" i="116"/>
  <c r="I121" i="118"/>
  <c r="CC146" i="116"/>
  <c r="CC64" i="116"/>
  <c r="CM75" i="116"/>
  <c r="CM121" i="116"/>
  <c r="CM39" i="116"/>
  <c r="CM151" i="116"/>
  <c r="CH30" i="116"/>
  <c r="CH83" i="116"/>
  <c r="CC12" i="116"/>
  <c r="CC83" i="116"/>
  <c r="BX18" i="116"/>
  <c r="BX73" i="116"/>
  <c r="BX83" i="116"/>
  <c r="CM17" i="116"/>
  <c r="CH122" i="116"/>
  <c r="CH156" i="116"/>
  <c r="CH74" i="116"/>
  <c r="CC140" i="116"/>
  <c r="CC58" i="116"/>
  <c r="CM63" i="116"/>
  <c r="CC107" i="116"/>
  <c r="CM26" i="116"/>
  <c r="CM145" i="116"/>
  <c r="CH14" i="116"/>
  <c r="CM94" i="116"/>
  <c r="CC28" i="116"/>
  <c r="CH94" i="116"/>
  <c r="BX28" i="116"/>
  <c r="CC94" i="116"/>
  <c r="BX108" i="116"/>
  <c r="CH150" i="116"/>
  <c r="CH58" i="116"/>
  <c r="CH107" i="116"/>
  <c r="BX36" i="116"/>
  <c r="CC16" i="116"/>
  <c r="BX78" i="116"/>
  <c r="CM57" i="116"/>
  <c r="CH123" i="116"/>
  <c r="CH151" i="116"/>
  <c r="CC153" i="116"/>
  <c r="BX6" i="116"/>
  <c r="CH134" i="116"/>
  <c r="CH54" i="116"/>
  <c r="CH106" i="116"/>
  <c r="CC156" i="116"/>
  <c r="CM81" i="116"/>
  <c r="CM84" i="116"/>
  <c r="CC7" i="116"/>
  <c r="BX140" i="116"/>
  <c r="BX13" i="116"/>
  <c r="D80" i="118"/>
  <c r="S122" i="118"/>
  <c r="D89" i="118"/>
  <c r="I6" i="118"/>
  <c r="S57" i="118"/>
  <c r="N92" i="118"/>
  <c r="N85" i="118"/>
  <c r="S82" i="118"/>
  <c r="D120" i="118"/>
  <c r="D142" i="118"/>
  <c r="N27" i="118"/>
  <c r="I86" i="118"/>
  <c r="S54" i="118"/>
  <c r="N28" i="118"/>
  <c r="N130" i="118"/>
  <c r="I148" i="118"/>
  <c r="D40" i="118"/>
  <c r="S23" i="118"/>
  <c r="D108" i="118"/>
  <c r="CM103" i="116"/>
  <c r="I139" i="118"/>
  <c r="I63" i="118"/>
  <c r="S74" i="118"/>
  <c r="S114" i="118"/>
  <c r="S38" i="118"/>
  <c r="S144" i="118"/>
  <c r="N30" i="118"/>
  <c r="N82" i="118"/>
  <c r="I12" i="118"/>
  <c r="I82" i="118"/>
  <c r="D18" i="118"/>
  <c r="D72" i="118"/>
  <c r="D82" i="118"/>
  <c r="S17" i="118"/>
  <c r="N115" i="118"/>
  <c r="N149" i="118"/>
  <c r="N73" i="118"/>
  <c r="I133" i="118"/>
  <c r="I57" i="118"/>
  <c r="S62" i="118"/>
  <c r="I111" i="118"/>
  <c r="S26" i="118"/>
  <c r="S138" i="118"/>
  <c r="N14" i="118"/>
  <c r="S93" i="118"/>
  <c r="I28" i="118"/>
  <c r="N93" i="118"/>
  <c r="D28" i="118"/>
  <c r="I93" i="118"/>
  <c r="D96" i="118"/>
  <c r="N143" i="118"/>
  <c r="N57" i="118"/>
  <c r="N111" i="118"/>
  <c r="D35" i="118"/>
  <c r="I16" i="118"/>
  <c r="D77" i="118"/>
  <c r="S56" i="118"/>
  <c r="N116" i="118"/>
  <c r="N144" i="118"/>
  <c r="N70" i="118"/>
  <c r="I146" i="118"/>
  <c r="I70" i="118"/>
  <c r="D6" i="118"/>
  <c r="D126" i="118"/>
  <c r="N127" i="118"/>
  <c r="CM28" i="116"/>
  <c r="CM66" i="116"/>
  <c r="CH126" i="116"/>
  <c r="CM140" i="116"/>
  <c r="N55" i="118"/>
  <c r="S71" i="118"/>
  <c r="I8" i="118"/>
  <c r="CH146" i="116"/>
  <c r="CM88" i="116"/>
  <c r="CM144" i="116"/>
  <c r="BX52" i="116"/>
  <c r="BX45" i="116"/>
  <c r="CM51" i="116"/>
  <c r="BX22" i="116"/>
  <c r="BX56" i="116"/>
  <c r="S13" i="118"/>
  <c r="D49" i="118"/>
  <c r="D74" i="118"/>
  <c r="D75" i="118"/>
  <c r="S125" i="118"/>
  <c r="I75" i="118"/>
  <c r="D69" i="118"/>
  <c r="N136" i="118"/>
  <c r="N95" i="118"/>
  <c r="CM67" i="116"/>
  <c r="S149" i="118"/>
  <c r="N59" i="118"/>
  <c r="N8" i="118"/>
  <c r="S134" i="118"/>
  <c r="I114" i="118"/>
  <c r="CC139" i="116"/>
  <c r="D24" i="118"/>
  <c r="CM60" i="116"/>
  <c r="S79" i="118"/>
  <c r="S107" i="118"/>
  <c r="BX130" i="116"/>
  <c r="BX48" i="116"/>
  <c r="CH39" i="116"/>
  <c r="BX91" i="116"/>
  <c r="CM16" i="116"/>
  <c r="CH135" i="116"/>
  <c r="CH147" i="116"/>
  <c r="CH67" i="116"/>
  <c r="CC149" i="116"/>
  <c r="CC67" i="116"/>
  <c r="CM11" i="116"/>
  <c r="BX147" i="116"/>
  <c r="BX67" i="116"/>
  <c r="CH42" i="116"/>
  <c r="CM91" i="116"/>
  <c r="CH138" i="116"/>
  <c r="CH64" i="116"/>
  <c r="BX122" i="116"/>
  <c r="BX42" i="116"/>
  <c r="CH20" i="116"/>
  <c r="CC84" i="116"/>
  <c r="CM6" i="116"/>
  <c r="CH129" i="116"/>
  <c r="CH157" i="116"/>
  <c r="CH77" i="116"/>
  <c r="BX92" i="116"/>
  <c r="CC77" i="116"/>
  <c r="BX12" i="116"/>
  <c r="CM44" i="116"/>
  <c r="BX85" i="116"/>
  <c r="CC132" i="116"/>
  <c r="CC23" i="116"/>
  <c r="CH84" i="116"/>
  <c r="BX19" i="116"/>
  <c r="BX144" i="116"/>
  <c r="BX62" i="116"/>
  <c r="CH24" i="116"/>
  <c r="BX93" i="116"/>
  <c r="CC135" i="116"/>
  <c r="CH55" i="116"/>
  <c r="CC137" i="116"/>
  <c r="CC55" i="116"/>
  <c r="BX124" i="116"/>
  <c r="CH15" i="116"/>
  <c r="I42" i="118"/>
  <c r="N17" i="118"/>
  <c r="D56" i="118"/>
  <c r="BX138" i="116"/>
  <c r="BX35" i="116"/>
  <c r="CH91" i="116"/>
  <c r="CC125" i="116"/>
  <c r="CC52" i="116"/>
  <c r="CC22" i="116"/>
  <c r="CM149" i="116"/>
  <c r="S135" i="118"/>
  <c r="I13" i="118"/>
  <c r="S63" i="118"/>
  <c r="S52" i="118"/>
  <c r="D52" i="118"/>
  <c r="D43" i="118"/>
  <c r="D53" i="118"/>
  <c r="I120" i="118"/>
  <c r="I62" i="118"/>
  <c r="D136" i="118"/>
  <c r="S131" i="118"/>
  <c r="I145" i="118"/>
  <c r="D139" i="118"/>
  <c r="N118" i="118"/>
  <c r="N89" i="118"/>
  <c r="I132" i="118"/>
  <c r="D8" i="118"/>
  <c r="S59" i="118"/>
  <c r="CH46" i="116"/>
  <c r="N79" i="118"/>
  <c r="D123" i="118"/>
  <c r="D47" i="118"/>
  <c r="N38" i="118"/>
  <c r="D90" i="118"/>
  <c r="S16" i="118"/>
  <c r="N128" i="118"/>
  <c r="N140" i="118"/>
  <c r="N66" i="118"/>
  <c r="I142" i="118"/>
  <c r="I66" i="118"/>
  <c r="S11" i="118"/>
  <c r="D140" i="118"/>
  <c r="D66" i="118"/>
  <c r="N41" i="118"/>
  <c r="S90" i="118"/>
  <c r="N131" i="118"/>
  <c r="N63" i="118"/>
  <c r="D115" i="118"/>
  <c r="D41" i="118"/>
  <c r="N20" i="118"/>
  <c r="I83" i="118"/>
  <c r="S6" i="118"/>
  <c r="N122" i="118"/>
  <c r="N150" i="118"/>
  <c r="N76" i="118"/>
  <c r="D91" i="118"/>
  <c r="I76" i="118"/>
  <c r="D12" i="118"/>
  <c r="S43" i="118"/>
  <c r="D84" i="118"/>
  <c r="I125" i="118"/>
  <c r="I23" i="118"/>
  <c r="N83" i="118"/>
  <c r="D19" i="118"/>
  <c r="D137" i="118"/>
  <c r="D61" i="118"/>
  <c r="N24" i="118"/>
  <c r="D92" i="118"/>
  <c r="I128" i="118"/>
  <c r="N54" i="118"/>
  <c r="I130" i="118"/>
  <c r="I54" i="118"/>
  <c r="S65" i="118"/>
  <c r="D117" i="118"/>
  <c r="N119" i="118"/>
  <c r="CM27" i="116"/>
  <c r="CM107" i="116"/>
  <c r="CC68" i="116"/>
  <c r="CM125" i="116"/>
  <c r="CM155" i="116"/>
  <c r="CM73" i="116"/>
  <c r="CC39" i="116"/>
  <c r="BX39" i="116"/>
  <c r="I147" i="118"/>
  <c r="I46" i="118"/>
  <c r="I53" i="118"/>
  <c r="I72" i="118"/>
  <c r="BX15" i="116"/>
  <c r="CC35" i="116"/>
  <c r="CC106" i="116"/>
  <c r="BX7" i="116"/>
  <c r="CC10" i="116"/>
  <c r="CC17" i="116"/>
  <c r="CC95" i="116"/>
  <c r="CC88" i="116"/>
  <c r="N138" i="118"/>
  <c r="N21" i="118"/>
  <c r="S78" i="118"/>
  <c r="D110" i="118"/>
  <c r="N114" i="118"/>
  <c r="I33" i="118"/>
  <c r="D27" i="118"/>
  <c r="S10" i="118"/>
  <c r="S95" i="118"/>
  <c r="D46" i="118"/>
  <c r="I95" i="118"/>
  <c r="D104" i="118"/>
  <c r="D102" i="118"/>
  <c r="I107" i="118"/>
  <c r="D94" i="118"/>
  <c r="N72" i="118"/>
  <c r="D114" i="118"/>
  <c r="CH23" i="116"/>
  <c r="N7" i="118"/>
  <c r="N45" i="118"/>
  <c r="CH70" i="116"/>
  <c r="CH103" i="116"/>
  <c r="BX31" i="116"/>
  <c r="BX156" i="116"/>
  <c r="BX74" i="116"/>
  <c r="CH49" i="116"/>
  <c r="CC119" i="116"/>
  <c r="CC131" i="116"/>
  <c r="CH51" i="116"/>
  <c r="BX131" i="116"/>
  <c r="CC51" i="116"/>
  <c r="CM50" i="116"/>
  <c r="CM130" i="116"/>
  <c r="BX51" i="116"/>
  <c r="CC29" i="116"/>
  <c r="CM70" i="116"/>
  <c r="CC122" i="116"/>
  <c r="CC44" i="116"/>
  <c r="CC91" i="116"/>
  <c r="BX25" i="116"/>
  <c r="BX150" i="116"/>
  <c r="BX68" i="116"/>
  <c r="CH37" i="116"/>
  <c r="BX105" i="116"/>
  <c r="CH141" i="116"/>
  <c r="CH61" i="116"/>
  <c r="CC143" i="116"/>
  <c r="CC61" i="116"/>
  <c r="CH31" i="116"/>
  <c r="CM54" i="116"/>
  <c r="CC150" i="116"/>
  <c r="CM12" i="116"/>
  <c r="CM45" i="116"/>
  <c r="BX119" i="116"/>
  <c r="BX118" i="116"/>
  <c r="CH140" i="116"/>
  <c r="N52" i="118"/>
  <c r="D63" i="118"/>
  <c r="S143" i="118"/>
  <c r="CH10" i="116"/>
  <c r="CC46" i="116"/>
  <c r="CC74" i="116"/>
  <c r="CC45" i="116"/>
  <c r="CH11" i="116"/>
  <c r="CM139" i="116"/>
  <c r="CM32" i="116"/>
  <c r="CC32" i="116"/>
  <c r="N88" i="118"/>
  <c r="I116" i="118"/>
  <c r="N141" i="118"/>
  <c r="I126" i="118"/>
  <c r="S75" i="118"/>
  <c r="D11" i="118"/>
  <c r="N40" i="118"/>
  <c r="N62" i="118"/>
  <c r="D30" i="118"/>
  <c r="D78" i="118"/>
  <c r="S61" i="118"/>
  <c r="S85" i="118"/>
  <c r="D79" i="118"/>
  <c r="S76" i="118"/>
  <c r="CH57" i="116"/>
  <c r="I89" i="118"/>
  <c r="N23" i="118"/>
  <c r="CM150" i="116"/>
  <c r="I37" i="118"/>
  <c r="N69" i="118"/>
  <c r="N107" i="118"/>
  <c r="D31" i="118"/>
  <c r="D149" i="118"/>
  <c r="D73" i="118"/>
  <c r="N48" i="118"/>
  <c r="I112" i="118"/>
  <c r="I124" i="118"/>
  <c r="N50" i="118"/>
  <c r="D124" i="118"/>
  <c r="I50" i="118"/>
  <c r="S49" i="118"/>
  <c r="S123" i="118"/>
  <c r="D50" i="118"/>
  <c r="I29" i="118"/>
  <c r="S69" i="118"/>
  <c r="I115" i="118"/>
  <c r="I43" i="118"/>
  <c r="I90" i="118"/>
  <c r="D25" i="118"/>
  <c r="D143" i="118"/>
  <c r="D67" i="118"/>
  <c r="N36" i="118"/>
  <c r="D109" i="118"/>
  <c r="N134" i="118"/>
  <c r="N60" i="118"/>
  <c r="I136" i="118"/>
  <c r="I60" i="118"/>
  <c r="N31" i="118"/>
  <c r="S27" i="118"/>
  <c r="S53" i="118"/>
  <c r="S111" i="118"/>
  <c r="I143" i="118"/>
  <c r="I67" i="118"/>
  <c r="S12" i="118"/>
  <c r="S118" i="118"/>
  <c r="S44" i="118"/>
  <c r="S148" i="118"/>
  <c r="S72" i="118"/>
  <c r="D112" i="118"/>
  <c r="I38" i="118"/>
  <c r="D106" i="118"/>
  <c r="D38" i="118"/>
  <c r="N15" i="118"/>
  <c r="N133" i="118"/>
  <c r="S133" i="118"/>
  <c r="CC81" i="116"/>
  <c r="I117" i="118"/>
  <c r="N26" i="118"/>
  <c r="I14" i="118"/>
  <c r="D62" i="118"/>
  <c r="N56" i="118"/>
  <c r="CC80" i="116"/>
  <c r="CM106" i="116"/>
  <c r="CM34" i="116"/>
  <c r="CM131" i="116"/>
  <c r="CM154" i="116"/>
  <c r="CM20" i="116"/>
  <c r="BX9" i="116"/>
  <c r="A3" i="18"/>
  <c r="BH20" i="120"/>
  <c r="BE20" i="120"/>
  <c r="BG20" i="120" s="1"/>
  <c r="CG118" i="116"/>
  <c r="U107" i="110"/>
  <c r="M106" i="118"/>
  <c r="Q106" i="118" s="1"/>
  <c r="CG113" i="116"/>
  <c r="U102" i="110"/>
  <c r="M101" i="118"/>
  <c r="Q101" i="118" s="1"/>
  <c r="CG111" i="116"/>
  <c r="U100" i="110"/>
  <c r="M99" i="118"/>
  <c r="Q99" i="118" s="1"/>
  <c r="CG115" i="116"/>
  <c r="U104" i="110"/>
  <c r="M103" i="118"/>
  <c r="Q103" i="118" s="1"/>
  <c r="CG114" i="116"/>
  <c r="U103" i="110"/>
  <c r="M102" i="118"/>
  <c r="Q102" i="118" s="1"/>
  <c r="CG112" i="116"/>
  <c r="U101" i="110"/>
  <c r="M100" i="118"/>
  <c r="Q100" i="118" s="1"/>
  <c r="CG110" i="116"/>
  <c r="U99" i="110"/>
  <c r="M98" i="118"/>
  <c r="Q98" i="118" s="1"/>
  <c r="AW113" i="116"/>
  <c r="AW114" i="116"/>
  <c r="AW108" i="116"/>
  <c r="AW115" i="116"/>
  <c r="AW107" i="116"/>
  <c r="AW116" i="116"/>
  <c r="AW109" i="116"/>
  <c r="AW117" i="116"/>
  <c r="AW110" i="116"/>
  <c r="AW118" i="116"/>
  <c r="AW112" i="116"/>
  <c r="AW111" i="116"/>
  <c r="K74" i="116"/>
  <c r="M74" i="116" s="1"/>
  <c r="AJ7" i="26"/>
  <c r="AJ15" i="26"/>
  <c r="AJ22" i="26"/>
  <c r="AJ30" i="26"/>
  <c r="AJ38" i="26"/>
  <c r="AJ46" i="26"/>
  <c r="AJ54" i="26"/>
  <c r="AJ62" i="26"/>
  <c r="AJ70" i="26"/>
  <c r="AJ78" i="26"/>
  <c r="AJ86" i="26"/>
  <c r="AJ94" i="26"/>
  <c r="AJ102" i="26"/>
  <c r="AJ110" i="26"/>
  <c r="AJ118" i="26"/>
  <c r="AJ126" i="26"/>
  <c r="AJ134" i="26"/>
  <c r="AI7" i="26"/>
  <c r="AI15" i="26"/>
  <c r="AI22" i="26"/>
  <c r="AI30" i="26"/>
  <c r="AI38" i="26"/>
  <c r="AI46" i="26"/>
  <c r="AI54" i="26"/>
  <c r="AI62" i="26"/>
  <c r="AI70" i="26"/>
  <c r="AI78" i="26"/>
  <c r="AI86" i="26"/>
  <c r="AI94" i="26"/>
  <c r="AI102" i="26"/>
  <c r="AI110" i="26"/>
  <c r="AI118" i="26"/>
  <c r="AI126" i="26"/>
  <c r="AI134" i="26"/>
  <c r="AI16" i="26"/>
  <c r="AI23" i="26"/>
  <c r="AI31" i="26"/>
  <c r="AI39" i="26"/>
  <c r="AI47" i="26"/>
  <c r="AI55" i="26"/>
  <c r="AI63" i="26"/>
  <c r="AI71" i="26"/>
  <c r="AI79" i="26"/>
  <c r="AI87" i="26"/>
  <c r="AI95" i="26"/>
  <c r="AI103" i="26"/>
  <c r="AI111" i="26"/>
  <c r="AI119" i="26"/>
  <c r="AI127" i="26"/>
  <c r="AI135" i="26"/>
  <c r="AI52" i="26"/>
  <c r="AI76" i="26"/>
  <c r="AI100" i="26"/>
  <c r="AI124" i="26"/>
  <c r="AI133" i="26"/>
  <c r="AJ8" i="26"/>
  <c r="AJ16" i="26"/>
  <c r="AJ23" i="26"/>
  <c r="AJ31" i="26"/>
  <c r="AJ39" i="26"/>
  <c r="AJ47" i="26"/>
  <c r="AJ55" i="26"/>
  <c r="AJ63" i="26"/>
  <c r="AJ71" i="26"/>
  <c r="AJ79" i="26"/>
  <c r="AJ87" i="26"/>
  <c r="AJ95" i="26"/>
  <c r="AJ103" i="26"/>
  <c r="AJ111" i="26"/>
  <c r="AJ119" i="26"/>
  <c r="AJ127" i="26"/>
  <c r="AJ135" i="26"/>
  <c r="AI8" i="26"/>
  <c r="AJ9" i="26"/>
  <c r="AJ17" i="26"/>
  <c r="AJ24" i="26"/>
  <c r="AJ32" i="26"/>
  <c r="AJ40" i="26"/>
  <c r="AJ48" i="26"/>
  <c r="AJ56" i="26"/>
  <c r="AJ64" i="26"/>
  <c r="AJ72" i="26"/>
  <c r="AJ80" i="26"/>
  <c r="AJ88" i="26"/>
  <c r="AJ96" i="26"/>
  <c r="AJ104" i="26"/>
  <c r="AJ112" i="26"/>
  <c r="AJ120" i="26"/>
  <c r="AJ128" i="26"/>
  <c r="AJ136" i="26"/>
  <c r="AI9" i="26"/>
  <c r="AI17" i="26"/>
  <c r="AI24" i="26"/>
  <c r="AI32" i="26"/>
  <c r="AI40" i="26"/>
  <c r="AI48" i="26"/>
  <c r="AI56" i="26"/>
  <c r="AI64" i="26"/>
  <c r="AI72" i="26"/>
  <c r="AI80" i="26"/>
  <c r="AI88" i="26"/>
  <c r="AI96" i="26"/>
  <c r="AI104" i="26"/>
  <c r="AI112" i="26"/>
  <c r="AI120" i="26"/>
  <c r="AI128" i="26"/>
  <c r="AI136" i="26"/>
  <c r="AJ113" i="26"/>
  <c r="AJ129" i="26"/>
  <c r="AI18" i="26"/>
  <c r="AI25" i="26"/>
  <c r="AI41" i="26"/>
  <c r="AI57" i="26"/>
  <c r="AI73" i="26"/>
  <c r="AI89" i="26"/>
  <c r="AI113" i="26"/>
  <c r="AI129" i="26"/>
  <c r="AJ108" i="26"/>
  <c r="AJ6" i="26"/>
  <c r="AI13" i="26"/>
  <c r="AI28" i="26"/>
  <c r="AI44" i="26"/>
  <c r="AI68" i="26"/>
  <c r="AI92" i="26"/>
  <c r="AI108" i="26"/>
  <c r="AI132" i="26"/>
  <c r="AJ10" i="26"/>
  <c r="AJ18" i="26"/>
  <c r="AJ25" i="26"/>
  <c r="AJ33" i="26"/>
  <c r="AJ41" i="26"/>
  <c r="AJ49" i="26"/>
  <c r="AJ57" i="26"/>
  <c r="AJ65" i="26"/>
  <c r="AJ73" i="26"/>
  <c r="AJ81" i="26"/>
  <c r="AJ89" i="26"/>
  <c r="AJ97" i="26"/>
  <c r="AJ105" i="26"/>
  <c r="AJ121" i="26"/>
  <c r="AJ137" i="26"/>
  <c r="AI10" i="26"/>
  <c r="AI33" i="26"/>
  <c r="AI49" i="26"/>
  <c r="AI65" i="26"/>
  <c r="AI81" i="26"/>
  <c r="AI97" i="26"/>
  <c r="AI105" i="26"/>
  <c r="AI121" i="26"/>
  <c r="AI137" i="26"/>
  <c r="AJ124" i="26"/>
  <c r="AI36" i="26"/>
  <c r="AI60" i="26"/>
  <c r="AI84" i="26"/>
  <c r="AI116" i="26"/>
  <c r="AI117" i="26"/>
  <c r="AJ11" i="26"/>
  <c r="AJ19" i="26"/>
  <c r="AJ26" i="26"/>
  <c r="AJ34" i="26"/>
  <c r="AJ42" i="26"/>
  <c r="AJ50" i="26"/>
  <c r="AJ58" i="26"/>
  <c r="AJ66" i="26"/>
  <c r="AJ74" i="26"/>
  <c r="AJ82" i="26"/>
  <c r="AJ90" i="26"/>
  <c r="AJ98" i="26"/>
  <c r="AJ106" i="26"/>
  <c r="AJ114" i="26"/>
  <c r="AJ122" i="26"/>
  <c r="AJ130" i="26"/>
  <c r="AJ138" i="26"/>
  <c r="AI11" i="26"/>
  <c r="AI19" i="26"/>
  <c r="AI26" i="26"/>
  <c r="AI34" i="26"/>
  <c r="AI42" i="26"/>
  <c r="AI50" i="26"/>
  <c r="AI58" i="26"/>
  <c r="AI66" i="26"/>
  <c r="AI74" i="26"/>
  <c r="AI82" i="26"/>
  <c r="AI90" i="26"/>
  <c r="AI98" i="26"/>
  <c r="AI106" i="26"/>
  <c r="AI114" i="26"/>
  <c r="AI122" i="26"/>
  <c r="AI130" i="26"/>
  <c r="AI138" i="26"/>
  <c r="AJ13" i="26"/>
  <c r="AJ36" i="26"/>
  <c r="AJ44" i="26"/>
  <c r="AJ52" i="26"/>
  <c r="AJ60" i="26"/>
  <c r="AJ68" i="26"/>
  <c r="AJ76" i="26"/>
  <c r="AJ84" i="26"/>
  <c r="AJ92" i="26"/>
  <c r="AJ100" i="26"/>
  <c r="AJ116" i="26"/>
  <c r="AJ132" i="26"/>
  <c r="AJ12" i="26"/>
  <c r="AJ27" i="26"/>
  <c r="AJ35" i="26"/>
  <c r="AJ43" i="26"/>
  <c r="AJ51" i="26"/>
  <c r="AJ59" i="26"/>
  <c r="AJ67" i="26"/>
  <c r="AJ75" i="26"/>
  <c r="AJ83" i="26"/>
  <c r="AJ91" i="26"/>
  <c r="AJ99" i="26"/>
  <c r="AJ107" i="26"/>
  <c r="AJ115" i="26"/>
  <c r="AJ123" i="26"/>
  <c r="AJ131" i="26"/>
  <c r="AJ139" i="26"/>
  <c r="AI12" i="26"/>
  <c r="AI27" i="26"/>
  <c r="AI35" i="26"/>
  <c r="AI43" i="26"/>
  <c r="AI51" i="26"/>
  <c r="AI59" i="26"/>
  <c r="AI67" i="26"/>
  <c r="AI75" i="26"/>
  <c r="AI83" i="26"/>
  <c r="AI91" i="26"/>
  <c r="AI99" i="26"/>
  <c r="AI107" i="26"/>
  <c r="AI115" i="26"/>
  <c r="AI123" i="26"/>
  <c r="AI131" i="26"/>
  <c r="AI139" i="26"/>
  <c r="AJ28" i="26"/>
  <c r="AJ14" i="26"/>
  <c r="AJ21" i="26"/>
  <c r="AJ29" i="26"/>
  <c r="AJ37" i="26"/>
  <c r="AJ45" i="26"/>
  <c r="AJ53" i="26"/>
  <c r="AJ61" i="26"/>
  <c r="AJ69" i="26"/>
  <c r="AJ77" i="26"/>
  <c r="AJ85" i="26"/>
  <c r="AJ93" i="26"/>
  <c r="AJ101" i="26"/>
  <c r="AJ109" i="26"/>
  <c r="AJ117" i="26"/>
  <c r="AJ125" i="26"/>
  <c r="AJ133" i="26"/>
  <c r="AI6" i="26"/>
  <c r="AI14" i="26"/>
  <c r="AI21" i="26"/>
  <c r="AI29" i="26"/>
  <c r="AI37" i="26"/>
  <c r="AI45" i="26"/>
  <c r="AI53" i="26"/>
  <c r="AI61" i="26"/>
  <c r="AI69" i="26"/>
  <c r="AI77" i="26"/>
  <c r="AI85" i="26"/>
  <c r="AI93" i="26"/>
  <c r="AI101" i="26"/>
  <c r="AI109" i="26"/>
  <c r="AI125" i="26"/>
  <c r="E101" i="108"/>
  <c r="G44" i="108"/>
  <c r="K100" i="18"/>
  <c r="L106" i="18"/>
  <c r="L114" i="18"/>
  <c r="L122" i="18"/>
  <c r="L130" i="18"/>
  <c r="L138" i="18"/>
  <c r="L102" i="18"/>
  <c r="L14" i="18"/>
  <c r="L22" i="18"/>
  <c r="L30" i="18"/>
  <c r="L38" i="18"/>
  <c r="L46" i="18"/>
  <c r="L54" i="18"/>
  <c r="L62" i="18"/>
  <c r="L70" i="18"/>
  <c r="L78" i="18"/>
  <c r="L86" i="18"/>
  <c r="L94" i="18"/>
  <c r="K108" i="18"/>
  <c r="K116" i="18"/>
  <c r="K124" i="18"/>
  <c r="K132" i="18"/>
  <c r="K140" i="18"/>
  <c r="K52" i="18"/>
  <c r="K60" i="18"/>
  <c r="K68" i="18"/>
  <c r="K76" i="18"/>
  <c r="K84" i="18"/>
  <c r="K92" i="18"/>
  <c r="K16" i="18"/>
  <c r="K24" i="18"/>
  <c r="K40" i="18"/>
  <c r="K48" i="18"/>
  <c r="J6" i="18"/>
  <c r="J110" i="18"/>
  <c r="J118" i="18"/>
  <c r="J126" i="18"/>
  <c r="J134" i="18"/>
  <c r="J142" i="18"/>
  <c r="J10" i="18"/>
  <c r="J18" i="18"/>
  <c r="J26" i="18"/>
  <c r="J34" i="18"/>
  <c r="J42" i="18"/>
  <c r="J50" i="18"/>
  <c r="J58" i="18"/>
  <c r="J66" i="18"/>
  <c r="J74" i="18"/>
  <c r="J82" i="18"/>
  <c r="J90" i="18"/>
  <c r="L110" i="18"/>
  <c r="L18" i="18"/>
  <c r="L50" i="18"/>
  <c r="L74" i="18"/>
  <c r="K112" i="18"/>
  <c r="K144" i="18"/>
  <c r="K80" i="18"/>
  <c r="K28" i="18"/>
  <c r="J106" i="18"/>
  <c r="J138" i="18"/>
  <c r="J30" i="18"/>
  <c r="J62" i="18"/>
  <c r="J94" i="18"/>
  <c r="J101" i="18"/>
  <c r="K99" i="18"/>
  <c r="L107" i="18"/>
  <c r="L115" i="18"/>
  <c r="L123" i="18"/>
  <c r="L131" i="18"/>
  <c r="L139" i="18"/>
  <c r="L7" i="18"/>
  <c r="L15" i="18"/>
  <c r="L23" i="18"/>
  <c r="L31" i="18"/>
  <c r="L39" i="18"/>
  <c r="L47" i="18"/>
  <c r="L55" i="18"/>
  <c r="L63" i="18"/>
  <c r="L71" i="18"/>
  <c r="L79" i="18"/>
  <c r="L87" i="18"/>
  <c r="L6" i="18"/>
  <c r="K109" i="18"/>
  <c r="K117" i="18"/>
  <c r="K125" i="18"/>
  <c r="K133" i="18"/>
  <c r="K141" i="18"/>
  <c r="K53" i="18"/>
  <c r="K61" i="18"/>
  <c r="K69" i="18"/>
  <c r="K77" i="18"/>
  <c r="K85" i="18"/>
  <c r="K93" i="18"/>
  <c r="K17" i="18"/>
  <c r="K25" i="18"/>
  <c r="K33" i="18"/>
  <c r="K41" i="18"/>
  <c r="K49" i="18"/>
  <c r="J103" i="18"/>
  <c r="J111" i="18"/>
  <c r="J119" i="18"/>
  <c r="J127" i="18"/>
  <c r="J135" i="18"/>
  <c r="J143" i="18"/>
  <c r="J11" i="18"/>
  <c r="J19" i="18"/>
  <c r="J27" i="18"/>
  <c r="J35" i="18"/>
  <c r="J43" i="18"/>
  <c r="J51" i="18"/>
  <c r="J59" i="18"/>
  <c r="J67" i="18"/>
  <c r="J75" i="18"/>
  <c r="J83" i="18"/>
  <c r="J91" i="18"/>
  <c r="L126" i="18"/>
  <c r="L26" i="18"/>
  <c r="L58" i="18"/>
  <c r="L90" i="18"/>
  <c r="K128" i="18"/>
  <c r="K56" i="18"/>
  <c r="K88" i="18"/>
  <c r="K36" i="18"/>
  <c r="J122" i="18"/>
  <c r="J14" i="18"/>
  <c r="J46" i="18"/>
  <c r="J86" i="18"/>
  <c r="J100" i="18"/>
  <c r="K98" i="18"/>
  <c r="L108" i="18"/>
  <c r="L116" i="18"/>
  <c r="L124" i="18"/>
  <c r="L132" i="18"/>
  <c r="L140" i="18"/>
  <c r="L8" i="18"/>
  <c r="L16" i="18"/>
  <c r="L24" i="18"/>
  <c r="L40" i="18"/>
  <c r="L48" i="18"/>
  <c r="L56" i="18"/>
  <c r="L64" i="18"/>
  <c r="L72" i="18"/>
  <c r="L80" i="18"/>
  <c r="L88" i="18"/>
  <c r="K6" i="18"/>
  <c r="K110" i="18"/>
  <c r="K118" i="18"/>
  <c r="K126" i="18"/>
  <c r="K134" i="18"/>
  <c r="K142" i="18"/>
  <c r="K54" i="18"/>
  <c r="K62" i="18"/>
  <c r="K70" i="18"/>
  <c r="K78" i="18"/>
  <c r="K86" i="18"/>
  <c r="K94" i="18"/>
  <c r="K18" i="18"/>
  <c r="K26" i="18"/>
  <c r="K34" i="18"/>
  <c r="K42" i="18"/>
  <c r="K50" i="18"/>
  <c r="J104" i="18"/>
  <c r="J112" i="18"/>
  <c r="J120" i="18"/>
  <c r="J128" i="18"/>
  <c r="J136" i="18"/>
  <c r="J144" i="18"/>
  <c r="J12" i="18"/>
  <c r="J20" i="18"/>
  <c r="J28" i="18"/>
  <c r="J36" i="18"/>
  <c r="J44" i="18"/>
  <c r="J52" i="18"/>
  <c r="J60" i="18"/>
  <c r="J68" i="18"/>
  <c r="J76" i="18"/>
  <c r="J84" i="18"/>
  <c r="J92" i="18"/>
  <c r="L118" i="18"/>
  <c r="L42" i="18"/>
  <c r="L82" i="18"/>
  <c r="K120" i="18"/>
  <c r="K64" i="18"/>
  <c r="K20" i="18"/>
  <c r="K8" i="18"/>
  <c r="J130" i="18"/>
  <c r="J22" i="18"/>
  <c r="J54" i="18"/>
  <c r="J78" i="18"/>
  <c r="J99" i="18"/>
  <c r="K97" i="18"/>
  <c r="L109" i="18"/>
  <c r="L117" i="18"/>
  <c r="L125" i="18"/>
  <c r="L133" i="18"/>
  <c r="L141" i="18"/>
  <c r="L9" i="18"/>
  <c r="L17" i="18"/>
  <c r="L25" i="18"/>
  <c r="L33" i="18"/>
  <c r="L41" i="18"/>
  <c r="L49" i="18"/>
  <c r="L57" i="18"/>
  <c r="L65" i="18"/>
  <c r="L73" i="18"/>
  <c r="L81" i="18"/>
  <c r="L89" i="18"/>
  <c r="K103" i="18"/>
  <c r="K111" i="18"/>
  <c r="K119" i="18"/>
  <c r="K127" i="18"/>
  <c r="K135" i="18"/>
  <c r="K143" i="18"/>
  <c r="D143" i="18" s="1"/>
  <c r="K55" i="18"/>
  <c r="K63" i="18"/>
  <c r="K71" i="18"/>
  <c r="K79" i="18"/>
  <c r="K87" i="18"/>
  <c r="K95" i="18"/>
  <c r="K19" i="18"/>
  <c r="K27" i="18"/>
  <c r="K35" i="18"/>
  <c r="K43" i="18"/>
  <c r="K7" i="18"/>
  <c r="J105" i="18"/>
  <c r="J113" i="18"/>
  <c r="J121" i="18"/>
  <c r="J129" i="18"/>
  <c r="J137" i="18"/>
  <c r="J145" i="18"/>
  <c r="J13" i="18"/>
  <c r="J21" i="18"/>
  <c r="J29" i="18"/>
  <c r="J37" i="18"/>
  <c r="J45" i="18"/>
  <c r="J53" i="18"/>
  <c r="J61" i="18"/>
  <c r="J69" i="18"/>
  <c r="J77" i="18"/>
  <c r="J85" i="18"/>
  <c r="J93" i="18"/>
  <c r="K96" i="18"/>
  <c r="L134" i="18"/>
  <c r="L142" i="18"/>
  <c r="L10" i="18"/>
  <c r="L34" i="18"/>
  <c r="L66" i="18"/>
  <c r="K104" i="18"/>
  <c r="K136" i="18"/>
  <c r="K72" i="18"/>
  <c r="K12" i="18"/>
  <c r="K44" i="18"/>
  <c r="J114" i="18"/>
  <c r="J102" i="18"/>
  <c r="J38" i="18"/>
  <c r="J70" i="18"/>
  <c r="J98" i="18"/>
  <c r="J97" i="18"/>
  <c r="L101" i="18"/>
  <c r="L111" i="18"/>
  <c r="L119" i="18"/>
  <c r="L127" i="18"/>
  <c r="L135" i="18"/>
  <c r="L143" i="18"/>
  <c r="L11" i="18"/>
  <c r="L19" i="18"/>
  <c r="L27" i="18"/>
  <c r="L35" i="18"/>
  <c r="L43" i="18"/>
  <c r="L51" i="18"/>
  <c r="L59" i="18"/>
  <c r="L67" i="18"/>
  <c r="L75" i="18"/>
  <c r="L83" i="18"/>
  <c r="L91" i="18"/>
  <c r="K105" i="18"/>
  <c r="K113" i="18"/>
  <c r="K121" i="18"/>
  <c r="K129" i="18"/>
  <c r="K137" i="18"/>
  <c r="K145" i="18"/>
  <c r="K57" i="18"/>
  <c r="K65" i="18"/>
  <c r="K73" i="18"/>
  <c r="K81" i="18"/>
  <c r="K89" i="18"/>
  <c r="K13" i="18"/>
  <c r="K21" i="18"/>
  <c r="K29" i="18"/>
  <c r="K37" i="18"/>
  <c r="K45" i="18"/>
  <c r="K9" i="18"/>
  <c r="J107" i="18"/>
  <c r="J115" i="18"/>
  <c r="J123" i="18"/>
  <c r="J131" i="18"/>
  <c r="J139" i="18"/>
  <c r="J7" i="18"/>
  <c r="J15" i="18"/>
  <c r="J23" i="18"/>
  <c r="J31" i="18"/>
  <c r="J39" i="18"/>
  <c r="J47" i="18"/>
  <c r="J55" i="18"/>
  <c r="J63" i="18"/>
  <c r="J71" i="18"/>
  <c r="J79" i="18"/>
  <c r="J87" i="18"/>
  <c r="J95" i="18"/>
  <c r="L113" i="18"/>
  <c r="L129" i="18"/>
  <c r="L145" i="18"/>
  <c r="L21" i="18"/>
  <c r="L37" i="18"/>
  <c r="L53" i="18"/>
  <c r="L69" i="18"/>
  <c r="L85" i="18"/>
  <c r="K107" i="18"/>
  <c r="K123" i="18"/>
  <c r="K139" i="18"/>
  <c r="K59" i="18"/>
  <c r="K75" i="18"/>
  <c r="K91" i="18"/>
  <c r="K23" i="18"/>
  <c r="J96" i="18"/>
  <c r="L100" i="18"/>
  <c r="L112" i="18"/>
  <c r="L120" i="18"/>
  <c r="L128" i="18"/>
  <c r="L136" i="18"/>
  <c r="L144" i="18"/>
  <c r="L12" i="18"/>
  <c r="L20" i="18"/>
  <c r="L28" i="18"/>
  <c r="L36" i="18"/>
  <c r="L44" i="18"/>
  <c r="L52" i="18"/>
  <c r="L60" i="18"/>
  <c r="L68" i="18"/>
  <c r="L76" i="18"/>
  <c r="L84" i="18"/>
  <c r="L92" i="18"/>
  <c r="K106" i="18"/>
  <c r="K114" i="18"/>
  <c r="K122" i="18"/>
  <c r="K130" i="18"/>
  <c r="K138" i="18"/>
  <c r="D138" i="18" s="1"/>
  <c r="K102" i="18"/>
  <c r="K58" i="18"/>
  <c r="K66" i="18"/>
  <c r="K74" i="18"/>
  <c r="K82" i="18"/>
  <c r="K90" i="18"/>
  <c r="K14" i="18"/>
  <c r="K22" i="18"/>
  <c r="K30" i="18"/>
  <c r="K38" i="18"/>
  <c r="K46" i="18"/>
  <c r="K10" i="18"/>
  <c r="J108" i="18"/>
  <c r="J116" i="18"/>
  <c r="J124" i="18"/>
  <c r="J132" i="18"/>
  <c r="J140" i="18"/>
  <c r="J8" i="18"/>
  <c r="J16" i="18"/>
  <c r="J24" i="18"/>
  <c r="J40" i="18"/>
  <c r="J48" i="18"/>
  <c r="J56" i="18"/>
  <c r="J64" i="18"/>
  <c r="J72" i="18"/>
  <c r="J80" i="18"/>
  <c r="J88" i="18"/>
  <c r="L95" i="18"/>
  <c r="L121" i="18"/>
  <c r="L137" i="18"/>
  <c r="L13" i="18"/>
  <c r="L29" i="18"/>
  <c r="L45" i="18"/>
  <c r="L61" i="18"/>
  <c r="L77" i="18"/>
  <c r="L93" i="18"/>
  <c r="K115" i="18"/>
  <c r="K131" i="18"/>
  <c r="K51" i="18"/>
  <c r="K67" i="18"/>
  <c r="K83" i="18"/>
  <c r="K15" i="18"/>
  <c r="K101" i="18"/>
  <c r="K31" i="18"/>
  <c r="J141" i="18"/>
  <c r="J65" i="18"/>
  <c r="J133" i="18"/>
  <c r="K39" i="18"/>
  <c r="J9" i="18"/>
  <c r="J73" i="18"/>
  <c r="J33" i="18"/>
  <c r="J57" i="18"/>
  <c r="K47" i="18"/>
  <c r="J17" i="18"/>
  <c r="J81" i="18"/>
  <c r="J109" i="18"/>
  <c r="K11" i="18"/>
  <c r="J25" i="18"/>
  <c r="J89" i="18"/>
  <c r="J117" i="18"/>
  <c r="J41" i="18"/>
  <c r="J125" i="18"/>
  <c r="J49" i="18"/>
  <c r="L104" i="18"/>
  <c r="L103" i="18"/>
  <c r="L105" i="18"/>
  <c r="I6" i="18"/>
  <c r="I9" i="18"/>
  <c r="I17" i="18"/>
  <c r="I25" i="18"/>
  <c r="I33" i="18"/>
  <c r="I41" i="18"/>
  <c r="I49" i="18"/>
  <c r="I57" i="18"/>
  <c r="I65" i="18"/>
  <c r="I73" i="18"/>
  <c r="I81" i="18"/>
  <c r="I89" i="18"/>
  <c r="I97" i="18"/>
  <c r="I105" i="18"/>
  <c r="I113" i="18"/>
  <c r="I121" i="18"/>
  <c r="I129" i="18"/>
  <c r="I137" i="18"/>
  <c r="I145" i="18"/>
  <c r="I37" i="18"/>
  <c r="I10" i="18"/>
  <c r="I18" i="18"/>
  <c r="I26" i="18"/>
  <c r="I34" i="18"/>
  <c r="I42" i="18"/>
  <c r="I50" i="18"/>
  <c r="I58" i="18"/>
  <c r="I66" i="18"/>
  <c r="I74" i="18"/>
  <c r="I82" i="18"/>
  <c r="I90" i="18"/>
  <c r="I98" i="18"/>
  <c r="I114" i="18"/>
  <c r="I122" i="18"/>
  <c r="I130" i="18"/>
  <c r="I138" i="18"/>
  <c r="I29" i="18"/>
  <c r="I53" i="18"/>
  <c r="I11" i="18"/>
  <c r="I19" i="18"/>
  <c r="I27" i="18"/>
  <c r="I35" i="18"/>
  <c r="I43" i="18"/>
  <c r="I51" i="18"/>
  <c r="I59" i="18"/>
  <c r="I67" i="18"/>
  <c r="I75" i="18"/>
  <c r="I83" i="18"/>
  <c r="I91" i="18"/>
  <c r="I99" i="18"/>
  <c r="I107" i="18"/>
  <c r="I115" i="18"/>
  <c r="I123" i="18"/>
  <c r="I131" i="18"/>
  <c r="I139" i="18"/>
  <c r="I21" i="18"/>
  <c r="I61" i="18"/>
  <c r="I12" i="18"/>
  <c r="I20" i="18"/>
  <c r="I28" i="18"/>
  <c r="I36" i="18"/>
  <c r="I44" i="18"/>
  <c r="I52" i="18"/>
  <c r="I60" i="18"/>
  <c r="I68" i="18"/>
  <c r="I76" i="18"/>
  <c r="I84" i="18"/>
  <c r="I92" i="18"/>
  <c r="I100" i="18"/>
  <c r="I108" i="18"/>
  <c r="I116" i="18"/>
  <c r="I124" i="18"/>
  <c r="I132" i="18"/>
  <c r="I140" i="18"/>
  <c r="I13" i="18"/>
  <c r="I14" i="18"/>
  <c r="I22" i="18"/>
  <c r="I30" i="18"/>
  <c r="I38" i="18"/>
  <c r="I46" i="18"/>
  <c r="I54" i="18"/>
  <c r="I62" i="18"/>
  <c r="I70" i="18"/>
  <c r="I78" i="18"/>
  <c r="I86" i="18"/>
  <c r="I94" i="18"/>
  <c r="I102" i="18"/>
  <c r="I110" i="18"/>
  <c r="I118" i="18"/>
  <c r="I126" i="18"/>
  <c r="I134" i="18"/>
  <c r="I142" i="18"/>
  <c r="I7" i="18"/>
  <c r="I15" i="18"/>
  <c r="I23" i="18"/>
  <c r="I31" i="18"/>
  <c r="I39" i="18"/>
  <c r="I47" i="18"/>
  <c r="I55" i="18"/>
  <c r="I63" i="18"/>
  <c r="I71" i="18"/>
  <c r="I79" i="18"/>
  <c r="I87" i="18"/>
  <c r="I95" i="18"/>
  <c r="I103" i="18"/>
  <c r="I111" i="18"/>
  <c r="I119" i="18"/>
  <c r="I127" i="18"/>
  <c r="I135" i="18"/>
  <c r="I143" i="18"/>
  <c r="I40" i="18"/>
  <c r="I80" i="18"/>
  <c r="I112" i="18"/>
  <c r="I144" i="18"/>
  <c r="I8" i="18"/>
  <c r="I141" i="18"/>
  <c r="I45" i="18"/>
  <c r="I85" i="18"/>
  <c r="I117" i="18"/>
  <c r="I109" i="18"/>
  <c r="I48" i="18"/>
  <c r="I88" i="18"/>
  <c r="I120" i="18"/>
  <c r="I64" i="18"/>
  <c r="I96" i="18"/>
  <c r="I128" i="18"/>
  <c r="I32" i="18"/>
  <c r="I56" i="18"/>
  <c r="I93" i="18"/>
  <c r="I125" i="18"/>
  <c r="I16" i="18"/>
  <c r="I69" i="18"/>
  <c r="I101" i="18"/>
  <c r="I133" i="18"/>
  <c r="I24" i="18"/>
  <c r="I72" i="18"/>
  <c r="I104" i="18"/>
  <c r="I136" i="18"/>
  <c r="I77" i="18"/>
  <c r="AH104" i="110"/>
  <c r="AB104" i="110" s="1"/>
  <c r="AN99" i="46" s="1"/>
  <c r="AH103" i="110"/>
  <c r="AB103" i="110" s="1"/>
  <c r="AT102" i="24" s="1"/>
  <c r="AH102" i="110"/>
  <c r="AB102" i="110" s="1"/>
  <c r="AN98" i="46" s="1"/>
  <c r="AH101" i="110"/>
  <c r="AB101" i="110" s="1"/>
  <c r="AT101" i="24" s="1"/>
  <c r="AH100" i="110"/>
  <c r="AB100" i="110" s="1"/>
  <c r="AN97" i="46" s="1"/>
  <c r="AH99" i="110"/>
  <c r="AB99" i="110" s="1"/>
  <c r="AT100" i="24" s="1"/>
  <c r="AH98" i="110"/>
  <c r="AB98" i="110" s="1"/>
  <c r="AN96" i="46" s="1"/>
  <c r="AH97" i="110"/>
  <c r="AB97" i="110" s="1"/>
  <c r="AT99" i="24" s="1"/>
  <c r="AY126" i="116"/>
  <c r="BA126" i="116" s="1"/>
  <c r="BJ126" i="116"/>
  <c r="BL126" i="116" s="1"/>
  <c r="BP48" i="116"/>
  <c r="BR48" i="116" s="1"/>
  <c r="BP23" i="116"/>
  <c r="BR23" i="116" s="1"/>
  <c r="BP6" i="116"/>
  <c r="BR6" i="116" s="1"/>
  <c r="BP20" i="116"/>
  <c r="BR20" i="116" s="1"/>
  <c r="BP34" i="116"/>
  <c r="BR34" i="116" s="1"/>
  <c r="BP45" i="116"/>
  <c r="BR45" i="116" s="1"/>
  <c r="BP55" i="116"/>
  <c r="BR55" i="116" s="1"/>
  <c r="BP64" i="116"/>
  <c r="BR64" i="116" s="1"/>
  <c r="BP74" i="116"/>
  <c r="BR74" i="116" s="1"/>
  <c r="BP83" i="116"/>
  <c r="BR83" i="116" s="1"/>
  <c r="BP92" i="116"/>
  <c r="BR92" i="116" s="1"/>
  <c r="BP102" i="116"/>
  <c r="BR102" i="116" s="1"/>
  <c r="BP115" i="116"/>
  <c r="BR115" i="116" s="1"/>
  <c r="BP123" i="116"/>
  <c r="BR123" i="116" s="1"/>
  <c r="BP131" i="116"/>
  <c r="BR131" i="116" s="1"/>
  <c r="BP139" i="116"/>
  <c r="BR139" i="116" s="1"/>
  <c r="BP147" i="116"/>
  <c r="BR147" i="116" s="1"/>
  <c r="BP155" i="116"/>
  <c r="BR155" i="116" s="1"/>
  <c r="BJ7" i="116"/>
  <c r="BL7" i="116" s="1"/>
  <c r="BJ8" i="116"/>
  <c r="BL8" i="116" s="1"/>
  <c r="BJ9" i="116"/>
  <c r="BL9" i="116" s="1"/>
  <c r="BJ10" i="116"/>
  <c r="BL10" i="116" s="1"/>
  <c r="BJ11" i="116"/>
  <c r="BL11" i="116" s="1"/>
  <c r="BJ12" i="116"/>
  <c r="BL12" i="116" s="1"/>
  <c r="BJ13" i="116"/>
  <c r="BL13" i="116" s="1"/>
  <c r="BJ14" i="116"/>
  <c r="BL14" i="116" s="1"/>
  <c r="BJ15" i="116"/>
  <c r="BL15" i="116" s="1"/>
  <c r="BJ16" i="116"/>
  <c r="BL16" i="116" s="1"/>
  <c r="BJ17" i="116"/>
  <c r="BL17" i="116" s="1"/>
  <c r="BJ18" i="116"/>
  <c r="BL18" i="116" s="1"/>
  <c r="BJ19" i="116"/>
  <c r="BL19" i="116" s="1"/>
  <c r="BJ20" i="116"/>
  <c r="BL20" i="116" s="1"/>
  <c r="BJ21" i="116"/>
  <c r="BL21" i="116" s="1"/>
  <c r="BJ22" i="116"/>
  <c r="BL22" i="116" s="1"/>
  <c r="BJ23" i="116"/>
  <c r="BL23" i="116" s="1"/>
  <c r="BJ24" i="116"/>
  <c r="BL24" i="116" s="1"/>
  <c r="BJ25" i="116"/>
  <c r="BL25" i="116" s="1"/>
  <c r="BJ26" i="116"/>
  <c r="BL26" i="116" s="1"/>
  <c r="BJ27" i="116"/>
  <c r="BL27" i="116" s="1"/>
  <c r="BJ28" i="116"/>
  <c r="BL28" i="116" s="1"/>
  <c r="BJ29" i="116"/>
  <c r="BL29" i="116" s="1"/>
  <c r="BJ30" i="116"/>
  <c r="BL30" i="116" s="1"/>
  <c r="BJ31" i="116"/>
  <c r="BL31" i="116" s="1"/>
  <c r="BJ32" i="116"/>
  <c r="BL32" i="116" s="1"/>
  <c r="BJ34" i="116"/>
  <c r="BL34" i="116" s="1"/>
  <c r="BJ35" i="116"/>
  <c r="BL35" i="116" s="1"/>
  <c r="BJ36" i="116"/>
  <c r="BL36" i="116" s="1"/>
  <c r="BJ37" i="116"/>
  <c r="BL37" i="116" s="1"/>
  <c r="BJ38" i="116"/>
  <c r="BL38" i="116" s="1"/>
  <c r="BJ39" i="116"/>
  <c r="BL39" i="116" s="1"/>
  <c r="BJ40" i="116"/>
  <c r="BL40" i="116" s="1"/>
  <c r="BJ41" i="116"/>
  <c r="BL41" i="116" s="1"/>
  <c r="BJ42" i="116"/>
  <c r="BL42" i="116" s="1"/>
  <c r="BJ43" i="116"/>
  <c r="BL43" i="116" s="1"/>
  <c r="BJ44" i="116"/>
  <c r="BL44" i="116" s="1"/>
  <c r="BJ45" i="116"/>
  <c r="BL45" i="116" s="1"/>
  <c r="BJ46" i="116"/>
  <c r="BL46" i="116" s="1"/>
  <c r="BJ47" i="116"/>
  <c r="BL47" i="116" s="1"/>
  <c r="BJ48" i="116"/>
  <c r="BL48" i="116" s="1"/>
  <c r="BJ49" i="116"/>
  <c r="BL49" i="116" s="1"/>
  <c r="BJ50" i="116"/>
  <c r="BL50" i="116" s="1"/>
  <c r="BJ51" i="116"/>
  <c r="BL51" i="116" s="1"/>
  <c r="BJ52" i="116"/>
  <c r="BL52" i="116" s="1"/>
  <c r="BJ53" i="116"/>
  <c r="BL53" i="116" s="1"/>
  <c r="BJ54" i="116"/>
  <c r="BL54" i="116" s="1"/>
  <c r="BJ55" i="116"/>
  <c r="BL55" i="116" s="1"/>
  <c r="BJ56" i="116"/>
  <c r="BL56" i="116" s="1"/>
  <c r="BJ57" i="116"/>
  <c r="BL57" i="116" s="1"/>
  <c r="BJ58" i="116"/>
  <c r="BL58" i="116" s="1"/>
  <c r="BJ59" i="116"/>
  <c r="BL59" i="116" s="1"/>
  <c r="BJ60" i="116"/>
  <c r="BL60" i="116" s="1"/>
  <c r="BJ61" i="116"/>
  <c r="BL61" i="116" s="1"/>
  <c r="BJ62" i="116"/>
  <c r="BL62" i="116" s="1"/>
  <c r="BJ63" i="116"/>
  <c r="BL63" i="116" s="1"/>
  <c r="BJ64" i="116"/>
  <c r="BL64" i="116" s="1"/>
  <c r="BJ65" i="116"/>
  <c r="BL65" i="116" s="1"/>
  <c r="BJ66" i="116"/>
  <c r="BL66" i="116" s="1"/>
  <c r="BJ67" i="116"/>
  <c r="BL67" i="116" s="1"/>
  <c r="BJ68" i="116"/>
  <c r="BL68" i="116" s="1"/>
  <c r="BJ69" i="116"/>
  <c r="BL69" i="116" s="1"/>
  <c r="BJ70" i="116"/>
  <c r="BL70" i="116" s="1"/>
  <c r="BJ71" i="116"/>
  <c r="BL71" i="116" s="1"/>
  <c r="BP41" i="116"/>
  <c r="BR41" i="116" s="1"/>
  <c r="BP19" i="116"/>
  <c r="BR19" i="116" s="1"/>
  <c r="BP9" i="116"/>
  <c r="BR9" i="116" s="1"/>
  <c r="BP21" i="116"/>
  <c r="BR21" i="116" s="1"/>
  <c r="BP35" i="116"/>
  <c r="BR35" i="116" s="1"/>
  <c r="BP46" i="116"/>
  <c r="BR46" i="116" s="1"/>
  <c r="BP56" i="116"/>
  <c r="BR56" i="116" s="1"/>
  <c r="BP66" i="116"/>
  <c r="BR66" i="116" s="1"/>
  <c r="BP75" i="116"/>
  <c r="BR75" i="116" s="1"/>
  <c r="BP84" i="116"/>
  <c r="BR84" i="116" s="1"/>
  <c r="BP93" i="116"/>
  <c r="BR93" i="116" s="1"/>
  <c r="BP106" i="116"/>
  <c r="BR106" i="116" s="1"/>
  <c r="BP108" i="116"/>
  <c r="BR108" i="116" s="1"/>
  <c r="BP116" i="116"/>
  <c r="BR116" i="116" s="1"/>
  <c r="BP124" i="116"/>
  <c r="BR124" i="116" s="1"/>
  <c r="BP132" i="116"/>
  <c r="BR132" i="116" s="1"/>
  <c r="BP140" i="116"/>
  <c r="BR140" i="116" s="1"/>
  <c r="BP148" i="116"/>
  <c r="BR148" i="116" s="1"/>
  <c r="BP156" i="116"/>
  <c r="BR156" i="116" s="1"/>
  <c r="BM7" i="116"/>
  <c r="BO7" i="116" s="1"/>
  <c r="BM8" i="116"/>
  <c r="BO8" i="116" s="1"/>
  <c r="BM9" i="116"/>
  <c r="BO9" i="116" s="1"/>
  <c r="BM10" i="116"/>
  <c r="BO10" i="116" s="1"/>
  <c r="BM11" i="116"/>
  <c r="BO11" i="116" s="1"/>
  <c r="BM12" i="116"/>
  <c r="BO12" i="116" s="1"/>
  <c r="BM13" i="116"/>
  <c r="BO13" i="116" s="1"/>
  <c r="BM14" i="116"/>
  <c r="BO14" i="116" s="1"/>
  <c r="BM15" i="116"/>
  <c r="BO15" i="116" s="1"/>
  <c r="BM16" i="116"/>
  <c r="BO16" i="116" s="1"/>
  <c r="BM17" i="116"/>
  <c r="BO17" i="116" s="1"/>
  <c r="BM18" i="116"/>
  <c r="BO18" i="116" s="1"/>
  <c r="BM19" i="116"/>
  <c r="BO19" i="116" s="1"/>
  <c r="BM20" i="116"/>
  <c r="BO20" i="116" s="1"/>
  <c r="BM21" i="116"/>
  <c r="BO21" i="116" s="1"/>
  <c r="BM22" i="116"/>
  <c r="BO22" i="116" s="1"/>
  <c r="BM23" i="116"/>
  <c r="BO23" i="116" s="1"/>
  <c r="BM24" i="116"/>
  <c r="BO24" i="116" s="1"/>
  <c r="BM25" i="116"/>
  <c r="BO25" i="116" s="1"/>
  <c r="BM26" i="116"/>
  <c r="BO26" i="116" s="1"/>
  <c r="BM27" i="116"/>
  <c r="BO27" i="116" s="1"/>
  <c r="BM28" i="116"/>
  <c r="BO28" i="116" s="1"/>
  <c r="BM29" i="116"/>
  <c r="BO29" i="116" s="1"/>
  <c r="BM30" i="116"/>
  <c r="BO30" i="116" s="1"/>
  <c r="BM31" i="116"/>
  <c r="BO31" i="116" s="1"/>
  <c r="BM32" i="116"/>
  <c r="BO32" i="116" s="1"/>
  <c r="BM34" i="116"/>
  <c r="BO34" i="116" s="1"/>
  <c r="BM35" i="116"/>
  <c r="BO35" i="116" s="1"/>
  <c r="BM36" i="116"/>
  <c r="BO36" i="116" s="1"/>
  <c r="BM37" i="116"/>
  <c r="BO37" i="116" s="1"/>
  <c r="BM38" i="116"/>
  <c r="BO38" i="116" s="1"/>
  <c r="BM39" i="116"/>
  <c r="BO39" i="116" s="1"/>
  <c r="BM40" i="116"/>
  <c r="BO40" i="116" s="1"/>
  <c r="BM41" i="116"/>
  <c r="BO41" i="116" s="1"/>
  <c r="BM42" i="116"/>
  <c r="BO42" i="116" s="1"/>
  <c r="BM43" i="116"/>
  <c r="BO43" i="116" s="1"/>
  <c r="BM44" i="116"/>
  <c r="BO44" i="116" s="1"/>
  <c r="BM45" i="116"/>
  <c r="BO45" i="116" s="1"/>
  <c r="BM46" i="116"/>
  <c r="BO46" i="116" s="1"/>
  <c r="BM47" i="116"/>
  <c r="BO47" i="116" s="1"/>
  <c r="BM48" i="116"/>
  <c r="BO48" i="116" s="1"/>
  <c r="BM49" i="116"/>
  <c r="BO49" i="116" s="1"/>
  <c r="BM50" i="116"/>
  <c r="BO50" i="116" s="1"/>
  <c r="BM51" i="116"/>
  <c r="BO51" i="116" s="1"/>
  <c r="BM52" i="116"/>
  <c r="BO52" i="116" s="1"/>
  <c r="BM53" i="116"/>
  <c r="BO53" i="116" s="1"/>
  <c r="BM54" i="116"/>
  <c r="BO54" i="116" s="1"/>
  <c r="BM55" i="116"/>
  <c r="BO55" i="116" s="1"/>
  <c r="BM56" i="116"/>
  <c r="BO56" i="116" s="1"/>
  <c r="BM57" i="116"/>
  <c r="BO57" i="116" s="1"/>
  <c r="BM58" i="116"/>
  <c r="BO58" i="116" s="1"/>
  <c r="BM59" i="116"/>
  <c r="BO59" i="116" s="1"/>
  <c r="BM60" i="116"/>
  <c r="BO60" i="116" s="1"/>
  <c r="BM61" i="116"/>
  <c r="BO61" i="116" s="1"/>
  <c r="BM62" i="116"/>
  <c r="BO62" i="116" s="1"/>
  <c r="BM63" i="116"/>
  <c r="BO63" i="116" s="1"/>
  <c r="BM64" i="116"/>
  <c r="BO64" i="116" s="1"/>
  <c r="BM65" i="116"/>
  <c r="BO65" i="116" s="1"/>
  <c r="BM66" i="116"/>
  <c r="BO66" i="116" s="1"/>
  <c r="BM67" i="116"/>
  <c r="BO67" i="116" s="1"/>
  <c r="BM68" i="116"/>
  <c r="BO68" i="116" s="1"/>
  <c r="BM69" i="116"/>
  <c r="BO69" i="116" s="1"/>
  <c r="BB126" i="116"/>
  <c r="BD126" i="116" s="1"/>
  <c r="BM126" i="116"/>
  <c r="BO126" i="116" s="1"/>
  <c r="BP89" i="116"/>
  <c r="BR89" i="116" s="1"/>
  <c r="BP40" i="116"/>
  <c r="BR40" i="116" s="1"/>
  <c r="BP16" i="116"/>
  <c r="BR16" i="116" s="1"/>
  <c r="BP10" i="116"/>
  <c r="BR10" i="116" s="1"/>
  <c r="BP22" i="116"/>
  <c r="BR22" i="116" s="1"/>
  <c r="BP37" i="116"/>
  <c r="BR37" i="116" s="1"/>
  <c r="BP47" i="116"/>
  <c r="BR47" i="116" s="1"/>
  <c r="BP58" i="116"/>
  <c r="BR58" i="116" s="1"/>
  <c r="BP67" i="116"/>
  <c r="BR67" i="116" s="1"/>
  <c r="BP76" i="116"/>
  <c r="BR76" i="116" s="1"/>
  <c r="BP85" i="116"/>
  <c r="BR85" i="116" s="1"/>
  <c r="BP94" i="116"/>
  <c r="BR94" i="116" s="1"/>
  <c r="BP107" i="116"/>
  <c r="BR107" i="116" s="1"/>
  <c r="BP109" i="116"/>
  <c r="BR109" i="116" s="1"/>
  <c r="BP117" i="116"/>
  <c r="BR117" i="116" s="1"/>
  <c r="BP125" i="116"/>
  <c r="BR125" i="116" s="1"/>
  <c r="BP133" i="116"/>
  <c r="BR133" i="116" s="1"/>
  <c r="BP141" i="116"/>
  <c r="BR141" i="116" s="1"/>
  <c r="BP149" i="116"/>
  <c r="BR149" i="116" s="1"/>
  <c r="BP157" i="116"/>
  <c r="BR157" i="116" s="1"/>
  <c r="BS7" i="116"/>
  <c r="BU7" i="116" s="1"/>
  <c r="BS8" i="116"/>
  <c r="BU8" i="116" s="1"/>
  <c r="BS9" i="116"/>
  <c r="BU9" i="116" s="1"/>
  <c r="BS10" i="116"/>
  <c r="BU10" i="116" s="1"/>
  <c r="BS11" i="116"/>
  <c r="BU11" i="116" s="1"/>
  <c r="BS12" i="116"/>
  <c r="BU12" i="116" s="1"/>
  <c r="BS13" i="116"/>
  <c r="BU13" i="116" s="1"/>
  <c r="BS14" i="116"/>
  <c r="BU14" i="116" s="1"/>
  <c r="BS15" i="116"/>
  <c r="BU15" i="116" s="1"/>
  <c r="BS16" i="116"/>
  <c r="BU16" i="116" s="1"/>
  <c r="BS17" i="116"/>
  <c r="BU17" i="116" s="1"/>
  <c r="BS18" i="116"/>
  <c r="BU18" i="116" s="1"/>
  <c r="BS19" i="116"/>
  <c r="BU19" i="116" s="1"/>
  <c r="BS20" i="116"/>
  <c r="BU20" i="116" s="1"/>
  <c r="BS21" i="116"/>
  <c r="BU21" i="116" s="1"/>
  <c r="BS22" i="116"/>
  <c r="BU22" i="116" s="1"/>
  <c r="BS23" i="116"/>
  <c r="BU23" i="116" s="1"/>
  <c r="BS24" i="116"/>
  <c r="BU24" i="116" s="1"/>
  <c r="BS25" i="116"/>
  <c r="BU25" i="116" s="1"/>
  <c r="BS26" i="116"/>
  <c r="BU26" i="116" s="1"/>
  <c r="BS27" i="116"/>
  <c r="BU27" i="116" s="1"/>
  <c r="BS28" i="116"/>
  <c r="BU28" i="116" s="1"/>
  <c r="BS29" i="116"/>
  <c r="BU29" i="116" s="1"/>
  <c r="BS30" i="116"/>
  <c r="BU30" i="116" s="1"/>
  <c r="BS31" i="116"/>
  <c r="BU31" i="116" s="1"/>
  <c r="BS32" i="116"/>
  <c r="BU32" i="116" s="1"/>
  <c r="BS34" i="116"/>
  <c r="BU34" i="116" s="1"/>
  <c r="BS35" i="116"/>
  <c r="BU35" i="116" s="1"/>
  <c r="BS36" i="116"/>
  <c r="BU36" i="116" s="1"/>
  <c r="BS37" i="116"/>
  <c r="BU37" i="116" s="1"/>
  <c r="BS38" i="116"/>
  <c r="BU38" i="116" s="1"/>
  <c r="BS39" i="116"/>
  <c r="BU39" i="116" s="1"/>
  <c r="BS40" i="116"/>
  <c r="BU40" i="116" s="1"/>
  <c r="BS41" i="116"/>
  <c r="BU41" i="116" s="1"/>
  <c r="BS42" i="116"/>
  <c r="BU42" i="116" s="1"/>
  <c r="BS43" i="116"/>
  <c r="BU43" i="116" s="1"/>
  <c r="BS44" i="116"/>
  <c r="BU44" i="116" s="1"/>
  <c r="BS45" i="116"/>
  <c r="BU45" i="116" s="1"/>
  <c r="BS46" i="116"/>
  <c r="BU46" i="116" s="1"/>
  <c r="BS47" i="116"/>
  <c r="BU47" i="116" s="1"/>
  <c r="BS48" i="116"/>
  <c r="BU48" i="116" s="1"/>
  <c r="BS49" i="116"/>
  <c r="BU49" i="116" s="1"/>
  <c r="BS50" i="116"/>
  <c r="BU50" i="116" s="1"/>
  <c r="BS51" i="116"/>
  <c r="BU51" i="116" s="1"/>
  <c r="BS52" i="116"/>
  <c r="BU52" i="116" s="1"/>
  <c r="BS53" i="116"/>
  <c r="BU53" i="116" s="1"/>
  <c r="BS54" i="116"/>
  <c r="BU54" i="116" s="1"/>
  <c r="BS55" i="116"/>
  <c r="BU55" i="116" s="1"/>
  <c r="BS56" i="116"/>
  <c r="BU56" i="116" s="1"/>
  <c r="BS57" i="116"/>
  <c r="BU57" i="116" s="1"/>
  <c r="BS58" i="116"/>
  <c r="BU58" i="116" s="1"/>
  <c r="BS59" i="116"/>
  <c r="BU59" i="116" s="1"/>
  <c r="BS60" i="116"/>
  <c r="BU60" i="116" s="1"/>
  <c r="BS61" i="116"/>
  <c r="BU61" i="116" s="1"/>
  <c r="BS62" i="116"/>
  <c r="BU62" i="116" s="1"/>
  <c r="BS63" i="116"/>
  <c r="BU63" i="116" s="1"/>
  <c r="BS64" i="116"/>
  <c r="BU64" i="116" s="1"/>
  <c r="BS65" i="116"/>
  <c r="BU65" i="116" s="1"/>
  <c r="BP81" i="116"/>
  <c r="BR81" i="116" s="1"/>
  <c r="BP36" i="116"/>
  <c r="BR36" i="116" s="1"/>
  <c r="BP15" i="116"/>
  <c r="BR15" i="116" s="1"/>
  <c r="BP12" i="116"/>
  <c r="BR12" i="116" s="1"/>
  <c r="BP25" i="116"/>
  <c r="BR25" i="116" s="1"/>
  <c r="BP38" i="116"/>
  <c r="BR38" i="116" s="1"/>
  <c r="BP50" i="116"/>
  <c r="BR50" i="116" s="1"/>
  <c r="BP59" i="116"/>
  <c r="BR59" i="116" s="1"/>
  <c r="BP68" i="116"/>
  <c r="BR68" i="116" s="1"/>
  <c r="BP77" i="116"/>
  <c r="BR77" i="116" s="1"/>
  <c r="BP86" i="116"/>
  <c r="BR86" i="116" s="1"/>
  <c r="BP95" i="116"/>
  <c r="BR95" i="116" s="1"/>
  <c r="BP97" i="116"/>
  <c r="BR97" i="116" s="1"/>
  <c r="BP110" i="116"/>
  <c r="BR110" i="116" s="1"/>
  <c r="BP118" i="116"/>
  <c r="BR118" i="116" s="1"/>
  <c r="BP126" i="116"/>
  <c r="BR126" i="116" s="1"/>
  <c r="BP134" i="116"/>
  <c r="BR134" i="116" s="1"/>
  <c r="BP142" i="116"/>
  <c r="BR142" i="116" s="1"/>
  <c r="BP150" i="116"/>
  <c r="BR150" i="116" s="1"/>
  <c r="AY7" i="116"/>
  <c r="BA7" i="116" s="1"/>
  <c r="AY8" i="116"/>
  <c r="BA8" i="116" s="1"/>
  <c r="AY9" i="116"/>
  <c r="BA9" i="116" s="1"/>
  <c r="AY10" i="116"/>
  <c r="BA10" i="116" s="1"/>
  <c r="AY11" i="116"/>
  <c r="BA11" i="116" s="1"/>
  <c r="AY12" i="116"/>
  <c r="BA12" i="116" s="1"/>
  <c r="AY13" i="116"/>
  <c r="BA13" i="116" s="1"/>
  <c r="AY14" i="116"/>
  <c r="BA14" i="116" s="1"/>
  <c r="AY15" i="116"/>
  <c r="BA15" i="116" s="1"/>
  <c r="AY16" i="116"/>
  <c r="BA16" i="116" s="1"/>
  <c r="AY17" i="116"/>
  <c r="BA17" i="116" s="1"/>
  <c r="AY18" i="116"/>
  <c r="BA18" i="116" s="1"/>
  <c r="AY19" i="116"/>
  <c r="BA19" i="116" s="1"/>
  <c r="AY20" i="116"/>
  <c r="BA20" i="116" s="1"/>
  <c r="AY21" i="116"/>
  <c r="BA21" i="116" s="1"/>
  <c r="AY22" i="116"/>
  <c r="BA22" i="116" s="1"/>
  <c r="AY23" i="116"/>
  <c r="BA23" i="116" s="1"/>
  <c r="AY24" i="116"/>
  <c r="BA24" i="116" s="1"/>
  <c r="AY25" i="116"/>
  <c r="BA25" i="116" s="1"/>
  <c r="AY26" i="116"/>
  <c r="BA26" i="116" s="1"/>
  <c r="AY27" i="116"/>
  <c r="BA27" i="116" s="1"/>
  <c r="AY28" i="116"/>
  <c r="BA28" i="116" s="1"/>
  <c r="AY29" i="116"/>
  <c r="BA29" i="116" s="1"/>
  <c r="AY30" i="116"/>
  <c r="BA30" i="116" s="1"/>
  <c r="AY31" i="116"/>
  <c r="BA31" i="116" s="1"/>
  <c r="AY32" i="116"/>
  <c r="BA32" i="116" s="1"/>
  <c r="AY34" i="116"/>
  <c r="BA34" i="116" s="1"/>
  <c r="AY35" i="116"/>
  <c r="BA35" i="116" s="1"/>
  <c r="AY36" i="116"/>
  <c r="BA36" i="116" s="1"/>
  <c r="AY37" i="116"/>
  <c r="BA37" i="116" s="1"/>
  <c r="AY38" i="116"/>
  <c r="BA38" i="116" s="1"/>
  <c r="AY39" i="116"/>
  <c r="BA39" i="116" s="1"/>
  <c r="AY40" i="116"/>
  <c r="BA40" i="116" s="1"/>
  <c r="AY41" i="116"/>
  <c r="BA41" i="116" s="1"/>
  <c r="AY42" i="116"/>
  <c r="BA42" i="116" s="1"/>
  <c r="AY43" i="116"/>
  <c r="BA43" i="116" s="1"/>
  <c r="AY44" i="116"/>
  <c r="BA44" i="116" s="1"/>
  <c r="AY45" i="116"/>
  <c r="BA45" i="116" s="1"/>
  <c r="AY46" i="116"/>
  <c r="BA46" i="116" s="1"/>
  <c r="AY47" i="116"/>
  <c r="BA47" i="116" s="1"/>
  <c r="AY48" i="116"/>
  <c r="BA48" i="116" s="1"/>
  <c r="AY49" i="116"/>
  <c r="BA49" i="116" s="1"/>
  <c r="AY50" i="116"/>
  <c r="BA50" i="116" s="1"/>
  <c r="AY51" i="116"/>
  <c r="BA51" i="116" s="1"/>
  <c r="AY52" i="116"/>
  <c r="BA52" i="116" s="1"/>
  <c r="AY53" i="116"/>
  <c r="BA53" i="116" s="1"/>
  <c r="AY54" i="116"/>
  <c r="BA54" i="116" s="1"/>
  <c r="AY55" i="116"/>
  <c r="BA55" i="116" s="1"/>
  <c r="AY56" i="116"/>
  <c r="BA56" i="116" s="1"/>
  <c r="AY57" i="116"/>
  <c r="BA57" i="116" s="1"/>
  <c r="AY58" i="116"/>
  <c r="BA58" i="116" s="1"/>
  <c r="AY59" i="116"/>
  <c r="BA59" i="116" s="1"/>
  <c r="AY60" i="116"/>
  <c r="BA60" i="116" s="1"/>
  <c r="AY61" i="116"/>
  <c r="BA61" i="116" s="1"/>
  <c r="AY62" i="116"/>
  <c r="BA62" i="116" s="1"/>
  <c r="AY63" i="116"/>
  <c r="BA63" i="116" s="1"/>
  <c r="AY64" i="116"/>
  <c r="BA64" i="116" s="1"/>
  <c r="AY65" i="116"/>
  <c r="BA65" i="116" s="1"/>
  <c r="AY66" i="116"/>
  <c r="BA66" i="116" s="1"/>
  <c r="AY67" i="116"/>
  <c r="BA67" i="116" s="1"/>
  <c r="AY68" i="116"/>
  <c r="BA68" i="116" s="1"/>
  <c r="AY69" i="116"/>
  <c r="BA69" i="116" s="1"/>
  <c r="AY70" i="116"/>
  <c r="BA70" i="116" s="1"/>
  <c r="BE126" i="116"/>
  <c r="BP73" i="116"/>
  <c r="BR73" i="116" s="1"/>
  <c r="BP32" i="116"/>
  <c r="BR32" i="116" s="1"/>
  <c r="BP11" i="116"/>
  <c r="BR11" i="116" s="1"/>
  <c r="BP13" i="116"/>
  <c r="BR13" i="116" s="1"/>
  <c r="BP26" i="116"/>
  <c r="BR26" i="116" s="1"/>
  <c r="BP39" i="116"/>
  <c r="BR39" i="116" s="1"/>
  <c r="BP51" i="116"/>
  <c r="BR51" i="116" s="1"/>
  <c r="BP60" i="116"/>
  <c r="BR60" i="116" s="1"/>
  <c r="BP69" i="116"/>
  <c r="BR69" i="116" s="1"/>
  <c r="BP78" i="116"/>
  <c r="BR78" i="116" s="1"/>
  <c r="BP87" i="116"/>
  <c r="BR87" i="116" s="1"/>
  <c r="BP96" i="116"/>
  <c r="BR96" i="116" s="1"/>
  <c r="BP98" i="116"/>
  <c r="BR98" i="116" s="1"/>
  <c r="BP111" i="116"/>
  <c r="BR111" i="116" s="1"/>
  <c r="BP119" i="116"/>
  <c r="BR119" i="116" s="1"/>
  <c r="BP127" i="116"/>
  <c r="BR127" i="116" s="1"/>
  <c r="BP135" i="116"/>
  <c r="BR135" i="116" s="1"/>
  <c r="BP143" i="116"/>
  <c r="BR143" i="116" s="1"/>
  <c r="BP151" i="116"/>
  <c r="BR151" i="116" s="1"/>
  <c r="BB7" i="116"/>
  <c r="BD7" i="116" s="1"/>
  <c r="BB8" i="116"/>
  <c r="BD8" i="116" s="1"/>
  <c r="BB9" i="116"/>
  <c r="BD9" i="116" s="1"/>
  <c r="BB10" i="116"/>
  <c r="BD10" i="116" s="1"/>
  <c r="BB11" i="116"/>
  <c r="BD11" i="116" s="1"/>
  <c r="BB12" i="116"/>
  <c r="BD12" i="116" s="1"/>
  <c r="BB13" i="116"/>
  <c r="BD13" i="116" s="1"/>
  <c r="BB14" i="116"/>
  <c r="BD14" i="116" s="1"/>
  <c r="BB15" i="116"/>
  <c r="BD15" i="116" s="1"/>
  <c r="BB16" i="116"/>
  <c r="BD16" i="116" s="1"/>
  <c r="BB17" i="116"/>
  <c r="BD17" i="116" s="1"/>
  <c r="BB18" i="116"/>
  <c r="BD18" i="116" s="1"/>
  <c r="BB19" i="116"/>
  <c r="BD19" i="116" s="1"/>
  <c r="BB20" i="116"/>
  <c r="BD20" i="116" s="1"/>
  <c r="BB21" i="116"/>
  <c r="BD21" i="116" s="1"/>
  <c r="BB22" i="116"/>
  <c r="BD22" i="116" s="1"/>
  <c r="BB23" i="116"/>
  <c r="BD23" i="116" s="1"/>
  <c r="BB24" i="116"/>
  <c r="BD24" i="116" s="1"/>
  <c r="BB25" i="116"/>
  <c r="BD25" i="116" s="1"/>
  <c r="BB26" i="116"/>
  <c r="BD26" i="116" s="1"/>
  <c r="BB27" i="116"/>
  <c r="BD27" i="116" s="1"/>
  <c r="BB28" i="116"/>
  <c r="BD28" i="116" s="1"/>
  <c r="BB29" i="116"/>
  <c r="BD29" i="116" s="1"/>
  <c r="BB30" i="116"/>
  <c r="BD30" i="116" s="1"/>
  <c r="BB31" i="116"/>
  <c r="BD31" i="116" s="1"/>
  <c r="BB32" i="116"/>
  <c r="BD32" i="116" s="1"/>
  <c r="BB34" i="116"/>
  <c r="BD34" i="116" s="1"/>
  <c r="BB35" i="116"/>
  <c r="BD35" i="116" s="1"/>
  <c r="BB36" i="116"/>
  <c r="BD36" i="116" s="1"/>
  <c r="BB37" i="116"/>
  <c r="BD37" i="116" s="1"/>
  <c r="BB38" i="116"/>
  <c r="BD38" i="116" s="1"/>
  <c r="BB39" i="116"/>
  <c r="BD39" i="116" s="1"/>
  <c r="BB40" i="116"/>
  <c r="BD40" i="116" s="1"/>
  <c r="BB41" i="116"/>
  <c r="BD41" i="116" s="1"/>
  <c r="BB42" i="116"/>
  <c r="BD42" i="116" s="1"/>
  <c r="BB43" i="116"/>
  <c r="BD43" i="116" s="1"/>
  <c r="BB44" i="116"/>
  <c r="BD44" i="116" s="1"/>
  <c r="BB45" i="116"/>
  <c r="BD45" i="116" s="1"/>
  <c r="BB46" i="116"/>
  <c r="BD46" i="116" s="1"/>
  <c r="BB47" i="116"/>
  <c r="BD47" i="116" s="1"/>
  <c r="BB48" i="116"/>
  <c r="BD48" i="116" s="1"/>
  <c r="BB49" i="116"/>
  <c r="BD49" i="116" s="1"/>
  <c r="BB50" i="116"/>
  <c r="BD50" i="116" s="1"/>
  <c r="BB51" i="116"/>
  <c r="BD51" i="116" s="1"/>
  <c r="BB52" i="116"/>
  <c r="BD52" i="116" s="1"/>
  <c r="BB53" i="116"/>
  <c r="BD53" i="116" s="1"/>
  <c r="BB54" i="116"/>
  <c r="BD54" i="116" s="1"/>
  <c r="BB55" i="116"/>
  <c r="BD55" i="116" s="1"/>
  <c r="BB56" i="116"/>
  <c r="BD56" i="116" s="1"/>
  <c r="BB57" i="116"/>
  <c r="BD57" i="116" s="1"/>
  <c r="BB58" i="116"/>
  <c r="BD58" i="116" s="1"/>
  <c r="BB59" i="116"/>
  <c r="BD59" i="116" s="1"/>
  <c r="BB60" i="116"/>
  <c r="BD60" i="116" s="1"/>
  <c r="BB61" i="116"/>
  <c r="BD61" i="116" s="1"/>
  <c r="BB62" i="116"/>
  <c r="BD62" i="116" s="1"/>
  <c r="BB63" i="116"/>
  <c r="BD63" i="116" s="1"/>
  <c r="BB64" i="116"/>
  <c r="BD64" i="116" s="1"/>
  <c r="BB65" i="116"/>
  <c r="BD65" i="116" s="1"/>
  <c r="BB66" i="116"/>
  <c r="BD66" i="116" s="1"/>
  <c r="BB67" i="116"/>
  <c r="BD67" i="116" s="1"/>
  <c r="BB68" i="116"/>
  <c r="BD68" i="116" s="1"/>
  <c r="BB69" i="116"/>
  <c r="BD69" i="116" s="1"/>
  <c r="BB70" i="116"/>
  <c r="BD70" i="116" s="1"/>
  <c r="BF126" i="116"/>
  <c r="BH126" i="116" s="1"/>
  <c r="BP65" i="116"/>
  <c r="BR65" i="116" s="1"/>
  <c r="BP31" i="116"/>
  <c r="BR31" i="116" s="1"/>
  <c r="BP8" i="116"/>
  <c r="BR8" i="116" s="1"/>
  <c r="BP14" i="116"/>
  <c r="BR14" i="116" s="1"/>
  <c r="BP28" i="116"/>
  <c r="BR28" i="116" s="1"/>
  <c r="BP42" i="116"/>
  <c r="BR42" i="116" s="1"/>
  <c r="BP52" i="116"/>
  <c r="BR52" i="116" s="1"/>
  <c r="BP61" i="116"/>
  <c r="BR61" i="116" s="1"/>
  <c r="BP70" i="116"/>
  <c r="BR70" i="116" s="1"/>
  <c r="BP79" i="116"/>
  <c r="BR79" i="116" s="1"/>
  <c r="BP88" i="116"/>
  <c r="BR88" i="116" s="1"/>
  <c r="BP103" i="116"/>
  <c r="BR103" i="116" s="1"/>
  <c r="BP99" i="116"/>
  <c r="BR99" i="116" s="1"/>
  <c r="BP112" i="116"/>
  <c r="BR112" i="116" s="1"/>
  <c r="BP120" i="116"/>
  <c r="BR120" i="116" s="1"/>
  <c r="BP128" i="116"/>
  <c r="BR128" i="116" s="1"/>
  <c r="BP136" i="116"/>
  <c r="BR136" i="116" s="1"/>
  <c r="BP144" i="116"/>
  <c r="BR144" i="116" s="1"/>
  <c r="BP152" i="116"/>
  <c r="BR152" i="116" s="1"/>
  <c r="BE7" i="116"/>
  <c r="BE8" i="116"/>
  <c r="BE9" i="116"/>
  <c r="BE10" i="116"/>
  <c r="BE11" i="116"/>
  <c r="BE12" i="116"/>
  <c r="BE13" i="116"/>
  <c r="BE14" i="116"/>
  <c r="BE15" i="116"/>
  <c r="BE16" i="116"/>
  <c r="BE17" i="116"/>
  <c r="BE18" i="116"/>
  <c r="BE19" i="116"/>
  <c r="BE20" i="116"/>
  <c r="BE21" i="116"/>
  <c r="BE22" i="116"/>
  <c r="BE23" i="116"/>
  <c r="BE24" i="116"/>
  <c r="BE25" i="116"/>
  <c r="BE26" i="116"/>
  <c r="BE27" i="116"/>
  <c r="BE28" i="116"/>
  <c r="BE29" i="116"/>
  <c r="BE30" i="116"/>
  <c r="BE31" i="116"/>
  <c r="BE32" i="116"/>
  <c r="BE34" i="116"/>
  <c r="BE35" i="116"/>
  <c r="BE36" i="116"/>
  <c r="BE37" i="116"/>
  <c r="BE38" i="116"/>
  <c r="BE39" i="116"/>
  <c r="BE40" i="116"/>
  <c r="BE41" i="116"/>
  <c r="BE42" i="116"/>
  <c r="BE43" i="116"/>
  <c r="BE44" i="116"/>
  <c r="BE45" i="116"/>
  <c r="BE46" i="116"/>
  <c r="BE47" i="116"/>
  <c r="BE48" i="116"/>
  <c r="BE49" i="116"/>
  <c r="BE50" i="116"/>
  <c r="BE51" i="116"/>
  <c r="BE52" i="116"/>
  <c r="BE53" i="116"/>
  <c r="BE54" i="116"/>
  <c r="BE55" i="116"/>
  <c r="BE56" i="116"/>
  <c r="BE57" i="116"/>
  <c r="BE58" i="116"/>
  <c r="BE59" i="116"/>
  <c r="BE60" i="116"/>
  <c r="BE61" i="116"/>
  <c r="BE62" i="116"/>
  <c r="BE63" i="116"/>
  <c r="BE64" i="116"/>
  <c r="BE65" i="116"/>
  <c r="BE66" i="116"/>
  <c r="BE67" i="116"/>
  <c r="BE68" i="116"/>
  <c r="BE69" i="116"/>
  <c r="BE70" i="116"/>
  <c r="BE71" i="116"/>
  <c r="BE72" i="116"/>
  <c r="BP7" i="116"/>
  <c r="BR7" i="116" s="1"/>
  <c r="BP53" i="116"/>
  <c r="BR53" i="116" s="1"/>
  <c r="BP90" i="116"/>
  <c r="BR90" i="116" s="1"/>
  <c r="BP121" i="116"/>
  <c r="BR121" i="116" s="1"/>
  <c r="BP153" i="116"/>
  <c r="BR153" i="116" s="1"/>
  <c r="BF10" i="116"/>
  <c r="BH10" i="116" s="1"/>
  <c r="BF14" i="116"/>
  <c r="BH14" i="116" s="1"/>
  <c r="BF18" i="116"/>
  <c r="BH18" i="116" s="1"/>
  <c r="BF22" i="116"/>
  <c r="BH22" i="116" s="1"/>
  <c r="BF26" i="116"/>
  <c r="BH26" i="116" s="1"/>
  <c r="BF30" i="116"/>
  <c r="BH30" i="116" s="1"/>
  <c r="BF35" i="116"/>
  <c r="BH35" i="116" s="1"/>
  <c r="BF39" i="116"/>
  <c r="BH39" i="116" s="1"/>
  <c r="BF43" i="116"/>
  <c r="BH43" i="116" s="1"/>
  <c r="BF47" i="116"/>
  <c r="BH47" i="116" s="1"/>
  <c r="BF51" i="116"/>
  <c r="BH51" i="116" s="1"/>
  <c r="BF55" i="116"/>
  <c r="BH55" i="116" s="1"/>
  <c r="BF59" i="116"/>
  <c r="BH59" i="116" s="1"/>
  <c r="BF63" i="116"/>
  <c r="BH63" i="116" s="1"/>
  <c r="BS66" i="116"/>
  <c r="BU66" i="116" s="1"/>
  <c r="BI69" i="116"/>
  <c r="BF71" i="116"/>
  <c r="BH71" i="116" s="1"/>
  <c r="BJ72" i="116"/>
  <c r="BL72" i="116" s="1"/>
  <c r="BJ73" i="116"/>
  <c r="BL73" i="116" s="1"/>
  <c r="BJ74" i="116"/>
  <c r="BL74" i="116" s="1"/>
  <c r="BJ75" i="116"/>
  <c r="BL75" i="116" s="1"/>
  <c r="BJ76" i="116"/>
  <c r="BL76" i="116" s="1"/>
  <c r="BJ77" i="116"/>
  <c r="BL77" i="116" s="1"/>
  <c r="BJ78" i="116"/>
  <c r="BL78" i="116" s="1"/>
  <c r="BJ79" i="116"/>
  <c r="BL79" i="116" s="1"/>
  <c r="BJ80" i="116"/>
  <c r="BL80" i="116" s="1"/>
  <c r="BJ81" i="116"/>
  <c r="BL81" i="116" s="1"/>
  <c r="BJ82" i="116"/>
  <c r="BL82" i="116" s="1"/>
  <c r="BJ83" i="116"/>
  <c r="BL83" i="116" s="1"/>
  <c r="BJ84" i="116"/>
  <c r="BL84" i="116" s="1"/>
  <c r="BJ85" i="116"/>
  <c r="BL85" i="116" s="1"/>
  <c r="BJ86" i="116"/>
  <c r="BL86" i="116" s="1"/>
  <c r="BJ87" i="116"/>
  <c r="BL87" i="116" s="1"/>
  <c r="BJ88" i="116"/>
  <c r="BL88" i="116" s="1"/>
  <c r="BJ89" i="116"/>
  <c r="BL89" i="116" s="1"/>
  <c r="BJ90" i="116"/>
  <c r="BL90" i="116" s="1"/>
  <c r="BJ91" i="116"/>
  <c r="BL91" i="116" s="1"/>
  <c r="BJ92" i="116"/>
  <c r="BL92" i="116" s="1"/>
  <c r="BJ93" i="116"/>
  <c r="BL93" i="116" s="1"/>
  <c r="BJ94" i="116"/>
  <c r="BL94" i="116" s="1"/>
  <c r="BJ95" i="116"/>
  <c r="BL95" i="116" s="1"/>
  <c r="BJ96" i="116"/>
  <c r="BL96" i="116" s="1"/>
  <c r="BJ103" i="116"/>
  <c r="BL103" i="116" s="1"/>
  <c r="BJ104" i="116"/>
  <c r="BL104" i="116" s="1"/>
  <c r="BJ105" i="116"/>
  <c r="BL105" i="116" s="1"/>
  <c r="BJ106" i="116"/>
  <c r="BL106" i="116" s="1"/>
  <c r="BJ107" i="116"/>
  <c r="BL107" i="116" s="1"/>
  <c r="BJ97" i="116"/>
  <c r="BL97" i="116" s="1"/>
  <c r="BJ98" i="116"/>
  <c r="BL98" i="116" s="1"/>
  <c r="BJ99" i="116"/>
  <c r="BL99" i="116" s="1"/>
  <c r="BJ100" i="116"/>
  <c r="BL100" i="116" s="1"/>
  <c r="BJ101" i="116"/>
  <c r="BL101" i="116" s="1"/>
  <c r="BJ102" i="116"/>
  <c r="BL102" i="116" s="1"/>
  <c r="BJ108" i="116"/>
  <c r="BL108" i="116" s="1"/>
  <c r="BJ109" i="116"/>
  <c r="BL109" i="116" s="1"/>
  <c r="BJ110" i="116"/>
  <c r="BL110" i="116" s="1"/>
  <c r="BJ111" i="116"/>
  <c r="BL111" i="116" s="1"/>
  <c r="BJ112" i="116"/>
  <c r="BL112" i="116" s="1"/>
  <c r="BJ113" i="116"/>
  <c r="BL113" i="116" s="1"/>
  <c r="BJ114" i="116"/>
  <c r="BL114" i="116" s="1"/>
  <c r="BJ115" i="116"/>
  <c r="BL115" i="116" s="1"/>
  <c r="BJ116" i="116"/>
  <c r="BL116" i="116" s="1"/>
  <c r="BJ117" i="116"/>
  <c r="BL117" i="116" s="1"/>
  <c r="BJ118" i="116"/>
  <c r="BL118" i="116" s="1"/>
  <c r="BJ119" i="116"/>
  <c r="BL119" i="116" s="1"/>
  <c r="BJ120" i="116"/>
  <c r="BL120" i="116" s="1"/>
  <c r="BJ121" i="116"/>
  <c r="BL121" i="116" s="1"/>
  <c r="BJ122" i="116"/>
  <c r="BL122" i="116" s="1"/>
  <c r="BJ123" i="116"/>
  <c r="BL123" i="116" s="1"/>
  <c r="BJ124" i="116"/>
  <c r="BL124" i="116" s="1"/>
  <c r="BJ125" i="116"/>
  <c r="BL125" i="116" s="1"/>
  <c r="BI127" i="116"/>
  <c r="BI128" i="116"/>
  <c r="BI129" i="116"/>
  <c r="BI130" i="116"/>
  <c r="BI131" i="116"/>
  <c r="BI132" i="116"/>
  <c r="BI133" i="116"/>
  <c r="BI134" i="116"/>
  <c r="BP54" i="116"/>
  <c r="BR54" i="116" s="1"/>
  <c r="BP91" i="116"/>
  <c r="BR91" i="116" s="1"/>
  <c r="BP122" i="116"/>
  <c r="BR122" i="116" s="1"/>
  <c r="BP154" i="116"/>
  <c r="BR154" i="116" s="1"/>
  <c r="BI10" i="116"/>
  <c r="BI14" i="116"/>
  <c r="BI18" i="116"/>
  <c r="BI22" i="116"/>
  <c r="BI26" i="116"/>
  <c r="BI30" i="116"/>
  <c r="BI35" i="116"/>
  <c r="BI39" i="116"/>
  <c r="BI43" i="116"/>
  <c r="BI47" i="116"/>
  <c r="BI51" i="116"/>
  <c r="BI55" i="116"/>
  <c r="BI59" i="116"/>
  <c r="BI63" i="116"/>
  <c r="BF67" i="116"/>
  <c r="BH67" i="116" s="1"/>
  <c r="BS69" i="116"/>
  <c r="BU69" i="116" s="1"/>
  <c r="BI71" i="116"/>
  <c r="BM72" i="116"/>
  <c r="BO72" i="116" s="1"/>
  <c r="BM73" i="116"/>
  <c r="BO73" i="116" s="1"/>
  <c r="BM74" i="116"/>
  <c r="BO74" i="116" s="1"/>
  <c r="BM75" i="116"/>
  <c r="BO75" i="116" s="1"/>
  <c r="BM76" i="116"/>
  <c r="BO76" i="116" s="1"/>
  <c r="BM77" i="116"/>
  <c r="BO77" i="116" s="1"/>
  <c r="BM78" i="116"/>
  <c r="BO78" i="116" s="1"/>
  <c r="BM79" i="116"/>
  <c r="BO79" i="116" s="1"/>
  <c r="BM80" i="116"/>
  <c r="BO80" i="116" s="1"/>
  <c r="BM81" i="116"/>
  <c r="BO81" i="116" s="1"/>
  <c r="BM82" i="116"/>
  <c r="BO82" i="116" s="1"/>
  <c r="BM83" i="116"/>
  <c r="BO83" i="116" s="1"/>
  <c r="BM84" i="116"/>
  <c r="BO84" i="116" s="1"/>
  <c r="BM85" i="116"/>
  <c r="BO85" i="116" s="1"/>
  <c r="BM86" i="116"/>
  <c r="BO86" i="116" s="1"/>
  <c r="BM87" i="116"/>
  <c r="BO87" i="116" s="1"/>
  <c r="BM88" i="116"/>
  <c r="BO88" i="116" s="1"/>
  <c r="BM89" i="116"/>
  <c r="BO89" i="116" s="1"/>
  <c r="BM90" i="116"/>
  <c r="BO90" i="116" s="1"/>
  <c r="BM91" i="116"/>
  <c r="BO91" i="116" s="1"/>
  <c r="BM92" i="116"/>
  <c r="BO92" i="116" s="1"/>
  <c r="BM93" i="116"/>
  <c r="BO93" i="116" s="1"/>
  <c r="BM94" i="116"/>
  <c r="BO94" i="116" s="1"/>
  <c r="BM95" i="116"/>
  <c r="BO95" i="116" s="1"/>
  <c r="BM96" i="116"/>
  <c r="BO96" i="116" s="1"/>
  <c r="BM103" i="116"/>
  <c r="BO103" i="116" s="1"/>
  <c r="BM104" i="116"/>
  <c r="BO104" i="116" s="1"/>
  <c r="BM105" i="116"/>
  <c r="BO105" i="116" s="1"/>
  <c r="BM106" i="116"/>
  <c r="BO106" i="116" s="1"/>
  <c r="BM107" i="116"/>
  <c r="BO107" i="116" s="1"/>
  <c r="BM97" i="116"/>
  <c r="BO97" i="116" s="1"/>
  <c r="BM98" i="116"/>
  <c r="BO98" i="116" s="1"/>
  <c r="BM99" i="116"/>
  <c r="BO99" i="116" s="1"/>
  <c r="BM100" i="116"/>
  <c r="BO100" i="116" s="1"/>
  <c r="BM101" i="116"/>
  <c r="BO101" i="116" s="1"/>
  <c r="BM102" i="116"/>
  <c r="BO102" i="116" s="1"/>
  <c r="BM108" i="116"/>
  <c r="BO108" i="116" s="1"/>
  <c r="BM109" i="116"/>
  <c r="BO109" i="116" s="1"/>
  <c r="BM110" i="116"/>
  <c r="BO110" i="116" s="1"/>
  <c r="BM111" i="116"/>
  <c r="BO111" i="116" s="1"/>
  <c r="BM112" i="116"/>
  <c r="BO112" i="116" s="1"/>
  <c r="BM113" i="116"/>
  <c r="BO113" i="116" s="1"/>
  <c r="BM114" i="116"/>
  <c r="BO114" i="116" s="1"/>
  <c r="BM115" i="116"/>
  <c r="BO115" i="116" s="1"/>
  <c r="BM116" i="116"/>
  <c r="BO116" i="116" s="1"/>
  <c r="BM117" i="116"/>
  <c r="BO117" i="116" s="1"/>
  <c r="BM118" i="116"/>
  <c r="BO118" i="116" s="1"/>
  <c r="BM119" i="116"/>
  <c r="BO119" i="116" s="1"/>
  <c r="BM120" i="116"/>
  <c r="BO120" i="116" s="1"/>
  <c r="BM121" i="116"/>
  <c r="BO121" i="116" s="1"/>
  <c r="BM122" i="116"/>
  <c r="BO122" i="116" s="1"/>
  <c r="BM123" i="116"/>
  <c r="BO123" i="116" s="1"/>
  <c r="BM124" i="116"/>
  <c r="BO124" i="116" s="1"/>
  <c r="BM125" i="116"/>
  <c r="BO125" i="116" s="1"/>
  <c r="BJ127" i="116"/>
  <c r="BL127" i="116" s="1"/>
  <c r="BJ128" i="116"/>
  <c r="BL128" i="116" s="1"/>
  <c r="BJ129" i="116"/>
  <c r="BL129" i="116" s="1"/>
  <c r="BJ130" i="116"/>
  <c r="BL130" i="116" s="1"/>
  <c r="BJ131" i="116"/>
  <c r="BL131" i="116" s="1"/>
  <c r="BJ132" i="116"/>
  <c r="BL132" i="116" s="1"/>
  <c r="BJ133" i="116"/>
  <c r="BL133" i="116" s="1"/>
  <c r="BJ134" i="116"/>
  <c r="BL134" i="116" s="1"/>
  <c r="BI126" i="116"/>
  <c r="BP18" i="116"/>
  <c r="BR18" i="116" s="1"/>
  <c r="BP63" i="116"/>
  <c r="BR63" i="116" s="1"/>
  <c r="BP105" i="116"/>
  <c r="BR105" i="116" s="1"/>
  <c r="BP130" i="116"/>
  <c r="BR130" i="116" s="1"/>
  <c r="BI7" i="116"/>
  <c r="BI11" i="116"/>
  <c r="BI15" i="116"/>
  <c r="BI19" i="116"/>
  <c r="BI23" i="116"/>
  <c r="BI27" i="116"/>
  <c r="BI31" i="116"/>
  <c r="BI36" i="116"/>
  <c r="BI40" i="116"/>
  <c r="BI44" i="116"/>
  <c r="BI48" i="116"/>
  <c r="BI52" i="116"/>
  <c r="BI56" i="116"/>
  <c r="BI60" i="116"/>
  <c r="BI64" i="116"/>
  <c r="BS67" i="116"/>
  <c r="BU67" i="116" s="1"/>
  <c r="BI70" i="116"/>
  <c r="BS71" i="116"/>
  <c r="BU71" i="116" s="1"/>
  <c r="AY73" i="116"/>
  <c r="BA73" i="116" s="1"/>
  <c r="AY74" i="116"/>
  <c r="BA74" i="116" s="1"/>
  <c r="AY75" i="116"/>
  <c r="BA75" i="116" s="1"/>
  <c r="AY76" i="116"/>
  <c r="BA76" i="116" s="1"/>
  <c r="AY77" i="116"/>
  <c r="BA77" i="116" s="1"/>
  <c r="AY78" i="116"/>
  <c r="BA78" i="116" s="1"/>
  <c r="AY79" i="116"/>
  <c r="BA79" i="116" s="1"/>
  <c r="AY80" i="116"/>
  <c r="BA80" i="116" s="1"/>
  <c r="AY81" i="116"/>
  <c r="BA81" i="116" s="1"/>
  <c r="AY82" i="116"/>
  <c r="BA82" i="116" s="1"/>
  <c r="AY83" i="116"/>
  <c r="BA83" i="116" s="1"/>
  <c r="AY84" i="116"/>
  <c r="BA84" i="116" s="1"/>
  <c r="AY85" i="116"/>
  <c r="BA85" i="116" s="1"/>
  <c r="AY86" i="116"/>
  <c r="BA86" i="116" s="1"/>
  <c r="AY87" i="116"/>
  <c r="BA87" i="116" s="1"/>
  <c r="AY88" i="116"/>
  <c r="BA88" i="116" s="1"/>
  <c r="AY89" i="116"/>
  <c r="BA89" i="116" s="1"/>
  <c r="AY90" i="116"/>
  <c r="BA90" i="116" s="1"/>
  <c r="AY91" i="116"/>
  <c r="BA91" i="116" s="1"/>
  <c r="AY92" i="116"/>
  <c r="BA92" i="116" s="1"/>
  <c r="AY93" i="116"/>
  <c r="BA93" i="116" s="1"/>
  <c r="AY94" i="116"/>
  <c r="BA94" i="116" s="1"/>
  <c r="AY95" i="116"/>
  <c r="BA95" i="116" s="1"/>
  <c r="AY96" i="116"/>
  <c r="BA96" i="116" s="1"/>
  <c r="AY103" i="116"/>
  <c r="BA103" i="116" s="1"/>
  <c r="AY104" i="116"/>
  <c r="BA104" i="116" s="1"/>
  <c r="AY105" i="116"/>
  <c r="BA105" i="116" s="1"/>
  <c r="AY106" i="116"/>
  <c r="BA106" i="116" s="1"/>
  <c r="AY107" i="116"/>
  <c r="BA107" i="116" s="1"/>
  <c r="AY97" i="116"/>
  <c r="BA97" i="116" s="1"/>
  <c r="AY98" i="116"/>
  <c r="BA98" i="116" s="1"/>
  <c r="AY99" i="116"/>
  <c r="BA99" i="116" s="1"/>
  <c r="AY100" i="116"/>
  <c r="BA100" i="116" s="1"/>
  <c r="AY101" i="116"/>
  <c r="BA101" i="116" s="1"/>
  <c r="AY102" i="116"/>
  <c r="BA102" i="116" s="1"/>
  <c r="AY108" i="116"/>
  <c r="BA108" i="116" s="1"/>
  <c r="AY109" i="116"/>
  <c r="BA109" i="116" s="1"/>
  <c r="AY110" i="116"/>
  <c r="BA110" i="116" s="1"/>
  <c r="AY111" i="116"/>
  <c r="BA111" i="116" s="1"/>
  <c r="AY112" i="116"/>
  <c r="BA112" i="116" s="1"/>
  <c r="AY113" i="116"/>
  <c r="BA113" i="116" s="1"/>
  <c r="AY114" i="116"/>
  <c r="BA114" i="116" s="1"/>
  <c r="AY115" i="116"/>
  <c r="BA115" i="116" s="1"/>
  <c r="AY116" i="116"/>
  <c r="BA116" i="116" s="1"/>
  <c r="AY117" i="116"/>
  <c r="BA117" i="116" s="1"/>
  <c r="AY118" i="116"/>
  <c r="BA118" i="116" s="1"/>
  <c r="AY119" i="116"/>
  <c r="BA119" i="116" s="1"/>
  <c r="AY120" i="116"/>
  <c r="BA120" i="116" s="1"/>
  <c r="AY121" i="116"/>
  <c r="BA121" i="116" s="1"/>
  <c r="AY122" i="116"/>
  <c r="BA122" i="116" s="1"/>
  <c r="AY123" i="116"/>
  <c r="BA123" i="116" s="1"/>
  <c r="AY124" i="116"/>
  <c r="BA124" i="116" s="1"/>
  <c r="AY125" i="116"/>
  <c r="BA125" i="116" s="1"/>
  <c r="BS126" i="116"/>
  <c r="BU126" i="116" s="1"/>
  <c r="BS127" i="116"/>
  <c r="BU127" i="116" s="1"/>
  <c r="BS128" i="116"/>
  <c r="BU128" i="116" s="1"/>
  <c r="BS129" i="116"/>
  <c r="BU129" i="116" s="1"/>
  <c r="BS130" i="116"/>
  <c r="BU130" i="116" s="1"/>
  <c r="BS131" i="116"/>
  <c r="BU131" i="116" s="1"/>
  <c r="BS132" i="116"/>
  <c r="BU132" i="116" s="1"/>
  <c r="BP57" i="116"/>
  <c r="BR57" i="116" s="1"/>
  <c r="BP29" i="116"/>
  <c r="BR29" i="116" s="1"/>
  <c r="BP71" i="116"/>
  <c r="BR71" i="116" s="1"/>
  <c r="BP100" i="116"/>
  <c r="BR100" i="116" s="1"/>
  <c r="BP137" i="116"/>
  <c r="BR137" i="116" s="1"/>
  <c r="BF8" i="116"/>
  <c r="BH8" i="116" s="1"/>
  <c r="BF12" i="116"/>
  <c r="BH12" i="116" s="1"/>
  <c r="BF16" i="116"/>
  <c r="BH16" i="116" s="1"/>
  <c r="BF20" i="116"/>
  <c r="BH20" i="116" s="1"/>
  <c r="BF24" i="116"/>
  <c r="BH24" i="116" s="1"/>
  <c r="BF28" i="116"/>
  <c r="BH28" i="116" s="1"/>
  <c r="BF32" i="116"/>
  <c r="BH32" i="116" s="1"/>
  <c r="BF37" i="116"/>
  <c r="BH37" i="116" s="1"/>
  <c r="BF41" i="116"/>
  <c r="BH41" i="116" s="1"/>
  <c r="BF45" i="116"/>
  <c r="BH45" i="116" s="1"/>
  <c r="BF49" i="116"/>
  <c r="BH49" i="116" s="1"/>
  <c r="BF53" i="116"/>
  <c r="BH53" i="116" s="1"/>
  <c r="BF57" i="116"/>
  <c r="BH57" i="116" s="1"/>
  <c r="BF61" i="116"/>
  <c r="BH61" i="116" s="1"/>
  <c r="BF65" i="116"/>
  <c r="BH65" i="116" s="1"/>
  <c r="BF68" i="116"/>
  <c r="BH68" i="116" s="1"/>
  <c r="BM70" i="116"/>
  <c r="BO70" i="116" s="1"/>
  <c r="AY72" i="116"/>
  <c r="BA72" i="116" s="1"/>
  <c r="BB73" i="116"/>
  <c r="BD73" i="116" s="1"/>
  <c r="BB74" i="116"/>
  <c r="BD74" i="116" s="1"/>
  <c r="BB75" i="116"/>
  <c r="BD75" i="116" s="1"/>
  <c r="BB76" i="116"/>
  <c r="BD76" i="116" s="1"/>
  <c r="BB77" i="116"/>
  <c r="BD77" i="116" s="1"/>
  <c r="BB78" i="116"/>
  <c r="BD78" i="116" s="1"/>
  <c r="BB79" i="116"/>
  <c r="BD79" i="116" s="1"/>
  <c r="BB80" i="116"/>
  <c r="BD80" i="116" s="1"/>
  <c r="BB81" i="116"/>
  <c r="BD81" i="116" s="1"/>
  <c r="BB82" i="116"/>
  <c r="BD82" i="116" s="1"/>
  <c r="BB83" i="116"/>
  <c r="BD83" i="116" s="1"/>
  <c r="BB84" i="116"/>
  <c r="BD84" i="116" s="1"/>
  <c r="BB85" i="116"/>
  <c r="BD85" i="116" s="1"/>
  <c r="BB86" i="116"/>
  <c r="BD86" i="116" s="1"/>
  <c r="BB87" i="116"/>
  <c r="BD87" i="116" s="1"/>
  <c r="BB88" i="116"/>
  <c r="BD88" i="116" s="1"/>
  <c r="BB89" i="116"/>
  <c r="BD89" i="116" s="1"/>
  <c r="BB90" i="116"/>
  <c r="BD90" i="116" s="1"/>
  <c r="BB91" i="116"/>
  <c r="BD91" i="116" s="1"/>
  <c r="BB92" i="116"/>
  <c r="BD92" i="116" s="1"/>
  <c r="BB93" i="116"/>
  <c r="BD93" i="116" s="1"/>
  <c r="BB94" i="116"/>
  <c r="BD94" i="116" s="1"/>
  <c r="BB95" i="116"/>
  <c r="BD95" i="116" s="1"/>
  <c r="BB96" i="116"/>
  <c r="BD96" i="116" s="1"/>
  <c r="BB103" i="116"/>
  <c r="BD103" i="116" s="1"/>
  <c r="BB104" i="116"/>
  <c r="BD104" i="116" s="1"/>
  <c r="BB105" i="116"/>
  <c r="BD105" i="116" s="1"/>
  <c r="BB106" i="116"/>
  <c r="BD106" i="116" s="1"/>
  <c r="BB107" i="116"/>
  <c r="BD107" i="116" s="1"/>
  <c r="BB97" i="116"/>
  <c r="BD97" i="116" s="1"/>
  <c r="BB98" i="116"/>
  <c r="BD98" i="116" s="1"/>
  <c r="BB99" i="116"/>
  <c r="BD99" i="116" s="1"/>
  <c r="BB100" i="116"/>
  <c r="BD100" i="116" s="1"/>
  <c r="BB101" i="116"/>
  <c r="BD101" i="116" s="1"/>
  <c r="BB102" i="116"/>
  <c r="BD102" i="116" s="1"/>
  <c r="BB108" i="116"/>
  <c r="BD108" i="116" s="1"/>
  <c r="BB109" i="116"/>
  <c r="BD109" i="116" s="1"/>
  <c r="BB110" i="116"/>
  <c r="BD110" i="116" s="1"/>
  <c r="BB111" i="116"/>
  <c r="BD111" i="116" s="1"/>
  <c r="BB112" i="116"/>
  <c r="BD112" i="116" s="1"/>
  <c r="BB113" i="116"/>
  <c r="BD113" i="116" s="1"/>
  <c r="BB114" i="116"/>
  <c r="BD114" i="116" s="1"/>
  <c r="BB115" i="116"/>
  <c r="BD115" i="116" s="1"/>
  <c r="BB116" i="116"/>
  <c r="BD116" i="116" s="1"/>
  <c r="BB117" i="116"/>
  <c r="BD117" i="116" s="1"/>
  <c r="BB118" i="116"/>
  <c r="BD118" i="116" s="1"/>
  <c r="BB119" i="116"/>
  <c r="BD119" i="116" s="1"/>
  <c r="BB120" i="116"/>
  <c r="BD120" i="116" s="1"/>
  <c r="BB121" i="116"/>
  <c r="BD121" i="116" s="1"/>
  <c r="BB122" i="116"/>
  <c r="BD122" i="116" s="1"/>
  <c r="BB123" i="116"/>
  <c r="BD123" i="116" s="1"/>
  <c r="BB124" i="116"/>
  <c r="BD124" i="116" s="1"/>
  <c r="BB125" i="116"/>
  <c r="BD125" i="116" s="1"/>
  <c r="AY127" i="116"/>
  <c r="BA127" i="116" s="1"/>
  <c r="AY128" i="116"/>
  <c r="BA128" i="116" s="1"/>
  <c r="AY129" i="116"/>
  <c r="BA129" i="116" s="1"/>
  <c r="AY130" i="116"/>
  <c r="BA130" i="116" s="1"/>
  <c r="AY131" i="116"/>
  <c r="BA131" i="116" s="1"/>
  <c r="AY132" i="116"/>
  <c r="BA132" i="116" s="1"/>
  <c r="AY133" i="116"/>
  <c r="BA133" i="116" s="1"/>
  <c r="AY134" i="116"/>
  <c r="BA134" i="116" s="1"/>
  <c r="BP49" i="116"/>
  <c r="BR49" i="116" s="1"/>
  <c r="BP30" i="116"/>
  <c r="BR30" i="116" s="1"/>
  <c r="BP72" i="116"/>
  <c r="BR72" i="116" s="1"/>
  <c r="BP101" i="116"/>
  <c r="BR101" i="116" s="1"/>
  <c r="BP138" i="116"/>
  <c r="BR138" i="116" s="1"/>
  <c r="BI8" i="116"/>
  <c r="BI12" i="116"/>
  <c r="BI16" i="116"/>
  <c r="BI20" i="116"/>
  <c r="BI24" i="116"/>
  <c r="BI28" i="116"/>
  <c r="BI32" i="116"/>
  <c r="BI37" i="116"/>
  <c r="BI41" i="116"/>
  <c r="BI45" i="116"/>
  <c r="BI49" i="116"/>
  <c r="BI53" i="116"/>
  <c r="BI57" i="116"/>
  <c r="BI61" i="116"/>
  <c r="BI65" i="116"/>
  <c r="BI68" i="116"/>
  <c r="BS70" i="116"/>
  <c r="BU70" i="116" s="1"/>
  <c r="BB72" i="116"/>
  <c r="BD72" i="116" s="1"/>
  <c r="BE73" i="116"/>
  <c r="BE74" i="116"/>
  <c r="BE75" i="116"/>
  <c r="BE76" i="116"/>
  <c r="BE77" i="116"/>
  <c r="BE78" i="116"/>
  <c r="BE79" i="116"/>
  <c r="BE80" i="116"/>
  <c r="BE81" i="116"/>
  <c r="BE82" i="116"/>
  <c r="BE83" i="116"/>
  <c r="BE84" i="116"/>
  <c r="BE85" i="116"/>
  <c r="BE86" i="116"/>
  <c r="BE87" i="116"/>
  <c r="BE88" i="116"/>
  <c r="BE89" i="116"/>
  <c r="BE90" i="116"/>
  <c r="BE91" i="116"/>
  <c r="BE92" i="116"/>
  <c r="BE93" i="116"/>
  <c r="BE94" i="116"/>
  <c r="BE95" i="116"/>
  <c r="BE96" i="116"/>
  <c r="BE103" i="116"/>
  <c r="BE104" i="116"/>
  <c r="BE105" i="116"/>
  <c r="BE106" i="116"/>
  <c r="BE107" i="116"/>
  <c r="BE97" i="116"/>
  <c r="BE98" i="116"/>
  <c r="BE99" i="116"/>
  <c r="BE100" i="116"/>
  <c r="BE101" i="116"/>
  <c r="BE102" i="116"/>
  <c r="BE108" i="116"/>
  <c r="BE109" i="116"/>
  <c r="BE110" i="116"/>
  <c r="BE111" i="116"/>
  <c r="BE112" i="116"/>
  <c r="BE113" i="116"/>
  <c r="BE114" i="116"/>
  <c r="BE115" i="116"/>
  <c r="BE116" i="116"/>
  <c r="BE117" i="116"/>
  <c r="BE118" i="116"/>
  <c r="BE119" i="116"/>
  <c r="BE120" i="116"/>
  <c r="BE121" i="116"/>
  <c r="BE122" i="116"/>
  <c r="BE123" i="116"/>
  <c r="BE124" i="116"/>
  <c r="BE125" i="116"/>
  <c r="BB127" i="116"/>
  <c r="BD127" i="116" s="1"/>
  <c r="BB128" i="116"/>
  <c r="BD128" i="116" s="1"/>
  <c r="BB129" i="116"/>
  <c r="BD129" i="116" s="1"/>
  <c r="BB130" i="116"/>
  <c r="BD130" i="116" s="1"/>
  <c r="BB131" i="116"/>
  <c r="BD131" i="116" s="1"/>
  <c r="BB132" i="116"/>
  <c r="BD132" i="116" s="1"/>
  <c r="BB133" i="116"/>
  <c r="BD133" i="116" s="1"/>
  <c r="BB134" i="116"/>
  <c r="BD134" i="116" s="1"/>
  <c r="BP27" i="116"/>
  <c r="BR27" i="116" s="1"/>
  <c r="BP43" i="116"/>
  <c r="BR43" i="116" s="1"/>
  <c r="BP80" i="116"/>
  <c r="BR80" i="116" s="1"/>
  <c r="BP113" i="116"/>
  <c r="BR113" i="116" s="1"/>
  <c r="BP145" i="116"/>
  <c r="BR145" i="116" s="1"/>
  <c r="BF9" i="116"/>
  <c r="BH9" i="116" s="1"/>
  <c r="BF13" i="116"/>
  <c r="BH13" i="116" s="1"/>
  <c r="BF17" i="116"/>
  <c r="BH17" i="116" s="1"/>
  <c r="BF21" i="116"/>
  <c r="BH21" i="116" s="1"/>
  <c r="BF25" i="116"/>
  <c r="BH25" i="116" s="1"/>
  <c r="BF29" i="116"/>
  <c r="BH29" i="116" s="1"/>
  <c r="BF34" i="116"/>
  <c r="BH34" i="116" s="1"/>
  <c r="BF38" i="116"/>
  <c r="BH38" i="116" s="1"/>
  <c r="BF42" i="116"/>
  <c r="BH42" i="116" s="1"/>
  <c r="BF46" i="116"/>
  <c r="BH46" i="116" s="1"/>
  <c r="BF50" i="116"/>
  <c r="BH50" i="116" s="1"/>
  <c r="BF54" i="116"/>
  <c r="BH54" i="116" s="1"/>
  <c r="BF58" i="116"/>
  <c r="BH58" i="116" s="1"/>
  <c r="BF62" i="116"/>
  <c r="BH62" i="116" s="1"/>
  <c r="BF66" i="116"/>
  <c r="BH66" i="116" s="1"/>
  <c r="BS68" i="116"/>
  <c r="BU68" i="116" s="1"/>
  <c r="AY71" i="116"/>
  <c r="BA71" i="116" s="1"/>
  <c r="BF72" i="116"/>
  <c r="BH72" i="116" s="1"/>
  <c r="BF73" i="116"/>
  <c r="BH73" i="116" s="1"/>
  <c r="BF74" i="116"/>
  <c r="BH74" i="116" s="1"/>
  <c r="BF75" i="116"/>
  <c r="BH75" i="116" s="1"/>
  <c r="BF76" i="116"/>
  <c r="BH76" i="116" s="1"/>
  <c r="BF77" i="116"/>
  <c r="BH77" i="116" s="1"/>
  <c r="BF78" i="116"/>
  <c r="BH78" i="116" s="1"/>
  <c r="BF79" i="116"/>
  <c r="BH79" i="116" s="1"/>
  <c r="BF80" i="116"/>
  <c r="BH80" i="116" s="1"/>
  <c r="BF81" i="116"/>
  <c r="BH81" i="116" s="1"/>
  <c r="BF82" i="116"/>
  <c r="BH82" i="116" s="1"/>
  <c r="BF83" i="116"/>
  <c r="BH83" i="116" s="1"/>
  <c r="BF84" i="116"/>
  <c r="BH84" i="116" s="1"/>
  <c r="BF85" i="116"/>
  <c r="BH85" i="116" s="1"/>
  <c r="BF86" i="116"/>
  <c r="BH86" i="116" s="1"/>
  <c r="BF87" i="116"/>
  <c r="BH87" i="116" s="1"/>
  <c r="BF88" i="116"/>
  <c r="BH88" i="116" s="1"/>
  <c r="BF89" i="116"/>
  <c r="BH89" i="116" s="1"/>
  <c r="BF90" i="116"/>
  <c r="BH90" i="116" s="1"/>
  <c r="BF91" i="116"/>
  <c r="BH91" i="116" s="1"/>
  <c r="BF92" i="116"/>
  <c r="BH92" i="116" s="1"/>
  <c r="BF93" i="116"/>
  <c r="BH93" i="116" s="1"/>
  <c r="BF94" i="116"/>
  <c r="BH94" i="116" s="1"/>
  <c r="BF95" i="116"/>
  <c r="BH95" i="116" s="1"/>
  <c r="BF96" i="116"/>
  <c r="BH96" i="116" s="1"/>
  <c r="BF103" i="116"/>
  <c r="BH103" i="116" s="1"/>
  <c r="BF104" i="116"/>
  <c r="BH104" i="116" s="1"/>
  <c r="BF105" i="116"/>
  <c r="BH105" i="116" s="1"/>
  <c r="BF106" i="116"/>
  <c r="BH106" i="116" s="1"/>
  <c r="BF107" i="116"/>
  <c r="BH107" i="116" s="1"/>
  <c r="BF97" i="116"/>
  <c r="BH97" i="116" s="1"/>
  <c r="BF98" i="116"/>
  <c r="BH98" i="116" s="1"/>
  <c r="BF99" i="116"/>
  <c r="BH99" i="116" s="1"/>
  <c r="BF100" i="116"/>
  <c r="BH100" i="116" s="1"/>
  <c r="BF101" i="116"/>
  <c r="BH101" i="116" s="1"/>
  <c r="BF102" i="116"/>
  <c r="BH102" i="116" s="1"/>
  <c r="BF108" i="116"/>
  <c r="BH108" i="116" s="1"/>
  <c r="BF109" i="116"/>
  <c r="BH109" i="116" s="1"/>
  <c r="BF110" i="116"/>
  <c r="BH110" i="116" s="1"/>
  <c r="BF111" i="116"/>
  <c r="BH111" i="116" s="1"/>
  <c r="BF112" i="116"/>
  <c r="BH112" i="116" s="1"/>
  <c r="BF113" i="116"/>
  <c r="BH113" i="116" s="1"/>
  <c r="BF114" i="116"/>
  <c r="BH114" i="116" s="1"/>
  <c r="BF115" i="116"/>
  <c r="BH115" i="116" s="1"/>
  <c r="BP82" i="116"/>
  <c r="BR82" i="116" s="1"/>
  <c r="BI13" i="116"/>
  <c r="BI29" i="116"/>
  <c r="BI46" i="116"/>
  <c r="BI62" i="116"/>
  <c r="BI72" i="116"/>
  <c r="BI76" i="116"/>
  <c r="BI80" i="116"/>
  <c r="BI84" i="116"/>
  <c r="BI88" i="116"/>
  <c r="BI92" i="116"/>
  <c r="BI96" i="116"/>
  <c r="BI98" i="116"/>
  <c r="BI102" i="116"/>
  <c r="BI111" i="116"/>
  <c r="BI115" i="116"/>
  <c r="BF118" i="116"/>
  <c r="BH118" i="116" s="1"/>
  <c r="BS120" i="116"/>
  <c r="BU120" i="116" s="1"/>
  <c r="BI123" i="116"/>
  <c r="BE127" i="116"/>
  <c r="BM129" i="116"/>
  <c r="BO129" i="116" s="1"/>
  <c r="BF132" i="116"/>
  <c r="BH132" i="116" s="1"/>
  <c r="BM134" i="116"/>
  <c r="BO134" i="116" s="1"/>
  <c r="BM135" i="116"/>
  <c r="BO135" i="116" s="1"/>
  <c r="BM136" i="116"/>
  <c r="BO136" i="116" s="1"/>
  <c r="BM137" i="116"/>
  <c r="BO137" i="116" s="1"/>
  <c r="BM138" i="116"/>
  <c r="BO138" i="116" s="1"/>
  <c r="BM139" i="116"/>
  <c r="BO139" i="116" s="1"/>
  <c r="BM140" i="116"/>
  <c r="BO140" i="116" s="1"/>
  <c r="BM141" i="116"/>
  <c r="BO141" i="116" s="1"/>
  <c r="BM142" i="116"/>
  <c r="BO142" i="116" s="1"/>
  <c r="BM143" i="116"/>
  <c r="BO143" i="116" s="1"/>
  <c r="BM144" i="116"/>
  <c r="BO144" i="116" s="1"/>
  <c r="BM145" i="116"/>
  <c r="BO145" i="116" s="1"/>
  <c r="BM146" i="116"/>
  <c r="BO146" i="116" s="1"/>
  <c r="BM147" i="116"/>
  <c r="BO147" i="116" s="1"/>
  <c r="BM148" i="116"/>
  <c r="BO148" i="116" s="1"/>
  <c r="BM149" i="116"/>
  <c r="BO149" i="116" s="1"/>
  <c r="BM150" i="116"/>
  <c r="BO150" i="116" s="1"/>
  <c r="BM151" i="116"/>
  <c r="BO151" i="116" s="1"/>
  <c r="BM152" i="116"/>
  <c r="BO152" i="116" s="1"/>
  <c r="BM153" i="116"/>
  <c r="BO153" i="116" s="1"/>
  <c r="BM154" i="116"/>
  <c r="BO154" i="116" s="1"/>
  <c r="BM155" i="116"/>
  <c r="BO155" i="116" s="1"/>
  <c r="BM156" i="116"/>
  <c r="BO156" i="116" s="1"/>
  <c r="BM157" i="116"/>
  <c r="BO157" i="116" s="1"/>
  <c r="BB6" i="116"/>
  <c r="BD6" i="116" s="1"/>
  <c r="BS79" i="116"/>
  <c r="BU79" i="116" s="1"/>
  <c r="BS110" i="116"/>
  <c r="BU110" i="116" s="1"/>
  <c r="BF129" i="116"/>
  <c r="BH129" i="116" s="1"/>
  <c r="BJ139" i="116"/>
  <c r="BL139" i="116" s="1"/>
  <c r="BJ146" i="116"/>
  <c r="BL146" i="116" s="1"/>
  <c r="BJ153" i="116"/>
  <c r="BL153" i="116" s="1"/>
  <c r="BP104" i="116"/>
  <c r="BR104" i="116" s="1"/>
  <c r="BF15" i="116"/>
  <c r="BH15" i="116" s="1"/>
  <c r="BF31" i="116"/>
  <c r="BH31" i="116" s="1"/>
  <c r="BF48" i="116"/>
  <c r="BH48" i="116" s="1"/>
  <c r="BF64" i="116"/>
  <c r="BH64" i="116" s="1"/>
  <c r="BS72" i="116"/>
  <c r="BU72" i="116" s="1"/>
  <c r="BS76" i="116"/>
  <c r="BU76" i="116" s="1"/>
  <c r="BS80" i="116"/>
  <c r="BU80" i="116" s="1"/>
  <c r="BS84" i="116"/>
  <c r="BU84" i="116" s="1"/>
  <c r="BS88" i="116"/>
  <c r="BU88" i="116" s="1"/>
  <c r="BS92" i="116"/>
  <c r="BU92" i="116" s="1"/>
  <c r="BS96" i="116"/>
  <c r="BU96" i="116" s="1"/>
  <c r="BS98" i="116"/>
  <c r="BU98" i="116" s="1"/>
  <c r="BS102" i="116"/>
  <c r="BU102" i="116" s="1"/>
  <c r="BS111" i="116"/>
  <c r="BU111" i="116" s="1"/>
  <c r="BS115" i="116"/>
  <c r="BU115" i="116" s="1"/>
  <c r="BI118" i="116"/>
  <c r="BF121" i="116"/>
  <c r="BH121" i="116" s="1"/>
  <c r="BS123" i="116"/>
  <c r="BU123" i="116" s="1"/>
  <c r="BF127" i="116"/>
  <c r="BH127" i="116" s="1"/>
  <c r="BE130" i="116"/>
  <c r="BM132" i="116"/>
  <c r="BO132" i="116" s="1"/>
  <c r="BS134" i="116"/>
  <c r="BU134" i="116" s="1"/>
  <c r="BS135" i="116"/>
  <c r="BU135" i="116" s="1"/>
  <c r="BS136" i="116"/>
  <c r="BU136" i="116" s="1"/>
  <c r="BS137" i="116"/>
  <c r="BU137" i="116" s="1"/>
  <c r="BS138" i="116"/>
  <c r="BU138" i="116" s="1"/>
  <c r="BS139" i="116"/>
  <c r="BU139" i="116" s="1"/>
  <c r="BS140" i="116"/>
  <c r="BU140" i="116" s="1"/>
  <c r="BS141" i="116"/>
  <c r="BU141" i="116" s="1"/>
  <c r="BS142" i="116"/>
  <c r="BU142" i="116" s="1"/>
  <c r="BS143" i="116"/>
  <c r="BU143" i="116" s="1"/>
  <c r="BS144" i="116"/>
  <c r="BU144" i="116" s="1"/>
  <c r="BS145" i="116"/>
  <c r="BU145" i="116" s="1"/>
  <c r="BS146" i="116"/>
  <c r="BU146" i="116" s="1"/>
  <c r="BS147" i="116"/>
  <c r="BU147" i="116" s="1"/>
  <c r="BS148" i="116"/>
  <c r="BU148" i="116" s="1"/>
  <c r="BS149" i="116"/>
  <c r="BU149" i="116" s="1"/>
  <c r="BS150" i="116"/>
  <c r="BU150" i="116" s="1"/>
  <c r="BS151" i="116"/>
  <c r="BU151" i="116" s="1"/>
  <c r="BS152" i="116"/>
  <c r="BU152" i="116" s="1"/>
  <c r="BS153" i="116"/>
  <c r="BU153" i="116" s="1"/>
  <c r="BS154" i="116"/>
  <c r="BU154" i="116" s="1"/>
  <c r="BS155" i="116"/>
  <c r="BU155" i="116" s="1"/>
  <c r="BS156" i="116"/>
  <c r="BU156" i="116" s="1"/>
  <c r="BS157" i="116"/>
  <c r="BU157" i="116" s="1"/>
  <c r="AY6" i="116"/>
  <c r="BA6" i="116" s="1"/>
  <c r="BF27" i="116"/>
  <c r="BH27" i="116" s="1"/>
  <c r="BJ136" i="116"/>
  <c r="BL136" i="116" s="1"/>
  <c r="BJ144" i="116"/>
  <c r="BL144" i="116" s="1"/>
  <c r="BJ150" i="116"/>
  <c r="BL150" i="116" s="1"/>
  <c r="BJ157" i="116"/>
  <c r="BL157" i="116" s="1"/>
  <c r="BP114" i="116"/>
  <c r="BR114" i="116" s="1"/>
  <c r="BI17" i="116"/>
  <c r="BI34" i="116"/>
  <c r="BI50" i="116"/>
  <c r="BI66" i="116"/>
  <c r="BI73" i="116"/>
  <c r="BI77" i="116"/>
  <c r="BI81" i="116"/>
  <c r="BI85" i="116"/>
  <c r="BI89" i="116"/>
  <c r="BI93" i="116"/>
  <c r="BI103" i="116"/>
  <c r="BI106" i="116"/>
  <c r="BI99" i="116"/>
  <c r="BI108" i="116"/>
  <c r="BI112" i="116"/>
  <c r="BF116" i="116"/>
  <c r="BH116" i="116" s="1"/>
  <c r="BS118" i="116"/>
  <c r="BU118" i="116" s="1"/>
  <c r="BI121" i="116"/>
  <c r="BF124" i="116"/>
  <c r="BH124" i="116" s="1"/>
  <c r="BM127" i="116"/>
  <c r="BO127" i="116" s="1"/>
  <c r="BF130" i="116"/>
  <c r="BH130" i="116" s="1"/>
  <c r="BE133" i="116"/>
  <c r="AY135" i="116"/>
  <c r="BA135" i="116" s="1"/>
  <c r="AY136" i="116"/>
  <c r="BA136" i="116" s="1"/>
  <c r="AY137" i="116"/>
  <c r="BA137" i="116" s="1"/>
  <c r="AY138" i="116"/>
  <c r="BA138" i="116" s="1"/>
  <c r="AY139" i="116"/>
  <c r="BA139" i="116" s="1"/>
  <c r="AY140" i="116"/>
  <c r="BA140" i="116" s="1"/>
  <c r="AY141" i="116"/>
  <c r="BA141" i="116" s="1"/>
  <c r="AY142" i="116"/>
  <c r="BA142" i="116" s="1"/>
  <c r="AY143" i="116"/>
  <c r="BA143" i="116" s="1"/>
  <c r="AY144" i="116"/>
  <c r="BA144" i="116" s="1"/>
  <c r="AY145" i="116"/>
  <c r="BA145" i="116" s="1"/>
  <c r="AY146" i="116"/>
  <c r="BA146" i="116" s="1"/>
  <c r="AY147" i="116"/>
  <c r="BA147" i="116" s="1"/>
  <c r="AY148" i="116"/>
  <c r="BA148" i="116" s="1"/>
  <c r="AY149" i="116"/>
  <c r="BA149" i="116" s="1"/>
  <c r="AY150" i="116"/>
  <c r="BA150" i="116" s="1"/>
  <c r="AY151" i="116"/>
  <c r="BA151" i="116" s="1"/>
  <c r="AY152" i="116"/>
  <c r="BA152" i="116" s="1"/>
  <c r="AY153" i="116"/>
  <c r="BA153" i="116" s="1"/>
  <c r="AY154" i="116"/>
  <c r="BA154" i="116" s="1"/>
  <c r="AY155" i="116"/>
  <c r="BA155" i="116" s="1"/>
  <c r="AY156" i="116"/>
  <c r="BA156" i="116" s="1"/>
  <c r="AY157" i="116"/>
  <c r="BA157" i="116" s="1"/>
  <c r="BU6" i="116"/>
  <c r="BF11" i="116"/>
  <c r="BH11" i="116" s="1"/>
  <c r="BS75" i="116"/>
  <c r="BU75" i="116" s="1"/>
  <c r="BS105" i="116"/>
  <c r="BU105" i="116" s="1"/>
  <c r="BI120" i="116"/>
  <c r="BJ135" i="116"/>
  <c r="BL135" i="116" s="1"/>
  <c r="BJ142" i="116"/>
  <c r="BL142" i="116" s="1"/>
  <c r="BJ149" i="116"/>
  <c r="BL149" i="116" s="1"/>
  <c r="BJ155" i="116"/>
  <c r="BL155" i="116" s="1"/>
  <c r="BP24" i="116"/>
  <c r="BR24" i="116" s="1"/>
  <c r="BP129" i="116"/>
  <c r="BR129" i="116" s="1"/>
  <c r="BF19" i="116"/>
  <c r="BH19" i="116" s="1"/>
  <c r="BF36" i="116"/>
  <c r="BH36" i="116" s="1"/>
  <c r="BF52" i="116"/>
  <c r="BH52" i="116" s="1"/>
  <c r="BI67" i="116"/>
  <c r="BS73" i="116"/>
  <c r="BU73" i="116" s="1"/>
  <c r="BS77" i="116"/>
  <c r="BU77" i="116" s="1"/>
  <c r="BS81" i="116"/>
  <c r="BU81" i="116" s="1"/>
  <c r="BS85" i="116"/>
  <c r="BU85" i="116" s="1"/>
  <c r="BS89" i="116"/>
  <c r="BU89" i="116" s="1"/>
  <c r="BS93" i="116"/>
  <c r="BU93" i="116" s="1"/>
  <c r="BS103" i="116"/>
  <c r="BU103" i="116" s="1"/>
  <c r="BS106" i="116"/>
  <c r="BU106" i="116" s="1"/>
  <c r="BS99" i="116"/>
  <c r="BU99" i="116" s="1"/>
  <c r="BS108" i="116"/>
  <c r="BU108" i="116" s="1"/>
  <c r="BS112" i="116"/>
  <c r="BU112" i="116" s="1"/>
  <c r="BI116" i="116"/>
  <c r="BF119" i="116"/>
  <c r="BH119" i="116" s="1"/>
  <c r="BS121" i="116"/>
  <c r="BU121" i="116" s="1"/>
  <c r="BI124" i="116"/>
  <c r="BE128" i="116"/>
  <c r="BM130" i="116"/>
  <c r="BO130" i="116" s="1"/>
  <c r="BF133" i="116"/>
  <c r="BH133" i="116" s="1"/>
  <c r="BB135" i="116"/>
  <c r="BD135" i="116" s="1"/>
  <c r="BB136" i="116"/>
  <c r="BD136" i="116" s="1"/>
  <c r="BB137" i="116"/>
  <c r="BD137" i="116" s="1"/>
  <c r="BB138" i="116"/>
  <c r="BD138" i="116" s="1"/>
  <c r="BB139" i="116"/>
  <c r="BD139" i="116" s="1"/>
  <c r="BB140" i="116"/>
  <c r="BD140" i="116" s="1"/>
  <c r="BB141" i="116"/>
  <c r="BD141" i="116" s="1"/>
  <c r="BB142" i="116"/>
  <c r="BD142" i="116" s="1"/>
  <c r="BB143" i="116"/>
  <c r="BD143" i="116" s="1"/>
  <c r="BB144" i="116"/>
  <c r="BD144" i="116" s="1"/>
  <c r="BB145" i="116"/>
  <c r="BD145" i="116" s="1"/>
  <c r="BB146" i="116"/>
  <c r="BD146" i="116" s="1"/>
  <c r="BB147" i="116"/>
  <c r="BD147" i="116" s="1"/>
  <c r="BB148" i="116"/>
  <c r="BD148" i="116" s="1"/>
  <c r="BB149" i="116"/>
  <c r="BD149" i="116" s="1"/>
  <c r="BB150" i="116"/>
  <c r="BD150" i="116" s="1"/>
  <c r="BB151" i="116"/>
  <c r="BD151" i="116" s="1"/>
  <c r="BB152" i="116"/>
  <c r="BD152" i="116" s="1"/>
  <c r="BB153" i="116"/>
  <c r="BD153" i="116" s="1"/>
  <c r="BB154" i="116"/>
  <c r="BD154" i="116" s="1"/>
  <c r="BB155" i="116"/>
  <c r="BD155" i="116" s="1"/>
  <c r="BB156" i="116"/>
  <c r="BD156" i="116" s="1"/>
  <c r="BB157" i="116"/>
  <c r="BD157" i="116" s="1"/>
  <c r="BM6" i="116"/>
  <c r="BO6" i="116" s="1"/>
  <c r="BF60" i="116"/>
  <c r="BH60" i="116" s="1"/>
  <c r="BS91" i="116"/>
  <c r="BU91" i="116" s="1"/>
  <c r="BS101" i="116"/>
  <c r="BU101" i="116" s="1"/>
  <c r="BS125" i="116"/>
  <c r="BU125" i="116" s="1"/>
  <c r="BJ138" i="116"/>
  <c r="BL138" i="116" s="1"/>
  <c r="BJ145" i="116"/>
  <c r="BL145" i="116" s="1"/>
  <c r="BJ152" i="116"/>
  <c r="BL152" i="116" s="1"/>
  <c r="BP146" i="116"/>
  <c r="BR146" i="116" s="1"/>
  <c r="BI21" i="116"/>
  <c r="BI38" i="116"/>
  <c r="BI54" i="116"/>
  <c r="BF69" i="116"/>
  <c r="BH69" i="116" s="1"/>
  <c r="BI74" i="116"/>
  <c r="BI78" i="116"/>
  <c r="BI82" i="116"/>
  <c r="BI86" i="116"/>
  <c r="BI90" i="116"/>
  <c r="BI94" i="116"/>
  <c r="BI104" i="116"/>
  <c r="BI107" i="116"/>
  <c r="BI100" i="116"/>
  <c r="BI109" i="116"/>
  <c r="BI113" i="116"/>
  <c r="BS116" i="116"/>
  <c r="BU116" i="116" s="1"/>
  <c r="BI119" i="116"/>
  <c r="BF122" i="116"/>
  <c r="BH122" i="116" s="1"/>
  <c r="BS124" i="116"/>
  <c r="BU124" i="116" s="1"/>
  <c r="BF128" i="116"/>
  <c r="BH128" i="116" s="1"/>
  <c r="BE131" i="116"/>
  <c r="BM133" i="116"/>
  <c r="BO133" i="116" s="1"/>
  <c r="BE135" i="116"/>
  <c r="BE136" i="116"/>
  <c r="BE137" i="116"/>
  <c r="BE138" i="116"/>
  <c r="BE139" i="116"/>
  <c r="BE140" i="116"/>
  <c r="BE141" i="116"/>
  <c r="BE142" i="116"/>
  <c r="BE143" i="116"/>
  <c r="BE144" i="116"/>
  <c r="BE145" i="116"/>
  <c r="BE146" i="116"/>
  <c r="BE147" i="116"/>
  <c r="BE148" i="116"/>
  <c r="BE149" i="116"/>
  <c r="BE150" i="116"/>
  <c r="BE151" i="116"/>
  <c r="BE152" i="116"/>
  <c r="BE153" i="116"/>
  <c r="BE154" i="116"/>
  <c r="BE155" i="116"/>
  <c r="BE156" i="116"/>
  <c r="BE157" i="116"/>
  <c r="BJ6" i="116"/>
  <c r="BL6" i="116" s="1"/>
  <c r="BF44" i="116"/>
  <c r="BH44" i="116" s="1"/>
  <c r="BS87" i="116"/>
  <c r="BU87" i="116" s="1"/>
  <c r="BS97" i="116"/>
  <c r="BU97" i="116" s="1"/>
  <c r="BF123" i="116"/>
  <c r="BH123" i="116" s="1"/>
  <c r="BJ137" i="116"/>
  <c r="BL137" i="116" s="1"/>
  <c r="BJ143" i="116"/>
  <c r="BL143" i="116" s="1"/>
  <c r="BJ151" i="116"/>
  <c r="BL151" i="116" s="1"/>
  <c r="BE6" i="116"/>
  <c r="BP17" i="116"/>
  <c r="BR17" i="116" s="1"/>
  <c r="BF7" i="116"/>
  <c r="BH7" i="116" s="1"/>
  <c r="BF23" i="116"/>
  <c r="BH23" i="116" s="1"/>
  <c r="BF40" i="116"/>
  <c r="BH40" i="116" s="1"/>
  <c r="BF56" i="116"/>
  <c r="BH56" i="116" s="1"/>
  <c r="BF70" i="116"/>
  <c r="BH70" i="116" s="1"/>
  <c r="BS74" i="116"/>
  <c r="BU74" i="116" s="1"/>
  <c r="BS78" i="116"/>
  <c r="BU78" i="116" s="1"/>
  <c r="BS82" i="116"/>
  <c r="BU82" i="116" s="1"/>
  <c r="BS86" i="116"/>
  <c r="BU86" i="116" s="1"/>
  <c r="BS90" i="116"/>
  <c r="BU90" i="116" s="1"/>
  <c r="BS94" i="116"/>
  <c r="BU94" i="116" s="1"/>
  <c r="BS104" i="116"/>
  <c r="BU104" i="116" s="1"/>
  <c r="BS107" i="116"/>
  <c r="BU107" i="116" s="1"/>
  <c r="BS100" i="116"/>
  <c r="BU100" i="116" s="1"/>
  <c r="BS109" i="116"/>
  <c r="BU109" i="116" s="1"/>
  <c r="BS113" i="116"/>
  <c r="BU113" i="116" s="1"/>
  <c r="BF117" i="116"/>
  <c r="BH117" i="116" s="1"/>
  <c r="BS119" i="116"/>
  <c r="BU119" i="116" s="1"/>
  <c r="BI122" i="116"/>
  <c r="BF125" i="116"/>
  <c r="BH125" i="116" s="1"/>
  <c r="BM128" i="116"/>
  <c r="BO128" i="116" s="1"/>
  <c r="BF131" i="116"/>
  <c r="BH131" i="116" s="1"/>
  <c r="BS133" i="116"/>
  <c r="BU133" i="116" s="1"/>
  <c r="BF135" i="116"/>
  <c r="BH135" i="116" s="1"/>
  <c r="BF136" i="116"/>
  <c r="BH136" i="116" s="1"/>
  <c r="BF137" i="116"/>
  <c r="BH137" i="116" s="1"/>
  <c r="BF138" i="116"/>
  <c r="BH138" i="116" s="1"/>
  <c r="BF139" i="116"/>
  <c r="BH139" i="116" s="1"/>
  <c r="BF140" i="116"/>
  <c r="BH140" i="116" s="1"/>
  <c r="BF141" i="116"/>
  <c r="BH141" i="116" s="1"/>
  <c r="BF142" i="116"/>
  <c r="BH142" i="116" s="1"/>
  <c r="BF143" i="116"/>
  <c r="BH143" i="116" s="1"/>
  <c r="BF144" i="116"/>
  <c r="BH144" i="116" s="1"/>
  <c r="BF145" i="116"/>
  <c r="BH145" i="116" s="1"/>
  <c r="BF146" i="116"/>
  <c r="BH146" i="116" s="1"/>
  <c r="BF147" i="116"/>
  <c r="BH147" i="116" s="1"/>
  <c r="BF148" i="116"/>
  <c r="BH148" i="116" s="1"/>
  <c r="BF149" i="116"/>
  <c r="BH149" i="116" s="1"/>
  <c r="BF150" i="116"/>
  <c r="BH150" i="116" s="1"/>
  <c r="BF151" i="116"/>
  <c r="BH151" i="116" s="1"/>
  <c r="BF152" i="116"/>
  <c r="BH152" i="116" s="1"/>
  <c r="BF153" i="116"/>
  <c r="BH153" i="116" s="1"/>
  <c r="BF154" i="116"/>
  <c r="BH154" i="116" s="1"/>
  <c r="BF155" i="116"/>
  <c r="BH155" i="116" s="1"/>
  <c r="BF156" i="116"/>
  <c r="BH156" i="116" s="1"/>
  <c r="BF157" i="116"/>
  <c r="BH157" i="116" s="1"/>
  <c r="BI6" i="116"/>
  <c r="BP62" i="116"/>
  <c r="BR62" i="116" s="1"/>
  <c r="BM71" i="116"/>
  <c r="BO71" i="116" s="1"/>
  <c r="BS95" i="116"/>
  <c r="BU95" i="116" s="1"/>
  <c r="BS117" i="116"/>
  <c r="BU117" i="116" s="1"/>
  <c r="BF134" i="116"/>
  <c r="BH134" i="116" s="1"/>
  <c r="BJ141" i="116"/>
  <c r="BL141" i="116" s="1"/>
  <c r="BJ148" i="116"/>
  <c r="BL148" i="116" s="1"/>
  <c r="BJ156" i="116"/>
  <c r="BL156" i="116" s="1"/>
  <c r="BP44" i="116"/>
  <c r="BR44" i="116" s="1"/>
  <c r="BI9" i="116"/>
  <c r="BI25" i="116"/>
  <c r="BI42" i="116"/>
  <c r="BI58" i="116"/>
  <c r="BB71" i="116"/>
  <c r="BD71" i="116" s="1"/>
  <c r="BI75" i="116"/>
  <c r="BI79" i="116"/>
  <c r="BI83" i="116"/>
  <c r="BI87" i="116"/>
  <c r="BI91" i="116"/>
  <c r="BI95" i="116"/>
  <c r="BI105" i="116"/>
  <c r="BI97" i="116"/>
  <c r="BI101" i="116"/>
  <c r="BI110" i="116"/>
  <c r="BI114" i="116"/>
  <c r="BI117" i="116"/>
  <c r="BF120" i="116"/>
  <c r="BH120" i="116" s="1"/>
  <c r="BS122" i="116"/>
  <c r="BU122" i="116" s="1"/>
  <c r="BI125" i="116"/>
  <c r="BE129" i="116"/>
  <c r="BM131" i="116"/>
  <c r="BO131" i="116" s="1"/>
  <c r="BE134" i="116"/>
  <c r="BI135" i="116"/>
  <c r="BI136" i="116"/>
  <c r="BI137" i="116"/>
  <c r="BI138" i="116"/>
  <c r="BI139" i="116"/>
  <c r="BI140" i="116"/>
  <c r="BI141" i="116"/>
  <c r="BI142" i="116"/>
  <c r="BI143" i="116"/>
  <c r="BI144" i="116"/>
  <c r="BI145" i="116"/>
  <c r="BI146" i="116"/>
  <c r="BI147" i="116"/>
  <c r="BI148" i="116"/>
  <c r="BI149" i="116"/>
  <c r="BI150" i="116"/>
  <c r="BI151" i="116"/>
  <c r="BI152" i="116"/>
  <c r="BI153" i="116"/>
  <c r="BI154" i="116"/>
  <c r="BI155" i="116"/>
  <c r="BI156" i="116"/>
  <c r="BI157" i="116"/>
  <c r="BF6" i="116"/>
  <c r="BH6" i="116" s="1"/>
  <c r="BS83" i="116"/>
  <c r="BU83" i="116" s="1"/>
  <c r="BS114" i="116"/>
  <c r="BU114" i="116" s="1"/>
  <c r="BE132" i="116"/>
  <c r="BJ140" i="116"/>
  <c r="BL140" i="116" s="1"/>
  <c r="BJ147" i="116"/>
  <c r="BL147" i="116" s="1"/>
  <c r="BJ154" i="116"/>
  <c r="BL154" i="116" s="1"/>
  <c r="AP105" i="24"/>
  <c r="AP106" i="24"/>
  <c r="AP107" i="24"/>
  <c r="AP108" i="24"/>
  <c r="AP109" i="24"/>
  <c r="AM102" i="46"/>
  <c r="AN103" i="46"/>
  <c r="AO104" i="46"/>
  <c r="AQ105" i="46"/>
  <c r="AQ105" i="24"/>
  <c r="AQ106" i="24"/>
  <c r="AQ107" i="24"/>
  <c r="AQ108" i="24"/>
  <c r="AQ109" i="24"/>
  <c r="AN102" i="46"/>
  <c r="AO103" i="46"/>
  <c r="AP104" i="46"/>
  <c r="AK106" i="46"/>
  <c r="AL106" i="24"/>
  <c r="AT107" i="24"/>
  <c r="Q107" i="24" s="1"/>
  <c r="AL109" i="24"/>
  <c r="AK104" i="46"/>
  <c r="AN106" i="46"/>
  <c r="AK102" i="46"/>
  <c r="AJ105" i="24"/>
  <c r="AR105" i="24"/>
  <c r="J105" i="24" s="1"/>
  <c r="AJ106" i="24"/>
  <c r="AR106" i="24"/>
  <c r="J106" i="24" s="1"/>
  <c r="AJ107" i="24"/>
  <c r="AR107" i="24"/>
  <c r="J107" i="24" s="1"/>
  <c r="AJ108" i="24"/>
  <c r="AR108" i="24"/>
  <c r="J108" i="24" s="1"/>
  <c r="AJ109" i="24"/>
  <c r="AR109" i="24"/>
  <c r="J109" i="24" s="1"/>
  <c r="AO102" i="46"/>
  <c r="AP103" i="46"/>
  <c r="AQ104" i="46"/>
  <c r="AK105" i="46"/>
  <c r="AL106" i="46"/>
  <c r="AL105" i="24"/>
  <c r="AT106" i="24"/>
  <c r="AL108" i="24"/>
  <c r="AQ102" i="46"/>
  <c r="AM105" i="46"/>
  <c r="AO105" i="46"/>
  <c r="AK105" i="24"/>
  <c r="AS105" i="24"/>
  <c r="AK106" i="24"/>
  <c r="AS106" i="24"/>
  <c r="AK107" i="24"/>
  <c r="AS107" i="24"/>
  <c r="AK108" i="24"/>
  <c r="AS108" i="24"/>
  <c r="AK109" i="24"/>
  <c r="AS109" i="24"/>
  <c r="AP102" i="46"/>
  <c r="AQ103" i="46"/>
  <c r="AL105" i="46"/>
  <c r="AM106" i="46"/>
  <c r="AT105" i="24"/>
  <c r="AL107" i="24"/>
  <c r="AT108" i="24"/>
  <c r="AT109" i="24"/>
  <c r="AM104" i="46"/>
  <c r="AM105" i="24"/>
  <c r="AU105" i="24"/>
  <c r="AM106" i="24"/>
  <c r="AU106" i="24"/>
  <c r="AM107" i="24"/>
  <c r="AU107" i="24"/>
  <c r="AM108" i="24"/>
  <c r="AU108" i="24"/>
  <c r="AM109" i="24"/>
  <c r="AU109" i="24"/>
  <c r="AK103" i="46"/>
  <c r="AL104" i="46"/>
  <c r="AN105" i="46"/>
  <c r="AO106" i="46"/>
  <c r="AN106" i="24"/>
  <c r="AN109" i="24"/>
  <c r="AL103" i="46"/>
  <c r="AP106" i="46"/>
  <c r="AN105" i="24"/>
  <c r="AN107" i="24"/>
  <c r="AN108" i="24"/>
  <c r="AO108" i="24"/>
  <c r="AN104" i="46"/>
  <c r="AO106" i="24"/>
  <c r="AP105" i="46"/>
  <c r="AM103" i="46"/>
  <c r="AQ106" i="46"/>
  <c r="AO105" i="24"/>
  <c r="AO109" i="24"/>
  <c r="AO107" i="24"/>
  <c r="AL102" i="46"/>
  <c r="W132" i="116"/>
  <c r="Y132" i="116" s="1"/>
  <c r="W140" i="116"/>
  <c r="Y140" i="116" s="1"/>
  <c r="W148" i="116"/>
  <c r="Y148" i="116" s="1"/>
  <c r="W156" i="116"/>
  <c r="Y156" i="116" s="1"/>
  <c r="T126" i="116"/>
  <c r="V126" i="116" s="1"/>
  <c r="T13" i="116"/>
  <c r="V13" i="116" s="1"/>
  <c r="T21" i="116"/>
  <c r="V21" i="116" s="1"/>
  <c r="T29" i="116"/>
  <c r="V29" i="116" s="1"/>
  <c r="T38" i="116"/>
  <c r="V38" i="116" s="1"/>
  <c r="T46" i="116"/>
  <c r="V46" i="116" s="1"/>
  <c r="T54" i="116"/>
  <c r="V54" i="116" s="1"/>
  <c r="T62" i="116"/>
  <c r="V62" i="116" s="1"/>
  <c r="T70" i="116"/>
  <c r="V70" i="116" s="1"/>
  <c r="T78" i="116"/>
  <c r="V78" i="116" s="1"/>
  <c r="T86" i="116"/>
  <c r="V86" i="116" s="1"/>
  <c r="T94" i="116"/>
  <c r="V94" i="116" s="1"/>
  <c r="T107" i="116"/>
  <c r="V107" i="116" s="1"/>
  <c r="T120" i="116"/>
  <c r="V120" i="116" s="1"/>
  <c r="T129" i="116"/>
  <c r="V129" i="116" s="1"/>
  <c r="T139" i="116"/>
  <c r="V139" i="116" s="1"/>
  <c r="T147" i="116"/>
  <c r="V147" i="116" s="1"/>
  <c r="T155" i="116"/>
  <c r="V155" i="116" s="1"/>
  <c r="E14" i="116"/>
  <c r="G14" i="116" s="1"/>
  <c r="E22" i="116"/>
  <c r="G22" i="116" s="1"/>
  <c r="E30" i="116"/>
  <c r="G30" i="116" s="1"/>
  <c r="E39" i="116"/>
  <c r="G39" i="116" s="1"/>
  <c r="E47" i="116"/>
  <c r="G47" i="116" s="1"/>
  <c r="E55" i="116"/>
  <c r="G55" i="116" s="1"/>
  <c r="E63" i="116"/>
  <c r="G63" i="116" s="1"/>
  <c r="E71" i="116"/>
  <c r="G71" i="116" s="1"/>
  <c r="E79" i="116"/>
  <c r="G79" i="116" s="1"/>
  <c r="E87" i="116"/>
  <c r="G87" i="116" s="1"/>
  <c r="E95" i="116"/>
  <c r="G95" i="116" s="1"/>
  <c r="E97" i="116"/>
  <c r="G97" i="116" s="1"/>
  <c r="E110" i="116"/>
  <c r="G110" i="116" s="1"/>
  <c r="E118" i="116"/>
  <c r="G118" i="116" s="1"/>
  <c r="E126" i="116"/>
  <c r="G126" i="116" s="1"/>
  <c r="E134" i="116"/>
  <c r="G134" i="116" s="1"/>
  <c r="E142" i="116"/>
  <c r="G142" i="116" s="1"/>
  <c r="E150" i="116"/>
  <c r="G150" i="116" s="1"/>
  <c r="E6" i="116"/>
  <c r="G6" i="116" s="1"/>
  <c r="AC7" i="116"/>
  <c r="AE7" i="116" s="1"/>
  <c r="N8" i="116"/>
  <c r="P8" i="116" s="1"/>
  <c r="AN8" i="116"/>
  <c r="AP8" i="116" s="1"/>
  <c r="AC9" i="116"/>
  <c r="AE9" i="116" s="1"/>
  <c r="N10" i="116"/>
  <c r="P10" i="116" s="1"/>
  <c r="AN10" i="116"/>
  <c r="AP10" i="116" s="1"/>
  <c r="AC11" i="116"/>
  <c r="AE11" i="116" s="1"/>
  <c r="N12" i="116"/>
  <c r="P12" i="116" s="1"/>
  <c r="AN12" i="116"/>
  <c r="AP12" i="116" s="1"/>
  <c r="AC13" i="116"/>
  <c r="AE13" i="116" s="1"/>
  <c r="N14" i="116"/>
  <c r="P14" i="116" s="1"/>
  <c r="AC15" i="116"/>
  <c r="AE15" i="116" s="1"/>
  <c r="N16" i="116"/>
  <c r="P16" i="116" s="1"/>
  <c r="C17" i="116"/>
  <c r="AF17" i="116"/>
  <c r="AH17" i="116" s="1"/>
  <c r="Q18" i="116"/>
  <c r="S18" i="116" s="1"/>
  <c r="C19" i="116"/>
  <c r="AF19" i="116"/>
  <c r="AH19" i="116" s="1"/>
  <c r="Q20" i="116"/>
  <c r="S20" i="116" s="1"/>
  <c r="C21" i="116"/>
  <c r="AF21" i="116"/>
  <c r="AH21" i="116" s="1"/>
  <c r="Q22" i="116"/>
  <c r="S22" i="116" s="1"/>
  <c r="C23" i="116"/>
  <c r="AF23" i="116"/>
  <c r="AH23" i="116" s="1"/>
  <c r="W133" i="116"/>
  <c r="Y133" i="116" s="1"/>
  <c r="W141" i="116"/>
  <c r="Y141" i="116" s="1"/>
  <c r="W149" i="116"/>
  <c r="Y149" i="116" s="1"/>
  <c r="W157" i="116"/>
  <c r="Y157" i="116" s="1"/>
  <c r="Q126" i="116"/>
  <c r="S126" i="116" s="1"/>
  <c r="T6" i="116"/>
  <c r="V6" i="116" s="1"/>
  <c r="T14" i="116"/>
  <c r="V14" i="116" s="1"/>
  <c r="T22" i="116"/>
  <c r="V22" i="116" s="1"/>
  <c r="T30" i="116"/>
  <c r="V30" i="116" s="1"/>
  <c r="T39" i="116"/>
  <c r="V39" i="116" s="1"/>
  <c r="T47" i="116"/>
  <c r="V47" i="116" s="1"/>
  <c r="T55" i="116"/>
  <c r="V55" i="116" s="1"/>
  <c r="T63" i="116"/>
  <c r="V63" i="116" s="1"/>
  <c r="T71" i="116"/>
  <c r="V71" i="116" s="1"/>
  <c r="T79" i="116"/>
  <c r="V79" i="116" s="1"/>
  <c r="T87" i="116"/>
  <c r="V87" i="116" s="1"/>
  <c r="T95" i="116"/>
  <c r="V95" i="116" s="1"/>
  <c r="T97" i="116"/>
  <c r="V97" i="116" s="1"/>
  <c r="T121" i="116"/>
  <c r="V121" i="116" s="1"/>
  <c r="T130" i="116"/>
  <c r="V130" i="116" s="1"/>
  <c r="T140" i="116"/>
  <c r="V140" i="116" s="1"/>
  <c r="T148" i="116"/>
  <c r="V148" i="116" s="1"/>
  <c r="T156" i="116"/>
  <c r="V156" i="116" s="1"/>
  <c r="E7" i="116"/>
  <c r="G7" i="116" s="1"/>
  <c r="E15" i="116"/>
  <c r="G15" i="116" s="1"/>
  <c r="E23" i="116"/>
  <c r="G23" i="116" s="1"/>
  <c r="E31" i="116"/>
  <c r="G31" i="116" s="1"/>
  <c r="E40" i="116"/>
  <c r="G40" i="116" s="1"/>
  <c r="E48" i="116"/>
  <c r="G48" i="116" s="1"/>
  <c r="E56" i="116"/>
  <c r="G56" i="116" s="1"/>
  <c r="E64" i="116"/>
  <c r="G64" i="116" s="1"/>
  <c r="E72" i="116"/>
  <c r="G72" i="116" s="1"/>
  <c r="E80" i="116"/>
  <c r="G80" i="116" s="1"/>
  <c r="E88" i="116"/>
  <c r="G88" i="116" s="1"/>
  <c r="E96" i="116"/>
  <c r="G96" i="116" s="1"/>
  <c r="E98" i="116"/>
  <c r="G98" i="116" s="1"/>
  <c r="E111" i="116"/>
  <c r="G111" i="116" s="1"/>
  <c r="E119" i="116"/>
  <c r="G119" i="116" s="1"/>
  <c r="E127" i="116"/>
  <c r="G127" i="116" s="1"/>
  <c r="E135" i="116"/>
  <c r="G135" i="116" s="1"/>
  <c r="E143" i="116"/>
  <c r="G143" i="116" s="1"/>
  <c r="E151" i="116"/>
  <c r="G151" i="116" s="1"/>
  <c r="C7" i="116"/>
  <c r="AF7" i="116"/>
  <c r="AH7" i="116" s="1"/>
  <c r="Q8" i="116"/>
  <c r="S8" i="116" s="1"/>
  <c r="C9" i="116"/>
  <c r="AF9" i="116"/>
  <c r="AH9" i="116" s="1"/>
  <c r="W134" i="116"/>
  <c r="Y134" i="116" s="1"/>
  <c r="W142" i="116"/>
  <c r="Y142" i="116" s="1"/>
  <c r="W150" i="116"/>
  <c r="Y150" i="116" s="1"/>
  <c r="T131" i="116"/>
  <c r="V131" i="116" s="1"/>
  <c r="Q127" i="116"/>
  <c r="S127" i="116" s="1"/>
  <c r="T7" i="116"/>
  <c r="V7" i="116" s="1"/>
  <c r="T15" i="116"/>
  <c r="V15" i="116" s="1"/>
  <c r="T23" i="116"/>
  <c r="V23" i="116" s="1"/>
  <c r="T31" i="116"/>
  <c r="V31" i="116" s="1"/>
  <c r="T40" i="116"/>
  <c r="V40" i="116" s="1"/>
  <c r="T48" i="116"/>
  <c r="V48" i="116" s="1"/>
  <c r="T56" i="116"/>
  <c r="V56" i="116" s="1"/>
  <c r="T64" i="116"/>
  <c r="V64" i="116" s="1"/>
  <c r="T72" i="116"/>
  <c r="V72" i="116" s="1"/>
  <c r="T80" i="116"/>
  <c r="V80" i="116" s="1"/>
  <c r="T88" i="116"/>
  <c r="V88" i="116" s="1"/>
  <c r="T96" i="116"/>
  <c r="V96" i="116" s="1"/>
  <c r="T98" i="116"/>
  <c r="V98" i="116" s="1"/>
  <c r="T122" i="116"/>
  <c r="V122" i="116" s="1"/>
  <c r="T133" i="116"/>
  <c r="V133" i="116" s="1"/>
  <c r="T141" i="116"/>
  <c r="V141" i="116" s="1"/>
  <c r="T149" i="116"/>
  <c r="V149" i="116" s="1"/>
  <c r="T157" i="116"/>
  <c r="V157" i="116" s="1"/>
  <c r="E8" i="116"/>
  <c r="G8" i="116" s="1"/>
  <c r="E16" i="116"/>
  <c r="G16" i="116" s="1"/>
  <c r="E24" i="116"/>
  <c r="G24" i="116" s="1"/>
  <c r="E32" i="116"/>
  <c r="G32" i="116" s="1"/>
  <c r="E41" i="116"/>
  <c r="G41" i="116" s="1"/>
  <c r="E49" i="116"/>
  <c r="G49" i="116" s="1"/>
  <c r="E57" i="116"/>
  <c r="G57" i="116" s="1"/>
  <c r="E65" i="116"/>
  <c r="G65" i="116" s="1"/>
  <c r="E73" i="116"/>
  <c r="G73" i="116" s="1"/>
  <c r="E81" i="116"/>
  <c r="G81" i="116" s="1"/>
  <c r="E89" i="116"/>
  <c r="G89" i="116" s="1"/>
  <c r="E103" i="116"/>
  <c r="G103" i="116" s="1"/>
  <c r="E99" i="116"/>
  <c r="G99" i="116" s="1"/>
  <c r="E112" i="116"/>
  <c r="G112" i="116" s="1"/>
  <c r="E120" i="116"/>
  <c r="G120" i="116" s="1"/>
  <c r="E128" i="116"/>
  <c r="G128" i="116" s="1"/>
  <c r="E136" i="116"/>
  <c r="G136" i="116" s="1"/>
  <c r="E144" i="116"/>
  <c r="G144" i="116" s="1"/>
  <c r="E152" i="116"/>
  <c r="G152" i="116" s="1"/>
  <c r="H7" i="116"/>
  <c r="J7" i="116" s="1"/>
  <c r="AI7" i="116"/>
  <c r="AK7" i="116" s="1"/>
  <c r="W8" i="116"/>
  <c r="Y8" i="116" s="1"/>
  <c r="H9" i="116"/>
  <c r="J9" i="116" s="1"/>
  <c r="AI9" i="116"/>
  <c r="AK9" i="116" s="1"/>
  <c r="W10" i="116"/>
  <c r="Y10" i="116" s="1"/>
  <c r="H11" i="116"/>
  <c r="J11" i="116" s="1"/>
  <c r="AI11" i="116"/>
  <c r="AK11" i="116" s="1"/>
  <c r="W12" i="116"/>
  <c r="Y12" i="116" s="1"/>
  <c r="H13" i="116"/>
  <c r="J13" i="116" s="1"/>
  <c r="AI13" i="116"/>
  <c r="AK13" i="116" s="1"/>
  <c r="W14" i="116"/>
  <c r="Y14" i="116" s="1"/>
  <c r="H15" i="116"/>
  <c r="J15" i="116" s="1"/>
  <c r="AI15" i="116"/>
  <c r="AK15" i="116" s="1"/>
  <c r="W16" i="116"/>
  <c r="Y16" i="116" s="1"/>
  <c r="K17" i="116"/>
  <c r="M17" i="116" s="1"/>
  <c r="AL17" i="116"/>
  <c r="Z18" i="116"/>
  <c r="AB18" i="116" s="1"/>
  <c r="K19" i="116"/>
  <c r="M19" i="116" s="1"/>
  <c r="AL19" i="116"/>
  <c r="Z20" i="116"/>
  <c r="AB20" i="116" s="1"/>
  <c r="K21" i="116"/>
  <c r="M21" i="116" s="1"/>
  <c r="AL21" i="116"/>
  <c r="Z22" i="116"/>
  <c r="AB22" i="116" s="1"/>
  <c r="W135" i="116"/>
  <c r="Y135" i="116" s="1"/>
  <c r="W143" i="116"/>
  <c r="Y143" i="116" s="1"/>
  <c r="W151" i="116"/>
  <c r="Y151" i="116" s="1"/>
  <c r="T132" i="116"/>
  <c r="V132" i="116" s="1"/>
  <c r="N126" i="116"/>
  <c r="P126" i="116" s="1"/>
  <c r="T8" i="116"/>
  <c r="V8" i="116" s="1"/>
  <c r="T16" i="116"/>
  <c r="V16" i="116" s="1"/>
  <c r="T24" i="116"/>
  <c r="V24" i="116" s="1"/>
  <c r="T32" i="116"/>
  <c r="V32" i="116" s="1"/>
  <c r="T41" i="116"/>
  <c r="V41" i="116" s="1"/>
  <c r="T49" i="116"/>
  <c r="V49" i="116" s="1"/>
  <c r="T57" i="116"/>
  <c r="V57" i="116" s="1"/>
  <c r="T65" i="116"/>
  <c r="V65" i="116" s="1"/>
  <c r="T73" i="116"/>
  <c r="V73" i="116" s="1"/>
  <c r="T81" i="116"/>
  <c r="V81" i="116" s="1"/>
  <c r="T89" i="116"/>
  <c r="V89" i="116" s="1"/>
  <c r="T103" i="116"/>
  <c r="V103" i="116" s="1"/>
  <c r="T99" i="116"/>
  <c r="V99" i="116" s="1"/>
  <c r="T123" i="116"/>
  <c r="V123" i="116" s="1"/>
  <c r="T134" i="116"/>
  <c r="V134" i="116" s="1"/>
  <c r="T142" i="116"/>
  <c r="V142" i="116" s="1"/>
  <c r="T150" i="116"/>
  <c r="V150" i="116" s="1"/>
  <c r="E9" i="116"/>
  <c r="G9" i="116" s="1"/>
  <c r="E17" i="116"/>
  <c r="G17" i="116" s="1"/>
  <c r="E25" i="116"/>
  <c r="G25" i="116" s="1"/>
  <c r="E34" i="116"/>
  <c r="G34" i="116" s="1"/>
  <c r="E42" i="116"/>
  <c r="G42" i="116" s="1"/>
  <c r="E50" i="116"/>
  <c r="G50" i="116" s="1"/>
  <c r="E58" i="116"/>
  <c r="G58" i="116" s="1"/>
  <c r="E66" i="116"/>
  <c r="G66" i="116" s="1"/>
  <c r="E74" i="116"/>
  <c r="G74" i="116" s="1"/>
  <c r="E82" i="116"/>
  <c r="G82" i="116" s="1"/>
  <c r="E90" i="116"/>
  <c r="G90" i="116" s="1"/>
  <c r="E104" i="116"/>
  <c r="G104" i="116" s="1"/>
  <c r="E100" i="116"/>
  <c r="G100" i="116" s="1"/>
  <c r="E113" i="116"/>
  <c r="G113" i="116" s="1"/>
  <c r="E121" i="116"/>
  <c r="G121" i="116" s="1"/>
  <c r="E129" i="116"/>
  <c r="G129" i="116" s="1"/>
  <c r="E137" i="116"/>
  <c r="G137" i="116" s="1"/>
  <c r="E145" i="116"/>
  <c r="G145" i="116" s="1"/>
  <c r="E153" i="116"/>
  <c r="G153" i="116" s="1"/>
  <c r="K7" i="116"/>
  <c r="M7" i="116" s="1"/>
  <c r="AL7" i="116"/>
  <c r="Z8" i="116"/>
  <c r="AB8" i="116" s="1"/>
  <c r="K9" i="116"/>
  <c r="M9" i="116" s="1"/>
  <c r="AL9" i="116"/>
  <c r="Z10" i="116"/>
  <c r="AB10" i="116" s="1"/>
  <c r="K11" i="116"/>
  <c r="M11" i="116" s="1"/>
  <c r="AL11" i="116"/>
  <c r="Z12" i="116"/>
  <c r="AB12" i="116" s="1"/>
  <c r="K13" i="116"/>
  <c r="M13" i="116" s="1"/>
  <c r="AL13" i="116"/>
  <c r="Z14" i="116"/>
  <c r="AB14" i="116" s="1"/>
  <c r="K15" i="116"/>
  <c r="M15" i="116" s="1"/>
  <c r="AL15" i="116"/>
  <c r="AC16" i="116"/>
  <c r="AE16" i="116" s="1"/>
  <c r="N17" i="116"/>
  <c r="P17" i="116" s="1"/>
  <c r="AN17" i="116"/>
  <c r="AP17" i="116" s="1"/>
  <c r="AC18" i="116"/>
  <c r="AE18" i="116" s="1"/>
  <c r="N19" i="116"/>
  <c r="P19" i="116" s="1"/>
  <c r="AN19" i="116"/>
  <c r="AP19" i="116" s="1"/>
  <c r="AC20" i="116"/>
  <c r="AE20" i="116" s="1"/>
  <c r="N21" i="116"/>
  <c r="P21" i="116" s="1"/>
  <c r="AN21" i="116"/>
  <c r="AP21" i="116" s="1"/>
  <c r="AC22" i="116"/>
  <c r="AE22" i="116" s="1"/>
  <c r="N23" i="116"/>
  <c r="P23" i="116" s="1"/>
  <c r="AN23" i="116"/>
  <c r="AP23" i="116" s="1"/>
  <c r="AC24" i="116"/>
  <c r="AE24" i="116" s="1"/>
  <c r="N25" i="116"/>
  <c r="P25" i="116" s="1"/>
  <c r="AN25" i="116"/>
  <c r="AP25" i="116" s="1"/>
  <c r="W136" i="116"/>
  <c r="Y136" i="116" s="1"/>
  <c r="W144" i="116"/>
  <c r="Y144" i="116" s="1"/>
  <c r="W152" i="116"/>
  <c r="Y152" i="116" s="1"/>
  <c r="Z126" i="116"/>
  <c r="AB126" i="116" s="1"/>
  <c r="N127" i="116"/>
  <c r="P127" i="116" s="1"/>
  <c r="T9" i="116"/>
  <c r="V9" i="116" s="1"/>
  <c r="T17" i="116"/>
  <c r="V17" i="116" s="1"/>
  <c r="T25" i="116"/>
  <c r="V25" i="116" s="1"/>
  <c r="T34" i="116"/>
  <c r="V34" i="116" s="1"/>
  <c r="T42" i="116"/>
  <c r="V42" i="116" s="1"/>
  <c r="T50" i="116"/>
  <c r="V50" i="116" s="1"/>
  <c r="T58" i="116"/>
  <c r="V58" i="116" s="1"/>
  <c r="T66" i="116"/>
  <c r="V66" i="116" s="1"/>
  <c r="T74" i="116"/>
  <c r="V74" i="116" s="1"/>
  <c r="T82" i="116"/>
  <c r="V82" i="116" s="1"/>
  <c r="T90" i="116"/>
  <c r="V90" i="116" s="1"/>
  <c r="T104" i="116"/>
  <c r="V104" i="116" s="1"/>
  <c r="T100" i="116"/>
  <c r="V100" i="116" s="1"/>
  <c r="T124" i="116"/>
  <c r="V124" i="116" s="1"/>
  <c r="T135" i="116"/>
  <c r="V135" i="116" s="1"/>
  <c r="T143" i="116"/>
  <c r="V143" i="116" s="1"/>
  <c r="T151" i="116"/>
  <c r="V151" i="116" s="1"/>
  <c r="E10" i="116"/>
  <c r="G10" i="116" s="1"/>
  <c r="E18" i="116"/>
  <c r="G18" i="116" s="1"/>
  <c r="E26" i="116"/>
  <c r="G26" i="116" s="1"/>
  <c r="E35" i="116"/>
  <c r="G35" i="116" s="1"/>
  <c r="E43" i="116"/>
  <c r="G43" i="116" s="1"/>
  <c r="E51" i="116"/>
  <c r="G51" i="116" s="1"/>
  <c r="E59" i="116"/>
  <c r="G59" i="116" s="1"/>
  <c r="E67" i="116"/>
  <c r="G67" i="116" s="1"/>
  <c r="E75" i="116"/>
  <c r="G75" i="116" s="1"/>
  <c r="E83" i="116"/>
  <c r="G83" i="116" s="1"/>
  <c r="E91" i="116"/>
  <c r="G91" i="116" s="1"/>
  <c r="E105" i="116"/>
  <c r="G105" i="116" s="1"/>
  <c r="E101" i="116"/>
  <c r="G101" i="116" s="1"/>
  <c r="E114" i="116"/>
  <c r="G114" i="116" s="1"/>
  <c r="E122" i="116"/>
  <c r="G122" i="116" s="1"/>
  <c r="E130" i="116"/>
  <c r="G130" i="116" s="1"/>
  <c r="E138" i="116"/>
  <c r="G138" i="116" s="1"/>
  <c r="E146" i="116"/>
  <c r="G146" i="116" s="1"/>
  <c r="E154" i="116"/>
  <c r="G154" i="116" s="1"/>
  <c r="N7" i="116"/>
  <c r="P7" i="116" s="1"/>
  <c r="AC8" i="116"/>
  <c r="AE8" i="116" s="1"/>
  <c r="N9" i="116"/>
  <c r="P9" i="116" s="1"/>
  <c r="AN9" i="116"/>
  <c r="AP9" i="116" s="1"/>
  <c r="AC10" i="116"/>
  <c r="AE10" i="116" s="1"/>
  <c r="N11" i="116"/>
  <c r="P11" i="116" s="1"/>
  <c r="AC12" i="116"/>
  <c r="AE12" i="116" s="1"/>
  <c r="N13" i="116"/>
  <c r="P13" i="116" s="1"/>
  <c r="AN13" i="116"/>
  <c r="AP13" i="116" s="1"/>
  <c r="AC14" i="116"/>
  <c r="AE14" i="116" s="1"/>
  <c r="N15" i="116"/>
  <c r="P15" i="116" s="1"/>
  <c r="AN15" i="116"/>
  <c r="AP15" i="116" s="1"/>
  <c r="AF16" i="116"/>
  <c r="AH16" i="116" s="1"/>
  <c r="Q17" i="116"/>
  <c r="S17" i="116" s="1"/>
  <c r="C18" i="116"/>
  <c r="AF18" i="116"/>
  <c r="AH18" i="116" s="1"/>
  <c r="Q19" i="116"/>
  <c r="S19" i="116" s="1"/>
  <c r="C20" i="116"/>
  <c r="AF20" i="116"/>
  <c r="AH20" i="116" s="1"/>
  <c r="Q21" i="116"/>
  <c r="S21" i="116" s="1"/>
  <c r="C22" i="116"/>
  <c r="AF22" i="116"/>
  <c r="AH22" i="116" s="1"/>
  <c r="Q23" i="116"/>
  <c r="S23" i="116" s="1"/>
  <c r="C24" i="116"/>
  <c r="AF24" i="116"/>
  <c r="AH24" i="116" s="1"/>
  <c r="W137" i="116"/>
  <c r="Y137" i="116" s="1"/>
  <c r="W145" i="116"/>
  <c r="Y145" i="116" s="1"/>
  <c r="W153" i="116"/>
  <c r="Y153" i="116" s="1"/>
  <c r="Z127" i="116"/>
  <c r="AB127" i="116" s="1"/>
  <c r="T10" i="116"/>
  <c r="V10" i="116" s="1"/>
  <c r="T18" i="116"/>
  <c r="V18" i="116" s="1"/>
  <c r="T26" i="116"/>
  <c r="V26" i="116" s="1"/>
  <c r="T35" i="116"/>
  <c r="V35" i="116" s="1"/>
  <c r="T43" i="116"/>
  <c r="V43" i="116" s="1"/>
  <c r="T51" i="116"/>
  <c r="V51" i="116" s="1"/>
  <c r="T59" i="116"/>
  <c r="V59" i="116" s="1"/>
  <c r="T67" i="116"/>
  <c r="V67" i="116" s="1"/>
  <c r="T75" i="116"/>
  <c r="V75" i="116" s="1"/>
  <c r="T83" i="116"/>
  <c r="V83" i="116" s="1"/>
  <c r="T91" i="116"/>
  <c r="V91" i="116" s="1"/>
  <c r="T105" i="116"/>
  <c r="V105" i="116" s="1"/>
  <c r="T101" i="116"/>
  <c r="V101" i="116" s="1"/>
  <c r="T125" i="116"/>
  <c r="V125" i="116" s="1"/>
  <c r="T136" i="116"/>
  <c r="V136" i="116" s="1"/>
  <c r="T144" i="116"/>
  <c r="V144" i="116" s="1"/>
  <c r="T152" i="116"/>
  <c r="V152" i="116" s="1"/>
  <c r="E11" i="116"/>
  <c r="G11" i="116" s="1"/>
  <c r="E19" i="116"/>
  <c r="G19" i="116" s="1"/>
  <c r="E27" i="116"/>
  <c r="G27" i="116" s="1"/>
  <c r="E36" i="116"/>
  <c r="G36" i="116" s="1"/>
  <c r="E44" i="116"/>
  <c r="G44" i="116" s="1"/>
  <c r="E52" i="116"/>
  <c r="G52" i="116" s="1"/>
  <c r="E60" i="116"/>
  <c r="G60" i="116" s="1"/>
  <c r="E68" i="116"/>
  <c r="G68" i="116" s="1"/>
  <c r="E76" i="116"/>
  <c r="G76" i="116" s="1"/>
  <c r="E84" i="116"/>
  <c r="G84" i="116" s="1"/>
  <c r="E92" i="116"/>
  <c r="G92" i="116" s="1"/>
  <c r="E102" i="116"/>
  <c r="G102" i="116" s="1"/>
  <c r="E115" i="116"/>
  <c r="G115" i="116" s="1"/>
  <c r="E123" i="116"/>
  <c r="G123" i="116" s="1"/>
  <c r="E131" i="116"/>
  <c r="G131" i="116" s="1"/>
  <c r="E139" i="116"/>
  <c r="G139" i="116" s="1"/>
  <c r="E147" i="116"/>
  <c r="G147" i="116" s="1"/>
  <c r="E155" i="116"/>
  <c r="G155" i="116" s="1"/>
  <c r="Q7" i="116"/>
  <c r="S7" i="116" s="1"/>
  <c r="C8" i="116"/>
  <c r="AF8" i="116"/>
  <c r="AH8" i="116" s="1"/>
  <c r="Q9" i="116"/>
  <c r="S9" i="116" s="1"/>
  <c r="C10" i="116"/>
  <c r="AF10" i="116"/>
  <c r="AH10" i="116" s="1"/>
  <c r="Q11" i="116"/>
  <c r="S11" i="116" s="1"/>
  <c r="C12" i="116"/>
  <c r="AF12" i="116"/>
  <c r="AH12" i="116" s="1"/>
  <c r="Q13" i="116"/>
  <c r="S13" i="116" s="1"/>
  <c r="C14" i="116"/>
  <c r="AF14" i="116"/>
  <c r="AH14" i="116" s="1"/>
  <c r="Q15" i="116"/>
  <c r="S15" i="116" s="1"/>
  <c r="C16" i="116"/>
  <c r="AI16" i="116"/>
  <c r="AK16" i="116" s="1"/>
  <c r="W17" i="116"/>
  <c r="Y17" i="116" s="1"/>
  <c r="H18" i="116"/>
  <c r="J18" i="116" s="1"/>
  <c r="AI18" i="116"/>
  <c r="AK18" i="116" s="1"/>
  <c r="W19" i="116"/>
  <c r="Y19" i="116" s="1"/>
  <c r="H20" i="116"/>
  <c r="J20" i="116" s="1"/>
  <c r="AI20" i="116"/>
  <c r="AK20" i="116" s="1"/>
  <c r="W21" i="116"/>
  <c r="Y21" i="116" s="1"/>
  <c r="H22" i="116"/>
  <c r="J22" i="116" s="1"/>
  <c r="AI22" i="116"/>
  <c r="AK22" i="116" s="1"/>
  <c r="W23" i="116"/>
  <c r="Y23" i="116" s="1"/>
  <c r="H24" i="116"/>
  <c r="J24" i="116" s="1"/>
  <c r="AI24" i="116"/>
  <c r="AK24" i="116" s="1"/>
  <c r="W25" i="116"/>
  <c r="Y25" i="116" s="1"/>
  <c r="AN72" i="116"/>
  <c r="AP72" i="116" s="1"/>
  <c r="Z16" i="116"/>
  <c r="AB16" i="116" s="1"/>
  <c r="W138" i="116"/>
  <c r="Y138" i="116" s="1"/>
  <c r="W146" i="116"/>
  <c r="Y146" i="116" s="1"/>
  <c r="W154" i="116"/>
  <c r="Y154" i="116" s="1"/>
  <c r="W126" i="116"/>
  <c r="Y126" i="116" s="1"/>
  <c r="T11" i="116"/>
  <c r="V11" i="116" s="1"/>
  <c r="T19" i="116"/>
  <c r="V19" i="116" s="1"/>
  <c r="T27" i="116"/>
  <c r="V27" i="116" s="1"/>
  <c r="T36" i="116"/>
  <c r="V36" i="116" s="1"/>
  <c r="T44" i="116"/>
  <c r="V44" i="116" s="1"/>
  <c r="T52" i="116"/>
  <c r="V52" i="116" s="1"/>
  <c r="T60" i="116"/>
  <c r="V60" i="116" s="1"/>
  <c r="T68" i="116"/>
  <c r="V68" i="116" s="1"/>
  <c r="T76" i="116"/>
  <c r="V76" i="116" s="1"/>
  <c r="T84" i="116"/>
  <c r="V84" i="116" s="1"/>
  <c r="T92" i="116"/>
  <c r="V92" i="116" s="1"/>
  <c r="T102" i="116"/>
  <c r="V102" i="116" s="1"/>
  <c r="T127" i="116"/>
  <c r="V127" i="116" s="1"/>
  <c r="T137" i="116"/>
  <c r="V137" i="116" s="1"/>
  <c r="T145" i="116"/>
  <c r="V145" i="116" s="1"/>
  <c r="T153" i="116"/>
  <c r="V153" i="116" s="1"/>
  <c r="E12" i="116"/>
  <c r="G12" i="116" s="1"/>
  <c r="E20" i="116"/>
  <c r="G20" i="116" s="1"/>
  <c r="E28" i="116"/>
  <c r="G28" i="116" s="1"/>
  <c r="E37" i="116"/>
  <c r="G37" i="116" s="1"/>
  <c r="E45" i="116"/>
  <c r="G45" i="116" s="1"/>
  <c r="E53" i="116"/>
  <c r="G53" i="116" s="1"/>
  <c r="E61" i="116"/>
  <c r="G61" i="116" s="1"/>
  <c r="E69" i="116"/>
  <c r="G69" i="116" s="1"/>
  <c r="E77" i="116"/>
  <c r="G77" i="116" s="1"/>
  <c r="E85" i="116"/>
  <c r="G85" i="116" s="1"/>
  <c r="E93" i="116"/>
  <c r="G93" i="116" s="1"/>
  <c r="E106" i="116"/>
  <c r="G106" i="116" s="1"/>
  <c r="E108" i="116"/>
  <c r="G108" i="116" s="1"/>
  <c r="E116" i="116"/>
  <c r="G116" i="116" s="1"/>
  <c r="E124" i="116"/>
  <c r="G124" i="116" s="1"/>
  <c r="E132" i="116"/>
  <c r="G132" i="116" s="1"/>
  <c r="E140" i="116"/>
  <c r="G140" i="116" s="1"/>
  <c r="E148" i="116"/>
  <c r="G148" i="116" s="1"/>
  <c r="E156" i="116"/>
  <c r="G156" i="116" s="1"/>
  <c r="W7" i="116"/>
  <c r="Y7" i="116" s="1"/>
  <c r="H8" i="116"/>
  <c r="J8" i="116" s="1"/>
  <c r="AI8" i="116"/>
  <c r="AK8" i="116" s="1"/>
  <c r="W9" i="116"/>
  <c r="Y9" i="116" s="1"/>
  <c r="H10" i="116"/>
  <c r="J10" i="116" s="1"/>
  <c r="AI10" i="116"/>
  <c r="AK10" i="116" s="1"/>
  <c r="W11" i="116"/>
  <c r="Y11" i="116" s="1"/>
  <c r="H12" i="116"/>
  <c r="J12" i="116" s="1"/>
  <c r="AI12" i="116"/>
  <c r="AK12" i="116" s="1"/>
  <c r="W13" i="116"/>
  <c r="Y13" i="116" s="1"/>
  <c r="H14" i="116"/>
  <c r="J14" i="116" s="1"/>
  <c r="AI14" i="116"/>
  <c r="AK14" i="116" s="1"/>
  <c r="W15" i="116"/>
  <c r="Y15" i="116" s="1"/>
  <c r="H16" i="116"/>
  <c r="J16" i="116" s="1"/>
  <c r="AL16" i="116"/>
  <c r="Z17" i="116"/>
  <c r="AB17" i="116" s="1"/>
  <c r="K18" i="116"/>
  <c r="M18" i="116" s="1"/>
  <c r="AL18" i="116"/>
  <c r="Z19" i="116"/>
  <c r="AB19" i="116" s="1"/>
  <c r="K20" i="116"/>
  <c r="M20" i="116" s="1"/>
  <c r="AL20" i="116"/>
  <c r="Z21" i="116"/>
  <c r="AB21" i="116" s="1"/>
  <c r="K22" i="116"/>
  <c r="M22" i="116" s="1"/>
  <c r="AL22" i="116"/>
  <c r="Z23" i="116"/>
  <c r="AB23" i="116" s="1"/>
  <c r="K24" i="116"/>
  <c r="M24" i="116" s="1"/>
  <c r="AL24" i="116"/>
  <c r="W131" i="116"/>
  <c r="Y131" i="116" s="1"/>
  <c r="T69" i="116"/>
  <c r="V69" i="116" s="1"/>
  <c r="T146" i="116"/>
  <c r="V146" i="116" s="1"/>
  <c r="E13" i="116"/>
  <c r="G13" i="116" s="1"/>
  <c r="E78" i="116"/>
  <c r="G78" i="116" s="1"/>
  <c r="E141" i="116"/>
  <c r="G141" i="116" s="1"/>
  <c r="Q10" i="116"/>
  <c r="S10" i="116" s="1"/>
  <c r="C13" i="116"/>
  <c r="AF15" i="116"/>
  <c r="AH15" i="116" s="1"/>
  <c r="W18" i="116"/>
  <c r="Y18" i="116" s="1"/>
  <c r="H21" i="116"/>
  <c r="J21" i="116" s="1"/>
  <c r="AC23" i="116"/>
  <c r="AE23" i="116" s="1"/>
  <c r="C25" i="116"/>
  <c r="AL25" i="116"/>
  <c r="AC26" i="116"/>
  <c r="AE26" i="116" s="1"/>
  <c r="N27" i="116"/>
  <c r="P27" i="116" s="1"/>
  <c r="AN27" i="116"/>
  <c r="AP27" i="116" s="1"/>
  <c r="AC28" i="116"/>
  <c r="AE28" i="116" s="1"/>
  <c r="N29" i="116"/>
  <c r="P29" i="116" s="1"/>
  <c r="AN29" i="116"/>
  <c r="AP29" i="116" s="1"/>
  <c r="AC30" i="116"/>
  <c r="AE30" i="116" s="1"/>
  <c r="N31" i="116"/>
  <c r="P31" i="116" s="1"/>
  <c r="AN31" i="116"/>
  <c r="AP31" i="116" s="1"/>
  <c r="AC32" i="116"/>
  <c r="AE32" i="116" s="1"/>
  <c r="N34" i="116"/>
  <c r="P34" i="116" s="1"/>
  <c r="AN34" i="116"/>
  <c r="AP34" i="116" s="1"/>
  <c r="AC35" i="116"/>
  <c r="AE35" i="116" s="1"/>
  <c r="N36" i="116"/>
  <c r="P36" i="116" s="1"/>
  <c r="AN36" i="116"/>
  <c r="AP36" i="116" s="1"/>
  <c r="AC37" i="116"/>
  <c r="AE37" i="116" s="1"/>
  <c r="N38" i="116"/>
  <c r="P38" i="116" s="1"/>
  <c r="AN38" i="116"/>
  <c r="AP38" i="116" s="1"/>
  <c r="AC39" i="116"/>
  <c r="AE39" i="116" s="1"/>
  <c r="N40" i="116"/>
  <c r="P40" i="116" s="1"/>
  <c r="AC41" i="116"/>
  <c r="AE41" i="116" s="1"/>
  <c r="N42" i="116"/>
  <c r="P42" i="116" s="1"/>
  <c r="AN42" i="116"/>
  <c r="AP42" i="116" s="1"/>
  <c r="AC43" i="116"/>
  <c r="AE43" i="116" s="1"/>
  <c r="N44" i="116"/>
  <c r="P44" i="116" s="1"/>
  <c r="AN44" i="116"/>
  <c r="AP44" i="116" s="1"/>
  <c r="AC45" i="116"/>
  <c r="AE45" i="116" s="1"/>
  <c r="N46" i="116"/>
  <c r="P46" i="116" s="1"/>
  <c r="AN46" i="116"/>
  <c r="AP46" i="116" s="1"/>
  <c r="AC47" i="116"/>
  <c r="AE47" i="116" s="1"/>
  <c r="N48" i="116"/>
  <c r="P48" i="116" s="1"/>
  <c r="AN48" i="116"/>
  <c r="AP48" i="116" s="1"/>
  <c r="AC49" i="116"/>
  <c r="AE49" i="116" s="1"/>
  <c r="N50" i="116"/>
  <c r="P50" i="116" s="1"/>
  <c r="AN50" i="116"/>
  <c r="AP50" i="116" s="1"/>
  <c r="AC51" i="116"/>
  <c r="AE51" i="116" s="1"/>
  <c r="N52" i="116"/>
  <c r="P52" i="116" s="1"/>
  <c r="AN52" i="116"/>
  <c r="AP52" i="116" s="1"/>
  <c r="AC53" i="116"/>
  <c r="AE53" i="116" s="1"/>
  <c r="N54" i="116"/>
  <c r="P54" i="116" s="1"/>
  <c r="AN54" i="116"/>
  <c r="AP54" i="116" s="1"/>
  <c r="AC55" i="116"/>
  <c r="AE55" i="116" s="1"/>
  <c r="N56" i="116"/>
  <c r="P56" i="116" s="1"/>
  <c r="AN56" i="116"/>
  <c r="AP56" i="116" s="1"/>
  <c r="AC57" i="116"/>
  <c r="AE57" i="116" s="1"/>
  <c r="N58" i="116"/>
  <c r="P58" i="116" s="1"/>
  <c r="AN58" i="116"/>
  <c r="AP58" i="116" s="1"/>
  <c r="AC59" i="116"/>
  <c r="AE59" i="116" s="1"/>
  <c r="N60" i="116"/>
  <c r="P60" i="116" s="1"/>
  <c r="AN60" i="116"/>
  <c r="AP60" i="116" s="1"/>
  <c r="AC61" i="116"/>
  <c r="AE61" i="116" s="1"/>
  <c r="N62" i="116"/>
  <c r="P62" i="116" s="1"/>
  <c r="AN62" i="116"/>
  <c r="AP62" i="116" s="1"/>
  <c r="AC63" i="116"/>
  <c r="AE63" i="116" s="1"/>
  <c r="N64" i="116"/>
  <c r="P64" i="116" s="1"/>
  <c r="AN64" i="116"/>
  <c r="AP64" i="116" s="1"/>
  <c r="AC65" i="116"/>
  <c r="AE65" i="116" s="1"/>
  <c r="N66" i="116"/>
  <c r="P66" i="116" s="1"/>
  <c r="W139" i="116"/>
  <c r="Y139" i="116" s="1"/>
  <c r="T12" i="116"/>
  <c r="V12" i="116" s="1"/>
  <c r="T77" i="116"/>
  <c r="V77" i="116" s="1"/>
  <c r="T154" i="116"/>
  <c r="V154" i="116" s="1"/>
  <c r="E21" i="116"/>
  <c r="G21" i="116" s="1"/>
  <c r="E86" i="116"/>
  <c r="G86" i="116" s="1"/>
  <c r="E149" i="116"/>
  <c r="G149" i="116" s="1"/>
  <c r="AL10" i="116"/>
  <c r="Z13" i="116"/>
  <c r="AB13" i="116" s="1"/>
  <c r="K16" i="116"/>
  <c r="M16" i="116" s="1"/>
  <c r="AN18" i="116"/>
  <c r="AP18" i="116" s="1"/>
  <c r="AC21" i="116"/>
  <c r="AE21" i="116" s="1"/>
  <c r="AI23" i="116"/>
  <c r="AK23" i="116" s="1"/>
  <c r="H25" i="116"/>
  <c r="J25" i="116" s="1"/>
  <c r="C26" i="116"/>
  <c r="AF26" i="116"/>
  <c r="AH26" i="116" s="1"/>
  <c r="Q27" i="116"/>
  <c r="S27" i="116" s="1"/>
  <c r="C28" i="116"/>
  <c r="AF28" i="116"/>
  <c r="AH28" i="116" s="1"/>
  <c r="Q29" i="116"/>
  <c r="S29" i="116" s="1"/>
  <c r="C30" i="116"/>
  <c r="AF30" i="116"/>
  <c r="AH30" i="116" s="1"/>
  <c r="Q31" i="116"/>
  <c r="S31" i="116" s="1"/>
  <c r="AF32" i="116"/>
  <c r="AH32" i="116" s="1"/>
  <c r="Q34" i="116"/>
  <c r="S34" i="116" s="1"/>
  <c r="C35" i="116"/>
  <c r="AF35" i="116"/>
  <c r="AH35" i="116" s="1"/>
  <c r="Q36" i="116"/>
  <c r="S36" i="116" s="1"/>
  <c r="C37" i="116"/>
  <c r="AF37" i="116"/>
  <c r="AH37" i="116" s="1"/>
  <c r="Q38" i="116"/>
  <c r="S38" i="116" s="1"/>
  <c r="C39" i="116"/>
  <c r="AF39" i="116"/>
  <c r="AH39" i="116" s="1"/>
  <c r="Q40" i="116"/>
  <c r="S40" i="116" s="1"/>
  <c r="C41" i="116"/>
  <c r="AF41" i="116"/>
  <c r="AH41" i="116" s="1"/>
  <c r="Q42" i="116"/>
  <c r="S42" i="116" s="1"/>
  <c r="C43" i="116"/>
  <c r="AF43" i="116"/>
  <c r="AH43" i="116" s="1"/>
  <c r="Q44" i="116"/>
  <c r="S44" i="116" s="1"/>
  <c r="C45" i="116"/>
  <c r="AF45" i="116"/>
  <c r="AH45" i="116" s="1"/>
  <c r="Q46" i="116"/>
  <c r="S46" i="116" s="1"/>
  <c r="C47" i="116"/>
  <c r="AF47" i="116"/>
  <c r="AH47" i="116" s="1"/>
  <c r="Q48" i="116"/>
  <c r="S48" i="116" s="1"/>
  <c r="C49" i="116"/>
  <c r="AF49" i="116"/>
  <c r="AH49" i="116" s="1"/>
  <c r="Q50" i="116"/>
  <c r="S50" i="116" s="1"/>
  <c r="C51" i="116"/>
  <c r="AF51" i="116"/>
  <c r="AH51" i="116" s="1"/>
  <c r="Q52" i="116"/>
  <c r="S52" i="116" s="1"/>
  <c r="C53" i="116"/>
  <c r="AF53" i="116"/>
  <c r="AH53" i="116" s="1"/>
  <c r="Q54" i="116"/>
  <c r="S54" i="116" s="1"/>
  <c r="C55" i="116"/>
  <c r="AF55" i="116"/>
  <c r="AH55" i="116" s="1"/>
  <c r="Q56" i="116"/>
  <c r="S56" i="116" s="1"/>
  <c r="C57" i="116"/>
  <c r="AF57" i="116"/>
  <c r="AH57" i="116" s="1"/>
  <c r="Q58" i="116"/>
  <c r="S58" i="116" s="1"/>
  <c r="C59" i="116"/>
  <c r="AF59" i="116"/>
  <c r="AH59" i="116" s="1"/>
  <c r="Q60" i="116"/>
  <c r="S60" i="116" s="1"/>
  <c r="C61" i="116"/>
  <c r="AF61" i="116"/>
  <c r="AH61" i="116" s="1"/>
  <c r="Q62" i="116"/>
  <c r="S62" i="116" s="1"/>
  <c r="C63" i="116"/>
  <c r="AF63" i="116"/>
  <c r="AH63" i="116" s="1"/>
  <c r="Q64" i="116"/>
  <c r="S64" i="116" s="1"/>
  <c r="C65" i="116"/>
  <c r="AF65" i="116"/>
  <c r="AH65" i="116" s="1"/>
  <c r="Q66" i="116"/>
  <c r="S66" i="116" s="1"/>
  <c r="C67" i="116"/>
  <c r="AF67" i="116"/>
  <c r="AH67" i="116" s="1"/>
  <c r="Q68" i="116"/>
  <c r="S68" i="116" s="1"/>
  <c r="C69" i="116"/>
  <c r="AF69" i="116"/>
  <c r="AH69" i="116" s="1"/>
  <c r="Q70" i="116"/>
  <c r="S70" i="116" s="1"/>
  <c r="C71" i="116"/>
  <c r="AF71" i="116"/>
  <c r="AH71" i="116" s="1"/>
  <c r="Q72" i="116"/>
  <c r="S72" i="116" s="1"/>
  <c r="H73" i="116"/>
  <c r="J73" i="116" s="1"/>
  <c r="W147" i="116"/>
  <c r="Y147" i="116" s="1"/>
  <c r="T20" i="116"/>
  <c r="V20" i="116" s="1"/>
  <c r="T85" i="116"/>
  <c r="V85" i="116" s="1"/>
  <c r="E29" i="116"/>
  <c r="G29" i="116" s="1"/>
  <c r="E94" i="116"/>
  <c r="G94" i="116" s="1"/>
  <c r="E157" i="116"/>
  <c r="G157" i="116" s="1"/>
  <c r="C11" i="116"/>
  <c r="AF13" i="116"/>
  <c r="AH13" i="116" s="1"/>
  <c r="Q16" i="116"/>
  <c r="S16" i="116" s="1"/>
  <c r="H19" i="116"/>
  <c r="J19" i="116" s="1"/>
  <c r="AI21" i="116"/>
  <c r="AK21" i="116" s="1"/>
  <c r="AL23" i="116"/>
  <c r="K25" i="116"/>
  <c r="M25" i="116" s="1"/>
  <c r="H26" i="116"/>
  <c r="J26" i="116" s="1"/>
  <c r="AI26" i="116"/>
  <c r="AK26" i="116" s="1"/>
  <c r="W27" i="116"/>
  <c r="Y27" i="116" s="1"/>
  <c r="H28" i="116"/>
  <c r="J28" i="116" s="1"/>
  <c r="AI28" i="116"/>
  <c r="AK28" i="116" s="1"/>
  <c r="W29" i="116"/>
  <c r="Y29" i="116" s="1"/>
  <c r="H30" i="116"/>
  <c r="J30" i="116" s="1"/>
  <c r="AI30" i="116"/>
  <c r="AK30" i="116" s="1"/>
  <c r="W31" i="116"/>
  <c r="Y31" i="116" s="1"/>
  <c r="H32" i="116"/>
  <c r="J32" i="116" s="1"/>
  <c r="AI32" i="116"/>
  <c r="AK32" i="116" s="1"/>
  <c r="W34" i="116"/>
  <c r="Y34" i="116" s="1"/>
  <c r="H35" i="116"/>
  <c r="J35" i="116" s="1"/>
  <c r="AI35" i="116"/>
  <c r="AK35" i="116" s="1"/>
  <c r="W36" i="116"/>
  <c r="Y36" i="116" s="1"/>
  <c r="H37" i="116"/>
  <c r="J37" i="116" s="1"/>
  <c r="AI37" i="116"/>
  <c r="AK37" i="116" s="1"/>
  <c r="W38" i="116"/>
  <c r="Y38" i="116" s="1"/>
  <c r="H39" i="116"/>
  <c r="J39" i="116" s="1"/>
  <c r="AI39" i="116"/>
  <c r="AK39" i="116" s="1"/>
  <c r="W40" i="116"/>
  <c r="Y40" i="116" s="1"/>
  <c r="H41" i="116"/>
  <c r="J41" i="116" s="1"/>
  <c r="AI41" i="116"/>
  <c r="AK41" i="116" s="1"/>
  <c r="W42" i="116"/>
  <c r="Y42" i="116" s="1"/>
  <c r="H43" i="116"/>
  <c r="J43" i="116" s="1"/>
  <c r="AI43" i="116"/>
  <c r="AK43" i="116" s="1"/>
  <c r="W44" i="116"/>
  <c r="Y44" i="116" s="1"/>
  <c r="H45" i="116"/>
  <c r="J45" i="116" s="1"/>
  <c r="AI45" i="116"/>
  <c r="AK45" i="116" s="1"/>
  <c r="W46" i="116"/>
  <c r="Y46" i="116" s="1"/>
  <c r="H47" i="116"/>
  <c r="J47" i="116" s="1"/>
  <c r="AI47" i="116"/>
  <c r="AK47" i="116" s="1"/>
  <c r="W48" i="116"/>
  <c r="Y48" i="116" s="1"/>
  <c r="H49" i="116"/>
  <c r="J49" i="116" s="1"/>
  <c r="AI49" i="116"/>
  <c r="AK49" i="116" s="1"/>
  <c r="W50" i="116"/>
  <c r="Y50" i="116" s="1"/>
  <c r="H51" i="116"/>
  <c r="J51" i="116" s="1"/>
  <c r="AI51" i="116"/>
  <c r="AK51" i="116" s="1"/>
  <c r="W52" i="116"/>
  <c r="Y52" i="116" s="1"/>
  <c r="H53" i="116"/>
  <c r="J53" i="116" s="1"/>
  <c r="AI53" i="116"/>
  <c r="AK53" i="116" s="1"/>
  <c r="W54" i="116"/>
  <c r="Y54" i="116" s="1"/>
  <c r="H55" i="116"/>
  <c r="J55" i="116" s="1"/>
  <c r="AI55" i="116"/>
  <c r="AK55" i="116" s="1"/>
  <c r="W56" i="116"/>
  <c r="Y56" i="116" s="1"/>
  <c r="H57" i="116"/>
  <c r="J57" i="116" s="1"/>
  <c r="AI57" i="116"/>
  <c r="AK57" i="116" s="1"/>
  <c r="W58" i="116"/>
  <c r="Y58" i="116" s="1"/>
  <c r="H59" i="116"/>
  <c r="J59" i="116" s="1"/>
  <c r="AI59" i="116"/>
  <c r="AK59" i="116" s="1"/>
  <c r="W60" i="116"/>
  <c r="Y60" i="116" s="1"/>
  <c r="H61" i="116"/>
  <c r="J61" i="116" s="1"/>
  <c r="AI61" i="116"/>
  <c r="AK61" i="116" s="1"/>
  <c r="W62" i="116"/>
  <c r="Y62" i="116" s="1"/>
  <c r="H63" i="116"/>
  <c r="J63" i="116" s="1"/>
  <c r="AI63" i="116"/>
  <c r="AK63" i="116" s="1"/>
  <c r="W64" i="116"/>
  <c r="Y64" i="116" s="1"/>
  <c r="H65" i="116"/>
  <c r="J65" i="116" s="1"/>
  <c r="AI65" i="116"/>
  <c r="AK65" i="116" s="1"/>
  <c r="W66" i="116"/>
  <c r="Y66" i="116" s="1"/>
  <c r="H67" i="116"/>
  <c r="J67" i="116" s="1"/>
  <c r="W155" i="116"/>
  <c r="Y155" i="116" s="1"/>
  <c r="T28" i="116"/>
  <c r="V28" i="116" s="1"/>
  <c r="T93" i="116"/>
  <c r="V93" i="116" s="1"/>
  <c r="E38" i="116"/>
  <c r="G38" i="116" s="1"/>
  <c r="E107" i="116"/>
  <c r="G107" i="116" s="1"/>
  <c r="Z7" i="116"/>
  <c r="AB7" i="116" s="1"/>
  <c r="Z11" i="116"/>
  <c r="AB11" i="116" s="1"/>
  <c r="K14" i="116"/>
  <c r="M14" i="116" s="1"/>
  <c r="AN16" i="116"/>
  <c r="AP16" i="116" s="1"/>
  <c r="AC19" i="116"/>
  <c r="AE19" i="116" s="1"/>
  <c r="N22" i="116"/>
  <c r="P22" i="116" s="1"/>
  <c r="N24" i="116"/>
  <c r="P24" i="116" s="1"/>
  <c r="Q25" i="116"/>
  <c r="S25" i="116" s="1"/>
  <c r="K26" i="116"/>
  <c r="M26" i="116" s="1"/>
  <c r="AL26" i="116"/>
  <c r="Z27" i="116"/>
  <c r="AB27" i="116" s="1"/>
  <c r="K28" i="116"/>
  <c r="M28" i="116" s="1"/>
  <c r="AL28" i="116"/>
  <c r="Z29" i="116"/>
  <c r="AB29" i="116" s="1"/>
  <c r="K30" i="116"/>
  <c r="M30" i="116" s="1"/>
  <c r="AL30" i="116"/>
  <c r="Z31" i="116"/>
  <c r="AB31" i="116" s="1"/>
  <c r="K32" i="116"/>
  <c r="M32" i="116" s="1"/>
  <c r="AL32" i="116"/>
  <c r="Z34" i="116"/>
  <c r="AB34" i="116" s="1"/>
  <c r="K35" i="116"/>
  <c r="M35" i="116" s="1"/>
  <c r="AL35" i="116"/>
  <c r="Z36" i="116"/>
  <c r="AB36" i="116" s="1"/>
  <c r="K37" i="116"/>
  <c r="M37" i="116" s="1"/>
  <c r="AL37" i="116"/>
  <c r="Z38" i="116"/>
  <c r="AB38" i="116" s="1"/>
  <c r="K39" i="116"/>
  <c r="M39" i="116" s="1"/>
  <c r="AL39" i="116"/>
  <c r="Z40" i="116"/>
  <c r="AB40" i="116" s="1"/>
  <c r="K41" i="116"/>
  <c r="M41" i="116" s="1"/>
  <c r="AL41" i="116"/>
  <c r="Z42" i="116"/>
  <c r="AB42" i="116" s="1"/>
  <c r="K43" i="116"/>
  <c r="M43" i="116" s="1"/>
  <c r="AL43" i="116"/>
  <c r="Z44" i="116"/>
  <c r="AB44" i="116" s="1"/>
  <c r="K45" i="116"/>
  <c r="M45" i="116" s="1"/>
  <c r="AL45" i="116"/>
  <c r="Z46" i="116"/>
  <c r="AB46" i="116" s="1"/>
  <c r="K47" i="116"/>
  <c r="M47" i="116" s="1"/>
  <c r="AL47" i="116"/>
  <c r="Z48" i="116"/>
  <c r="AB48" i="116" s="1"/>
  <c r="K49" i="116"/>
  <c r="M49" i="116" s="1"/>
  <c r="AL49" i="116"/>
  <c r="Z50" i="116"/>
  <c r="AB50" i="116" s="1"/>
  <c r="K51" i="116"/>
  <c r="M51" i="116" s="1"/>
  <c r="AL51" i="116"/>
  <c r="Z52" i="116"/>
  <c r="AB52" i="116" s="1"/>
  <c r="K53" i="116"/>
  <c r="M53" i="116" s="1"/>
  <c r="AL53" i="116"/>
  <c r="Z54" i="116"/>
  <c r="AB54" i="116" s="1"/>
  <c r="K55" i="116"/>
  <c r="M55" i="116" s="1"/>
  <c r="AL55" i="116"/>
  <c r="Z56" i="116"/>
  <c r="AB56" i="116" s="1"/>
  <c r="K57" i="116"/>
  <c r="M57" i="116" s="1"/>
  <c r="AL57" i="116"/>
  <c r="Z58" i="116"/>
  <c r="AB58" i="116" s="1"/>
  <c r="K59" i="116"/>
  <c r="M59" i="116" s="1"/>
  <c r="AL59" i="116"/>
  <c r="Z60" i="116"/>
  <c r="AB60" i="116" s="1"/>
  <c r="K61" i="116"/>
  <c r="M61" i="116" s="1"/>
  <c r="AL61" i="116"/>
  <c r="Z62" i="116"/>
  <c r="AB62" i="116" s="1"/>
  <c r="K63" i="116"/>
  <c r="M63" i="116" s="1"/>
  <c r="AL63" i="116"/>
  <c r="Z64" i="116"/>
  <c r="AB64" i="116" s="1"/>
  <c r="K65" i="116"/>
  <c r="M65" i="116" s="1"/>
  <c r="AL65" i="116"/>
  <c r="W127" i="116"/>
  <c r="Y127" i="116" s="1"/>
  <c r="T37" i="116"/>
  <c r="V37" i="116" s="1"/>
  <c r="T106" i="116"/>
  <c r="V106" i="116" s="1"/>
  <c r="E46" i="116"/>
  <c r="G46" i="116" s="1"/>
  <c r="E109" i="116"/>
  <c r="G109" i="116" s="1"/>
  <c r="K8" i="116"/>
  <c r="M8" i="116" s="1"/>
  <c r="AF11" i="116"/>
  <c r="AH11" i="116" s="1"/>
  <c r="Q14" i="116"/>
  <c r="S14" i="116" s="1"/>
  <c r="H17" i="116"/>
  <c r="J17" i="116" s="1"/>
  <c r="AI19" i="116"/>
  <c r="AK19" i="116" s="1"/>
  <c r="W22" i="116"/>
  <c r="Y22" i="116" s="1"/>
  <c r="Q24" i="116"/>
  <c r="S24" i="116" s="1"/>
  <c r="Z25" i="116"/>
  <c r="AB25" i="116" s="1"/>
  <c r="N26" i="116"/>
  <c r="P26" i="116" s="1"/>
  <c r="AN26" i="116"/>
  <c r="AP26" i="116" s="1"/>
  <c r="AC27" i="116"/>
  <c r="AE27" i="116" s="1"/>
  <c r="N28" i="116"/>
  <c r="P28" i="116" s="1"/>
  <c r="AC29" i="116"/>
  <c r="AE29" i="116" s="1"/>
  <c r="N30" i="116"/>
  <c r="P30" i="116" s="1"/>
  <c r="AC31" i="116"/>
  <c r="AE31" i="116" s="1"/>
  <c r="N32" i="116"/>
  <c r="P32" i="116" s="1"/>
  <c r="AN32" i="116"/>
  <c r="AP32" i="116" s="1"/>
  <c r="AC34" i="116"/>
  <c r="AE34" i="116" s="1"/>
  <c r="N35" i="116"/>
  <c r="P35" i="116" s="1"/>
  <c r="AN35" i="116"/>
  <c r="AP35" i="116" s="1"/>
  <c r="AC36" i="116"/>
  <c r="AE36" i="116" s="1"/>
  <c r="N37" i="116"/>
  <c r="P37" i="116" s="1"/>
  <c r="AN37" i="116"/>
  <c r="AP37" i="116" s="1"/>
  <c r="AC38" i="116"/>
  <c r="AE38" i="116" s="1"/>
  <c r="N39" i="116"/>
  <c r="P39" i="116" s="1"/>
  <c r="AN39" i="116"/>
  <c r="AP39" i="116" s="1"/>
  <c r="AC40" i="116"/>
  <c r="AE40" i="116" s="1"/>
  <c r="N41" i="116"/>
  <c r="P41" i="116" s="1"/>
  <c r="AC42" i="116"/>
  <c r="AE42" i="116" s="1"/>
  <c r="N43" i="116"/>
  <c r="P43" i="116" s="1"/>
  <c r="AN43" i="116"/>
  <c r="AP43" i="116" s="1"/>
  <c r="AC44" i="116"/>
  <c r="AE44" i="116" s="1"/>
  <c r="N45" i="116"/>
  <c r="P45" i="116" s="1"/>
  <c r="AN45" i="116"/>
  <c r="AP45" i="116" s="1"/>
  <c r="AC46" i="116"/>
  <c r="AE46" i="116" s="1"/>
  <c r="N47" i="116"/>
  <c r="P47" i="116" s="1"/>
  <c r="AN47" i="116"/>
  <c r="AP47" i="116" s="1"/>
  <c r="AC48" i="116"/>
  <c r="AE48" i="116" s="1"/>
  <c r="N49" i="116"/>
  <c r="P49" i="116" s="1"/>
  <c r="AN49" i="116"/>
  <c r="AP49" i="116" s="1"/>
  <c r="AC50" i="116"/>
  <c r="AE50" i="116" s="1"/>
  <c r="N51" i="116"/>
  <c r="P51" i="116" s="1"/>
  <c r="AN51" i="116"/>
  <c r="AP51" i="116" s="1"/>
  <c r="AC52" i="116"/>
  <c r="AE52" i="116" s="1"/>
  <c r="N53" i="116"/>
  <c r="P53" i="116" s="1"/>
  <c r="AN53" i="116"/>
  <c r="AP53" i="116" s="1"/>
  <c r="AC54" i="116"/>
  <c r="AE54" i="116" s="1"/>
  <c r="N55" i="116"/>
  <c r="P55" i="116" s="1"/>
  <c r="AN55" i="116"/>
  <c r="AP55" i="116" s="1"/>
  <c r="AC56" i="116"/>
  <c r="AE56" i="116" s="1"/>
  <c r="N57" i="116"/>
  <c r="P57" i="116" s="1"/>
  <c r="AN57" i="116"/>
  <c r="AP57" i="116" s="1"/>
  <c r="AC58" i="116"/>
  <c r="AE58" i="116" s="1"/>
  <c r="N59" i="116"/>
  <c r="P59" i="116" s="1"/>
  <c r="AC60" i="116"/>
  <c r="AE60" i="116" s="1"/>
  <c r="N61" i="116"/>
  <c r="P61" i="116" s="1"/>
  <c r="AN61" i="116"/>
  <c r="AP61" i="116" s="1"/>
  <c r="AC62" i="116"/>
  <c r="AE62" i="116" s="1"/>
  <c r="N63" i="116"/>
  <c r="P63" i="116" s="1"/>
  <c r="AN63" i="116"/>
  <c r="AP63" i="116" s="1"/>
  <c r="AC64" i="116"/>
  <c r="AE64" i="116" s="1"/>
  <c r="N65" i="116"/>
  <c r="P65" i="116" s="1"/>
  <c r="AN65" i="116"/>
  <c r="AP65" i="116" s="1"/>
  <c r="AC66" i="116"/>
  <c r="AE66" i="116" s="1"/>
  <c r="N67" i="116"/>
  <c r="P67" i="116" s="1"/>
  <c r="AN67" i="116"/>
  <c r="AP67" i="116" s="1"/>
  <c r="AC68" i="116"/>
  <c r="AE68" i="116" s="1"/>
  <c r="N69" i="116"/>
  <c r="P69" i="116" s="1"/>
  <c r="AN69" i="116"/>
  <c r="AP69" i="116" s="1"/>
  <c r="AC70" i="116"/>
  <c r="AE70" i="116" s="1"/>
  <c r="N71" i="116"/>
  <c r="P71" i="116" s="1"/>
  <c r="T45" i="116"/>
  <c r="V45" i="116" s="1"/>
  <c r="T119" i="116"/>
  <c r="V119" i="116" s="1"/>
  <c r="E54" i="116"/>
  <c r="G54" i="116" s="1"/>
  <c r="E117" i="116"/>
  <c r="G117" i="116" s="1"/>
  <c r="AL8" i="116"/>
  <c r="K12" i="116"/>
  <c r="M12" i="116" s="1"/>
  <c r="AL14" i="116"/>
  <c r="AC17" i="116"/>
  <c r="AE17" i="116" s="1"/>
  <c r="N20" i="116"/>
  <c r="P20" i="116" s="1"/>
  <c r="AN22" i="116"/>
  <c r="AP22" i="116" s="1"/>
  <c r="W24" i="116"/>
  <c r="Y24" i="116" s="1"/>
  <c r="AC25" i="116"/>
  <c r="AE25" i="116" s="1"/>
  <c r="Q26" i="116"/>
  <c r="S26" i="116" s="1"/>
  <c r="C27" i="116"/>
  <c r="AF27" i="116"/>
  <c r="AH27" i="116" s="1"/>
  <c r="Q28" i="116"/>
  <c r="S28" i="116" s="1"/>
  <c r="C29" i="116"/>
  <c r="AF29" i="116"/>
  <c r="AH29" i="116" s="1"/>
  <c r="Q30" i="116"/>
  <c r="S30" i="116" s="1"/>
  <c r="C31" i="116"/>
  <c r="AF31" i="116"/>
  <c r="AH31" i="116" s="1"/>
  <c r="Q32" i="116"/>
  <c r="S32" i="116" s="1"/>
  <c r="C34" i="116"/>
  <c r="AF34" i="116"/>
  <c r="AH34" i="116" s="1"/>
  <c r="Q35" i="116"/>
  <c r="S35" i="116" s="1"/>
  <c r="C36" i="116"/>
  <c r="AF36" i="116"/>
  <c r="AH36" i="116" s="1"/>
  <c r="Q37" i="116"/>
  <c r="S37" i="116" s="1"/>
  <c r="C38" i="116"/>
  <c r="AF38" i="116"/>
  <c r="AH38" i="116" s="1"/>
  <c r="Q39" i="116"/>
  <c r="S39" i="116" s="1"/>
  <c r="C40" i="116"/>
  <c r="AF40" i="116"/>
  <c r="AH40" i="116" s="1"/>
  <c r="Q41" i="116"/>
  <c r="S41" i="116" s="1"/>
  <c r="C42" i="116"/>
  <c r="AF42" i="116"/>
  <c r="AH42" i="116" s="1"/>
  <c r="Q43" i="116"/>
  <c r="S43" i="116" s="1"/>
  <c r="C44" i="116"/>
  <c r="AF44" i="116"/>
  <c r="AH44" i="116" s="1"/>
  <c r="Q45" i="116"/>
  <c r="S45" i="116" s="1"/>
  <c r="C46" i="116"/>
  <c r="AF46" i="116"/>
  <c r="AH46" i="116" s="1"/>
  <c r="Q47" i="116"/>
  <c r="S47" i="116" s="1"/>
  <c r="C48" i="116"/>
  <c r="AF48" i="116"/>
  <c r="AH48" i="116" s="1"/>
  <c r="Q49" i="116"/>
  <c r="S49" i="116" s="1"/>
  <c r="C50" i="116"/>
  <c r="AF50" i="116"/>
  <c r="AH50" i="116" s="1"/>
  <c r="Q51" i="116"/>
  <c r="S51" i="116" s="1"/>
  <c r="C52" i="116"/>
  <c r="AF52" i="116"/>
  <c r="AH52" i="116" s="1"/>
  <c r="Q53" i="116"/>
  <c r="S53" i="116" s="1"/>
  <c r="C54" i="116"/>
  <c r="AF54" i="116"/>
  <c r="AH54" i="116" s="1"/>
  <c r="Q55" i="116"/>
  <c r="S55" i="116" s="1"/>
  <c r="C56" i="116"/>
  <c r="AF56" i="116"/>
  <c r="AH56" i="116" s="1"/>
  <c r="Q57" i="116"/>
  <c r="S57" i="116" s="1"/>
  <c r="C58" i="116"/>
  <c r="AF58" i="116"/>
  <c r="AH58" i="116" s="1"/>
  <c r="Q59" i="116"/>
  <c r="S59" i="116" s="1"/>
  <c r="C60" i="116"/>
  <c r="AF60" i="116"/>
  <c r="AH60" i="116" s="1"/>
  <c r="Q61" i="116"/>
  <c r="S61" i="116" s="1"/>
  <c r="C62" i="116"/>
  <c r="AF62" i="116"/>
  <c r="AH62" i="116" s="1"/>
  <c r="Q63" i="116"/>
  <c r="S63" i="116" s="1"/>
  <c r="C64" i="116"/>
  <c r="AF64" i="116"/>
  <c r="AH64" i="116" s="1"/>
  <c r="Q65" i="116"/>
  <c r="S65" i="116" s="1"/>
  <c r="C66" i="116"/>
  <c r="AF66" i="116"/>
  <c r="AH66" i="116" s="1"/>
  <c r="Q67" i="116"/>
  <c r="S67" i="116" s="1"/>
  <c r="C68" i="116"/>
  <c r="AF68" i="116"/>
  <c r="AH68" i="116" s="1"/>
  <c r="Q69" i="116"/>
  <c r="S69" i="116" s="1"/>
  <c r="C70" i="116"/>
  <c r="AF70" i="116"/>
  <c r="AH70" i="116" s="1"/>
  <c r="Q71" i="116"/>
  <c r="S71" i="116" s="1"/>
  <c r="C72" i="116"/>
  <c r="AF72" i="116"/>
  <c r="AH72" i="116" s="1"/>
  <c r="W73" i="116"/>
  <c r="Y73" i="116" s="1"/>
  <c r="K10" i="116"/>
  <c r="M10" i="116" s="1"/>
  <c r="AN20" i="116"/>
  <c r="AP20" i="116" s="1"/>
  <c r="Z26" i="116"/>
  <c r="AB26" i="116" s="1"/>
  <c r="K29" i="116"/>
  <c r="M29" i="116" s="1"/>
  <c r="AL31" i="116"/>
  <c r="Z35" i="116"/>
  <c r="AB35" i="116" s="1"/>
  <c r="K38" i="116"/>
  <c r="M38" i="116" s="1"/>
  <c r="AL40" i="116"/>
  <c r="Z43" i="116"/>
  <c r="AB43" i="116" s="1"/>
  <c r="K46" i="116"/>
  <c r="M46" i="116" s="1"/>
  <c r="AL48" i="116"/>
  <c r="Z51" i="116"/>
  <c r="AB51" i="116" s="1"/>
  <c r="K54" i="116"/>
  <c r="M54" i="116" s="1"/>
  <c r="AL56" i="116"/>
  <c r="Z59" i="116"/>
  <c r="AB59" i="116" s="1"/>
  <c r="K62" i="116"/>
  <c r="M62" i="116" s="1"/>
  <c r="AL64" i="116"/>
  <c r="K68" i="116"/>
  <c r="M68" i="116" s="1"/>
  <c r="K69" i="116"/>
  <c r="M69" i="116" s="1"/>
  <c r="N70" i="116"/>
  <c r="P70" i="116" s="1"/>
  <c r="W71" i="116"/>
  <c r="Y71" i="116" s="1"/>
  <c r="N72" i="116"/>
  <c r="P72" i="116" s="1"/>
  <c r="N73" i="116"/>
  <c r="P73" i="116" s="1"/>
  <c r="C74" i="116"/>
  <c r="AF74" i="116"/>
  <c r="AH74" i="116" s="1"/>
  <c r="Q75" i="116"/>
  <c r="S75" i="116" s="1"/>
  <c r="C76" i="116"/>
  <c r="AF76" i="116"/>
  <c r="AH76" i="116" s="1"/>
  <c r="Q77" i="116"/>
  <c r="S77" i="116" s="1"/>
  <c r="C78" i="116"/>
  <c r="AF78" i="116"/>
  <c r="AH78" i="116" s="1"/>
  <c r="Q79" i="116"/>
  <c r="S79" i="116" s="1"/>
  <c r="C80" i="116"/>
  <c r="AF80" i="116"/>
  <c r="AH80" i="116" s="1"/>
  <c r="Q81" i="116"/>
  <c r="S81" i="116" s="1"/>
  <c r="C82" i="116"/>
  <c r="AF82" i="116"/>
  <c r="AH82" i="116" s="1"/>
  <c r="Q83" i="116"/>
  <c r="S83" i="116" s="1"/>
  <c r="C84" i="116"/>
  <c r="AF84" i="116"/>
  <c r="AH84" i="116" s="1"/>
  <c r="Q85" i="116"/>
  <c r="S85" i="116" s="1"/>
  <c r="C86" i="116"/>
  <c r="AF86" i="116"/>
  <c r="AH86" i="116" s="1"/>
  <c r="Q87" i="116"/>
  <c r="S87" i="116" s="1"/>
  <c r="C88" i="116"/>
  <c r="AF88" i="116"/>
  <c r="AH88" i="116" s="1"/>
  <c r="Q89" i="116"/>
  <c r="S89" i="116" s="1"/>
  <c r="C90" i="116"/>
  <c r="AF90" i="116"/>
  <c r="AH90" i="116" s="1"/>
  <c r="Q91" i="116"/>
  <c r="S91" i="116" s="1"/>
  <c r="C92" i="116"/>
  <c r="AF92" i="116"/>
  <c r="AH92" i="116" s="1"/>
  <c r="Q93" i="116"/>
  <c r="S93" i="116" s="1"/>
  <c r="C94" i="116"/>
  <c r="AF94" i="116"/>
  <c r="AH94" i="116" s="1"/>
  <c r="Q95" i="116"/>
  <c r="S95" i="116" s="1"/>
  <c r="T53" i="116"/>
  <c r="V53" i="116" s="1"/>
  <c r="Q12" i="116"/>
  <c r="S12" i="116" s="1"/>
  <c r="H23" i="116"/>
  <c r="J23" i="116" s="1"/>
  <c r="H27" i="116"/>
  <c r="J27" i="116" s="1"/>
  <c r="AI29" i="116"/>
  <c r="AK29" i="116" s="1"/>
  <c r="W32" i="116"/>
  <c r="Y32" i="116" s="1"/>
  <c r="H36" i="116"/>
  <c r="J36" i="116" s="1"/>
  <c r="AI38" i="116"/>
  <c r="AK38" i="116" s="1"/>
  <c r="W41" i="116"/>
  <c r="Y41" i="116" s="1"/>
  <c r="H44" i="116"/>
  <c r="J44" i="116" s="1"/>
  <c r="AI46" i="116"/>
  <c r="AK46" i="116" s="1"/>
  <c r="W49" i="116"/>
  <c r="Y49" i="116" s="1"/>
  <c r="H52" i="116"/>
  <c r="J52" i="116" s="1"/>
  <c r="AI54" i="116"/>
  <c r="AK54" i="116" s="1"/>
  <c r="W57" i="116"/>
  <c r="Y57" i="116" s="1"/>
  <c r="H60" i="116"/>
  <c r="J60" i="116" s="1"/>
  <c r="AI62" i="116"/>
  <c r="AK62" i="116" s="1"/>
  <c r="W65" i="116"/>
  <c r="Y65" i="116" s="1"/>
  <c r="K67" i="116"/>
  <c r="M67" i="116" s="1"/>
  <c r="N68" i="116"/>
  <c r="P68" i="116" s="1"/>
  <c r="W69" i="116"/>
  <c r="Y69" i="116" s="1"/>
  <c r="W70" i="116"/>
  <c r="Y70" i="116" s="1"/>
  <c r="Z71" i="116"/>
  <c r="AB71" i="116" s="1"/>
  <c r="W72" i="116"/>
  <c r="Y72" i="116" s="1"/>
  <c r="Q73" i="116"/>
  <c r="S73" i="116" s="1"/>
  <c r="H74" i="116"/>
  <c r="J74" i="116" s="1"/>
  <c r="AI74" i="116"/>
  <c r="AK74" i="116" s="1"/>
  <c r="W75" i="116"/>
  <c r="Y75" i="116" s="1"/>
  <c r="H76" i="116"/>
  <c r="J76" i="116" s="1"/>
  <c r="AI76" i="116"/>
  <c r="AK76" i="116" s="1"/>
  <c r="W77" i="116"/>
  <c r="Y77" i="116" s="1"/>
  <c r="H78" i="116"/>
  <c r="J78" i="116" s="1"/>
  <c r="AI78" i="116"/>
  <c r="AK78" i="116" s="1"/>
  <c r="W79" i="116"/>
  <c r="Y79" i="116" s="1"/>
  <c r="H80" i="116"/>
  <c r="J80" i="116" s="1"/>
  <c r="AI80" i="116"/>
  <c r="AK80" i="116" s="1"/>
  <c r="W81" i="116"/>
  <c r="Y81" i="116" s="1"/>
  <c r="H82" i="116"/>
  <c r="J82" i="116" s="1"/>
  <c r="AI82" i="116"/>
  <c r="AK82" i="116" s="1"/>
  <c r="W83" i="116"/>
  <c r="Y83" i="116" s="1"/>
  <c r="H84" i="116"/>
  <c r="J84" i="116" s="1"/>
  <c r="AI84" i="116"/>
  <c r="AK84" i="116" s="1"/>
  <c r="W85" i="116"/>
  <c r="Y85" i="116" s="1"/>
  <c r="H86" i="116"/>
  <c r="J86" i="116" s="1"/>
  <c r="AI86" i="116"/>
  <c r="AK86" i="116" s="1"/>
  <c r="W87" i="116"/>
  <c r="Y87" i="116" s="1"/>
  <c r="H88" i="116"/>
  <c r="J88" i="116" s="1"/>
  <c r="AI88" i="116"/>
  <c r="AK88" i="116" s="1"/>
  <c r="W89" i="116"/>
  <c r="Y89" i="116" s="1"/>
  <c r="H90" i="116"/>
  <c r="J90" i="116" s="1"/>
  <c r="AI90" i="116"/>
  <c r="AK90" i="116" s="1"/>
  <c r="W91" i="116"/>
  <c r="Y91" i="116" s="1"/>
  <c r="H92" i="116"/>
  <c r="J92" i="116" s="1"/>
  <c r="AI92" i="116"/>
  <c r="AK92" i="116" s="1"/>
  <c r="W93" i="116"/>
  <c r="Y93" i="116" s="1"/>
  <c r="H94" i="116"/>
  <c r="J94" i="116" s="1"/>
  <c r="AI94" i="116"/>
  <c r="AK94" i="116" s="1"/>
  <c r="W95" i="116"/>
  <c r="Y95" i="116" s="1"/>
  <c r="H96" i="116"/>
  <c r="J96" i="116" s="1"/>
  <c r="AI96" i="116"/>
  <c r="AK96" i="116" s="1"/>
  <c r="W103" i="116"/>
  <c r="Y103" i="116" s="1"/>
  <c r="W104" i="116"/>
  <c r="Y104" i="116" s="1"/>
  <c r="W105" i="116"/>
  <c r="Y105" i="116" s="1"/>
  <c r="W106" i="116"/>
  <c r="Y106" i="116" s="1"/>
  <c r="W107" i="116"/>
  <c r="Y107" i="116" s="1"/>
  <c r="AS107" i="116"/>
  <c r="W97" i="116"/>
  <c r="Y97" i="116" s="1"/>
  <c r="W98" i="116"/>
  <c r="Y98" i="116" s="1"/>
  <c r="W99" i="116"/>
  <c r="Y99" i="116" s="1"/>
  <c r="W100" i="116"/>
  <c r="Y100" i="116" s="1"/>
  <c r="W101" i="116"/>
  <c r="Y101" i="116" s="1"/>
  <c r="AS101" i="116"/>
  <c r="W102" i="116"/>
  <c r="Y102" i="116" s="1"/>
  <c r="AS102" i="116"/>
  <c r="W119" i="116"/>
  <c r="Y119" i="116" s="1"/>
  <c r="T61" i="116"/>
  <c r="V61" i="116" s="1"/>
  <c r="AL12" i="116"/>
  <c r="K23" i="116"/>
  <c r="M23" i="116" s="1"/>
  <c r="K27" i="116"/>
  <c r="M27" i="116" s="1"/>
  <c r="AL29" i="116"/>
  <c r="Z32" i="116"/>
  <c r="AB32" i="116" s="1"/>
  <c r="K36" i="116"/>
  <c r="M36" i="116" s="1"/>
  <c r="AL38" i="116"/>
  <c r="Z41" i="116"/>
  <c r="AB41" i="116" s="1"/>
  <c r="K44" i="116"/>
  <c r="M44" i="116" s="1"/>
  <c r="AL46" i="116"/>
  <c r="Z49" i="116"/>
  <c r="AB49" i="116" s="1"/>
  <c r="K52" i="116"/>
  <c r="M52" i="116" s="1"/>
  <c r="AL54" i="116"/>
  <c r="Z57" i="116"/>
  <c r="AB57" i="116" s="1"/>
  <c r="K60" i="116"/>
  <c r="M60" i="116" s="1"/>
  <c r="AL62" i="116"/>
  <c r="Z65" i="116"/>
  <c r="AB65" i="116" s="1"/>
  <c r="W67" i="116"/>
  <c r="Y67" i="116" s="1"/>
  <c r="W68" i="116"/>
  <c r="Y68" i="116" s="1"/>
  <c r="Z69" i="116"/>
  <c r="AB69" i="116" s="1"/>
  <c r="Z70" i="116"/>
  <c r="AB70" i="116" s="1"/>
  <c r="AC71" i="116"/>
  <c r="AE71" i="116" s="1"/>
  <c r="Z72" i="116"/>
  <c r="AB72" i="116" s="1"/>
  <c r="Z73" i="116"/>
  <c r="AB73" i="116" s="1"/>
  <c r="AL74" i="116"/>
  <c r="Z75" i="116"/>
  <c r="AB75" i="116" s="1"/>
  <c r="K76" i="116"/>
  <c r="M76" i="116" s="1"/>
  <c r="AL76" i="116"/>
  <c r="Z77" i="116"/>
  <c r="AB77" i="116" s="1"/>
  <c r="K78" i="116"/>
  <c r="M78" i="116" s="1"/>
  <c r="AL78" i="116"/>
  <c r="Z79" i="116"/>
  <c r="AB79" i="116" s="1"/>
  <c r="K80" i="116"/>
  <c r="M80" i="116" s="1"/>
  <c r="AL80" i="116"/>
  <c r="Z81" i="116"/>
  <c r="AB81" i="116" s="1"/>
  <c r="K82" i="116"/>
  <c r="M82" i="116" s="1"/>
  <c r="AL82" i="116"/>
  <c r="Z83" i="116"/>
  <c r="AB83" i="116" s="1"/>
  <c r="K84" i="116"/>
  <c r="M84" i="116" s="1"/>
  <c r="AL84" i="116"/>
  <c r="Z85" i="116"/>
  <c r="AB85" i="116" s="1"/>
  <c r="K86" i="116"/>
  <c r="M86" i="116" s="1"/>
  <c r="AL86" i="116"/>
  <c r="Z87" i="116"/>
  <c r="AB87" i="116" s="1"/>
  <c r="K88" i="116"/>
  <c r="M88" i="116" s="1"/>
  <c r="AL88" i="116"/>
  <c r="Z89" i="116"/>
  <c r="AB89" i="116" s="1"/>
  <c r="K90" i="116"/>
  <c r="M90" i="116" s="1"/>
  <c r="AL90" i="116"/>
  <c r="Z91" i="116"/>
  <c r="AB91" i="116" s="1"/>
  <c r="K92" i="116"/>
  <c r="M92" i="116" s="1"/>
  <c r="AL92" i="116"/>
  <c r="Z93" i="116"/>
  <c r="AB93" i="116" s="1"/>
  <c r="K94" i="116"/>
  <c r="M94" i="116" s="1"/>
  <c r="AL94" i="116"/>
  <c r="Z95" i="116"/>
  <c r="AB95" i="116" s="1"/>
  <c r="K96" i="116"/>
  <c r="M96" i="116" s="1"/>
  <c r="AL96" i="116"/>
  <c r="Z103" i="116"/>
  <c r="AB103" i="116" s="1"/>
  <c r="Z104" i="116"/>
  <c r="AB104" i="116" s="1"/>
  <c r="Z105" i="116"/>
  <c r="AB105" i="116" s="1"/>
  <c r="T128" i="116"/>
  <c r="V128" i="116" s="1"/>
  <c r="E62" i="116"/>
  <c r="G62" i="116" s="1"/>
  <c r="C15" i="116"/>
  <c r="Z24" i="116"/>
  <c r="AB24" i="116" s="1"/>
  <c r="AI27" i="116"/>
  <c r="AK27" i="116" s="1"/>
  <c r="W30" i="116"/>
  <c r="Y30" i="116" s="1"/>
  <c r="H34" i="116"/>
  <c r="J34" i="116" s="1"/>
  <c r="AI36" i="116"/>
  <c r="AK36" i="116" s="1"/>
  <c r="W39" i="116"/>
  <c r="Y39" i="116" s="1"/>
  <c r="H42" i="116"/>
  <c r="J42" i="116" s="1"/>
  <c r="AI44" i="116"/>
  <c r="AK44" i="116" s="1"/>
  <c r="W47" i="116"/>
  <c r="Y47" i="116" s="1"/>
  <c r="H50" i="116"/>
  <c r="J50" i="116" s="1"/>
  <c r="AI52" i="116"/>
  <c r="AK52" i="116" s="1"/>
  <c r="W55" i="116"/>
  <c r="Y55" i="116" s="1"/>
  <c r="H58" i="116"/>
  <c r="J58" i="116" s="1"/>
  <c r="AI60" i="116"/>
  <c r="AK60" i="116" s="1"/>
  <c r="W63" i="116"/>
  <c r="Y63" i="116" s="1"/>
  <c r="H66" i="116"/>
  <c r="J66" i="116" s="1"/>
  <c r="Z67" i="116"/>
  <c r="AB67" i="116" s="1"/>
  <c r="Z68" i="116"/>
  <c r="AB68" i="116" s="1"/>
  <c r="AC69" i="116"/>
  <c r="AE69" i="116" s="1"/>
  <c r="AI70" i="116"/>
  <c r="AK70" i="116" s="1"/>
  <c r="AI71" i="116"/>
  <c r="AK71" i="116" s="1"/>
  <c r="AC72" i="116"/>
  <c r="AE72" i="116" s="1"/>
  <c r="AC73" i="116"/>
  <c r="AE73" i="116" s="1"/>
  <c r="N74" i="116"/>
  <c r="P74" i="116" s="1"/>
  <c r="AN74" i="116"/>
  <c r="AP74" i="116" s="1"/>
  <c r="AC75" i="116"/>
  <c r="AE75" i="116" s="1"/>
  <c r="N76" i="116"/>
  <c r="P76" i="116" s="1"/>
  <c r="AN76" i="116"/>
  <c r="AP76" i="116" s="1"/>
  <c r="AC77" i="116"/>
  <c r="AE77" i="116" s="1"/>
  <c r="N78" i="116"/>
  <c r="P78" i="116" s="1"/>
  <c r="AN78" i="116"/>
  <c r="AP78" i="116" s="1"/>
  <c r="AC79" i="116"/>
  <c r="AE79" i="116" s="1"/>
  <c r="N80" i="116"/>
  <c r="P80" i="116" s="1"/>
  <c r="AN80" i="116"/>
  <c r="AP80" i="116" s="1"/>
  <c r="AC81" i="116"/>
  <c r="AE81" i="116" s="1"/>
  <c r="N82" i="116"/>
  <c r="P82" i="116" s="1"/>
  <c r="AN82" i="116"/>
  <c r="AP82" i="116" s="1"/>
  <c r="AC83" i="116"/>
  <c r="AE83" i="116" s="1"/>
  <c r="N84" i="116"/>
  <c r="P84" i="116" s="1"/>
  <c r="AN84" i="116"/>
  <c r="AP84" i="116" s="1"/>
  <c r="AC85" i="116"/>
  <c r="AE85" i="116" s="1"/>
  <c r="N86" i="116"/>
  <c r="P86" i="116" s="1"/>
  <c r="AN86" i="116"/>
  <c r="AP86" i="116" s="1"/>
  <c r="AC87" i="116"/>
  <c r="AE87" i="116" s="1"/>
  <c r="N88" i="116"/>
  <c r="P88" i="116" s="1"/>
  <c r="AN88" i="116"/>
  <c r="AP88" i="116" s="1"/>
  <c r="AC89" i="116"/>
  <c r="AE89" i="116" s="1"/>
  <c r="N90" i="116"/>
  <c r="P90" i="116" s="1"/>
  <c r="AN90" i="116"/>
  <c r="AP90" i="116" s="1"/>
  <c r="AC91" i="116"/>
  <c r="AE91" i="116" s="1"/>
  <c r="N92" i="116"/>
  <c r="P92" i="116" s="1"/>
  <c r="AN92" i="116"/>
  <c r="AP92" i="116" s="1"/>
  <c r="AC93" i="116"/>
  <c r="AE93" i="116" s="1"/>
  <c r="T138" i="116"/>
  <c r="V138" i="116" s="1"/>
  <c r="E70" i="116"/>
  <c r="G70" i="116" s="1"/>
  <c r="Z15" i="116"/>
  <c r="AB15" i="116" s="1"/>
  <c r="AL27" i="116"/>
  <c r="Z30" i="116"/>
  <c r="AB30" i="116" s="1"/>
  <c r="K34" i="116"/>
  <c r="M34" i="116" s="1"/>
  <c r="AL36" i="116"/>
  <c r="Z39" i="116"/>
  <c r="AB39" i="116" s="1"/>
  <c r="K42" i="116"/>
  <c r="M42" i="116" s="1"/>
  <c r="AL44" i="116"/>
  <c r="Z47" i="116"/>
  <c r="AB47" i="116" s="1"/>
  <c r="K50" i="116"/>
  <c r="M50" i="116" s="1"/>
  <c r="AL52" i="116"/>
  <c r="Z55" i="116"/>
  <c r="AB55" i="116" s="1"/>
  <c r="K58" i="116"/>
  <c r="M58" i="116" s="1"/>
  <c r="AL60" i="116"/>
  <c r="Z63" i="116"/>
  <c r="AB63" i="116" s="1"/>
  <c r="K66" i="116"/>
  <c r="M66" i="116" s="1"/>
  <c r="AC67" i="116"/>
  <c r="AE67" i="116" s="1"/>
  <c r="AI68" i="116"/>
  <c r="AK68" i="116" s="1"/>
  <c r="AI69" i="116"/>
  <c r="AK69" i="116" s="1"/>
  <c r="AL70" i="116"/>
  <c r="AL71" i="116"/>
  <c r="AI72" i="116"/>
  <c r="AK72" i="116" s="1"/>
  <c r="AF73" i="116"/>
  <c r="AH73" i="116" s="1"/>
  <c r="Q74" i="116"/>
  <c r="S74" i="116" s="1"/>
  <c r="C75" i="116"/>
  <c r="AF75" i="116"/>
  <c r="AH75" i="116" s="1"/>
  <c r="Q76" i="116"/>
  <c r="S76" i="116" s="1"/>
  <c r="C77" i="116"/>
  <c r="AF77" i="116"/>
  <c r="AH77" i="116" s="1"/>
  <c r="Q78" i="116"/>
  <c r="S78" i="116" s="1"/>
  <c r="C79" i="116"/>
  <c r="AF79" i="116"/>
  <c r="AH79" i="116" s="1"/>
  <c r="Q80" i="116"/>
  <c r="S80" i="116" s="1"/>
  <c r="C81" i="116"/>
  <c r="AF81" i="116"/>
  <c r="AH81" i="116" s="1"/>
  <c r="Q82" i="116"/>
  <c r="S82" i="116" s="1"/>
  <c r="C83" i="116"/>
  <c r="AF83" i="116"/>
  <c r="AH83" i="116" s="1"/>
  <c r="Q84" i="116"/>
  <c r="S84" i="116" s="1"/>
  <c r="C85" i="116"/>
  <c r="AF85" i="116"/>
  <c r="AH85" i="116" s="1"/>
  <c r="Q86" i="116"/>
  <c r="S86" i="116" s="1"/>
  <c r="C87" i="116"/>
  <c r="AF87" i="116"/>
  <c r="AH87" i="116" s="1"/>
  <c r="Q88" i="116"/>
  <c r="S88" i="116" s="1"/>
  <c r="C89" i="116"/>
  <c r="AF89" i="116"/>
  <c r="AH89" i="116" s="1"/>
  <c r="Q90" i="116"/>
  <c r="S90" i="116" s="1"/>
  <c r="C91" i="116"/>
  <c r="AF91" i="116"/>
  <c r="AH91" i="116" s="1"/>
  <c r="Q92" i="116"/>
  <c r="S92" i="116" s="1"/>
  <c r="C93" i="116"/>
  <c r="AF93" i="116"/>
  <c r="AH93" i="116" s="1"/>
  <c r="Q94" i="116"/>
  <c r="S94" i="116" s="1"/>
  <c r="C95" i="116"/>
  <c r="AF95" i="116"/>
  <c r="AH95" i="116" s="1"/>
  <c r="Q96" i="116"/>
  <c r="S96" i="116" s="1"/>
  <c r="C103" i="116"/>
  <c r="AF103" i="116"/>
  <c r="AH103" i="116" s="1"/>
  <c r="C104" i="116"/>
  <c r="AF104" i="116"/>
  <c r="AH104" i="116" s="1"/>
  <c r="C105" i="116"/>
  <c r="AF105" i="116"/>
  <c r="AH105" i="116" s="1"/>
  <c r="C106" i="116"/>
  <c r="AF106" i="116"/>
  <c r="AH106" i="116" s="1"/>
  <c r="C107" i="116"/>
  <c r="AF107" i="116"/>
  <c r="AH107" i="116" s="1"/>
  <c r="C97" i="116"/>
  <c r="E125" i="116"/>
  <c r="G125" i="116" s="1"/>
  <c r="AI17" i="116"/>
  <c r="AK17" i="116" s="1"/>
  <c r="AF25" i="116"/>
  <c r="AH25" i="116" s="1"/>
  <c r="W28" i="116"/>
  <c r="Y28" i="116" s="1"/>
  <c r="H31" i="116"/>
  <c r="J31" i="116" s="1"/>
  <c r="AI34" i="116"/>
  <c r="AK34" i="116" s="1"/>
  <c r="W37" i="116"/>
  <c r="Y37" i="116" s="1"/>
  <c r="H40" i="116"/>
  <c r="J40" i="116" s="1"/>
  <c r="AI42" i="116"/>
  <c r="AK42" i="116" s="1"/>
  <c r="W45" i="116"/>
  <c r="Y45" i="116" s="1"/>
  <c r="H48" i="116"/>
  <c r="J48" i="116" s="1"/>
  <c r="AI50" i="116"/>
  <c r="AK50" i="116" s="1"/>
  <c r="W53" i="116"/>
  <c r="Y53" i="116" s="1"/>
  <c r="H56" i="116"/>
  <c r="J56" i="116" s="1"/>
  <c r="AI58" i="116"/>
  <c r="AK58" i="116" s="1"/>
  <c r="W61" i="116"/>
  <c r="Y61" i="116" s="1"/>
  <c r="H64" i="116"/>
  <c r="J64" i="116" s="1"/>
  <c r="Z66" i="116"/>
  <c r="AB66" i="116" s="1"/>
  <c r="AI67" i="116"/>
  <c r="AK67" i="116" s="1"/>
  <c r="AL68" i="116"/>
  <c r="AL69" i="116"/>
  <c r="AN70" i="116"/>
  <c r="AP70" i="116" s="1"/>
  <c r="AN71" i="116"/>
  <c r="AP71" i="116" s="1"/>
  <c r="AL72" i="116"/>
  <c r="AI73" i="116"/>
  <c r="AK73" i="116" s="1"/>
  <c r="W74" i="116"/>
  <c r="Y74" i="116" s="1"/>
  <c r="H75" i="116"/>
  <c r="J75" i="116" s="1"/>
  <c r="AI75" i="116"/>
  <c r="AK75" i="116" s="1"/>
  <c r="W76" i="116"/>
  <c r="Y76" i="116" s="1"/>
  <c r="H77" i="116"/>
  <c r="J77" i="116" s="1"/>
  <c r="AI77" i="116"/>
  <c r="AK77" i="116" s="1"/>
  <c r="W78" i="116"/>
  <c r="Y78" i="116" s="1"/>
  <c r="H79" i="116"/>
  <c r="J79" i="116" s="1"/>
  <c r="AI79" i="116"/>
  <c r="AK79" i="116" s="1"/>
  <c r="W80" i="116"/>
  <c r="Y80" i="116" s="1"/>
  <c r="H81" i="116"/>
  <c r="J81" i="116" s="1"/>
  <c r="AI81" i="116"/>
  <c r="AK81" i="116" s="1"/>
  <c r="W82" i="116"/>
  <c r="Y82" i="116" s="1"/>
  <c r="H83" i="116"/>
  <c r="J83" i="116" s="1"/>
  <c r="AI83" i="116"/>
  <c r="AK83" i="116" s="1"/>
  <c r="W84" i="116"/>
  <c r="Y84" i="116" s="1"/>
  <c r="H85" i="116"/>
  <c r="J85" i="116" s="1"/>
  <c r="AI85" i="116"/>
  <c r="AK85" i="116" s="1"/>
  <c r="W86" i="116"/>
  <c r="Y86" i="116" s="1"/>
  <c r="H87" i="116"/>
  <c r="J87" i="116" s="1"/>
  <c r="AI87" i="116"/>
  <c r="AK87" i="116" s="1"/>
  <c r="W88" i="116"/>
  <c r="Y88" i="116" s="1"/>
  <c r="H89" i="116"/>
  <c r="J89" i="116" s="1"/>
  <c r="AI89" i="116"/>
  <c r="AK89" i="116" s="1"/>
  <c r="W90" i="116"/>
  <c r="Y90" i="116" s="1"/>
  <c r="H91" i="116"/>
  <c r="J91" i="116" s="1"/>
  <c r="AI91" i="116"/>
  <c r="AK91" i="116" s="1"/>
  <c r="W92" i="116"/>
  <c r="Y92" i="116" s="1"/>
  <c r="H93" i="116"/>
  <c r="J93" i="116" s="1"/>
  <c r="AI93" i="116"/>
  <c r="AK93" i="116" s="1"/>
  <c r="W94" i="116"/>
  <c r="Y94" i="116" s="1"/>
  <c r="H95" i="116"/>
  <c r="J95" i="116" s="1"/>
  <c r="AI95" i="116"/>
  <c r="AK95" i="116" s="1"/>
  <c r="W96" i="116"/>
  <c r="Y96" i="116" s="1"/>
  <c r="H103" i="116"/>
  <c r="J103" i="116" s="1"/>
  <c r="AI103" i="116"/>
  <c r="AK103" i="116" s="1"/>
  <c r="H104" i="116"/>
  <c r="J104" i="116" s="1"/>
  <c r="AI104" i="116"/>
  <c r="AK104" i="116" s="1"/>
  <c r="H105" i="116"/>
  <c r="J105" i="116" s="1"/>
  <c r="AI105" i="116"/>
  <c r="AK105" i="116" s="1"/>
  <c r="H106" i="116"/>
  <c r="J106" i="116" s="1"/>
  <c r="AI106" i="116"/>
  <c r="AK106" i="116" s="1"/>
  <c r="H107" i="116"/>
  <c r="J107" i="116" s="1"/>
  <c r="AI107" i="116"/>
  <c r="AK107" i="116" s="1"/>
  <c r="H97" i="116"/>
  <c r="J97" i="116" s="1"/>
  <c r="AI97" i="116"/>
  <c r="AK97" i="116" s="1"/>
  <c r="H98" i="116"/>
  <c r="J98" i="116" s="1"/>
  <c r="AI98" i="116"/>
  <c r="AK98" i="116" s="1"/>
  <c r="H99" i="116"/>
  <c r="J99" i="116" s="1"/>
  <c r="AI99" i="116"/>
  <c r="AK99" i="116" s="1"/>
  <c r="H100" i="116"/>
  <c r="J100" i="116" s="1"/>
  <c r="AI100" i="116"/>
  <c r="AK100" i="116" s="1"/>
  <c r="H101" i="116"/>
  <c r="J101" i="116" s="1"/>
  <c r="AI101" i="116"/>
  <c r="AK101" i="116" s="1"/>
  <c r="H102" i="116"/>
  <c r="J102" i="116" s="1"/>
  <c r="AI102" i="116"/>
  <c r="AK102" i="116" s="1"/>
  <c r="H119" i="116"/>
  <c r="J119" i="116" s="1"/>
  <c r="W20" i="116"/>
  <c r="Y20" i="116" s="1"/>
  <c r="W35" i="116"/>
  <c r="Y35" i="116" s="1"/>
  <c r="H46" i="116"/>
  <c r="J46" i="116" s="1"/>
  <c r="AI56" i="116"/>
  <c r="AK56" i="116" s="1"/>
  <c r="AL66" i="116"/>
  <c r="K71" i="116"/>
  <c r="M71" i="116" s="1"/>
  <c r="AC74" i="116"/>
  <c r="AE74" i="116" s="1"/>
  <c r="N77" i="116"/>
  <c r="P77" i="116" s="1"/>
  <c r="AN79" i="116"/>
  <c r="AP79" i="116" s="1"/>
  <c r="AC82" i="116"/>
  <c r="AE82" i="116" s="1"/>
  <c r="N85" i="116"/>
  <c r="P85" i="116" s="1"/>
  <c r="AN87" i="116"/>
  <c r="AP87" i="116" s="1"/>
  <c r="AC90" i="116"/>
  <c r="AE90" i="116" s="1"/>
  <c r="N93" i="116"/>
  <c r="P93" i="116" s="1"/>
  <c r="N95" i="116"/>
  <c r="P95" i="116" s="1"/>
  <c r="AF96" i="116"/>
  <c r="AH96" i="116" s="1"/>
  <c r="AQ103" i="116"/>
  <c r="AQ104" i="116"/>
  <c r="AQ105" i="116"/>
  <c r="Z106" i="116"/>
  <c r="AB106" i="116" s="1"/>
  <c r="N107" i="116"/>
  <c r="P107" i="116" s="1"/>
  <c r="AN97" i="116"/>
  <c r="AP97" i="116" s="1"/>
  <c r="Z98" i="116"/>
  <c r="AB98" i="116" s="1"/>
  <c r="C99" i="116"/>
  <c r="AN99" i="116"/>
  <c r="AP99" i="116" s="1"/>
  <c r="Z100" i="116"/>
  <c r="AB100" i="116" s="1"/>
  <c r="C101" i="116"/>
  <c r="AN101" i="116"/>
  <c r="AP101" i="116" s="1"/>
  <c r="Z102" i="116"/>
  <c r="AB102" i="116" s="1"/>
  <c r="C119" i="116"/>
  <c r="AL119" i="116"/>
  <c r="AC120" i="116"/>
  <c r="AE120" i="116" s="1"/>
  <c r="N121" i="116"/>
  <c r="P121" i="116" s="1"/>
  <c r="AN121" i="116"/>
  <c r="AP121" i="116" s="1"/>
  <c r="AC122" i="116"/>
  <c r="AE122" i="116" s="1"/>
  <c r="N123" i="116"/>
  <c r="P123" i="116" s="1"/>
  <c r="AN123" i="116"/>
  <c r="AP123" i="116" s="1"/>
  <c r="AC124" i="116"/>
  <c r="AE124" i="116" s="1"/>
  <c r="N125" i="116"/>
  <c r="P125" i="116" s="1"/>
  <c r="AN125" i="116"/>
  <c r="AP125" i="116" s="1"/>
  <c r="AC127" i="116"/>
  <c r="AE127" i="116" s="1"/>
  <c r="N128" i="116"/>
  <c r="P128" i="116" s="1"/>
  <c r="AN128" i="116"/>
  <c r="AP128" i="116" s="1"/>
  <c r="AC129" i="116"/>
  <c r="AE129" i="116" s="1"/>
  <c r="N130" i="116"/>
  <c r="P130" i="116" s="1"/>
  <c r="AN130" i="116"/>
  <c r="AP130" i="116" s="1"/>
  <c r="AI131" i="116"/>
  <c r="AK131" i="116" s="1"/>
  <c r="AF132" i="116"/>
  <c r="AH132" i="116" s="1"/>
  <c r="Q133" i="116"/>
  <c r="S133" i="116" s="1"/>
  <c r="H134" i="116"/>
  <c r="J134" i="116" s="1"/>
  <c r="AL134" i="116"/>
  <c r="AC135" i="116"/>
  <c r="AE135" i="116" s="1"/>
  <c r="N136" i="116"/>
  <c r="P136" i="116" s="1"/>
  <c r="C137" i="116"/>
  <c r="AI137" i="116"/>
  <c r="AK137" i="116" s="1"/>
  <c r="Z138" i="116"/>
  <c r="AB138" i="116" s="1"/>
  <c r="K139" i="116"/>
  <c r="M139" i="116" s="1"/>
  <c r="AN139" i="116"/>
  <c r="AP139" i="116" s="1"/>
  <c r="AF140" i="116"/>
  <c r="AH140" i="116" s="1"/>
  <c r="Q141" i="116"/>
  <c r="S141" i="116" s="1"/>
  <c r="H142" i="116"/>
  <c r="J142" i="116" s="1"/>
  <c r="AL142" i="116"/>
  <c r="AC143" i="116"/>
  <c r="AE143" i="116" s="1"/>
  <c r="N144" i="116"/>
  <c r="P144" i="116" s="1"/>
  <c r="C145" i="116"/>
  <c r="AI145" i="116"/>
  <c r="AK145" i="116" s="1"/>
  <c r="Z146" i="116"/>
  <c r="AB146" i="116" s="1"/>
  <c r="K147" i="116"/>
  <c r="M147" i="116" s="1"/>
  <c r="AN147" i="116"/>
  <c r="AP147" i="116" s="1"/>
  <c r="AF148" i="116"/>
  <c r="AH148" i="116" s="1"/>
  <c r="Q149" i="116"/>
  <c r="S149" i="116" s="1"/>
  <c r="H150" i="116"/>
  <c r="J150" i="116" s="1"/>
  <c r="AL150" i="116"/>
  <c r="AC151" i="116"/>
  <c r="AE151" i="116" s="1"/>
  <c r="N152" i="116"/>
  <c r="P152" i="116" s="1"/>
  <c r="C153" i="116"/>
  <c r="AI153" i="116"/>
  <c r="AK153" i="116" s="1"/>
  <c r="Z154" i="116"/>
  <c r="AB154" i="116" s="1"/>
  <c r="K155" i="116"/>
  <c r="M155" i="116" s="1"/>
  <c r="AN155" i="116"/>
  <c r="AP155" i="116" s="1"/>
  <c r="AF156" i="116"/>
  <c r="AH156" i="116" s="1"/>
  <c r="Q157" i="116"/>
  <c r="S157" i="116" s="1"/>
  <c r="AL6" i="116"/>
  <c r="AI25" i="116"/>
  <c r="AK25" i="116" s="1"/>
  <c r="Z37" i="116"/>
  <c r="AB37" i="116" s="1"/>
  <c r="K48" i="116"/>
  <c r="M48" i="116" s="1"/>
  <c r="AL58" i="116"/>
  <c r="AL67" i="116"/>
  <c r="H72" i="116"/>
  <c r="J72" i="116" s="1"/>
  <c r="K75" i="116"/>
  <c r="M75" i="116" s="1"/>
  <c r="AL77" i="116"/>
  <c r="Z80" i="116"/>
  <c r="AB80" i="116" s="1"/>
  <c r="K83" i="116"/>
  <c r="M83" i="116" s="1"/>
  <c r="AL85" i="116"/>
  <c r="Z88" i="116"/>
  <c r="AB88" i="116" s="1"/>
  <c r="K91" i="116"/>
  <c r="M91" i="116" s="1"/>
  <c r="AL93" i="116"/>
  <c r="AC95" i="116"/>
  <c r="AE95" i="116" s="1"/>
  <c r="AN96" i="116"/>
  <c r="AP96" i="116" s="1"/>
  <c r="AC106" i="116"/>
  <c r="AE106" i="116" s="1"/>
  <c r="Q107" i="116"/>
  <c r="S107" i="116" s="1"/>
  <c r="K97" i="116"/>
  <c r="M97" i="116" s="1"/>
  <c r="AC98" i="116"/>
  <c r="AE98" i="116" s="1"/>
  <c r="K99" i="116"/>
  <c r="M99" i="116" s="1"/>
  <c r="AC100" i="116"/>
  <c r="AE100" i="116" s="1"/>
  <c r="K101" i="116"/>
  <c r="M101" i="116" s="1"/>
  <c r="AQ101" i="116"/>
  <c r="AC102" i="116"/>
  <c r="AE102" i="116" s="1"/>
  <c r="K119" i="116"/>
  <c r="M119" i="116" s="1"/>
  <c r="C120" i="116"/>
  <c r="AF120" i="116"/>
  <c r="AH120" i="116" s="1"/>
  <c r="Q121" i="116"/>
  <c r="S121" i="116" s="1"/>
  <c r="C122" i="116"/>
  <c r="AF122" i="116"/>
  <c r="AH122" i="116" s="1"/>
  <c r="Q123" i="116"/>
  <c r="S123" i="116" s="1"/>
  <c r="C124" i="116"/>
  <c r="AF124" i="116"/>
  <c r="AH124" i="116" s="1"/>
  <c r="Q125" i="116"/>
  <c r="S125" i="116" s="1"/>
  <c r="C126" i="116"/>
  <c r="AF127" i="116"/>
  <c r="AH127" i="116" s="1"/>
  <c r="Q128" i="116"/>
  <c r="S128" i="116" s="1"/>
  <c r="C129" i="116"/>
  <c r="AF129" i="116"/>
  <c r="AH129" i="116" s="1"/>
  <c r="Q130" i="116"/>
  <c r="S130" i="116" s="1"/>
  <c r="C131" i="116"/>
  <c r="C132" i="116"/>
  <c r="AI132" i="116"/>
  <c r="AK132" i="116" s="1"/>
  <c r="Z133" i="116"/>
  <c r="AB133" i="116" s="1"/>
  <c r="K134" i="116"/>
  <c r="M134" i="116" s="1"/>
  <c r="AN134" i="116"/>
  <c r="AP134" i="116" s="1"/>
  <c r="AF135" i="116"/>
  <c r="AH135" i="116" s="1"/>
  <c r="Q136" i="116"/>
  <c r="S136" i="116" s="1"/>
  <c r="H137" i="116"/>
  <c r="J137" i="116" s="1"/>
  <c r="AL137" i="116"/>
  <c r="AC138" i="116"/>
  <c r="AE138" i="116" s="1"/>
  <c r="N139" i="116"/>
  <c r="P139" i="116" s="1"/>
  <c r="C140" i="116"/>
  <c r="AI140" i="116"/>
  <c r="AK140" i="116" s="1"/>
  <c r="Z141" i="116"/>
  <c r="AB141" i="116" s="1"/>
  <c r="K142" i="116"/>
  <c r="M142" i="116" s="1"/>
  <c r="AN142" i="116"/>
  <c r="AP142" i="116" s="1"/>
  <c r="AF143" i="116"/>
  <c r="AH143" i="116" s="1"/>
  <c r="Q144" i="116"/>
  <c r="S144" i="116" s="1"/>
  <c r="H145" i="116"/>
  <c r="J145" i="116" s="1"/>
  <c r="AL145" i="116"/>
  <c r="AC146" i="116"/>
  <c r="AE146" i="116" s="1"/>
  <c r="N147" i="116"/>
  <c r="P147" i="116" s="1"/>
  <c r="Z28" i="116"/>
  <c r="AB28" i="116" s="1"/>
  <c r="K40" i="116"/>
  <c r="M40" i="116" s="1"/>
  <c r="AL50" i="116"/>
  <c r="Z61" i="116"/>
  <c r="AB61" i="116" s="1"/>
  <c r="AN68" i="116"/>
  <c r="AP68" i="116" s="1"/>
  <c r="C73" i="116"/>
  <c r="AL75" i="116"/>
  <c r="Z78" i="116"/>
  <c r="AB78" i="116" s="1"/>
  <c r="K81" i="116"/>
  <c r="M81" i="116" s="1"/>
  <c r="AL83" i="116"/>
  <c r="Z86" i="116"/>
  <c r="AB86" i="116" s="1"/>
  <c r="K89" i="116"/>
  <c r="M89" i="116" s="1"/>
  <c r="AL91" i="116"/>
  <c r="N94" i="116"/>
  <c r="P94" i="116" s="1"/>
  <c r="AN95" i="116"/>
  <c r="AP95" i="116" s="1"/>
  <c r="N103" i="116"/>
  <c r="P103" i="116" s="1"/>
  <c r="N104" i="116"/>
  <c r="P104" i="116" s="1"/>
  <c r="N105" i="116"/>
  <c r="P105" i="116" s="1"/>
  <c r="AN106" i="116"/>
  <c r="AP106" i="116" s="1"/>
  <c r="AC107" i="116"/>
  <c r="AE107" i="116" s="1"/>
  <c r="Q97" i="116"/>
  <c r="S97" i="116" s="1"/>
  <c r="AL98" i="116"/>
  <c r="Q99" i="116"/>
  <c r="S99" i="116" s="1"/>
  <c r="AL100" i="116"/>
  <c r="Q101" i="116"/>
  <c r="S101" i="116" s="1"/>
  <c r="AW101" i="116"/>
  <c r="AL102" i="116"/>
  <c r="Q119" i="116"/>
  <c r="S119" i="116" s="1"/>
  <c r="K120" i="116"/>
  <c r="M120" i="116" s="1"/>
  <c r="AL120" i="116"/>
  <c r="Z121" i="116"/>
  <c r="AB121" i="116" s="1"/>
  <c r="K122" i="116"/>
  <c r="M122" i="116" s="1"/>
  <c r="AL122" i="116"/>
  <c r="Z123" i="116"/>
  <c r="AB123" i="116" s="1"/>
  <c r="K124" i="116"/>
  <c r="M124" i="116" s="1"/>
  <c r="AL124" i="116"/>
  <c r="Z125" i="116"/>
  <c r="AB125" i="116" s="1"/>
  <c r="AF126" i="116"/>
  <c r="AH126" i="116" s="1"/>
  <c r="AL127" i="116"/>
  <c r="Z128" i="116"/>
  <c r="AB128" i="116" s="1"/>
  <c r="K129" i="116"/>
  <c r="M129" i="116" s="1"/>
  <c r="AL129" i="116"/>
  <c r="Z130" i="116"/>
  <c r="AB130" i="116" s="1"/>
  <c r="N131" i="116"/>
  <c r="P131" i="116" s="1"/>
  <c r="K132" i="116"/>
  <c r="M132" i="116" s="1"/>
  <c r="AF133" i="116"/>
  <c r="AH133" i="116" s="1"/>
  <c r="Q134" i="116"/>
  <c r="S134" i="116" s="1"/>
  <c r="H135" i="116"/>
  <c r="J135" i="116" s="1"/>
  <c r="AL135" i="116"/>
  <c r="AC136" i="116"/>
  <c r="AE136" i="116" s="1"/>
  <c r="N137" i="116"/>
  <c r="P137" i="116" s="1"/>
  <c r="C138" i="116"/>
  <c r="AI138" i="116"/>
  <c r="AK138" i="116" s="1"/>
  <c r="Z139" i="116"/>
  <c r="AB139" i="116" s="1"/>
  <c r="K140" i="116"/>
  <c r="M140" i="116" s="1"/>
  <c r="AN140" i="116"/>
  <c r="AP140" i="116" s="1"/>
  <c r="AF141" i="116"/>
  <c r="AH141" i="116" s="1"/>
  <c r="Q142" i="116"/>
  <c r="S142" i="116" s="1"/>
  <c r="H143" i="116"/>
  <c r="J143" i="116" s="1"/>
  <c r="AL143" i="116"/>
  <c r="AC144" i="116"/>
  <c r="AE144" i="116" s="1"/>
  <c r="N145" i="116"/>
  <c r="P145" i="116" s="1"/>
  <c r="C146" i="116"/>
  <c r="AI146" i="116"/>
  <c r="AK146" i="116" s="1"/>
  <c r="Z147" i="116"/>
  <c r="AB147" i="116" s="1"/>
  <c r="K148" i="116"/>
  <c r="M148" i="116" s="1"/>
  <c r="AN148" i="116"/>
  <c r="AP148" i="116" s="1"/>
  <c r="AF149" i="116"/>
  <c r="AH149" i="116" s="1"/>
  <c r="Q150" i="116"/>
  <c r="S150" i="116" s="1"/>
  <c r="H151" i="116"/>
  <c r="J151" i="116" s="1"/>
  <c r="AL151" i="116"/>
  <c r="AC152" i="116"/>
  <c r="AE152" i="116" s="1"/>
  <c r="N153" i="116"/>
  <c r="P153" i="116" s="1"/>
  <c r="C154" i="116"/>
  <c r="AI154" i="116"/>
  <c r="AK154" i="116" s="1"/>
  <c r="Z155" i="116"/>
  <c r="AB155" i="116" s="1"/>
  <c r="K156" i="116"/>
  <c r="M156" i="116" s="1"/>
  <c r="AN156" i="116"/>
  <c r="AP156" i="116" s="1"/>
  <c r="AF157" i="116"/>
  <c r="AH157" i="116" s="1"/>
  <c r="Z6" i="116"/>
  <c r="AB6" i="116" s="1"/>
  <c r="E133" i="116"/>
  <c r="G133" i="116" s="1"/>
  <c r="K31" i="116"/>
  <c r="M31" i="116" s="1"/>
  <c r="AL42" i="116"/>
  <c r="Z53" i="116"/>
  <c r="AB53" i="116" s="1"/>
  <c r="K64" i="116"/>
  <c r="M64" i="116" s="1"/>
  <c r="H70" i="116"/>
  <c r="J70" i="116" s="1"/>
  <c r="AL73" i="116"/>
  <c r="Z76" i="116"/>
  <c r="AB76" i="116" s="1"/>
  <c r="K79" i="116"/>
  <c r="M79" i="116" s="1"/>
  <c r="AL81" i="116"/>
  <c r="Z84" i="116"/>
  <c r="AB84" i="116" s="1"/>
  <c r="K87" i="116"/>
  <c r="M87" i="116" s="1"/>
  <c r="AL89" i="116"/>
  <c r="Z92" i="116"/>
  <c r="AB92" i="116" s="1"/>
  <c r="AC94" i="116"/>
  <c r="AE94" i="116" s="1"/>
  <c r="N96" i="116"/>
  <c r="P96" i="116" s="1"/>
  <c r="AC103" i="116"/>
  <c r="AE103" i="116" s="1"/>
  <c r="AC104" i="116"/>
  <c r="AE104" i="116" s="1"/>
  <c r="AC105" i="116"/>
  <c r="AE105" i="116" s="1"/>
  <c r="K106" i="116"/>
  <c r="M106" i="116" s="1"/>
  <c r="AN107" i="116"/>
  <c r="AP107" i="116" s="1"/>
  <c r="AC97" i="116"/>
  <c r="AE97" i="116" s="1"/>
  <c r="K98" i="116"/>
  <c r="M98" i="116" s="1"/>
  <c r="AC99" i="116"/>
  <c r="AE99" i="116" s="1"/>
  <c r="K100" i="116"/>
  <c r="M100" i="116" s="1"/>
  <c r="AC101" i="116"/>
  <c r="AE101" i="116" s="1"/>
  <c r="K102" i="116"/>
  <c r="M102" i="116" s="1"/>
  <c r="AQ102" i="116"/>
  <c r="AC119" i="116"/>
  <c r="AE119" i="116" s="1"/>
  <c r="Q120" i="116"/>
  <c r="S120" i="116" s="1"/>
  <c r="C121" i="116"/>
  <c r="AF121" i="116"/>
  <c r="AH121" i="116" s="1"/>
  <c r="Q122" i="116"/>
  <c r="S122" i="116" s="1"/>
  <c r="C123" i="116"/>
  <c r="AF123" i="116"/>
  <c r="AH123" i="116" s="1"/>
  <c r="Q124" i="116"/>
  <c r="S124" i="116" s="1"/>
  <c r="C125" i="116"/>
  <c r="AF125" i="116"/>
  <c r="AH125" i="116" s="1"/>
  <c r="C127" i="116"/>
  <c r="C128" i="116"/>
  <c r="AF128" i="116"/>
  <c r="AH128" i="116" s="1"/>
  <c r="Q129" i="116"/>
  <c r="S129" i="116" s="1"/>
  <c r="C130" i="116"/>
  <c r="AF130" i="116"/>
  <c r="AH130" i="116" s="1"/>
  <c r="Z131" i="116"/>
  <c r="AB131" i="116" s="1"/>
  <c r="Q132" i="116"/>
  <c r="S132" i="116" s="1"/>
  <c r="H133" i="116"/>
  <c r="J133" i="116" s="1"/>
  <c r="AL133" i="116"/>
  <c r="AC134" i="116"/>
  <c r="AE134" i="116" s="1"/>
  <c r="N135" i="116"/>
  <c r="P135" i="116" s="1"/>
  <c r="C136" i="116"/>
  <c r="AI136" i="116"/>
  <c r="AK136" i="116" s="1"/>
  <c r="Z137" i="116"/>
  <c r="AB137" i="116" s="1"/>
  <c r="K138" i="116"/>
  <c r="M138" i="116" s="1"/>
  <c r="AN138" i="116"/>
  <c r="AP138" i="116" s="1"/>
  <c r="AF139" i="116"/>
  <c r="AH139" i="116" s="1"/>
  <c r="Q140" i="116"/>
  <c r="S140" i="116" s="1"/>
  <c r="H141" i="116"/>
  <c r="J141" i="116" s="1"/>
  <c r="AL141" i="116"/>
  <c r="AC142" i="116"/>
  <c r="AE142" i="116" s="1"/>
  <c r="N143" i="116"/>
  <c r="P143" i="116" s="1"/>
  <c r="C144" i="116"/>
  <c r="AI144" i="116"/>
  <c r="AK144" i="116" s="1"/>
  <c r="Z145" i="116"/>
  <c r="AB145" i="116" s="1"/>
  <c r="K146" i="116"/>
  <c r="M146" i="116" s="1"/>
  <c r="AN146" i="116"/>
  <c r="AP146" i="116" s="1"/>
  <c r="AF147" i="116"/>
  <c r="AH147" i="116" s="1"/>
  <c r="Q148" i="116"/>
  <c r="S148" i="116" s="1"/>
  <c r="H149" i="116"/>
  <c r="J149" i="116" s="1"/>
  <c r="AL149" i="116"/>
  <c r="AC150" i="116"/>
  <c r="AE150" i="116" s="1"/>
  <c r="N151" i="116"/>
  <c r="P151" i="116" s="1"/>
  <c r="C152" i="116"/>
  <c r="AI152" i="116"/>
  <c r="AK152" i="116" s="1"/>
  <c r="Z153" i="116"/>
  <c r="AB153" i="116" s="1"/>
  <c r="K154" i="116"/>
  <c r="M154" i="116" s="1"/>
  <c r="AN154" i="116"/>
  <c r="AP154" i="116" s="1"/>
  <c r="AF155" i="116"/>
  <c r="AH155" i="116" s="1"/>
  <c r="Q156" i="116"/>
  <c r="S156" i="116" s="1"/>
  <c r="H157" i="116"/>
  <c r="J157" i="116" s="1"/>
  <c r="AL157" i="116"/>
  <c r="W6" i="116"/>
  <c r="Y6" i="116" s="1"/>
  <c r="Z9" i="116"/>
  <c r="AB9" i="116" s="1"/>
  <c r="AI31" i="116"/>
  <c r="AK31" i="116" s="1"/>
  <c r="W43" i="116"/>
  <c r="Y43" i="116" s="1"/>
  <c r="H54" i="116"/>
  <c r="J54" i="116" s="1"/>
  <c r="AI64" i="116"/>
  <c r="AK64" i="116" s="1"/>
  <c r="K70" i="116"/>
  <c r="M70" i="116" s="1"/>
  <c r="AN73" i="116"/>
  <c r="AP73" i="116" s="1"/>
  <c r="AC76" i="116"/>
  <c r="AE76" i="116" s="1"/>
  <c r="N79" i="116"/>
  <c r="P79" i="116" s="1"/>
  <c r="AN81" i="116"/>
  <c r="AP81" i="116" s="1"/>
  <c r="AC84" i="116"/>
  <c r="AE84" i="116" s="1"/>
  <c r="N87" i="116"/>
  <c r="P87" i="116" s="1"/>
  <c r="AN89" i="116"/>
  <c r="AP89" i="116" s="1"/>
  <c r="AC92" i="116"/>
  <c r="AE92" i="116" s="1"/>
  <c r="AN94" i="116"/>
  <c r="AP94" i="116" s="1"/>
  <c r="Z96" i="116"/>
  <c r="AB96" i="116" s="1"/>
  <c r="AL103" i="116"/>
  <c r="AL104" i="116"/>
  <c r="AL105" i="116"/>
  <c r="N106" i="116"/>
  <c r="P106" i="116" s="1"/>
  <c r="AQ107" i="116"/>
  <c r="AF97" i="116"/>
  <c r="AH97" i="116" s="1"/>
  <c r="N98" i="116"/>
  <c r="P98" i="116" s="1"/>
  <c r="AF99" i="116"/>
  <c r="AH99" i="116" s="1"/>
  <c r="N100" i="116"/>
  <c r="P100" i="116" s="1"/>
  <c r="AF101" i="116"/>
  <c r="AH101" i="116" s="1"/>
  <c r="N102" i="116"/>
  <c r="P102" i="116" s="1"/>
  <c r="AU102" i="116"/>
  <c r="AF119" i="116"/>
  <c r="AH119" i="116" s="1"/>
  <c r="W120" i="116"/>
  <c r="Y120" i="116" s="1"/>
  <c r="H121" i="116"/>
  <c r="J121" i="116" s="1"/>
  <c r="AI121" i="116"/>
  <c r="AK121" i="116" s="1"/>
  <c r="W122" i="116"/>
  <c r="Y122" i="116" s="1"/>
  <c r="H123" i="116"/>
  <c r="J123" i="116" s="1"/>
  <c r="AI123" i="116"/>
  <c r="AK123" i="116" s="1"/>
  <c r="W124" i="116"/>
  <c r="Y124" i="116" s="1"/>
  <c r="H125" i="116"/>
  <c r="J125" i="116" s="1"/>
  <c r="AI125" i="116"/>
  <c r="AK125" i="116" s="1"/>
  <c r="H127" i="116"/>
  <c r="J127" i="116" s="1"/>
  <c r="H128" i="116"/>
  <c r="J128" i="116" s="1"/>
  <c r="AI128" i="116"/>
  <c r="AK128" i="116" s="1"/>
  <c r="W129" i="116"/>
  <c r="Y129" i="116" s="1"/>
  <c r="H130" i="116"/>
  <c r="J130" i="116" s="1"/>
  <c r="AI130" i="116"/>
  <c r="AK130" i="116" s="1"/>
  <c r="AC131" i="116"/>
  <c r="AE131" i="116" s="1"/>
  <c r="Z132" i="116"/>
  <c r="AB132" i="116" s="1"/>
  <c r="K133" i="116"/>
  <c r="M133" i="116" s="1"/>
  <c r="AN133" i="116"/>
  <c r="AP133" i="116" s="1"/>
  <c r="AF134" i="116"/>
  <c r="AH134" i="116" s="1"/>
  <c r="Q135" i="116"/>
  <c r="S135" i="116" s="1"/>
  <c r="H136" i="116"/>
  <c r="J136" i="116" s="1"/>
  <c r="AL136" i="116"/>
  <c r="H38" i="116"/>
  <c r="J38" i="116" s="1"/>
  <c r="AI66" i="116"/>
  <c r="AK66" i="116" s="1"/>
  <c r="N83" i="116"/>
  <c r="P83" i="116" s="1"/>
  <c r="Z90" i="116"/>
  <c r="AB90" i="116" s="1"/>
  <c r="C96" i="116"/>
  <c r="K105" i="116"/>
  <c r="M105" i="116" s="1"/>
  <c r="Q106" i="116"/>
  <c r="S106" i="116" s="1"/>
  <c r="Z97" i="116"/>
  <c r="AB97" i="116" s="1"/>
  <c r="N99" i="116"/>
  <c r="P99" i="116" s="1"/>
  <c r="AN102" i="116"/>
  <c r="AP102" i="116" s="1"/>
  <c r="AI120" i="116"/>
  <c r="AK120" i="116" s="1"/>
  <c r="Z122" i="116"/>
  <c r="AB122" i="116" s="1"/>
  <c r="N124" i="116"/>
  <c r="P124" i="116" s="1"/>
  <c r="K126" i="116"/>
  <c r="M126" i="116" s="1"/>
  <c r="AL128" i="116"/>
  <c r="AC130" i="116"/>
  <c r="AE130" i="116" s="1"/>
  <c r="AL132" i="116"/>
  <c r="AI134" i="116"/>
  <c r="AK134" i="116" s="1"/>
  <c r="AF136" i="116"/>
  <c r="AH136" i="116" s="1"/>
  <c r="N138" i="116"/>
  <c r="P138" i="116" s="1"/>
  <c r="AI139" i="116"/>
  <c r="AK139" i="116" s="1"/>
  <c r="K141" i="116"/>
  <c r="M141" i="116" s="1"/>
  <c r="AF142" i="116"/>
  <c r="AH142" i="116" s="1"/>
  <c r="H144" i="116"/>
  <c r="J144" i="116" s="1"/>
  <c r="AC145" i="116"/>
  <c r="AE145" i="116" s="1"/>
  <c r="C147" i="116"/>
  <c r="N148" i="116"/>
  <c r="P148" i="116" s="1"/>
  <c r="Z149" i="116"/>
  <c r="AB149" i="116" s="1"/>
  <c r="AF150" i="116"/>
  <c r="AH150" i="116" s="1"/>
  <c r="AI151" i="116"/>
  <c r="AK151" i="116" s="1"/>
  <c r="AN152" i="116"/>
  <c r="AP152" i="116" s="1"/>
  <c r="H154" i="116"/>
  <c r="J154" i="116" s="1"/>
  <c r="N155" i="116"/>
  <c r="P155" i="116" s="1"/>
  <c r="Z156" i="116"/>
  <c r="AB156" i="116" s="1"/>
  <c r="AC157" i="116"/>
  <c r="AE157" i="116" s="1"/>
  <c r="K6" i="116"/>
  <c r="M6" i="116" s="1"/>
  <c r="Z45" i="116"/>
  <c r="AB45" i="116" s="1"/>
  <c r="H69" i="116"/>
  <c r="J69" i="116" s="1"/>
  <c r="K85" i="116"/>
  <c r="M85" i="116" s="1"/>
  <c r="AN91" i="116"/>
  <c r="AP91" i="116" s="1"/>
  <c r="K103" i="116"/>
  <c r="M103" i="116" s="1"/>
  <c r="AN105" i="116"/>
  <c r="AP105" i="116" s="1"/>
  <c r="AQ106" i="116"/>
  <c r="AL99" i="116"/>
  <c r="N119" i="116"/>
  <c r="P119" i="116" s="1"/>
  <c r="AN122" i="116"/>
  <c r="AP122" i="116" s="1"/>
  <c r="K127" i="116"/>
  <c r="M127" i="116" s="1"/>
  <c r="N133" i="116"/>
  <c r="P133" i="116" s="1"/>
  <c r="K137" i="116"/>
  <c r="M137" i="116" s="1"/>
  <c r="H140" i="116"/>
  <c r="J140" i="116" s="1"/>
  <c r="C143" i="116"/>
  <c r="AN145" i="116"/>
  <c r="AP145" i="116" s="1"/>
  <c r="AC148" i="116"/>
  <c r="AE148" i="116" s="1"/>
  <c r="H152" i="116"/>
  <c r="J152" i="116" s="1"/>
  <c r="AC155" i="116"/>
  <c r="AE155" i="116" s="1"/>
  <c r="AN157" i="116"/>
  <c r="AP157" i="116" s="1"/>
  <c r="K107" i="116"/>
  <c r="M107" i="116" s="1"/>
  <c r="AL101" i="116"/>
  <c r="K123" i="116"/>
  <c r="M123" i="116" s="1"/>
  <c r="Z129" i="116"/>
  <c r="AB129" i="116" s="1"/>
  <c r="Z135" i="116"/>
  <c r="AB135" i="116" s="1"/>
  <c r="N140" i="116"/>
  <c r="P140" i="116" s="1"/>
  <c r="AF144" i="116"/>
  <c r="AH144" i="116" s="1"/>
  <c r="AN149" i="116"/>
  <c r="AP149" i="116" s="1"/>
  <c r="AC154" i="116"/>
  <c r="AE154" i="116" s="1"/>
  <c r="C6" i="116"/>
  <c r="AN129" i="116"/>
  <c r="AP129" i="116" s="1"/>
  <c r="H139" i="116"/>
  <c r="J139" i="116" s="1"/>
  <c r="AN144" i="116"/>
  <c r="AP144" i="116" s="1"/>
  <c r="Q151" i="116"/>
  <c r="S151" i="116" s="1"/>
  <c r="K157" i="116"/>
  <c r="M157" i="116" s="1"/>
  <c r="N81" i="116"/>
  <c r="P81" i="116" s="1"/>
  <c r="AF100" i="116"/>
  <c r="AH100" i="116" s="1"/>
  <c r="AL123" i="116"/>
  <c r="AN137" i="116"/>
  <c r="AP137" i="116" s="1"/>
  <c r="AF146" i="116"/>
  <c r="AH146" i="116" s="1"/>
  <c r="AL153" i="116"/>
  <c r="AI40" i="116"/>
  <c r="AK40" i="116" s="1"/>
  <c r="H68" i="116"/>
  <c r="J68" i="116" s="1"/>
  <c r="K77" i="116"/>
  <c r="M77" i="116" s="1"/>
  <c r="AN83" i="116"/>
  <c r="AP83" i="116" s="1"/>
  <c r="N91" i="116"/>
  <c r="P91" i="116" s="1"/>
  <c r="AC96" i="116"/>
  <c r="AE96" i="116" s="1"/>
  <c r="Q105" i="116"/>
  <c r="S105" i="116" s="1"/>
  <c r="AL106" i="116"/>
  <c r="AL97" i="116"/>
  <c r="Z99" i="116"/>
  <c r="AB99" i="116" s="1"/>
  <c r="N101" i="116"/>
  <c r="P101" i="116" s="1"/>
  <c r="AW102" i="116"/>
  <c r="AN120" i="116"/>
  <c r="AP120" i="116" s="1"/>
  <c r="AI122" i="116"/>
  <c r="AK122" i="116" s="1"/>
  <c r="Z124" i="116"/>
  <c r="AB124" i="116" s="1"/>
  <c r="AI126" i="116"/>
  <c r="AK126" i="116" s="1"/>
  <c r="H129" i="116"/>
  <c r="J129" i="116" s="1"/>
  <c r="AL130" i="116"/>
  <c r="C133" i="116"/>
  <c r="C135" i="116"/>
  <c r="AN136" i="116"/>
  <c r="AP136" i="116" s="1"/>
  <c r="Q138" i="116"/>
  <c r="S138" i="116" s="1"/>
  <c r="AL139" i="116"/>
  <c r="N141" i="116"/>
  <c r="P141" i="116" s="1"/>
  <c r="AI142" i="116"/>
  <c r="AK142" i="116" s="1"/>
  <c r="K144" i="116"/>
  <c r="M144" i="116" s="1"/>
  <c r="AF145" i="116"/>
  <c r="AH145" i="116" s="1"/>
  <c r="H147" i="116"/>
  <c r="J147" i="116" s="1"/>
  <c r="Z148" i="116"/>
  <c r="AB148" i="116" s="1"/>
  <c r="AC149" i="116"/>
  <c r="AE149" i="116" s="1"/>
  <c r="AI150" i="116"/>
  <c r="AK150" i="116" s="1"/>
  <c r="AN151" i="116"/>
  <c r="AP151" i="116" s="1"/>
  <c r="H153" i="116"/>
  <c r="J153" i="116" s="1"/>
  <c r="N154" i="116"/>
  <c r="P154" i="116" s="1"/>
  <c r="Q155" i="116"/>
  <c r="S155" i="116" s="1"/>
  <c r="AC156" i="116"/>
  <c r="AE156" i="116" s="1"/>
  <c r="AI157" i="116"/>
  <c r="AK157" i="116" s="1"/>
  <c r="N6" i="116"/>
  <c r="P6" i="116" s="1"/>
  <c r="AN150" i="116"/>
  <c r="AP150" i="116" s="1"/>
  <c r="K95" i="116"/>
  <c r="M95" i="116" s="1"/>
  <c r="K130" i="116"/>
  <c r="M130" i="116" s="1"/>
  <c r="N142" i="116"/>
  <c r="P142" i="116" s="1"/>
  <c r="N150" i="116"/>
  <c r="P150" i="116" s="1"/>
  <c r="N157" i="116"/>
  <c r="P157" i="116" s="1"/>
  <c r="K131" i="116"/>
  <c r="M131" i="116" s="1"/>
  <c r="H146" i="116"/>
  <c r="J146" i="116" s="1"/>
  <c r="C151" i="116"/>
  <c r="AI155" i="116"/>
  <c r="AK155" i="116" s="1"/>
  <c r="AL121" i="116"/>
  <c r="H132" i="116"/>
  <c r="J132" i="116" s="1"/>
  <c r="AC140" i="116"/>
  <c r="AE140" i="116" s="1"/>
  <c r="C149" i="116"/>
  <c r="AF153" i="116"/>
  <c r="AH153" i="116" s="1"/>
  <c r="W59" i="116"/>
  <c r="Y59" i="116" s="1"/>
  <c r="AU107" i="116"/>
  <c r="AC125" i="116"/>
  <c r="AE125" i="116" s="1"/>
  <c r="K136" i="116"/>
  <c r="M136" i="116" s="1"/>
  <c r="K145" i="116"/>
  <c r="M145" i="116" s="1"/>
  <c r="AF152" i="116"/>
  <c r="AH152" i="116" s="1"/>
  <c r="AI48" i="116"/>
  <c r="AK48" i="116" s="1"/>
  <c r="H71" i="116"/>
  <c r="J71" i="116" s="1"/>
  <c r="AC78" i="116"/>
  <c r="AE78" i="116" s="1"/>
  <c r="AN85" i="116"/>
  <c r="AP85" i="116" s="1"/>
  <c r="K93" i="116"/>
  <c r="M93" i="116" s="1"/>
  <c r="Q103" i="116"/>
  <c r="S103" i="116" s="1"/>
  <c r="Z119" i="116"/>
  <c r="AB119" i="116" s="1"/>
  <c r="AN124" i="116"/>
  <c r="AP124" i="116" s="1"/>
  <c r="Q131" i="116"/>
  <c r="S131" i="116" s="1"/>
  <c r="Q137" i="116"/>
  <c r="S137" i="116" s="1"/>
  <c r="AI141" i="116"/>
  <c r="AK141" i="116" s="1"/>
  <c r="AC147" i="116"/>
  <c r="AE147" i="116" s="1"/>
  <c r="K152" i="116"/>
  <c r="M152" i="116" s="1"/>
  <c r="AL156" i="116"/>
  <c r="W125" i="116"/>
  <c r="Y125" i="116" s="1"/>
  <c r="AN135" i="116"/>
  <c r="AP135" i="116" s="1"/>
  <c r="Z143" i="116"/>
  <c r="AB143" i="116" s="1"/>
  <c r="K150" i="116"/>
  <c r="M150" i="116" s="1"/>
  <c r="C156" i="116"/>
  <c r="AC88" i="116"/>
  <c r="AE88" i="116" s="1"/>
  <c r="AN98" i="116"/>
  <c r="AP98" i="116" s="1"/>
  <c r="H122" i="116"/>
  <c r="J122" i="116" s="1"/>
  <c r="N132" i="116"/>
  <c r="P132" i="116" s="1"/>
  <c r="AL140" i="116"/>
  <c r="C148" i="116"/>
  <c r="C155" i="116"/>
  <c r="N18" i="116"/>
  <c r="P18" i="116" s="1"/>
  <c r="W51" i="116"/>
  <c r="Y51" i="116" s="1"/>
  <c r="K72" i="116"/>
  <c r="M72" i="116" s="1"/>
  <c r="AL79" i="116"/>
  <c r="AC86" i="116"/>
  <c r="AE86" i="116" s="1"/>
  <c r="AN93" i="116"/>
  <c r="AP93" i="116" s="1"/>
  <c r="AN103" i="116"/>
  <c r="AP103" i="116" s="1"/>
  <c r="Z107" i="116"/>
  <c r="AB107" i="116" s="1"/>
  <c r="Q98" i="116"/>
  <c r="S98" i="116" s="1"/>
  <c r="C100" i="116"/>
  <c r="AU101" i="116"/>
  <c r="AI119" i="116"/>
  <c r="AK119" i="116" s="1"/>
  <c r="AC121" i="116"/>
  <c r="AE121" i="116" s="1"/>
  <c r="W123" i="116"/>
  <c r="Y123" i="116" s="1"/>
  <c r="K125" i="116"/>
  <c r="M125" i="116" s="1"/>
  <c r="AN127" i="116"/>
  <c r="AP127" i="116" s="1"/>
  <c r="AI129" i="116"/>
  <c r="AK129" i="116" s="1"/>
  <c r="AF131" i="116"/>
  <c r="AH131" i="116" s="1"/>
  <c r="AI133" i="116"/>
  <c r="AK133" i="116" s="1"/>
  <c r="AI135" i="116"/>
  <c r="AK135" i="116" s="1"/>
  <c r="AC137" i="116"/>
  <c r="AE137" i="116" s="1"/>
  <c r="C139" i="116"/>
  <c r="Z140" i="116"/>
  <c r="AB140" i="116" s="1"/>
  <c r="AN141" i="116"/>
  <c r="AP141" i="116" s="1"/>
  <c r="Q143" i="116"/>
  <c r="S143" i="116" s="1"/>
  <c r="AL144" i="116"/>
  <c r="N146" i="116"/>
  <c r="P146" i="116" s="1"/>
  <c r="AI147" i="116"/>
  <c r="AK147" i="116" s="1"/>
  <c r="AL148" i="116"/>
  <c r="C150" i="116"/>
  <c r="K151" i="116"/>
  <c r="M151" i="116" s="1"/>
  <c r="Q152" i="116"/>
  <c r="S152" i="116" s="1"/>
  <c r="AC153" i="116"/>
  <c r="AE153" i="116" s="1"/>
  <c r="AF154" i="116"/>
  <c r="AH154" i="116" s="1"/>
  <c r="AL155" i="116"/>
  <c r="C157" i="116"/>
  <c r="AI6" i="116"/>
  <c r="AK6" i="116" s="1"/>
  <c r="D108" i="79"/>
  <c r="C108" i="79" s="1"/>
  <c r="N111" i="98" s="1"/>
  <c r="W26" i="116"/>
  <c r="Y26" i="116" s="1"/>
  <c r="K56" i="116"/>
  <c r="M56" i="116" s="1"/>
  <c r="K73" i="116"/>
  <c r="M73" i="116" s="1"/>
  <c r="AC80" i="116"/>
  <c r="AE80" i="116" s="1"/>
  <c r="AL87" i="116"/>
  <c r="Z94" i="116"/>
  <c r="AB94" i="116" s="1"/>
  <c r="K104" i="116"/>
  <c r="M104" i="116" s="1"/>
  <c r="AL107" i="116"/>
  <c r="AF98" i="116"/>
  <c r="AH98" i="116" s="1"/>
  <c r="Q100" i="116"/>
  <c r="S100" i="116" s="1"/>
  <c r="C102" i="116"/>
  <c r="H120" i="116"/>
  <c r="J120" i="116" s="1"/>
  <c r="AC123" i="116"/>
  <c r="AE123" i="116" s="1"/>
  <c r="C134" i="116"/>
  <c r="C142" i="116"/>
  <c r="AL147" i="116"/>
  <c r="AL154" i="116"/>
  <c r="Z74" i="116"/>
  <c r="AB74" i="116" s="1"/>
  <c r="N120" i="116"/>
  <c r="P120" i="116" s="1"/>
  <c r="N134" i="116"/>
  <c r="P134" i="116" s="1"/>
  <c r="AI143" i="116"/>
  <c r="AK143" i="116" s="1"/>
  <c r="Z151" i="116"/>
  <c r="AB151" i="116" s="1"/>
  <c r="AC6" i="116"/>
  <c r="AE6" i="116" s="1"/>
  <c r="AL34" i="116"/>
  <c r="H62" i="116"/>
  <c r="J62" i="116" s="1"/>
  <c r="N75" i="116"/>
  <c r="P75" i="116" s="1"/>
  <c r="Z82" i="116"/>
  <c r="AB82" i="116" s="1"/>
  <c r="N89" i="116"/>
  <c r="P89" i="116" s="1"/>
  <c r="AL95" i="116"/>
  <c r="AN104" i="116"/>
  <c r="AP104" i="116" s="1"/>
  <c r="N97" i="116"/>
  <c r="P97" i="116" s="1"/>
  <c r="AN100" i="116"/>
  <c r="AP100" i="116" s="1"/>
  <c r="AF102" i="116"/>
  <c r="AH102" i="116" s="1"/>
  <c r="Z120" i="116"/>
  <c r="AB120" i="116" s="1"/>
  <c r="N122" i="116"/>
  <c r="P122" i="116" s="1"/>
  <c r="H124" i="116"/>
  <c r="J124" i="116" s="1"/>
  <c r="AL125" i="116"/>
  <c r="AC128" i="116"/>
  <c r="AE128" i="116" s="1"/>
  <c r="W130" i="116"/>
  <c r="Y130" i="116" s="1"/>
  <c r="AC132" i="116"/>
  <c r="AE132" i="116" s="1"/>
  <c r="Z134" i="116"/>
  <c r="AB134" i="116" s="1"/>
  <c r="Z136" i="116"/>
  <c r="AB136" i="116" s="1"/>
  <c r="H138" i="116"/>
  <c r="J138" i="116" s="1"/>
  <c r="AC139" i="116"/>
  <c r="AE139" i="116" s="1"/>
  <c r="C141" i="116"/>
  <c r="Z142" i="116"/>
  <c r="AB142" i="116" s="1"/>
  <c r="AN143" i="116"/>
  <c r="AP143" i="116" s="1"/>
  <c r="Q145" i="116"/>
  <c r="S145" i="116" s="1"/>
  <c r="AL146" i="116"/>
  <c r="H148" i="116"/>
  <c r="J148" i="116" s="1"/>
  <c r="N149" i="116"/>
  <c r="P149" i="116" s="1"/>
  <c r="Z150" i="116"/>
  <c r="AB150" i="116" s="1"/>
  <c r="AF151" i="116"/>
  <c r="AH151" i="116" s="1"/>
  <c r="AL152" i="116"/>
  <c r="AN153" i="116"/>
  <c r="AP153" i="116" s="1"/>
  <c r="H155" i="116"/>
  <c r="J155" i="116" s="1"/>
  <c r="N156" i="116"/>
  <c r="P156" i="116" s="1"/>
  <c r="Z157" i="116"/>
  <c r="AB157" i="116" s="1"/>
  <c r="Q6" i="116"/>
  <c r="S6" i="116" s="1"/>
  <c r="AN77" i="116"/>
  <c r="AP77" i="116" s="1"/>
  <c r="Z101" i="116"/>
  <c r="AB101" i="116" s="1"/>
  <c r="K121" i="116"/>
  <c r="M121" i="116" s="1"/>
  <c r="AI124" i="116"/>
  <c r="AK124" i="116" s="1"/>
  <c r="N129" i="116"/>
  <c r="P129" i="116" s="1"/>
  <c r="K135" i="116"/>
  <c r="M135" i="116" s="1"/>
  <c r="AF138" i="116"/>
  <c r="AH138" i="116" s="1"/>
  <c r="AC141" i="116"/>
  <c r="AE141" i="116" s="1"/>
  <c r="Z144" i="116"/>
  <c r="AB144" i="116" s="1"/>
  <c r="Q147" i="116"/>
  <c r="S147" i="116" s="1"/>
  <c r="AI149" i="116"/>
  <c r="AK149" i="116" s="1"/>
  <c r="K153" i="116"/>
  <c r="M153" i="116" s="1"/>
  <c r="Q154" i="116"/>
  <c r="S154" i="116" s="1"/>
  <c r="AI156" i="116"/>
  <c r="AK156" i="116" s="1"/>
  <c r="H6" i="116"/>
  <c r="J6" i="116" s="1"/>
  <c r="C98" i="116"/>
  <c r="W121" i="116"/>
  <c r="Y121" i="116" s="1"/>
  <c r="AI127" i="116"/>
  <c r="AK127" i="116" s="1"/>
  <c r="AC133" i="116"/>
  <c r="AE133" i="116" s="1"/>
  <c r="AL138" i="116"/>
  <c r="K143" i="116"/>
  <c r="M143" i="116" s="1"/>
  <c r="AI148" i="116"/>
  <c r="AK148" i="116" s="1"/>
  <c r="Q153" i="116"/>
  <c r="S153" i="116" s="1"/>
  <c r="AN6" i="116"/>
  <c r="AP6" i="116" s="1"/>
  <c r="K128" i="116"/>
  <c r="M128" i="116" s="1"/>
  <c r="AF137" i="116"/>
  <c r="AH137" i="116" s="1"/>
  <c r="Q146" i="116"/>
  <c r="S146" i="116" s="1"/>
  <c r="Z152" i="116"/>
  <c r="AB152" i="116" s="1"/>
  <c r="AF6" i="116"/>
  <c r="AH6" i="116" s="1"/>
  <c r="H29" i="116"/>
  <c r="J29" i="116" s="1"/>
  <c r="Q104" i="116"/>
  <c r="S104" i="116" s="1"/>
  <c r="Q102" i="116"/>
  <c r="S102" i="116" s="1"/>
  <c r="W128" i="116"/>
  <c r="Y128" i="116" s="1"/>
  <c r="Q139" i="116"/>
  <c r="S139" i="116" s="1"/>
  <c r="K149" i="116"/>
  <c r="M149" i="116" s="1"/>
  <c r="H156" i="116"/>
  <c r="J156" i="116" s="1"/>
  <c r="I104" i="17"/>
  <c r="I107" i="17"/>
  <c r="AH106" i="24"/>
  <c r="AH109" i="24"/>
  <c r="AJ106" i="46"/>
  <c r="I106" i="17"/>
  <c r="AI106" i="24"/>
  <c r="AI109" i="24"/>
  <c r="AG103" i="46"/>
  <c r="AG105" i="46"/>
  <c r="I103" i="17"/>
  <c r="AH106" i="46"/>
  <c r="I105" i="17"/>
  <c r="AH107" i="24"/>
  <c r="AG104" i="46"/>
  <c r="AG102" i="46"/>
  <c r="AI107" i="24"/>
  <c r="I97" i="17"/>
  <c r="AH108" i="24"/>
  <c r="AG106" i="46"/>
  <c r="AH105" i="24"/>
  <c r="AI105" i="24"/>
  <c r="AI108" i="24"/>
  <c r="AI106" i="46"/>
  <c r="H126" i="116"/>
  <c r="J126" i="116" s="1"/>
  <c r="AN126" i="116"/>
  <c r="AP126" i="116" s="1"/>
  <c r="AL126" i="116"/>
  <c r="AC126" i="116"/>
  <c r="AE126" i="116" s="1"/>
  <c r="AQ126" i="116"/>
  <c r="AQ123" i="116"/>
  <c r="AS126" i="116"/>
  <c r="AQ121" i="116"/>
  <c r="AU123" i="116"/>
  <c r="AU126" i="116"/>
  <c r="AW121" i="116"/>
  <c r="AS123" i="116"/>
  <c r="AW126" i="116"/>
  <c r="AW123" i="116"/>
  <c r="AS121" i="116"/>
  <c r="AU121" i="116"/>
  <c r="AQ135" i="116"/>
  <c r="AQ90" i="116"/>
  <c r="AQ85" i="116"/>
  <c r="AQ87" i="116"/>
  <c r="AQ86" i="116"/>
  <c r="AQ88" i="116"/>
  <c r="AQ89" i="116"/>
  <c r="AQ92" i="116"/>
  <c r="AS89" i="116"/>
  <c r="AU86" i="116"/>
  <c r="AU87" i="116"/>
  <c r="AW87" i="116"/>
  <c r="AW89" i="116"/>
  <c r="AW88" i="116"/>
  <c r="AS86" i="116"/>
  <c r="AW85" i="116"/>
  <c r="AW92" i="116"/>
  <c r="AU90" i="116"/>
  <c r="AW86" i="116"/>
  <c r="AW90" i="116"/>
  <c r="AS87" i="116"/>
  <c r="AU135" i="116"/>
  <c r="AS90" i="116"/>
  <c r="AU92" i="116"/>
  <c r="AW135" i="116"/>
  <c r="AS135" i="116"/>
  <c r="AU89" i="116"/>
  <c r="AS88" i="116"/>
  <c r="AU85" i="116"/>
  <c r="AS85" i="116"/>
  <c r="AU88" i="116"/>
  <c r="AS92" i="116"/>
  <c r="AL131" i="116"/>
  <c r="AQ144" i="116"/>
  <c r="AQ9" i="116"/>
  <c r="AQ80" i="116"/>
  <c r="AQ32" i="116"/>
  <c r="AQ122" i="116"/>
  <c r="AQ124" i="116"/>
  <c r="AQ138" i="116"/>
  <c r="H131" i="116"/>
  <c r="J131" i="116" s="1"/>
  <c r="AQ81" i="116"/>
  <c r="AQ63" i="116"/>
  <c r="AS124" i="116"/>
  <c r="AQ128" i="116"/>
  <c r="AQ10" i="116"/>
  <c r="AU138" i="116"/>
  <c r="AQ73" i="116"/>
  <c r="AS122" i="116"/>
  <c r="AQ96" i="116"/>
  <c r="AW124" i="116"/>
  <c r="AQ59" i="116"/>
  <c r="AU80" i="116"/>
  <c r="AW9" i="116"/>
  <c r="AQ127" i="116"/>
  <c r="AW144" i="116"/>
  <c r="AU81" i="116"/>
  <c r="AW80" i="116"/>
  <c r="AQ12" i="116"/>
  <c r="AU32" i="116"/>
  <c r="AQ95" i="116"/>
  <c r="AQ151" i="116"/>
  <c r="AQ21" i="116"/>
  <c r="AS81" i="116"/>
  <c r="AQ35" i="116"/>
  <c r="AU122" i="116"/>
  <c r="AQ56" i="116"/>
  <c r="AQ17" i="116"/>
  <c r="AQ146" i="116"/>
  <c r="AU144" i="116"/>
  <c r="AQ154" i="116"/>
  <c r="AW81" i="116"/>
  <c r="AS80" i="116"/>
  <c r="AQ44" i="116"/>
  <c r="AQ152" i="116"/>
  <c r="AQ52" i="116"/>
  <c r="AQ69" i="116"/>
  <c r="AQ133" i="116"/>
  <c r="AU9" i="116"/>
  <c r="AQ55" i="116"/>
  <c r="AQ157" i="116"/>
  <c r="AW122" i="116"/>
  <c r="AQ46" i="116"/>
  <c r="AQ8" i="116"/>
  <c r="AQ130" i="116"/>
  <c r="AQ16" i="116"/>
  <c r="AW32" i="116"/>
  <c r="AQ71" i="116"/>
  <c r="AQ36" i="116"/>
  <c r="AQ58" i="116"/>
  <c r="AQ43" i="116"/>
  <c r="AQ25" i="116"/>
  <c r="AS144" i="116"/>
  <c r="AU124" i="116"/>
  <c r="AW138" i="116"/>
  <c r="AQ137" i="116"/>
  <c r="AS32" i="116"/>
  <c r="AQ34" i="116"/>
  <c r="AQ57" i="116"/>
  <c r="AQ129" i="116"/>
  <c r="AQ31" i="116"/>
  <c r="AS138" i="116"/>
  <c r="AQ77" i="116"/>
  <c r="AS9" i="116"/>
  <c r="AQ22" i="116"/>
  <c r="AU57" i="116"/>
  <c r="AU154" i="116"/>
  <c r="AU25" i="116"/>
  <c r="AS154" i="116"/>
  <c r="AS25" i="116"/>
  <c r="AS95" i="116"/>
  <c r="AW96" i="116"/>
  <c r="AS133" i="116"/>
  <c r="AW69" i="116"/>
  <c r="AU35" i="116"/>
  <c r="AW127" i="116"/>
  <c r="AU55" i="116"/>
  <c r="AU128" i="116"/>
  <c r="AU34" i="116"/>
  <c r="AW44" i="116"/>
  <c r="AW137" i="116"/>
  <c r="AS36" i="116"/>
  <c r="AS21" i="116"/>
  <c r="AW21" i="116"/>
  <c r="AW152" i="116"/>
  <c r="AU58" i="116"/>
  <c r="AU146" i="116"/>
  <c r="AS59" i="116"/>
  <c r="AW58" i="116"/>
  <c r="AU16" i="116"/>
  <c r="AW52" i="116"/>
  <c r="AU129" i="116"/>
  <c r="AU36" i="116"/>
  <c r="AW22" i="116"/>
  <c r="AS31" i="116"/>
  <c r="AW57" i="116"/>
  <c r="AW95" i="116"/>
  <c r="AW8" i="116"/>
  <c r="AS8" i="116"/>
  <c r="AW16" i="116"/>
  <c r="AS52" i="116"/>
  <c r="AS34" i="116"/>
  <c r="AS56" i="116"/>
  <c r="AW31" i="116"/>
  <c r="AS46" i="116"/>
  <c r="AU31" i="116"/>
  <c r="AS63" i="116"/>
  <c r="AS43" i="116"/>
  <c r="AS146" i="116"/>
  <c r="AS55" i="116"/>
  <c r="AU96" i="116"/>
  <c r="AW133" i="116"/>
  <c r="AW34" i="116"/>
  <c r="AS44" i="116"/>
  <c r="AS69" i="116"/>
  <c r="AU46" i="116"/>
  <c r="AU8" i="116"/>
  <c r="AS17" i="116"/>
  <c r="AS16" i="116"/>
  <c r="AU63" i="116"/>
  <c r="AU130" i="116"/>
  <c r="AW63" i="116"/>
  <c r="AS10" i="116"/>
  <c r="AW59" i="116"/>
  <c r="AU22" i="116"/>
  <c r="AW25" i="116"/>
  <c r="AU71" i="116"/>
  <c r="AS77" i="116"/>
  <c r="AW157" i="116"/>
  <c r="AU95" i="116"/>
  <c r="AW12" i="116"/>
  <c r="AW129" i="116"/>
  <c r="AW128" i="116"/>
  <c r="AW73" i="116"/>
  <c r="AU152" i="116"/>
  <c r="AW77" i="116"/>
  <c r="AS152" i="116"/>
  <c r="AU10" i="116"/>
  <c r="AW17" i="116"/>
  <c r="AS73" i="116"/>
  <c r="AW10" i="116"/>
  <c r="AU59" i="116"/>
  <c r="AW146" i="116"/>
  <c r="AU73" i="116"/>
  <c r="AU69" i="116"/>
  <c r="AS35" i="116"/>
  <c r="AS58" i="116"/>
  <c r="AU21" i="116"/>
  <c r="AU56" i="116"/>
  <c r="AS128" i="116"/>
  <c r="AS157" i="116"/>
  <c r="AU12" i="116"/>
  <c r="AS130" i="116"/>
  <c r="AS12" i="116"/>
  <c r="AW130" i="116"/>
  <c r="AW151" i="116"/>
  <c r="AU157" i="116"/>
  <c r="AU17" i="116"/>
  <c r="AU52" i="116"/>
  <c r="AS22" i="116"/>
  <c r="AW154" i="116"/>
  <c r="AW46" i="116"/>
  <c r="AS129" i="116"/>
  <c r="AW36" i="116"/>
  <c r="AW71" i="116"/>
  <c r="AS96" i="116"/>
  <c r="AW55" i="116"/>
  <c r="AU133" i="116"/>
  <c r="AU77" i="116"/>
  <c r="AS57" i="116"/>
  <c r="AU151" i="116"/>
  <c r="AU43" i="116"/>
  <c r="AS151" i="116"/>
  <c r="AS137" i="116"/>
  <c r="AW43" i="116"/>
  <c r="AW35" i="116"/>
  <c r="AU127" i="116"/>
  <c r="AU44" i="116"/>
  <c r="AS127" i="116"/>
  <c r="AW56" i="116"/>
  <c r="AU137" i="116"/>
  <c r="AS71" i="116"/>
  <c r="AJ27" i="24"/>
  <c r="AT104" i="24"/>
  <c r="Q104" i="24" s="1"/>
  <c r="AR99" i="24"/>
  <c r="AS98" i="24"/>
  <c r="AS101" i="24"/>
  <c r="AS102" i="24"/>
  <c r="AS103" i="24"/>
  <c r="AS104" i="24"/>
  <c r="P104" i="24" s="1"/>
  <c r="AT103" i="24"/>
  <c r="Q103" i="24" s="1"/>
  <c r="AS100" i="24"/>
  <c r="AS99" i="24"/>
  <c r="P99" i="24" s="1"/>
  <c r="AM10" i="46"/>
  <c r="AL10" i="46"/>
  <c r="AK10" i="46"/>
  <c r="AL9" i="46"/>
  <c r="AM9" i="46"/>
  <c r="AK9" i="46"/>
  <c r="E9" i="46" s="1"/>
  <c r="Q122" i="70"/>
  <c r="Q82" i="70"/>
  <c r="Q90" i="70"/>
  <c r="Q81" i="70"/>
  <c r="Q124" i="70"/>
  <c r="Q83" i="70"/>
  <c r="Q108" i="70"/>
  <c r="Q41" i="70"/>
  <c r="Q141" i="70"/>
  <c r="AQ6" i="116"/>
  <c r="Q24" i="70"/>
  <c r="Q30" i="70"/>
  <c r="Q26" i="70"/>
  <c r="Q38" i="70"/>
  <c r="Q18" i="70"/>
  <c r="Q92" i="70"/>
  <c r="Q48" i="70"/>
  <c r="Q15" i="70"/>
  <c r="Q11" i="70"/>
  <c r="Q65" i="70"/>
  <c r="Q77" i="70"/>
  <c r="Q144" i="70"/>
  <c r="Q78" i="70"/>
  <c r="Q119" i="70"/>
  <c r="Q75" i="70"/>
  <c r="Q133" i="70"/>
  <c r="Q130" i="70"/>
  <c r="Q20" i="70"/>
  <c r="Q128" i="70"/>
  <c r="Q131" i="70"/>
  <c r="AQ147" i="116"/>
  <c r="Q44" i="70"/>
  <c r="Q99" i="70"/>
  <c r="Q93" i="70"/>
  <c r="Q37" i="70"/>
  <c r="AQ70" i="116"/>
  <c r="Q46" i="70"/>
  <c r="Q47" i="70"/>
  <c r="Q40" i="70"/>
  <c r="Q39" i="70"/>
  <c r="Q120" i="70"/>
  <c r="Q60" i="70"/>
  <c r="Q66" i="70"/>
  <c r="Q98" i="70"/>
  <c r="Q50" i="70"/>
  <c r="Q64" i="70"/>
  <c r="Q59" i="70"/>
  <c r="Q113" i="70"/>
  <c r="Q127" i="70"/>
  <c r="AQ54" i="116"/>
  <c r="Q36" i="70"/>
  <c r="Q13" i="70"/>
  <c r="AQ7" i="116"/>
  <c r="Q136" i="70"/>
  <c r="Q27" i="70"/>
  <c r="Q67" i="70"/>
  <c r="Q97" i="70"/>
  <c r="Q143" i="70"/>
  <c r="Q61" i="70"/>
  <c r="Q49" i="70"/>
  <c r="Q74" i="70"/>
  <c r="Q23" i="70"/>
  <c r="Q71" i="70"/>
  <c r="Q107" i="70"/>
  <c r="Q137" i="70"/>
  <c r="Q28" i="70"/>
  <c r="Q73" i="70"/>
  <c r="Q138" i="70"/>
  <c r="Q29" i="70"/>
  <c r="Q14" i="70"/>
  <c r="Q52" i="70"/>
  <c r="S52" i="70" s="1"/>
  <c r="Q19" i="70"/>
  <c r="Q63" i="70"/>
  <c r="Q129" i="70"/>
  <c r="D35" i="90"/>
  <c r="C35" i="90" s="1"/>
  <c r="D94" i="90"/>
  <c r="C94" i="90" s="1"/>
  <c r="D48" i="90"/>
  <c r="C48" i="90" s="1"/>
  <c r="D5" i="90"/>
  <c r="C5" i="90" s="1"/>
  <c r="H19" i="73"/>
  <c r="AN131" i="116"/>
  <c r="AP131" i="116" s="1"/>
  <c r="AK26" i="24"/>
  <c r="AM99" i="46"/>
  <c r="AM30" i="24"/>
  <c r="AU26" i="24"/>
  <c r="AR102" i="24"/>
  <c r="AO19" i="24"/>
  <c r="AM98" i="46"/>
  <c r="AQ102" i="24"/>
  <c r="AQ100" i="24"/>
  <c r="AN19" i="24"/>
  <c r="AK98" i="46"/>
  <c r="Y98" i="46" s="1"/>
  <c r="AJ23" i="24"/>
  <c r="AR100" i="24"/>
  <c r="J100" i="24" s="1"/>
  <c r="AM19" i="24"/>
  <c r="AM97" i="46"/>
  <c r="AR104" i="24"/>
  <c r="J104" i="24" s="1"/>
  <c r="AK99" i="46"/>
  <c r="AO143" i="46"/>
  <c r="AO26" i="24"/>
  <c r="AK19" i="24"/>
  <c r="AK97" i="46"/>
  <c r="AT142" i="24"/>
  <c r="Q142" i="24" s="1"/>
  <c r="AQ104" i="24"/>
  <c r="AR101" i="24"/>
  <c r="AM26" i="24"/>
  <c r="AJ11" i="24"/>
  <c r="AM101" i="46"/>
  <c r="AR142" i="24"/>
  <c r="J142" i="24" s="1"/>
  <c r="AQ103" i="24"/>
  <c r="AQ101" i="24"/>
  <c r="AK96" i="46"/>
  <c r="AL26" i="24"/>
  <c r="AK101" i="46"/>
  <c r="AP12" i="24"/>
  <c r="AP20" i="24"/>
  <c r="AL23" i="24"/>
  <c r="G7" i="36"/>
  <c r="H86" i="36"/>
  <c r="G6" i="36"/>
  <c r="G66" i="36"/>
  <c r="E65" i="38"/>
  <c r="H54" i="36"/>
  <c r="G50" i="36"/>
  <c r="AP6" i="46"/>
  <c r="AP99" i="46"/>
  <c r="AU104" i="24"/>
  <c r="AU103" i="24"/>
  <c r="AU102" i="24"/>
  <c r="AU101" i="24"/>
  <c r="AU100" i="24"/>
  <c r="AO99" i="24"/>
  <c r="AP98" i="46"/>
  <c r="AP104" i="24"/>
  <c r="AP103" i="24"/>
  <c r="AP102" i="24"/>
  <c r="AP101" i="24"/>
  <c r="AP100" i="24"/>
  <c r="AP99" i="24"/>
  <c r="AQ101" i="46"/>
  <c r="AP97" i="46"/>
  <c r="AO104" i="24"/>
  <c r="AO103" i="24"/>
  <c r="AO102" i="24"/>
  <c r="AO101" i="24"/>
  <c r="AO100" i="24"/>
  <c r="AU99" i="24"/>
  <c r="AQ99" i="46"/>
  <c r="AP96" i="46"/>
  <c r="AN104" i="24"/>
  <c r="AN103" i="24"/>
  <c r="AN102" i="24"/>
  <c r="AN101" i="24"/>
  <c r="AJ99" i="24"/>
  <c r="AJ100" i="24"/>
  <c r="AQ98" i="46"/>
  <c r="AO99" i="46"/>
  <c r="AM104" i="24"/>
  <c r="AM103" i="24"/>
  <c r="AM102" i="24"/>
  <c r="AM101" i="24"/>
  <c r="AK99" i="24"/>
  <c r="AK100" i="24"/>
  <c r="AQ97" i="46"/>
  <c r="AO98" i="46"/>
  <c r="AL104" i="24"/>
  <c r="AL103" i="24"/>
  <c r="AL102" i="24"/>
  <c r="AL101" i="24"/>
  <c r="AL99" i="24"/>
  <c r="AL100" i="24"/>
  <c r="AQ96" i="46"/>
  <c r="AO97" i="46"/>
  <c r="AK104" i="24"/>
  <c r="AK103" i="24"/>
  <c r="AK102" i="24"/>
  <c r="AK101" i="24"/>
  <c r="AM99" i="24"/>
  <c r="AM100" i="24"/>
  <c r="AP101" i="46"/>
  <c r="AO96" i="46"/>
  <c r="AJ104" i="24"/>
  <c r="AJ103" i="24"/>
  <c r="AJ102" i="24"/>
  <c r="AJ101" i="24"/>
  <c r="AN99" i="24"/>
  <c r="AN100" i="24"/>
  <c r="AJ84" i="24"/>
  <c r="AK120" i="24"/>
  <c r="AK110" i="24"/>
  <c r="AK127" i="24"/>
  <c r="AK132" i="24"/>
  <c r="AK129" i="24"/>
  <c r="AK122" i="24"/>
  <c r="AK112" i="24"/>
  <c r="AK123" i="24"/>
  <c r="AK115" i="24"/>
  <c r="AK116" i="24"/>
  <c r="AK131" i="24"/>
  <c r="AK126" i="24"/>
  <c r="AK111" i="24"/>
  <c r="AK124" i="24"/>
  <c r="AK125" i="24"/>
  <c r="AK121" i="24"/>
  <c r="AK119" i="24"/>
  <c r="AK128" i="24"/>
  <c r="AK114" i="24"/>
  <c r="AK113" i="24"/>
  <c r="AK130" i="24"/>
  <c r="AJ83" i="24"/>
  <c r="AP118" i="24"/>
  <c r="H21" i="108"/>
  <c r="E85" i="108"/>
  <c r="E38" i="108"/>
  <c r="E103" i="108"/>
  <c r="E55" i="108"/>
  <c r="E116" i="108"/>
  <c r="E88" i="108"/>
  <c r="E31" i="108"/>
  <c r="E13" i="108"/>
  <c r="G118" i="108"/>
  <c r="E67" i="108"/>
  <c r="E136" i="108"/>
  <c r="E76" i="108"/>
  <c r="E137" i="108"/>
  <c r="H118" i="108"/>
  <c r="G88" i="108"/>
  <c r="H32" i="108"/>
  <c r="H68" i="108"/>
  <c r="G86" i="108"/>
  <c r="G124" i="108"/>
  <c r="H62" i="108"/>
  <c r="G40" i="108"/>
  <c r="H19" i="108"/>
  <c r="H28" i="108"/>
  <c r="G7" i="108"/>
  <c r="G136" i="108"/>
  <c r="E17" i="108"/>
  <c r="G57" i="108"/>
  <c r="E118" i="108"/>
  <c r="E25" i="108"/>
  <c r="E49" i="108"/>
  <c r="E73" i="108"/>
  <c r="E97" i="108"/>
  <c r="G10" i="108"/>
  <c r="E34" i="108"/>
  <c r="E66" i="108"/>
  <c r="H99" i="108"/>
  <c r="E113" i="108"/>
  <c r="E127" i="108"/>
  <c r="H90" i="108"/>
  <c r="H26" i="108"/>
  <c r="G34" i="108"/>
  <c r="F96" i="108"/>
  <c r="F76" i="108"/>
  <c r="F54" i="108"/>
  <c r="F32" i="108"/>
  <c r="F130" i="108"/>
  <c r="F111" i="108"/>
  <c r="H14" i="108"/>
  <c r="H85" i="108"/>
  <c r="H63" i="108"/>
  <c r="H43" i="108"/>
  <c r="H137" i="108"/>
  <c r="H115" i="108"/>
  <c r="G93" i="108"/>
  <c r="G71" i="108"/>
  <c r="G51" i="108"/>
  <c r="G29" i="108"/>
  <c r="G123" i="108"/>
  <c r="G105" i="108"/>
  <c r="F6" i="108"/>
  <c r="F77" i="108"/>
  <c r="F55" i="108"/>
  <c r="F35" i="108"/>
  <c r="F129" i="108"/>
  <c r="E29" i="108"/>
  <c r="E93" i="108"/>
  <c r="E46" i="108"/>
  <c r="E110" i="108"/>
  <c r="E63" i="108"/>
  <c r="E124" i="108"/>
  <c r="E96" i="108"/>
  <c r="E8" i="108"/>
  <c r="E7" i="108"/>
  <c r="E11" i="108"/>
  <c r="E75" i="108"/>
  <c r="E20" i="108"/>
  <c r="E84" i="108"/>
  <c r="H134" i="108"/>
  <c r="H56" i="108"/>
  <c r="H13" i="108"/>
  <c r="H22" i="108"/>
  <c r="G68" i="108"/>
  <c r="G76" i="108"/>
  <c r="G116" i="108"/>
  <c r="H52" i="108"/>
  <c r="H102" i="108"/>
  <c r="G30" i="108"/>
  <c r="H7" i="108"/>
  <c r="H136" i="108"/>
  <c r="G92" i="108"/>
  <c r="G128" i="108"/>
  <c r="F17" i="108"/>
  <c r="H57" i="108"/>
  <c r="F118" i="108"/>
  <c r="F25" i="108"/>
  <c r="F49" i="108"/>
  <c r="F73" i="108"/>
  <c r="F97" i="108"/>
  <c r="H10" i="108"/>
  <c r="F34" i="108"/>
  <c r="F66" i="108"/>
  <c r="G99" i="108"/>
  <c r="F113" i="108"/>
  <c r="F127" i="108"/>
  <c r="H82" i="108"/>
  <c r="G90" i="108"/>
  <c r="G26" i="108"/>
  <c r="F94" i="108"/>
  <c r="F72" i="108"/>
  <c r="F52" i="108"/>
  <c r="F30" i="108"/>
  <c r="F128" i="108"/>
  <c r="H12" i="108"/>
  <c r="H83" i="108"/>
  <c r="H61" i="108"/>
  <c r="H39" i="108"/>
  <c r="H133" i="108"/>
  <c r="H114" i="108"/>
  <c r="G20" i="108"/>
  <c r="G91" i="108"/>
  <c r="G69" i="108"/>
  <c r="G47" i="108"/>
  <c r="G27" i="108"/>
  <c r="G121" i="108"/>
  <c r="G103" i="108"/>
  <c r="F95" i="108"/>
  <c r="F75" i="108"/>
  <c r="F53" i="108"/>
  <c r="F31" i="108"/>
  <c r="F125" i="108"/>
  <c r="F109" i="108"/>
  <c r="F133" i="108"/>
  <c r="E37" i="108"/>
  <c r="E102" i="108"/>
  <c r="E54" i="108"/>
  <c r="E115" i="108"/>
  <c r="E71" i="108"/>
  <c r="E132" i="108"/>
  <c r="E105" i="108"/>
  <c r="E32" i="108"/>
  <c r="E39" i="108"/>
  <c r="E19" i="108"/>
  <c r="E83" i="108"/>
  <c r="E28" i="108"/>
  <c r="E92" i="108"/>
  <c r="H46" i="108"/>
  <c r="H96" i="108"/>
  <c r="H132" i="108"/>
  <c r="G56" i="108"/>
  <c r="G64" i="108"/>
  <c r="G111" i="108"/>
  <c r="H40" i="108"/>
  <c r="G11" i="108"/>
  <c r="G138" i="108"/>
  <c r="H92" i="108"/>
  <c r="H128" i="108"/>
  <c r="G80" i="108"/>
  <c r="G120" i="108"/>
  <c r="E33" i="108"/>
  <c r="E81" i="108"/>
  <c r="E126" i="108"/>
  <c r="G25" i="108"/>
  <c r="G49" i="108"/>
  <c r="G73" i="108"/>
  <c r="G97" i="108"/>
  <c r="E18" i="108"/>
  <c r="E42" i="108"/>
  <c r="E74" i="108"/>
  <c r="F99" i="108"/>
  <c r="C99" i="108" s="1"/>
  <c r="G113" i="108"/>
  <c r="G127" i="108"/>
  <c r="H74" i="108"/>
  <c r="G82" i="108"/>
  <c r="F19" i="108"/>
  <c r="F92" i="108"/>
  <c r="F70" i="108"/>
  <c r="F48" i="108"/>
  <c r="F28" i="108"/>
  <c r="F124" i="108"/>
  <c r="F108" i="108"/>
  <c r="H8" i="108"/>
  <c r="H79" i="108"/>
  <c r="H59" i="108"/>
  <c r="H37" i="108"/>
  <c r="H131" i="108"/>
  <c r="H112" i="108"/>
  <c r="G16" i="108"/>
  <c r="G87" i="108"/>
  <c r="G67" i="108"/>
  <c r="G45" i="108"/>
  <c r="G23" i="108"/>
  <c r="G117" i="108"/>
  <c r="G101" i="108"/>
  <c r="F93" i="108"/>
  <c r="F71" i="108"/>
  <c r="F51" i="108"/>
  <c r="F29" i="108"/>
  <c r="F123" i="108"/>
  <c r="F105" i="108"/>
  <c r="F121" i="108"/>
  <c r="F23" i="108"/>
  <c r="F137" i="108"/>
  <c r="E45" i="108"/>
  <c r="E122" i="108"/>
  <c r="E62" i="108"/>
  <c r="E123" i="108"/>
  <c r="E79" i="108"/>
  <c r="E14" i="108"/>
  <c r="E112" i="108"/>
  <c r="E64" i="108"/>
  <c r="E16" i="108"/>
  <c r="E27" i="108"/>
  <c r="E91" i="108"/>
  <c r="E36" i="108"/>
  <c r="H106" i="108"/>
  <c r="H24" i="108"/>
  <c r="H86" i="108"/>
  <c r="H124" i="108"/>
  <c r="G46" i="108"/>
  <c r="G54" i="108"/>
  <c r="G104" i="108"/>
  <c r="H30" i="108"/>
  <c r="G94" i="108"/>
  <c r="G130" i="108"/>
  <c r="H80" i="108"/>
  <c r="H120" i="108"/>
  <c r="G70" i="108"/>
  <c r="F33" i="108"/>
  <c r="F81" i="108"/>
  <c r="F126" i="108"/>
  <c r="H25" i="108"/>
  <c r="H49" i="108"/>
  <c r="H73" i="108"/>
  <c r="H97" i="108"/>
  <c r="F18" i="108"/>
  <c r="F42" i="108"/>
  <c r="F74" i="108"/>
  <c r="H113" i="108"/>
  <c r="H127" i="108"/>
  <c r="H66" i="108"/>
  <c r="G74" i="108"/>
  <c r="F15" i="108"/>
  <c r="F88" i="108"/>
  <c r="F68" i="108"/>
  <c r="F46" i="108"/>
  <c r="F24" i="108"/>
  <c r="F122" i="108"/>
  <c r="F104" i="108"/>
  <c r="H6" i="108"/>
  <c r="H77" i="108"/>
  <c r="H55" i="108"/>
  <c r="H35" i="108"/>
  <c r="H129" i="108"/>
  <c r="H110" i="108"/>
  <c r="G14" i="108"/>
  <c r="G85" i="108"/>
  <c r="G63" i="108"/>
  <c r="G43" i="108"/>
  <c r="G137" i="108"/>
  <c r="G115" i="108"/>
  <c r="F20" i="108"/>
  <c r="F91" i="108"/>
  <c r="F69" i="108"/>
  <c r="F47" i="108"/>
  <c r="F27" i="108"/>
  <c r="F103" i="108"/>
  <c r="F101" i="108"/>
  <c r="F110" i="108"/>
  <c r="E53" i="108"/>
  <c r="E130" i="108"/>
  <c r="E70" i="108"/>
  <c r="E131" i="108"/>
  <c r="E87" i="108"/>
  <c r="E23" i="108"/>
  <c r="E117" i="108"/>
  <c r="G17" i="108"/>
  <c r="E40" i="108"/>
  <c r="E35" i="108"/>
  <c r="E100" i="108"/>
  <c r="E44" i="108"/>
  <c r="E109" i="108"/>
  <c r="H88" i="108"/>
  <c r="E21" i="108"/>
  <c r="H76" i="108"/>
  <c r="H116" i="108"/>
  <c r="G36" i="108"/>
  <c r="H11" i="108"/>
  <c r="H138" i="108"/>
  <c r="G84" i="108"/>
  <c r="G122" i="108"/>
  <c r="H70" i="108"/>
  <c r="G60" i="108"/>
  <c r="G108" i="108"/>
  <c r="G33" i="108"/>
  <c r="G81" i="108"/>
  <c r="E134" i="108"/>
  <c r="E41" i="108"/>
  <c r="E65" i="108"/>
  <c r="E89" i="108"/>
  <c r="E106" i="108"/>
  <c r="G18" i="108"/>
  <c r="E50" i="108"/>
  <c r="E82" i="108"/>
  <c r="E107" i="108"/>
  <c r="E119" i="108"/>
  <c r="E135" i="108"/>
  <c r="H58" i="108"/>
  <c r="G66" i="108"/>
  <c r="F13" i="108"/>
  <c r="F86" i="108"/>
  <c r="F64" i="108"/>
  <c r="F44" i="108"/>
  <c r="F22" i="108"/>
  <c r="F120" i="108"/>
  <c r="F102" i="108"/>
  <c r="H95" i="108"/>
  <c r="H75" i="108"/>
  <c r="H53" i="108"/>
  <c r="H31" i="108"/>
  <c r="H125" i="108"/>
  <c r="H109" i="108"/>
  <c r="G12" i="108"/>
  <c r="G83" i="108"/>
  <c r="G61" i="108"/>
  <c r="G39" i="108"/>
  <c r="G133" i="108"/>
  <c r="G114" i="108"/>
  <c r="F16" i="108"/>
  <c r="F87" i="108"/>
  <c r="F67" i="108"/>
  <c r="F45" i="108"/>
  <c r="F117" i="108"/>
  <c r="F39" i="108"/>
  <c r="E61" i="108"/>
  <c r="E138" i="108"/>
  <c r="E78" i="108"/>
  <c r="E6" i="108"/>
  <c r="E95" i="108"/>
  <c r="E24" i="108"/>
  <c r="E125" i="108"/>
  <c r="G106" i="108"/>
  <c r="E56" i="108"/>
  <c r="E43" i="108"/>
  <c r="E108" i="108"/>
  <c r="E52" i="108"/>
  <c r="E114" i="108"/>
  <c r="H126" i="108"/>
  <c r="H36" i="108"/>
  <c r="H64" i="108"/>
  <c r="H111" i="108"/>
  <c r="G24" i="108"/>
  <c r="G32" i="108"/>
  <c r="H94" i="108"/>
  <c r="H130" i="108"/>
  <c r="G72" i="108"/>
  <c r="H60" i="108"/>
  <c r="H108" i="108"/>
  <c r="G48" i="108"/>
  <c r="G100" i="108"/>
  <c r="H33" i="108"/>
  <c r="H81" i="108"/>
  <c r="F134" i="108"/>
  <c r="F41" i="108"/>
  <c r="F65" i="108"/>
  <c r="F89" i="108"/>
  <c r="F106" i="108"/>
  <c r="H18" i="108"/>
  <c r="F50" i="108"/>
  <c r="F82" i="108"/>
  <c r="F107" i="108"/>
  <c r="F119" i="108"/>
  <c r="F135" i="108"/>
  <c r="H50" i="108"/>
  <c r="G58" i="108"/>
  <c r="F11" i="108"/>
  <c r="F84" i="108"/>
  <c r="F62" i="108"/>
  <c r="F40" i="108"/>
  <c r="F138" i="108"/>
  <c r="F116" i="108"/>
  <c r="F100" i="108"/>
  <c r="H93" i="108"/>
  <c r="H71" i="108"/>
  <c r="H51" i="108"/>
  <c r="H29" i="108"/>
  <c r="H123" i="108"/>
  <c r="H105" i="108"/>
  <c r="G8" i="108"/>
  <c r="G79" i="108"/>
  <c r="G59" i="108"/>
  <c r="G37" i="108"/>
  <c r="G131" i="108"/>
  <c r="G112" i="108"/>
  <c r="F14" i="108"/>
  <c r="F85" i="108"/>
  <c r="F63" i="108"/>
  <c r="F43" i="108"/>
  <c r="F115" i="108"/>
  <c r="E69" i="108"/>
  <c r="E12" i="108"/>
  <c r="E86" i="108"/>
  <c r="E15" i="108"/>
  <c r="E104" i="108"/>
  <c r="E48" i="108"/>
  <c r="E133" i="108"/>
  <c r="G126" i="108"/>
  <c r="E80" i="108"/>
  <c r="E51" i="108"/>
  <c r="E120" i="108"/>
  <c r="E60" i="108"/>
  <c r="E121" i="108"/>
  <c r="H78" i="108"/>
  <c r="G15" i="108"/>
  <c r="H54" i="108"/>
  <c r="H104" i="108"/>
  <c r="G13" i="108"/>
  <c r="G22" i="108"/>
  <c r="H84" i="108"/>
  <c r="H122" i="108"/>
  <c r="G62" i="108"/>
  <c r="H48" i="108"/>
  <c r="H100" i="108"/>
  <c r="G38" i="108"/>
  <c r="H17" i="108"/>
  <c r="E57" i="108"/>
  <c r="E9" i="108"/>
  <c r="G41" i="108"/>
  <c r="G65" i="108"/>
  <c r="G89" i="108"/>
  <c r="E10" i="108"/>
  <c r="E26" i="108"/>
  <c r="E58" i="108"/>
  <c r="E90" i="108"/>
  <c r="G107" i="108"/>
  <c r="G119" i="108"/>
  <c r="G135" i="108"/>
  <c r="H42" i="108"/>
  <c r="G50" i="108"/>
  <c r="F7" i="108"/>
  <c r="F80" i="108"/>
  <c r="F60" i="108"/>
  <c r="F38" i="108"/>
  <c r="F136" i="108"/>
  <c r="H20" i="108"/>
  <c r="H91" i="108"/>
  <c r="H69" i="108"/>
  <c r="H47" i="108"/>
  <c r="H27" i="108"/>
  <c r="H121" i="108"/>
  <c r="H103" i="108"/>
  <c r="G6" i="108"/>
  <c r="G77" i="108"/>
  <c r="G55" i="108"/>
  <c r="G35" i="108"/>
  <c r="G129" i="108"/>
  <c r="G110" i="108"/>
  <c r="F12" i="108"/>
  <c r="F83" i="108"/>
  <c r="F61" i="108"/>
  <c r="F114" i="108"/>
  <c r="E77" i="108"/>
  <c r="E30" i="108"/>
  <c r="E94" i="108"/>
  <c r="E47" i="108"/>
  <c r="E111" i="108"/>
  <c r="E72" i="108"/>
  <c r="E22" i="108"/>
  <c r="G134" i="108"/>
  <c r="G9" i="108"/>
  <c r="E59" i="108"/>
  <c r="E128" i="108"/>
  <c r="E68" i="108"/>
  <c r="E129" i="108"/>
  <c r="G78" i="108"/>
  <c r="F21" i="108"/>
  <c r="H44" i="108"/>
  <c r="H15" i="108"/>
  <c r="G96" i="108"/>
  <c r="G132" i="108"/>
  <c r="H72" i="108"/>
  <c r="G52" i="108"/>
  <c r="G102" i="108"/>
  <c r="H38" i="108"/>
  <c r="G19" i="108"/>
  <c r="G28" i="108"/>
  <c r="H9" i="108"/>
  <c r="F57" i="108"/>
  <c r="F9" i="108"/>
  <c r="H41" i="108"/>
  <c r="H65" i="108"/>
  <c r="H89" i="108"/>
  <c r="F10" i="108"/>
  <c r="F26" i="108"/>
  <c r="F58" i="108"/>
  <c r="F90" i="108"/>
  <c r="H107" i="108"/>
  <c r="H119" i="108"/>
  <c r="H135" i="108"/>
  <c r="H34" i="108"/>
  <c r="G42" i="108"/>
  <c r="G21" i="108"/>
  <c r="F78" i="108"/>
  <c r="F56" i="108"/>
  <c r="F36" i="108"/>
  <c r="F132" i="108"/>
  <c r="H16" i="108"/>
  <c r="H87" i="108"/>
  <c r="H67" i="108"/>
  <c r="H45" i="108"/>
  <c r="H23" i="108"/>
  <c r="H117" i="108"/>
  <c r="H101" i="108"/>
  <c r="G95" i="108"/>
  <c r="G75" i="108"/>
  <c r="G53" i="108"/>
  <c r="G31" i="108"/>
  <c r="G125" i="108"/>
  <c r="G109" i="108"/>
  <c r="F8" i="108"/>
  <c r="F79" i="108"/>
  <c r="F59" i="108"/>
  <c r="F37" i="108"/>
  <c r="F131" i="108"/>
  <c r="F112" i="108"/>
  <c r="R106" i="26"/>
  <c r="AX26" i="26"/>
  <c r="AX49" i="26"/>
  <c r="AX112" i="26"/>
  <c r="AX27" i="26"/>
  <c r="AX91" i="26"/>
  <c r="AX90" i="26"/>
  <c r="AX60" i="26"/>
  <c r="AX128" i="26"/>
  <c r="AX53" i="26"/>
  <c r="AX121" i="26"/>
  <c r="AX38" i="26"/>
  <c r="AX102" i="26"/>
  <c r="AX118" i="26"/>
  <c r="AX63" i="26"/>
  <c r="AX34" i="26"/>
  <c r="AX48" i="26"/>
  <c r="AX111" i="26"/>
  <c r="AX67" i="26"/>
  <c r="AX93" i="26"/>
  <c r="AX123" i="26"/>
  <c r="AX12" i="26"/>
  <c r="AX101" i="26"/>
  <c r="AX131" i="26"/>
  <c r="AX74" i="26"/>
  <c r="AX57" i="26"/>
  <c r="AX117" i="26"/>
  <c r="AX35" i="26"/>
  <c r="AX99" i="26"/>
  <c r="AX134" i="26"/>
  <c r="AX68" i="26"/>
  <c r="AX136" i="26"/>
  <c r="AX61" i="26"/>
  <c r="AX129" i="26"/>
  <c r="AX46" i="26"/>
  <c r="AX110" i="26"/>
  <c r="AX8" i="26"/>
  <c r="AX71" i="26"/>
  <c r="AX98" i="26"/>
  <c r="AX56" i="26"/>
  <c r="AX116" i="26"/>
  <c r="AX95" i="26"/>
  <c r="AX132" i="26"/>
  <c r="AX25" i="26"/>
  <c r="AX100" i="26"/>
  <c r="AX138" i="26"/>
  <c r="AX97" i="26"/>
  <c r="AX108" i="26"/>
  <c r="AX47" i="26"/>
  <c r="AX113" i="26"/>
  <c r="AX65" i="26"/>
  <c r="AX125" i="26"/>
  <c r="AX43" i="26"/>
  <c r="AX107" i="26"/>
  <c r="AX13" i="26"/>
  <c r="AX76" i="26"/>
  <c r="AX58" i="26"/>
  <c r="AX69" i="26"/>
  <c r="AX137" i="26"/>
  <c r="AX54" i="26"/>
  <c r="AX115" i="26"/>
  <c r="AX16" i="26"/>
  <c r="AX79" i="26"/>
  <c r="AX126" i="26"/>
  <c r="AX64" i="26"/>
  <c r="AX124" i="26"/>
  <c r="AX72" i="26"/>
  <c r="AX114" i="26"/>
  <c r="AX135" i="26"/>
  <c r="AX15" i="26"/>
  <c r="AX24" i="26"/>
  <c r="AX75" i="26"/>
  <c r="AX22" i="26"/>
  <c r="AX96" i="26"/>
  <c r="AX10" i="26"/>
  <c r="AX73" i="26"/>
  <c r="AX133" i="26"/>
  <c r="AX51" i="26"/>
  <c r="AX119" i="26"/>
  <c r="AX84" i="26"/>
  <c r="AX14" i="26"/>
  <c r="AX77" i="26"/>
  <c r="AX66" i="26"/>
  <c r="AX62" i="26"/>
  <c r="AX122" i="26"/>
  <c r="AX23" i="26"/>
  <c r="AX87" i="26"/>
  <c r="AX9" i="26"/>
  <c r="AX80" i="26"/>
  <c r="AX106" i="26"/>
  <c r="AX29" i="26"/>
  <c r="AX39" i="26"/>
  <c r="AX33" i="26"/>
  <c r="AX37" i="26"/>
  <c r="AX32" i="26"/>
  <c r="AX18" i="26"/>
  <c r="AX81" i="26"/>
  <c r="AX42" i="26"/>
  <c r="AX59" i="26"/>
  <c r="AX127" i="26"/>
  <c r="AX28" i="26"/>
  <c r="AX92" i="26"/>
  <c r="AX21" i="26"/>
  <c r="AX85" i="26"/>
  <c r="AX7" i="26"/>
  <c r="AX70" i="26"/>
  <c r="AX130" i="26"/>
  <c r="AX31" i="26"/>
  <c r="AX103" i="26"/>
  <c r="AX17" i="26"/>
  <c r="AX89" i="26"/>
  <c r="AX36" i="26"/>
  <c r="AX78" i="26"/>
  <c r="AX88" i="26"/>
  <c r="AX11" i="26"/>
  <c r="AX86" i="26"/>
  <c r="AX6" i="26"/>
  <c r="AX41" i="26"/>
  <c r="AX105" i="26"/>
  <c r="AX83" i="26"/>
  <c r="AX50" i="26"/>
  <c r="AX52" i="26"/>
  <c r="AX120" i="26"/>
  <c r="AX45" i="26"/>
  <c r="AX109" i="26"/>
  <c r="AX30" i="26"/>
  <c r="AX94" i="26"/>
  <c r="AX82" i="26"/>
  <c r="AX55" i="26"/>
  <c r="AX139" i="26"/>
  <c r="AX40" i="26"/>
  <c r="AX104" i="26"/>
  <c r="W114" i="26"/>
  <c r="AX44" i="26"/>
  <c r="AX19" i="26"/>
  <c r="O95" i="26"/>
  <c r="O6" i="26"/>
  <c r="E100" i="89"/>
  <c r="C100" i="89" s="1"/>
  <c r="E104" i="89"/>
  <c r="C104" i="89" s="1"/>
  <c r="E106" i="89"/>
  <c r="C106" i="89" s="1"/>
  <c r="E107" i="89"/>
  <c r="C107" i="89" s="1"/>
  <c r="E103" i="89"/>
  <c r="C103" i="89" s="1"/>
  <c r="E109" i="89"/>
  <c r="C109" i="89" s="1"/>
  <c r="E102" i="89"/>
  <c r="C102" i="89" s="1"/>
  <c r="E105" i="89"/>
  <c r="C105" i="89" s="1"/>
  <c r="E101" i="89"/>
  <c r="C101" i="89" s="1"/>
  <c r="E108" i="89"/>
  <c r="C108" i="89" s="1"/>
  <c r="AT146" i="24"/>
  <c r="AQ99" i="24"/>
  <c r="AN101" i="46"/>
  <c r="AL97" i="46"/>
  <c r="AL101" i="46"/>
  <c r="AR146" i="24"/>
  <c r="J146" i="24" s="1"/>
  <c r="AR103" i="24"/>
  <c r="J103" i="24" s="1"/>
  <c r="AL96" i="46"/>
  <c r="AL99" i="46"/>
  <c r="AT143" i="24"/>
  <c r="Q143" i="24" s="1"/>
  <c r="AL98" i="46"/>
  <c r="AB110" i="24"/>
  <c r="AB111" i="24"/>
  <c r="AB112" i="24"/>
  <c r="AB113" i="24"/>
  <c r="AR143" i="24"/>
  <c r="AU143" i="24"/>
  <c r="AU146" i="24"/>
  <c r="AU142" i="24"/>
  <c r="AR145" i="24"/>
  <c r="J145" i="24" s="1"/>
  <c r="AU145" i="24"/>
  <c r="D119" i="38"/>
  <c r="C119" i="38" s="1"/>
  <c r="D45" i="5"/>
  <c r="C45" i="5" s="1"/>
  <c r="D124" i="5"/>
  <c r="C124" i="5" s="1"/>
  <c r="D140" i="5"/>
  <c r="C140" i="5" s="1"/>
  <c r="D10" i="5"/>
  <c r="C10" i="5" s="1"/>
  <c r="I144" i="17"/>
  <c r="F104" i="36"/>
  <c r="D115" i="38"/>
  <c r="C115" i="38" s="1"/>
  <c r="H119" i="38"/>
  <c r="E92" i="89"/>
  <c r="C92" i="89" s="1"/>
  <c r="H24" i="36"/>
  <c r="H115" i="38"/>
  <c r="D133" i="79"/>
  <c r="C133" i="79" s="1"/>
  <c r="N136" i="98" s="1"/>
  <c r="D64" i="5"/>
  <c r="C64" i="5" s="1"/>
  <c r="D80" i="5"/>
  <c r="C80" i="5" s="1"/>
  <c r="H104" i="36"/>
  <c r="G24" i="36"/>
  <c r="E119" i="89"/>
  <c r="C119" i="89" s="1"/>
  <c r="D115" i="5"/>
  <c r="C115" i="5" s="1"/>
  <c r="D114" i="5"/>
  <c r="C114" i="5" s="1"/>
  <c r="I139" i="17"/>
  <c r="H118" i="38"/>
  <c r="D96" i="5"/>
  <c r="C96" i="5" s="1"/>
  <c r="D56" i="5"/>
  <c r="C56" i="5" s="1"/>
  <c r="I136" i="17"/>
  <c r="D53" i="5"/>
  <c r="C53" i="5" s="1"/>
  <c r="D135" i="5"/>
  <c r="C135" i="5" s="1"/>
  <c r="H113" i="38"/>
  <c r="E36" i="89"/>
  <c r="C36" i="89" s="1"/>
  <c r="I38" i="15"/>
  <c r="J53" i="15"/>
  <c r="I77" i="15"/>
  <c r="D37" i="5"/>
  <c r="C37" i="5" s="1"/>
  <c r="D126" i="5"/>
  <c r="C126" i="5" s="1"/>
  <c r="I35" i="15"/>
  <c r="J60" i="15"/>
  <c r="D84" i="5"/>
  <c r="C84" i="5" s="1"/>
  <c r="I136" i="15"/>
  <c r="J103" i="15"/>
  <c r="H101" i="36"/>
  <c r="D106" i="5"/>
  <c r="C106" i="5" s="1"/>
  <c r="E126" i="89"/>
  <c r="C126" i="89" s="1"/>
  <c r="D119" i="5"/>
  <c r="C119" i="5" s="1"/>
  <c r="D61" i="5"/>
  <c r="C61" i="5" s="1"/>
  <c r="D91" i="5"/>
  <c r="C91" i="5" s="1"/>
  <c r="G138" i="36"/>
  <c r="D111" i="38"/>
  <c r="C111" i="38" s="1"/>
  <c r="D28" i="5"/>
  <c r="C28" i="5" s="1"/>
  <c r="D118" i="38"/>
  <c r="C118" i="38" s="1"/>
  <c r="E94" i="89"/>
  <c r="C94" i="89" s="1"/>
  <c r="D99" i="5"/>
  <c r="C99" i="5" s="1"/>
  <c r="J73" i="15"/>
  <c r="J68" i="15"/>
  <c r="D120" i="5"/>
  <c r="C120" i="5" s="1"/>
  <c r="J61" i="15"/>
  <c r="D48" i="5"/>
  <c r="C48" i="5" s="1"/>
  <c r="G102" i="36"/>
  <c r="D69" i="5"/>
  <c r="C69" i="5" s="1"/>
  <c r="E128" i="89"/>
  <c r="C128" i="89" s="1"/>
  <c r="J140" i="15"/>
  <c r="D85" i="5"/>
  <c r="C85" i="5" s="1"/>
  <c r="I87" i="15"/>
  <c r="I93" i="15"/>
  <c r="E135" i="89"/>
  <c r="C135" i="89" s="1"/>
  <c r="I133" i="17"/>
  <c r="I41" i="15"/>
  <c r="D113" i="38"/>
  <c r="C113" i="38" s="1"/>
  <c r="D108" i="5"/>
  <c r="C108" i="5" s="1"/>
  <c r="E133" i="89"/>
  <c r="C133" i="89" s="1"/>
  <c r="E124" i="89"/>
  <c r="C124" i="89" s="1"/>
  <c r="D76" i="5"/>
  <c r="C76" i="5" s="1"/>
  <c r="D138" i="79"/>
  <c r="C138" i="79" s="1"/>
  <c r="N141" i="98" s="1"/>
  <c r="I127" i="15"/>
  <c r="J135" i="15"/>
  <c r="I76" i="15"/>
  <c r="J84" i="15"/>
  <c r="D116" i="38"/>
  <c r="C116" i="38" s="1"/>
  <c r="I69" i="15"/>
  <c r="I101" i="15"/>
  <c r="D66" i="5"/>
  <c r="C66" i="5" s="1"/>
  <c r="E60" i="89"/>
  <c r="C60" i="89" s="1"/>
  <c r="I135" i="17"/>
  <c r="I132" i="15"/>
  <c r="I63" i="15"/>
  <c r="D8" i="5"/>
  <c r="C8" i="5" s="1"/>
  <c r="F25" i="36"/>
  <c r="D101" i="5"/>
  <c r="C101" i="5" s="1"/>
  <c r="D131" i="79"/>
  <c r="C131" i="79" s="1"/>
  <c r="N134" i="98" s="1"/>
  <c r="E127" i="89"/>
  <c r="C127" i="89" s="1"/>
  <c r="D25" i="5"/>
  <c r="C25" i="5" s="1"/>
  <c r="D90" i="5"/>
  <c r="C90" i="5" s="1"/>
  <c r="D108" i="38"/>
  <c r="C108" i="38" s="1"/>
  <c r="D43" i="5"/>
  <c r="C43" i="5" s="1"/>
  <c r="E125" i="89"/>
  <c r="C125" i="89" s="1"/>
  <c r="H139" i="36"/>
  <c r="D121" i="5"/>
  <c r="C121" i="5" s="1"/>
  <c r="D112" i="38"/>
  <c r="C112" i="38" s="1"/>
  <c r="D136" i="79"/>
  <c r="C136" i="79" s="1"/>
  <c r="N139" i="98" s="1"/>
  <c r="J91" i="15"/>
  <c r="I44" i="15"/>
  <c r="D110" i="38"/>
  <c r="C110" i="38" s="1"/>
  <c r="D16" i="5"/>
  <c r="C16" i="5" s="1"/>
  <c r="I126" i="15"/>
  <c r="D26" i="5"/>
  <c r="C26" i="5" s="1"/>
  <c r="F101" i="36"/>
  <c r="I96" i="15"/>
  <c r="J85" i="15"/>
  <c r="D109" i="5"/>
  <c r="C109" i="5" s="1"/>
  <c r="D75" i="5"/>
  <c r="C75" i="5" s="1"/>
  <c r="D109" i="38"/>
  <c r="C109" i="38" s="1"/>
  <c r="D44" i="5"/>
  <c r="C44" i="5" s="1"/>
  <c r="D18" i="5"/>
  <c r="C18" i="5" s="1"/>
  <c r="D35" i="5"/>
  <c r="C35" i="5" s="1"/>
  <c r="J130" i="15"/>
  <c r="D24" i="5"/>
  <c r="C24" i="5" s="1"/>
  <c r="J58" i="15"/>
  <c r="D128" i="5"/>
  <c r="C128" i="5" s="1"/>
  <c r="D36" i="5"/>
  <c r="C36" i="5" s="1"/>
  <c r="E130" i="89"/>
  <c r="C130" i="89" s="1"/>
  <c r="D127" i="79"/>
  <c r="C127" i="79" s="1"/>
  <c r="N130" i="98" s="1"/>
  <c r="D132" i="79"/>
  <c r="C132" i="79" s="1"/>
  <c r="N135" i="98" s="1"/>
  <c r="I135" i="15"/>
  <c r="F103" i="36"/>
  <c r="I92" i="15"/>
  <c r="E136" i="89"/>
  <c r="C136" i="89" s="1"/>
  <c r="I105" i="15"/>
  <c r="E80" i="89"/>
  <c r="C80" i="89" s="1"/>
  <c r="D29" i="5"/>
  <c r="C29" i="5" s="1"/>
  <c r="H103" i="38"/>
  <c r="D59" i="5"/>
  <c r="C59" i="5" s="1"/>
  <c r="J141" i="15"/>
  <c r="I102" i="15"/>
  <c r="J42" i="15"/>
  <c r="D129" i="5"/>
  <c r="C129" i="5" s="1"/>
  <c r="D68" i="5"/>
  <c r="C68" i="5" s="1"/>
  <c r="D138" i="38"/>
  <c r="C138" i="38" s="1"/>
  <c r="D74" i="5"/>
  <c r="C74" i="5" s="1"/>
  <c r="I143" i="17"/>
  <c r="I138" i="17"/>
  <c r="E129" i="89"/>
  <c r="C129" i="89" s="1"/>
  <c r="D51" i="5"/>
  <c r="C51" i="5" s="1"/>
  <c r="I89" i="15"/>
  <c r="I139" i="15"/>
  <c r="F24" i="36"/>
  <c r="E134" i="89"/>
  <c r="C134" i="89" s="1"/>
  <c r="G101" i="36"/>
  <c r="D117" i="38"/>
  <c r="C117" i="38" s="1"/>
  <c r="G104" i="36"/>
  <c r="D82" i="5"/>
  <c r="C82" i="5" s="1"/>
  <c r="E138" i="89"/>
  <c r="C138" i="89" s="1"/>
  <c r="I45" i="15"/>
  <c r="D129" i="79"/>
  <c r="C129" i="79" s="1"/>
  <c r="N132" i="98" s="1"/>
  <c r="D126" i="79"/>
  <c r="C126" i="79" s="1"/>
  <c r="N129" i="98" s="1"/>
  <c r="J36" i="15"/>
  <c r="I51" i="15"/>
  <c r="I130" i="15"/>
  <c r="J138" i="15"/>
  <c r="J106" i="15"/>
  <c r="D93" i="5"/>
  <c r="C93" i="5" s="1"/>
  <c r="D12" i="5"/>
  <c r="C12" i="5" s="1"/>
  <c r="D137" i="5"/>
  <c r="C137" i="5" s="1"/>
  <c r="D34" i="5"/>
  <c r="C34" i="5" s="1"/>
  <c r="D132" i="5"/>
  <c r="C132" i="5" s="1"/>
  <c r="D110" i="5"/>
  <c r="C110" i="5" s="1"/>
  <c r="D46" i="5"/>
  <c r="C46" i="5" s="1"/>
  <c r="D89" i="5"/>
  <c r="C89" i="5" s="1"/>
  <c r="D133" i="5"/>
  <c r="C133" i="5" s="1"/>
  <c r="D87" i="5"/>
  <c r="C87" i="5" s="1"/>
  <c r="D11" i="5"/>
  <c r="C11" i="5" s="1"/>
  <c r="F23" i="36"/>
  <c r="H21" i="36"/>
  <c r="H107" i="38"/>
  <c r="H104" i="38"/>
  <c r="E137" i="38"/>
  <c r="H130" i="38"/>
  <c r="G136" i="38"/>
  <c r="F136" i="38" s="1"/>
  <c r="G128" i="38"/>
  <c r="F128" i="38" s="1"/>
  <c r="E136" i="38"/>
  <c r="E129" i="38"/>
  <c r="D135" i="38"/>
  <c r="C135" i="38" s="1"/>
  <c r="D127" i="38"/>
  <c r="C127" i="38" s="1"/>
  <c r="H121" i="38"/>
  <c r="H105" i="38"/>
  <c r="G116" i="38"/>
  <c r="F116" i="38" s="1"/>
  <c r="G111" i="38"/>
  <c r="F111" i="38" s="1"/>
  <c r="E118" i="38"/>
  <c r="G106" i="38"/>
  <c r="F106" i="38" s="1"/>
  <c r="E104" i="38"/>
  <c r="D102" i="38"/>
  <c r="C102" i="38" s="1"/>
  <c r="G27" i="38"/>
  <c r="F27" i="38" s="1"/>
  <c r="D27" i="38"/>
  <c r="C27" i="38" s="1"/>
  <c r="I46" i="15"/>
  <c r="E131" i="89"/>
  <c r="C131" i="89" s="1"/>
  <c r="E26" i="89"/>
  <c r="C26" i="89" s="1"/>
  <c r="D114" i="38"/>
  <c r="C114" i="38" s="1"/>
  <c r="D137" i="79"/>
  <c r="C137" i="79" s="1"/>
  <c r="N140" i="98" s="1"/>
  <c r="D124" i="79"/>
  <c r="C124" i="79" s="1"/>
  <c r="N127" i="98" s="1"/>
  <c r="I50" i="15"/>
  <c r="I83" i="15"/>
  <c r="I138" i="15"/>
  <c r="I95" i="15"/>
  <c r="D102" i="5"/>
  <c r="C102" i="5" s="1"/>
  <c r="D38" i="5"/>
  <c r="C38" i="5" s="1"/>
  <c r="D81" i="5"/>
  <c r="C81" i="5" s="1"/>
  <c r="D139" i="5"/>
  <c r="C139" i="5" s="1"/>
  <c r="D79" i="5"/>
  <c r="C79" i="5" s="1"/>
  <c r="D23" i="5"/>
  <c r="C23" i="5" s="1"/>
  <c r="D6" i="5"/>
  <c r="C6" i="5" s="1"/>
  <c r="I72" i="15"/>
  <c r="J134" i="15"/>
  <c r="I142" i="17"/>
  <c r="I132" i="17"/>
  <c r="G139" i="36"/>
  <c r="F102" i="36"/>
  <c r="F98" i="36"/>
  <c r="G21" i="36"/>
  <c r="H102" i="38"/>
  <c r="D137" i="38"/>
  <c r="C137" i="38" s="1"/>
  <c r="H129" i="38"/>
  <c r="G135" i="38"/>
  <c r="F135" i="38" s="1"/>
  <c r="G127" i="38"/>
  <c r="F127" i="38" s="1"/>
  <c r="E123" i="38"/>
  <c r="E128" i="38"/>
  <c r="D134" i="38"/>
  <c r="C134" i="38" s="1"/>
  <c r="D126" i="38"/>
  <c r="C126" i="38" s="1"/>
  <c r="G115" i="38"/>
  <c r="F115" i="38" s="1"/>
  <c r="G110" i="38"/>
  <c r="F110" i="38" s="1"/>
  <c r="E117" i="38"/>
  <c r="E112" i="38"/>
  <c r="G105" i="38"/>
  <c r="F105" i="38" s="1"/>
  <c r="E103" i="38"/>
  <c r="H30" i="38"/>
  <c r="E30" i="38"/>
  <c r="E96" i="89"/>
  <c r="C96" i="89" s="1"/>
  <c r="E82" i="89"/>
  <c r="C82" i="89" s="1"/>
  <c r="E114" i="89"/>
  <c r="C114" i="89" s="1"/>
  <c r="E42" i="89"/>
  <c r="C42" i="89" s="1"/>
  <c r="E97" i="89"/>
  <c r="C97" i="89" s="1"/>
  <c r="D125" i="79"/>
  <c r="C125" i="79" s="1"/>
  <c r="N128" i="98" s="1"/>
  <c r="J127" i="15"/>
  <c r="I90" i="15"/>
  <c r="D40" i="5"/>
  <c r="C40" i="5" s="1"/>
  <c r="D83" i="5"/>
  <c r="C83" i="5" s="1"/>
  <c r="D22" i="5"/>
  <c r="C22" i="5" s="1"/>
  <c r="D72" i="5"/>
  <c r="C72" i="5" s="1"/>
  <c r="D94" i="5"/>
  <c r="C94" i="5" s="1"/>
  <c r="D30" i="5"/>
  <c r="C30" i="5" s="1"/>
  <c r="D73" i="5"/>
  <c r="C73" i="5" s="1"/>
  <c r="D131" i="5"/>
  <c r="C131" i="5" s="1"/>
  <c r="D71" i="5"/>
  <c r="C71" i="5" s="1"/>
  <c r="J56" i="15"/>
  <c r="J72" i="15"/>
  <c r="I131" i="17"/>
  <c r="I146" i="17"/>
  <c r="H22" i="36"/>
  <c r="F139" i="36"/>
  <c r="G100" i="36"/>
  <c r="G105" i="36"/>
  <c r="G22" i="36"/>
  <c r="H110" i="38"/>
  <c r="H136" i="38"/>
  <c r="H128" i="38"/>
  <c r="G134" i="38"/>
  <c r="F134" i="38" s="1"/>
  <c r="G126" i="38"/>
  <c r="F126" i="38" s="1"/>
  <c r="E135" i="38"/>
  <c r="E127" i="38"/>
  <c r="D133" i="38"/>
  <c r="C133" i="38" s="1"/>
  <c r="D125" i="38"/>
  <c r="C125" i="38" s="1"/>
  <c r="H114" i="38"/>
  <c r="H108" i="38"/>
  <c r="E116" i="38"/>
  <c r="E111" i="38"/>
  <c r="G104" i="38"/>
  <c r="F104" i="38" s="1"/>
  <c r="E102" i="38"/>
  <c r="H29" i="38"/>
  <c r="E29" i="38"/>
  <c r="E52" i="89"/>
  <c r="C52" i="89" s="1"/>
  <c r="E76" i="89"/>
  <c r="C76" i="89" s="1"/>
  <c r="D17" i="5"/>
  <c r="C17" i="5" s="1"/>
  <c r="D135" i="79"/>
  <c r="C135" i="79" s="1"/>
  <c r="N138" i="98" s="1"/>
  <c r="I67" i="15"/>
  <c r="J52" i="15"/>
  <c r="J88" i="15"/>
  <c r="J101" i="15"/>
  <c r="J126" i="15"/>
  <c r="D32" i="5"/>
  <c r="C32" i="5" s="1"/>
  <c r="D50" i="5"/>
  <c r="C50" i="5" s="1"/>
  <c r="D88" i="5"/>
  <c r="C88" i="5" s="1"/>
  <c r="D14" i="5"/>
  <c r="C14" i="5" s="1"/>
  <c r="D86" i="5"/>
  <c r="C86" i="5" s="1"/>
  <c r="D125" i="5"/>
  <c r="C125" i="5" s="1"/>
  <c r="D65" i="5"/>
  <c r="C65" i="5" s="1"/>
  <c r="D123" i="5"/>
  <c r="C123" i="5" s="1"/>
  <c r="D63" i="5"/>
  <c r="C63" i="5" s="1"/>
  <c r="D15" i="5"/>
  <c r="C15" i="5" s="1"/>
  <c r="J64" i="15"/>
  <c r="J32" i="15"/>
  <c r="H25" i="36"/>
  <c r="F105" i="36"/>
  <c r="F22" i="36"/>
  <c r="H138" i="38"/>
  <c r="H135" i="38"/>
  <c r="H127" i="38"/>
  <c r="G133" i="38"/>
  <c r="F133" i="38" s="1"/>
  <c r="G125" i="38"/>
  <c r="F125" i="38" s="1"/>
  <c r="E134" i="38"/>
  <c r="E126" i="38"/>
  <c r="D132" i="38"/>
  <c r="C132" i="38" s="1"/>
  <c r="D124" i="38"/>
  <c r="C124" i="38" s="1"/>
  <c r="G121" i="38"/>
  <c r="F121" i="38" s="1"/>
  <c r="G114" i="38"/>
  <c r="F114" i="38" s="1"/>
  <c r="G109" i="38"/>
  <c r="F109" i="38" s="1"/>
  <c r="E115" i="38"/>
  <c r="E110" i="38"/>
  <c r="G103" i="38"/>
  <c r="F103" i="38" s="1"/>
  <c r="D107" i="38"/>
  <c r="C107" i="38" s="1"/>
  <c r="H28" i="38"/>
  <c r="E28" i="38"/>
  <c r="E30" i="89"/>
  <c r="C30" i="89" s="1"/>
  <c r="E62" i="89"/>
  <c r="C62" i="89" s="1"/>
  <c r="E70" i="89"/>
  <c r="C70" i="89" s="1"/>
  <c r="E88" i="89"/>
  <c r="C88" i="89" s="1"/>
  <c r="E50" i="89"/>
  <c r="C50" i="89" s="1"/>
  <c r="I49" i="15"/>
  <c r="D92" i="5"/>
  <c r="C92" i="5" s="1"/>
  <c r="D118" i="5"/>
  <c r="C118" i="5" s="1"/>
  <c r="D60" i="5"/>
  <c r="C60" i="5" s="1"/>
  <c r="D58" i="5"/>
  <c r="C58" i="5" s="1"/>
  <c r="D120" i="38"/>
  <c r="C120" i="38" s="1"/>
  <c r="D107" i="5"/>
  <c r="C107" i="5" s="1"/>
  <c r="D130" i="79"/>
  <c r="C130" i="79" s="1"/>
  <c r="N133" i="98" s="1"/>
  <c r="J83" i="15"/>
  <c r="I86" i="15"/>
  <c r="J66" i="15"/>
  <c r="D98" i="5"/>
  <c r="C98" i="5" s="1"/>
  <c r="D122" i="5"/>
  <c r="C122" i="5" s="1"/>
  <c r="D62" i="5"/>
  <c r="C62" i="5" s="1"/>
  <c r="D105" i="5"/>
  <c r="C105" i="5" s="1"/>
  <c r="D41" i="5"/>
  <c r="C41" i="5" s="1"/>
  <c r="D103" i="5"/>
  <c r="C103" i="5" s="1"/>
  <c r="D39" i="5"/>
  <c r="C39" i="5" s="1"/>
  <c r="D27" i="5"/>
  <c r="C27" i="5" s="1"/>
  <c r="I140" i="15"/>
  <c r="J65" i="15"/>
  <c r="I73" i="15"/>
  <c r="I137" i="17"/>
  <c r="I134" i="17"/>
  <c r="G25" i="36"/>
  <c r="G23" i="36"/>
  <c r="H102" i="36"/>
  <c r="H137" i="38"/>
  <c r="H132" i="38"/>
  <c r="H124" i="38"/>
  <c r="G130" i="38"/>
  <c r="F130" i="38" s="1"/>
  <c r="G122" i="38"/>
  <c r="F122" i="38" s="1"/>
  <c r="E131" i="38"/>
  <c r="E122" i="38"/>
  <c r="D129" i="38"/>
  <c r="C129" i="38" s="1"/>
  <c r="H116" i="38"/>
  <c r="H120" i="38"/>
  <c r="H112" i="38"/>
  <c r="G118" i="38"/>
  <c r="F118" i="38" s="1"/>
  <c r="E120" i="38"/>
  <c r="E108" i="38"/>
  <c r="E106" i="38"/>
  <c r="D104" i="38"/>
  <c r="C104" i="38" s="1"/>
  <c r="G29" i="38"/>
  <c r="F29" i="38" s="1"/>
  <c r="D28" i="38"/>
  <c r="C28" i="38" s="1"/>
  <c r="E28" i="89"/>
  <c r="C28" i="89" s="1"/>
  <c r="E54" i="89"/>
  <c r="C54" i="89" s="1"/>
  <c r="E46" i="89"/>
  <c r="C46" i="89" s="1"/>
  <c r="E40" i="89"/>
  <c r="C40" i="89" s="1"/>
  <c r="D121" i="38"/>
  <c r="C121" i="38" s="1"/>
  <c r="D52" i="5"/>
  <c r="C52" i="5" s="1"/>
  <c r="E137" i="89"/>
  <c r="C137" i="89" s="1"/>
  <c r="D128" i="79"/>
  <c r="C128" i="79" s="1"/>
  <c r="N131" i="98" s="1"/>
  <c r="I68" i="15"/>
  <c r="I75" i="15"/>
  <c r="J50" i="15"/>
  <c r="I70" i="15"/>
  <c r="I66" i="15"/>
  <c r="D104" i="5"/>
  <c r="C104" i="5" s="1"/>
  <c r="D20" i="5"/>
  <c r="C20" i="5" s="1"/>
  <c r="D113" i="5"/>
  <c r="C113" i="5" s="1"/>
  <c r="D42" i="5"/>
  <c r="C42" i="5" s="1"/>
  <c r="D67" i="5"/>
  <c r="C67" i="5" s="1"/>
  <c r="D54" i="5"/>
  <c r="C54" i="5" s="1"/>
  <c r="D97" i="5"/>
  <c r="C97" i="5" s="1"/>
  <c r="D33" i="5"/>
  <c r="C33" i="5" s="1"/>
  <c r="D95" i="5"/>
  <c r="C95" i="5" s="1"/>
  <c r="D31" i="5"/>
  <c r="C31" i="5" s="1"/>
  <c r="D19" i="5"/>
  <c r="C19" i="5" s="1"/>
  <c r="I57" i="15"/>
  <c r="I140" i="17"/>
  <c r="F138" i="36"/>
  <c r="H100" i="36"/>
  <c r="G98" i="36"/>
  <c r="G137" i="38"/>
  <c r="F137" i="38" s="1"/>
  <c r="H131" i="38"/>
  <c r="H122" i="38"/>
  <c r="G129" i="38"/>
  <c r="F129" i="38" s="1"/>
  <c r="H123" i="38"/>
  <c r="E130" i="38"/>
  <c r="D136" i="38"/>
  <c r="C136" i="38" s="1"/>
  <c r="D128" i="38"/>
  <c r="C128" i="38" s="1"/>
  <c r="H111" i="38"/>
  <c r="G117" i="38"/>
  <c r="F117" i="38" s="1"/>
  <c r="G112" i="38"/>
  <c r="F112" i="38" s="1"/>
  <c r="E119" i="38"/>
  <c r="E113" i="38"/>
  <c r="G107" i="38"/>
  <c r="F107" i="38" s="1"/>
  <c r="E105" i="38"/>
  <c r="D103" i="38"/>
  <c r="C103" i="38" s="1"/>
  <c r="G28" i="38"/>
  <c r="F28" i="38" s="1"/>
  <c r="D29" i="38"/>
  <c r="C29" i="38" s="1"/>
  <c r="D78" i="5"/>
  <c r="C78" i="5" s="1"/>
  <c r="D55" i="5"/>
  <c r="C55" i="5" s="1"/>
  <c r="I134" i="15"/>
  <c r="H98" i="36"/>
  <c r="H126" i="38"/>
  <c r="E125" i="38"/>
  <c r="H117" i="38"/>
  <c r="H27" i="38"/>
  <c r="E38" i="89"/>
  <c r="C38" i="89" s="1"/>
  <c r="E98" i="89"/>
  <c r="C98" i="89" s="1"/>
  <c r="E48" i="89"/>
  <c r="C48" i="89" s="1"/>
  <c r="E120" i="89"/>
  <c r="C120" i="89" s="1"/>
  <c r="E87" i="89"/>
  <c r="C87" i="89" s="1"/>
  <c r="E71" i="89"/>
  <c r="C71" i="89" s="1"/>
  <c r="E55" i="89"/>
  <c r="C55" i="89" s="1"/>
  <c r="E39" i="89"/>
  <c r="C39" i="89" s="1"/>
  <c r="I61" i="15"/>
  <c r="I47" i="15"/>
  <c r="I85" i="15"/>
  <c r="J97" i="15"/>
  <c r="J74" i="15"/>
  <c r="J96" i="15"/>
  <c r="J44" i="15"/>
  <c r="I60" i="15"/>
  <c r="I65" i="15"/>
  <c r="J35" i="15"/>
  <c r="D105" i="38"/>
  <c r="C105" i="38" s="1"/>
  <c r="E89" i="89"/>
  <c r="C89" i="89" s="1"/>
  <c r="I103" i="15"/>
  <c r="J48" i="15"/>
  <c r="J93" i="15"/>
  <c r="D70" i="5"/>
  <c r="C70" i="5" s="1"/>
  <c r="D47" i="5"/>
  <c r="C47" i="5" s="1"/>
  <c r="J132" i="15"/>
  <c r="H138" i="36"/>
  <c r="F21" i="36"/>
  <c r="H125" i="38"/>
  <c r="E124" i="38"/>
  <c r="E114" i="38"/>
  <c r="G30" i="38"/>
  <c r="F30" i="38" s="1"/>
  <c r="E68" i="89"/>
  <c r="C68" i="89" s="1"/>
  <c r="E115" i="89"/>
  <c r="C115" i="89" s="1"/>
  <c r="E66" i="89"/>
  <c r="C66" i="89" s="1"/>
  <c r="E32" i="89"/>
  <c r="C32" i="89" s="1"/>
  <c r="E118" i="89"/>
  <c r="C118" i="89" s="1"/>
  <c r="E85" i="89"/>
  <c r="C85" i="89" s="1"/>
  <c r="E69" i="89"/>
  <c r="C69" i="89" s="1"/>
  <c r="E53" i="89"/>
  <c r="C53" i="89" s="1"/>
  <c r="E37" i="89"/>
  <c r="C37" i="89" s="1"/>
  <c r="J128" i="15"/>
  <c r="I37" i="15"/>
  <c r="J139" i="15"/>
  <c r="I53" i="15"/>
  <c r="J67" i="15"/>
  <c r="I106" i="15"/>
  <c r="J86" i="15"/>
  <c r="I39" i="15"/>
  <c r="I59" i="15"/>
  <c r="J95" i="15"/>
  <c r="J33" i="15"/>
  <c r="J54" i="15"/>
  <c r="D111" i="5"/>
  <c r="C111" i="5" s="1"/>
  <c r="G103" i="36"/>
  <c r="I128" i="15"/>
  <c r="J75" i="15"/>
  <c r="J94" i="15"/>
  <c r="J51" i="15"/>
  <c r="D77" i="5"/>
  <c r="C77" i="5" s="1"/>
  <c r="D117" i="5"/>
  <c r="C117" i="5" s="1"/>
  <c r="D21" i="5"/>
  <c r="C21" i="5" s="1"/>
  <c r="G132" i="38"/>
  <c r="F132" i="38" s="1"/>
  <c r="D131" i="38"/>
  <c r="C131" i="38" s="1"/>
  <c r="G120" i="38"/>
  <c r="F120" i="38" s="1"/>
  <c r="E27" i="38"/>
  <c r="E34" i="89"/>
  <c r="C34" i="89" s="1"/>
  <c r="E116" i="89"/>
  <c r="C116" i="89" s="1"/>
  <c r="E83" i="89"/>
  <c r="C83" i="89" s="1"/>
  <c r="E67" i="89"/>
  <c r="C67" i="89" s="1"/>
  <c r="E51" i="89"/>
  <c r="C51" i="89" s="1"/>
  <c r="E35" i="89"/>
  <c r="C35" i="89" s="1"/>
  <c r="J131" i="15"/>
  <c r="I33" i="15"/>
  <c r="J137" i="15"/>
  <c r="J129" i="15"/>
  <c r="J104" i="15"/>
  <c r="I42" i="15"/>
  <c r="J98" i="15"/>
  <c r="J99" i="15"/>
  <c r="J79" i="15"/>
  <c r="I100" i="15"/>
  <c r="I81" i="15"/>
  <c r="J59" i="15"/>
  <c r="J90" i="15"/>
  <c r="I55" i="15"/>
  <c r="J62" i="15"/>
  <c r="I58" i="15"/>
  <c r="J49" i="15"/>
  <c r="I48" i="15"/>
  <c r="H134" i="38"/>
  <c r="G108" i="38"/>
  <c r="F108" i="38" s="1"/>
  <c r="E56" i="89"/>
  <c r="C56" i="89" s="1"/>
  <c r="E75" i="89"/>
  <c r="C75" i="89" s="1"/>
  <c r="J78" i="15"/>
  <c r="I30" i="15"/>
  <c r="E121" i="38"/>
  <c r="E122" i="89"/>
  <c r="C122" i="89" s="1"/>
  <c r="I91" i="15"/>
  <c r="J82" i="15"/>
  <c r="D112" i="5"/>
  <c r="C112" i="5" s="1"/>
  <c r="D13" i="5"/>
  <c r="C13" i="5" s="1"/>
  <c r="I145" i="17"/>
  <c r="H23" i="36"/>
  <c r="G131" i="38"/>
  <c r="F131" i="38" s="1"/>
  <c r="D130" i="38"/>
  <c r="C130" i="38" s="1"/>
  <c r="G119" i="38"/>
  <c r="F119" i="38" s="1"/>
  <c r="E109" i="38"/>
  <c r="D30" i="38"/>
  <c r="C30" i="38" s="1"/>
  <c r="E90" i="89"/>
  <c r="C90" i="89" s="1"/>
  <c r="E81" i="89"/>
  <c r="C81" i="89" s="1"/>
  <c r="E65" i="89"/>
  <c r="C65" i="89" s="1"/>
  <c r="E49" i="89"/>
  <c r="C49" i="89" s="1"/>
  <c r="E33" i="89"/>
  <c r="C33" i="89" s="1"/>
  <c r="J69" i="15"/>
  <c r="J133" i="15"/>
  <c r="J136" i="15"/>
  <c r="J45" i="15"/>
  <c r="I40" i="15"/>
  <c r="I97" i="15"/>
  <c r="I98" i="15"/>
  <c r="I78" i="15"/>
  <c r="I62" i="15"/>
  <c r="I80" i="15"/>
  <c r="J81" i="15"/>
  <c r="J39" i="15"/>
  <c r="I54" i="15"/>
  <c r="J30" i="15"/>
  <c r="D116" i="5"/>
  <c r="C116" i="5" s="1"/>
  <c r="E133" i="38"/>
  <c r="E123" i="89"/>
  <c r="C123" i="89" s="1"/>
  <c r="E43" i="89"/>
  <c r="C43" i="89" s="1"/>
  <c r="I36" i="15"/>
  <c r="I56" i="15"/>
  <c r="J43" i="15"/>
  <c r="D130" i="5"/>
  <c r="C130" i="5" s="1"/>
  <c r="H106" i="38"/>
  <c r="E64" i="89"/>
  <c r="C64" i="89" s="1"/>
  <c r="E41" i="89"/>
  <c r="C41" i="89" s="1"/>
  <c r="D139" i="79"/>
  <c r="C139" i="79" s="1"/>
  <c r="N142" i="98" s="1"/>
  <c r="I34" i="15"/>
  <c r="D9" i="5"/>
  <c r="C9" i="5" s="1"/>
  <c r="D57" i="5"/>
  <c r="C57" i="5" s="1"/>
  <c r="J40" i="15"/>
  <c r="F100" i="36"/>
  <c r="G138" i="38"/>
  <c r="F138" i="38" s="1"/>
  <c r="G124" i="38"/>
  <c r="F124" i="38" s="1"/>
  <c r="D123" i="38"/>
  <c r="C123" i="38" s="1"/>
  <c r="G102" i="38"/>
  <c r="F102" i="38" s="1"/>
  <c r="E113" i="89"/>
  <c r="C113" i="89" s="1"/>
  <c r="E84" i="89"/>
  <c r="C84" i="89" s="1"/>
  <c r="E44" i="89"/>
  <c r="C44" i="89" s="1"/>
  <c r="E86" i="89"/>
  <c r="C86" i="89" s="1"/>
  <c r="E74" i="89"/>
  <c r="C74" i="89" s="1"/>
  <c r="E95" i="89"/>
  <c r="C95" i="89" s="1"/>
  <c r="E79" i="89"/>
  <c r="C79" i="89" s="1"/>
  <c r="E63" i="89"/>
  <c r="C63" i="89" s="1"/>
  <c r="E47" i="89"/>
  <c r="C47" i="89" s="1"/>
  <c r="E31" i="89"/>
  <c r="C31" i="89" s="1"/>
  <c r="J47" i="15"/>
  <c r="J77" i="15"/>
  <c r="I133" i="15"/>
  <c r="I137" i="15"/>
  <c r="I94" i="15"/>
  <c r="J37" i="15"/>
  <c r="I74" i="15"/>
  <c r="J102" i="15"/>
  <c r="J89" i="15"/>
  <c r="I31" i="15"/>
  <c r="J41" i="15"/>
  <c r="J46" i="15"/>
  <c r="D134" i="5"/>
  <c r="C134" i="5" s="1"/>
  <c r="I32" i="15"/>
  <c r="H109" i="38"/>
  <c r="E117" i="89"/>
  <c r="C117" i="89" s="1"/>
  <c r="E91" i="89"/>
  <c r="C91" i="89" s="1"/>
  <c r="E27" i="89"/>
  <c r="C27" i="89" s="1"/>
  <c r="I129" i="15"/>
  <c r="I82" i="15"/>
  <c r="I99" i="15"/>
  <c r="H133" i="38"/>
  <c r="E110" i="89"/>
  <c r="C110" i="89" s="1"/>
  <c r="E57" i="89"/>
  <c r="C57" i="89" s="1"/>
  <c r="I104" i="15"/>
  <c r="J80" i="15"/>
  <c r="J57" i="15"/>
  <c r="E132" i="89"/>
  <c r="C132" i="89" s="1"/>
  <c r="D134" i="79"/>
  <c r="C134" i="79" s="1"/>
  <c r="N137" i="98" s="1"/>
  <c r="J34" i="15"/>
  <c r="D127" i="5"/>
  <c r="C127" i="5" s="1"/>
  <c r="D49" i="5"/>
  <c r="C49" i="5" s="1"/>
  <c r="I141" i="15"/>
  <c r="I141" i="17"/>
  <c r="H105" i="36"/>
  <c r="E138" i="38"/>
  <c r="G123" i="38"/>
  <c r="F123" i="38" s="1"/>
  <c r="D122" i="38"/>
  <c r="C122" i="38" s="1"/>
  <c r="G113" i="38"/>
  <c r="F113" i="38" s="1"/>
  <c r="E107" i="38"/>
  <c r="E78" i="89"/>
  <c r="C78" i="89" s="1"/>
  <c r="E72" i="89"/>
  <c r="C72" i="89" s="1"/>
  <c r="E121" i="89"/>
  <c r="C121" i="89" s="1"/>
  <c r="E58" i="89"/>
  <c r="C58" i="89" s="1"/>
  <c r="E111" i="89"/>
  <c r="C111" i="89" s="1"/>
  <c r="E93" i="89"/>
  <c r="C93" i="89" s="1"/>
  <c r="E77" i="89"/>
  <c r="C77" i="89" s="1"/>
  <c r="E61" i="89"/>
  <c r="C61" i="89" s="1"/>
  <c r="E45" i="89"/>
  <c r="C45" i="89" s="1"/>
  <c r="E29" i="89"/>
  <c r="C29" i="89" s="1"/>
  <c r="J55" i="15"/>
  <c r="I52" i="15"/>
  <c r="J71" i="15"/>
  <c r="I131" i="15"/>
  <c r="I88" i="15"/>
  <c r="J31" i="15"/>
  <c r="I43" i="15"/>
  <c r="J100" i="15"/>
  <c r="J63" i="15"/>
  <c r="I79" i="15"/>
  <c r="I64" i="15"/>
  <c r="I84" i="15"/>
  <c r="J38" i="15"/>
  <c r="J70" i="15"/>
  <c r="D136" i="5"/>
  <c r="C136" i="5" s="1"/>
  <c r="D138" i="5"/>
  <c r="C138" i="5" s="1"/>
  <c r="H103" i="36"/>
  <c r="D106" i="38"/>
  <c r="C106" i="38" s="1"/>
  <c r="E112" i="89"/>
  <c r="C112" i="89" s="1"/>
  <c r="E59" i="89"/>
  <c r="C59" i="89" s="1"/>
  <c r="J105" i="15"/>
  <c r="J87" i="15"/>
  <c r="J92" i="15"/>
  <c r="E132" i="38"/>
  <c r="E73" i="89"/>
  <c r="C73" i="89" s="1"/>
  <c r="I71" i="15"/>
  <c r="J76" i="15"/>
  <c r="H135" i="36"/>
  <c r="H127" i="36"/>
  <c r="G132" i="36"/>
  <c r="F29" i="36"/>
  <c r="AG30" i="46"/>
  <c r="AH30" i="46"/>
  <c r="AI30" i="46"/>
  <c r="F137" i="36"/>
  <c r="F129" i="36"/>
  <c r="AJ30" i="46"/>
  <c r="D135" i="90"/>
  <c r="C135" i="90" s="1"/>
  <c r="AG29" i="46"/>
  <c r="D125" i="90"/>
  <c r="C125" i="90" s="1"/>
  <c r="G127" i="36"/>
  <c r="H128" i="36"/>
  <c r="G136" i="36"/>
  <c r="G134" i="36"/>
  <c r="H132" i="36"/>
  <c r="F127" i="36"/>
  <c r="F133" i="36"/>
  <c r="G129" i="36"/>
  <c r="F126" i="36"/>
  <c r="G29" i="36"/>
  <c r="F128" i="36"/>
  <c r="G137" i="36"/>
  <c r="D130" i="90"/>
  <c r="C130" i="90" s="1"/>
  <c r="H137" i="36"/>
  <c r="D136" i="90"/>
  <c r="C136" i="90" s="1"/>
  <c r="D133" i="90"/>
  <c r="C133" i="90" s="1"/>
  <c r="G135" i="36"/>
  <c r="F131" i="36"/>
  <c r="H136" i="36"/>
  <c r="H131" i="36"/>
  <c r="D122" i="90"/>
  <c r="C122" i="90" s="1"/>
  <c r="G124" i="36"/>
  <c r="F134" i="36"/>
  <c r="D126" i="90"/>
  <c r="C126" i="90" s="1"/>
  <c r="H129" i="36"/>
  <c r="H125" i="36"/>
  <c r="G126" i="36"/>
  <c r="H133" i="36"/>
  <c r="F124" i="36"/>
  <c r="D138" i="90"/>
  <c r="C138" i="90" s="1"/>
  <c r="G133" i="36"/>
  <c r="G128" i="36"/>
  <c r="F132" i="36"/>
  <c r="D128" i="90"/>
  <c r="C128" i="90" s="1"/>
  <c r="D134" i="90"/>
  <c r="C134" i="90" s="1"/>
  <c r="F135" i="36"/>
  <c r="G130" i="36"/>
  <c r="F125" i="36"/>
  <c r="H29" i="36"/>
  <c r="D101" i="90"/>
  <c r="C101" i="90" s="1"/>
  <c r="D131" i="90"/>
  <c r="C131" i="90" s="1"/>
  <c r="D123" i="90"/>
  <c r="C123" i="90" s="1"/>
  <c r="F130" i="36"/>
  <c r="H130" i="36"/>
  <c r="H126" i="36"/>
  <c r="D127" i="90"/>
  <c r="C127" i="90" s="1"/>
  <c r="H134" i="36"/>
  <c r="F136" i="36"/>
  <c r="G125" i="36"/>
  <c r="G131" i="36"/>
  <c r="D137" i="90"/>
  <c r="C137" i="90" s="1"/>
  <c r="D129" i="90"/>
  <c r="C129" i="90" s="1"/>
  <c r="H124" i="36"/>
  <c r="AG75" i="46"/>
  <c r="AJ76" i="46"/>
  <c r="AG83" i="46"/>
  <c r="AJ84" i="46"/>
  <c r="AH86" i="46"/>
  <c r="AI89" i="46"/>
  <c r="AG91" i="46"/>
  <c r="AH94" i="46"/>
  <c r="AG110" i="46"/>
  <c r="AJ111" i="46"/>
  <c r="AI116" i="46"/>
  <c r="AG117" i="46"/>
  <c r="AJ118" i="46"/>
  <c r="AI121" i="46"/>
  <c r="AG122" i="46"/>
  <c r="AJ123" i="46"/>
  <c r="AH125" i="46"/>
  <c r="AG130" i="46"/>
  <c r="AG144" i="46"/>
  <c r="AJ145" i="46"/>
  <c r="AJ70" i="46"/>
  <c r="AG99" i="46"/>
  <c r="AI101" i="46"/>
  <c r="AG145" i="46"/>
  <c r="AG116" i="46"/>
  <c r="AI100" i="46"/>
  <c r="AG78" i="46"/>
  <c r="AH89" i="46"/>
  <c r="AI111" i="46"/>
  <c r="AI123" i="46"/>
  <c r="AG133" i="46"/>
  <c r="AJ100" i="46"/>
  <c r="AG72" i="46"/>
  <c r="AG80" i="46"/>
  <c r="AI86" i="46"/>
  <c r="AG88" i="46"/>
  <c r="AJ89" i="46"/>
  <c r="AH91" i="46"/>
  <c r="AI94" i="46"/>
  <c r="AG107" i="46"/>
  <c r="AH110" i="46"/>
  <c r="AG115" i="46"/>
  <c r="AJ116" i="46"/>
  <c r="AH117" i="46"/>
  <c r="AJ121" i="46"/>
  <c r="AI125" i="46"/>
  <c r="AG127" i="46"/>
  <c r="AG135" i="46"/>
  <c r="AG76" i="46"/>
  <c r="AH87" i="46"/>
  <c r="AH114" i="46"/>
  <c r="AH111" i="46"/>
  <c r="AJ101" i="46"/>
  <c r="AH145" i="46"/>
  <c r="AJ87" i="46"/>
  <c r="AJ95" i="46"/>
  <c r="AG125" i="46"/>
  <c r="AJ134" i="46"/>
  <c r="AH72" i="46"/>
  <c r="AG77" i="46"/>
  <c r="AH80" i="46"/>
  <c r="AG85" i="46"/>
  <c r="AJ86" i="46"/>
  <c r="AH88" i="46"/>
  <c r="AI91" i="46"/>
  <c r="AG93" i="46"/>
  <c r="AJ94" i="46"/>
  <c r="AI110" i="46"/>
  <c r="AG112" i="46"/>
  <c r="AH115" i="46"/>
  <c r="AI117" i="46"/>
  <c r="AG119" i="46"/>
  <c r="AG124" i="46"/>
  <c r="AJ125" i="46"/>
  <c r="AG132" i="46"/>
  <c r="AJ85" i="46"/>
  <c r="AG92" i="46"/>
  <c r="AG111" i="46"/>
  <c r="AG118" i="46"/>
  <c r="AG70" i="46"/>
  <c r="AG81" i="46"/>
  <c r="AH118" i="46"/>
  <c r="AI126" i="46"/>
  <c r="AJ79" i="46"/>
  <c r="AI84" i="46"/>
  <c r="AG94" i="46"/>
  <c r="AG113" i="46"/>
  <c r="AI72" i="46"/>
  <c r="AG74" i="46"/>
  <c r="AI80" i="46"/>
  <c r="AG82" i="46"/>
  <c r="AH85" i="46"/>
  <c r="AI88" i="46"/>
  <c r="AG90" i="46"/>
  <c r="AJ91" i="46"/>
  <c r="AG109" i="46"/>
  <c r="AJ110" i="46"/>
  <c r="AH112" i="46"/>
  <c r="AI115" i="46"/>
  <c r="AJ117" i="46"/>
  <c r="AG101" i="46"/>
  <c r="AH132" i="46"/>
  <c r="AG137" i="46"/>
  <c r="AH79" i="46"/>
  <c r="AJ112" i="46"/>
  <c r="AG131" i="46"/>
  <c r="AH100" i="46"/>
  <c r="AI79" i="46"/>
  <c r="AI87" i="46"/>
  <c r="AI95" i="46"/>
  <c r="AI114" i="46"/>
  <c r="AG121" i="46"/>
  <c r="AG128" i="46"/>
  <c r="AG136" i="46"/>
  <c r="AG86" i="46"/>
  <c r="AJ114" i="46"/>
  <c r="AH121" i="46"/>
  <c r="AI70" i="46"/>
  <c r="AJ72" i="46"/>
  <c r="AG79" i="46"/>
  <c r="AJ80" i="46"/>
  <c r="AI85" i="46"/>
  <c r="AG87" i="46"/>
  <c r="AJ88" i="46"/>
  <c r="AG95" i="46"/>
  <c r="AH109" i="46"/>
  <c r="AI112" i="46"/>
  <c r="AG114" i="46"/>
  <c r="AJ115" i="46"/>
  <c r="AG120" i="46"/>
  <c r="AG126" i="46"/>
  <c r="AH101" i="46"/>
  <c r="AI132" i="46"/>
  <c r="AG134" i="46"/>
  <c r="AG100" i="46"/>
  <c r="AG84" i="46"/>
  <c r="AI109" i="46"/>
  <c r="AH126" i="46"/>
  <c r="AJ132" i="46"/>
  <c r="AG73" i="46"/>
  <c r="AG89" i="46"/>
  <c r="AG108" i="46"/>
  <c r="AH123" i="46"/>
  <c r="AH70" i="46"/>
  <c r="AI76" i="46"/>
  <c r="AH116" i="46"/>
  <c r="AI145" i="46"/>
  <c r="AH95" i="46"/>
  <c r="AG123" i="46"/>
  <c r="AH134" i="46"/>
  <c r="AH76" i="46"/>
  <c r="AH84" i="46"/>
  <c r="AJ109" i="46"/>
  <c r="AI134" i="46"/>
  <c r="AI118" i="46"/>
  <c r="AJ126" i="46"/>
  <c r="AG97" i="46"/>
  <c r="AG96" i="46"/>
  <c r="E96" i="73"/>
  <c r="F129" i="73"/>
  <c r="H140" i="73"/>
  <c r="G129" i="73"/>
  <c r="F134" i="73"/>
  <c r="E140" i="73"/>
  <c r="G127" i="73"/>
  <c r="G140" i="73"/>
  <c r="E130" i="73"/>
  <c r="F130" i="73"/>
  <c r="E31" i="73"/>
  <c r="F132" i="73"/>
  <c r="E99" i="73"/>
  <c r="E135" i="73"/>
  <c r="H30" i="73"/>
  <c r="F135" i="73"/>
  <c r="E134" i="73"/>
  <c r="G131" i="73"/>
  <c r="F98" i="73"/>
  <c r="G136" i="73"/>
  <c r="E127" i="73"/>
  <c r="E138" i="73"/>
  <c r="F99" i="73"/>
  <c r="F31" i="73"/>
  <c r="G134" i="73"/>
  <c r="F133" i="73"/>
  <c r="H130" i="73"/>
  <c r="G98" i="73"/>
  <c r="H96" i="73"/>
  <c r="H129" i="73"/>
  <c r="G31" i="73"/>
  <c r="F140" i="73"/>
  <c r="H128" i="73"/>
  <c r="H99" i="73"/>
  <c r="G137" i="73"/>
  <c r="G30" i="73"/>
  <c r="H133" i="73"/>
  <c r="F141" i="73"/>
  <c r="G141" i="73"/>
  <c r="F96" i="73"/>
  <c r="F137" i="73"/>
  <c r="G133" i="73"/>
  <c r="H138" i="73"/>
  <c r="H126" i="73"/>
  <c r="G132" i="73"/>
  <c r="H136" i="73"/>
  <c r="H139" i="73"/>
  <c r="F139" i="73"/>
  <c r="E98" i="73"/>
  <c r="G126" i="73"/>
  <c r="E129" i="73"/>
  <c r="E136" i="73"/>
  <c r="H132" i="73"/>
  <c r="F128" i="73"/>
  <c r="G138" i="73"/>
  <c r="E132" i="73"/>
  <c r="E137" i="73"/>
  <c r="E128" i="73"/>
  <c r="H131" i="73"/>
  <c r="F131" i="73"/>
  <c r="G96" i="73"/>
  <c r="G135" i="73"/>
  <c r="E133" i="73"/>
  <c r="G130" i="73"/>
  <c r="E139" i="73"/>
  <c r="F30" i="73"/>
  <c r="G128" i="73"/>
  <c r="E126" i="73"/>
  <c r="G99" i="73"/>
  <c r="F136" i="73"/>
  <c r="H141" i="73"/>
  <c r="F127" i="73"/>
  <c r="E141" i="73"/>
  <c r="E131" i="73"/>
  <c r="E30" i="73"/>
  <c r="H98" i="73"/>
  <c r="H134" i="73"/>
  <c r="F126" i="73"/>
  <c r="F138" i="73"/>
  <c r="G139" i="73"/>
  <c r="H137" i="73"/>
  <c r="AI21" i="24"/>
  <c r="D17" i="38"/>
  <c r="C17" i="38" s="1"/>
  <c r="E17" i="89"/>
  <c r="C17" i="89" s="1"/>
  <c r="E49" i="38"/>
  <c r="I119" i="15"/>
  <c r="J119" i="15"/>
  <c r="I110" i="15"/>
  <c r="J110" i="15"/>
  <c r="I107" i="15"/>
  <c r="J107" i="15"/>
  <c r="I124" i="15"/>
  <c r="J124" i="15"/>
  <c r="I116" i="15"/>
  <c r="J116" i="15"/>
  <c r="I114" i="15"/>
  <c r="J114" i="15"/>
  <c r="I108" i="15"/>
  <c r="G108" i="15" s="1"/>
  <c r="J108" i="15"/>
  <c r="I122" i="15"/>
  <c r="J122" i="15"/>
  <c r="I120" i="15"/>
  <c r="J120" i="15"/>
  <c r="I115" i="15"/>
  <c r="J115" i="15"/>
  <c r="J111" i="15"/>
  <c r="I111" i="15"/>
  <c r="G111" i="15" s="1"/>
  <c r="I125" i="15"/>
  <c r="J125" i="15"/>
  <c r="I113" i="15"/>
  <c r="J113" i="15"/>
  <c r="I118" i="15"/>
  <c r="J118" i="15"/>
  <c r="I109" i="15"/>
  <c r="J109" i="15"/>
  <c r="I117" i="15"/>
  <c r="J117" i="15"/>
  <c r="J123" i="15"/>
  <c r="I123" i="15"/>
  <c r="I121" i="15"/>
  <c r="J121" i="15"/>
  <c r="I112" i="15"/>
  <c r="J112" i="15"/>
  <c r="AR144" i="24"/>
  <c r="AP58" i="46"/>
  <c r="AP66" i="46"/>
  <c r="AR74" i="24"/>
  <c r="AP64" i="46"/>
  <c r="AS145" i="24"/>
  <c r="AT145" i="24"/>
  <c r="AS142" i="24"/>
  <c r="P142" i="24" s="1"/>
  <c r="AS146" i="24"/>
  <c r="AS143" i="24"/>
  <c r="P143" i="24" s="1"/>
  <c r="AO29" i="46"/>
  <c r="AO30" i="46"/>
  <c r="AK29" i="46"/>
  <c r="AK30" i="46"/>
  <c r="AK77" i="46"/>
  <c r="AO78" i="46"/>
  <c r="AK85" i="46"/>
  <c r="AO86" i="46"/>
  <c r="AK93" i="46"/>
  <c r="AO94" i="46"/>
  <c r="AK112" i="46"/>
  <c r="AO113" i="46"/>
  <c r="AK119" i="46"/>
  <c r="AK124" i="46"/>
  <c r="AO125" i="46"/>
  <c r="AO130" i="46"/>
  <c r="AK137" i="46"/>
  <c r="AO144" i="46"/>
  <c r="AO70" i="46"/>
  <c r="AK76" i="46"/>
  <c r="AO77" i="46"/>
  <c r="AK84" i="46"/>
  <c r="AO85" i="46"/>
  <c r="AK92" i="46"/>
  <c r="AO93" i="46"/>
  <c r="AK111" i="46"/>
  <c r="AO112" i="46"/>
  <c r="AK118" i="46"/>
  <c r="AO119" i="46"/>
  <c r="AK123" i="46"/>
  <c r="AO124" i="46"/>
  <c r="AK136" i="46"/>
  <c r="AO137" i="46"/>
  <c r="AK130" i="46"/>
  <c r="AK75" i="46"/>
  <c r="AO76" i="46"/>
  <c r="AO84" i="46"/>
  <c r="AK91" i="46"/>
  <c r="AO92" i="46"/>
  <c r="AK110" i="46"/>
  <c r="AO111" i="46"/>
  <c r="AK117" i="46"/>
  <c r="AO118" i="46"/>
  <c r="AK122" i="46"/>
  <c r="AO123" i="46"/>
  <c r="AK135" i="46"/>
  <c r="AO136" i="46"/>
  <c r="AO114" i="46"/>
  <c r="AK144" i="46"/>
  <c r="AK74" i="46"/>
  <c r="AO75" i="46"/>
  <c r="AK82" i="46"/>
  <c r="AO83" i="46"/>
  <c r="AK90" i="46"/>
  <c r="AO91" i="46"/>
  <c r="AK109" i="46"/>
  <c r="AO110" i="46"/>
  <c r="AO117" i="46"/>
  <c r="AO122" i="46"/>
  <c r="AK134" i="46"/>
  <c r="AO135" i="46"/>
  <c r="AO126" i="46"/>
  <c r="AK73" i="46"/>
  <c r="AO74" i="46"/>
  <c r="AK81" i="46"/>
  <c r="AO82" i="46"/>
  <c r="AK89" i="46"/>
  <c r="AO90" i="46"/>
  <c r="AK108" i="46"/>
  <c r="AO109" i="46"/>
  <c r="AK116" i="46"/>
  <c r="AK121" i="46"/>
  <c r="AK128" i="46"/>
  <c r="AK133" i="46"/>
  <c r="AO134" i="46"/>
  <c r="AO87" i="46"/>
  <c r="AO131" i="46"/>
  <c r="AK72" i="46"/>
  <c r="AO73" i="46"/>
  <c r="AK80" i="46"/>
  <c r="AO81" i="46"/>
  <c r="AK88" i="46"/>
  <c r="AO89" i="46"/>
  <c r="AK107" i="46"/>
  <c r="AO108" i="46"/>
  <c r="AK115" i="46"/>
  <c r="AO116" i="46"/>
  <c r="AO121" i="46"/>
  <c r="AK127" i="46"/>
  <c r="AO128" i="46"/>
  <c r="AK132" i="46"/>
  <c r="AO133" i="46"/>
  <c r="AO79" i="46"/>
  <c r="AO95" i="46"/>
  <c r="AK125" i="46"/>
  <c r="AO145" i="46"/>
  <c r="AO72" i="46"/>
  <c r="AK79" i="46"/>
  <c r="AO80" i="46"/>
  <c r="AK87" i="46"/>
  <c r="AO88" i="46"/>
  <c r="AK95" i="46"/>
  <c r="AO107" i="46"/>
  <c r="AK114" i="46"/>
  <c r="AO115" i="46"/>
  <c r="AK120" i="46"/>
  <c r="AK126" i="46"/>
  <c r="AO127" i="46"/>
  <c r="AK131" i="46"/>
  <c r="AO132" i="46"/>
  <c r="AK145" i="46"/>
  <c r="AK78" i="46"/>
  <c r="AK86" i="46"/>
  <c r="AK94" i="46"/>
  <c r="AK113" i="46"/>
  <c r="AO120" i="46"/>
  <c r="AK70" i="46"/>
  <c r="AN73" i="24"/>
  <c r="AL137" i="24"/>
  <c r="AK68" i="24"/>
  <c r="AP80" i="24"/>
  <c r="AK93" i="24"/>
  <c r="AQ63" i="24"/>
  <c r="AM75" i="24"/>
  <c r="AM81" i="24"/>
  <c r="AN93" i="24"/>
  <c r="AL126" i="24"/>
  <c r="AJ139" i="24"/>
  <c r="AO70" i="24"/>
  <c r="AN81" i="24"/>
  <c r="AQ93" i="24"/>
  <c r="AJ134" i="24"/>
  <c r="AQ81" i="24"/>
  <c r="AN31" i="24"/>
  <c r="AK63" i="24"/>
  <c r="AP93" i="24"/>
  <c r="AO68" i="24"/>
  <c r="AK81" i="24"/>
  <c r="AN77" i="24"/>
  <c r="AO87" i="24"/>
  <c r="AN137" i="24"/>
  <c r="AK147" i="24"/>
  <c r="AO78" i="24"/>
  <c r="AN39" i="24"/>
  <c r="AN143" i="24"/>
  <c r="AQ112" i="24"/>
  <c r="AO147" i="24"/>
  <c r="AQ52" i="24"/>
  <c r="AQ37" i="24"/>
  <c r="AO51" i="24"/>
  <c r="AL134" i="24"/>
  <c r="AJ91" i="24"/>
  <c r="AP49" i="24"/>
  <c r="AM120" i="24"/>
  <c r="AQ91" i="24"/>
  <c r="AO49" i="24"/>
  <c r="AQ116" i="24"/>
  <c r="AO75" i="24"/>
  <c r="AM113" i="24"/>
  <c r="AP143" i="24"/>
  <c r="AK45" i="24"/>
  <c r="AQ55" i="24"/>
  <c r="AO62" i="24"/>
  <c r="AO32" i="24"/>
  <c r="AO61" i="24"/>
  <c r="AJ79" i="24"/>
  <c r="AN94" i="24"/>
  <c r="AM51" i="24"/>
  <c r="AO95" i="24"/>
  <c r="AK59" i="24"/>
  <c r="AK139" i="24"/>
  <c r="AP138" i="24"/>
  <c r="AQ141" i="24"/>
  <c r="AM48" i="24"/>
  <c r="AK96" i="24"/>
  <c r="AQ148" i="24"/>
  <c r="AL121" i="24"/>
  <c r="AN111" i="24"/>
  <c r="AP142" i="24"/>
  <c r="AO142" i="24"/>
  <c r="AO119" i="24"/>
  <c r="AN123" i="24"/>
  <c r="AM137" i="24"/>
  <c r="AO125" i="24"/>
  <c r="AL131" i="24"/>
  <c r="AJ135" i="24"/>
  <c r="AN133" i="24"/>
  <c r="AN135" i="24"/>
  <c r="AP146" i="24"/>
  <c r="AP131" i="24"/>
  <c r="AQ128" i="24"/>
  <c r="AO127" i="24"/>
  <c r="AM124" i="24"/>
  <c r="AL123" i="24"/>
  <c r="AL117" i="24"/>
  <c r="AQ117" i="24"/>
  <c r="AL118" i="24"/>
  <c r="AP112" i="24"/>
  <c r="AO116" i="24"/>
  <c r="AJ89" i="24"/>
  <c r="AJ74" i="24"/>
  <c r="AP90" i="24"/>
  <c r="AN97" i="24"/>
  <c r="AK92" i="24"/>
  <c r="AJ94" i="24"/>
  <c r="AJ87" i="24"/>
  <c r="AJ132" i="24"/>
  <c r="AK89" i="24"/>
  <c r="AM38" i="24"/>
  <c r="AK38" i="24"/>
  <c r="AN147" i="24"/>
  <c r="AQ78" i="24"/>
  <c r="AQ134" i="24"/>
  <c r="AK144" i="24"/>
  <c r="AQ39" i="24"/>
  <c r="AQ96" i="24"/>
  <c r="AM136" i="24"/>
  <c r="AO96" i="24"/>
  <c r="AL112" i="24"/>
  <c r="AM37" i="24"/>
  <c r="AJ93" i="24"/>
  <c r="AO42" i="24"/>
  <c r="AL130" i="24"/>
  <c r="AM94" i="24"/>
  <c r="AP48" i="24"/>
  <c r="AM114" i="24"/>
  <c r="AO85" i="24"/>
  <c r="AO48" i="24"/>
  <c r="AO59" i="24"/>
  <c r="AN91" i="24"/>
  <c r="AO136" i="24"/>
  <c r="AO45" i="24"/>
  <c r="AK55" i="24"/>
  <c r="AL62" i="24"/>
  <c r="AP32" i="24"/>
  <c r="AJ97" i="24"/>
  <c r="AQ79" i="24"/>
  <c r="AO94" i="24"/>
  <c r="AN51" i="24"/>
  <c r="AO93" i="24"/>
  <c r="AQ58" i="24"/>
  <c r="AN131" i="24"/>
  <c r="AQ138" i="24"/>
  <c r="AL139" i="24"/>
  <c r="AN48" i="24"/>
  <c r="AL120" i="24"/>
  <c r="AM85" i="24"/>
  <c r="AK148" i="24"/>
  <c r="AN121" i="24"/>
  <c r="AO111" i="24"/>
  <c r="AQ140" i="24"/>
  <c r="AO137" i="24"/>
  <c r="AL122" i="24"/>
  <c r="AP137" i="24"/>
  <c r="AP125" i="24"/>
  <c r="AO132" i="24"/>
  <c r="AM140" i="24"/>
  <c r="AK135" i="24"/>
  <c r="AL125" i="24"/>
  <c r="AK134" i="24"/>
  <c r="AK145" i="24"/>
  <c r="AO146" i="24"/>
  <c r="AM127" i="24"/>
  <c r="AJ128" i="24"/>
  <c r="AL124" i="24"/>
  <c r="AM117" i="24"/>
  <c r="AJ117" i="24"/>
  <c r="AO89" i="24"/>
  <c r="AM146" i="24"/>
  <c r="AO80" i="24"/>
  <c r="AM78" i="24"/>
  <c r="AK88" i="24"/>
  <c r="AK137" i="24"/>
  <c r="AM142" i="24"/>
  <c r="AM147" i="24"/>
  <c r="AN95" i="24"/>
  <c r="AJ137" i="24"/>
  <c r="AJ147" i="24"/>
  <c r="AJ95" i="24"/>
  <c r="AP130" i="24"/>
  <c r="AN92" i="24"/>
  <c r="AN89" i="24"/>
  <c r="AO37" i="24"/>
  <c r="AO129" i="24"/>
  <c r="AM73" i="24"/>
  <c r="AK37" i="24"/>
  <c r="AO112" i="24"/>
  <c r="AQ77" i="24"/>
  <c r="AJ37" i="24"/>
  <c r="AQ113" i="24"/>
  <c r="AK56" i="24"/>
  <c r="AQ70" i="24"/>
  <c r="AJ45" i="24"/>
  <c r="AL55" i="24"/>
  <c r="AO71" i="24"/>
  <c r="AK32" i="24"/>
  <c r="AO97" i="24"/>
  <c r="AM79" i="24"/>
  <c r="AP94" i="24"/>
  <c r="AL48" i="24"/>
  <c r="AL91" i="24"/>
  <c r="AN54" i="24"/>
  <c r="AO131" i="24"/>
  <c r="AJ138" i="24"/>
  <c r="AM139" i="24"/>
  <c r="AQ43" i="24"/>
  <c r="AJ96" i="24"/>
  <c r="AL148" i="24"/>
  <c r="AP76" i="24"/>
  <c r="AQ111" i="24"/>
  <c r="AK136" i="24"/>
  <c r="AJ136" i="24"/>
  <c r="AQ137" i="24"/>
  <c r="AN125" i="24"/>
  <c r="AL132" i="24"/>
  <c r="AN140" i="24"/>
  <c r="AQ146" i="24"/>
  <c r="AM145" i="24"/>
  <c r="AM134" i="24"/>
  <c r="AP144" i="24"/>
  <c r="AM141" i="24"/>
  <c r="AJ127" i="24"/>
  <c r="AN127" i="24"/>
  <c r="AM123" i="24"/>
  <c r="AP117" i="24"/>
  <c r="AM122" i="24"/>
  <c r="AL111" i="24"/>
  <c r="AN112" i="24"/>
  <c r="AL115" i="24"/>
  <c r="AP116" i="24"/>
  <c r="AM89" i="24"/>
  <c r="AK74" i="24"/>
  <c r="AK98" i="24"/>
  <c r="AM84" i="24"/>
  <c r="AM65" i="24"/>
  <c r="AP124" i="24"/>
  <c r="AM83" i="24"/>
  <c r="AQ80" i="24"/>
  <c r="AQ130" i="24"/>
  <c r="AM130" i="24"/>
  <c r="AK142" i="24"/>
  <c r="AO86" i="24"/>
  <c r="AM95" i="24"/>
  <c r="AM126" i="24"/>
  <c r="AO81" i="24"/>
  <c r="AK83" i="24"/>
  <c r="AL96" i="24"/>
  <c r="AK87" i="24"/>
  <c r="AM76" i="24"/>
  <c r="AN148" i="24"/>
  <c r="AN124" i="24"/>
  <c r="AQ65" i="24"/>
  <c r="AM143" i="24"/>
  <c r="AM110" i="24"/>
  <c r="AK73" i="24"/>
  <c r="AK36" i="24"/>
  <c r="AM112" i="24"/>
  <c r="AM55" i="24"/>
  <c r="AP133" i="24"/>
  <c r="AM115" i="24"/>
  <c r="AO98" i="24"/>
  <c r="AP55" i="24"/>
  <c r="AK61" i="24"/>
  <c r="AL32" i="24"/>
  <c r="AQ97" i="24"/>
  <c r="AO69" i="24"/>
  <c r="AL94" i="24"/>
  <c r="AK42" i="24"/>
  <c r="AQ90" i="24"/>
  <c r="AP51" i="24"/>
  <c r="AO36" i="24"/>
  <c r="AK138" i="24"/>
  <c r="AP121" i="24"/>
  <c r="AN139" i="24"/>
  <c r="AO148" i="24"/>
  <c r="AJ118" i="24"/>
  <c r="AO91" i="24"/>
  <c r="AL145" i="24"/>
  <c r="AN34" i="24"/>
  <c r="AP110" i="24"/>
  <c r="AQ126" i="24"/>
  <c r="AQ38" i="24"/>
  <c r="AM148" i="24"/>
  <c r="AP134" i="24"/>
  <c r="AM144" i="24"/>
  <c r="AM132" i="24"/>
  <c r="AK146" i="24"/>
  <c r="AJ146" i="24"/>
  <c r="AQ144" i="24"/>
  <c r="AN134" i="24"/>
  <c r="AN141" i="24"/>
  <c r="AL135" i="24"/>
  <c r="AQ127" i="24"/>
  <c r="AL127" i="24"/>
  <c r="AJ119" i="24"/>
  <c r="AP111" i="24"/>
  <c r="AM111" i="24"/>
  <c r="AP115" i="24"/>
  <c r="AJ116" i="24"/>
  <c r="AJ88" i="24"/>
  <c r="AL74" i="24"/>
  <c r="AM97" i="24"/>
  <c r="AN84" i="24"/>
  <c r="AP95" i="24"/>
  <c r="AN58" i="24"/>
  <c r="AM60" i="24"/>
  <c r="AN129" i="24"/>
  <c r="AL68" i="24"/>
  <c r="AL129" i="24"/>
  <c r="AQ124" i="24"/>
  <c r="AK85" i="24"/>
  <c r="AL93" i="24"/>
  <c r="AQ119" i="24"/>
  <c r="I119" i="24" s="1"/>
  <c r="AL78" i="24"/>
  <c r="AJ124" i="24"/>
  <c r="AK72" i="24"/>
  <c r="AN96" i="24"/>
  <c r="AM70" i="24"/>
  <c r="AK70" i="24"/>
  <c r="AL144" i="24"/>
  <c r="AO60" i="24"/>
  <c r="AL136" i="24"/>
  <c r="AN90" i="24"/>
  <c r="AO65" i="24"/>
  <c r="AJ143" i="24"/>
  <c r="AP91" i="24"/>
  <c r="AJ145" i="24"/>
  <c r="AQ114" i="24"/>
  <c r="AP98" i="24"/>
  <c r="AO55" i="24"/>
  <c r="AM61" i="24"/>
  <c r="AK94" i="24"/>
  <c r="AJ92" i="24"/>
  <c r="AP69" i="24"/>
  <c r="AK71" i="24"/>
  <c r="AM42" i="24"/>
  <c r="AO76" i="24"/>
  <c r="AK39" i="24"/>
  <c r="AM34" i="24"/>
  <c r="AL138" i="24"/>
  <c r="AO121" i="24"/>
  <c r="AO139" i="24"/>
  <c r="AM63" i="24"/>
  <c r="AO120" i="24"/>
  <c r="AJ52" i="24"/>
  <c r="AL85" i="24"/>
  <c r="AO145" i="24"/>
  <c r="AJ148" i="24"/>
  <c r="AJ126" i="24"/>
  <c r="AQ143" i="24"/>
  <c r="AN146" i="24"/>
  <c r="AQ125" i="24"/>
  <c r="AP140" i="24"/>
  <c r="AN132" i="24"/>
  <c r="AK141" i="24"/>
  <c r="AN145" i="24"/>
  <c r="AQ142" i="24"/>
  <c r="AV142" i="24" s="1"/>
  <c r="AO134" i="24"/>
  <c r="AJ140" i="24"/>
  <c r="AP132" i="24"/>
  <c r="AN128" i="24"/>
  <c r="AQ123" i="24"/>
  <c r="AO124" i="24"/>
  <c r="AM121" i="24"/>
  <c r="AM119" i="24"/>
  <c r="AO52" i="24"/>
  <c r="AO130" i="24"/>
  <c r="AJ130" i="24"/>
  <c r="AJ38" i="24"/>
  <c r="AN118" i="24"/>
  <c r="AN120" i="24"/>
  <c r="AM80" i="24"/>
  <c r="AQ87" i="24"/>
  <c r="AO110" i="24"/>
  <c r="AM59" i="24"/>
  <c r="AK65" i="24"/>
  <c r="AJ59" i="24"/>
  <c r="AL69" i="24"/>
  <c r="AO143" i="24"/>
  <c r="AQ59" i="24"/>
  <c r="AP135" i="24"/>
  <c r="AN53" i="24"/>
  <c r="AP59" i="24"/>
  <c r="AJ129" i="24"/>
  <c r="AN85" i="24"/>
  <c r="AN126" i="24"/>
  <c r="AQ136" i="24"/>
  <c r="AL45" i="24"/>
  <c r="AP92" i="24"/>
  <c r="AQ94" i="24"/>
  <c r="AL61" i="24"/>
  <c r="AM82" i="24"/>
  <c r="AL92" i="24"/>
  <c r="AQ69" i="24"/>
  <c r="AJ71" i="24"/>
  <c r="AP42" i="24"/>
  <c r="AM72" i="24"/>
  <c r="AM39" i="24"/>
  <c r="AO34" i="24"/>
  <c r="AJ41" i="24"/>
  <c r="AP139" i="24"/>
  <c r="AQ60" i="24"/>
  <c r="AP120" i="24"/>
  <c r="AK52" i="24"/>
  <c r="AL52" i="24"/>
  <c r="AQ145" i="24"/>
  <c r="AW145" i="24" s="1"/>
  <c r="AM138" i="24"/>
  <c r="AQ122" i="24"/>
  <c r="AL142" i="24"/>
  <c r="AJ122" i="24"/>
  <c r="AN144" i="24"/>
  <c r="AM125" i="24"/>
  <c r="AM133" i="24"/>
  <c r="AM131" i="24"/>
  <c r="AL141" i="24"/>
  <c r="AP141" i="24"/>
  <c r="AJ142" i="24"/>
  <c r="AL133" i="24"/>
  <c r="AM135" i="24"/>
  <c r="AM128" i="24"/>
  <c r="AJ123" i="24"/>
  <c r="AJ121" i="24"/>
  <c r="AO118" i="24"/>
  <c r="AN110" i="24"/>
  <c r="AN113" i="24"/>
  <c r="AN114" i="24"/>
  <c r="AJ113" i="24"/>
  <c r="AP97" i="24"/>
  <c r="AP88" i="24"/>
  <c r="AM98" i="24"/>
  <c r="AK91" i="24"/>
  <c r="AP84" i="24"/>
  <c r="AQ98" i="24"/>
  <c r="AN86" i="24"/>
  <c r="AN88" i="24"/>
  <c r="AJ55" i="24"/>
  <c r="AN130" i="24"/>
  <c r="AM93" i="24"/>
  <c r="AQ147" i="24"/>
  <c r="AN119" i="24"/>
  <c r="AL147" i="24"/>
  <c r="AP54" i="24"/>
  <c r="AK86" i="24"/>
  <c r="AK95" i="24"/>
  <c r="AJ56" i="24"/>
  <c r="AL119" i="24"/>
  <c r="AL59" i="24"/>
  <c r="AJ65" i="24"/>
  <c r="AQ53" i="24"/>
  <c r="AP53" i="24"/>
  <c r="AN138" i="24"/>
  <c r="AP114" i="24"/>
  <c r="AL58" i="24"/>
  <c r="AP126" i="24"/>
  <c r="AL51" i="24"/>
  <c r="AN56" i="24"/>
  <c r="AO126" i="24"/>
  <c r="AO83" i="24"/>
  <c r="AL116" i="24"/>
  <c r="AO133" i="24"/>
  <c r="AM45" i="24"/>
  <c r="AO92" i="24"/>
  <c r="AQ71" i="24"/>
  <c r="AQ61" i="24"/>
  <c r="AM71" i="24"/>
  <c r="AM92" i="24"/>
  <c r="AN69" i="24"/>
  <c r="AJ51" i="24"/>
  <c r="AQ42" i="24"/>
  <c r="AJ68" i="24"/>
  <c r="AO39" i="24"/>
  <c r="AP145" i="24"/>
  <c r="AK41" i="24"/>
  <c r="AQ139" i="24"/>
  <c r="AJ48" i="24"/>
  <c r="AQ120" i="24"/>
  <c r="AM52" i="24"/>
  <c r="AL36" i="24"/>
  <c r="AQ121" i="24"/>
  <c r="AJ144" i="24"/>
  <c r="AP122" i="24"/>
  <c r="AP136" i="24"/>
  <c r="AN142" i="24"/>
  <c r="AJ125" i="24"/>
  <c r="AQ133" i="24"/>
  <c r="AJ131" i="24"/>
  <c r="AO140" i="24"/>
  <c r="AL140" i="24"/>
  <c r="AO141" i="24"/>
  <c r="AQ131" i="24"/>
  <c r="AK133" i="24"/>
  <c r="AO128" i="24"/>
  <c r="AP127" i="24"/>
  <c r="AO123" i="24"/>
  <c r="AN117" i="24"/>
  <c r="AJ110" i="24"/>
  <c r="AP113" i="24"/>
  <c r="AJ114" i="24"/>
  <c r="AL95" i="24"/>
  <c r="AN74" i="24"/>
  <c r="AM90" i="24"/>
  <c r="AM91" i="24"/>
  <c r="AQ84" i="24"/>
  <c r="AQ118" i="24"/>
  <c r="AQ88" i="24"/>
  <c r="AP147" i="24"/>
  <c r="AP56" i="24"/>
  <c r="AQ45" i="24"/>
  <c r="AP96" i="24"/>
  <c r="AJ120" i="24"/>
  <c r="AK140" i="24"/>
  <c r="AO122" i="24"/>
  <c r="AQ110" i="24"/>
  <c r="AJ115" i="24"/>
  <c r="AO74" i="24"/>
  <c r="AJ98" i="24"/>
  <c r="AM74" i="24"/>
  <c r="AP73" i="24"/>
  <c r="AJ64" i="24"/>
  <c r="AN57" i="24"/>
  <c r="AM67" i="24"/>
  <c r="AP66" i="24"/>
  <c r="AJ76" i="24"/>
  <c r="AN78" i="24"/>
  <c r="AJ63" i="24"/>
  <c r="AL79" i="24"/>
  <c r="AJ86" i="24"/>
  <c r="AL80" i="24"/>
  <c r="AJ70" i="24"/>
  <c r="AM62" i="24"/>
  <c r="AP71" i="24"/>
  <c r="AJ69" i="24"/>
  <c r="AN60" i="24"/>
  <c r="AN47" i="24"/>
  <c r="AJ54" i="24"/>
  <c r="AL40" i="24"/>
  <c r="AJ46" i="24"/>
  <c r="AQ50" i="24"/>
  <c r="AP38" i="24"/>
  <c r="AM88" i="24"/>
  <c r="AO115" i="24"/>
  <c r="AP123" i="24"/>
  <c r="AM69" i="24"/>
  <c r="AK60" i="24"/>
  <c r="AN52" i="24"/>
  <c r="AM116" i="24"/>
  <c r="AL146" i="24"/>
  <c r="AL114" i="24"/>
  <c r="AO90" i="24"/>
  <c r="AL97" i="24"/>
  <c r="AP86" i="24"/>
  <c r="AJ73" i="24"/>
  <c r="AL64" i="24"/>
  <c r="AP57" i="24"/>
  <c r="AN67" i="24"/>
  <c r="AQ66" i="24"/>
  <c r="AL76" i="24"/>
  <c r="AP78" i="24"/>
  <c r="AL63" i="24"/>
  <c r="AN79" i="24"/>
  <c r="AQ85" i="24"/>
  <c r="AN80" i="24"/>
  <c r="AL67" i="24"/>
  <c r="AN82" i="24"/>
  <c r="AL70" i="24"/>
  <c r="AQ68" i="24"/>
  <c r="AP60" i="24"/>
  <c r="AO47" i="24"/>
  <c r="AK54" i="24"/>
  <c r="AM40" i="24"/>
  <c r="AK46" i="24"/>
  <c r="AJ50" i="24"/>
  <c r="AL44" i="24"/>
  <c r="AK43" i="24"/>
  <c r="AM53" i="24"/>
  <c r="AP41" i="24"/>
  <c r="AL42" i="24"/>
  <c r="AJ36" i="24"/>
  <c r="AL37" i="24"/>
  <c r="AN33" i="24"/>
  <c r="AK31" i="24"/>
  <c r="AK78" i="24"/>
  <c r="AP68" i="24"/>
  <c r="AQ47" i="24"/>
  <c r="AO46" i="24"/>
  <c r="AN44" i="24"/>
  <c r="AM41" i="24"/>
  <c r="AK33" i="24"/>
  <c r="AN63" i="24"/>
  <c r="AJ58" i="24"/>
  <c r="AP50" i="24"/>
  <c r="AJ34" i="24"/>
  <c r="AN41" i="24"/>
  <c r="AO114" i="24"/>
  <c r="AQ49" i="24"/>
  <c r="AJ42" i="24"/>
  <c r="AK69" i="24"/>
  <c r="AP39" i="24"/>
  <c r="AM36" i="24"/>
  <c r="AJ141" i="24"/>
  <c r="AQ132" i="24"/>
  <c r="AJ111" i="24"/>
  <c r="AN98" i="24"/>
  <c r="AL98" i="24"/>
  <c r="AK90" i="24"/>
  <c r="AL83" i="24"/>
  <c r="AL73" i="24"/>
  <c r="AM64" i="24"/>
  <c r="AL75" i="24"/>
  <c r="AO67" i="24"/>
  <c r="AL87" i="24"/>
  <c r="AN76" i="24"/>
  <c r="AJ78" i="24"/>
  <c r="AO63" i="24"/>
  <c r="AP79" i="24"/>
  <c r="AQ83" i="24"/>
  <c r="AK79" i="24"/>
  <c r="AM66" i="24"/>
  <c r="AP82" i="24"/>
  <c r="AN68" i="24"/>
  <c r="AL65" i="24"/>
  <c r="AJ60" i="24"/>
  <c r="AP47" i="24"/>
  <c r="AL54" i="24"/>
  <c r="AN40" i="24"/>
  <c r="AM46" i="24"/>
  <c r="AK50" i="24"/>
  <c r="AM44" i="24"/>
  <c r="AM43" i="24"/>
  <c r="AJ53" i="24"/>
  <c r="AQ41" i="24"/>
  <c r="AN42" i="24"/>
  <c r="AL34" i="24"/>
  <c r="AN36" i="24"/>
  <c r="AO33" i="24"/>
  <c r="AM31" i="24"/>
  <c r="AO82" i="24"/>
  <c r="AJ82" i="24"/>
  <c r="AN65" i="24"/>
  <c r="AM54" i="24"/>
  <c r="AL50" i="24"/>
  <c r="AJ49" i="24"/>
  <c r="AL38" i="24"/>
  <c r="AP34" i="24"/>
  <c r="AO66" i="24"/>
  <c r="AJ80" i="24"/>
  <c r="AM47" i="24"/>
  <c r="AP44" i="24"/>
  <c r="AO41" i="24"/>
  <c r="AJ44" i="24"/>
  <c r="AM33" i="24"/>
  <c r="AM96" i="24"/>
  <c r="AN61" i="24"/>
  <c r="AN55" i="24"/>
  <c r="AM32" i="24"/>
  <c r="AO138" i="24"/>
  <c r="AP128" i="24"/>
  <c r="AL110" i="24"/>
  <c r="AP89" i="24"/>
  <c r="AQ95" i="24"/>
  <c r="AK97" i="24"/>
  <c r="AN83" i="24"/>
  <c r="AJ72" i="24"/>
  <c r="AO64" i="24"/>
  <c r="AN75" i="24"/>
  <c r="AJ66" i="24"/>
  <c r="AN87" i="24"/>
  <c r="AK75" i="24"/>
  <c r="AM77" i="24"/>
  <c r="AP63" i="24"/>
  <c r="AK77" i="24"/>
  <c r="AP62" i="24"/>
  <c r="AQ56" i="24"/>
  <c r="AO40" i="24"/>
  <c r="AN43" i="24"/>
  <c r="AQ36" i="24"/>
  <c r="AJ32" i="24"/>
  <c r="AQ82" i="24"/>
  <c r="AL60" i="24"/>
  <c r="AJ43" i="24"/>
  <c r="AL33" i="24"/>
  <c r="AP37" i="24"/>
  <c r="AO144" i="24"/>
  <c r="AQ51" i="24"/>
  <c r="I51" i="24" s="1"/>
  <c r="AN122" i="24"/>
  <c r="AP61" i="24"/>
  <c r="AJ133" i="24"/>
  <c r="AL128" i="24"/>
  <c r="AO113" i="24"/>
  <c r="AN116" i="24"/>
  <c r="AL89" i="24"/>
  <c r="AL90" i="24"/>
  <c r="AQ92" i="24"/>
  <c r="AP83" i="24"/>
  <c r="AL72" i="24"/>
  <c r="AJ57" i="24"/>
  <c r="AP75" i="24"/>
  <c r="AL66" i="24"/>
  <c r="AM86" i="24"/>
  <c r="AO57" i="24"/>
  <c r="AK76" i="24"/>
  <c r="AL57" i="24"/>
  <c r="AQ72" i="24"/>
  <c r="AP81" i="24"/>
  <c r="AQ73" i="24"/>
  <c r="AN62" i="24"/>
  <c r="AO73" i="24"/>
  <c r="AP58" i="24"/>
  <c r="AP65" i="24"/>
  <c r="AJ47" i="24"/>
  <c r="AJ61" i="24"/>
  <c r="AO54" i="24"/>
  <c r="AQ40" i="24"/>
  <c r="AP46" i="24"/>
  <c r="AM50" i="24"/>
  <c r="AO44" i="24"/>
  <c r="AO43" i="24"/>
  <c r="AK49" i="24"/>
  <c r="AN38" i="24"/>
  <c r="AJ39" i="24"/>
  <c r="AK34" i="24"/>
  <c r="AO31" i="24"/>
  <c r="AN32" i="24"/>
  <c r="AK51" i="24"/>
  <c r="AO135" i="24"/>
  <c r="AL113" i="24"/>
  <c r="AK84" i="24"/>
  <c r="AP64" i="24"/>
  <c r="AL77" i="24"/>
  <c r="AP70" i="24"/>
  <c r="AQ54" i="24"/>
  <c r="AK53" i="24"/>
  <c r="AJ31" i="24"/>
  <c r="AQ34" i="24"/>
  <c r="AQ48" i="24"/>
  <c r="AP52" i="24"/>
  <c r="AO77" i="24"/>
  <c r="AK82" i="24"/>
  <c r="AP148" i="24"/>
  <c r="AL143" i="24"/>
  <c r="AM129" i="24"/>
  <c r="AJ112" i="24"/>
  <c r="AL88" i="24"/>
  <c r="AL84" i="24"/>
  <c r="AJ90" i="24"/>
  <c r="AL82" i="24"/>
  <c r="AN72" i="24"/>
  <c r="AQ57" i="24"/>
  <c r="AP67" i="24"/>
  <c r="AN66" i="24"/>
  <c r="AP77" i="24"/>
  <c r="AP87" i="24"/>
  <c r="AJ75" i="24"/>
  <c r="AP85" i="24"/>
  <c r="AQ67" i="24"/>
  <c r="AJ81" i="24"/>
  <c r="AP72" i="24"/>
  <c r="AQ62" i="24"/>
  <c r="AO72" i="24"/>
  <c r="AM58" i="24"/>
  <c r="AK58" i="24"/>
  <c r="AL47" i="24"/>
  <c r="AN59" i="24"/>
  <c r="AP40" i="24"/>
  <c r="AM56" i="24"/>
  <c r="AQ46" i="24"/>
  <c r="AN50" i="24"/>
  <c r="AQ44" i="24"/>
  <c r="AP43" i="24"/>
  <c r="AL49" i="24"/>
  <c r="AN45" i="24"/>
  <c r="AL39" i="24"/>
  <c r="AN37" i="24"/>
  <c r="AQ33" i="24"/>
  <c r="AP31" i="24"/>
  <c r="AN115" i="24"/>
  <c r="AP119" i="24"/>
  <c r="AM118" i="24"/>
  <c r="AQ74" i="24"/>
  <c r="AQ75" i="24"/>
  <c r="AK67" i="24"/>
  <c r="AM87" i="24"/>
  <c r="AN71" i="24"/>
  <c r="AN46" i="24"/>
  <c r="AL41" i="24"/>
  <c r="AL53" i="24"/>
  <c r="AK80" i="24"/>
  <c r="AN136" i="24"/>
  <c r="AQ115" i="24"/>
  <c r="AQ32" i="24"/>
  <c r="AK143" i="24"/>
  <c r="AQ135" i="24"/>
  <c r="I135" i="24" s="1"/>
  <c r="AQ129" i="24"/>
  <c r="AP74" i="24"/>
  <c r="AO84" i="24"/>
  <c r="AQ89" i="24"/>
  <c r="AQ76" i="24"/>
  <c r="AN64" i="24"/>
  <c r="AK57" i="24"/>
  <c r="AJ67" i="24"/>
  <c r="AK66" i="24"/>
  <c r="AJ77" i="24"/>
  <c r="AL86" i="24"/>
  <c r="AQ64" i="24"/>
  <c r="AJ85" i="24"/>
  <c r="AK64" i="24"/>
  <c r="AL81" i="24"/>
  <c r="AN70" i="24"/>
  <c r="AJ62" i="24"/>
  <c r="AL71" i="24"/>
  <c r="AO58" i="24"/>
  <c r="AM68" i="24"/>
  <c r="AK47" i="24"/>
  <c r="AO56" i="24"/>
  <c r="AJ40" i="24"/>
  <c r="AL46" i="24"/>
  <c r="AL56" i="24"/>
  <c r="AO50" i="24"/>
  <c r="AK44" i="24"/>
  <c r="AO53" i="24"/>
  <c r="AM49" i="24"/>
  <c r="AP45" i="24"/>
  <c r="AO38" i="24"/>
  <c r="AP36" i="24"/>
  <c r="AJ33" i="24"/>
  <c r="AQ31" i="24"/>
  <c r="AP129" i="24"/>
  <c r="AK48" i="24"/>
  <c r="AO117" i="24"/>
  <c r="AO88" i="24"/>
  <c r="AM57" i="24"/>
  <c r="AO79" i="24"/>
  <c r="AK62" i="24"/>
  <c r="AK40" i="24"/>
  <c r="AN49" i="24"/>
  <c r="AL43" i="24"/>
  <c r="AL31" i="24"/>
  <c r="X22" i="113"/>
  <c r="Z22" i="113" s="1"/>
  <c r="X18" i="113"/>
  <c r="Z18" i="113" s="1"/>
  <c r="X27" i="113"/>
  <c r="Z27" i="113" s="1"/>
  <c r="X15" i="113"/>
  <c r="Z15" i="113" s="1"/>
  <c r="X26" i="113"/>
  <c r="Z26" i="113" s="1"/>
  <c r="X12" i="113"/>
  <c r="Z12" i="113" s="1"/>
  <c r="X20" i="113"/>
  <c r="Z20" i="113" s="1"/>
  <c r="X9" i="113"/>
  <c r="Z9" i="113" s="1"/>
  <c r="X23" i="113"/>
  <c r="Z23" i="113" s="1"/>
  <c r="X21" i="113"/>
  <c r="Z21" i="113" s="1"/>
  <c r="X8" i="113"/>
  <c r="Z8" i="113" s="1"/>
  <c r="X13" i="113"/>
  <c r="Z13" i="113" s="1"/>
  <c r="X16" i="113"/>
  <c r="Z16" i="113" s="1"/>
  <c r="X10" i="113"/>
  <c r="Z10" i="113" s="1"/>
  <c r="X24" i="113"/>
  <c r="Z24" i="113" s="1"/>
  <c r="X25" i="113"/>
  <c r="Z25" i="113" s="1"/>
  <c r="X17" i="113"/>
  <c r="Z17" i="113" s="1"/>
  <c r="X11" i="113"/>
  <c r="Z11" i="113" s="1"/>
  <c r="X14" i="113"/>
  <c r="Z14" i="113" s="1"/>
  <c r="X19" i="113"/>
  <c r="Z19" i="113" s="1"/>
  <c r="AN144" i="46"/>
  <c r="AT147" i="24"/>
  <c r="AU141" i="24"/>
  <c r="AQ145" i="46"/>
  <c r="AU148" i="24"/>
  <c r="AL144" i="46"/>
  <c r="AR147" i="24"/>
  <c r="AS141" i="24"/>
  <c r="AM145" i="46"/>
  <c r="AS148" i="24"/>
  <c r="AT141" i="24"/>
  <c r="AN145" i="46"/>
  <c r="AT148" i="24"/>
  <c r="Q148" i="24" s="1"/>
  <c r="AQ144" i="46"/>
  <c r="AU147" i="24"/>
  <c r="AR141" i="24"/>
  <c r="J141" i="24" s="1"/>
  <c r="AL145" i="46"/>
  <c r="AR148" i="24"/>
  <c r="J148" i="24" s="1"/>
  <c r="AM144" i="46"/>
  <c r="AS147" i="24"/>
  <c r="AS40" i="24"/>
  <c r="P40" i="24" s="1"/>
  <c r="AS31" i="24"/>
  <c r="P31" i="24" s="1"/>
  <c r="AP50" i="46"/>
  <c r="AP13" i="46"/>
  <c r="AP114" i="46"/>
  <c r="AP43" i="46"/>
  <c r="AP71" i="46"/>
  <c r="AP7" i="46"/>
  <c r="AP28" i="46"/>
  <c r="AP42" i="46"/>
  <c r="AT69" i="24"/>
  <c r="Q69" i="24" s="1"/>
  <c r="AT39" i="24"/>
  <c r="AU37" i="24"/>
  <c r="AP111" i="46"/>
  <c r="AR132" i="24"/>
  <c r="AR66" i="24"/>
  <c r="AT50" i="24"/>
  <c r="AR47" i="24"/>
  <c r="AP108" i="46"/>
  <c r="AP107" i="46"/>
  <c r="AM107" i="46"/>
  <c r="AS110" i="24"/>
  <c r="Y8" i="113"/>
  <c r="AA8" i="113" s="1"/>
  <c r="AB8" i="113" s="1"/>
  <c r="AU132" i="24"/>
  <c r="AP109" i="46"/>
  <c r="AL107" i="46"/>
  <c r="AR110" i="24"/>
  <c r="AS132" i="24"/>
  <c r="AP112" i="46"/>
  <c r="AS72" i="24"/>
  <c r="P72" i="24" s="1"/>
  <c r="AU69" i="24"/>
  <c r="AS64" i="24"/>
  <c r="P64" i="24" s="1"/>
  <c r="AU61" i="24"/>
  <c r="AS56" i="24"/>
  <c r="P56" i="24" s="1"/>
  <c r="AU53" i="24"/>
  <c r="AS48" i="24"/>
  <c r="P48" i="24" s="1"/>
  <c r="AU45" i="24"/>
  <c r="AP116" i="46"/>
  <c r="AT132" i="24"/>
  <c r="Q132" i="24" s="1"/>
  <c r="AS74" i="24"/>
  <c r="P74" i="24" s="1"/>
  <c r="AU71" i="24"/>
  <c r="AS66" i="24"/>
  <c r="P66" i="24" s="1"/>
  <c r="AU63" i="24"/>
  <c r="AS58" i="24"/>
  <c r="P58" i="24" s="1"/>
  <c r="AP59" i="46"/>
  <c r="AU59" i="24"/>
  <c r="AS54" i="24"/>
  <c r="P54" i="24" s="1"/>
  <c r="AP65" i="46"/>
  <c r="AP52" i="46"/>
  <c r="AU55" i="24"/>
  <c r="AS50" i="24"/>
  <c r="AU47" i="24"/>
  <c r="AS42" i="24"/>
  <c r="P42" i="24" s="1"/>
  <c r="AU39" i="24"/>
  <c r="AT72" i="24"/>
  <c r="AR69" i="24"/>
  <c r="AT61" i="24"/>
  <c r="Q61" i="24" s="1"/>
  <c r="AR58" i="24"/>
  <c r="J58" i="24" s="1"/>
  <c r="AT53" i="24"/>
  <c r="AT42" i="24"/>
  <c r="AR36" i="24"/>
  <c r="AS62" i="24"/>
  <c r="P62" i="24" s="1"/>
  <c r="AU51" i="24"/>
  <c r="AS46" i="24"/>
  <c r="P46" i="24" s="1"/>
  <c r="AU43" i="24"/>
  <c r="AS38" i="24"/>
  <c r="P38" i="24" s="1"/>
  <c r="AU34" i="24"/>
  <c r="AR63" i="24"/>
  <c r="AT58" i="24"/>
  <c r="Q58" i="24" s="1"/>
  <c r="AR55" i="24"/>
  <c r="AT47" i="24"/>
  <c r="Q47" i="24" s="1"/>
  <c r="AS70" i="24"/>
  <c r="P70" i="24" s="1"/>
  <c r="AU67" i="24"/>
  <c r="AR44" i="24"/>
  <c r="AT51" i="24"/>
  <c r="AP69" i="46"/>
  <c r="AT66" i="24"/>
  <c r="AR41" i="24"/>
  <c r="AT36" i="24"/>
  <c r="AS68" i="24"/>
  <c r="P68" i="24" s="1"/>
  <c r="AP26" i="46"/>
  <c r="AP19" i="46"/>
  <c r="AT68" i="24"/>
  <c r="Q68" i="24" s="1"/>
  <c r="AT65" i="24"/>
  <c r="Q65" i="24" s="1"/>
  <c r="AR62" i="24"/>
  <c r="AT57" i="24"/>
  <c r="Q57" i="24" s="1"/>
  <c r="AR54" i="24"/>
  <c r="J54" i="24" s="1"/>
  <c r="AT46" i="24"/>
  <c r="Q46" i="24" s="1"/>
  <c r="AR43" i="24"/>
  <c r="J43" i="24" s="1"/>
  <c r="AR40" i="24"/>
  <c r="AT34" i="24"/>
  <c r="AR31" i="24"/>
  <c r="AU74" i="24"/>
  <c r="AS69" i="24"/>
  <c r="P69" i="24" s="1"/>
  <c r="AU66" i="24"/>
  <c r="AS61" i="24"/>
  <c r="P61" i="24" s="1"/>
  <c r="AU58" i="24"/>
  <c r="AS53" i="24"/>
  <c r="P53" i="24" s="1"/>
  <c r="AU50" i="24"/>
  <c r="AS45" i="24"/>
  <c r="P45" i="24" s="1"/>
  <c r="AU42" i="24"/>
  <c r="AS37" i="24"/>
  <c r="P37" i="24" s="1"/>
  <c r="AP48" i="46"/>
  <c r="AT74" i="24"/>
  <c r="AR71" i="24"/>
  <c r="AT63" i="24"/>
  <c r="AR60" i="24"/>
  <c r="J60" i="24" s="1"/>
  <c r="AT55" i="24"/>
  <c r="AR52" i="24"/>
  <c r="J52" i="24" s="1"/>
  <c r="AR49" i="24"/>
  <c r="AT44" i="24"/>
  <c r="AR38" i="24"/>
  <c r="J38" i="24" s="1"/>
  <c r="AS71" i="24"/>
  <c r="P71" i="24" s="1"/>
  <c r="AU68" i="24"/>
  <c r="AS63" i="24"/>
  <c r="AU60" i="24"/>
  <c r="AS55" i="24"/>
  <c r="P55" i="24" s="1"/>
  <c r="AU52" i="24"/>
  <c r="AS47" i="24"/>
  <c r="P47" i="24" s="1"/>
  <c r="AU44" i="24"/>
  <c r="AS39" i="24"/>
  <c r="P39" i="24" s="1"/>
  <c r="AU36" i="24"/>
  <c r="AR83" i="24"/>
  <c r="AL80" i="46"/>
  <c r="AU65" i="24"/>
  <c r="AS60" i="24"/>
  <c r="P60" i="24" s="1"/>
  <c r="AU57" i="24"/>
  <c r="AS52" i="24"/>
  <c r="P52" i="24" s="1"/>
  <c r="AU49" i="24"/>
  <c r="AS44" i="24"/>
  <c r="P44" i="24" s="1"/>
  <c r="AU41" i="24"/>
  <c r="AS36" i="24"/>
  <c r="P36" i="24" s="1"/>
  <c r="AU70" i="24"/>
  <c r="AS65" i="24"/>
  <c r="P65" i="24" s="1"/>
  <c r="AU62" i="24"/>
  <c r="AS57" i="24"/>
  <c r="P57" i="24" s="1"/>
  <c r="AU54" i="24"/>
  <c r="AS49" i="24"/>
  <c r="P49" i="24" s="1"/>
  <c r="AU46" i="24"/>
  <c r="AS41" i="24"/>
  <c r="P41" i="24" s="1"/>
  <c r="AU38" i="24"/>
  <c r="AR72" i="24"/>
  <c r="AT67" i="24"/>
  <c r="Q67" i="24" s="1"/>
  <c r="AT64" i="24"/>
  <c r="Q64" i="24" s="1"/>
  <c r="AR61" i="24"/>
  <c r="AT56" i="24"/>
  <c r="AR53" i="24"/>
  <c r="J53" i="24" s="1"/>
  <c r="AR50" i="24"/>
  <c r="AT45" i="24"/>
  <c r="Q45" i="24" s="1"/>
  <c r="AR42" i="24"/>
  <c r="AR39" i="24"/>
  <c r="J39" i="24" s="1"/>
  <c r="AT70" i="24"/>
  <c r="Q70" i="24" s="1"/>
  <c r="AR67" i="24"/>
  <c r="AR64" i="24"/>
  <c r="J64" i="24" s="1"/>
  <c r="AT59" i="24"/>
  <c r="Q59" i="24" s="1"/>
  <c r="AR56" i="24"/>
  <c r="AT48" i="24"/>
  <c r="Q48" i="24" s="1"/>
  <c r="AR45" i="24"/>
  <c r="AT37" i="24"/>
  <c r="AU72" i="24"/>
  <c r="AS67" i="24"/>
  <c r="P67" i="24" s="1"/>
  <c r="AU64" i="24"/>
  <c r="AS59" i="24"/>
  <c r="P59" i="24" s="1"/>
  <c r="AU56" i="24"/>
  <c r="AS51" i="24"/>
  <c r="AU48" i="24"/>
  <c r="AS43" i="24"/>
  <c r="AU40" i="24"/>
  <c r="AS34" i="24"/>
  <c r="AU31" i="24"/>
  <c r="AR70" i="24"/>
  <c r="AT62" i="24"/>
  <c r="AR59" i="24"/>
  <c r="J59" i="24" s="1"/>
  <c r="AT54" i="24"/>
  <c r="Q54" i="24" s="1"/>
  <c r="AR51" i="24"/>
  <c r="J51" i="24" s="1"/>
  <c r="AR48" i="24"/>
  <c r="AT43" i="24"/>
  <c r="AT40" i="24"/>
  <c r="Q40" i="24" s="1"/>
  <c r="AR37" i="24"/>
  <c r="AT31" i="24"/>
  <c r="AT71" i="24"/>
  <c r="Q71" i="24" s="1"/>
  <c r="AR68" i="24"/>
  <c r="AR65" i="24"/>
  <c r="J65" i="24" s="1"/>
  <c r="AT60" i="24"/>
  <c r="Q60" i="24" s="1"/>
  <c r="AR57" i="24"/>
  <c r="AT52" i="24"/>
  <c r="AT49" i="24"/>
  <c r="Q49" i="24" s="1"/>
  <c r="AR46" i="24"/>
  <c r="AT41" i="24"/>
  <c r="AT38" i="24"/>
  <c r="Q38" i="24" s="1"/>
  <c r="AR34" i="24"/>
  <c r="J34" i="24" s="1"/>
  <c r="AN117" i="46"/>
  <c r="AT120" i="24"/>
  <c r="AN111" i="46"/>
  <c r="AT114" i="24"/>
  <c r="AN137" i="46"/>
  <c r="AT140" i="24"/>
  <c r="AL132" i="46"/>
  <c r="AR135" i="24"/>
  <c r="J135" i="24" s="1"/>
  <c r="AN127" i="46"/>
  <c r="AT130" i="24"/>
  <c r="AN122" i="46"/>
  <c r="AT125" i="24"/>
  <c r="AM114" i="46"/>
  <c r="AS117" i="24"/>
  <c r="Y15" i="113"/>
  <c r="AA15" i="113" s="1"/>
  <c r="AQ108" i="46"/>
  <c r="AU111" i="24"/>
  <c r="AN91" i="46"/>
  <c r="AT94" i="24"/>
  <c r="Q94" i="24" s="1"/>
  <c r="AL88" i="46"/>
  <c r="AR91" i="24"/>
  <c r="AN83" i="46"/>
  <c r="AT86" i="24"/>
  <c r="Q86" i="24" s="1"/>
  <c r="AL79" i="46"/>
  <c r="AR82" i="24"/>
  <c r="J82" i="24" s="1"/>
  <c r="AN74" i="46"/>
  <c r="AT77" i="24"/>
  <c r="AL29" i="46"/>
  <c r="AR32" i="24"/>
  <c r="AQ135" i="46"/>
  <c r="AU138" i="24"/>
  <c r="AM130" i="46"/>
  <c r="AS133" i="24"/>
  <c r="AQ127" i="46"/>
  <c r="AU130" i="24"/>
  <c r="Y24" i="113"/>
  <c r="AA24" i="113" s="1"/>
  <c r="AB24" i="113" s="1"/>
  <c r="AQ119" i="46"/>
  <c r="AU122" i="24"/>
  <c r="AM111" i="46"/>
  <c r="AS114" i="24"/>
  <c r="Y12" i="113"/>
  <c r="AA12" i="113" s="1"/>
  <c r="AB12" i="113" s="1"/>
  <c r="AQ95" i="46"/>
  <c r="AU98" i="24"/>
  <c r="AM90" i="46"/>
  <c r="AS93" i="24"/>
  <c r="AQ87" i="46"/>
  <c r="AU90" i="24"/>
  <c r="AM82" i="46"/>
  <c r="AS85" i="24"/>
  <c r="AQ78" i="46"/>
  <c r="AU81" i="24"/>
  <c r="AM73" i="46"/>
  <c r="AS76" i="24"/>
  <c r="AQ70" i="46"/>
  <c r="AU73" i="24"/>
  <c r="AQ29" i="46"/>
  <c r="AU32" i="24"/>
  <c r="AL117" i="46"/>
  <c r="AR120" i="24"/>
  <c r="AL111" i="46"/>
  <c r="AR114" i="24"/>
  <c r="AL137" i="46"/>
  <c r="AR140" i="24"/>
  <c r="AN130" i="46"/>
  <c r="AT133" i="24"/>
  <c r="Q133" i="24" s="1"/>
  <c r="AL127" i="46"/>
  <c r="AR130" i="24"/>
  <c r="J130" i="24" s="1"/>
  <c r="AL122" i="46"/>
  <c r="AR125" i="24"/>
  <c r="AL114" i="46"/>
  <c r="AR117" i="24"/>
  <c r="AN94" i="46"/>
  <c r="AT97" i="24"/>
  <c r="Q97" i="24" s="1"/>
  <c r="AL91" i="46"/>
  <c r="AR94" i="24"/>
  <c r="AN86" i="46"/>
  <c r="AT89" i="24"/>
  <c r="Q89" i="24" s="1"/>
  <c r="AL83" i="46"/>
  <c r="AR86" i="24"/>
  <c r="AN77" i="46"/>
  <c r="AT80" i="24"/>
  <c r="Q80" i="24" s="1"/>
  <c r="AL74" i="46"/>
  <c r="AR77" i="24"/>
  <c r="J77" i="24" s="1"/>
  <c r="AL134" i="46"/>
  <c r="AR137" i="24"/>
  <c r="AM135" i="46"/>
  <c r="AS138" i="24"/>
  <c r="AM127" i="46"/>
  <c r="AS130" i="24"/>
  <c r="P130" i="24" s="1"/>
  <c r="AQ124" i="46"/>
  <c r="AU127" i="24"/>
  <c r="AM119" i="46"/>
  <c r="AS122" i="24"/>
  <c r="Y21" i="113"/>
  <c r="AA21" i="113" s="1"/>
  <c r="AQ117" i="46"/>
  <c r="AU120" i="24"/>
  <c r="AQ115" i="46"/>
  <c r="AU118" i="24"/>
  <c r="AM95" i="46"/>
  <c r="AQ92" i="46"/>
  <c r="AU95" i="24"/>
  <c r="AM87" i="46"/>
  <c r="AS90" i="24"/>
  <c r="AQ84" i="46"/>
  <c r="AU87" i="24"/>
  <c r="AM78" i="46"/>
  <c r="AS81" i="24"/>
  <c r="AQ75" i="46"/>
  <c r="AU78" i="24"/>
  <c r="AM70" i="46"/>
  <c r="AS73" i="24"/>
  <c r="AM29" i="46"/>
  <c r="AS32" i="24"/>
  <c r="P32" i="24" s="1"/>
  <c r="AQ107" i="46"/>
  <c r="AU110" i="24"/>
  <c r="AN135" i="46"/>
  <c r="AT138" i="24"/>
  <c r="AL130" i="46"/>
  <c r="AR133" i="24"/>
  <c r="AN125" i="46"/>
  <c r="AT128" i="24"/>
  <c r="AN121" i="46"/>
  <c r="AT124" i="24"/>
  <c r="AQ110" i="46"/>
  <c r="AU113" i="24"/>
  <c r="AM108" i="46"/>
  <c r="AS111" i="24"/>
  <c r="Y9" i="113"/>
  <c r="AA9" i="113" s="1"/>
  <c r="AL94" i="46"/>
  <c r="AR97" i="24"/>
  <c r="AN89" i="46"/>
  <c r="AT92" i="24"/>
  <c r="Q92" i="24" s="1"/>
  <c r="AL86" i="46"/>
  <c r="AR89" i="24"/>
  <c r="AN81" i="46"/>
  <c r="AT84" i="24"/>
  <c r="Q84" i="24" s="1"/>
  <c r="AL77" i="46"/>
  <c r="AR80" i="24"/>
  <c r="J80" i="24" s="1"/>
  <c r="AN72" i="46"/>
  <c r="AT75" i="24"/>
  <c r="Q75" i="24" s="1"/>
  <c r="AN30" i="46"/>
  <c r="AT33" i="24"/>
  <c r="Q33" i="24" s="1"/>
  <c r="AM132" i="46"/>
  <c r="AS135" i="24"/>
  <c r="Y26" i="113"/>
  <c r="AA26" i="113" s="1"/>
  <c r="AB26" i="113" s="1"/>
  <c r="AQ120" i="46"/>
  <c r="AU123" i="24"/>
  <c r="AM117" i="46"/>
  <c r="AS120" i="24"/>
  <c r="Y19" i="113"/>
  <c r="AA19" i="113" s="1"/>
  <c r="AM115" i="46"/>
  <c r="AS118" i="24"/>
  <c r="Y16" i="113"/>
  <c r="AA16" i="113" s="1"/>
  <c r="AM92" i="46"/>
  <c r="AS95" i="24"/>
  <c r="AQ89" i="46"/>
  <c r="AU92" i="24"/>
  <c r="AM84" i="46"/>
  <c r="AS87" i="24"/>
  <c r="AQ81" i="46"/>
  <c r="AU84" i="24"/>
  <c r="AM75" i="46"/>
  <c r="AS78" i="24"/>
  <c r="AQ72" i="46"/>
  <c r="AU75" i="24"/>
  <c r="AL115" i="46"/>
  <c r="AR118" i="24"/>
  <c r="AL135" i="46"/>
  <c r="AR138" i="24"/>
  <c r="AL133" i="46"/>
  <c r="AR136" i="24"/>
  <c r="J136" i="24" s="1"/>
  <c r="AN128" i="46"/>
  <c r="AT131" i="24"/>
  <c r="AL125" i="46"/>
  <c r="AR128" i="24"/>
  <c r="J128" i="24" s="1"/>
  <c r="AN123" i="46"/>
  <c r="AT126" i="24"/>
  <c r="AL121" i="46"/>
  <c r="AR124" i="24"/>
  <c r="AN118" i="46"/>
  <c r="AT121" i="24"/>
  <c r="AL116" i="46"/>
  <c r="AR119" i="24"/>
  <c r="AN110" i="46"/>
  <c r="AT113" i="24"/>
  <c r="AL108" i="46"/>
  <c r="AR111" i="24"/>
  <c r="AN92" i="46"/>
  <c r="AT95" i="24"/>
  <c r="AL89" i="46"/>
  <c r="AR92" i="24"/>
  <c r="J92" i="24" s="1"/>
  <c r="AN84" i="46"/>
  <c r="AT87" i="24"/>
  <c r="AL81" i="46"/>
  <c r="AR84" i="24"/>
  <c r="J84" i="24" s="1"/>
  <c r="AN75" i="46"/>
  <c r="AT78" i="24"/>
  <c r="AL72" i="46"/>
  <c r="AR75" i="24"/>
  <c r="J75" i="24" s="1"/>
  <c r="AL30" i="46"/>
  <c r="AR33" i="24"/>
  <c r="J33" i="24" s="1"/>
  <c r="AQ137" i="46"/>
  <c r="AU140" i="24"/>
  <c r="AQ126" i="46"/>
  <c r="AU129" i="24"/>
  <c r="AQ123" i="46"/>
  <c r="AU126" i="24"/>
  <c r="AM120" i="46"/>
  <c r="AS123" i="24"/>
  <c r="Y23" i="113"/>
  <c r="AA23" i="113" s="1"/>
  <c r="AQ118" i="46"/>
  <c r="AU121" i="24"/>
  <c r="AQ109" i="46"/>
  <c r="AU112" i="24"/>
  <c r="AQ94" i="46"/>
  <c r="AU97" i="24"/>
  <c r="AM89" i="46"/>
  <c r="AS92" i="24"/>
  <c r="AQ86" i="46"/>
  <c r="AU89" i="24"/>
  <c r="AM81" i="46"/>
  <c r="AS84" i="24"/>
  <c r="AQ77" i="46"/>
  <c r="AU80" i="24"/>
  <c r="AM72" i="46"/>
  <c r="AS75" i="24"/>
  <c r="AN131" i="46"/>
  <c r="AT134" i="24"/>
  <c r="AL128" i="46"/>
  <c r="AR131" i="24"/>
  <c r="AL123" i="46"/>
  <c r="AR126" i="24"/>
  <c r="J126" i="24" s="1"/>
  <c r="AN120" i="46"/>
  <c r="AT123" i="24"/>
  <c r="AL118" i="46"/>
  <c r="AR121" i="24"/>
  <c r="AQ112" i="46"/>
  <c r="AU115" i="24"/>
  <c r="AM110" i="46"/>
  <c r="AS113" i="24"/>
  <c r="Y11" i="113"/>
  <c r="AA11" i="113" s="1"/>
  <c r="AN95" i="46"/>
  <c r="AT98" i="24"/>
  <c r="Q98" i="24" s="1"/>
  <c r="AL92" i="46"/>
  <c r="AR95" i="24"/>
  <c r="AN87" i="46"/>
  <c r="AT90" i="24"/>
  <c r="Q90" i="24" s="1"/>
  <c r="AL84" i="46"/>
  <c r="AR87" i="24"/>
  <c r="AN78" i="46"/>
  <c r="AT81" i="24"/>
  <c r="AL75" i="46"/>
  <c r="AR78" i="24"/>
  <c r="AN70" i="46"/>
  <c r="AT73" i="24"/>
  <c r="Q73" i="24" s="1"/>
  <c r="AM137" i="46"/>
  <c r="AS140" i="24"/>
  <c r="AM134" i="46"/>
  <c r="AS137" i="24"/>
  <c r="AQ131" i="46"/>
  <c r="AU134" i="24"/>
  <c r="AM126" i="46"/>
  <c r="AS129" i="24"/>
  <c r="P129" i="24" s="1"/>
  <c r="AM123" i="46"/>
  <c r="AS126" i="24"/>
  <c r="AQ121" i="46"/>
  <c r="AU124" i="24"/>
  <c r="AM118" i="46"/>
  <c r="AS121" i="24"/>
  <c r="Y20" i="113"/>
  <c r="AA20" i="113" s="1"/>
  <c r="AB20" i="113" s="1"/>
  <c r="AQ116" i="46"/>
  <c r="AU119" i="24"/>
  <c r="AQ113" i="46"/>
  <c r="AU116" i="24"/>
  <c r="AM109" i="46"/>
  <c r="AS112" i="24"/>
  <c r="Y10" i="113"/>
  <c r="AA10" i="113" s="1"/>
  <c r="AB10" i="113" s="1"/>
  <c r="AM94" i="46"/>
  <c r="AS97" i="24"/>
  <c r="AQ91" i="46"/>
  <c r="AU94" i="24"/>
  <c r="AM86" i="46"/>
  <c r="AS89" i="24"/>
  <c r="AQ83" i="46"/>
  <c r="AU86" i="24"/>
  <c r="AM77" i="46"/>
  <c r="AS80" i="24"/>
  <c r="AQ74" i="46"/>
  <c r="AU77" i="24"/>
  <c r="AM124" i="46"/>
  <c r="AS127" i="24"/>
  <c r="AL109" i="46"/>
  <c r="AR112" i="24"/>
  <c r="AN136" i="46"/>
  <c r="AT139" i="24"/>
  <c r="AL131" i="46"/>
  <c r="AR134" i="24"/>
  <c r="AN126" i="46"/>
  <c r="AT129" i="24"/>
  <c r="Q129" i="24" s="1"/>
  <c r="AL120" i="46"/>
  <c r="AR123" i="24"/>
  <c r="AL110" i="46"/>
  <c r="AR113" i="24"/>
  <c r="AL95" i="46"/>
  <c r="AR98" i="24"/>
  <c r="J98" i="24" s="1"/>
  <c r="AN90" i="46"/>
  <c r="AT93" i="24"/>
  <c r="Q93" i="24" s="1"/>
  <c r="AL87" i="46"/>
  <c r="AR90" i="24"/>
  <c r="AN82" i="46"/>
  <c r="AT85" i="24"/>
  <c r="Q85" i="24" s="1"/>
  <c r="AL78" i="46"/>
  <c r="AR81" i="24"/>
  <c r="AN73" i="46"/>
  <c r="AT76" i="24"/>
  <c r="AL70" i="46"/>
  <c r="AR73" i="24"/>
  <c r="AM131" i="46"/>
  <c r="AS134" i="24"/>
  <c r="AQ128" i="46"/>
  <c r="AU131" i="24"/>
  <c r="AM121" i="46"/>
  <c r="AS124" i="24"/>
  <c r="Y25" i="113"/>
  <c r="AA25" i="113" s="1"/>
  <c r="AM116" i="46"/>
  <c r="AS119" i="24"/>
  <c r="Y17" i="113"/>
  <c r="AA17" i="113" s="1"/>
  <c r="AM113" i="46"/>
  <c r="AS116" i="24"/>
  <c r="Y14" i="113"/>
  <c r="AA14" i="113" s="1"/>
  <c r="AM91" i="46"/>
  <c r="AS94" i="24"/>
  <c r="AQ88" i="46"/>
  <c r="AU91" i="24"/>
  <c r="AM83" i="46"/>
  <c r="AS86" i="24"/>
  <c r="AQ79" i="46"/>
  <c r="AU82" i="24"/>
  <c r="AM74" i="46"/>
  <c r="AS77" i="24"/>
  <c r="AQ30" i="46"/>
  <c r="AU33" i="24"/>
  <c r="AM80" i="46"/>
  <c r="AS83" i="24"/>
  <c r="AK143" i="46"/>
  <c r="O143" i="46" s="1"/>
  <c r="AL136" i="46"/>
  <c r="AR139" i="24"/>
  <c r="AL126" i="46"/>
  <c r="AR129" i="24"/>
  <c r="J129" i="24" s="1"/>
  <c r="AN119" i="46"/>
  <c r="AT122" i="24"/>
  <c r="Y18" i="113"/>
  <c r="AA18" i="113" s="1"/>
  <c r="AB18" i="113" s="1"/>
  <c r="AQ114" i="46"/>
  <c r="AU117" i="24"/>
  <c r="AM112" i="46"/>
  <c r="AS115" i="24"/>
  <c r="Y13" i="113"/>
  <c r="AA13" i="113" s="1"/>
  <c r="AN93" i="46"/>
  <c r="AT96" i="24"/>
  <c r="Q96" i="24" s="1"/>
  <c r="AL90" i="46"/>
  <c r="AR93" i="24"/>
  <c r="J93" i="24" s="1"/>
  <c r="AN85" i="46"/>
  <c r="AT88" i="24"/>
  <c r="Q88" i="24" s="1"/>
  <c r="AL82" i="46"/>
  <c r="AR85" i="24"/>
  <c r="J85" i="24" s="1"/>
  <c r="AN76" i="46"/>
  <c r="AT79" i="24"/>
  <c r="Q79" i="24" s="1"/>
  <c r="AL73" i="46"/>
  <c r="AR76" i="24"/>
  <c r="AN143" i="46"/>
  <c r="AQ136" i="46"/>
  <c r="AU139" i="24"/>
  <c r="AM128" i="46"/>
  <c r="AS131" i="24"/>
  <c r="AQ125" i="46"/>
  <c r="AU128" i="24"/>
  <c r="AQ122" i="46"/>
  <c r="AU125" i="24"/>
  <c r="Y22" i="113"/>
  <c r="AA22" i="113" s="1"/>
  <c r="AB22" i="113" s="1"/>
  <c r="AQ93" i="46"/>
  <c r="AU96" i="24"/>
  <c r="AM88" i="46"/>
  <c r="AS91" i="24"/>
  <c r="AQ85" i="46"/>
  <c r="AU88" i="24"/>
  <c r="AM79" i="46"/>
  <c r="AS82" i="24"/>
  <c r="AQ76" i="46"/>
  <c r="AU79" i="24"/>
  <c r="AM30" i="46"/>
  <c r="AS33" i="24"/>
  <c r="AQ80" i="46"/>
  <c r="AU83" i="24"/>
  <c r="AL124" i="46"/>
  <c r="AR127" i="24"/>
  <c r="AL113" i="46"/>
  <c r="AR116" i="24"/>
  <c r="AN124" i="46"/>
  <c r="AT127" i="24"/>
  <c r="Q127" i="24" s="1"/>
  <c r="AL119" i="46"/>
  <c r="AR122" i="24"/>
  <c r="AL112" i="46"/>
  <c r="AR115" i="24"/>
  <c r="AL93" i="46"/>
  <c r="AR96" i="24"/>
  <c r="J96" i="24" s="1"/>
  <c r="AN88" i="46"/>
  <c r="AT91" i="24"/>
  <c r="Q91" i="24" s="1"/>
  <c r="AL85" i="46"/>
  <c r="AR88" i="24"/>
  <c r="AN79" i="46"/>
  <c r="AT82" i="24"/>
  <c r="AL76" i="46"/>
  <c r="AR79" i="24"/>
  <c r="J79" i="24" s="1"/>
  <c r="AN29" i="46"/>
  <c r="AT32" i="24"/>
  <c r="Q32" i="24" s="1"/>
  <c r="AL143" i="46"/>
  <c r="AM136" i="46"/>
  <c r="AS139" i="24"/>
  <c r="AM133" i="46"/>
  <c r="AS136" i="24"/>
  <c r="AQ130" i="46"/>
  <c r="AU133" i="24"/>
  <c r="AM125" i="46"/>
  <c r="AS128" i="24"/>
  <c r="AM122" i="46"/>
  <c r="AS125" i="24"/>
  <c r="Y27" i="113"/>
  <c r="AA27" i="113" s="1"/>
  <c r="AQ111" i="46"/>
  <c r="AU114" i="24"/>
  <c r="AM93" i="46"/>
  <c r="AS96" i="24"/>
  <c r="AQ90" i="46"/>
  <c r="AU93" i="24"/>
  <c r="AM85" i="46"/>
  <c r="AS88" i="24"/>
  <c r="AQ82" i="46"/>
  <c r="AU85" i="24"/>
  <c r="AM76" i="46"/>
  <c r="AS79" i="24"/>
  <c r="AQ73" i="46"/>
  <c r="AU76" i="24"/>
  <c r="AN80" i="46"/>
  <c r="AT83" i="24"/>
  <c r="AB84" i="24"/>
  <c r="AC130" i="24"/>
  <c r="AE147" i="24"/>
  <c r="AD68" i="24"/>
  <c r="AE93" i="24"/>
  <c r="AG80" i="24"/>
  <c r="AF93" i="24"/>
  <c r="AD127" i="24"/>
  <c r="AC147" i="24"/>
  <c r="AE88" i="24"/>
  <c r="AB92" i="24"/>
  <c r="AD93" i="24"/>
  <c r="AG129" i="24"/>
  <c r="AG125" i="24"/>
  <c r="AB38" i="24"/>
  <c r="AB93" i="24"/>
  <c r="AG78" i="24"/>
  <c r="AC75" i="24"/>
  <c r="AF77" i="24"/>
  <c r="AE54" i="24"/>
  <c r="AF133" i="24"/>
  <c r="AC36" i="24"/>
  <c r="AD90" i="24"/>
  <c r="AE120" i="24"/>
  <c r="AF50" i="24"/>
  <c r="AE138" i="24"/>
  <c r="AG37" i="24"/>
  <c r="AF129" i="24"/>
  <c r="AG96" i="24"/>
  <c r="AF81" i="24"/>
  <c r="AC80" i="24"/>
  <c r="AG56" i="24"/>
  <c r="AF147" i="24"/>
  <c r="AE92" i="24"/>
  <c r="AE46" i="24"/>
  <c r="AE80" i="24"/>
  <c r="AG65" i="24"/>
  <c r="AC87" i="24"/>
  <c r="AG54" i="24"/>
  <c r="AC144" i="24"/>
  <c r="AF90" i="24"/>
  <c r="AE70" i="24"/>
  <c r="AG124" i="24"/>
  <c r="AC58" i="24"/>
  <c r="AG143" i="24"/>
  <c r="AE136" i="24"/>
  <c r="AC94" i="24"/>
  <c r="AB55" i="24"/>
  <c r="AC32" i="24"/>
  <c r="AG42" i="24"/>
  <c r="AC146" i="24"/>
  <c r="AF139" i="24"/>
  <c r="AC120" i="24"/>
  <c r="AB118" i="24"/>
  <c r="AF95" i="24"/>
  <c r="AC133" i="24"/>
  <c r="AC123" i="24"/>
  <c r="AF144" i="24"/>
  <c r="AG112" i="24"/>
  <c r="AE144" i="24"/>
  <c r="AF132" i="24"/>
  <c r="AE131" i="24"/>
  <c r="AC141" i="24"/>
  <c r="AF134" i="24"/>
  <c r="AB141" i="24"/>
  <c r="AC124" i="24"/>
  <c r="AD124" i="24"/>
  <c r="AG117" i="24"/>
  <c r="AB104" i="24"/>
  <c r="AB103" i="24"/>
  <c r="AG102" i="24"/>
  <c r="AB115" i="24"/>
  <c r="AF116" i="24"/>
  <c r="AC102" i="24"/>
  <c r="AF99" i="24"/>
  <c r="AB88" i="24"/>
  <c r="AD74" i="24"/>
  <c r="AE91" i="24"/>
  <c r="AD98" i="24"/>
  <c r="AD97" i="24"/>
  <c r="AF86" i="24"/>
  <c r="AB78" i="24"/>
  <c r="AF79" i="24"/>
  <c r="AE72" i="24"/>
  <c r="AD80" i="24"/>
  <c r="AE62" i="24"/>
  <c r="AF71" i="24"/>
  <c r="AE60" i="24"/>
  <c r="AD40" i="24"/>
  <c r="AD46" i="24"/>
  <c r="AD56" i="24"/>
  <c r="AC50" i="24"/>
  <c r="AB48" i="24"/>
  <c r="AF45" i="24"/>
  <c r="AD140" i="24"/>
  <c r="AC71" i="24"/>
  <c r="AE112" i="24"/>
  <c r="AC129" i="24"/>
  <c r="AD144" i="24"/>
  <c r="AF127" i="24"/>
  <c r="AB124" i="24"/>
  <c r="AG130" i="24"/>
  <c r="AG122" i="24"/>
  <c r="AF137" i="24"/>
  <c r="AG126" i="24"/>
  <c r="AC65" i="24"/>
  <c r="AG53" i="24"/>
  <c r="AF89" i="24"/>
  <c r="AF53" i="24"/>
  <c r="AG123" i="24"/>
  <c r="AF124" i="24"/>
  <c r="AB60" i="24"/>
  <c r="AG114" i="24"/>
  <c r="AD133" i="24"/>
  <c r="AB45" i="24"/>
  <c r="AG98" i="24"/>
  <c r="AE55" i="24"/>
  <c r="AD61" i="24"/>
  <c r="AC97" i="24"/>
  <c r="AF92" i="24"/>
  <c r="AB51" i="24"/>
  <c r="AE39" i="24"/>
  <c r="AD146" i="24"/>
  <c r="AD138" i="24"/>
  <c r="AE100" i="24"/>
  <c r="AF48" i="24"/>
  <c r="AG120" i="24"/>
  <c r="AC96" i="24"/>
  <c r="AB136" i="24"/>
  <c r="AD119" i="24"/>
  <c r="AC110" i="24"/>
  <c r="AE101" i="24"/>
  <c r="AG137" i="24"/>
  <c r="AD125" i="24"/>
  <c r="AB125" i="24"/>
  <c r="AA125" i="24" s="1"/>
  <c r="AE140" i="24"/>
  <c r="AB140" i="24"/>
  <c r="AE132" i="24"/>
  <c r="AC134" i="24"/>
  <c r="AG146" i="24"/>
  <c r="AC128" i="24"/>
  <c r="AE127" i="24"/>
  <c r="AF123" i="24"/>
  <c r="AF104" i="24"/>
  <c r="AG104" i="24"/>
  <c r="AG103" i="24"/>
  <c r="AD118" i="24"/>
  <c r="AF110" i="24"/>
  <c r="AF113" i="24"/>
  <c r="AD99" i="24"/>
  <c r="AB89" i="24"/>
  <c r="AC74" i="24"/>
  <c r="AG90" i="24"/>
  <c r="AD84" i="24"/>
  <c r="AF84" i="24"/>
  <c r="AC92" i="24"/>
  <c r="AD73" i="24"/>
  <c r="AB66" i="24"/>
  <c r="AB77" i="24"/>
  <c r="AG83" i="24"/>
  <c r="AG72" i="24"/>
  <c r="AC63" i="24"/>
  <c r="AG63" i="24"/>
  <c r="AE83" i="24"/>
  <c r="AG75" i="24"/>
  <c r="AB70" i="24"/>
  <c r="AB82" i="24"/>
  <c r="AE75" i="24"/>
  <c r="AD78" i="24"/>
  <c r="AB59" i="24"/>
  <c r="AD86" i="24"/>
  <c r="AE123" i="24"/>
  <c r="AB128" i="24"/>
  <c r="AD121" i="24"/>
  <c r="AG115" i="24"/>
  <c r="AE142" i="24"/>
  <c r="AE113" i="24"/>
  <c r="AE86" i="24"/>
  <c r="AG91" i="24"/>
  <c r="AD52" i="24"/>
  <c r="AF119" i="24"/>
  <c r="AB65" i="24"/>
  <c r="AF51" i="24"/>
  <c r="AB58" i="24"/>
  <c r="AD45" i="24"/>
  <c r="AD32" i="24"/>
  <c r="AG79" i="24"/>
  <c r="AE69" i="24"/>
  <c r="AD94" i="24"/>
  <c r="AE71" i="24"/>
  <c r="AG85" i="24"/>
  <c r="AF54" i="24"/>
  <c r="AD139" i="24"/>
  <c r="AG139" i="24"/>
  <c r="AF121" i="24"/>
  <c r="AG118" i="24"/>
  <c r="AE52" i="24"/>
  <c r="AC137" i="24"/>
  <c r="AD122" i="24"/>
  <c r="AB133" i="24"/>
  <c r="AE99" i="24"/>
  <c r="AB142" i="24"/>
  <c r="AC145" i="24"/>
  <c r="AB129" i="24"/>
  <c r="AC122" i="24"/>
  <c r="AC119" i="24"/>
  <c r="AD102" i="24"/>
  <c r="AD111" i="24"/>
  <c r="AF114" i="24"/>
  <c r="AF98" i="24"/>
  <c r="AF74" i="24"/>
  <c r="AE74" i="24"/>
  <c r="AE97" i="24"/>
  <c r="AF97" i="24"/>
  <c r="AF72" i="24"/>
  <c r="AF75" i="24"/>
  <c r="AF87" i="24"/>
  <c r="AD76" i="24"/>
  <c r="AF85" i="24"/>
  <c r="AD81" i="24"/>
  <c r="AG62" i="24"/>
  <c r="AD58" i="24"/>
  <c r="AG60" i="24"/>
  <c r="AB47" i="24"/>
  <c r="AC47" i="24"/>
  <c r="AF56" i="24"/>
  <c r="AE40" i="24"/>
  <c r="AB46" i="24"/>
  <c r="AE53" i="24"/>
  <c r="AF49" i="24"/>
  <c r="AG67" i="24"/>
  <c r="AC139" i="24"/>
  <c r="AC81" i="24"/>
  <c r="AD91" i="24"/>
  <c r="AC116" i="24"/>
  <c r="AC79" i="24"/>
  <c r="AD147" i="24"/>
  <c r="AE129" i="24"/>
  <c r="AF130" i="24"/>
  <c r="AG41" i="24"/>
  <c r="AD112" i="24"/>
  <c r="AB71" i="24"/>
  <c r="AG39" i="24"/>
  <c r="AG51" i="24"/>
  <c r="AF91" i="24"/>
  <c r="AF60" i="24"/>
  <c r="AF135" i="24"/>
  <c r="AF120" i="24"/>
  <c r="AC90" i="24"/>
  <c r="AD70" i="24"/>
  <c r="AB53" i="24"/>
  <c r="AG136" i="24"/>
  <c r="AC45" i="24"/>
  <c r="AE94" i="24"/>
  <c r="AF61" i="24"/>
  <c r="AF55" i="24"/>
  <c r="AC61" i="24"/>
  <c r="AE79" i="24"/>
  <c r="AC82" i="24"/>
  <c r="AB69" i="24"/>
  <c r="AF39" i="24"/>
  <c r="AB138" i="24"/>
  <c r="AF100" i="24"/>
  <c r="AG100" i="24"/>
  <c r="AC48" i="24"/>
  <c r="AG43" i="24"/>
  <c r="AD120" i="24"/>
  <c r="AG95" i="24"/>
  <c r="AB145" i="24"/>
  <c r="AC143" i="24"/>
  <c r="AE148" i="24"/>
  <c r="AD142" i="24"/>
  <c r="AC125" i="24"/>
  <c r="AD141" i="24"/>
  <c r="AE145" i="24"/>
  <c r="AD137" i="24"/>
  <c r="AD131" i="24"/>
  <c r="AF146" i="24"/>
  <c r="AC127" i="24"/>
  <c r="AB117" i="24"/>
  <c r="AE117" i="24"/>
  <c r="AF103" i="24"/>
  <c r="AF118" i="24"/>
  <c r="AF112" i="24"/>
  <c r="AD115" i="24"/>
  <c r="AE102" i="24"/>
  <c r="AB101" i="24"/>
  <c r="AB99" i="24"/>
  <c r="AD88" i="24"/>
  <c r="AG84" i="24"/>
  <c r="AD89" i="24"/>
  <c r="AD83" i="24"/>
  <c r="AC57" i="24"/>
  <c r="AC67" i="24"/>
  <c r="AC66" i="24"/>
  <c r="AE82" i="24"/>
  <c r="AD82" i="24"/>
  <c r="AF80" i="24"/>
  <c r="AE73" i="24"/>
  <c r="AC62" i="24"/>
  <c r="AC73" i="24"/>
  <c r="AE68" i="24"/>
  <c r="AG47" i="24"/>
  <c r="AF46" i="24"/>
  <c r="AD50" i="24"/>
  <c r="AB44" i="24"/>
  <c r="AE44" i="24"/>
  <c r="AC46" i="24"/>
  <c r="AB134" i="24"/>
  <c r="AE76" i="24"/>
  <c r="AE130" i="24"/>
  <c r="AF62" i="24"/>
  <c r="AC78" i="24"/>
  <c r="AE122" i="24"/>
  <c r="AE77" i="24"/>
  <c r="AC112" i="24"/>
  <c r="AB147" i="24"/>
  <c r="AD48" i="24"/>
  <c r="AE96" i="24"/>
  <c r="AC76" i="24"/>
  <c r="AC39" i="24"/>
  <c r="AB56" i="24"/>
  <c r="AE59" i="24"/>
  <c r="AF67" i="24"/>
  <c r="AC51" i="24"/>
  <c r="AC115" i="24"/>
  <c r="AF143" i="24"/>
  <c r="AE37" i="24"/>
  <c r="AE114" i="24"/>
  <c r="AG116" i="24"/>
  <c r="AG92" i="24"/>
  <c r="AD69" i="24"/>
  <c r="AE32" i="24"/>
  <c r="AF69" i="24"/>
  <c r="AD51" i="24"/>
  <c r="AB42" i="24"/>
  <c r="AC95" i="24"/>
  <c r="AF131" i="24"/>
  <c r="AB52" i="24"/>
  <c r="AF36" i="24"/>
  <c r="AB148" i="24"/>
  <c r="AB121" i="24"/>
  <c r="AF111" i="24"/>
  <c r="AB126" i="24"/>
  <c r="AE119" i="24"/>
  <c r="AG135" i="24"/>
  <c r="AB132" i="24"/>
  <c r="AF140" i="24"/>
  <c r="AB135" i="24"/>
  <c r="AD134" i="24"/>
  <c r="AF128" i="24"/>
  <c r="AD129" i="24"/>
  <c r="AE121" i="24"/>
  <c r="AD104" i="24"/>
  <c r="AE118" i="24"/>
  <c r="AD113" i="24"/>
  <c r="AB114" i="24"/>
  <c r="AG111" i="24"/>
  <c r="AG74" i="24"/>
  <c r="AB72" i="24"/>
  <c r="AD64" i="24"/>
  <c r="AD66" i="24"/>
  <c r="AD77" i="24"/>
  <c r="AE87" i="24"/>
  <c r="AE63" i="24"/>
  <c r="AB63" i="24"/>
  <c r="AC83" i="24"/>
  <c r="AE64" i="24"/>
  <c r="AF58" i="24"/>
  <c r="AD65" i="24"/>
  <c r="AC68" i="24"/>
  <c r="AE47" i="24"/>
  <c r="AB61" i="24"/>
  <c r="AB54" i="24"/>
  <c r="AD54" i="24"/>
  <c r="AG40" i="24"/>
  <c r="AG46" i="24"/>
  <c r="AC53" i="24"/>
  <c r="AB96" i="24"/>
  <c r="AD37" i="24"/>
  <c r="AB97" i="24"/>
  <c r="AB137" i="24"/>
  <c r="AF40" i="24"/>
  <c r="AC93" i="24"/>
  <c r="AG119" i="24"/>
  <c r="AG81" i="24"/>
  <c r="AG113" i="24"/>
  <c r="AF96" i="24"/>
  <c r="AF126" i="24"/>
  <c r="AG59" i="24"/>
  <c r="AG88" i="24"/>
  <c r="AB37" i="24"/>
  <c r="AG70" i="24"/>
  <c r="AF115" i="24"/>
  <c r="AG87" i="24"/>
  <c r="AB94" i="24"/>
  <c r="AD59" i="24"/>
  <c r="AC42" i="24"/>
  <c r="AC60" i="24"/>
  <c r="AG48" i="24"/>
  <c r="AG132" i="24"/>
  <c r="AE56" i="24"/>
  <c r="AE45" i="24"/>
  <c r="AC55" i="24"/>
  <c r="AG66" i="24"/>
  <c r="AC69" i="24"/>
  <c r="AG97" i="24"/>
  <c r="AF94" i="24"/>
  <c r="AG71" i="24"/>
  <c r="AG61" i="24"/>
  <c r="AG131" i="24"/>
  <c r="AD148" i="24"/>
  <c r="AE139" i="24"/>
  <c r="AB100" i="24"/>
  <c r="AB120" i="24"/>
  <c r="AF52" i="24"/>
  <c r="AE36" i="24"/>
  <c r="AF145" i="24"/>
  <c r="AD128" i="24"/>
  <c r="AC111" i="24"/>
  <c r="AF102" i="24"/>
  <c r="AD143" i="24"/>
  <c r="AC136" i="24"/>
  <c r="AG140" i="24"/>
  <c r="AE116" i="24"/>
  <c r="AG101" i="24"/>
  <c r="AE125" i="24"/>
  <c r="AC135" i="24"/>
  <c r="AC131" i="24"/>
  <c r="AE124" i="24"/>
  <c r="AD117" i="24"/>
  <c r="AC117" i="24"/>
  <c r="AF122" i="24"/>
  <c r="AB122" i="24"/>
  <c r="AA122" i="24" s="1"/>
  <c r="AD103" i="24"/>
  <c r="AC103" i="24"/>
  <c r="AB116" i="24"/>
  <c r="AA116" i="24" s="1"/>
  <c r="AC99" i="24"/>
  <c r="AB74" i="24"/>
  <c r="AE98" i="24"/>
  <c r="AC91" i="24"/>
  <c r="AE89" i="24"/>
  <c r="AC84" i="24"/>
  <c r="AB98" i="24"/>
  <c r="AF64" i="24"/>
  <c r="AB64" i="24"/>
  <c r="AD57" i="24"/>
  <c r="AF57" i="24"/>
  <c r="AD67" i="24"/>
  <c r="AE66" i="24"/>
  <c r="AC86" i="24"/>
  <c r="AF76" i="24"/>
  <c r="AF78" i="24"/>
  <c r="AF63" i="24"/>
  <c r="AB85" i="24"/>
  <c r="AD79" i="24"/>
  <c r="AB80" i="24"/>
  <c r="AC72" i="24"/>
  <c r="AD62" i="24"/>
  <c r="AG77" i="24"/>
  <c r="AG33" i="24"/>
  <c r="AE110" i="24"/>
  <c r="AG145" i="24"/>
  <c r="AD92" i="24"/>
  <c r="AD136" i="24"/>
  <c r="AG141" i="24"/>
  <c r="AC64" i="24"/>
  <c r="AE78" i="24"/>
  <c r="AD130" i="24"/>
  <c r="AE61" i="24"/>
  <c r="AB139" i="24"/>
  <c r="AC101" i="24"/>
  <c r="AE85" i="24"/>
  <c r="AD123" i="24"/>
  <c r="AG86" i="24"/>
  <c r="AD96" i="24"/>
  <c r="AF148" i="24"/>
  <c r="AC85" i="24"/>
  <c r="AG68" i="24"/>
  <c r="AB130" i="24"/>
  <c r="AD116" i="24"/>
  <c r="AB91" i="24"/>
  <c r="AE126" i="24"/>
  <c r="AG58" i="24"/>
  <c r="AD126" i="24"/>
  <c r="AE115" i="24"/>
  <c r="AF136" i="24"/>
  <c r="AE143" i="24"/>
  <c r="AG32" i="24"/>
  <c r="AG55" i="24"/>
  <c r="AB79" i="24"/>
  <c r="AG69" i="24"/>
  <c r="AE42" i="24"/>
  <c r="AG148" i="24"/>
  <c r="AC138" i="24"/>
  <c r="AD36" i="24"/>
  <c r="AC77" i="24"/>
  <c r="AE48" i="24"/>
  <c r="AC121" i="24"/>
  <c r="AE128" i="24"/>
  <c r="AE111" i="24"/>
  <c r="AD135" i="24"/>
  <c r="AB144" i="24"/>
  <c r="AG99" i="24"/>
  <c r="AE137" i="24"/>
  <c r="AF125" i="24"/>
  <c r="AE135" i="24"/>
  <c r="AC132" i="24"/>
  <c r="AD132" i="24"/>
  <c r="AE141" i="24"/>
  <c r="AE134" i="24"/>
  <c r="AG144" i="24"/>
  <c r="AG128" i="24"/>
  <c r="AG127" i="24"/>
  <c r="AB127" i="24"/>
  <c r="AB123" i="24"/>
  <c r="AA123" i="24" s="1"/>
  <c r="AF117" i="24"/>
  <c r="AC104" i="24"/>
  <c r="AC118" i="24"/>
  <c r="AC113" i="24"/>
  <c r="AD110" i="24"/>
  <c r="AG110" i="24"/>
  <c r="AD100" i="24"/>
  <c r="AD95" i="24"/>
  <c r="AC89" i="24"/>
  <c r="AF88" i="24"/>
  <c r="AE90" i="24"/>
  <c r="AC88" i="24"/>
  <c r="AF83" i="24"/>
  <c r="AB73" i="24"/>
  <c r="AG57" i="24"/>
  <c r="AB67" i="24"/>
  <c r="AB86" i="24"/>
  <c r="AF73" i="24"/>
  <c r="AB87" i="24"/>
  <c r="AF70" i="24"/>
  <c r="AG64" i="24"/>
  <c r="AB62" i="24"/>
  <c r="AF82" i="24"/>
  <c r="AF68" i="24"/>
  <c r="AG93" i="24"/>
  <c r="AF142" i="24"/>
  <c r="AG147" i="24"/>
  <c r="AC59" i="24"/>
  <c r="AG45" i="24"/>
  <c r="AB146" i="24"/>
  <c r="AG134" i="24"/>
  <c r="AG133" i="24"/>
  <c r="AB57" i="24"/>
  <c r="AE67" i="24"/>
  <c r="AB76" i="24"/>
  <c r="AG73" i="24"/>
  <c r="AB81" i="24"/>
  <c r="AB50" i="24"/>
  <c r="AE38" i="24"/>
  <c r="AB39" i="24"/>
  <c r="AC40" i="24"/>
  <c r="AD49" i="24"/>
  <c r="AF38" i="24"/>
  <c r="AB41" i="24"/>
  <c r="AE31" i="24"/>
  <c r="AF43" i="24"/>
  <c r="AD33" i="24"/>
  <c r="AG94" i="24"/>
  <c r="AG50" i="24"/>
  <c r="AE33" i="24"/>
  <c r="AE50" i="24"/>
  <c r="AE81" i="24"/>
  <c r="AB75" i="24"/>
  <c r="AB68" i="24"/>
  <c r="AC126" i="24"/>
  <c r="AD55" i="24"/>
  <c r="AE51" i="24"/>
  <c r="AF141" i="24"/>
  <c r="AC98" i="24"/>
  <c r="AD44" i="24"/>
  <c r="AF41" i="24"/>
  <c r="AD42" i="24"/>
  <c r="AB33" i="24"/>
  <c r="AB43" i="24"/>
  <c r="AF33" i="24"/>
  <c r="AB131" i="24"/>
  <c r="AC41" i="24"/>
  <c r="AF138" i="24"/>
  <c r="AD85" i="24"/>
  <c r="AC37" i="24"/>
  <c r="AG138" i="24"/>
  <c r="AG38" i="24"/>
  <c r="AG142" i="24"/>
  <c r="AE103" i="24"/>
  <c r="AF101" i="24"/>
  <c r="AE84" i="24"/>
  <c r="AG82" i="24"/>
  <c r="AD71" i="24"/>
  <c r="AD60" i="24"/>
  <c r="AE58" i="24"/>
  <c r="AB40" i="24"/>
  <c r="AG36" i="24"/>
  <c r="AD47" i="24"/>
  <c r="AC70" i="24"/>
  <c r="AG89" i="24"/>
  <c r="AC114" i="24"/>
  <c r="AC142" i="24"/>
  <c r="AC140" i="24"/>
  <c r="AC54" i="24"/>
  <c r="AB49" i="24"/>
  <c r="AD39" i="24"/>
  <c r="AB31" i="24"/>
  <c r="AC31" i="24"/>
  <c r="AB83" i="24"/>
  <c r="AE57" i="24"/>
  <c r="AD101" i="24"/>
  <c r="AG49" i="24"/>
  <c r="AC100" i="24"/>
  <c r="AG121" i="24"/>
  <c r="AE133" i="24"/>
  <c r="AD145" i="24"/>
  <c r="AE104" i="24"/>
  <c r="AB102" i="24"/>
  <c r="AD72" i="24"/>
  <c r="AD75" i="24"/>
  <c r="AD87" i="24"/>
  <c r="AD63" i="24"/>
  <c r="AF44" i="24"/>
  <c r="AC43" i="24"/>
  <c r="AE49" i="24"/>
  <c r="AF42" i="24"/>
  <c r="AC33" i="24"/>
  <c r="AF32" i="24"/>
  <c r="AB119" i="24"/>
  <c r="AC44" i="24"/>
  <c r="AG52" i="24"/>
  <c r="AE95" i="24"/>
  <c r="AE65" i="24"/>
  <c r="AB143" i="24"/>
  <c r="AF65" i="24"/>
  <c r="AF59" i="24"/>
  <c r="AD43" i="24"/>
  <c r="AD53" i="24"/>
  <c r="AE41" i="24"/>
  <c r="AB36" i="24"/>
  <c r="AF31" i="24"/>
  <c r="AB32" i="24"/>
  <c r="AG44" i="24"/>
  <c r="AC49" i="24"/>
  <c r="AD41" i="24"/>
  <c r="AD31" i="24"/>
  <c r="AE146" i="24"/>
  <c r="AD114" i="24"/>
  <c r="AC38" i="24"/>
  <c r="AB95" i="24"/>
  <c r="AC52" i="24"/>
  <c r="AC148" i="24"/>
  <c r="AF66" i="24"/>
  <c r="AG76" i="24"/>
  <c r="AF47" i="24"/>
  <c r="AE43" i="24"/>
  <c r="AD38" i="24"/>
  <c r="AF37" i="24"/>
  <c r="AG31" i="24"/>
  <c r="AB90" i="24"/>
  <c r="AC56" i="24"/>
  <c r="AF30" i="24"/>
  <c r="AB26" i="24"/>
  <c r="AD11" i="24"/>
  <c r="E5" i="108"/>
  <c r="F5" i="108"/>
  <c r="H5" i="108"/>
  <c r="G5" i="108"/>
  <c r="AM129" i="26"/>
  <c r="AP129" i="26"/>
  <c r="AV137" i="26"/>
  <c r="AA137" i="26"/>
  <c r="AM130" i="26"/>
  <c r="AW138" i="26"/>
  <c r="AA138" i="26"/>
  <c r="T131" i="26"/>
  <c r="AM131" i="26"/>
  <c r="AQ139" i="26"/>
  <c r="T139" i="26"/>
  <c r="AP132" i="26"/>
  <c r="AA125" i="26"/>
  <c r="AV125" i="26"/>
  <c r="W133" i="26"/>
  <c r="R133" i="26"/>
  <c r="AB126" i="26"/>
  <c r="AM126" i="26"/>
  <c r="AA134" i="26"/>
  <c r="U134" i="26"/>
  <c r="V127" i="26"/>
  <c r="AA127" i="26"/>
  <c r="T135" i="26"/>
  <c r="AO135" i="26"/>
  <c r="AA128" i="26"/>
  <c r="U128" i="26"/>
  <c r="U136" i="26"/>
  <c r="R136" i="26"/>
  <c r="AA129" i="26"/>
  <c r="R131" i="26"/>
  <c r="V133" i="26"/>
  <c r="U127" i="26"/>
  <c r="AB136" i="26"/>
  <c r="AR130" i="26"/>
  <c r="AV132" i="26"/>
  <c r="AW127" i="26"/>
  <c r="AR136" i="26"/>
  <c r="AB129" i="26"/>
  <c r="AW129" i="26"/>
  <c r="U137" i="26"/>
  <c r="AQ137" i="26"/>
  <c r="W130" i="26"/>
  <c r="T130" i="26"/>
  <c r="V138" i="26"/>
  <c r="AR138" i="26"/>
  <c r="AP131" i="26"/>
  <c r="AV131" i="26"/>
  <c r="AA139" i="26"/>
  <c r="U132" i="26"/>
  <c r="AB132" i="26"/>
  <c r="AQ125" i="26"/>
  <c r="V125" i="26"/>
  <c r="AO133" i="26"/>
  <c r="W126" i="26"/>
  <c r="AR134" i="26"/>
  <c r="AW134" i="26"/>
  <c r="AM127" i="26"/>
  <c r="AR127" i="26"/>
  <c r="AV135" i="26"/>
  <c r="AP135" i="26"/>
  <c r="AP128" i="26"/>
  <c r="AV128" i="26"/>
  <c r="W136" i="26"/>
  <c r="AW136" i="26"/>
  <c r="W137" i="26"/>
  <c r="AO139" i="26"/>
  <c r="AB133" i="26"/>
  <c r="AQ127" i="26"/>
  <c r="T137" i="26"/>
  <c r="AQ138" i="26"/>
  <c r="R126" i="26"/>
  <c r="AR135" i="26"/>
  <c r="AR129" i="26"/>
  <c r="V129" i="26"/>
  <c r="AM137" i="26"/>
  <c r="AP137" i="26"/>
  <c r="AO130" i="26"/>
  <c r="AV130" i="26"/>
  <c r="AM138" i="26"/>
  <c r="AQ131" i="26"/>
  <c r="U131" i="26"/>
  <c r="AR139" i="26"/>
  <c r="AV139" i="26"/>
  <c r="AM132" i="26"/>
  <c r="AR132" i="26"/>
  <c r="U125" i="26"/>
  <c r="AP133" i="26"/>
  <c r="U133" i="26"/>
  <c r="T126" i="26"/>
  <c r="AO126" i="26"/>
  <c r="V134" i="26"/>
  <c r="W127" i="26"/>
  <c r="T127" i="26"/>
  <c r="U135" i="26"/>
  <c r="AB128" i="26"/>
  <c r="AO136" i="26"/>
  <c r="T136" i="26"/>
  <c r="V136" i="26"/>
  <c r="AV129" i="26"/>
  <c r="R138" i="26"/>
  <c r="AO132" i="26"/>
  <c r="AO134" i="26"/>
  <c r="U129" i="26"/>
  <c r="U138" i="26"/>
  <c r="AP139" i="26"/>
  <c r="V126" i="26"/>
  <c r="AM136" i="26"/>
  <c r="R129" i="26"/>
  <c r="AB137" i="26"/>
  <c r="AW137" i="26"/>
  <c r="W138" i="26"/>
  <c r="T138" i="26"/>
  <c r="AA131" i="26"/>
  <c r="AW131" i="26"/>
  <c r="V139" i="26"/>
  <c r="R139" i="26"/>
  <c r="AW132" i="26"/>
  <c r="AB125" i="26"/>
  <c r="AM125" i="26"/>
  <c r="AM133" i="26"/>
  <c r="AV126" i="26"/>
  <c r="AQ126" i="26"/>
  <c r="R134" i="26"/>
  <c r="AM134" i="26"/>
  <c r="AO127" i="26"/>
  <c r="AV127" i="26"/>
  <c r="AW135" i="26"/>
  <c r="AQ135" i="26"/>
  <c r="AQ128" i="26"/>
  <c r="W128" i="26"/>
  <c r="AP136" i="26"/>
  <c r="AQ136" i="26"/>
  <c r="AW130" i="26"/>
  <c r="V131" i="26"/>
  <c r="AV133" i="26"/>
  <c r="AA135" i="26"/>
  <c r="AQ129" i="26"/>
  <c r="AB138" i="26"/>
  <c r="T125" i="26"/>
  <c r="AO128" i="26"/>
  <c r="W129" i="26"/>
  <c r="AR137" i="26"/>
  <c r="V137" i="26"/>
  <c r="AP130" i="26"/>
  <c r="AB130" i="26"/>
  <c r="AO138" i="26"/>
  <c r="AV138" i="26"/>
  <c r="AR131" i="26"/>
  <c r="W131" i="26"/>
  <c r="AM139" i="26"/>
  <c r="AB139" i="26"/>
  <c r="V132" i="26"/>
  <c r="AA132" i="26"/>
  <c r="W125" i="26"/>
  <c r="AR125" i="26"/>
  <c r="AW125" i="26"/>
  <c r="AA133" i="26"/>
  <c r="AW133" i="26"/>
  <c r="U126" i="26"/>
  <c r="AB134" i="26"/>
  <c r="AP134" i="26"/>
  <c r="V135" i="26"/>
  <c r="R135" i="26"/>
  <c r="R128" i="26"/>
  <c r="V128" i="26"/>
  <c r="AA136" i="26"/>
  <c r="AV136" i="26"/>
  <c r="AA130" i="26"/>
  <c r="AW139" i="26"/>
  <c r="AV134" i="26"/>
  <c r="AW128" i="26"/>
  <c r="V130" i="26"/>
  <c r="AP125" i="26"/>
  <c r="AQ134" i="26"/>
  <c r="T128" i="26"/>
  <c r="T129" i="26"/>
  <c r="AO129" i="26"/>
  <c r="R137" i="26"/>
  <c r="U130" i="26"/>
  <c r="AQ130" i="26"/>
  <c r="R130" i="26"/>
  <c r="AO131" i="26"/>
  <c r="W139" i="26"/>
  <c r="U139" i="26"/>
  <c r="R132" i="26"/>
  <c r="W132" i="26"/>
  <c r="AQ132" i="26"/>
  <c r="AO125" i="26"/>
  <c r="R125" i="26"/>
  <c r="AQ133" i="26"/>
  <c r="T133" i="26"/>
  <c r="AA126" i="26"/>
  <c r="AW126" i="26"/>
  <c r="AP126" i="26"/>
  <c r="T134" i="26"/>
  <c r="W134" i="26"/>
  <c r="AP127" i="26"/>
  <c r="AB127" i="26"/>
  <c r="AM135" i="26"/>
  <c r="AB135" i="26"/>
  <c r="AR128" i="26"/>
  <c r="AM128" i="26"/>
  <c r="AP138" i="26"/>
  <c r="T132" i="26"/>
  <c r="AR126" i="26"/>
  <c r="R127" i="26"/>
  <c r="AO137" i="26"/>
  <c r="AB131" i="26"/>
  <c r="AR133" i="26"/>
  <c r="W135" i="26"/>
  <c r="AL131" i="26"/>
  <c r="AL139" i="26"/>
  <c r="AK139" i="26" s="1"/>
  <c r="Q133" i="26"/>
  <c r="AU126" i="26"/>
  <c r="AU39" i="26"/>
  <c r="Q105" i="26"/>
  <c r="Z106" i="26"/>
  <c r="Z81" i="26"/>
  <c r="AU41" i="26"/>
  <c r="AL104" i="26"/>
  <c r="Q28" i="26"/>
  <c r="AL36" i="26"/>
  <c r="AL52" i="26"/>
  <c r="AU68" i="26"/>
  <c r="AL84" i="26"/>
  <c r="Q70" i="26"/>
  <c r="Q37" i="26"/>
  <c r="Q45" i="26"/>
  <c r="AU53" i="26"/>
  <c r="AU77" i="26"/>
  <c r="Z107" i="26"/>
  <c r="O69" i="26"/>
  <c r="AL30" i="26"/>
  <c r="Z46" i="26"/>
  <c r="AL70" i="26"/>
  <c r="AU31" i="26"/>
  <c r="O55" i="26"/>
  <c r="AL32" i="26"/>
  <c r="AK32" i="26" s="1"/>
  <c r="Z40" i="26"/>
  <c r="O56" i="26"/>
  <c r="Q80" i="26"/>
  <c r="Z109" i="26"/>
  <c r="AL76" i="26"/>
  <c r="Z60" i="26"/>
  <c r="AU79" i="26"/>
  <c r="Z33" i="26"/>
  <c r="Z57" i="26"/>
  <c r="AL65" i="26"/>
  <c r="AL107" i="26"/>
  <c r="AL73" i="26"/>
  <c r="Z27" i="26"/>
  <c r="Z67" i="26"/>
  <c r="Z83" i="26"/>
  <c r="Q38" i="26"/>
  <c r="O34" i="26"/>
  <c r="Z50" i="26"/>
  <c r="O58" i="26"/>
  <c r="Q86" i="26"/>
  <c r="Z69" i="26"/>
  <c r="Z135" i="26"/>
  <c r="AU51" i="26"/>
  <c r="Q36" i="26"/>
  <c r="Q76" i="26"/>
  <c r="AL46" i="26"/>
  <c r="Z41" i="26"/>
  <c r="O35" i="26"/>
  <c r="Z58" i="26"/>
  <c r="Q129" i="26"/>
  <c r="AL129" i="26"/>
  <c r="Q137" i="26"/>
  <c r="AL137" i="26"/>
  <c r="Q139" i="26"/>
  <c r="P139" i="26" s="1"/>
  <c r="Q132" i="26"/>
  <c r="Z125" i="26"/>
  <c r="AL127" i="26"/>
  <c r="O127" i="26"/>
  <c r="O136" i="26"/>
  <c r="O71" i="26"/>
  <c r="Q85" i="26"/>
  <c r="O42" i="26"/>
  <c r="O26" i="26"/>
  <c r="AU61" i="26"/>
  <c r="AU28" i="26"/>
  <c r="AL44" i="26"/>
  <c r="AK44" i="26" s="1"/>
  <c r="Z52" i="26"/>
  <c r="Z110" i="26"/>
  <c r="O67" i="26"/>
  <c r="AU37" i="26"/>
  <c r="AU45" i="26"/>
  <c r="O107" i="26"/>
  <c r="AU66" i="26"/>
  <c r="O38" i="26"/>
  <c r="Q46" i="26"/>
  <c r="O62" i="26"/>
  <c r="Q78" i="26"/>
  <c r="AL31" i="26"/>
  <c r="Z55" i="26"/>
  <c r="O32" i="26"/>
  <c r="Z48" i="26"/>
  <c r="Q56" i="26"/>
  <c r="AU80" i="26"/>
  <c r="O109" i="26"/>
  <c r="AU36" i="26"/>
  <c r="AU63" i="26"/>
  <c r="O103" i="26"/>
  <c r="O33" i="26"/>
  <c r="AL41" i="26"/>
  <c r="O57" i="26"/>
  <c r="AU65" i="26"/>
  <c r="O27" i="26"/>
  <c r="AL51" i="26"/>
  <c r="Q67" i="26"/>
  <c r="AL47" i="26"/>
  <c r="AL26" i="26"/>
  <c r="Z34" i="26"/>
  <c r="Q50" i="26"/>
  <c r="AL82" i="26"/>
  <c r="O52" i="26"/>
  <c r="AU139" i="26"/>
  <c r="AL126" i="26"/>
  <c r="AU27" i="26"/>
  <c r="Z53" i="26"/>
  <c r="AU30" i="26"/>
  <c r="O129" i="26"/>
  <c r="O137" i="26"/>
  <c r="AL130" i="26"/>
  <c r="O130" i="26"/>
  <c r="AL138" i="26"/>
  <c r="O138" i="26"/>
  <c r="O131" i="26"/>
  <c r="Z133" i="26"/>
  <c r="AL133" i="26"/>
  <c r="AL134" i="26"/>
  <c r="Z127" i="26"/>
  <c r="AU135" i="26"/>
  <c r="Q128" i="26"/>
  <c r="P128" i="26" s="1"/>
  <c r="AU128" i="26"/>
  <c r="AU136" i="26"/>
  <c r="O43" i="26"/>
  <c r="O110" i="26"/>
  <c r="Q82" i="26"/>
  <c r="Q109" i="26"/>
  <c r="AU108" i="26"/>
  <c r="Q58" i="26"/>
  <c r="Z44" i="26"/>
  <c r="Q60" i="26"/>
  <c r="O68" i="26"/>
  <c r="AU59" i="26"/>
  <c r="AL61" i="26"/>
  <c r="AK61" i="26" s="1"/>
  <c r="AU85" i="26"/>
  <c r="O85" i="26"/>
  <c r="AU107" i="26"/>
  <c r="Z38" i="26"/>
  <c r="AU46" i="26"/>
  <c r="Z62" i="26"/>
  <c r="AL78" i="26"/>
  <c r="O31" i="26"/>
  <c r="Q55" i="26"/>
  <c r="Z32" i="26"/>
  <c r="O48" i="26"/>
  <c r="AU56" i="26"/>
  <c r="O108" i="26"/>
  <c r="AL72" i="26"/>
  <c r="O29" i="26"/>
  <c r="O63" i="26"/>
  <c r="Z103" i="26"/>
  <c r="Q33" i="26"/>
  <c r="Q57" i="26"/>
  <c r="O73" i="26"/>
  <c r="Q106" i="26"/>
  <c r="Z64" i="26"/>
  <c r="Q27" i="26"/>
  <c r="AU43" i="26"/>
  <c r="O51" i="26"/>
  <c r="AL67" i="26"/>
  <c r="O47" i="26"/>
  <c r="Q26" i="26"/>
  <c r="Q42" i="26"/>
  <c r="AL66" i="26"/>
  <c r="AU82" i="26"/>
  <c r="O83" i="26"/>
  <c r="AU47" i="26"/>
  <c r="AU62" i="26"/>
  <c r="AU52" i="26"/>
  <c r="AL69" i="26"/>
  <c r="AK69" i="26" s="1"/>
  <c r="AU70" i="26"/>
  <c r="AL80" i="26"/>
  <c r="Z73" i="26"/>
  <c r="Z130" i="26"/>
  <c r="Z138" i="26"/>
  <c r="Z131" i="26"/>
  <c r="AU131" i="26"/>
  <c r="AU132" i="26"/>
  <c r="O125" i="26"/>
  <c r="Q126" i="26"/>
  <c r="O134" i="26"/>
  <c r="Q135" i="26"/>
  <c r="AL86" i="26"/>
  <c r="Q32" i="26"/>
  <c r="Z72" i="26"/>
  <c r="AU64" i="26"/>
  <c r="AU104" i="26"/>
  <c r="AU105" i="26"/>
  <c r="Q34" i="26"/>
  <c r="AL28" i="26"/>
  <c r="Q44" i="26"/>
  <c r="AU60" i="26"/>
  <c r="Z68" i="26"/>
  <c r="Q107" i="26"/>
  <c r="Z29" i="26"/>
  <c r="AL37" i="26"/>
  <c r="AL45" i="26"/>
  <c r="O61" i="26"/>
  <c r="AL85" i="26"/>
  <c r="O82" i="26"/>
  <c r="O30" i="26"/>
  <c r="AU38" i="26"/>
  <c r="O54" i="26"/>
  <c r="Q62" i="26"/>
  <c r="Z86" i="26"/>
  <c r="Z31" i="26"/>
  <c r="AU32" i="26"/>
  <c r="Q48" i="26"/>
  <c r="Z56" i="26"/>
  <c r="O80" i="26"/>
  <c r="AU106" i="26"/>
  <c r="O39" i="26"/>
  <c r="AL63" i="26"/>
  <c r="AK63" i="26" s="1"/>
  <c r="Q103" i="26"/>
  <c r="AU33" i="26"/>
  <c r="AL49" i="26"/>
  <c r="Q73" i="26"/>
  <c r="O105" i="26"/>
  <c r="Z63" i="26"/>
  <c r="AL43" i="26"/>
  <c r="Z59" i="26"/>
  <c r="AU67" i="26"/>
  <c r="Q47" i="26"/>
  <c r="AU26" i="26"/>
  <c r="AU42" i="26"/>
  <c r="AL50" i="26"/>
  <c r="O66" i="26"/>
  <c r="Z82" i="26"/>
  <c r="Z78" i="26"/>
  <c r="O40" i="26"/>
  <c r="AU137" i="26"/>
  <c r="Z126" i="26"/>
  <c r="Z105" i="26"/>
  <c r="Z84" i="26"/>
  <c r="O75" i="26"/>
  <c r="O70" i="26"/>
  <c r="AU49" i="26"/>
  <c r="Q59" i="26"/>
  <c r="AL105" i="26"/>
  <c r="AU125" i="26"/>
  <c r="Z134" i="26"/>
  <c r="AU134" i="26"/>
  <c r="AL135" i="26"/>
  <c r="AL128" i="26"/>
  <c r="AK128" i="26" s="1"/>
  <c r="Q136" i="26"/>
  <c r="AL38" i="26"/>
  <c r="O72" i="26"/>
  <c r="Q108" i="26"/>
  <c r="AU81" i="26"/>
  <c r="O86" i="26"/>
  <c r="AU69" i="26"/>
  <c r="O36" i="26"/>
  <c r="AU44" i="26"/>
  <c r="Z76" i="26"/>
  <c r="Q79" i="26"/>
  <c r="Q29" i="26"/>
  <c r="Z37" i="26"/>
  <c r="AL53" i="26"/>
  <c r="AK53" i="26" s="1"/>
  <c r="Z85" i="26"/>
  <c r="O81" i="26"/>
  <c r="Z30" i="26"/>
  <c r="Z54" i="26"/>
  <c r="Q31" i="26"/>
  <c r="AU71" i="26"/>
  <c r="Q40" i="26"/>
  <c r="AU48" i="26"/>
  <c r="AL64" i="26"/>
  <c r="AK64" i="26" s="1"/>
  <c r="Z80" i="26"/>
  <c r="Z104" i="26"/>
  <c r="Z39" i="26"/>
  <c r="Q63" i="26"/>
  <c r="AL103" i="26"/>
  <c r="AL33" i="26"/>
  <c r="Z49" i="26"/>
  <c r="Z65" i="26"/>
  <c r="AU86" i="26"/>
  <c r="AL27" i="26"/>
  <c r="Q43" i="26"/>
  <c r="O59" i="26"/>
  <c r="AL75" i="26"/>
  <c r="Z47" i="26"/>
  <c r="Z26" i="26"/>
  <c r="Q66" i="26"/>
  <c r="AL108" i="26"/>
  <c r="Z75" i="26"/>
  <c r="AU35" i="26"/>
  <c r="AU129" i="26"/>
  <c r="AU127" i="26"/>
  <c r="Z77" i="26"/>
  <c r="AU54" i="26"/>
  <c r="Q64" i="26"/>
  <c r="AU84" i="26"/>
  <c r="Q51" i="26"/>
  <c r="AU74" i="26"/>
  <c r="Z129" i="26"/>
  <c r="Z137" i="26"/>
  <c r="Q130" i="26"/>
  <c r="Q138" i="26"/>
  <c r="Q131" i="26"/>
  <c r="O139" i="26"/>
  <c r="AL132" i="26"/>
  <c r="O132" i="26"/>
  <c r="O133" i="26"/>
  <c r="AU133" i="26"/>
  <c r="O126" i="26"/>
  <c r="Q127" i="26"/>
  <c r="O135" i="26"/>
  <c r="Z128" i="26"/>
  <c r="AL136" i="26"/>
  <c r="Q35" i="26"/>
  <c r="O44" i="26"/>
  <c r="Q110" i="26"/>
  <c r="O104" i="26"/>
  <c r="Z66" i="26"/>
  <c r="Q61" i="26"/>
  <c r="Q74" i="26"/>
  <c r="Q81" i="26"/>
  <c r="AU50" i="26"/>
  <c r="AL106" i="26"/>
  <c r="Z36" i="26"/>
  <c r="Q52" i="26"/>
  <c r="O60" i="26"/>
  <c r="O76" i="26"/>
  <c r="O78" i="26"/>
  <c r="AU29" i="26"/>
  <c r="O37" i="26"/>
  <c r="O53" i="26"/>
  <c r="Q69" i="26"/>
  <c r="O77" i="26"/>
  <c r="Q30" i="26"/>
  <c r="Q54" i="26"/>
  <c r="AL62" i="26"/>
  <c r="AU78" i="26"/>
  <c r="AL71" i="26"/>
  <c r="AU40" i="26"/>
  <c r="AL48" i="26"/>
  <c r="O64" i="26"/>
  <c r="Q104" i="26"/>
  <c r="AU83" i="26"/>
  <c r="AL68" i="26"/>
  <c r="Q39" i="26"/>
  <c r="O79" i="26"/>
  <c r="AL110" i="26"/>
  <c r="O49" i="26"/>
  <c r="O65" i="26"/>
  <c r="AL35" i="26"/>
  <c r="AK35" i="26" s="1"/>
  <c r="Z43" i="26"/>
  <c r="AU75" i="26"/>
  <c r="AU34" i="26"/>
  <c r="AL42" i="26"/>
  <c r="AL58" i="26"/>
  <c r="O106" i="26"/>
  <c r="Z74" i="26"/>
  <c r="O28" i="26"/>
  <c r="Q134" i="26"/>
  <c r="Q41" i="26"/>
  <c r="AU72" i="26"/>
  <c r="Z45" i="26"/>
  <c r="Q71" i="26"/>
  <c r="Z79" i="26"/>
  <c r="Z42" i="26"/>
  <c r="AU130" i="26"/>
  <c r="AU138" i="26"/>
  <c r="Z139" i="26"/>
  <c r="Z132" i="26"/>
  <c r="Q125" i="26"/>
  <c r="AL125" i="26"/>
  <c r="O128" i="26"/>
  <c r="Z136" i="26"/>
  <c r="Q83" i="26"/>
  <c r="Q77" i="26"/>
  <c r="AL81" i="26"/>
  <c r="AL57" i="26"/>
  <c r="AU109" i="26"/>
  <c r="AU73" i="26"/>
  <c r="AL109" i="26"/>
  <c r="AU57" i="26"/>
  <c r="Q68" i="26"/>
  <c r="O84" i="26"/>
  <c r="Q75" i="26"/>
  <c r="AL29" i="26"/>
  <c r="O45" i="26"/>
  <c r="Q53" i="26"/>
  <c r="AL77" i="26"/>
  <c r="AK77" i="26" s="1"/>
  <c r="O74" i="26"/>
  <c r="O46" i="26"/>
  <c r="AL54" i="26"/>
  <c r="Z70" i="26"/>
  <c r="AL55" i="26"/>
  <c r="Z108" i="26"/>
  <c r="AL40" i="26"/>
  <c r="AL56" i="26"/>
  <c r="AU110" i="26"/>
  <c r="Z61" i="26"/>
  <c r="AL39" i="26"/>
  <c r="AL79" i="26"/>
  <c r="AK79" i="26" s="1"/>
  <c r="Q84" i="26"/>
  <c r="O41" i="26"/>
  <c r="Q49" i="26"/>
  <c r="Q65" i="26"/>
  <c r="Z28" i="26"/>
  <c r="Z35" i="26"/>
  <c r="Z51" i="26"/>
  <c r="AL59" i="26"/>
  <c r="AL83" i="26"/>
  <c r="AU76" i="26"/>
  <c r="AL34" i="26"/>
  <c r="AK34" i="26" s="1"/>
  <c r="O50" i="26"/>
  <c r="AU58" i="26"/>
  <c r="AL74" i="26"/>
  <c r="Z71" i="26"/>
  <c r="Q72" i="26"/>
  <c r="AL60" i="26"/>
  <c r="AK60" i="26" s="1"/>
  <c r="AU55" i="26"/>
  <c r="AU103" i="26"/>
  <c r="AM50" i="26"/>
  <c r="R84" i="26"/>
  <c r="V58" i="26"/>
  <c r="R47" i="26"/>
  <c r="AQ53" i="26"/>
  <c r="AB103" i="26"/>
  <c r="AQ47" i="26"/>
  <c r="AB84" i="26"/>
  <c r="AV73" i="26"/>
  <c r="W74" i="26"/>
  <c r="AO58" i="26"/>
  <c r="AP104" i="26"/>
  <c r="AM58" i="26"/>
  <c r="AO85" i="26"/>
  <c r="U50" i="26"/>
  <c r="U104" i="26"/>
  <c r="W75" i="26"/>
  <c r="R28" i="26"/>
  <c r="V28" i="26"/>
  <c r="AO36" i="26"/>
  <c r="AR36" i="26"/>
  <c r="AB36" i="26"/>
  <c r="AA44" i="26"/>
  <c r="AO52" i="26"/>
  <c r="AA60" i="26"/>
  <c r="AB68" i="26"/>
  <c r="AO68" i="26"/>
  <c r="AA76" i="26"/>
  <c r="AB76" i="26"/>
  <c r="AR84" i="26"/>
  <c r="AR107" i="26"/>
  <c r="AV60" i="26"/>
  <c r="AO29" i="26"/>
  <c r="R29" i="26"/>
  <c r="AM37" i="26"/>
  <c r="V37" i="26"/>
  <c r="AB45" i="26"/>
  <c r="AO45" i="26"/>
  <c r="V53" i="26"/>
  <c r="AB53" i="26"/>
  <c r="U77" i="26"/>
  <c r="AB77" i="26"/>
  <c r="U85" i="26"/>
  <c r="W110" i="26"/>
  <c r="U84" i="26"/>
  <c r="AV75" i="26"/>
  <c r="AV65" i="26"/>
  <c r="AO83" i="26"/>
  <c r="AB30" i="26"/>
  <c r="T30" i="26"/>
  <c r="AP38" i="26"/>
  <c r="AV38" i="26"/>
  <c r="U46" i="26"/>
  <c r="AA46" i="26"/>
  <c r="T54" i="26"/>
  <c r="AP62" i="26"/>
  <c r="R62" i="26"/>
  <c r="AQ70" i="26"/>
  <c r="U78" i="26"/>
  <c r="T78" i="26"/>
  <c r="AP86" i="26"/>
  <c r="AP107" i="26"/>
  <c r="R46" i="26"/>
  <c r="AM31" i="26"/>
  <c r="AA31" i="26"/>
  <c r="T55" i="26"/>
  <c r="R71" i="26"/>
  <c r="AO71" i="26"/>
  <c r="V107" i="26"/>
  <c r="AW32" i="26"/>
  <c r="AR32" i="26"/>
  <c r="AV40" i="26"/>
  <c r="AQ48" i="26"/>
  <c r="U64" i="26"/>
  <c r="AM72" i="26"/>
  <c r="AB80" i="26"/>
  <c r="AO80" i="26"/>
  <c r="R104" i="26"/>
  <c r="U86" i="26"/>
  <c r="AM77" i="26"/>
  <c r="W58" i="26"/>
  <c r="AR75" i="26"/>
  <c r="AB39" i="26"/>
  <c r="AM39" i="26"/>
  <c r="V108" i="26"/>
  <c r="AO54" i="26"/>
  <c r="AW55" i="26"/>
  <c r="W69" i="26"/>
  <c r="AV33" i="26"/>
  <c r="AW45" i="26"/>
  <c r="R109" i="26"/>
  <c r="AR71" i="26"/>
  <c r="AQ66" i="26"/>
  <c r="AW82" i="26"/>
  <c r="AR85" i="26"/>
  <c r="AO82" i="26"/>
  <c r="V82" i="26"/>
  <c r="U70" i="26"/>
  <c r="AB28" i="26"/>
  <c r="AO28" i="26"/>
  <c r="W36" i="26"/>
  <c r="U44" i="26"/>
  <c r="AP44" i="26"/>
  <c r="AW52" i="26"/>
  <c r="AR52" i="26"/>
  <c r="AW60" i="26"/>
  <c r="U68" i="26"/>
  <c r="AR76" i="26"/>
  <c r="AW76" i="26"/>
  <c r="T84" i="26"/>
  <c r="AA107" i="26"/>
  <c r="W29" i="26"/>
  <c r="R37" i="26"/>
  <c r="W37" i="26"/>
  <c r="AA37" i="26"/>
  <c r="T45" i="26"/>
  <c r="AM53" i="26"/>
  <c r="AR53" i="26"/>
  <c r="AW61" i="26"/>
  <c r="V61" i="26"/>
  <c r="R69" i="26"/>
  <c r="AV77" i="26"/>
  <c r="AM85" i="26"/>
  <c r="AV109" i="26"/>
  <c r="V106" i="26"/>
  <c r="AA83" i="26"/>
  <c r="AR63" i="26"/>
  <c r="W30" i="26"/>
  <c r="AW38" i="26"/>
  <c r="AM46" i="26"/>
  <c r="AR46" i="26"/>
  <c r="AQ54" i="26"/>
  <c r="R70" i="26"/>
  <c r="AM78" i="26"/>
  <c r="AQ78" i="26"/>
  <c r="W107" i="26"/>
  <c r="T31" i="26"/>
  <c r="AW31" i="26"/>
  <c r="AR31" i="26"/>
  <c r="V71" i="26"/>
  <c r="W32" i="26"/>
  <c r="T40" i="26"/>
  <c r="AQ40" i="26"/>
  <c r="AW48" i="26"/>
  <c r="AW56" i="26"/>
  <c r="AA56" i="26"/>
  <c r="T72" i="26"/>
  <c r="U80" i="26"/>
  <c r="AB104" i="26"/>
  <c r="AM107" i="26"/>
  <c r="AB85" i="26"/>
  <c r="AQ56" i="26"/>
  <c r="AR39" i="26"/>
  <c r="AW39" i="26"/>
  <c r="AW63" i="26"/>
  <c r="AO79" i="26"/>
  <c r="AA79" i="26"/>
  <c r="AA103" i="26"/>
  <c r="AP61" i="26"/>
  <c r="AW70" i="26"/>
  <c r="AA63" i="26"/>
  <c r="V109" i="26"/>
  <c r="U109" i="26"/>
  <c r="AV84" i="26"/>
  <c r="AA110" i="26"/>
  <c r="AR79" i="26"/>
  <c r="AW109" i="26"/>
  <c r="AR77" i="26"/>
  <c r="AV106" i="26"/>
  <c r="U66" i="26"/>
  <c r="AP82" i="26"/>
  <c r="AQ80" i="26"/>
  <c r="AR74" i="26"/>
  <c r="U67" i="26"/>
  <c r="W28" i="26"/>
  <c r="AP36" i="26"/>
  <c r="AV36" i="26"/>
  <c r="AB52" i="26"/>
  <c r="U52" i="26"/>
  <c r="V52" i="26"/>
  <c r="R68" i="26"/>
  <c r="AP68" i="26"/>
  <c r="R76" i="26"/>
  <c r="W84" i="26"/>
  <c r="AV54" i="26"/>
  <c r="AP29" i="26"/>
  <c r="AV29" i="26"/>
  <c r="AP37" i="26"/>
  <c r="R45" i="26"/>
  <c r="W45" i="26"/>
  <c r="W53" i="26"/>
  <c r="R53" i="26"/>
  <c r="U61" i="26"/>
  <c r="AQ61" i="26"/>
  <c r="AP69" i="26"/>
  <c r="R85" i="26"/>
  <c r="AW85" i="26"/>
  <c r="AR105" i="26"/>
  <c r="AR82" i="26"/>
  <c r="AR61" i="26"/>
  <c r="AA38" i="26"/>
  <c r="V46" i="26"/>
  <c r="AP46" i="26"/>
  <c r="AW54" i="26"/>
  <c r="U62" i="26"/>
  <c r="V78" i="26"/>
  <c r="AA78" i="26"/>
  <c r="AQ86" i="26"/>
  <c r="AB86" i="26"/>
  <c r="W31" i="26"/>
  <c r="AP31" i="26"/>
  <c r="U55" i="26"/>
  <c r="AP55" i="26"/>
  <c r="AP71" i="26"/>
  <c r="AQ79" i="26"/>
  <c r="AA32" i="26"/>
  <c r="AO40" i="26"/>
  <c r="AA48" i="26"/>
  <c r="U48" i="26"/>
  <c r="U56" i="26"/>
  <c r="AR56" i="26"/>
  <c r="AW64" i="26"/>
  <c r="W64" i="26"/>
  <c r="AP72" i="26"/>
  <c r="R80" i="26"/>
  <c r="AP80" i="26"/>
  <c r="AR104" i="26"/>
  <c r="U107" i="26"/>
  <c r="AO84" i="26"/>
  <c r="AA66" i="26"/>
  <c r="AV48" i="26"/>
  <c r="T39" i="26"/>
  <c r="U39" i="26"/>
  <c r="AR103" i="26"/>
  <c r="U110" i="26"/>
  <c r="AQ71" i="26"/>
  <c r="V59" i="26"/>
  <c r="V85" i="26"/>
  <c r="AW78" i="26"/>
  <c r="AP57" i="26"/>
  <c r="AW29" i="26"/>
  <c r="AA109" i="26"/>
  <c r="AQ74" i="26"/>
  <c r="T109" i="26"/>
  <c r="T106" i="26"/>
  <c r="R64" i="26"/>
  <c r="AR109" i="26"/>
  <c r="AR80" i="26"/>
  <c r="R73" i="26"/>
  <c r="AP110" i="26"/>
  <c r="R59" i="26"/>
  <c r="AP28" i="26"/>
  <c r="T36" i="26"/>
  <c r="AW44" i="26"/>
  <c r="AB44" i="26"/>
  <c r="AM52" i="26"/>
  <c r="AM76" i="26"/>
  <c r="AP84" i="26"/>
  <c r="AW84" i="26"/>
  <c r="AM86" i="26"/>
  <c r="AR38" i="26"/>
  <c r="T29" i="26"/>
  <c r="AV37" i="26"/>
  <c r="AQ45" i="26"/>
  <c r="AO53" i="26"/>
  <c r="AM61" i="26"/>
  <c r="U69" i="26"/>
  <c r="T69" i="26"/>
  <c r="R77" i="26"/>
  <c r="AR108" i="26"/>
  <c r="V105" i="26"/>
  <c r="AW72" i="26"/>
  <c r="AQ60" i="26"/>
  <c r="AQ30" i="26"/>
  <c r="AV30" i="26"/>
  <c r="U38" i="26"/>
  <c r="AQ38" i="26"/>
  <c r="AO46" i="26"/>
  <c r="AA54" i="26"/>
  <c r="U54" i="26"/>
  <c r="AQ62" i="26"/>
  <c r="AR62" i="26"/>
  <c r="AM70" i="26"/>
  <c r="AO78" i="26"/>
  <c r="AV78" i="26"/>
  <c r="R86" i="26"/>
  <c r="AO31" i="26"/>
  <c r="R31" i="26"/>
  <c r="AM55" i="26"/>
  <c r="T71" i="26"/>
  <c r="AA71" i="26"/>
  <c r="U32" i="26"/>
  <c r="AW40" i="26"/>
  <c r="AR40" i="26"/>
  <c r="AR48" i="26"/>
  <c r="AM48" i="26"/>
  <c r="AM56" i="26"/>
  <c r="V64" i="26"/>
  <c r="AQ64" i="26"/>
  <c r="U72" i="26"/>
  <c r="T104" i="26"/>
  <c r="T110" i="26"/>
  <c r="AM74" i="26"/>
  <c r="AA64" i="26"/>
  <c r="AQ44" i="26"/>
  <c r="AP39" i="26"/>
  <c r="AO39" i="26"/>
  <c r="AP79" i="26"/>
  <c r="W103" i="26"/>
  <c r="T103" i="26"/>
  <c r="AB67" i="26"/>
  <c r="AB65" i="26"/>
  <c r="AP64" i="26"/>
  <c r="U108" i="26"/>
  <c r="AR72" i="26"/>
  <c r="AW106" i="26"/>
  <c r="T105" i="26"/>
  <c r="AR58" i="26"/>
  <c r="AM109" i="26"/>
  <c r="W73" i="26"/>
  <c r="AQ108" i="26"/>
  <c r="AR69" i="26"/>
  <c r="AB109" i="26"/>
  <c r="T65" i="26"/>
  <c r="AQ35" i="26"/>
  <c r="AV28" i="26"/>
  <c r="AM28" i="26"/>
  <c r="V44" i="26"/>
  <c r="AR44" i="26"/>
  <c r="R52" i="26"/>
  <c r="W52" i="26"/>
  <c r="AB60" i="26"/>
  <c r="AV68" i="26"/>
  <c r="AW68" i="26"/>
  <c r="T76" i="26"/>
  <c r="AO110" i="26"/>
  <c r="V84" i="26"/>
  <c r="AW67" i="26"/>
  <c r="AW30" i="26"/>
  <c r="AQ29" i="26"/>
  <c r="AA29" i="26"/>
  <c r="T37" i="26"/>
  <c r="AQ37" i="26"/>
  <c r="AV45" i="26"/>
  <c r="AP45" i="26"/>
  <c r="T53" i="26"/>
  <c r="AA61" i="26"/>
  <c r="AM69" i="26"/>
  <c r="AQ69" i="26"/>
  <c r="V77" i="26"/>
  <c r="AP85" i="26"/>
  <c r="AB108" i="26"/>
  <c r="AO104" i="26"/>
  <c r="AW69" i="26"/>
  <c r="AQ58" i="26"/>
  <c r="U30" i="26"/>
  <c r="AM38" i="26"/>
  <c r="R38" i="26"/>
  <c r="AV46" i="26"/>
  <c r="W46" i="26"/>
  <c r="AR54" i="26"/>
  <c r="AM54" i="26"/>
  <c r="AB62" i="26"/>
  <c r="W70" i="26"/>
  <c r="T70" i="26"/>
  <c r="V86" i="26"/>
  <c r="U31" i="26"/>
  <c r="AB31" i="26"/>
  <c r="V55" i="26"/>
  <c r="AQ55" i="26"/>
  <c r="AW71" i="26"/>
  <c r="AO32" i="26"/>
  <c r="AB40" i="26"/>
  <c r="U40" i="26"/>
  <c r="V40" i="26"/>
  <c r="R48" i="26"/>
  <c r="V56" i="26"/>
  <c r="AB56" i="26"/>
  <c r="AM64" i="26"/>
  <c r="V72" i="26"/>
  <c r="AQ72" i="26"/>
  <c r="AV80" i="26"/>
  <c r="AW80" i="26"/>
  <c r="AQ109" i="26"/>
  <c r="R83" i="26"/>
  <c r="AA62" i="26"/>
  <c r="V39" i="26"/>
  <c r="R63" i="26"/>
  <c r="R79" i="26"/>
  <c r="AP103" i="26"/>
  <c r="R103" i="26"/>
  <c r="AB75" i="26"/>
  <c r="T60" i="26"/>
  <c r="AQ42" i="26"/>
  <c r="AO103" i="26"/>
  <c r="AB74" i="26"/>
  <c r="AP30" i="26"/>
  <c r="AR64" i="26"/>
  <c r="AM73" i="26"/>
  <c r="AV81" i="26"/>
  <c r="AA106" i="26"/>
  <c r="U106" i="26"/>
  <c r="AP66" i="26"/>
  <c r="AR86" i="26"/>
  <c r="AV53" i="26"/>
  <c r="AP106" i="26"/>
  <c r="W71" i="26"/>
  <c r="AM106" i="26"/>
  <c r="AO65" i="26"/>
  <c r="AA108" i="26"/>
  <c r="T28" i="26"/>
  <c r="AQ28" i="26"/>
  <c r="AQ36" i="26"/>
  <c r="AW36" i="26"/>
  <c r="AM44" i="26"/>
  <c r="R44" i="26"/>
  <c r="AP52" i="26"/>
  <c r="AR60" i="26"/>
  <c r="V60" i="26"/>
  <c r="AO76" i="26"/>
  <c r="AQ84" i="26"/>
  <c r="AB83" i="26"/>
  <c r="U29" i="26"/>
  <c r="AO37" i="26"/>
  <c r="AA45" i="26"/>
  <c r="U45" i="26"/>
  <c r="U53" i="26"/>
  <c r="AA53" i="26"/>
  <c r="AV61" i="26"/>
  <c r="V69" i="26"/>
  <c r="AA69" i="26"/>
  <c r="AO77" i="26"/>
  <c r="T85" i="26"/>
  <c r="R108" i="26"/>
  <c r="U103" i="26"/>
  <c r="AV79" i="26"/>
  <c r="AA30" i="26"/>
  <c r="AM30" i="26"/>
  <c r="V38" i="26"/>
  <c r="AB38" i="26"/>
  <c r="T46" i="26"/>
  <c r="W54" i="26"/>
  <c r="R54" i="26"/>
  <c r="V54" i="26"/>
  <c r="AW62" i="26"/>
  <c r="AP70" i="26"/>
  <c r="AO70" i="26"/>
  <c r="AO86" i="26"/>
  <c r="AW110" i="26"/>
  <c r="AR68" i="26"/>
  <c r="R55" i="26"/>
  <c r="AV71" i="26"/>
  <c r="AP108" i="26"/>
  <c r="AV32" i="26"/>
  <c r="R32" i="26"/>
  <c r="AM40" i="26"/>
  <c r="W48" i="26"/>
  <c r="AB48" i="26"/>
  <c r="V48" i="26"/>
  <c r="AR29" i="26"/>
  <c r="AQ26" i="26"/>
  <c r="AW65" i="26"/>
  <c r="AP65" i="26"/>
  <c r="W78" i="26"/>
  <c r="U28" i="26"/>
  <c r="R36" i="26"/>
  <c r="AV44" i="26"/>
  <c r="AQ52" i="26"/>
  <c r="AQ76" i="26"/>
  <c r="AO30" i="26"/>
  <c r="AP54" i="26"/>
  <c r="W62" i="26"/>
  <c r="W86" i="26"/>
  <c r="AO60" i="26"/>
  <c r="AQ31" i="26"/>
  <c r="AO55" i="26"/>
  <c r="W56" i="26"/>
  <c r="AB64" i="26"/>
  <c r="AB72" i="26"/>
  <c r="AV86" i="26"/>
  <c r="AM71" i="26"/>
  <c r="AQ39" i="26"/>
  <c r="AM60" i="26"/>
  <c r="AR33" i="26"/>
  <c r="AM33" i="26"/>
  <c r="AP41" i="26"/>
  <c r="AV41" i="26"/>
  <c r="AO49" i="26"/>
  <c r="U57" i="26"/>
  <c r="AW57" i="26"/>
  <c r="AA73" i="26"/>
  <c r="V73" i="26"/>
  <c r="R81" i="26"/>
  <c r="R105" i="26"/>
  <c r="AR110" i="26"/>
  <c r="AW107" i="26"/>
  <c r="AM103" i="26"/>
  <c r="AB79" i="26"/>
  <c r="AB69" i="26"/>
  <c r="R27" i="26"/>
  <c r="T27" i="26"/>
  <c r="AW35" i="26"/>
  <c r="T35" i="26"/>
  <c r="V43" i="26"/>
  <c r="AP43" i="26"/>
  <c r="AP67" i="26"/>
  <c r="AO67" i="26"/>
  <c r="AV83" i="26"/>
  <c r="AO59" i="26"/>
  <c r="AO63" i="26"/>
  <c r="V26" i="26"/>
  <c r="AB26" i="26"/>
  <c r="AV34" i="26"/>
  <c r="AR42" i="26"/>
  <c r="AW42" i="26"/>
  <c r="V50" i="26"/>
  <c r="AA50" i="26"/>
  <c r="AW66" i="26"/>
  <c r="AR66" i="26"/>
  <c r="AO74" i="26"/>
  <c r="AQ110" i="26"/>
  <c r="AP83" i="26"/>
  <c r="W76" i="26"/>
  <c r="W68" i="26"/>
  <c r="U60" i="26"/>
  <c r="W82" i="26"/>
  <c r="AA105" i="26"/>
  <c r="AM45" i="26"/>
  <c r="AB107" i="26"/>
  <c r="AM104" i="26"/>
  <c r="AM41" i="26"/>
  <c r="AA65" i="26"/>
  <c r="AM108" i="26"/>
  <c r="AM27" i="26"/>
  <c r="AW51" i="26"/>
  <c r="AR47" i="26"/>
  <c r="AW50" i="26"/>
  <c r="AQ106" i="26"/>
  <c r="AA34" i="26"/>
  <c r="AB37" i="26"/>
  <c r="AW86" i="26"/>
  <c r="AM32" i="26"/>
  <c r="AA39" i="26"/>
  <c r="AA33" i="26"/>
  <c r="V68" i="26"/>
  <c r="AP63" i="26"/>
  <c r="U63" i="26"/>
  <c r="V36" i="26"/>
  <c r="U36" i="26"/>
  <c r="T61" i="26"/>
  <c r="AV69" i="26"/>
  <c r="AA70" i="26"/>
  <c r="AP56" i="26"/>
  <c r="AV64" i="26"/>
  <c r="AV72" i="26"/>
  <c r="AP32" i="26"/>
  <c r="R39" i="26"/>
  <c r="AB63" i="26"/>
  <c r="AQ103" i="26"/>
  <c r="AA86" i="26"/>
  <c r="AM59" i="26"/>
  <c r="R33" i="26"/>
  <c r="T41" i="26"/>
  <c r="AV49" i="26"/>
  <c r="W49" i="26"/>
  <c r="V57" i="26"/>
  <c r="AB57" i="26"/>
  <c r="AQ73" i="26"/>
  <c r="AP73" i="26"/>
  <c r="AM81" i="26"/>
  <c r="AB105" i="26"/>
  <c r="AB78" i="26"/>
  <c r="AA68" i="26"/>
  <c r="AA52" i="26"/>
  <c r="AP27" i="26"/>
  <c r="W27" i="26"/>
  <c r="AO35" i="26"/>
  <c r="R43" i="26"/>
  <c r="AP51" i="26"/>
  <c r="V51" i="26"/>
  <c r="AO51" i="26"/>
  <c r="AA67" i="26"/>
  <c r="AO75" i="26"/>
  <c r="U83" i="26"/>
  <c r="T38" i="26"/>
  <c r="AO47" i="26"/>
  <c r="U47" i="26"/>
  <c r="AM62" i="26"/>
  <c r="AO26" i="26"/>
  <c r="T34" i="26"/>
  <c r="R42" i="26"/>
  <c r="V42" i="26"/>
  <c r="AO50" i="26"/>
  <c r="AR50" i="26"/>
  <c r="AV58" i="26"/>
  <c r="AB58" i="26"/>
  <c r="V74" i="26"/>
  <c r="AB110" i="26"/>
  <c r="V67" i="26"/>
  <c r="T59" i="26"/>
  <c r="T32" i="26"/>
  <c r="V66" i="26"/>
  <c r="AQ77" i="26"/>
  <c r="AO69" i="26"/>
  <c r="AO72" i="26"/>
  <c r="AR70" i="26"/>
  <c r="AM49" i="26"/>
  <c r="U73" i="26"/>
  <c r="AM105" i="26"/>
  <c r="W35" i="26"/>
  <c r="AR51" i="26"/>
  <c r="T83" i="26"/>
  <c r="AQ50" i="26"/>
  <c r="R74" i="26"/>
  <c r="V70" i="26"/>
  <c r="R50" i="26"/>
  <c r="AP60" i="26"/>
  <c r="T80" i="26"/>
  <c r="T63" i="26"/>
  <c r="W41" i="26"/>
  <c r="V76" i="26"/>
  <c r="AO64" i="26"/>
  <c r="AW105" i="26"/>
  <c r="AA28" i="26"/>
  <c r="R60" i="26"/>
  <c r="U76" i="26"/>
  <c r="T108" i="26"/>
  <c r="AB29" i="26"/>
  <c r="AR45" i="26"/>
  <c r="AW53" i="26"/>
  <c r="T77" i="26"/>
  <c r="AV85" i="26"/>
  <c r="AQ85" i="26"/>
  <c r="AO38" i="26"/>
  <c r="AW46" i="26"/>
  <c r="AV70" i="26"/>
  <c r="AB55" i="26"/>
  <c r="U71" i="26"/>
  <c r="AB32" i="26"/>
  <c r="W40" i="26"/>
  <c r="T48" i="26"/>
  <c r="AA104" i="26"/>
  <c r="AB82" i="26"/>
  <c r="T79" i="26"/>
  <c r="W33" i="26"/>
  <c r="AB33" i="26"/>
  <c r="V33" i="26"/>
  <c r="AQ41" i="26"/>
  <c r="T49" i="26"/>
  <c r="AQ49" i="26"/>
  <c r="AB49" i="26"/>
  <c r="T57" i="26"/>
  <c r="AO57" i="26"/>
  <c r="T81" i="26"/>
  <c r="R110" i="26"/>
  <c r="T107" i="26"/>
  <c r="T86" i="26"/>
  <c r="W65" i="26"/>
  <c r="AO48" i="26"/>
  <c r="U27" i="26"/>
  <c r="AO27" i="26"/>
  <c r="U35" i="26"/>
  <c r="AV43" i="26"/>
  <c r="AA43" i="26"/>
  <c r="R51" i="26"/>
  <c r="W59" i="26"/>
  <c r="AW59" i="26"/>
  <c r="AQ67" i="26"/>
  <c r="T75" i="26"/>
  <c r="V47" i="26"/>
  <c r="AA47" i="26"/>
  <c r="W26" i="26"/>
  <c r="AV26" i="26"/>
  <c r="AQ34" i="26"/>
  <c r="AB42" i="26"/>
  <c r="AO42" i="26"/>
  <c r="W50" i="26"/>
  <c r="T58" i="26"/>
  <c r="U58" i="26"/>
  <c r="AB66" i="26"/>
  <c r="AP74" i="26"/>
  <c r="U82" i="26"/>
  <c r="AO109" i="26"/>
  <c r="AV104" i="26"/>
  <c r="R58" i="26"/>
  <c r="AP77" i="26"/>
  <c r="AO105" i="26"/>
  <c r="AP49" i="26"/>
  <c r="AB71" i="26"/>
  <c r="U43" i="26"/>
  <c r="AM67" i="26"/>
  <c r="U26" i="26"/>
  <c r="W34" i="26"/>
  <c r="W85" i="26"/>
  <c r="V80" i="26"/>
  <c r="AQ107" i="26"/>
  <c r="R72" i="26"/>
  <c r="AV110" i="26"/>
  <c r="AA82" i="26"/>
  <c r="AO61" i="26"/>
  <c r="AR28" i="26"/>
  <c r="W44" i="26"/>
  <c r="AP76" i="26"/>
  <c r="AV63" i="26"/>
  <c r="AW37" i="26"/>
  <c r="AV67" i="26"/>
  <c r="AR30" i="26"/>
  <c r="W38" i="26"/>
  <c r="AM110" i="26"/>
  <c r="AR55" i="26"/>
  <c r="AQ32" i="26"/>
  <c r="AP40" i="26"/>
  <c r="AQ104" i="26"/>
  <c r="AO108" i="26"/>
  <c r="AV76" i="26"/>
  <c r="AP33" i="26"/>
  <c r="AW41" i="26"/>
  <c r="AQ57" i="26"/>
  <c r="R65" i="26"/>
  <c r="AB73" i="26"/>
  <c r="AW73" i="26"/>
  <c r="AQ81" i="26"/>
  <c r="AV105" i="26"/>
  <c r="AP109" i="26"/>
  <c r="AR106" i="26"/>
  <c r="AA85" i="26"/>
  <c r="AA27" i="26"/>
  <c r="V35" i="26"/>
  <c r="AA35" i="26"/>
  <c r="W43" i="26"/>
  <c r="AQ43" i="26"/>
  <c r="AA51" i="26"/>
  <c r="AV51" i="26"/>
  <c r="AP59" i="26"/>
  <c r="U75" i="26"/>
  <c r="AP75" i="26"/>
  <c r="AW83" i="26"/>
  <c r="T26" i="26"/>
  <c r="AP26" i="26"/>
  <c r="AW34" i="26"/>
  <c r="AO34" i="26"/>
  <c r="W42" i="26"/>
  <c r="AP50" i="26"/>
  <c r="AV50" i="26"/>
  <c r="AP58" i="26"/>
  <c r="T74" i="26"/>
  <c r="AA74" i="26"/>
  <c r="AM82" i="26"/>
  <c r="AV108" i="26"/>
  <c r="V104" i="26"/>
  <c r="AA81" i="26"/>
  <c r="U65" i="26"/>
  <c r="R56" i="26"/>
  <c r="AM29" i="26"/>
  <c r="V32" i="26"/>
  <c r="R41" i="26"/>
  <c r="W81" i="26"/>
  <c r="AB27" i="26"/>
  <c r="AR59" i="26"/>
  <c r="AQ68" i="26"/>
  <c r="T66" i="26"/>
  <c r="T62" i="26"/>
  <c r="AB46" i="26"/>
  <c r="V30" i="26"/>
  <c r="AO56" i="26"/>
  <c r="AQ63" i="26"/>
  <c r="R49" i="26"/>
  <c r="W106" i="26"/>
  <c r="V79" i="26"/>
  <c r="AM57" i="26"/>
  <c r="AP105" i="26"/>
  <c r="AO44" i="26"/>
  <c r="AV52" i="26"/>
  <c r="AM68" i="26"/>
  <c r="AW79" i="26"/>
  <c r="AV62" i="26"/>
  <c r="U37" i="26"/>
  <c r="AB61" i="26"/>
  <c r="R30" i="26"/>
  <c r="AB54" i="26"/>
  <c r="V110" i="26"/>
  <c r="AV31" i="26"/>
  <c r="W55" i="26"/>
  <c r="AO107" i="26"/>
  <c r="AV39" i="26"/>
  <c r="U79" i="26"/>
  <c r="AW103" i="26"/>
  <c r="W83" i="26"/>
  <c r="T33" i="26"/>
  <c r="AO33" i="26"/>
  <c r="AA41" i="26"/>
  <c r="U41" i="26"/>
  <c r="AW49" i="26"/>
  <c r="AA49" i="26"/>
  <c r="W57" i="26"/>
  <c r="AQ65" i="26"/>
  <c r="AM65" i="26"/>
  <c r="AR73" i="26"/>
  <c r="V81" i="26"/>
  <c r="U81" i="26"/>
  <c r="W105" i="26"/>
  <c r="W109" i="26"/>
  <c r="AM84" i="26"/>
  <c r="AA40" i="26"/>
  <c r="AQ27" i="26"/>
  <c r="AV27" i="26"/>
  <c r="AP35" i="26"/>
  <c r="T43" i="26"/>
  <c r="AM43" i="26"/>
  <c r="AO43" i="26"/>
  <c r="AQ51" i="26"/>
  <c r="W51" i="26"/>
  <c r="AM75" i="26"/>
  <c r="AA75" i="26"/>
  <c r="V83" i="26"/>
  <c r="AV47" i="26"/>
  <c r="AP47" i="26"/>
  <c r="R34" i="26"/>
  <c r="U34" i="26"/>
  <c r="AR34" i="26"/>
  <c r="AP42" i="26"/>
  <c r="T50" i="26"/>
  <c r="AW58" i="26"/>
  <c r="AM66" i="26"/>
  <c r="AW74" i="26"/>
  <c r="AV82" i="26"/>
  <c r="W80" i="26"/>
  <c r="AA72" i="26"/>
  <c r="T64" i="26"/>
  <c r="V103" i="26"/>
  <c r="AR37" i="26"/>
  <c r="AP78" i="26"/>
  <c r="W63" i="26"/>
  <c r="AO41" i="26"/>
  <c r="AV57" i="26"/>
  <c r="AB43" i="26"/>
  <c r="V75" i="26"/>
  <c r="AR26" i="26"/>
  <c r="AO66" i="26"/>
  <c r="T44" i="26"/>
  <c r="AV103" i="26"/>
  <c r="V29" i="26"/>
  <c r="R107" i="26"/>
  <c r="AV55" i="26"/>
  <c r="AW104" i="26"/>
  <c r="V49" i="26"/>
  <c r="U105" i="26"/>
  <c r="AO106" i="26"/>
  <c r="AQ105" i="26"/>
  <c r="AA36" i="26"/>
  <c r="T52" i="26"/>
  <c r="T68" i="26"/>
  <c r="AP53" i="26"/>
  <c r="W77" i="26"/>
  <c r="AQ46" i="26"/>
  <c r="R78" i="26"/>
  <c r="V31" i="26"/>
  <c r="AA55" i="26"/>
  <c r="AP48" i="26"/>
  <c r="T56" i="26"/>
  <c r="AV56" i="26"/>
  <c r="W72" i="26"/>
  <c r="W104" i="26"/>
  <c r="W39" i="26"/>
  <c r="AM63" i="26"/>
  <c r="AM79" i="26"/>
  <c r="AR78" i="26"/>
  <c r="AQ33" i="26"/>
  <c r="V41" i="26"/>
  <c r="AR41" i="26"/>
  <c r="AB41" i="26"/>
  <c r="U49" i="26"/>
  <c r="AR49" i="26"/>
  <c r="AR57" i="26"/>
  <c r="V65" i="26"/>
  <c r="T73" i="26"/>
  <c r="AO81" i="26"/>
  <c r="AR81" i="26"/>
  <c r="AW108" i="26"/>
  <c r="AR83" i="26"/>
  <c r="V62" i="26"/>
  <c r="AM36" i="26"/>
  <c r="V27" i="26"/>
  <c r="AV35" i="26"/>
  <c r="R35" i="26"/>
  <c r="AW43" i="26"/>
  <c r="AR43" i="26"/>
  <c r="AB51" i="26"/>
  <c r="AM51" i="26"/>
  <c r="AQ59" i="26"/>
  <c r="U59" i="26"/>
  <c r="R67" i="26"/>
  <c r="AW75" i="26"/>
  <c r="AM83" i="26"/>
  <c r="W47" i="26"/>
  <c r="AB47" i="26"/>
  <c r="AQ75" i="26"/>
  <c r="AW26" i="26"/>
  <c r="AA26" i="26"/>
  <c r="AB34" i="26"/>
  <c r="AM34" i="26"/>
  <c r="V34" i="26"/>
  <c r="AV42" i="26"/>
  <c r="U42" i="26"/>
  <c r="AV66" i="26"/>
  <c r="R66" i="26"/>
  <c r="AV74" i="26"/>
  <c r="R82" i="26"/>
  <c r="AV107" i="26"/>
  <c r="W79" i="26"/>
  <c r="V63" i="26"/>
  <c r="AA84" i="26"/>
  <c r="AW77" i="26"/>
  <c r="AM80" i="26"/>
  <c r="AW33" i="26"/>
  <c r="R57" i="26"/>
  <c r="AB81" i="26"/>
  <c r="W61" i="26"/>
  <c r="AB35" i="26"/>
  <c r="AB59" i="26"/>
  <c r="AM47" i="26"/>
  <c r="T42" i="26"/>
  <c r="AQ82" i="26"/>
  <c r="AW28" i="26"/>
  <c r="V45" i="26"/>
  <c r="AO62" i="26"/>
  <c r="R40" i="26"/>
  <c r="AA59" i="26"/>
  <c r="U33" i="26"/>
  <c r="AA80" i="26"/>
  <c r="W60" i="26"/>
  <c r="AR27" i="26"/>
  <c r="AR35" i="26"/>
  <c r="T67" i="26"/>
  <c r="AQ83" i="26"/>
  <c r="W108" i="26"/>
  <c r="T51" i="26"/>
  <c r="AA42" i="26"/>
  <c r="R61" i="26"/>
  <c r="AM42" i="26"/>
  <c r="R26" i="26"/>
  <c r="AO73" i="26"/>
  <c r="AA58" i="26"/>
  <c r="AA77" i="26"/>
  <c r="W66" i="26"/>
  <c r="AR65" i="26"/>
  <c r="R75" i="26"/>
  <c r="AW47" i="26"/>
  <c r="AR67" i="26"/>
  <c r="T47" i="26"/>
  <c r="AP81" i="26"/>
  <c r="AW27" i="26"/>
  <c r="U74" i="26"/>
  <c r="AB106" i="26"/>
  <c r="AA57" i="26"/>
  <c r="AW81" i="26"/>
  <c r="U51" i="26"/>
  <c r="W67" i="26"/>
  <c r="AB50" i="26"/>
  <c r="AB70" i="26"/>
  <c r="AM26" i="26"/>
  <c r="AP34" i="26"/>
  <c r="AV59" i="26"/>
  <c r="AM35" i="26"/>
  <c r="T82" i="26"/>
  <c r="F8" i="73"/>
  <c r="F93" i="73"/>
  <c r="E82" i="73"/>
  <c r="F78" i="73"/>
  <c r="E74" i="73"/>
  <c r="E68" i="73"/>
  <c r="E63" i="73"/>
  <c r="E92" i="73"/>
  <c r="E90" i="73"/>
  <c r="F85" i="73"/>
  <c r="F69" i="73"/>
  <c r="F56" i="73"/>
  <c r="AI97" i="24"/>
  <c r="AI93" i="24"/>
  <c r="AI130" i="24"/>
  <c r="AI136" i="24"/>
  <c r="AI52" i="24"/>
  <c r="AI80" i="24"/>
  <c r="AI141" i="24"/>
  <c r="AI74" i="24"/>
  <c r="AI66" i="24"/>
  <c r="AI54" i="24"/>
  <c r="AI43" i="24"/>
  <c r="AI125" i="24"/>
  <c r="AI89" i="24"/>
  <c r="AI40" i="24"/>
  <c r="AI31" i="24"/>
  <c r="AI148" i="24"/>
  <c r="AI127" i="24"/>
  <c r="AI64" i="24"/>
  <c r="AI36" i="24"/>
  <c r="AI115" i="24"/>
  <c r="AI48" i="24"/>
  <c r="AI72" i="24"/>
  <c r="AI83" i="24"/>
  <c r="AI87" i="24"/>
  <c r="AI38" i="24"/>
  <c r="AI137" i="24"/>
  <c r="AI63" i="24"/>
  <c r="AI124" i="24"/>
  <c r="AI70" i="24"/>
  <c r="AI120" i="24"/>
  <c r="AI133" i="24"/>
  <c r="AI135" i="24"/>
  <c r="AI142" i="24"/>
  <c r="AI103" i="24"/>
  <c r="AI88" i="24"/>
  <c r="AI76" i="24"/>
  <c r="AI77" i="24"/>
  <c r="AI56" i="24"/>
  <c r="AI46" i="24"/>
  <c r="AI44" i="24"/>
  <c r="AI53" i="24"/>
  <c r="AI51" i="24"/>
  <c r="AI132" i="24"/>
  <c r="AI37" i="24"/>
  <c r="AI114" i="24"/>
  <c r="AI116" i="24"/>
  <c r="AI69" i="24"/>
  <c r="AI94" i="24"/>
  <c r="AI118" i="24"/>
  <c r="AI112" i="24"/>
  <c r="AI144" i="24"/>
  <c r="AI113" i="24"/>
  <c r="AI60" i="24"/>
  <c r="AI131" i="24"/>
  <c r="AI104" i="24"/>
  <c r="AI126" i="24"/>
  <c r="AI73" i="24"/>
  <c r="AI134" i="24"/>
  <c r="AI78" i="24"/>
  <c r="AI85" i="24"/>
  <c r="AI147" i="24"/>
  <c r="AI102" i="24"/>
  <c r="AI90" i="24"/>
  <c r="AI98" i="24"/>
  <c r="AI55" i="24"/>
  <c r="AI110" i="24"/>
  <c r="AI146" i="24"/>
  <c r="AI129" i="24"/>
  <c r="AI111" i="24"/>
  <c r="AI99" i="24"/>
  <c r="AI84" i="24"/>
  <c r="AI92" i="24"/>
  <c r="AI57" i="24"/>
  <c r="AI75" i="24"/>
  <c r="AI62" i="24"/>
  <c r="AI58" i="24"/>
  <c r="AI50" i="24"/>
  <c r="AI91" i="24"/>
  <c r="AI79" i="24"/>
  <c r="AI138" i="24"/>
  <c r="AH114" i="24"/>
  <c r="AI41" i="24"/>
  <c r="AI82" i="24"/>
  <c r="AI47" i="24"/>
  <c r="AI68" i="24"/>
  <c r="AI96" i="24"/>
  <c r="AI49" i="24"/>
  <c r="AI81" i="24"/>
  <c r="AI143" i="24"/>
  <c r="AI86" i="24"/>
  <c r="AI61" i="24"/>
  <c r="AI101" i="24"/>
  <c r="AI71" i="24"/>
  <c r="AI145" i="24"/>
  <c r="AI123" i="24"/>
  <c r="AH117" i="24"/>
  <c r="AI33" i="24"/>
  <c r="AI119" i="24"/>
  <c r="AI45" i="24"/>
  <c r="AI140" i="24"/>
  <c r="AI128" i="24"/>
  <c r="AI67" i="24"/>
  <c r="AI32" i="24"/>
  <c r="AI117" i="24"/>
  <c r="AI65" i="24"/>
  <c r="AI59" i="24"/>
  <c r="AI42" i="24"/>
  <c r="AI122" i="24"/>
  <c r="AH112" i="24"/>
  <c r="AI100" i="24"/>
  <c r="AI95" i="24"/>
  <c r="AI39" i="24"/>
  <c r="AI139" i="24"/>
  <c r="AH144" i="24"/>
  <c r="AI121" i="24"/>
  <c r="AH125" i="24"/>
  <c r="AH91" i="24"/>
  <c r="AH127" i="24"/>
  <c r="AH89" i="24"/>
  <c r="AH84" i="24"/>
  <c r="AH93" i="24"/>
  <c r="AH86" i="24"/>
  <c r="AH87" i="24"/>
  <c r="AH94" i="24"/>
  <c r="AH85" i="24"/>
  <c r="AH88" i="24"/>
  <c r="AH126" i="24"/>
  <c r="AH92" i="24"/>
  <c r="AH90" i="24"/>
  <c r="AH97" i="24"/>
  <c r="AH78" i="24"/>
  <c r="AH130" i="24"/>
  <c r="AH45" i="24"/>
  <c r="AH64" i="24"/>
  <c r="AH131" i="24"/>
  <c r="AH66" i="24"/>
  <c r="AH70" i="24"/>
  <c r="AH101" i="24"/>
  <c r="AH37" i="24"/>
  <c r="AH124" i="24"/>
  <c r="AH60" i="24"/>
  <c r="AH115" i="24"/>
  <c r="AH68" i="24"/>
  <c r="AH110" i="24"/>
  <c r="AH75" i="24"/>
  <c r="AH43" i="24"/>
  <c r="AH102" i="24"/>
  <c r="AH67" i="24"/>
  <c r="AH111" i="24"/>
  <c r="AH54" i="24"/>
  <c r="AH62" i="24"/>
  <c r="AH33" i="24"/>
  <c r="AH121" i="24"/>
  <c r="AH137" i="24"/>
  <c r="AH56" i="24"/>
  <c r="AH141" i="24"/>
  <c r="AH148" i="24"/>
  <c r="AH81" i="24"/>
  <c r="AH71" i="24"/>
  <c r="AH39" i="24"/>
  <c r="AH69" i="24"/>
  <c r="AH47" i="24"/>
  <c r="AH42" i="24"/>
  <c r="AH58" i="24"/>
  <c r="AH116" i="24"/>
  <c r="AH145" i="24"/>
  <c r="AH73" i="24"/>
  <c r="AH52" i="24"/>
  <c r="AH57" i="24"/>
  <c r="AH132" i="24"/>
  <c r="AH119" i="24"/>
  <c r="AH123" i="24"/>
  <c r="AH122" i="24"/>
  <c r="AH38" i="24"/>
  <c r="AH50" i="24"/>
  <c r="AH142" i="24"/>
  <c r="AH133" i="24"/>
  <c r="AH65" i="24"/>
  <c r="AH48" i="24"/>
  <c r="AH49" i="24"/>
  <c r="AH103" i="24"/>
  <c r="AH143" i="24"/>
  <c r="AH63" i="24"/>
  <c r="AH120" i="24"/>
  <c r="AH118" i="24"/>
  <c r="AH53" i="24"/>
  <c r="AH72" i="24"/>
  <c r="AH31" i="24"/>
  <c r="AH135" i="24"/>
  <c r="AH76" i="24"/>
  <c r="AH113" i="24"/>
  <c r="AH46" i="24"/>
  <c r="AH77" i="24"/>
  <c r="AH104" i="24"/>
  <c r="AH140" i="24"/>
  <c r="AH44" i="24"/>
  <c r="AH41" i="24"/>
  <c r="AH99" i="24"/>
  <c r="AH139" i="24"/>
  <c r="AH59" i="24"/>
  <c r="AH138" i="24"/>
  <c r="AH134" i="24"/>
  <c r="AH36" i="24"/>
  <c r="AH98" i="24"/>
  <c r="AH79" i="24"/>
  <c r="AH96" i="24"/>
  <c r="AH146" i="24"/>
  <c r="AH61" i="24"/>
  <c r="AH100" i="24"/>
  <c r="AH129" i="24"/>
  <c r="AH40" i="24"/>
  <c r="AH136" i="24"/>
  <c r="AH95" i="24"/>
  <c r="AH128" i="24"/>
  <c r="AH55" i="24"/>
  <c r="AH147" i="24"/>
  <c r="AH82" i="24"/>
  <c r="AH83" i="24"/>
  <c r="AH80" i="24"/>
  <c r="AH51" i="24"/>
  <c r="AH32" i="24"/>
  <c r="AH74" i="24"/>
  <c r="AP63" i="46"/>
  <c r="AP87" i="46"/>
  <c r="AP20" i="46"/>
  <c r="AP34" i="46"/>
  <c r="AP41" i="46"/>
  <c r="AP32" i="46"/>
  <c r="AP113" i="46"/>
  <c r="AP46" i="46"/>
  <c r="AP68" i="46"/>
  <c r="AP35" i="46"/>
  <c r="AP12" i="46"/>
  <c r="AP143" i="46"/>
  <c r="AP21" i="46"/>
  <c r="AP45" i="46"/>
  <c r="AP60" i="46"/>
  <c r="AP95" i="46"/>
  <c r="AP10" i="46"/>
  <c r="AP38" i="46"/>
  <c r="AP54" i="46"/>
  <c r="AP73" i="46"/>
  <c r="AP82" i="46"/>
  <c r="H5" i="38"/>
  <c r="G123" i="36"/>
  <c r="G115" i="36"/>
  <c r="G110" i="36"/>
  <c r="H69" i="36"/>
  <c r="H45" i="36"/>
  <c r="F28" i="36"/>
  <c r="F13" i="36"/>
  <c r="D102" i="90"/>
  <c r="C102" i="90" s="1"/>
  <c r="G108" i="36"/>
  <c r="F83" i="36"/>
  <c r="F75" i="36"/>
  <c r="F67" i="36"/>
  <c r="F51" i="36"/>
  <c r="G35" i="36"/>
  <c r="G26" i="36"/>
  <c r="AI19" i="24"/>
  <c r="F119" i="36"/>
  <c r="G82" i="36"/>
  <c r="G58" i="36"/>
  <c r="G42" i="36"/>
  <c r="H34" i="36"/>
  <c r="G118" i="36"/>
  <c r="G113" i="36"/>
  <c r="F106" i="36"/>
  <c r="G97" i="36"/>
  <c r="G89" i="36"/>
  <c r="G49" i="36"/>
  <c r="F17" i="36"/>
  <c r="F9" i="36"/>
  <c r="F122" i="36"/>
  <c r="F109" i="36"/>
  <c r="G27" i="36"/>
  <c r="G20" i="36"/>
  <c r="G12" i="36"/>
  <c r="F121" i="73"/>
  <c r="F117" i="36"/>
  <c r="F96" i="36"/>
  <c r="H88" i="36"/>
  <c r="F64" i="36"/>
  <c r="H56" i="36"/>
  <c r="F40" i="36"/>
  <c r="G16" i="36"/>
  <c r="H95" i="36"/>
  <c r="H87" i="36"/>
  <c r="H55" i="36"/>
  <c r="F47" i="36"/>
  <c r="G39" i="36"/>
  <c r="H15" i="36"/>
  <c r="E125" i="73"/>
  <c r="AF13" i="24"/>
  <c r="AJ14" i="24"/>
  <c r="AI22" i="24"/>
  <c r="B9" i="86"/>
  <c r="AK9" i="24"/>
  <c r="AJ17" i="24"/>
  <c r="AJ24" i="24"/>
  <c r="AO18" i="24"/>
  <c r="AB14" i="26"/>
  <c r="R95" i="26"/>
  <c r="AB97" i="26"/>
  <c r="R113" i="26"/>
  <c r="T111" i="26"/>
  <c r="T96" i="26"/>
  <c r="AO114" i="26"/>
  <c r="AR120" i="26"/>
  <c r="T101" i="26"/>
  <c r="U21" i="26"/>
  <c r="Z15" i="26"/>
  <c r="AL94" i="26"/>
  <c r="AU15" i="26"/>
  <c r="F37" i="73"/>
  <c r="I86" i="17"/>
  <c r="I60" i="17"/>
  <c r="H101" i="38"/>
  <c r="D98" i="38"/>
  <c r="C98" i="38" s="1"/>
  <c r="H84" i="38"/>
  <c r="D77" i="38"/>
  <c r="C77" i="38" s="1"/>
  <c r="G69" i="38"/>
  <c r="F69" i="38" s="1"/>
  <c r="E53" i="38"/>
  <c r="E45" i="38"/>
  <c r="G36" i="38"/>
  <c r="F36" i="38" s="1"/>
  <c r="E10" i="89"/>
  <c r="C10" i="89" s="1"/>
  <c r="D78" i="38"/>
  <c r="C78" i="38" s="1"/>
  <c r="G54" i="38"/>
  <c r="F54" i="38" s="1"/>
  <c r="G37" i="38"/>
  <c r="F37" i="38" s="1"/>
  <c r="H20" i="38"/>
  <c r="E16" i="89"/>
  <c r="C16" i="89" s="1"/>
  <c r="D12" i="38"/>
  <c r="C12" i="38" s="1"/>
  <c r="E11" i="89"/>
  <c r="C11" i="89" s="1"/>
  <c r="F25" i="73"/>
  <c r="F22" i="73"/>
  <c r="E14" i="73"/>
  <c r="E13" i="73"/>
  <c r="F10" i="73"/>
  <c r="F7" i="73"/>
  <c r="I7" i="17"/>
  <c r="D100" i="38"/>
  <c r="C100" i="38" s="1"/>
  <c r="E88" i="38"/>
  <c r="G80" i="38"/>
  <c r="F80" i="38" s="1"/>
  <c r="G73" i="38"/>
  <c r="F73" i="38" s="1"/>
  <c r="I65" i="17"/>
  <c r="I38" i="17"/>
  <c r="E91" i="38"/>
  <c r="G83" i="38"/>
  <c r="F83" i="38" s="1"/>
  <c r="D76" i="38"/>
  <c r="C76" i="38" s="1"/>
  <c r="D68" i="38"/>
  <c r="C68" i="38" s="1"/>
  <c r="H60" i="38"/>
  <c r="E52" i="38"/>
  <c r="H44" i="38"/>
  <c r="E35" i="38"/>
  <c r="E26" i="38"/>
  <c r="E25" i="89"/>
  <c r="C25" i="89" s="1"/>
  <c r="F9" i="73"/>
  <c r="D90" i="79"/>
  <c r="C90" i="79" s="1"/>
  <c r="N93" i="98" s="1"/>
  <c r="D74" i="79"/>
  <c r="C74" i="79" s="1"/>
  <c r="N77" i="98" s="1"/>
  <c r="D26" i="79"/>
  <c r="C26" i="79" s="1"/>
  <c r="N29" i="98" s="1"/>
  <c r="D10" i="79"/>
  <c r="C10" i="79" s="1"/>
  <c r="N13" i="98" s="1"/>
  <c r="G86" i="38"/>
  <c r="F86" i="38" s="1"/>
  <c r="H63" i="38"/>
  <c r="H55" i="38"/>
  <c r="D39" i="38"/>
  <c r="C39" i="38" s="1"/>
  <c r="G38" i="38"/>
  <c r="F38" i="38" s="1"/>
  <c r="E20" i="89"/>
  <c r="C20" i="89" s="1"/>
  <c r="G14" i="38"/>
  <c r="F14" i="38" s="1"/>
  <c r="I48" i="17"/>
  <c r="I31" i="17"/>
  <c r="D95" i="38"/>
  <c r="C95" i="38" s="1"/>
  <c r="E79" i="38"/>
  <c r="D72" i="38"/>
  <c r="C72" i="38" s="1"/>
  <c r="D48" i="38"/>
  <c r="C48" i="38" s="1"/>
  <c r="D40" i="38"/>
  <c r="C40" i="38" s="1"/>
  <c r="H31" i="38"/>
  <c r="G22" i="38"/>
  <c r="F22" i="38" s="1"/>
  <c r="E21" i="89"/>
  <c r="C21" i="89" s="1"/>
  <c r="D41" i="38"/>
  <c r="C41" i="38" s="1"/>
  <c r="E32" i="38"/>
  <c r="I12" i="17"/>
  <c r="H89" i="38"/>
  <c r="D81" i="38"/>
  <c r="C81" i="38" s="1"/>
  <c r="G74" i="38"/>
  <c r="F74" i="38" s="1"/>
  <c r="E58" i="38"/>
  <c r="H24" i="38"/>
  <c r="E23" i="89"/>
  <c r="C23" i="89" s="1"/>
  <c r="H100" i="73"/>
  <c r="D123" i="79"/>
  <c r="C123" i="79" s="1"/>
  <c r="N126" i="98" s="1"/>
  <c r="D115" i="79"/>
  <c r="C115" i="79" s="1"/>
  <c r="N118" i="98" s="1"/>
  <c r="D62" i="79"/>
  <c r="C62" i="79" s="1"/>
  <c r="N65" i="98" s="1"/>
  <c r="D54" i="79"/>
  <c r="C54" i="79" s="1"/>
  <c r="N57" i="98" s="1"/>
  <c r="D97" i="38"/>
  <c r="C97" i="38" s="1"/>
  <c r="D75" i="38"/>
  <c r="C75" i="38" s="1"/>
  <c r="H67" i="38"/>
  <c r="E51" i="38"/>
  <c r="H43" i="38"/>
  <c r="D25" i="38"/>
  <c r="C25" i="38" s="1"/>
  <c r="H16" i="38"/>
  <c r="E10" i="38"/>
  <c r="E5" i="89"/>
  <c r="C5" i="89" s="1"/>
  <c r="E14" i="89"/>
  <c r="C14" i="89" s="1"/>
  <c r="E13" i="89"/>
  <c r="C13" i="89" s="1"/>
  <c r="G8" i="38"/>
  <c r="F8" i="38" s="1"/>
  <c r="F120" i="36"/>
  <c r="E8" i="89"/>
  <c r="C8" i="89" s="1"/>
  <c r="E9" i="89"/>
  <c r="C9" i="89" s="1"/>
  <c r="AG143" i="46"/>
  <c r="E85" i="38"/>
  <c r="E96" i="38"/>
  <c r="AQ11" i="24"/>
  <c r="E80" i="38"/>
  <c r="J21" i="15"/>
  <c r="H50" i="38"/>
  <c r="AH142" i="46"/>
  <c r="AI142" i="46"/>
  <c r="AJ142" i="46"/>
  <c r="AH51" i="46"/>
  <c r="AI51" i="46"/>
  <c r="AJ51" i="46"/>
  <c r="AI43" i="46"/>
  <c r="AH43" i="46"/>
  <c r="AJ43" i="46"/>
  <c r="AH35" i="46"/>
  <c r="AI35" i="46"/>
  <c r="AJ35" i="46"/>
  <c r="AH34" i="46"/>
  <c r="AI34" i="46"/>
  <c r="AJ34" i="46"/>
  <c r="AH139" i="46"/>
  <c r="AI139" i="46"/>
  <c r="AJ139" i="46"/>
  <c r="AH57" i="46"/>
  <c r="AI57" i="46"/>
  <c r="AJ57" i="46"/>
  <c r="AI33" i="46"/>
  <c r="AJ33" i="46"/>
  <c r="AH33" i="46"/>
  <c r="AH12" i="46"/>
  <c r="AJ12" i="46"/>
  <c r="AI12" i="46"/>
  <c r="AH56" i="46"/>
  <c r="AI56" i="46"/>
  <c r="AJ56" i="46"/>
  <c r="AH24" i="46"/>
  <c r="AI24" i="46"/>
  <c r="AJ24" i="46"/>
  <c r="AH17" i="46"/>
  <c r="AI17" i="46"/>
  <c r="AJ17" i="46"/>
  <c r="AJ55" i="46"/>
  <c r="AH55" i="46"/>
  <c r="AI55" i="46"/>
  <c r="AH16" i="46"/>
  <c r="AI16" i="46"/>
  <c r="AJ16" i="46"/>
  <c r="AJ10" i="46"/>
  <c r="AH10" i="46"/>
  <c r="AI10" i="46"/>
  <c r="AH62" i="46"/>
  <c r="AI62" i="46"/>
  <c r="AJ62" i="46"/>
  <c r="AH54" i="46"/>
  <c r="AI54" i="46"/>
  <c r="AJ54" i="46"/>
  <c r="AH140" i="46"/>
  <c r="AI140" i="46"/>
  <c r="AJ140" i="46"/>
  <c r="AJ58" i="46"/>
  <c r="AH58" i="46"/>
  <c r="AI58" i="46"/>
  <c r="AJ42" i="46"/>
  <c r="AH42" i="46"/>
  <c r="AI42" i="46"/>
  <c r="AP53" i="46"/>
  <c r="AJ45" i="46"/>
  <c r="AH45" i="46"/>
  <c r="AI45" i="46"/>
  <c r="AH9" i="46"/>
  <c r="AI9" i="46"/>
  <c r="AJ9" i="46"/>
  <c r="AQ118" i="26"/>
  <c r="AH68" i="46"/>
  <c r="AI68" i="46"/>
  <c r="AJ68" i="46"/>
  <c r="AP44" i="46"/>
  <c r="AI21" i="46"/>
  <c r="AH21" i="46"/>
  <c r="AJ21" i="46"/>
  <c r="AO15" i="46"/>
  <c r="AH8" i="46"/>
  <c r="AJ8" i="46"/>
  <c r="AI8" i="46"/>
  <c r="AN12" i="24"/>
  <c r="AL20" i="24"/>
  <c r="AI12" i="24"/>
  <c r="AU20" i="24"/>
  <c r="E50" i="38"/>
  <c r="E5" i="38"/>
  <c r="H70" i="38"/>
  <c r="E101" i="38"/>
  <c r="AM23" i="24"/>
  <c r="E63" i="38"/>
  <c r="E44" i="38"/>
  <c r="AJ30" i="24"/>
  <c r="AK23" i="24"/>
  <c r="H96" i="38"/>
  <c r="I95" i="17"/>
  <c r="D95" i="17" s="1"/>
  <c r="H66" i="38"/>
  <c r="I91" i="17"/>
  <c r="I81" i="17"/>
  <c r="I55" i="17"/>
  <c r="I85" i="17"/>
  <c r="I69" i="17"/>
  <c r="H69" i="17" s="1"/>
  <c r="I99" i="17"/>
  <c r="I67" i="17"/>
  <c r="I89" i="17"/>
  <c r="I79" i="17"/>
  <c r="E20" i="38"/>
  <c r="E97" i="38"/>
  <c r="I61" i="17"/>
  <c r="AG63" i="46"/>
  <c r="AG59" i="46"/>
  <c r="I54" i="17"/>
  <c r="E14" i="38"/>
  <c r="I80" i="17"/>
  <c r="I68" i="17"/>
  <c r="I94" i="17"/>
  <c r="I62" i="17"/>
  <c r="I52" i="17"/>
  <c r="I19" i="17"/>
  <c r="AG65" i="46"/>
  <c r="I78" i="17"/>
  <c r="I66" i="17"/>
  <c r="I72" i="17"/>
  <c r="I17" i="17"/>
  <c r="I56" i="17"/>
  <c r="I41" i="17"/>
  <c r="D7" i="5"/>
  <c r="C7" i="5" s="1"/>
  <c r="I121" i="17"/>
  <c r="H49" i="38"/>
  <c r="H14" i="38"/>
  <c r="H88" i="73"/>
  <c r="H76" i="38"/>
  <c r="H81" i="38"/>
  <c r="Z98" i="110"/>
  <c r="T98" i="110" s="1"/>
  <c r="AP140" i="46"/>
  <c r="I116" i="17"/>
  <c r="G116" i="17" s="1"/>
  <c r="AP115" i="46"/>
  <c r="A3" i="36"/>
  <c r="E34" i="38"/>
  <c r="E24" i="89"/>
  <c r="C24" i="89" s="1"/>
  <c r="E23" i="38"/>
  <c r="E19" i="89"/>
  <c r="C19" i="89" s="1"/>
  <c r="D18" i="38"/>
  <c r="C18" i="38" s="1"/>
  <c r="D15" i="38"/>
  <c r="C15" i="38" s="1"/>
  <c r="E7" i="89"/>
  <c r="C7" i="89" s="1"/>
  <c r="E6" i="89"/>
  <c r="C6" i="89" s="1"/>
  <c r="AR89" i="26"/>
  <c r="AR95" i="26"/>
  <c r="AR101" i="26"/>
  <c r="AR112" i="26"/>
  <c r="AR121" i="26"/>
  <c r="AR10" i="26"/>
  <c r="AR16" i="26"/>
  <c r="AR21" i="26"/>
  <c r="AR90" i="26"/>
  <c r="AR96" i="26"/>
  <c r="AR102" i="26"/>
  <c r="AR113" i="26"/>
  <c r="AR116" i="26"/>
  <c r="AR122" i="26"/>
  <c r="AR11" i="26"/>
  <c r="AR17" i="26"/>
  <c r="AR22" i="26"/>
  <c r="AR91" i="26"/>
  <c r="AR97" i="26"/>
  <c r="AR117" i="26"/>
  <c r="AR123" i="26"/>
  <c r="AR12" i="26"/>
  <c r="AR18" i="26"/>
  <c r="AR23" i="26"/>
  <c r="AR7" i="26"/>
  <c r="AR99" i="26"/>
  <c r="AR25" i="26"/>
  <c r="AR92" i="26"/>
  <c r="AR98" i="26"/>
  <c r="AR114" i="26"/>
  <c r="AR118" i="26"/>
  <c r="AR124" i="26"/>
  <c r="AR13" i="26"/>
  <c r="AR19" i="26"/>
  <c r="AR24" i="26"/>
  <c r="AR93" i="26"/>
  <c r="AR119" i="26"/>
  <c r="AR8" i="26"/>
  <c r="AR88" i="26"/>
  <c r="AR94" i="26"/>
  <c r="AR100" i="26"/>
  <c r="AR111" i="26"/>
  <c r="AR115" i="26"/>
  <c r="AR9" i="26"/>
  <c r="AR15" i="26"/>
  <c r="AR87" i="26"/>
  <c r="AR14" i="26"/>
  <c r="G21" i="38"/>
  <c r="F21" i="38" s="1"/>
  <c r="E18" i="89"/>
  <c r="C18" i="89" s="1"/>
  <c r="E15" i="89"/>
  <c r="C15" i="89" s="1"/>
  <c r="E12" i="89"/>
  <c r="C12" i="89" s="1"/>
  <c r="H11" i="38"/>
  <c r="I127" i="17"/>
  <c r="J19" i="15"/>
  <c r="J12" i="15"/>
  <c r="J18" i="15"/>
  <c r="I8" i="15"/>
  <c r="J25" i="15"/>
  <c r="J22" i="15"/>
  <c r="J20" i="15"/>
  <c r="J13" i="15"/>
  <c r="J10" i="15"/>
  <c r="J26" i="15"/>
  <c r="E81" i="38"/>
  <c r="H86" i="38"/>
  <c r="H90" i="38"/>
  <c r="E86" i="38"/>
  <c r="E76" i="38"/>
  <c r="E90" i="38"/>
  <c r="E66" i="38"/>
  <c r="H62" i="38"/>
  <c r="E18" i="38"/>
  <c r="H97" i="38"/>
  <c r="E38" i="38"/>
  <c r="H8" i="38"/>
  <c r="I51" i="17"/>
  <c r="I49" i="17"/>
  <c r="I46" i="17"/>
  <c r="E84" i="38"/>
  <c r="H68" i="38"/>
  <c r="E62" i="38"/>
  <c r="H39" i="38"/>
  <c r="E11" i="38"/>
  <c r="I50" i="17"/>
  <c r="I47" i="17"/>
  <c r="E39" i="38"/>
  <c r="H18" i="38"/>
  <c r="D64" i="90"/>
  <c r="C64" i="90" s="1"/>
  <c r="I130" i="17"/>
  <c r="AV7" i="26"/>
  <c r="W87" i="26"/>
  <c r="E95" i="38"/>
  <c r="H59" i="38"/>
  <c r="H35" i="38"/>
  <c r="H12" i="38"/>
  <c r="AA114" i="26"/>
  <c r="H85" i="38"/>
  <c r="H53" i="38"/>
  <c r="E12" i="38"/>
  <c r="AG21" i="24"/>
  <c r="AC28" i="24"/>
  <c r="AD28" i="24"/>
  <c r="AJ9" i="24"/>
  <c r="AN21" i="24"/>
  <c r="AC12" i="24"/>
  <c r="A3" i="73"/>
  <c r="W124" i="26"/>
  <c r="R92" i="26"/>
  <c r="AW6" i="26"/>
  <c r="AB124" i="26"/>
  <c r="V119" i="26"/>
  <c r="AV113" i="26"/>
  <c r="AV99" i="26"/>
  <c r="W9" i="26"/>
  <c r="W90" i="26"/>
  <c r="AV19" i="26"/>
  <c r="AW7" i="26"/>
  <c r="AA6" i="26"/>
  <c r="AM124" i="26"/>
  <c r="AW113" i="26"/>
  <c r="AV87" i="26"/>
  <c r="AB19" i="26"/>
  <c r="AB6" i="26"/>
  <c r="AR6" i="26"/>
  <c r="AV10" i="26"/>
  <c r="AV16" i="26"/>
  <c r="W19" i="26"/>
  <c r="AW19" i="26"/>
  <c r="AB87" i="26"/>
  <c r="AW87" i="26"/>
  <c r="W91" i="26"/>
  <c r="W92" i="26"/>
  <c r="AA99" i="26"/>
  <c r="AW99" i="26"/>
  <c r="V113" i="26"/>
  <c r="AQ113" i="26"/>
  <c r="AB114" i="26"/>
  <c r="AW114" i="26"/>
  <c r="AV115" i="26"/>
  <c r="AA119" i="26"/>
  <c r="W121" i="26"/>
  <c r="W123" i="26"/>
  <c r="T124" i="26"/>
  <c r="AV124" i="26"/>
  <c r="AP124" i="26"/>
  <c r="V6" i="26"/>
  <c r="AV6" i="26"/>
  <c r="AA8" i="26"/>
  <c r="W10" i="26"/>
  <c r="AW10" i="26"/>
  <c r="W17" i="26"/>
  <c r="AA19" i="26"/>
  <c r="AQ87" i="26"/>
  <c r="AA88" i="26"/>
  <c r="AA91" i="26"/>
  <c r="AB99" i="26"/>
  <c r="W112" i="26"/>
  <c r="W113" i="26"/>
  <c r="V114" i="26"/>
  <c r="AQ114" i="26"/>
  <c r="W117" i="26"/>
  <c r="AB119" i="26"/>
  <c r="AA121" i="26"/>
  <c r="AV123" i="26"/>
  <c r="AA124" i="26"/>
  <c r="U124" i="26"/>
  <c r="AW124" i="26"/>
  <c r="AQ124" i="26"/>
  <c r="V124" i="26"/>
  <c r="V121" i="26"/>
  <c r="AB113" i="26"/>
  <c r="W99" i="26"/>
  <c r="AB10" i="26"/>
  <c r="AB8" i="26"/>
  <c r="W6" i="26"/>
  <c r="AO124" i="26"/>
  <c r="R124" i="26"/>
  <c r="AW123" i="26"/>
  <c r="AV114" i="26"/>
  <c r="AA113" i="26"/>
  <c r="AA87" i="26"/>
  <c r="AW17" i="26"/>
  <c r="AA10" i="26"/>
  <c r="AQ6" i="26"/>
  <c r="V115" i="26"/>
  <c r="AW102" i="26"/>
  <c r="V23" i="26"/>
  <c r="AQ122" i="26"/>
  <c r="W119" i="26"/>
  <c r="V117" i="26"/>
  <c r="AO116" i="26"/>
  <c r="T112" i="26"/>
  <c r="AB18" i="26"/>
  <c r="T12" i="26"/>
  <c r="AQ57" i="46"/>
  <c r="AQ12" i="46"/>
  <c r="AL33" i="46"/>
  <c r="AQ13" i="46"/>
  <c r="AQ139" i="46"/>
  <c r="AU16" i="24"/>
  <c r="AN46" i="46"/>
  <c r="AP142" i="46"/>
  <c r="I15" i="15"/>
  <c r="AR12" i="24"/>
  <c r="H56" i="38"/>
  <c r="H33" i="38"/>
  <c r="V118" i="26"/>
  <c r="AB115" i="26"/>
  <c r="V90" i="26"/>
  <c r="H46" i="38"/>
  <c r="E16" i="38"/>
  <c r="AB90" i="26"/>
  <c r="AQ12" i="26"/>
  <c r="AA90" i="26"/>
  <c r="H22" i="38"/>
  <c r="H82" i="38"/>
  <c r="H72" i="38"/>
  <c r="H51" i="38"/>
  <c r="H47" i="38"/>
  <c r="E22" i="38"/>
  <c r="H7" i="38"/>
  <c r="E56" i="38"/>
  <c r="H100" i="38"/>
  <c r="H88" i="38"/>
  <c r="H83" i="38"/>
  <c r="E82" i="38"/>
  <c r="H73" i="38"/>
  <c r="E72" i="38"/>
  <c r="E59" i="38"/>
  <c r="H52" i="38"/>
  <c r="E47" i="38"/>
  <c r="H42" i="38"/>
  <c r="H37" i="38"/>
  <c r="H15" i="38"/>
  <c r="H10" i="38"/>
  <c r="E7" i="38"/>
  <c r="E100" i="38"/>
  <c r="H95" i="38"/>
  <c r="H91" i="38"/>
  <c r="E83" i="38"/>
  <c r="H80" i="38"/>
  <c r="E73" i="38"/>
  <c r="E68" i="38"/>
  <c r="E54" i="38"/>
  <c r="H38" i="38"/>
  <c r="E37" i="38"/>
  <c r="E15" i="38"/>
  <c r="J15" i="15"/>
  <c r="AA23" i="26"/>
  <c r="Z116" i="26"/>
  <c r="W21" i="26"/>
  <c r="W116" i="26"/>
  <c r="W122" i="26"/>
  <c r="AB102" i="26"/>
  <c r="W18" i="26"/>
  <c r="W94" i="26"/>
  <c r="AA14" i="26"/>
  <c r="AB23" i="26"/>
  <c r="AA21" i="26"/>
  <c r="V14" i="26"/>
  <c r="AB116" i="26"/>
  <c r="V116" i="26"/>
  <c r="W23" i="26"/>
  <c r="V21" i="26"/>
  <c r="AV14" i="26"/>
  <c r="AA116" i="26"/>
  <c r="AB21" i="26"/>
  <c r="R99" i="26"/>
  <c r="AM115" i="26"/>
  <c r="AA100" i="26"/>
  <c r="W89" i="26"/>
  <c r="AM88" i="26"/>
  <c r="AM87" i="26"/>
  <c r="AA93" i="26"/>
  <c r="R24" i="26"/>
  <c r="W25" i="26"/>
  <c r="AB98" i="26"/>
  <c r="AU98" i="26"/>
  <c r="T97" i="26"/>
  <c r="AA97" i="26"/>
  <c r="G93" i="38"/>
  <c r="F93" i="38" s="1"/>
  <c r="E93" i="38"/>
  <c r="D92" i="38"/>
  <c r="C92" i="38" s="1"/>
  <c r="H92" i="38"/>
  <c r="D86" i="90"/>
  <c r="C86" i="90" s="1"/>
  <c r="E92" i="38"/>
  <c r="AU96" i="26"/>
  <c r="D78" i="90"/>
  <c r="C78" i="90" s="1"/>
  <c r="D52" i="90"/>
  <c r="C52" i="90" s="1"/>
  <c r="G46" i="38"/>
  <c r="F46" i="38" s="1"/>
  <c r="E46" i="38"/>
  <c r="G45" i="38"/>
  <c r="F45" i="38" s="1"/>
  <c r="H45" i="38"/>
  <c r="G34" i="38"/>
  <c r="F34" i="38" s="1"/>
  <c r="H34" i="38"/>
  <c r="D33" i="38"/>
  <c r="C33" i="38" s="1"/>
  <c r="E33" i="38"/>
  <c r="D32" i="38"/>
  <c r="C32" i="38" s="1"/>
  <c r="H32" i="38"/>
  <c r="D31" i="38"/>
  <c r="C31" i="38" s="1"/>
  <c r="E31" i="38"/>
  <c r="G26" i="38"/>
  <c r="F26" i="38" s="1"/>
  <c r="H26" i="38"/>
  <c r="D24" i="38"/>
  <c r="C24" i="38" s="1"/>
  <c r="E24" i="38"/>
  <c r="H23" i="38"/>
  <c r="E22" i="89"/>
  <c r="C22" i="89" s="1"/>
  <c r="AV17" i="26"/>
  <c r="AB12" i="26"/>
  <c r="R12" i="26"/>
  <c r="E6" i="38"/>
  <c r="AB122" i="26"/>
  <c r="W97" i="26"/>
  <c r="AO96" i="26"/>
  <c r="H93" i="38"/>
  <c r="AM92" i="26"/>
  <c r="AP91" i="26"/>
  <c r="AB91" i="26"/>
  <c r="D89" i="38"/>
  <c r="C89" i="38" s="1"/>
  <c r="E89" i="38"/>
  <c r="D79" i="38"/>
  <c r="C79" i="38" s="1"/>
  <c r="H79" i="38"/>
  <c r="D71" i="38"/>
  <c r="C71" i="38" s="1"/>
  <c r="E71" i="38"/>
  <c r="D70" i="38"/>
  <c r="C70" i="38" s="1"/>
  <c r="E70" i="38"/>
  <c r="H65" i="38"/>
  <c r="G60" i="38"/>
  <c r="F60" i="38" s="1"/>
  <c r="E60" i="38"/>
  <c r="I117" i="17"/>
  <c r="AH10" i="24"/>
  <c r="D82" i="90"/>
  <c r="C82" i="90" s="1"/>
  <c r="H72" i="73"/>
  <c r="AG38" i="46"/>
  <c r="I34" i="17"/>
  <c r="I29" i="17"/>
  <c r="I27" i="17"/>
  <c r="I18" i="17"/>
  <c r="I30" i="17"/>
  <c r="I25" i="17"/>
  <c r="I20" i="17"/>
  <c r="AH13" i="24"/>
  <c r="AM21" i="24"/>
  <c r="AH21" i="24"/>
  <c r="AD13" i="24"/>
  <c r="AH9" i="24"/>
  <c r="A3" i="90"/>
  <c r="AN13" i="24"/>
  <c r="AU21" i="24"/>
  <c r="AK21" i="24"/>
  <c r="AF21" i="24"/>
  <c r="AJ13" i="24"/>
  <c r="AF9" i="24"/>
  <c r="A3" i="46"/>
  <c r="C101" i="97" s="1"/>
  <c r="A4" i="5"/>
  <c r="AO21" i="24"/>
  <c r="AJ21" i="24"/>
  <c r="AD21" i="24"/>
  <c r="AD9" i="24"/>
  <c r="A4" i="17"/>
  <c r="AQ19" i="24"/>
  <c r="AN17" i="24"/>
  <c r="AE10" i="24"/>
  <c r="AI10" i="24"/>
  <c r="AN10" i="24"/>
  <c r="AJ10" i="24"/>
  <c r="AO10" i="24"/>
  <c r="AD10" i="24"/>
  <c r="AK10" i="24"/>
  <c r="AU10" i="24"/>
  <c r="AB14" i="24"/>
  <c r="AU14" i="24"/>
  <c r="AK14" i="24"/>
  <c r="AM14" i="24"/>
  <c r="AH14" i="24"/>
  <c r="AD18" i="24"/>
  <c r="AL18" i="24"/>
  <c r="AU18" i="24"/>
  <c r="AF18" i="24"/>
  <c r="AM18" i="24"/>
  <c r="AI18" i="24"/>
  <c r="AN18" i="24"/>
  <c r="AK22" i="24"/>
  <c r="AO22" i="24"/>
  <c r="AD22" i="24"/>
  <c r="AL22" i="24"/>
  <c r="AU22" i="24"/>
  <c r="AF22" i="24"/>
  <c r="AM22" i="24"/>
  <c r="AU29" i="24"/>
  <c r="AO29" i="24"/>
  <c r="AD29" i="24"/>
  <c r="AF29" i="24"/>
  <c r="AK18" i="24"/>
  <c r="AD25" i="24"/>
  <c r="AN22" i="24"/>
  <c r="AM10" i="24"/>
  <c r="AJ29" i="24"/>
  <c r="AU28" i="24"/>
  <c r="AO24" i="24"/>
  <c r="AQ10" i="24"/>
  <c r="AQ22" i="24"/>
  <c r="AO11" i="24"/>
  <c r="AF11" i="24"/>
  <c r="AD19" i="24"/>
  <c r="AP19" i="24"/>
  <c r="AL19" i="24"/>
  <c r="AU19" i="24"/>
  <c r="AF23" i="24"/>
  <c r="AP23" i="24"/>
  <c r="AO23" i="24"/>
  <c r="AU23" i="24"/>
  <c r="AC26" i="24"/>
  <c r="AI26" i="24"/>
  <c r="AN26" i="24"/>
  <c r="AP26" i="24"/>
  <c r="AL30" i="24"/>
  <c r="AQ23" i="24"/>
  <c r="AB30" i="24"/>
  <c r="AH26" i="24"/>
  <c r="AH19" i="24"/>
  <c r="AS19" i="24"/>
  <c r="P19" i="24" s="1"/>
  <c r="AQ21" i="24"/>
  <c r="AO20" i="24"/>
  <c r="AK20" i="24"/>
  <c r="AM12" i="24"/>
  <c r="AN20" i="24"/>
  <c r="AI20" i="24"/>
  <c r="AU12" i="24"/>
  <c r="AL12" i="24"/>
  <c r="AQ17" i="24"/>
  <c r="AM20" i="24"/>
  <c r="AO12" i="24"/>
  <c r="AK12" i="24"/>
  <c r="AJ20" i="24"/>
  <c r="AM18" i="46"/>
  <c r="H54" i="38"/>
  <c r="A3" i="89"/>
  <c r="D7" i="90"/>
  <c r="C7" i="90" s="1"/>
  <c r="D67" i="90"/>
  <c r="C67" i="90" s="1"/>
  <c r="D50" i="90"/>
  <c r="C50" i="90" s="1"/>
  <c r="H36" i="73"/>
  <c r="D18" i="90"/>
  <c r="C18" i="90" s="1"/>
  <c r="D20" i="90"/>
  <c r="C20" i="90" s="1"/>
  <c r="D118" i="90"/>
  <c r="C118" i="90" s="1"/>
  <c r="G70" i="73"/>
  <c r="D24" i="90"/>
  <c r="C24" i="90" s="1"/>
  <c r="D89" i="90"/>
  <c r="C89" i="90" s="1"/>
  <c r="H68" i="73"/>
  <c r="H48" i="73"/>
  <c r="D32" i="90"/>
  <c r="C32" i="90" s="1"/>
  <c r="AT30" i="24"/>
  <c r="AT23" i="24"/>
  <c r="AT19" i="24"/>
  <c r="D110" i="90"/>
  <c r="C110" i="90" s="1"/>
  <c r="D108" i="90"/>
  <c r="C108" i="90" s="1"/>
  <c r="H39" i="73"/>
  <c r="D9" i="90"/>
  <c r="C9" i="90" s="1"/>
  <c r="D68" i="90"/>
  <c r="C68" i="90" s="1"/>
  <c r="AR18" i="24"/>
  <c r="I8" i="17"/>
  <c r="AA122" i="26"/>
  <c r="AB121" i="26"/>
  <c r="W101" i="26"/>
  <c r="V97" i="26"/>
  <c r="AQ20" i="24"/>
  <c r="AS17" i="24"/>
  <c r="P17" i="24" s="1"/>
  <c r="AI17" i="24"/>
  <c r="AS13" i="24"/>
  <c r="P13" i="24" s="1"/>
  <c r="AR17" i="24"/>
  <c r="AR13" i="24"/>
  <c r="J13" i="24" s="1"/>
  <c r="AM17" i="24"/>
  <c r="AP17" i="24"/>
  <c r="AK17" i="24"/>
  <c r="E75" i="38"/>
  <c r="H94" i="38"/>
  <c r="H36" i="38"/>
  <c r="H64" i="38"/>
  <c r="H48" i="38"/>
  <c r="H98" i="38"/>
  <c r="E67" i="38"/>
  <c r="E55" i="38"/>
  <c r="E43" i="38"/>
  <c r="H40" i="38"/>
  <c r="E98" i="38"/>
  <c r="E94" i="38"/>
  <c r="E87" i="38"/>
  <c r="H77" i="38"/>
  <c r="H69" i="38"/>
  <c r="E64" i="38"/>
  <c r="H61" i="38"/>
  <c r="H57" i="38"/>
  <c r="E48" i="38"/>
  <c r="H41" i="38"/>
  <c r="E40" i="38"/>
  <c r="E36" i="38"/>
  <c r="H17" i="38"/>
  <c r="H13" i="38"/>
  <c r="H9" i="38"/>
  <c r="E8" i="38"/>
  <c r="H78" i="38"/>
  <c r="E77" i="38"/>
  <c r="H74" i="38"/>
  <c r="E69" i="38"/>
  <c r="E61" i="38"/>
  <c r="H58" i="38"/>
  <c r="E57" i="38"/>
  <c r="E41" i="38"/>
  <c r="H25" i="38"/>
  <c r="H21" i="38"/>
  <c r="E17" i="38"/>
  <c r="E13" i="38"/>
  <c r="E9" i="38"/>
  <c r="H6" i="38"/>
  <c r="E78" i="38"/>
  <c r="H75" i="38"/>
  <c r="E74" i="38"/>
  <c r="H71" i="38"/>
  <c r="E25" i="38"/>
  <c r="E21" i="38"/>
  <c r="D26" i="38"/>
  <c r="C26" i="38" s="1"/>
  <c r="G109" i="36"/>
  <c r="D19" i="90"/>
  <c r="C19" i="90" s="1"/>
  <c r="G18" i="38"/>
  <c r="F18" i="38" s="1"/>
  <c r="D104" i="90"/>
  <c r="C104" i="90" s="1"/>
  <c r="D51" i="90"/>
  <c r="C51" i="90" s="1"/>
  <c r="H15" i="73"/>
  <c r="D7" i="79"/>
  <c r="C7" i="79" s="1"/>
  <c r="N10" i="98" s="1"/>
  <c r="AV21" i="26"/>
  <c r="AT17" i="24"/>
  <c r="D106" i="90"/>
  <c r="C106" i="90" s="1"/>
  <c r="AN64" i="46"/>
  <c r="H119" i="36"/>
  <c r="H109" i="36"/>
  <c r="H124" i="73"/>
  <c r="D30" i="90"/>
  <c r="C30" i="90" s="1"/>
  <c r="G26" i="73"/>
  <c r="H25" i="73"/>
  <c r="G81" i="38"/>
  <c r="F81" i="38" s="1"/>
  <c r="D46" i="38"/>
  <c r="C46" i="38" s="1"/>
  <c r="AS28" i="24"/>
  <c r="P28" i="24" s="1"/>
  <c r="AP28" i="24"/>
  <c r="AI24" i="24"/>
  <c r="AB24" i="24"/>
  <c r="AL21" i="24"/>
  <c r="AC21" i="24"/>
  <c r="I18" i="15"/>
  <c r="AL10" i="24"/>
  <c r="AD14" i="24"/>
  <c r="AO28" i="24"/>
  <c r="AJ28" i="24"/>
  <c r="I25" i="15"/>
  <c r="AS24" i="24"/>
  <c r="P24" i="24" s="1"/>
  <c r="AU24" i="24"/>
  <c r="AB21" i="24"/>
  <c r="I20" i="15"/>
  <c r="AO14" i="24"/>
  <c r="AQ14" i="24"/>
  <c r="AS10" i="24"/>
  <c r="P10" i="24" s="1"/>
  <c r="AN36" i="46"/>
  <c r="AT28" i="24"/>
  <c r="AT24" i="24"/>
  <c r="AT21" i="24"/>
  <c r="AT10" i="24"/>
  <c r="Q10" i="24" s="1"/>
  <c r="D111" i="90"/>
  <c r="C111" i="90" s="1"/>
  <c r="AK28" i="24"/>
  <c r="AQ28" i="24"/>
  <c r="AM24" i="24"/>
  <c r="AP21" i="24"/>
  <c r="AL14" i="24"/>
  <c r="AP10" i="24"/>
  <c r="AR24" i="24"/>
  <c r="AR21" i="24"/>
  <c r="AR10" i="24"/>
  <c r="AK47" i="46"/>
  <c r="Y47" i="46" s="1"/>
  <c r="AM45" i="46"/>
  <c r="AM13" i="46"/>
  <c r="AK68" i="46"/>
  <c r="AL35" i="46"/>
  <c r="AK21" i="46"/>
  <c r="O21" i="46" s="1"/>
  <c r="AN14" i="46"/>
  <c r="AN139" i="46"/>
  <c r="AL25" i="46"/>
  <c r="AN9" i="46"/>
  <c r="AL48" i="46"/>
  <c r="AD30" i="24"/>
  <c r="AF24" i="24"/>
  <c r="AF20" i="24"/>
  <c r="AB19" i="24"/>
  <c r="AC13" i="24"/>
  <c r="AC10" i="24"/>
  <c r="AE12" i="24"/>
  <c r="AF28" i="24"/>
  <c r="AF25" i="24"/>
  <c r="AD24" i="24"/>
  <c r="AD20" i="24"/>
  <c r="AF10" i="24"/>
  <c r="AB17" i="24"/>
  <c r="AB13" i="24"/>
  <c r="AB10" i="24"/>
  <c r="AB28" i="24"/>
  <c r="AG13" i="24"/>
  <c r="AD17" i="24"/>
  <c r="AB20" i="24"/>
  <c r="Z87" i="26"/>
  <c r="Z19" i="26"/>
  <c r="AU18" i="26"/>
  <c r="AU10" i="26"/>
  <c r="AL19" i="26"/>
  <c r="Z113" i="26"/>
  <c r="AU95" i="26"/>
  <c r="Z88" i="26"/>
  <c r="Q96" i="26"/>
  <c r="AK67" i="46"/>
  <c r="AM40" i="46"/>
  <c r="AK37" i="46"/>
  <c r="O37" i="46" s="1"/>
  <c r="AL129" i="46"/>
  <c r="AK142" i="46"/>
  <c r="Y142" i="46" s="1"/>
  <c r="AK23" i="46"/>
  <c r="O23" i="46" s="1"/>
  <c r="AT22" i="24"/>
  <c r="G94" i="38"/>
  <c r="F94" i="38" s="1"/>
  <c r="D94" i="38"/>
  <c r="C94" i="38" s="1"/>
  <c r="G119" i="36"/>
  <c r="H117" i="36"/>
  <c r="D120" i="90"/>
  <c r="C120" i="90" s="1"/>
  <c r="H76" i="73"/>
  <c r="D61" i="90"/>
  <c r="C61" i="90" s="1"/>
  <c r="D47" i="90"/>
  <c r="C47" i="90" s="1"/>
  <c r="D11" i="90"/>
  <c r="C11" i="90" s="1"/>
  <c r="AO59" i="46"/>
  <c r="AN37" i="46"/>
  <c r="D109" i="79"/>
  <c r="C109" i="79" s="1"/>
  <c r="N112" i="98" s="1"/>
  <c r="D106" i="79"/>
  <c r="C106" i="79" s="1"/>
  <c r="N109" i="98" s="1"/>
  <c r="D84" i="38"/>
  <c r="C84" i="38" s="1"/>
  <c r="G84" i="38"/>
  <c r="F84" i="38" s="1"/>
  <c r="H121" i="36"/>
  <c r="H97" i="36"/>
  <c r="D54" i="90"/>
  <c r="C54" i="90" s="1"/>
  <c r="D40" i="90"/>
  <c r="C40" i="90" s="1"/>
  <c r="D34" i="90"/>
  <c r="C34" i="90" s="1"/>
  <c r="AK62" i="46"/>
  <c r="O62" i="46" s="1"/>
  <c r="AO113" i="26"/>
  <c r="G85" i="38"/>
  <c r="F85" i="38" s="1"/>
  <c r="D85" i="38"/>
  <c r="C85" i="38" s="1"/>
  <c r="D74" i="90"/>
  <c r="C74" i="90" s="1"/>
  <c r="I44" i="17"/>
  <c r="D50" i="79"/>
  <c r="C50" i="79" s="1"/>
  <c r="N53" i="98" s="1"/>
  <c r="D67" i="38"/>
  <c r="C67" i="38" s="1"/>
  <c r="G67" i="38"/>
  <c r="F67" i="38" s="1"/>
  <c r="Z10" i="26"/>
  <c r="AH17" i="24"/>
  <c r="I29" i="15"/>
  <c r="I28" i="15"/>
  <c r="I21" i="15"/>
  <c r="I19" i="15"/>
  <c r="AL17" i="24"/>
  <c r="AO17" i="24"/>
  <c r="AU17" i="24"/>
  <c r="AC17" i="24"/>
  <c r="AL13" i="24"/>
  <c r="AQ13" i="24"/>
  <c r="D8" i="38"/>
  <c r="C8" i="38" s="1"/>
  <c r="AT25" i="24"/>
  <c r="Z122" i="26"/>
  <c r="Z112" i="26"/>
  <c r="AU100" i="26"/>
  <c r="Z95" i="26"/>
  <c r="Z91" i="26"/>
  <c r="AU19" i="26"/>
  <c r="AU119" i="26"/>
  <c r="O14" i="26"/>
  <c r="O10" i="26"/>
  <c r="Z6" i="26"/>
  <c r="Z124" i="26"/>
  <c r="Z119" i="26"/>
  <c r="AU114" i="26"/>
  <c r="Z100" i="26"/>
  <c r="AU99" i="26"/>
  <c r="Z99" i="26"/>
  <c r="Z97" i="26"/>
  <c r="Z96" i="26"/>
  <c r="AU94" i="26"/>
  <c r="Z24" i="26"/>
  <c r="Z23" i="26"/>
  <c r="Z21" i="26"/>
  <c r="AU14" i="26"/>
  <c r="Z12" i="26"/>
  <c r="AU6" i="26"/>
  <c r="AU124" i="26"/>
  <c r="AU123" i="26"/>
  <c r="Z121" i="26"/>
  <c r="Z114" i="26"/>
  <c r="AU113" i="26"/>
  <c r="Z90" i="26"/>
  <c r="AU87" i="26"/>
  <c r="AU17" i="26"/>
  <c r="Z16" i="26"/>
  <c r="AL71" i="46"/>
  <c r="AL8" i="46"/>
  <c r="AK56" i="46"/>
  <c r="Y56" i="46" s="1"/>
  <c r="AM42" i="46"/>
  <c r="G94" i="36"/>
  <c r="H94" i="36"/>
  <c r="H53" i="36"/>
  <c r="H47" i="36"/>
  <c r="H37" i="36"/>
  <c r="D91" i="90"/>
  <c r="C91" i="90" s="1"/>
  <c r="D43" i="90"/>
  <c r="C43" i="90" s="1"/>
  <c r="G38" i="73"/>
  <c r="I74" i="17"/>
  <c r="I43" i="17"/>
  <c r="D25" i="79"/>
  <c r="C25" i="79" s="1"/>
  <c r="N28" i="98" s="1"/>
  <c r="H114" i="36"/>
  <c r="H89" i="36"/>
  <c r="G77" i="36"/>
  <c r="H77" i="36"/>
  <c r="F58" i="36"/>
  <c r="G53" i="36"/>
  <c r="H44" i="73"/>
  <c r="I22" i="17"/>
  <c r="D70" i="79"/>
  <c r="C70" i="79" s="1"/>
  <c r="N73" i="98" s="1"/>
  <c r="F108" i="36"/>
  <c r="G85" i="36"/>
  <c r="F79" i="36"/>
  <c r="H79" i="36"/>
  <c r="D25" i="90"/>
  <c r="C25" i="90" s="1"/>
  <c r="I26" i="17"/>
  <c r="G38" i="36"/>
  <c r="H38" i="36"/>
  <c r="H120" i="73"/>
  <c r="D66" i="90"/>
  <c r="C66" i="90" s="1"/>
  <c r="H34" i="73"/>
  <c r="D113" i="79"/>
  <c r="C113" i="79" s="1"/>
  <c r="N116" i="98" s="1"/>
  <c r="D18" i="79"/>
  <c r="C18" i="79" s="1"/>
  <c r="N21" i="98" s="1"/>
  <c r="D13" i="38"/>
  <c r="C13" i="38" s="1"/>
  <c r="G13" i="38"/>
  <c r="F13" i="38" s="1"/>
  <c r="G44" i="38"/>
  <c r="F44" i="38" s="1"/>
  <c r="D44" i="38"/>
  <c r="C44" i="38" s="1"/>
  <c r="D10" i="38"/>
  <c r="C10" i="38" s="1"/>
  <c r="G10" i="38"/>
  <c r="F10" i="38" s="1"/>
  <c r="I12" i="15"/>
  <c r="D103" i="90"/>
  <c r="C103" i="90" s="1"/>
  <c r="G29" i="73"/>
  <c r="D12" i="90"/>
  <c r="C12" i="90" s="1"/>
  <c r="D8" i="90"/>
  <c r="C8" i="90" s="1"/>
  <c r="I70" i="17"/>
  <c r="U113" i="26"/>
  <c r="D86" i="38"/>
  <c r="C86" i="38" s="1"/>
  <c r="O17" i="26"/>
  <c r="AA17" i="26"/>
  <c r="AB17" i="26"/>
  <c r="G11" i="38"/>
  <c r="F11" i="38" s="1"/>
  <c r="D11" i="38"/>
  <c r="C11" i="38" s="1"/>
  <c r="AE11" i="24"/>
  <c r="AL11" i="24"/>
  <c r="AH11" i="24"/>
  <c r="AU11" i="24"/>
  <c r="AJ22" i="24"/>
  <c r="AC22" i="24"/>
  <c r="AP25" i="24"/>
  <c r="AK25" i="24"/>
  <c r="AC25" i="24"/>
  <c r="AO25" i="24"/>
  <c r="AE29" i="24"/>
  <c r="AB29" i="24"/>
  <c r="AR29" i="24"/>
  <c r="AI29" i="24"/>
  <c r="AM29" i="24"/>
  <c r="AC29" i="24"/>
  <c r="AH29" i="24"/>
  <c r="AN29" i="24"/>
  <c r="AP29" i="24"/>
  <c r="AK29" i="24"/>
  <c r="AL29" i="24"/>
  <c r="O113" i="26"/>
  <c r="G65" i="38"/>
  <c r="F65" i="38" s="1"/>
  <c r="D65" i="38"/>
  <c r="C65" i="38" s="1"/>
  <c r="D37" i="38"/>
  <c r="C37" i="38" s="1"/>
  <c r="AQ29" i="24"/>
  <c r="T16" i="26"/>
  <c r="D14" i="38"/>
  <c r="C14" i="38" s="1"/>
  <c r="G12" i="38"/>
  <c r="F12" i="38" s="1"/>
  <c r="I10" i="15"/>
  <c r="AB11" i="26"/>
  <c r="AR25" i="24"/>
  <c r="AS29" i="24"/>
  <c r="P29" i="24" s="1"/>
  <c r="U25" i="26"/>
  <c r="R21" i="26"/>
  <c r="U19" i="26"/>
  <c r="I17" i="15"/>
  <c r="I13" i="15"/>
  <c r="AV8" i="26"/>
  <c r="AP18" i="26"/>
  <c r="I14" i="15"/>
  <c r="AB9" i="26"/>
  <c r="I9" i="15"/>
  <c r="AA7" i="26"/>
  <c r="AT29" i="24"/>
  <c r="AU9" i="24"/>
  <c r="G57" i="36"/>
  <c r="H57" i="36"/>
  <c r="G11" i="36"/>
  <c r="F11" i="36"/>
  <c r="H11" i="36"/>
  <c r="G90" i="36"/>
  <c r="F90" i="36"/>
  <c r="G30" i="36"/>
  <c r="H30" i="36"/>
  <c r="H111" i="36"/>
  <c r="F80" i="36"/>
  <c r="H80" i="36"/>
  <c r="G65" i="36"/>
  <c r="F65" i="36"/>
  <c r="H65" i="36"/>
  <c r="F43" i="36"/>
  <c r="G43" i="36"/>
  <c r="AQ58" i="46"/>
  <c r="AM54" i="46"/>
  <c r="I76" i="17"/>
  <c r="D13" i="79"/>
  <c r="C13" i="79" s="1"/>
  <c r="N16" i="98" s="1"/>
  <c r="AW121" i="26"/>
  <c r="H87" i="38"/>
  <c r="H112" i="36"/>
  <c r="F37" i="36"/>
  <c r="D116" i="90"/>
  <c r="C116" i="90" s="1"/>
  <c r="G97" i="73"/>
  <c r="H90" i="73"/>
  <c r="H84" i="73"/>
  <c r="H82" i="73"/>
  <c r="D70" i="90"/>
  <c r="C70" i="90" s="1"/>
  <c r="G69" i="73"/>
  <c r="D57" i="90"/>
  <c r="C57" i="90" s="1"/>
  <c r="D55" i="90"/>
  <c r="C55" i="90" s="1"/>
  <c r="E56" i="73"/>
  <c r="G40" i="73"/>
  <c r="G8" i="73"/>
  <c r="AK139" i="46"/>
  <c r="AN58" i="46"/>
  <c r="AQ55" i="46"/>
  <c r="AN40" i="46"/>
  <c r="AG35" i="46"/>
  <c r="AQ35" i="46"/>
  <c r="AO17" i="46"/>
  <c r="AG17" i="46"/>
  <c r="I118" i="17"/>
  <c r="D38" i="79"/>
  <c r="C38" i="79" s="1"/>
  <c r="N41" i="98" s="1"/>
  <c r="D88" i="38"/>
  <c r="C88" i="38" s="1"/>
  <c r="G88" i="38"/>
  <c r="F88" i="38" s="1"/>
  <c r="D88" i="90"/>
  <c r="C88" i="90" s="1"/>
  <c r="H56" i="73"/>
  <c r="D21" i="90"/>
  <c r="C21" i="90" s="1"/>
  <c r="AP25" i="46"/>
  <c r="AN19" i="46"/>
  <c r="D45" i="79"/>
  <c r="C45" i="79" s="1"/>
  <c r="N48" i="98" s="1"/>
  <c r="D92" i="90"/>
  <c r="C92" i="90" s="1"/>
  <c r="D80" i="90"/>
  <c r="C80" i="90" s="1"/>
  <c r="H78" i="73"/>
  <c r="D71" i="90"/>
  <c r="C71" i="90" s="1"/>
  <c r="F70" i="73"/>
  <c r="D58" i="90"/>
  <c r="C58" i="90" s="1"/>
  <c r="G44" i="73"/>
  <c r="E8" i="73"/>
  <c r="AM59" i="46"/>
  <c r="AG54" i="46"/>
  <c r="AO45" i="46"/>
  <c r="AG37" i="46"/>
  <c r="AL37" i="46"/>
  <c r="AO37" i="46"/>
  <c r="AQ17" i="46"/>
  <c r="I57" i="17"/>
  <c r="D57" i="17" s="1"/>
  <c r="G90" i="38"/>
  <c r="F90" i="38" s="1"/>
  <c r="D90" i="38"/>
  <c r="C90" i="38" s="1"/>
  <c r="D60" i="38"/>
  <c r="C60" i="38" s="1"/>
  <c r="D38" i="38"/>
  <c r="C38" i="38" s="1"/>
  <c r="D34" i="38"/>
  <c r="C34" i="38" s="1"/>
  <c r="AV24" i="26"/>
  <c r="AO9" i="24"/>
  <c r="G48" i="38"/>
  <c r="F48" i="38" s="1"/>
  <c r="G25" i="38"/>
  <c r="F25" i="38" s="1"/>
  <c r="H81" i="82"/>
  <c r="N82" i="73" s="1"/>
  <c r="D74" i="38"/>
  <c r="C74" i="38" s="1"/>
  <c r="G41" i="38"/>
  <c r="F41" i="38" s="1"/>
  <c r="G40" i="38"/>
  <c r="F40" i="38" s="1"/>
  <c r="D36" i="38"/>
  <c r="C36" i="38" s="1"/>
  <c r="D21" i="38"/>
  <c r="C21" i="38" s="1"/>
  <c r="AP21" i="26"/>
  <c r="O7" i="26"/>
  <c r="H122" i="73"/>
  <c r="AK28" i="46"/>
  <c r="Y28" i="46" s="1"/>
  <c r="AP113" i="26"/>
  <c r="T113" i="26"/>
  <c r="AQ9" i="24"/>
  <c r="AD12" i="24"/>
  <c r="AF17" i="24"/>
  <c r="H122" i="36"/>
  <c r="G112" i="36"/>
  <c r="F73" i="36"/>
  <c r="H73" i="36"/>
  <c r="F48" i="36"/>
  <c r="H48" i="36"/>
  <c r="F42" i="36"/>
  <c r="D100" i="90"/>
  <c r="C100" i="90" s="1"/>
  <c r="G122" i="36"/>
  <c r="G117" i="36"/>
  <c r="H116" i="36"/>
  <c r="H113" i="36"/>
  <c r="F112" i="36"/>
  <c r="F89" i="36"/>
  <c r="F87" i="36"/>
  <c r="G87" i="36"/>
  <c r="F81" i="36"/>
  <c r="H81" i="36"/>
  <c r="G69" i="36"/>
  <c r="F69" i="36"/>
  <c r="G62" i="36"/>
  <c r="H62" i="36"/>
  <c r="F57" i="36"/>
  <c r="F55" i="36"/>
  <c r="G55" i="36"/>
  <c r="G31" i="36"/>
  <c r="F31" i="36"/>
  <c r="H26" i="36"/>
  <c r="G8" i="36"/>
  <c r="H118" i="36"/>
  <c r="H108" i="36"/>
  <c r="G45" i="36"/>
  <c r="F45" i="36"/>
  <c r="H42" i="36"/>
  <c r="F38" i="36"/>
  <c r="G33" i="36"/>
  <c r="G15" i="36"/>
  <c r="F15" i="36"/>
  <c r="F88" i="36"/>
  <c r="G88" i="36"/>
  <c r="G86" i="36"/>
  <c r="F86" i="36"/>
  <c r="G60" i="36"/>
  <c r="F56" i="36"/>
  <c r="G56" i="36"/>
  <c r="G54" i="36"/>
  <c r="F54" i="36"/>
  <c r="H49" i="36"/>
  <c r="I129" i="17"/>
  <c r="I73" i="17"/>
  <c r="I9" i="17"/>
  <c r="D110" i="79"/>
  <c r="C110" i="79" s="1"/>
  <c r="N113" i="98" s="1"/>
  <c r="D61" i="79"/>
  <c r="C61" i="79" s="1"/>
  <c r="N64" i="98" s="1"/>
  <c r="D96" i="90"/>
  <c r="C96" i="90" s="1"/>
  <c r="G87" i="73"/>
  <c r="D83" i="90"/>
  <c r="C83" i="90" s="1"/>
  <c r="G62" i="73"/>
  <c r="E51" i="73"/>
  <c r="E44" i="73"/>
  <c r="H42" i="73"/>
  <c r="AP55" i="46"/>
  <c r="AK55" i="46"/>
  <c r="AQ54" i="46"/>
  <c r="AL54" i="46"/>
  <c r="AL47" i="46"/>
  <c r="AM23" i="46"/>
  <c r="AG23" i="46"/>
  <c r="I120" i="17"/>
  <c r="I108" i="17"/>
  <c r="I92" i="17"/>
  <c r="D92" i="17" s="1"/>
  <c r="I45" i="17"/>
  <c r="D66" i="79"/>
  <c r="C66" i="79" s="1"/>
  <c r="N69" i="98" s="1"/>
  <c r="D46" i="79"/>
  <c r="C46" i="79" s="1"/>
  <c r="N49" i="98" s="1"/>
  <c r="F7" i="36"/>
  <c r="D107" i="90"/>
  <c r="C107" i="90" s="1"/>
  <c r="D90" i="90"/>
  <c r="C90" i="90" s="1"/>
  <c r="D76" i="90"/>
  <c r="C76" i="90" s="1"/>
  <c r="E72" i="73"/>
  <c r="D46" i="90"/>
  <c r="C46" i="90" s="1"/>
  <c r="D44" i="90"/>
  <c r="C44" i="90" s="1"/>
  <c r="D42" i="90"/>
  <c r="C42" i="90" s="1"/>
  <c r="D16" i="90"/>
  <c r="C16" i="90" s="1"/>
  <c r="G11" i="73"/>
  <c r="AG139" i="46"/>
  <c r="AK59" i="46"/>
  <c r="AK54" i="46"/>
  <c r="O54" i="46" s="1"/>
  <c r="AM43" i="46"/>
  <c r="AQ37" i="46"/>
  <c r="AP37" i="46"/>
  <c r="AQ23" i="46"/>
  <c r="AL23" i="46"/>
  <c r="I39" i="17"/>
  <c r="AM38" i="46"/>
  <c r="AP23" i="46"/>
  <c r="AG21" i="46"/>
  <c r="AG7" i="46"/>
  <c r="AL7" i="46"/>
  <c r="I115" i="17"/>
  <c r="I98" i="17"/>
  <c r="I96" i="17"/>
  <c r="D122" i="79"/>
  <c r="C122" i="79" s="1"/>
  <c r="N125" i="98" s="1"/>
  <c r="D78" i="79"/>
  <c r="C78" i="79" s="1"/>
  <c r="N81" i="98" s="1"/>
  <c r="D58" i="79"/>
  <c r="C58" i="79" s="1"/>
  <c r="N61" i="98" s="1"/>
  <c r="D30" i="79"/>
  <c r="C30" i="79" s="1"/>
  <c r="N33" i="98" s="1"/>
  <c r="G6" i="38"/>
  <c r="F6" i="38" s="1"/>
  <c r="D6" i="38"/>
  <c r="C6" i="38" s="1"/>
  <c r="D20" i="38"/>
  <c r="C20" i="38" s="1"/>
  <c r="G20" i="38"/>
  <c r="F20" i="38" s="1"/>
  <c r="D9" i="38"/>
  <c r="C9" i="38" s="1"/>
  <c r="G9" i="38"/>
  <c r="F9" i="38" s="1"/>
  <c r="AR19" i="24"/>
  <c r="I125" i="17"/>
  <c r="I114" i="17"/>
  <c r="I77" i="17"/>
  <c r="I32" i="17"/>
  <c r="I15" i="17"/>
  <c r="D98" i="79"/>
  <c r="C98" i="79" s="1"/>
  <c r="N101" i="98" s="1"/>
  <c r="D89" i="79"/>
  <c r="C89" i="79" s="1"/>
  <c r="N92" i="98" s="1"/>
  <c r="D86" i="79"/>
  <c r="C86" i="79" s="1"/>
  <c r="N89" i="98" s="1"/>
  <c r="D34" i="79"/>
  <c r="C34" i="79" s="1"/>
  <c r="N37" i="98" s="1"/>
  <c r="D14" i="79"/>
  <c r="C14" i="79" s="1"/>
  <c r="N17" i="98" s="1"/>
  <c r="T99" i="26"/>
  <c r="D80" i="38"/>
  <c r="C80" i="38" s="1"/>
  <c r="G75" i="38"/>
  <c r="F75" i="38" s="1"/>
  <c r="G59" i="38"/>
  <c r="F59" i="38" s="1"/>
  <c r="D59" i="38"/>
  <c r="C59" i="38" s="1"/>
  <c r="G95" i="38"/>
  <c r="F95" i="38" s="1"/>
  <c r="D73" i="38"/>
  <c r="C73" i="38" s="1"/>
  <c r="D69" i="38"/>
  <c r="C69" i="38" s="1"/>
  <c r="G61" i="38"/>
  <c r="F61" i="38" s="1"/>
  <c r="D61" i="38"/>
  <c r="C61" i="38" s="1"/>
  <c r="D54" i="38"/>
  <c r="C54" i="38" s="1"/>
  <c r="I22" i="15"/>
  <c r="AG17" i="24"/>
  <c r="AE17" i="24"/>
  <c r="I27" i="15"/>
  <c r="I26" i="15"/>
  <c r="AG9" i="24"/>
  <c r="G72" i="36"/>
  <c r="G70" i="36"/>
  <c r="F70" i="36"/>
  <c r="H70" i="36"/>
  <c r="F61" i="36"/>
  <c r="F32" i="36"/>
  <c r="G32" i="36"/>
  <c r="F19" i="36"/>
  <c r="G19" i="36"/>
  <c r="F118" i="36"/>
  <c r="F113" i="36"/>
  <c r="F95" i="36"/>
  <c r="H93" i="36"/>
  <c r="G92" i="36"/>
  <c r="F85" i="36"/>
  <c r="G78" i="36"/>
  <c r="H78" i="36"/>
  <c r="G74" i="36"/>
  <c r="F74" i="36"/>
  <c r="H64" i="36"/>
  <c r="F34" i="36"/>
  <c r="G34" i="36"/>
  <c r="F18" i="36"/>
  <c r="G18" i="36"/>
  <c r="H18" i="36"/>
  <c r="H123" i="36"/>
  <c r="H115" i="36"/>
  <c r="H110" i="36"/>
  <c r="G93" i="36"/>
  <c r="G76" i="36"/>
  <c r="H72" i="36"/>
  <c r="F71" i="36"/>
  <c r="G71" i="36"/>
  <c r="H71" i="36"/>
  <c r="F63" i="36"/>
  <c r="H63" i="36"/>
  <c r="H61" i="36"/>
  <c r="G46" i="36"/>
  <c r="H46" i="36"/>
  <c r="F36" i="36"/>
  <c r="H36" i="36"/>
  <c r="F123" i="36"/>
  <c r="F115" i="36"/>
  <c r="F110" i="36"/>
  <c r="F97" i="36"/>
  <c r="H96" i="36"/>
  <c r="F93" i="36"/>
  <c r="F91" i="36"/>
  <c r="G91" i="36"/>
  <c r="H85" i="36"/>
  <c r="G81" i="36"/>
  <c r="F77" i="36"/>
  <c r="G75" i="36"/>
  <c r="G73" i="36"/>
  <c r="F72" i="36"/>
  <c r="G61" i="36"/>
  <c r="F59" i="36"/>
  <c r="G59" i="36"/>
  <c r="H19" i="36"/>
  <c r="F53" i="36"/>
  <c r="F49" i="36"/>
  <c r="H35" i="36"/>
  <c r="F30" i="36"/>
  <c r="F26" i="36"/>
  <c r="H17" i="36"/>
  <c r="H16" i="36"/>
  <c r="H9" i="36"/>
  <c r="H7" i="36"/>
  <c r="F6" i="36"/>
  <c r="D84" i="90"/>
  <c r="C84" i="90" s="1"/>
  <c r="G124" i="73"/>
  <c r="G79" i="73"/>
  <c r="G61" i="73"/>
  <c r="G58" i="73"/>
  <c r="G51" i="73"/>
  <c r="G46" i="73"/>
  <c r="G32" i="73"/>
  <c r="G27" i="73"/>
  <c r="G16" i="73"/>
  <c r="AL65" i="46"/>
  <c r="AO63" i="46"/>
  <c r="AN63" i="46"/>
  <c r="AM56" i="46"/>
  <c r="AO56" i="46"/>
  <c r="AO55" i="46"/>
  <c r="AL55" i="46"/>
  <c r="AN55" i="46"/>
  <c r="AO53" i="46"/>
  <c r="AN53" i="46"/>
  <c r="AO40" i="46"/>
  <c r="AP40" i="46"/>
  <c r="AL21" i="46"/>
  <c r="AO9" i="46"/>
  <c r="G44" i="36"/>
  <c r="F20" i="36"/>
  <c r="G17" i="36"/>
  <c r="F16" i="36"/>
  <c r="H10" i="36"/>
  <c r="D99" i="90"/>
  <c r="C99" i="90" s="1"/>
  <c r="G72" i="73"/>
  <c r="G68" i="73"/>
  <c r="F51" i="73"/>
  <c r="E41" i="73"/>
  <c r="E29" i="73"/>
  <c r="G21" i="73"/>
  <c r="AQ129" i="46"/>
  <c r="AL142" i="46"/>
  <c r="AQ68" i="46"/>
  <c r="AQ64" i="46"/>
  <c r="AL64" i="46"/>
  <c r="AN57" i="46"/>
  <c r="AL57" i="46"/>
  <c r="AG55" i="46"/>
  <c r="AO54" i="46"/>
  <c r="AN54" i="46"/>
  <c r="AO47" i="46"/>
  <c r="AM47" i="46"/>
  <c r="AO35" i="46"/>
  <c r="AG25" i="46"/>
  <c r="AM25" i="46"/>
  <c r="AO23" i="46"/>
  <c r="AL20" i="46"/>
  <c r="AN20" i="46"/>
  <c r="AL14" i="46"/>
  <c r="AM14" i="46"/>
  <c r="AG10" i="46"/>
  <c r="AO8" i="46"/>
  <c r="AG8" i="46"/>
  <c r="I112" i="17"/>
  <c r="I110" i="17"/>
  <c r="F10" i="36"/>
  <c r="E39" i="73"/>
  <c r="AQ66" i="46"/>
  <c r="AO57" i="46"/>
  <c r="AG56" i="46"/>
  <c r="AN56" i="46"/>
  <c r="AM51" i="46"/>
  <c r="AO51" i="46"/>
  <c r="AQ44" i="46"/>
  <c r="AL40" i="46"/>
  <c r="AK40" i="46"/>
  <c r="AQ27" i="46"/>
  <c r="AO21" i="46"/>
  <c r="AQ21" i="46"/>
  <c r="AQ10" i="46"/>
  <c r="AQ8" i="46"/>
  <c r="G64" i="73"/>
  <c r="G24" i="73"/>
  <c r="E19" i="73"/>
  <c r="AM52" i="46"/>
  <c r="AM8" i="46"/>
  <c r="I113" i="17"/>
  <c r="I111" i="17"/>
  <c r="I109" i="17"/>
  <c r="I63" i="17"/>
  <c r="I53" i="17"/>
  <c r="I24" i="17"/>
  <c r="I23" i="17"/>
  <c r="I11" i="17"/>
  <c r="D118" i="79"/>
  <c r="C118" i="79" s="1"/>
  <c r="N121" i="98" s="1"/>
  <c r="D102" i="79"/>
  <c r="C102" i="79" s="1"/>
  <c r="N105" i="98" s="1"/>
  <c r="D94" i="79"/>
  <c r="C94" i="79" s="1"/>
  <c r="N97" i="98" s="1"/>
  <c r="D82" i="79"/>
  <c r="C82" i="79" s="1"/>
  <c r="N85" i="98" s="1"/>
  <c r="D42" i="79"/>
  <c r="C42" i="79" s="1"/>
  <c r="N45" i="98" s="1"/>
  <c r="D29" i="79"/>
  <c r="C29" i="79" s="1"/>
  <c r="N32" i="98" s="1"/>
  <c r="D101" i="38"/>
  <c r="C101" i="38" s="1"/>
  <c r="G101" i="38"/>
  <c r="F101" i="38" s="1"/>
  <c r="D96" i="38"/>
  <c r="C96" i="38" s="1"/>
  <c r="G96" i="38"/>
  <c r="F96" i="38" s="1"/>
  <c r="G91" i="38"/>
  <c r="F91" i="38" s="1"/>
  <c r="D91" i="38"/>
  <c r="C91" i="38" s="1"/>
  <c r="U90" i="26"/>
  <c r="AL90" i="26"/>
  <c r="AQ90" i="26"/>
  <c r="D77" i="79"/>
  <c r="C77" i="79" s="1"/>
  <c r="N80" i="98" s="1"/>
  <c r="D57" i="79"/>
  <c r="C57" i="79" s="1"/>
  <c r="N60" i="98" s="1"/>
  <c r="D22" i="79"/>
  <c r="C22" i="79" s="1"/>
  <c r="N25" i="98" s="1"/>
  <c r="D87" i="38"/>
  <c r="C87" i="38" s="1"/>
  <c r="G87" i="38"/>
  <c r="F87" i="38" s="1"/>
  <c r="D6" i="79"/>
  <c r="C6" i="79" s="1"/>
  <c r="N9" i="98" s="1"/>
  <c r="D117" i="79"/>
  <c r="C117" i="79" s="1"/>
  <c r="N120" i="98" s="1"/>
  <c r="D93" i="79"/>
  <c r="C93" i="79" s="1"/>
  <c r="N96" i="98" s="1"/>
  <c r="D93" i="38"/>
  <c r="C93" i="38" s="1"/>
  <c r="D83" i="38"/>
  <c r="C83" i="38" s="1"/>
  <c r="G71" i="38"/>
  <c r="F71" i="38" s="1"/>
  <c r="G70" i="38"/>
  <c r="F70" i="38" s="1"/>
  <c r="G55" i="38"/>
  <c r="F55" i="38" s="1"/>
  <c r="D55" i="38"/>
  <c r="C55" i="38" s="1"/>
  <c r="D50" i="38"/>
  <c r="C50" i="38" s="1"/>
  <c r="G50" i="38"/>
  <c r="F50" i="38" s="1"/>
  <c r="D49" i="38"/>
  <c r="C49" i="38" s="1"/>
  <c r="G49" i="38"/>
  <c r="F49" i="38" s="1"/>
  <c r="AM113" i="26"/>
  <c r="Q113" i="26"/>
  <c r="D56" i="38"/>
  <c r="C56" i="38" s="1"/>
  <c r="G56" i="38"/>
  <c r="F56" i="38" s="1"/>
  <c r="G39" i="38"/>
  <c r="F39" i="38" s="1"/>
  <c r="D45" i="38"/>
  <c r="C45" i="38" s="1"/>
  <c r="G17" i="38"/>
  <c r="F17" i="38" s="1"/>
  <c r="AS144" i="24"/>
  <c r="D22" i="38"/>
  <c r="C22" i="38" s="1"/>
  <c r="G15" i="38"/>
  <c r="F15" i="38" s="1"/>
  <c r="O18" i="26"/>
  <c r="AG10" i="24"/>
  <c r="AG29" i="24"/>
  <c r="AE21" i="24"/>
  <c r="AC15" i="24"/>
  <c r="AH15" i="24"/>
  <c r="AN15" i="24"/>
  <c r="AO15" i="24"/>
  <c r="AF27" i="24"/>
  <c r="AR27" i="24"/>
  <c r="AM15" i="24"/>
  <c r="AT27" i="24"/>
  <c r="AR15" i="24"/>
  <c r="AG24" i="24"/>
  <c r="AE24" i="24"/>
  <c r="AC24" i="24"/>
  <c r="AH24" i="24"/>
  <c r="AN24" i="24"/>
  <c r="AL24" i="24"/>
  <c r="AP24" i="24"/>
  <c r="AK24" i="24"/>
  <c r="AE28" i="24"/>
  <c r="AR28" i="24"/>
  <c r="AI28" i="24"/>
  <c r="AM28" i="24"/>
  <c r="AL28" i="24"/>
  <c r="AG28" i="24"/>
  <c r="AH28" i="24"/>
  <c r="AN28" i="24"/>
  <c r="AH30" i="24"/>
  <c r="AR30" i="24"/>
  <c r="AN30" i="24"/>
  <c r="AK15" i="24"/>
  <c r="AG11" i="24"/>
  <c r="AB11" i="24"/>
  <c r="AP11" i="24"/>
  <c r="AI11" i="24"/>
  <c r="AK11" i="24"/>
  <c r="AP13" i="24"/>
  <c r="AT13" i="24"/>
  <c r="AO13" i="24"/>
  <c r="AI13" i="24"/>
  <c r="AM13" i="24"/>
  <c r="AG20" i="24"/>
  <c r="AE20" i="24"/>
  <c r="AC20" i="24"/>
  <c r="AR20" i="24"/>
  <c r="AH20" i="24"/>
  <c r="AT20" i="24"/>
  <c r="AG23" i="24"/>
  <c r="AB23" i="24"/>
  <c r="AR23" i="24"/>
  <c r="AI23" i="24"/>
  <c r="AD23" i="24"/>
  <c r="AC23" i="24"/>
  <c r="AH23" i="24"/>
  <c r="AS23" i="24"/>
  <c r="AN23" i="24"/>
  <c r="AH25" i="24"/>
  <c r="AU25" i="24"/>
  <c r="AM25" i="24"/>
  <c r="AL25" i="24"/>
  <c r="AB25" i="24"/>
  <c r="AJ25" i="24"/>
  <c r="AI25" i="24"/>
  <c r="AE14" i="24"/>
  <c r="AF14" i="24"/>
  <c r="AC14" i="24"/>
  <c r="AR14" i="24"/>
  <c r="AS14" i="24"/>
  <c r="AI14" i="24"/>
  <c r="AG14" i="24"/>
  <c r="AP14" i="24"/>
  <c r="AT14" i="24"/>
  <c r="AN14" i="24"/>
  <c r="AE18" i="24"/>
  <c r="AB18" i="24"/>
  <c r="AT18" i="24"/>
  <c r="AG26" i="24"/>
  <c r="AE26" i="24"/>
  <c r="AD26" i="24"/>
  <c r="AR26" i="24"/>
  <c r="AT26" i="24"/>
  <c r="AQ24" i="24"/>
  <c r="AS11" i="24"/>
  <c r="AQ30" i="24"/>
  <c r="AQ26" i="24"/>
  <c r="AQ25" i="24"/>
  <c r="AS20" i="24"/>
  <c r="AS18" i="24"/>
  <c r="AE27" i="24"/>
  <c r="AD27" i="24"/>
  <c r="AG27" i="24"/>
  <c r="AC27" i="24"/>
  <c r="AU27" i="24"/>
  <c r="AO27" i="24"/>
  <c r="AI27" i="24"/>
  <c r="AP27" i="24"/>
  <c r="AH27" i="24"/>
  <c r="AK27" i="24"/>
  <c r="AB27" i="24"/>
  <c r="AN27" i="24"/>
  <c r="AM27" i="24"/>
  <c r="AL27" i="24"/>
  <c r="AF16" i="24"/>
  <c r="AR16" i="24"/>
  <c r="AT16" i="24"/>
  <c r="AN16" i="24"/>
  <c r="AC16" i="24"/>
  <c r="AL16" i="24"/>
  <c r="AH16" i="24"/>
  <c r="AO16" i="24"/>
  <c r="AP16" i="24"/>
  <c r="AI16" i="24"/>
  <c r="AJ16" i="24"/>
  <c r="AK16" i="24"/>
  <c r="AB16" i="24"/>
  <c r="AM16" i="24"/>
  <c r="AE9" i="24"/>
  <c r="AP9" i="24"/>
  <c r="AL9" i="24"/>
  <c r="AB9" i="24"/>
  <c r="AI9" i="24"/>
  <c r="AM9" i="24"/>
  <c r="AN9" i="24"/>
  <c r="AC9" i="24"/>
  <c r="AG12" i="24"/>
  <c r="AF12" i="24"/>
  <c r="AH12" i="24"/>
  <c r="AB12" i="24"/>
  <c r="AQ12" i="24"/>
  <c r="AJ12" i="24"/>
  <c r="AT12" i="24"/>
  <c r="A3" i="108"/>
  <c r="A3" i="15"/>
  <c r="A3" i="38"/>
  <c r="AT9" i="24"/>
  <c r="AR22" i="24"/>
  <c r="AS22" i="24"/>
  <c r="AH22" i="24"/>
  <c r="AB22" i="24"/>
  <c r="AP22" i="24"/>
  <c r="AP15" i="24"/>
  <c r="AL15" i="24"/>
  <c r="AE15" i="24"/>
  <c r="AU15" i="24"/>
  <c r="AB15" i="24"/>
  <c r="AJ15" i="24"/>
  <c r="AI15" i="24"/>
  <c r="AT15" i="24"/>
  <c r="AC18" i="24"/>
  <c r="AJ18" i="24"/>
  <c r="AP18" i="24"/>
  <c r="AG18" i="24"/>
  <c r="AH18" i="24"/>
  <c r="AG30" i="24"/>
  <c r="AE30" i="24"/>
  <c r="AC30" i="24"/>
  <c r="AP30" i="24"/>
  <c r="AU30" i="24"/>
  <c r="AK30" i="24"/>
  <c r="AI30" i="24"/>
  <c r="AO30" i="24"/>
  <c r="AS30" i="24"/>
  <c r="P30" i="24" s="1"/>
  <c r="AS27" i="24"/>
  <c r="P27" i="24" s="1"/>
  <c r="AQ27" i="24"/>
  <c r="AQ18" i="24"/>
  <c r="AQ16" i="24"/>
  <c r="AS26" i="24"/>
  <c r="AJ26" i="24"/>
  <c r="AS25" i="24"/>
  <c r="P25" i="24" s="1"/>
  <c r="AN25" i="24"/>
  <c r="AS16" i="24"/>
  <c r="AS15" i="24"/>
  <c r="P15" i="24" s="1"/>
  <c r="AS12" i="24"/>
  <c r="P12" i="24" s="1"/>
  <c r="AR9" i="24"/>
  <c r="J9" i="24" s="1"/>
  <c r="AS9" i="24"/>
  <c r="P9" i="24" s="1"/>
  <c r="AC11" i="24"/>
  <c r="AR11" i="24"/>
  <c r="AT11" i="24"/>
  <c r="AN11" i="24"/>
  <c r="AM11" i="24"/>
  <c r="AE13" i="24"/>
  <c r="AU13" i="24"/>
  <c r="AK13" i="24"/>
  <c r="AG19" i="24"/>
  <c r="AF19" i="24"/>
  <c r="AC19" i="24"/>
  <c r="AJ19" i="24"/>
  <c r="AF26" i="24"/>
  <c r="AS21" i="24"/>
  <c r="AQ15" i="24"/>
  <c r="AV102" i="26"/>
  <c r="AA102" i="26"/>
  <c r="AW101" i="26"/>
  <c r="AB101" i="26"/>
  <c r="W100" i="26"/>
  <c r="AB94" i="26"/>
  <c r="V94" i="26"/>
  <c r="AW25" i="26"/>
  <c r="W24" i="26"/>
  <c r="AU16" i="26"/>
  <c r="W16" i="26"/>
  <c r="AA15" i="26"/>
  <c r="AP90" i="26"/>
  <c r="O90" i="26"/>
  <c r="AP24" i="26"/>
  <c r="AU21" i="26"/>
  <c r="Q21" i="26"/>
  <c r="AO10" i="26"/>
  <c r="AU102" i="26"/>
  <c r="Z102" i="26"/>
  <c r="AV101" i="26"/>
  <c r="AA101" i="26"/>
  <c r="AW100" i="26"/>
  <c r="AB100" i="26"/>
  <c r="AW94" i="26"/>
  <c r="AA94" i="26"/>
  <c r="AV25" i="26"/>
  <c r="AB24" i="26"/>
  <c r="AB16" i="26"/>
  <c r="V16" i="26"/>
  <c r="AU11" i="26"/>
  <c r="AO101" i="26"/>
  <c r="AB118" i="26"/>
  <c r="W102" i="26"/>
  <c r="AU101" i="26"/>
  <c r="Z101" i="26"/>
  <c r="AV100" i="26"/>
  <c r="AV94" i="26"/>
  <c r="Z94" i="26"/>
  <c r="AQ25" i="26"/>
  <c r="AA24" i="26"/>
  <c r="AW16" i="26"/>
  <c r="AA16" i="26"/>
  <c r="AL101" i="26"/>
  <c r="AO99" i="26"/>
  <c r="AV90" i="26"/>
  <c r="U24" i="26"/>
  <c r="AP19" i="26"/>
  <c r="AM96" i="26"/>
  <c r="W96" i="26"/>
  <c r="R96" i="26"/>
  <c r="R100" i="26"/>
  <c r="T100" i="26"/>
  <c r="AW96" i="26"/>
  <c r="AQ96" i="26"/>
  <c r="AB96" i="26"/>
  <c r="V96" i="26"/>
  <c r="V91" i="26"/>
  <c r="O91" i="26"/>
  <c r="AW91" i="26"/>
  <c r="U91" i="26"/>
  <c r="AO91" i="26"/>
  <c r="Q18" i="26"/>
  <c r="R18" i="26"/>
  <c r="T18" i="26"/>
  <c r="AL18" i="26"/>
  <c r="Z18" i="26"/>
  <c r="AV18" i="26"/>
  <c r="U18" i="26"/>
  <c r="AO18" i="26"/>
  <c r="AA18" i="26"/>
  <c r="AW18" i="26"/>
  <c r="O9" i="26"/>
  <c r="AM9" i="26"/>
  <c r="T9" i="26"/>
  <c r="AU9" i="26"/>
  <c r="AA9" i="26"/>
  <c r="AV9" i="26"/>
  <c r="O8" i="26"/>
  <c r="W8" i="26"/>
  <c r="AL8" i="26"/>
  <c r="Z8" i="26"/>
  <c r="H58" i="82"/>
  <c r="N59" i="73" s="1"/>
  <c r="AV96" i="26"/>
  <c r="AP96" i="26"/>
  <c r="AA96" i="26"/>
  <c r="U96" i="26"/>
  <c r="H110" i="82"/>
  <c r="R25" i="26"/>
  <c r="O25" i="26"/>
  <c r="V25" i="26"/>
  <c r="AM25" i="26"/>
  <c r="Q25" i="26"/>
  <c r="AA25" i="26"/>
  <c r="AO25" i="26"/>
  <c r="T25" i="26"/>
  <c r="AB25" i="26"/>
  <c r="AP25" i="26"/>
  <c r="AU25" i="26"/>
  <c r="V18" i="26"/>
  <c r="AO121" i="26"/>
  <c r="H106" i="82"/>
  <c r="U101" i="26"/>
  <c r="AO94" i="26"/>
  <c r="AQ24" i="26"/>
  <c r="Q24" i="26"/>
  <c r="AM21" i="26"/>
  <c r="O21" i="26"/>
  <c r="T19" i="26"/>
  <c r="O19" i="26"/>
  <c r="AV93" i="26"/>
  <c r="AL22" i="26"/>
  <c r="AP22" i="26"/>
  <c r="AA22" i="26"/>
  <c r="V22" i="26"/>
  <c r="AB22" i="26"/>
  <c r="Q13" i="26"/>
  <c r="O13" i="26"/>
  <c r="AL13" i="26"/>
  <c r="T13" i="26"/>
  <c r="AQ13" i="26"/>
  <c r="Z13" i="26"/>
  <c r="W13" i="26"/>
  <c r="AA13" i="26"/>
  <c r="AW118" i="26"/>
  <c r="AA118" i="26"/>
  <c r="U118" i="26"/>
  <c r="AB117" i="26"/>
  <c r="Z98" i="26"/>
  <c r="AP95" i="26"/>
  <c r="U95" i="26"/>
  <c r="Z93" i="26"/>
  <c r="AW92" i="26"/>
  <c r="AQ92" i="26"/>
  <c r="AB92" i="26"/>
  <c r="V92" i="26"/>
  <c r="Z22" i="26"/>
  <c r="T116" i="26"/>
  <c r="U116" i="26"/>
  <c r="O102" i="26"/>
  <c r="Q102" i="26"/>
  <c r="AP102" i="26"/>
  <c r="T102" i="26"/>
  <c r="AQ102" i="26"/>
  <c r="AL93" i="26"/>
  <c r="R7" i="26"/>
  <c r="Q7" i="26"/>
  <c r="AM7" i="26"/>
  <c r="U7" i="26"/>
  <c r="Z7" i="26"/>
  <c r="AO7" i="26"/>
  <c r="AL7" i="26"/>
  <c r="W7" i="26"/>
  <c r="AU7" i="26"/>
  <c r="AL117" i="26"/>
  <c r="R117" i="26"/>
  <c r="AW117" i="26"/>
  <c r="U117" i="26"/>
  <c r="AV118" i="26"/>
  <c r="AP118" i="26"/>
  <c r="Z118" i="26"/>
  <c r="T118" i="26"/>
  <c r="AA117" i="26"/>
  <c r="W111" i="26"/>
  <c r="AO95" i="26"/>
  <c r="T95" i="26"/>
  <c r="W93" i="26"/>
  <c r="AV92" i="26"/>
  <c r="AP92" i="26"/>
  <c r="AA92" i="26"/>
  <c r="U92" i="26"/>
  <c r="W22" i="26"/>
  <c r="AQ117" i="26"/>
  <c r="V88" i="26"/>
  <c r="O88" i="26"/>
  <c r="AO88" i="26"/>
  <c r="Q93" i="26"/>
  <c r="BB93" i="26" s="1"/>
  <c r="R93" i="26"/>
  <c r="AP93" i="26"/>
  <c r="U93" i="26"/>
  <c r="AQ93" i="26"/>
  <c r="AU118" i="26"/>
  <c r="AO118" i="26"/>
  <c r="W118" i="26"/>
  <c r="Z117" i="26"/>
  <c r="AV95" i="26"/>
  <c r="AA95" i="26"/>
  <c r="AB93" i="26"/>
  <c r="V93" i="26"/>
  <c r="AU92" i="26"/>
  <c r="AO92" i="26"/>
  <c r="Z92" i="26"/>
  <c r="T92" i="26"/>
  <c r="R122" i="26"/>
  <c r="AO122" i="26"/>
  <c r="R121" i="26"/>
  <c r="Q121" i="26"/>
  <c r="AP121" i="26"/>
  <c r="T121" i="26"/>
  <c r="AV121" i="26"/>
  <c r="AP117" i="26"/>
  <c r="AQ116" i="26"/>
  <c r="AL114" i="26"/>
  <c r="Q114" i="26"/>
  <c r="T114" i="26"/>
  <c r="AM102" i="26"/>
  <c r="Q101" i="26"/>
  <c r="O101" i="26"/>
  <c r="V101" i="26"/>
  <c r="AP101" i="26"/>
  <c r="R101" i="26"/>
  <c r="H102" i="82"/>
  <c r="Q95" i="26"/>
  <c r="O93" i="26"/>
  <c r="AL92" i="26"/>
  <c r="T14" i="26"/>
  <c r="U14" i="26"/>
  <c r="AM14" i="26"/>
  <c r="W14" i="26"/>
  <c r="AQ14" i="26"/>
  <c r="AW14" i="26"/>
  <c r="AO14" i="26"/>
  <c r="Z14" i="26"/>
  <c r="AW13" i="26"/>
  <c r="AW23" i="26"/>
  <c r="Q9" i="26"/>
  <c r="BB9" i="26" s="1"/>
  <c r="V9" i="26"/>
  <c r="AP9" i="26"/>
  <c r="AW9" i="26"/>
  <c r="R9" i="26"/>
  <c r="Z9" i="26"/>
  <c r="AL9" i="26"/>
  <c r="AQ9" i="26"/>
  <c r="R8" i="26"/>
  <c r="Q8" i="26"/>
  <c r="AP8" i="26"/>
  <c r="U8" i="26"/>
  <c r="AQ8" i="26"/>
  <c r="AL113" i="26"/>
  <c r="Q90" i="26"/>
  <c r="R90" i="26"/>
  <c r="T17" i="26"/>
  <c r="AM17" i="26"/>
  <c r="U17" i="26"/>
  <c r="AO17" i="26"/>
  <c r="AO9" i="26"/>
  <c r="U9" i="26"/>
  <c r="AL24" i="26"/>
  <c r="O24" i="26"/>
  <c r="AW21" i="26"/>
  <c r="AO21" i="26"/>
  <c r="T21" i="26"/>
  <c r="U120" i="26"/>
  <c r="O120" i="26"/>
  <c r="AB120" i="26"/>
  <c r="Q115" i="26"/>
  <c r="AP115" i="26"/>
  <c r="R115" i="26"/>
  <c r="AL115" i="26"/>
  <c r="R89" i="26"/>
  <c r="T89" i="26"/>
  <c r="AA11" i="26"/>
  <c r="R11" i="26"/>
  <c r="AM11" i="26"/>
  <c r="T11" i="26"/>
  <c r="Z11" i="26"/>
  <c r="AQ11" i="26"/>
  <c r="AW11" i="26"/>
  <c r="Q11" i="26"/>
  <c r="AB89" i="26"/>
  <c r="AW98" i="26"/>
  <c r="AM95" i="26"/>
  <c r="W95" i="26"/>
  <c r="AA89" i="26"/>
  <c r="W88" i="26"/>
  <c r="AW15" i="26"/>
  <c r="AW12" i="26"/>
  <c r="AO12" i="26"/>
  <c r="W12" i="26"/>
  <c r="AP11" i="26"/>
  <c r="V11" i="26"/>
  <c r="AP120" i="26"/>
  <c r="R119" i="26"/>
  <c r="AP119" i="26"/>
  <c r="T115" i="26"/>
  <c r="H108" i="82"/>
  <c r="H107" i="82"/>
  <c r="H105" i="82"/>
  <c r="AL96" i="26"/>
  <c r="O94" i="26"/>
  <c r="Q94" i="26"/>
  <c r="T94" i="26"/>
  <c r="Q91" i="26"/>
  <c r="R91" i="26"/>
  <c r="AU91" i="26"/>
  <c r="T91" i="26"/>
  <c r="AL91" i="26"/>
  <c r="AV91" i="26"/>
  <c r="AV89" i="26"/>
  <c r="AV88" i="26"/>
  <c r="Q87" i="26"/>
  <c r="U87" i="26"/>
  <c r="R98" i="26"/>
  <c r="T98" i="26"/>
  <c r="AU115" i="26"/>
  <c r="AA115" i="26"/>
  <c r="W98" i="26"/>
  <c r="W11" i="26"/>
  <c r="U115" i="26"/>
  <c r="AU112" i="26"/>
  <c r="AW112" i="26"/>
  <c r="AL95" i="26"/>
  <c r="R88" i="26"/>
  <c r="Q88" i="26"/>
  <c r="AP88" i="26"/>
  <c r="AW88" i="26"/>
  <c r="T88" i="26"/>
  <c r="AL88" i="26"/>
  <c r="AQ88" i="26"/>
  <c r="T15" i="26"/>
  <c r="AB15" i="26"/>
  <c r="U12" i="26"/>
  <c r="AA12" i="26"/>
  <c r="AP12" i="26"/>
  <c r="AV12" i="26"/>
  <c r="Z115" i="26"/>
  <c r="AB112" i="26"/>
  <c r="V112" i="26"/>
  <c r="AW115" i="26"/>
  <c r="AQ115" i="26"/>
  <c r="W115" i="26"/>
  <c r="AA112" i="26"/>
  <c r="AV98" i="26"/>
  <c r="AA98" i="26"/>
  <c r="AW95" i="26"/>
  <c r="AQ95" i="26"/>
  <c r="AB95" i="26"/>
  <c r="V95" i="26"/>
  <c r="Z89" i="26"/>
  <c r="AB88" i="26"/>
  <c r="AV15" i="26"/>
  <c r="W15" i="26"/>
  <c r="AU12" i="26"/>
  <c r="AM12" i="26"/>
  <c r="V12" i="26"/>
  <c r="AV11" i="26"/>
  <c r="AO11" i="26"/>
  <c r="U11" i="26"/>
  <c r="O116" i="26"/>
  <c r="AL116" i="26"/>
  <c r="AU116" i="26"/>
  <c r="Q116" i="26"/>
  <c r="AM116" i="26"/>
  <c r="AW116" i="26"/>
  <c r="AO115" i="26"/>
  <c r="O115" i="26"/>
  <c r="AP98" i="26"/>
  <c r="R97" i="26"/>
  <c r="AL97" i="26"/>
  <c r="AW97" i="26"/>
  <c r="AP89" i="26"/>
  <c r="AU88" i="26"/>
  <c r="U88" i="26"/>
  <c r="H111" i="82"/>
  <c r="AP100" i="26"/>
  <c r="AW93" i="26"/>
  <c r="AM93" i="26"/>
  <c r="T93" i="26"/>
  <c r="AW90" i="26"/>
  <c r="AM90" i="26"/>
  <c r="T90" i="26"/>
  <c r="H41" i="82"/>
  <c r="N42" i="73" s="1"/>
  <c r="AL23" i="26"/>
  <c r="AV23" i="26"/>
  <c r="R22" i="26"/>
  <c r="AV22" i="26"/>
  <c r="T22" i="26"/>
  <c r="Q17" i="26"/>
  <c r="V17" i="26"/>
  <c r="AP17" i="26"/>
  <c r="R17" i="26"/>
  <c r="Z17" i="26"/>
  <c r="AL17" i="26"/>
  <c r="AQ17" i="26"/>
  <c r="Q14" i="26"/>
  <c r="AP14" i="26"/>
  <c r="R14" i="26"/>
  <c r="AL14" i="26"/>
  <c r="Q10" i="26"/>
  <c r="T10" i="26"/>
  <c r="AP10" i="26"/>
  <c r="U10" i="26"/>
  <c r="H11" i="82"/>
  <c r="N11" i="73" s="1"/>
  <c r="AL25" i="26"/>
  <c r="Z25" i="26"/>
  <c r="AW24" i="26"/>
  <c r="AM24" i="26"/>
  <c r="T24" i="26"/>
  <c r="AQ21" i="26"/>
  <c r="AL21" i="26"/>
  <c r="AM13" i="26"/>
  <c r="U13" i="26"/>
  <c r="AW8" i="26"/>
  <c r="AM8" i="26"/>
  <c r="T8" i="26"/>
  <c r="AQ7" i="26"/>
  <c r="AB7" i="26"/>
  <c r="T7" i="26"/>
  <c r="J9" i="15"/>
  <c r="J14" i="15"/>
  <c r="J8" i="15"/>
  <c r="J29" i="15"/>
  <c r="J28" i="15"/>
  <c r="J17" i="15"/>
  <c r="AG138" i="46"/>
  <c r="AO138" i="46"/>
  <c r="AN60" i="46"/>
  <c r="AG60" i="46"/>
  <c r="AM140" i="46"/>
  <c r="AG24" i="46"/>
  <c r="AK24" i="46"/>
  <c r="Y24" i="46" s="1"/>
  <c r="AN24" i="46"/>
  <c r="AQ24" i="46"/>
  <c r="AL24" i="46"/>
  <c r="AO24" i="46"/>
  <c r="AK6" i="46"/>
  <c r="AM6" i="46"/>
  <c r="AG6" i="46"/>
  <c r="AO6" i="46"/>
  <c r="AO139" i="46"/>
  <c r="AK25" i="46"/>
  <c r="AN25" i="46"/>
  <c r="AO25" i="46"/>
  <c r="AQ25" i="46"/>
  <c r="AM24" i="46"/>
  <c r="AO42" i="46"/>
  <c r="AK42" i="46"/>
  <c r="O42" i="46" s="1"/>
  <c r="AG42" i="46"/>
  <c r="AO34" i="46"/>
  <c r="AM34" i="46"/>
  <c r="AN7" i="46"/>
  <c r="AO7" i="46"/>
  <c r="AM129" i="46"/>
  <c r="AO129" i="46"/>
  <c r="AG142" i="46"/>
  <c r="AL139" i="46"/>
  <c r="AQ42" i="46"/>
  <c r="AO33" i="46"/>
  <c r="AQ33" i="46"/>
  <c r="AG33" i="46"/>
  <c r="AK66" i="46"/>
  <c r="AK63" i="46"/>
  <c r="Y63" i="46" s="1"/>
  <c r="AN61" i="46"/>
  <c r="AQ59" i="46"/>
  <c r="AN59" i="46"/>
  <c r="AG52" i="46"/>
  <c r="AQ47" i="46"/>
  <c r="AL38" i="46"/>
  <c r="AM37" i="46"/>
  <c r="AM28" i="46"/>
  <c r="AN21" i="46"/>
  <c r="AL17" i="46"/>
  <c r="AO14" i="46"/>
  <c r="AL140" i="46"/>
  <c r="AO39" i="46"/>
  <c r="AM39" i="46"/>
  <c r="AG39" i="46"/>
  <c r="AK39" i="46"/>
  <c r="AN39" i="46"/>
  <c r="AM11" i="46"/>
  <c r="AN11" i="46"/>
  <c r="AK11" i="46"/>
  <c r="AL11" i="46"/>
  <c r="AO11" i="46"/>
  <c r="AO140" i="46"/>
  <c r="AG69" i="46"/>
  <c r="AQ67" i="46"/>
  <c r="AL52" i="46"/>
  <c r="AG50" i="46"/>
  <c r="AK50" i="46"/>
  <c r="AM50" i="46"/>
  <c r="AO50" i="46"/>
  <c r="AL50" i="46"/>
  <c r="AN50" i="46"/>
  <c r="AQ50" i="46"/>
  <c r="AQ39" i="46"/>
  <c r="AL36" i="46"/>
  <c r="AO32" i="46"/>
  <c r="AG12" i="46"/>
  <c r="AM12" i="46"/>
  <c r="AK12" i="46"/>
  <c r="Y12" i="46" s="1"/>
  <c r="AN12" i="46"/>
  <c r="AO12" i="46"/>
  <c r="AM138" i="46"/>
  <c r="AL138" i="46"/>
  <c r="AO142" i="46"/>
  <c r="AN142" i="46"/>
  <c r="AQ140" i="46"/>
  <c r="AK140" i="46"/>
  <c r="AM139" i="46"/>
  <c r="AQ138" i="46"/>
  <c r="AK138" i="46"/>
  <c r="Y138" i="46" s="1"/>
  <c r="AQ69" i="46"/>
  <c r="AQ62" i="46"/>
  <c r="AQ61" i="46"/>
  <c r="AO58" i="46"/>
  <c r="AL58" i="46"/>
  <c r="AG57" i="46"/>
  <c r="AK57" i="46"/>
  <c r="O57" i="46" s="1"/>
  <c r="AM57" i="46"/>
  <c r="AG45" i="46"/>
  <c r="AK45" i="46"/>
  <c r="AL45" i="46"/>
  <c r="AN45" i="46"/>
  <c r="AQ45" i="46"/>
  <c r="AO41" i="46"/>
  <c r="AQ41" i="46"/>
  <c r="AM35" i="46"/>
  <c r="AK35" i="46"/>
  <c r="AN35" i="46"/>
  <c r="AG11" i="46"/>
  <c r="AG9" i="46"/>
  <c r="AK60" i="46"/>
  <c r="AM60" i="46"/>
  <c r="AL60" i="46"/>
  <c r="AN140" i="46"/>
  <c r="AG140" i="46"/>
  <c r="AN138" i="46"/>
  <c r="AG98" i="46"/>
  <c r="AK69" i="46"/>
  <c r="AM62" i="46"/>
  <c r="AG61" i="46"/>
  <c r="AK52" i="46"/>
  <c r="O52" i="46" s="1"/>
  <c r="AN52" i="46"/>
  <c r="AO52" i="46"/>
  <c r="AQ52" i="46"/>
  <c r="AN48" i="46"/>
  <c r="AQ48" i="46"/>
  <c r="AO44" i="46"/>
  <c r="AK44" i="46"/>
  <c r="AM44" i="46"/>
  <c r="AL44" i="46"/>
  <c r="AN44" i="46"/>
  <c r="AG44" i="46"/>
  <c r="AL39" i="46"/>
  <c r="AQ36" i="46"/>
  <c r="AM27" i="46"/>
  <c r="AK27" i="46"/>
  <c r="AN27" i="46"/>
  <c r="AO27" i="46"/>
  <c r="AL27" i="46"/>
  <c r="AG27" i="46"/>
  <c r="AL12" i="46"/>
  <c r="AN33" i="46"/>
  <c r="AK33" i="46"/>
  <c r="O33" i="46" s="1"/>
  <c r="AQ19" i="46"/>
  <c r="AL19" i="46"/>
  <c r="AN17" i="46"/>
  <c r="AK17" i="46"/>
  <c r="Y17" i="46" s="1"/>
  <c r="AK14" i="46"/>
  <c r="AQ6" i="46"/>
  <c r="AL6" i="46"/>
  <c r="AG141" i="46"/>
  <c r="AQ56" i="46"/>
  <c r="AN42" i="46"/>
  <c r="AL42" i="46"/>
  <c r="AG40" i="46"/>
  <c r="AQ40" i="46"/>
  <c r="AQ38" i="46"/>
  <c r="AM33" i="46"/>
  <c r="AQ28" i="46"/>
  <c r="AN23" i="46"/>
  <c r="AQ20" i="46"/>
  <c r="AM17" i="46"/>
  <c r="AQ14" i="46"/>
  <c r="AG14" i="46"/>
  <c r="AN6" i="46"/>
  <c r="F32" i="73"/>
  <c r="E35" i="73"/>
  <c r="F47" i="73"/>
  <c r="F124" i="73"/>
  <c r="G102" i="73"/>
  <c r="F95" i="73"/>
  <c r="E87" i="73"/>
  <c r="G78" i="73"/>
  <c r="F73" i="73"/>
  <c r="E62" i="73"/>
  <c r="F48" i="73"/>
  <c r="F35" i="73"/>
  <c r="G35" i="73"/>
  <c r="F33" i="73"/>
  <c r="F15" i="73"/>
  <c r="G122" i="73"/>
  <c r="E102" i="73"/>
  <c r="E89" i="73"/>
  <c r="F87" i="73"/>
  <c r="E64" i="73"/>
  <c r="F20" i="73"/>
  <c r="G92" i="73"/>
  <c r="F90" i="73"/>
  <c r="E66" i="73"/>
  <c r="E60" i="73"/>
  <c r="F36" i="73"/>
  <c r="F16" i="73"/>
  <c r="F12" i="73"/>
  <c r="F49" i="73"/>
  <c r="H22" i="73"/>
  <c r="G15" i="73"/>
  <c r="G125" i="73"/>
  <c r="E124" i="73"/>
  <c r="E95" i="73"/>
  <c r="G90" i="73"/>
  <c r="E86" i="73"/>
  <c r="E83" i="73"/>
  <c r="E79" i="73"/>
  <c r="F76" i="73"/>
  <c r="F74" i="73"/>
  <c r="E65" i="73"/>
  <c r="F52" i="73"/>
  <c r="F43" i="73"/>
  <c r="E40" i="73"/>
  <c r="E32" i="73"/>
  <c r="F29" i="73"/>
  <c r="F26" i="73"/>
  <c r="F19" i="73"/>
  <c r="G19" i="73"/>
  <c r="E15" i="73"/>
  <c r="E12" i="73"/>
  <c r="F82" i="73"/>
  <c r="G82" i="73"/>
  <c r="F63" i="73"/>
  <c r="G63" i="73"/>
  <c r="F40" i="73"/>
  <c r="F119" i="73"/>
  <c r="G95" i="73"/>
  <c r="G89" i="73"/>
  <c r="H86" i="73"/>
  <c r="E80" i="73"/>
  <c r="E76" i="73"/>
  <c r="G65" i="73"/>
  <c r="E61" i="73"/>
  <c r="E59" i="73"/>
  <c r="F53" i="73"/>
  <c r="E52" i="73"/>
  <c r="F44" i="73"/>
  <c r="G43" i="73"/>
  <c r="F41" i="73"/>
  <c r="E26" i="73"/>
  <c r="G12" i="73"/>
  <c r="G84" i="73"/>
  <c r="E100" i="73"/>
  <c r="E94" i="73"/>
  <c r="G93" i="73"/>
  <c r="F84" i="73"/>
  <c r="G80" i="73"/>
  <c r="G71" i="73"/>
  <c r="E67" i="73"/>
  <c r="G67" i="73"/>
  <c r="F67" i="73"/>
  <c r="E47" i="73"/>
  <c r="F45" i="73"/>
  <c r="E22" i="73"/>
  <c r="F13" i="73"/>
  <c r="E122" i="73"/>
  <c r="F122" i="73"/>
  <c r="E88" i="73"/>
  <c r="G55" i="73"/>
  <c r="F55" i="73"/>
  <c r="E55" i="73"/>
  <c r="G48" i="73"/>
  <c r="E48" i="73"/>
  <c r="G100" i="73"/>
  <c r="E97" i="73"/>
  <c r="F88" i="73"/>
  <c r="G88" i="73"/>
  <c r="H87" i="73"/>
  <c r="E75" i="73"/>
  <c r="E71" i="73"/>
  <c r="E70" i="73"/>
  <c r="F57" i="73"/>
  <c r="E45" i="73"/>
  <c r="F39" i="73"/>
  <c r="G28" i="73"/>
  <c r="F28" i="73"/>
  <c r="E28" i="73"/>
  <c r="F17" i="73"/>
  <c r="G13" i="73"/>
  <c r="F125" i="73"/>
  <c r="E121" i="73"/>
  <c r="H102" i="73"/>
  <c r="F102" i="73"/>
  <c r="F100" i="73"/>
  <c r="F92" i="73"/>
  <c r="E84" i="73"/>
  <c r="G83" i="73"/>
  <c r="E81" i="73"/>
  <c r="F80" i="73"/>
  <c r="E78" i="73"/>
  <c r="E77" i="73"/>
  <c r="E69" i="73"/>
  <c r="F62" i="73"/>
  <c r="G60" i="73"/>
  <c r="F60" i="73"/>
  <c r="F59" i="73"/>
  <c r="E25" i="73"/>
  <c r="E9" i="73"/>
  <c r="G59" i="73"/>
  <c r="G39" i="73"/>
  <c r="G25" i="73"/>
  <c r="G121" i="73"/>
  <c r="G76" i="73"/>
  <c r="F72" i="73"/>
  <c r="F65" i="73"/>
  <c r="G47" i="73"/>
  <c r="E43" i="73"/>
  <c r="E36" i="73"/>
  <c r="H33" i="73"/>
  <c r="E20" i="73"/>
  <c r="E16" i="73"/>
  <c r="H125" i="73"/>
  <c r="F123" i="73"/>
  <c r="G121" i="36"/>
  <c r="G116" i="36"/>
  <c r="G114" i="36"/>
  <c r="G111" i="36"/>
  <c r="H107" i="36"/>
  <c r="H106" i="36"/>
  <c r="F92" i="36"/>
  <c r="H84" i="36"/>
  <c r="H83" i="36"/>
  <c r="H82" i="36"/>
  <c r="F76" i="36"/>
  <c r="H68" i="36"/>
  <c r="H67" i="36"/>
  <c r="H66" i="36"/>
  <c r="F60" i="36"/>
  <c r="H52" i="36"/>
  <c r="H51" i="36"/>
  <c r="H50" i="36"/>
  <c r="F44" i="36"/>
  <c r="H41" i="36"/>
  <c r="H40" i="36"/>
  <c r="H39" i="36"/>
  <c r="F33" i="36"/>
  <c r="H28" i="36"/>
  <c r="H27" i="36"/>
  <c r="H14" i="36"/>
  <c r="H13" i="36"/>
  <c r="H12" i="36"/>
  <c r="H6" i="36"/>
  <c r="D97" i="90"/>
  <c r="C97" i="90" s="1"/>
  <c r="E123" i="73"/>
  <c r="E120" i="73"/>
  <c r="F120" i="73"/>
  <c r="F121" i="36"/>
  <c r="F116" i="36"/>
  <c r="F114" i="36"/>
  <c r="F111" i="36"/>
  <c r="G107" i="36"/>
  <c r="G106" i="36"/>
  <c r="G84" i="36"/>
  <c r="G83" i="36"/>
  <c r="F82" i="36"/>
  <c r="G68" i="36"/>
  <c r="G67" i="36"/>
  <c r="F66" i="36"/>
  <c r="G52" i="36"/>
  <c r="G51" i="36"/>
  <c r="F50" i="36"/>
  <c r="G41" i="36"/>
  <c r="G40" i="36"/>
  <c r="F39" i="36"/>
  <c r="G28" i="36"/>
  <c r="F27" i="36"/>
  <c r="G14" i="36"/>
  <c r="G13" i="36"/>
  <c r="F12" i="36"/>
  <c r="H8" i="36"/>
  <c r="G123" i="73"/>
  <c r="F107" i="36"/>
  <c r="G96" i="36"/>
  <c r="G95" i="36"/>
  <c r="F94" i="36"/>
  <c r="H92" i="36"/>
  <c r="H91" i="36"/>
  <c r="H90" i="36"/>
  <c r="F84" i="36"/>
  <c r="G80" i="36"/>
  <c r="G79" i="36"/>
  <c r="F78" i="36"/>
  <c r="H76" i="36"/>
  <c r="H75" i="36"/>
  <c r="H74" i="36"/>
  <c r="F68" i="36"/>
  <c r="G64" i="36"/>
  <c r="G63" i="36"/>
  <c r="F62" i="36"/>
  <c r="H60" i="36"/>
  <c r="H59" i="36"/>
  <c r="H58" i="36"/>
  <c r="F52" i="36"/>
  <c r="G48" i="36"/>
  <c r="G47" i="36"/>
  <c r="F46" i="36"/>
  <c r="H44" i="36"/>
  <c r="H43" i="36"/>
  <c r="F41" i="36"/>
  <c r="G37" i="36"/>
  <c r="G36" i="36"/>
  <c r="F35" i="36"/>
  <c r="H33" i="36"/>
  <c r="H32" i="36"/>
  <c r="H31" i="36"/>
  <c r="H20" i="36"/>
  <c r="F14" i="36"/>
  <c r="G10" i="36"/>
  <c r="G9" i="36"/>
  <c r="F8" i="36"/>
  <c r="C98" i="90"/>
  <c r="G120" i="73"/>
  <c r="G119" i="73"/>
  <c r="E119" i="73"/>
  <c r="E93" i="73"/>
  <c r="G91" i="73"/>
  <c r="F86" i="73"/>
  <c r="G85" i="73"/>
  <c r="G73" i="73"/>
  <c r="F58" i="73"/>
  <c r="E58" i="73"/>
  <c r="G56" i="73"/>
  <c r="G52" i="73"/>
  <c r="F46" i="73"/>
  <c r="E46" i="73"/>
  <c r="F38" i="73"/>
  <c r="E38" i="73"/>
  <c r="G36" i="73"/>
  <c r="E21" i="73"/>
  <c r="F21" i="73"/>
  <c r="F14" i="73"/>
  <c r="G14" i="73"/>
  <c r="F11" i="73"/>
  <c r="E11" i="73"/>
  <c r="H52" i="73"/>
  <c r="AL46" i="46"/>
  <c r="AK46" i="46"/>
  <c r="AG46" i="46"/>
  <c r="AM46" i="46"/>
  <c r="AO46" i="46"/>
  <c r="AQ46" i="46"/>
  <c r="I123" i="17"/>
  <c r="I40" i="17"/>
  <c r="D9" i="79"/>
  <c r="C9" i="79" s="1"/>
  <c r="N12" i="98" s="1"/>
  <c r="F75" i="73"/>
  <c r="F54" i="73"/>
  <c r="E54" i="73"/>
  <c r="F50" i="73"/>
  <c r="E50" i="73"/>
  <c r="F42" i="73"/>
  <c r="F34" i="73"/>
  <c r="E34" i="73"/>
  <c r="F18" i="73"/>
  <c r="E18" i="73"/>
  <c r="G7" i="73"/>
  <c r="H80" i="73"/>
  <c r="AK71" i="46"/>
  <c r="AG71" i="46"/>
  <c r="AQ71" i="46"/>
  <c r="AO71" i="46"/>
  <c r="H65" i="73"/>
  <c r="AK49" i="46"/>
  <c r="AG49" i="46"/>
  <c r="AM49" i="46"/>
  <c r="AO49" i="46"/>
  <c r="AN49" i="46"/>
  <c r="AQ49" i="46"/>
  <c r="AL49" i="46"/>
  <c r="AK26" i="46"/>
  <c r="AG26" i="46"/>
  <c r="AM26" i="46"/>
  <c r="AQ26" i="46"/>
  <c r="AO26" i="46"/>
  <c r="AN26" i="46"/>
  <c r="AL26" i="46"/>
  <c r="I16" i="17"/>
  <c r="D41" i="79"/>
  <c r="C41" i="79" s="1"/>
  <c r="N44" i="98" s="1"/>
  <c r="D21" i="79"/>
  <c r="C21" i="79" s="1"/>
  <c r="N24" i="98" s="1"/>
  <c r="D15" i="79"/>
  <c r="C15" i="79" s="1"/>
  <c r="N18" i="98" s="1"/>
  <c r="Q123" i="26"/>
  <c r="AB123" i="26"/>
  <c r="AO123" i="26"/>
  <c r="H139" i="82"/>
  <c r="N140" i="73" s="1"/>
  <c r="T123" i="26"/>
  <c r="AA123" i="26"/>
  <c r="AP123" i="26"/>
  <c r="O123" i="26"/>
  <c r="V123" i="26"/>
  <c r="AL123" i="26"/>
  <c r="AQ123" i="26"/>
  <c r="U123" i="26"/>
  <c r="Z123" i="26"/>
  <c r="R123" i="26"/>
  <c r="AM123" i="26"/>
  <c r="G94" i="73"/>
  <c r="G86" i="73"/>
  <c r="G81" i="73"/>
  <c r="G77" i="73"/>
  <c r="G74" i="73"/>
  <c r="G66" i="73"/>
  <c r="F61" i="73"/>
  <c r="E57" i="73"/>
  <c r="G57" i="73"/>
  <c r="E42" i="73"/>
  <c r="E37" i="73"/>
  <c r="G37" i="73"/>
  <c r="F27" i="73"/>
  <c r="E27" i="73"/>
  <c r="E10" i="73"/>
  <c r="G10" i="73"/>
  <c r="E7" i="73"/>
  <c r="H32" i="73"/>
  <c r="AL16" i="46"/>
  <c r="AK16" i="46"/>
  <c r="AG16" i="46"/>
  <c r="AM16" i="46"/>
  <c r="AO16" i="46"/>
  <c r="AQ16" i="46"/>
  <c r="I101" i="17"/>
  <c r="I93" i="17"/>
  <c r="D73" i="79"/>
  <c r="C73" i="79" s="1"/>
  <c r="N76" i="98" s="1"/>
  <c r="D53" i="79"/>
  <c r="C53" i="79" s="1"/>
  <c r="N56" i="98" s="1"/>
  <c r="D47" i="79"/>
  <c r="C47" i="79" s="1"/>
  <c r="N50" i="98" s="1"/>
  <c r="F97" i="73"/>
  <c r="F94" i="73"/>
  <c r="F91" i="73"/>
  <c r="E91" i="73"/>
  <c r="F89" i="73"/>
  <c r="E85" i="73"/>
  <c r="F83" i="73"/>
  <c r="F81" i="73"/>
  <c r="F79" i="73"/>
  <c r="F77" i="73"/>
  <c r="G75" i="73"/>
  <c r="E73" i="73"/>
  <c r="H71" i="73"/>
  <c r="F71" i="73"/>
  <c r="F68" i="73"/>
  <c r="F66" i="73"/>
  <c r="F64" i="73"/>
  <c r="G54" i="73"/>
  <c r="E53" i="73"/>
  <c r="G53" i="73"/>
  <c r="G50" i="73"/>
  <c r="E49" i="73"/>
  <c r="G49" i="73"/>
  <c r="G45" i="73"/>
  <c r="G42" i="73"/>
  <c r="G41" i="73"/>
  <c r="G34" i="73"/>
  <c r="E33" i="73"/>
  <c r="G33" i="73"/>
  <c r="F24" i="73"/>
  <c r="E24" i="73"/>
  <c r="G22" i="73"/>
  <c r="AU22" i="73" s="1"/>
  <c r="H21" i="73"/>
  <c r="G20" i="73"/>
  <c r="G18" i="73"/>
  <c r="E17" i="73"/>
  <c r="G17" i="73"/>
  <c r="G9" i="73"/>
  <c r="AK129" i="46"/>
  <c r="AN129" i="46"/>
  <c r="AG129" i="46"/>
  <c r="AK22" i="46"/>
  <c r="AG22" i="46"/>
  <c r="AM22" i="46"/>
  <c r="AQ22" i="46"/>
  <c r="AO22" i="46"/>
  <c r="AN22" i="46"/>
  <c r="AL22" i="46"/>
  <c r="AP22" i="46"/>
  <c r="AK18" i="46"/>
  <c r="AP18" i="46"/>
  <c r="AN18" i="46"/>
  <c r="AG18" i="46"/>
  <c r="AO18" i="46"/>
  <c r="AL18" i="46"/>
  <c r="AQ18" i="46"/>
  <c r="AN16" i="46"/>
  <c r="I119" i="17"/>
  <c r="D105" i="79"/>
  <c r="C105" i="79" s="1"/>
  <c r="N108" i="98" s="1"/>
  <c r="D85" i="79"/>
  <c r="C85" i="79" s="1"/>
  <c r="N88" i="98" s="1"/>
  <c r="D79" i="79"/>
  <c r="C79" i="79" s="1"/>
  <c r="N82" i="98" s="1"/>
  <c r="AO69" i="46"/>
  <c r="AO65" i="46"/>
  <c r="AM65" i="46"/>
  <c r="AK64" i="46"/>
  <c r="AG64" i="46"/>
  <c r="AM64" i="46"/>
  <c r="AK51" i="46"/>
  <c r="AP51" i="46"/>
  <c r="AN51" i="46"/>
  <c r="AG51" i="46"/>
  <c r="AK43" i="46"/>
  <c r="AG43" i="46"/>
  <c r="AN43" i="46"/>
  <c r="AL41" i="46"/>
  <c r="AM41" i="46"/>
  <c r="AK41" i="46"/>
  <c r="AG41" i="46"/>
  <c r="AK34" i="46"/>
  <c r="AN34" i="46"/>
  <c r="AG34" i="46"/>
  <c r="AL28" i="46"/>
  <c r="AO28" i="46"/>
  <c r="AN28" i="46"/>
  <c r="AP15" i="46"/>
  <c r="AM15" i="46"/>
  <c r="AK15" i="46"/>
  <c r="AL15" i="46"/>
  <c r="AQ15" i="46"/>
  <c r="AK13" i="46"/>
  <c r="AN13" i="46"/>
  <c r="AG13" i="46"/>
  <c r="I126" i="17"/>
  <c r="I124" i="17"/>
  <c r="I122" i="17"/>
  <c r="I102" i="17"/>
  <c r="I84" i="17"/>
  <c r="I42" i="17"/>
  <c r="I36" i="17"/>
  <c r="I10" i="17"/>
  <c r="D119" i="79"/>
  <c r="C119" i="79" s="1"/>
  <c r="N122" i="98" s="1"/>
  <c r="D114" i="79"/>
  <c r="C114" i="79" s="1"/>
  <c r="N117" i="98" s="1"/>
  <c r="D96" i="79"/>
  <c r="C96" i="79" s="1"/>
  <c r="N99" i="98" s="1"/>
  <c r="D91" i="79"/>
  <c r="C91" i="79" s="1"/>
  <c r="N94" i="98" s="1"/>
  <c r="D84" i="79"/>
  <c r="C84" i="79" s="1"/>
  <c r="N87" i="98" s="1"/>
  <c r="D64" i="79"/>
  <c r="C64" i="79" s="1"/>
  <c r="N67" i="98" s="1"/>
  <c r="D59" i="79"/>
  <c r="C59" i="79" s="1"/>
  <c r="N62" i="98" s="1"/>
  <c r="D52" i="79"/>
  <c r="C52" i="79" s="1"/>
  <c r="N55" i="98" s="1"/>
  <c r="D32" i="79"/>
  <c r="C32" i="79" s="1"/>
  <c r="N35" i="98" s="1"/>
  <c r="D27" i="79"/>
  <c r="C27" i="79" s="1"/>
  <c r="N30" i="98" s="1"/>
  <c r="D20" i="79"/>
  <c r="C20" i="79" s="1"/>
  <c r="N23" i="98" s="1"/>
  <c r="Q124" i="26"/>
  <c r="AL124" i="26"/>
  <c r="O124" i="26"/>
  <c r="H140" i="82"/>
  <c r="N141" i="73" s="1"/>
  <c r="O118" i="26"/>
  <c r="AL118" i="26"/>
  <c r="Q118" i="26"/>
  <c r="BB118" i="26" s="1"/>
  <c r="R118" i="26"/>
  <c r="AM118" i="26"/>
  <c r="AM142" i="46"/>
  <c r="AN69" i="46"/>
  <c r="AL69" i="46"/>
  <c r="AO68" i="46"/>
  <c r="AG68" i="46"/>
  <c r="AN68" i="46"/>
  <c r="AL68" i="46"/>
  <c r="AO67" i="46"/>
  <c r="AG67" i="46"/>
  <c r="AN67" i="46"/>
  <c r="AL67" i="46"/>
  <c r="AO66" i="46"/>
  <c r="AG66" i="46"/>
  <c r="AN66" i="46"/>
  <c r="AL66" i="46"/>
  <c r="AQ65" i="46"/>
  <c r="AL63" i="46"/>
  <c r="AQ63" i="46"/>
  <c r="AL61" i="46"/>
  <c r="AK58" i="46"/>
  <c r="AG58" i="46"/>
  <c r="AM58" i="46"/>
  <c r="AL56" i="46"/>
  <c r="AO43" i="46"/>
  <c r="AN41" i="46"/>
  <c r="AK36" i="46"/>
  <c r="AG36" i="46"/>
  <c r="AM36" i="46"/>
  <c r="AO36" i="46"/>
  <c r="AL32" i="46"/>
  <c r="AQ32" i="46"/>
  <c r="AK32" i="46"/>
  <c r="AG15" i="46"/>
  <c r="AO13" i="46"/>
  <c r="I128" i="17"/>
  <c r="I90" i="17"/>
  <c r="I87" i="17"/>
  <c r="I82" i="17"/>
  <c r="I58" i="17"/>
  <c r="I14" i="17"/>
  <c r="D101" i="79"/>
  <c r="C101" i="79" s="1"/>
  <c r="N104" i="98" s="1"/>
  <c r="D95" i="79"/>
  <c r="C95" i="79" s="1"/>
  <c r="N98" i="98" s="1"/>
  <c r="D69" i="79"/>
  <c r="C69" i="79" s="1"/>
  <c r="N72" i="98" s="1"/>
  <c r="D63" i="79"/>
  <c r="C63" i="79" s="1"/>
  <c r="N66" i="98" s="1"/>
  <c r="D37" i="79"/>
  <c r="C37" i="79" s="1"/>
  <c r="N40" i="98" s="1"/>
  <c r="D31" i="79"/>
  <c r="C31" i="79" s="1"/>
  <c r="N34" i="98" s="1"/>
  <c r="O122" i="26"/>
  <c r="U122" i="26"/>
  <c r="AL122" i="26"/>
  <c r="AW122" i="26"/>
  <c r="T122" i="26"/>
  <c r="AM122" i="26"/>
  <c r="AU122" i="26"/>
  <c r="Q122" i="26"/>
  <c r="V122" i="26"/>
  <c r="AP122" i="26"/>
  <c r="AV122" i="26"/>
  <c r="H13" i="73"/>
  <c r="AM143" i="46"/>
  <c r="AM69" i="46"/>
  <c r="AM68" i="46"/>
  <c r="AM67" i="46"/>
  <c r="AM66" i="46"/>
  <c r="AN65" i="46"/>
  <c r="AK65" i="46"/>
  <c r="AO64" i="46"/>
  <c r="AM63" i="46"/>
  <c r="AO62" i="46"/>
  <c r="AG62" i="46"/>
  <c r="AN62" i="46"/>
  <c r="AL62" i="46"/>
  <c r="AO61" i="46"/>
  <c r="AM61" i="46"/>
  <c r="AK61" i="46"/>
  <c r="AQ60" i="46"/>
  <c r="AO60" i="46"/>
  <c r="AL59" i="46"/>
  <c r="AL53" i="46"/>
  <c r="AM53" i="46"/>
  <c r="AQ53" i="46"/>
  <c r="AK53" i="46"/>
  <c r="AG53" i="46"/>
  <c r="AQ51" i="46"/>
  <c r="AL51" i="46"/>
  <c r="AK48" i="46"/>
  <c r="AG48" i="46"/>
  <c r="AM48" i="46"/>
  <c r="AO48" i="46"/>
  <c r="AQ43" i="46"/>
  <c r="AL43" i="46"/>
  <c r="AO38" i="46"/>
  <c r="AK38" i="46"/>
  <c r="AN38" i="46"/>
  <c r="AQ34" i="46"/>
  <c r="AL34" i="46"/>
  <c r="AG28" i="46"/>
  <c r="AO20" i="46"/>
  <c r="AM20" i="46"/>
  <c r="AK20" i="46"/>
  <c r="AG20" i="46"/>
  <c r="AK19" i="46"/>
  <c r="AG19" i="46"/>
  <c r="AM19" i="46"/>
  <c r="AO19" i="46"/>
  <c r="AN15" i="46"/>
  <c r="AL13" i="46"/>
  <c r="AK7" i="46"/>
  <c r="AQ7" i="46"/>
  <c r="AM7" i="46"/>
  <c r="I88" i="17"/>
  <c r="I75" i="17"/>
  <c r="I71" i="17"/>
  <c r="I59" i="17"/>
  <c r="I37" i="17"/>
  <c r="I35" i="17"/>
  <c r="I13" i="17"/>
  <c r="D111" i="79"/>
  <c r="C111" i="79" s="1"/>
  <c r="N114" i="98" s="1"/>
  <c r="D107" i="79"/>
  <c r="C107" i="79" s="1"/>
  <c r="N110" i="98" s="1"/>
  <c r="D100" i="79"/>
  <c r="C100" i="79" s="1"/>
  <c r="N103" i="98" s="1"/>
  <c r="D80" i="79"/>
  <c r="C80" i="79" s="1"/>
  <c r="N83" i="98" s="1"/>
  <c r="D75" i="79"/>
  <c r="C75" i="79" s="1"/>
  <c r="N78" i="98" s="1"/>
  <c r="D68" i="79"/>
  <c r="C68" i="79" s="1"/>
  <c r="N71" i="98" s="1"/>
  <c r="D48" i="79"/>
  <c r="C48" i="79" s="1"/>
  <c r="N51" i="98" s="1"/>
  <c r="D43" i="79"/>
  <c r="C43" i="79" s="1"/>
  <c r="N46" i="98" s="1"/>
  <c r="D36" i="79"/>
  <c r="C36" i="79" s="1"/>
  <c r="N39" i="98" s="1"/>
  <c r="D16" i="79"/>
  <c r="C16" i="79" s="1"/>
  <c r="N19" i="98" s="1"/>
  <c r="D11" i="79"/>
  <c r="C11" i="79" s="1"/>
  <c r="N14" i="98" s="1"/>
  <c r="O119" i="26"/>
  <c r="U119" i="26"/>
  <c r="AM119" i="26"/>
  <c r="AQ119" i="26"/>
  <c r="Q119" i="26"/>
  <c r="T119" i="26"/>
  <c r="AO119" i="26"/>
  <c r="AV119" i="26"/>
  <c r="AN10" i="46"/>
  <c r="AQ9" i="46"/>
  <c r="I100" i="17"/>
  <c r="I83" i="17"/>
  <c r="I64" i="17"/>
  <c r="I28" i="17"/>
  <c r="I21" i="17"/>
  <c r="D116" i="79"/>
  <c r="C116" i="79" s="1"/>
  <c r="N119" i="98" s="1"/>
  <c r="D112" i="79"/>
  <c r="C112" i="79" s="1"/>
  <c r="N115" i="98" s="1"/>
  <c r="D104" i="79"/>
  <c r="C104" i="79" s="1"/>
  <c r="N107" i="98" s="1"/>
  <c r="D97" i="79"/>
  <c r="C97" i="79" s="1"/>
  <c r="N100" i="98" s="1"/>
  <c r="D88" i="79"/>
  <c r="C88" i="79" s="1"/>
  <c r="N91" i="98" s="1"/>
  <c r="D83" i="79"/>
  <c r="C83" i="79" s="1"/>
  <c r="N86" i="98" s="1"/>
  <c r="D81" i="79"/>
  <c r="C81" i="79" s="1"/>
  <c r="N84" i="98" s="1"/>
  <c r="D72" i="79"/>
  <c r="C72" i="79" s="1"/>
  <c r="N75" i="98" s="1"/>
  <c r="D67" i="79"/>
  <c r="C67" i="79" s="1"/>
  <c r="N70" i="98" s="1"/>
  <c r="D65" i="79"/>
  <c r="C65" i="79" s="1"/>
  <c r="N68" i="98" s="1"/>
  <c r="D56" i="79"/>
  <c r="C56" i="79" s="1"/>
  <c r="N59" i="98" s="1"/>
  <c r="D51" i="79"/>
  <c r="C51" i="79" s="1"/>
  <c r="N54" i="98" s="1"/>
  <c r="D49" i="79"/>
  <c r="C49" i="79" s="1"/>
  <c r="N52" i="98" s="1"/>
  <c r="D40" i="79"/>
  <c r="C40" i="79" s="1"/>
  <c r="N43" i="98" s="1"/>
  <c r="D35" i="79"/>
  <c r="C35" i="79" s="1"/>
  <c r="N38" i="98" s="1"/>
  <c r="D33" i="79"/>
  <c r="C33" i="79" s="1"/>
  <c r="N36" i="98" s="1"/>
  <c r="D24" i="79"/>
  <c r="C24" i="79" s="1"/>
  <c r="N27" i="98" s="1"/>
  <c r="D19" i="79"/>
  <c r="C19" i="79" s="1"/>
  <c r="N22" i="98" s="1"/>
  <c r="D17" i="79"/>
  <c r="C17" i="79" s="1"/>
  <c r="N20" i="98" s="1"/>
  <c r="D8" i="79"/>
  <c r="C8" i="79" s="1"/>
  <c r="N11" i="98" s="1"/>
  <c r="AL119" i="26"/>
  <c r="AM55" i="46"/>
  <c r="AG47" i="46"/>
  <c r="AN47" i="46"/>
  <c r="AM21" i="46"/>
  <c r="AQ11" i="46"/>
  <c r="AO10" i="46"/>
  <c r="AK8" i="46"/>
  <c r="AP8" i="46"/>
  <c r="AN8" i="46"/>
  <c r="D121" i="79"/>
  <c r="C121" i="79" s="1"/>
  <c r="N124" i="98" s="1"/>
  <c r="D103" i="79"/>
  <c r="C103" i="79" s="1"/>
  <c r="N106" i="98" s="1"/>
  <c r="D92" i="79"/>
  <c r="C92" i="79" s="1"/>
  <c r="N95" i="98" s="1"/>
  <c r="D87" i="79"/>
  <c r="C87" i="79" s="1"/>
  <c r="N90" i="98" s="1"/>
  <c r="D76" i="79"/>
  <c r="C76" i="79" s="1"/>
  <c r="N79" i="98" s="1"/>
  <c r="D71" i="79"/>
  <c r="C71" i="79" s="1"/>
  <c r="N74" i="98" s="1"/>
  <c r="D60" i="79"/>
  <c r="C60" i="79" s="1"/>
  <c r="N63" i="98" s="1"/>
  <c r="D55" i="79"/>
  <c r="C55" i="79" s="1"/>
  <c r="N58" i="98" s="1"/>
  <c r="D44" i="79"/>
  <c r="C44" i="79" s="1"/>
  <c r="N47" i="98" s="1"/>
  <c r="D39" i="79"/>
  <c r="C39" i="79" s="1"/>
  <c r="N42" i="98" s="1"/>
  <c r="D28" i="79"/>
  <c r="C28" i="79" s="1"/>
  <c r="N31" i="98" s="1"/>
  <c r="D23" i="79"/>
  <c r="C23" i="79" s="1"/>
  <c r="N26" i="98" s="1"/>
  <c r="D12" i="79"/>
  <c r="C12" i="79" s="1"/>
  <c r="N15" i="98" s="1"/>
  <c r="AW119" i="26"/>
  <c r="Q117" i="26"/>
  <c r="AO117" i="26"/>
  <c r="AU117" i="26"/>
  <c r="Z111" i="26"/>
  <c r="AU121" i="26"/>
  <c r="AL121" i="26"/>
  <c r="AU120" i="26"/>
  <c r="AV117" i="26"/>
  <c r="AM117" i="26"/>
  <c r="T117" i="26"/>
  <c r="O114" i="26"/>
  <c r="U114" i="26"/>
  <c r="AM114" i="26"/>
  <c r="R114" i="26"/>
  <c r="AP114" i="26"/>
  <c r="R112" i="26"/>
  <c r="AP112" i="26"/>
  <c r="AV112" i="26"/>
  <c r="O112" i="26"/>
  <c r="U112" i="26"/>
  <c r="AM112" i="26"/>
  <c r="AQ112" i="26"/>
  <c r="Q112" i="26"/>
  <c r="AO112" i="26"/>
  <c r="AW111" i="26"/>
  <c r="R111" i="26"/>
  <c r="V111" i="26"/>
  <c r="AP111" i="26"/>
  <c r="AV111" i="26"/>
  <c r="O111" i="26"/>
  <c r="U111" i="26"/>
  <c r="AA111" i="26"/>
  <c r="AM111" i="26"/>
  <c r="AQ111" i="26"/>
  <c r="Q111" i="26"/>
  <c r="AB111" i="26"/>
  <c r="AO111" i="26"/>
  <c r="AU111" i="26"/>
  <c r="O121" i="26"/>
  <c r="U121" i="26"/>
  <c r="AM121" i="26"/>
  <c r="AQ121" i="26"/>
  <c r="T120" i="26"/>
  <c r="AL120" i="26"/>
  <c r="W120" i="26"/>
  <c r="O117" i="26"/>
  <c r="R116" i="26"/>
  <c r="AP116" i="26"/>
  <c r="AV116" i="26"/>
  <c r="AL112" i="26"/>
  <c r="AL111" i="26"/>
  <c r="H104" i="82"/>
  <c r="G100" i="38"/>
  <c r="F100" i="38" s="1"/>
  <c r="AQ100" i="26"/>
  <c r="AM100" i="26"/>
  <c r="Q100" i="26"/>
  <c r="G98" i="38"/>
  <c r="F98" i="38" s="1"/>
  <c r="AL99" i="26"/>
  <c r="Q99" i="26"/>
  <c r="G97" i="38"/>
  <c r="F97" i="38" s="1"/>
  <c r="AQ98" i="26"/>
  <c r="AM98" i="26"/>
  <c r="Q98" i="26"/>
  <c r="AU97" i="26"/>
  <c r="AO97" i="26"/>
  <c r="Q97" i="26"/>
  <c r="G92" i="38"/>
  <c r="F92" i="38" s="1"/>
  <c r="Q92" i="26"/>
  <c r="G89" i="38"/>
  <c r="F89" i="38" s="1"/>
  <c r="AQ89" i="26"/>
  <c r="AM89" i="26"/>
  <c r="Q89" i="26"/>
  <c r="R87" i="26"/>
  <c r="V87" i="26"/>
  <c r="AO87" i="26"/>
  <c r="H109" i="82"/>
  <c r="H103" i="82"/>
  <c r="AO102" i="26"/>
  <c r="V102" i="26"/>
  <c r="R102" i="26"/>
  <c r="AL100" i="26"/>
  <c r="U100" i="26"/>
  <c r="O100" i="26"/>
  <c r="AP99" i="26"/>
  <c r="U99" i="26"/>
  <c r="O99" i="26"/>
  <c r="AL98" i="26"/>
  <c r="U98" i="26"/>
  <c r="O98" i="26"/>
  <c r="AQ97" i="26"/>
  <c r="AM97" i="26"/>
  <c r="U97" i="26"/>
  <c r="O97" i="26"/>
  <c r="O96" i="26"/>
  <c r="AP94" i="26"/>
  <c r="R94" i="26"/>
  <c r="O92" i="26"/>
  <c r="AW89" i="26"/>
  <c r="AL89" i="26"/>
  <c r="U89" i="26"/>
  <c r="O89" i="26"/>
  <c r="AL87" i="26"/>
  <c r="T87" i="26"/>
  <c r="AL102" i="26"/>
  <c r="U102" i="26"/>
  <c r="AQ101" i="26"/>
  <c r="AM101" i="26"/>
  <c r="AO100" i="26"/>
  <c r="V100" i="26"/>
  <c r="AQ99" i="26"/>
  <c r="AM99" i="26"/>
  <c r="V99" i="26"/>
  <c r="AO98" i="26"/>
  <c r="V98" i="26"/>
  <c r="AV97" i="26"/>
  <c r="AP97" i="26"/>
  <c r="AQ94" i="26"/>
  <c r="AM94" i="26"/>
  <c r="U94" i="26"/>
  <c r="AU93" i="26"/>
  <c r="AO93" i="26"/>
  <c r="AQ91" i="26"/>
  <c r="AM91" i="26"/>
  <c r="AU90" i="26"/>
  <c r="AO90" i="26"/>
  <c r="AU89" i="26"/>
  <c r="AO89" i="26"/>
  <c r="V89" i="26"/>
  <c r="AP87" i="26"/>
  <c r="O87" i="26"/>
  <c r="D82" i="38"/>
  <c r="C82" i="38" s="1"/>
  <c r="G82" i="38"/>
  <c r="F82" i="38" s="1"/>
  <c r="G72" i="38"/>
  <c r="F72" i="38" s="1"/>
  <c r="H52" i="82"/>
  <c r="N53" i="73" s="1"/>
  <c r="D53" i="38"/>
  <c r="C53" i="38" s="1"/>
  <c r="G53" i="38"/>
  <c r="F53" i="38" s="1"/>
  <c r="D51" i="38"/>
  <c r="C51" i="38" s="1"/>
  <c r="G51" i="38"/>
  <c r="F51" i="38" s="1"/>
  <c r="H91" i="82"/>
  <c r="N92" i="73" s="1"/>
  <c r="G79" i="38"/>
  <c r="F79" i="38" s="1"/>
  <c r="G78" i="38"/>
  <c r="F78" i="38" s="1"/>
  <c r="G77" i="38"/>
  <c r="F77" i="38" s="1"/>
  <c r="G76" i="38"/>
  <c r="F76" i="38" s="1"/>
  <c r="H76" i="82"/>
  <c r="N77" i="73" s="1"/>
  <c r="G68" i="38"/>
  <c r="F68" i="38" s="1"/>
  <c r="D64" i="38"/>
  <c r="C64" i="38" s="1"/>
  <c r="G64" i="38"/>
  <c r="F64" i="38" s="1"/>
  <c r="D63" i="38"/>
  <c r="C63" i="38" s="1"/>
  <c r="G63" i="38"/>
  <c r="F63" i="38" s="1"/>
  <c r="D58" i="38"/>
  <c r="C58" i="38" s="1"/>
  <c r="G58" i="38"/>
  <c r="F58" i="38" s="1"/>
  <c r="D52" i="38"/>
  <c r="C52" i="38" s="1"/>
  <c r="G52" i="38"/>
  <c r="F52" i="38" s="1"/>
  <c r="D62" i="38"/>
  <c r="C62" i="38" s="1"/>
  <c r="G62" i="38"/>
  <c r="F62" i="38" s="1"/>
  <c r="D57" i="38"/>
  <c r="C57" i="38" s="1"/>
  <c r="G57" i="38"/>
  <c r="F57" i="38" s="1"/>
  <c r="D47" i="38"/>
  <c r="C47" i="38" s="1"/>
  <c r="G47" i="38"/>
  <c r="F47" i="38" s="1"/>
  <c r="D66" i="38"/>
  <c r="C66" i="38" s="1"/>
  <c r="G66" i="38"/>
  <c r="F66" i="38" s="1"/>
  <c r="D43" i="38"/>
  <c r="C43" i="38" s="1"/>
  <c r="G43" i="38"/>
  <c r="F43" i="38" s="1"/>
  <c r="D42" i="38"/>
  <c r="C42" i="38" s="1"/>
  <c r="G42" i="38"/>
  <c r="F42" i="38" s="1"/>
  <c r="D35" i="38"/>
  <c r="C35" i="38" s="1"/>
  <c r="G35" i="38"/>
  <c r="F35" i="38" s="1"/>
  <c r="G31" i="38"/>
  <c r="F31" i="38" s="1"/>
  <c r="D23" i="38"/>
  <c r="C23" i="38" s="1"/>
  <c r="G23" i="38"/>
  <c r="F23" i="38" s="1"/>
  <c r="O23" i="26"/>
  <c r="U23" i="26"/>
  <c r="AM23" i="26"/>
  <c r="AQ23" i="26"/>
  <c r="Q23" i="26"/>
  <c r="BB23" i="26" s="1"/>
  <c r="AO23" i="26"/>
  <c r="AU23" i="26"/>
  <c r="I24" i="15"/>
  <c r="J24" i="15"/>
  <c r="I23" i="15"/>
  <c r="J23" i="15"/>
  <c r="O16" i="26"/>
  <c r="U16" i="26"/>
  <c r="AM16" i="26"/>
  <c r="AQ16" i="26"/>
  <c r="Q16" i="26"/>
  <c r="AO16" i="26"/>
  <c r="O12" i="26"/>
  <c r="Q12" i="26"/>
  <c r="D119" i="90"/>
  <c r="C119" i="90" s="1"/>
  <c r="D16" i="38"/>
  <c r="C16" i="38" s="1"/>
  <c r="G16" i="38"/>
  <c r="F16" i="38" s="1"/>
  <c r="I11" i="15"/>
  <c r="J11" i="15"/>
  <c r="D7" i="38"/>
  <c r="C7" i="38" s="1"/>
  <c r="G7" i="38"/>
  <c r="F7" i="38" s="1"/>
  <c r="G33" i="38"/>
  <c r="F33" i="38" s="1"/>
  <c r="G24" i="38"/>
  <c r="F24" i="38" s="1"/>
  <c r="T23" i="26"/>
  <c r="O22" i="26"/>
  <c r="U22" i="26"/>
  <c r="AM22" i="26"/>
  <c r="AQ22" i="26"/>
  <c r="AW22" i="26"/>
  <c r="Q22" i="26"/>
  <c r="AO22" i="26"/>
  <c r="AP16" i="26"/>
  <c r="R16" i="26"/>
  <c r="O15" i="26"/>
  <c r="U15" i="26"/>
  <c r="AL15" i="26"/>
  <c r="Q15" i="26"/>
  <c r="AM15" i="26"/>
  <c r="AQ15" i="26"/>
  <c r="R15" i="26"/>
  <c r="V15" i="26"/>
  <c r="AO15" i="26"/>
  <c r="G32" i="38"/>
  <c r="F32" i="38" s="1"/>
  <c r="J27" i="15"/>
  <c r="AP23" i="26"/>
  <c r="R23" i="26"/>
  <c r="AU22" i="26"/>
  <c r="AL16" i="26"/>
  <c r="Q19" i="26"/>
  <c r="AM19" i="26"/>
  <c r="AQ19" i="26"/>
  <c r="R19" i="26"/>
  <c r="V19" i="26"/>
  <c r="AO19" i="26"/>
  <c r="AP15" i="26"/>
  <c r="I16" i="15"/>
  <c r="J16" i="15"/>
  <c r="AL12" i="26"/>
  <c r="D5" i="38"/>
  <c r="C5" i="38" s="1"/>
  <c r="G5" i="38"/>
  <c r="F5" i="38" s="1"/>
  <c r="AV13" i="26"/>
  <c r="AP13" i="26"/>
  <c r="V13" i="26"/>
  <c r="R13" i="26"/>
  <c r="AL11" i="26"/>
  <c r="O11" i="26"/>
  <c r="AQ10" i="26"/>
  <c r="AM10" i="26"/>
  <c r="V10" i="26"/>
  <c r="R10" i="26"/>
  <c r="AU24" i="26"/>
  <c r="AO24" i="26"/>
  <c r="V24" i="26"/>
  <c r="AQ18" i="26"/>
  <c r="AM18" i="26"/>
  <c r="AU13" i="26"/>
  <c r="AO13" i="26"/>
  <c r="AB13" i="26"/>
  <c r="AL10" i="26"/>
  <c r="AU8" i="26"/>
  <c r="AO8" i="26"/>
  <c r="V8" i="26"/>
  <c r="AP7" i="26"/>
  <c r="V7" i="26"/>
  <c r="AG25" i="24"/>
  <c r="AE25" i="24"/>
  <c r="AG22" i="24"/>
  <c r="AE22" i="24"/>
  <c r="T6" i="26"/>
  <c r="AL6" i="26"/>
  <c r="Q6" i="26"/>
  <c r="U6" i="26"/>
  <c r="AM6" i="26"/>
  <c r="AG15" i="24"/>
  <c r="AD15" i="24"/>
  <c r="AF15" i="24"/>
  <c r="AP6" i="26"/>
  <c r="R6" i="26"/>
  <c r="AG16" i="24"/>
  <c r="AE16" i="24"/>
  <c r="AD16" i="24"/>
  <c r="AO6" i="26"/>
  <c r="AE19" i="24"/>
  <c r="AE23" i="24"/>
  <c r="Q120" i="26"/>
  <c r="Z120" i="26"/>
  <c r="AM120" i="26"/>
  <c r="AQ120" i="26"/>
  <c r="AV120" i="26"/>
  <c r="R120" i="26"/>
  <c r="V120" i="26"/>
  <c r="AA120" i="26"/>
  <c r="AO120" i="26"/>
  <c r="AW120" i="26"/>
  <c r="H136" i="82"/>
  <c r="N137" i="73" s="1"/>
  <c r="AP141" i="46"/>
  <c r="AL141" i="46"/>
  <c r="AO141" i="46"/>
  <c r="AK141" i="46"/>
  <c r="G120" i="36"/>
  <c r="H120" i="36"/>
  <c r="D120" i="79"/>
  <c r="C120" i="79" s="1"/>
  <c r="N123" i="98" s="1"/>
  <c r="AQ153" i="116" l="1"/>
  <c r="S141" i="70"/>
  <c r="AQ141" i="116"/>
  <c r="S129" i="70"/>
  <c r="AQ13" i="116"/>
  <c r="S13" i="70"/>
  <c r="AQ143" i="116"/>
  <c r="S131" i="70"/>
  <c r="AQ42" i="116"/>
  <c r="S41" i="70"/>
  <c r="AQ64" i="116"/>
  <c r="S63" i="70"/>
  <c r="AQ37" i="116"/>
  <c r="S36" i="70"/>
  <c r="AQ140" i="116"/>
  <c r="S128" i="70"/>
  <c r="AQ120" i="116"/>
  <c r="S108" i="70"/>
  <c r="AQ19" i="116"/>
  <c r="S19" i="70"/>
  <c r="AQ20" i="116"/>
  <c r="S20" i="70"/>
  <c r="AQ84" i="116"/>
  <c r="S83" i="70"/>
  <c r="AQ139" i="116"/>
  <c r="S127" i="70"/>
  <c r="AQ125" i="116"/>
  <c r="S113" i="70"/>
  <c r="AQ60" i="116"/>
  <c r="S59" i="70"/>
  <c r="AQ49" i="116"/>
  <c r="S48" i="70"/>
  <c r="AQ14" i="116"/>
  <c r="S14" i="70"/>
  <c r="AQ82" i="116"/>
  <c r="S81" i="70"/>
  <c r="AQ29" i="116"/>
  <c r="S29" i="70"/>
  <c r="AQ91" i="116"/>
  <c r="S90" i="70"/>
  <c r="AQ150" i="116"/>
  <c r="S138" i="70"/>
  <c r="AQ65" i="116"/>
  <c r="S64" i="70"/>
  <c r="AQ131" i="116"/>
  <c r="S119" i="70"/>
  <c r="AQ83" i="116"/>
  <c r="S82" i="70"/>
  <c r="AQ145" i="116"/>
  <c r="S133" i="70"/>
  <c r="AQ76" i="116"/>
  <c r="S75" i="70"/>
  <c r="AQ74" i="116"/>
  <c r="S73" i="70"/>
  <c r="AQ51" i="116"/>
  <c r="S50" i="70"/>
  <c r="AQ79" i="116"/>
  <c r="S78" i="70"/>
  <c r="AQ134" i="116"/>
  <c r="S122" i="70"/>
  <c r="AQ97" i="116"/>
  <c r="S96" i="70"/>
  <c r="AQ142" i="116"/>
  <c r="S130" i="70"/>
  <c r="AQ28" i="116"/>
  <c r="S28" i="70"/>
  <c r="AQ99" i="116"/>
  <c r="S98" i="70"/>
  <c r="AQ156" i="116"/>
  <c r="S144" i="70"/>
  <c r="AQ23" i="116"/>
  <c r="S23" i="70"/>
  <c r="AQ136" i="116"/>
  <c r="S124" i="70"/>
  <c r="AQ149" i="116"/>
  <c r="S137" i="70"/>
  <c r="AQ67" i="116"/>
  <c r="S66" i="70"/>
  <c r="AQ78" i="116"/>
  <c r="S77" i="70"/>
  <c r="R135" i="70"/>
  <c r="S135" i="70"/>
  <c r="AQ119" i="116"/>
  <c r="S107" i="70"/>
  <c r="AQ61" i="116"/>
  <c r="S60" i="70"/>
  <c r="AQ66" i="116"/>
  <c r="S65" i="70"/>
  <c r="R7" i="70"/>
  <c r="S7" i="70"/>
  <c r="AQ72" i="116"/>
  <c r="S71" i="70"/>
  <c r="AQ132" i="116"/>
  <c r="S120" i="70"/>
  <c r="AQ11" i="116"/>
  <c r="S11" i="70"/>
  <c r="AQ18" i="116"/>
  <c r="S18" i="70"/>
  <c r="AQ15" i="116"/>
  <c r="S15" i="70"/>
  <c r="AQ93" i="116"/>
  <c r="S92" i="70"/>
  <c r="AQ62" i="116"/>
  <c r="S61" i="70"/>
  <c r="AQ155" i="116"/>
  <c r="S143" i="70"/>
  <c r="AQ39" i="116"/>
  <c r="S38" i="70"/>
  <c r="AQ98" i="116"/>
  <c r="S97" i="70"/>
  <c r="AQ38" i="116"/>
  <c r="S37" i="70"/>
  <c r="AQ26" i="116"/>
  <c r="S26" i="70"/>
  <c r="AQ48" i="116"/>
  <c r="S47" i="70"/>
  <c r="AQ47" i="116"/>
  <c r="S46" i="70"/>
  <c r="AQ68" i="116"/>
  <c r="S67" i="70"/>
  <c r="AQ94" i="116"/>
  <c r="S93" i="70"/>
  <c r="AQ30" i="116"/>
  <c r="S30" i="70"/>
  <c r="AQ40" i="116"/>
  <c r="S39" i="70"/>
  <c r="AQ75" i="116"/>
  <c r="S74" i="70"/>
  <c r="AQ50" i="116"/>
  <c r="S49" i="70"/>
  <c r="AQ27" i="116"/>
  <c r="S27" i="70"/>
  <c r="AQ24" i="116"/>
  <c r="S24" i="70"/>
  <c r="AQ41" i="116"/>
  <c r="S40" i="70"/>
  <c r="AQ100" i="116"/>
  <c r="S99" i="70"/>
  <c r="AQ148" i="116"/>
  <c r="S136" i="70"/>
  <c r="AQ45" i="116"/>
  <c r="S44" i="70"/>
  <c r="AC47" i="46"/>
  <c r="Z114" i="46"/>
  <c r="P114" i="46"/>
  <c r="P145" i="46"/>
  <c r="Z145" i="46"/>
  <c r="Z99" i="46"/>
  <c r="P99" i="46"/>
  <c r="S11" i="46"/>
  <c r="K11" i="46"/>
  <c r="U11" i="46"/>
  <c r="I45" i="46"/>
  <c r="K45" i="46"/>
  <c r="U45" i="46"/>
  <c r="T64" i="46"/>
  <c r="AD64" i="46"/>
  <c r="K112" i="46"/>
  <c r="U112" i="46"/>
  <c r="P15" i="46"/>
  <c r="Z15" i="46"/>
  <c r="U22" i="46"/>
  <c r="K22" i="46"/>
  <c r="I51" i="46"/>
  <c r="U51" i="46"/>
  <c r="K51" i="46"/>
  <c r="T54" i="46"/>
  <c r="AD54" i="46"/>
  <c r="J46" i="46"/>
  <c r="T46" i="46"/>
  <c r="AD46" i="46"/>
  <c r="AD124" i="46"/>
  <c r="T124" i="46"/>
  <c r="T82" i="46"/>
  <c r="AD82" i="46"/>
  <c r="P30" i="46"/>
  <c r="Z30" i="46"/>
  <c r="Z121" i="46"/>
  <c r="P121" i="46"/>
  <c r="Z122" i="46"/>
  <c r="P122" i="46"/>
  <c r="P79" i="46"/>
  <c r="Z79" i="46"/>
  <c r="I6" i="46"/>
  <c r="U6" i="46"/>
  <c r="K6" i="46"/>
  <c r="Z119" i="46"/>
  <c r="P119" i="46"/>
  <c r="K54" i="46"/>
  <c r="U54" i="46"/>
  <c r="F139" i="46"/>
  <c r="P139" i="46"/>
  <c r="Z139" i="46"/>
  <c r="P103" i="46"/>
  <c r="Z103" i="46"/>
  <c r="K106" i="46"/>
  <c r="U106" i="46"/>
  <c r="P31" i="46"/>
  <c r="Z31" i="46"/>
  <c r="AD66" i="46"/>
  <c r="T66" i="46"/>
  <c r="AD87" i="46"/>
  <c r="T87" i="46"/>
  <c r="AD118" i="46"/>
  <c r="T118" i="46"/>
  <c r="U53" i="46"/>
  <c r="K53" i="46"/>
  <c r="K64" i="46"/>
  <c r="U64" i="46"/>
  <c r="S12" i="46"/>
  <c r="K12" i="46"/>
  <c r="U12" i="46"/>
  <c r="Z24" i="46"/>
  <c r="P24" i="46"/>
  <c r="AD56" i="46"/>
  <c r="T56" i="46"/>
  <c r="AD58" i="46"/>
  <c r="T58" i="46"/>
  <c r="T117" i="46"/>
  <c r="AD117" i="46"/>
  <c r="K55" i="46"/>
  <c r="U55" i="46"/>
  <c r="K20" i="46"/>
  <c r="U20" i="46"/>
  <c r="T67" i="46"/>
  <c r="AD67" i="46"/>
  <c r="K15" i="46"/>
  <c r="U15" i="46"/>
  <c r="K65" i="46"/>
  <c r="U65" i="46"/>
  <c r="P113" i="46"/>
  <c r="Z113" i="46"/>
  <c r="AD95" i="46"/>
  <c r="T95" i="46"/>
  <c r="P72" i="46"/>
  <c r="Z72" i="46"/>
  <c r="Z127" i="46"/>
  <c r="P127" i="46"/>
  <c r="T83" i="46"/>
  <c r="AD83" i="46"/>
  <c r="P101" i="46"/>
  <c r="Z101" i="46"/>
  <c r="K97" i="46"/>
  <c r="U97" i="46"/>
  <c r="P105" i="46"/>
  <c r="Z105" i="46"/>
  <c r="K82" i="46"/>
  <c r="U82" i="46"/>
  <c r="S57" i="46"/>
  <c r="AC39" i="46"/>
  <c r="T24" i="46"/>
  <c r="AD24" i="46"/>
  <c r="P57" i="46"/>
  <c r="Z57" i="46"/>
  <c r="AD89" i="46"/>
  <c r="T89" i="46"/>
  <c r="T145" i="46"/>
  <c r="AD145" i="46"/>
  <c r="Z97" i="46"/>
  <c r="P97" i="46"/>
  <c r="AD129" i="46"/>
  <c r="T129" i="46"/>
  <c r="AD130" i="46"/>
  <c r="T130" i="46"/>
  <c r="Z28" i="46"/>
  <c r="P28" i="46"/>
  <c r="U140" i="46"/>
  <c r="K140" i="46"/>
  <c r="AC38" i="46"/>
  <c r="K38" i="46"/>
  <c r="U38" i="46"/>
  <c r="S42" i="46"/>
  <c r="K42" i="46"/>
  <c r="U42" i="46"/>
  <c r="T29" i="46"/>
  <c r="AD29" i="46"/>
  <c r="P95" i="46"/>
  <c r="Z95" i="46"/>
  <c r="Z104" i="46"/>
  <c r="P104" i="46"/>
  <c r="P62" i="46"/>
  <c r="Z62" i="46"/>
  <c r="Z17" i="46"/>
  <c r="P17" i="46"/>
  <c r="U34" i="46"/>
  <c r="K34" i="46"/>
  <c r="P55" i="46"/>
  <c r="Z55" i="46"/>
  <c r="S18" i="46"/>
  <c r="U18" i="46"/>
  <c r="K18" i="46"/>
  <c r="K116" i="46"/>
  <c r="U116" i="46"/>
  <c r="K111" i="46"/>
  <c r="U111" i="46"/>
  <c r="I71" i="46"/>
  <c r="K71" i="46"/>
  <c r="U71" i="46"/>
  <c r="U31" i="46"/>
  <c r="K31" i="46"/>
  <c r="AC59" i="46"/>
  <c r="U59" i="46"/>
  <c r="K59" i="46"/>
  <c r="K113" i="46"/>
  <c r="U113" i="46"/>
  <c r="K115" i="46"/>
  <c r="U115" i="46"/>
  <c r="T68" i="46"/>
  <c r="AD68" i="46"/>
  <c r="J7" i="46"/>
  <c r="AD7" i="46"/>
  <c r="T7" i="46"/>
  <c r="AD55" i="46"/>
  <c r="T55" i="46"/>
  <c r="P126" i="46"/>
  <c r="Z126" i="46"/>
  <c r="Z81" i="46"/>
  <c r="P81" i="46"/>
  <c r="AD91" i="46"/>
  <c r="T91" i="46"/>
  <c r="T62" i="46"/>
  <c r="AD62" i="46"/>
  <c r="K26" i="46"/>
  <c r="U26" i="46"/>
  <c r="P50" i="46"/>
  <c r="Z50" i="46"/>
  <c r="K8" i="46"/>
  <c r="U8" i="46"/>
  <c r="P142" i="46"/>
  <c r="Z142" i="46"/>
  <c r="AD19" i="46"/>
  <c r="T19" i="46"/>
  <c r="P8" i="46"/>
  <c r="Z8" i="46"/>
  <c r="Z76" i="46"/>
  <c r="P76" i="46"/>
  <c r="Z136" i="46"/>
  <c r="P136" i="46"/>
  <c r="P110" i="46"/>
  <c r="Z110" i="46"/>
  <c r="Z133" i="46"/>
  <c r="P133" i="46"/>
  <c r="K108" i="46"/>
  <c r="U108" i="46"/>
  <c r="P74" i="46"/>
  <c r="Z74" i="46"/>
  <c r="P111" i="46"/>
  <c r="Z111" i="46"/>
  <c r="P102" i="46"/>
  <c r="Z102" i="46"/>
  <c r="U37" i="46"/>
  <c r="K37" i="46"/>
  <c r="Z117" i="46"/>
  <c r="P117" i="46"/>
  <c r="K102" i="46"/>
  <c r="U102" i="46"/>
  <c r="P36" i="46"/>
  <c r="Z36" i="46"/>
  <c r="Z89" i="46"/>
  <c r="P89" i="46"/>
  <c r="I98" i="46"/>
  <c r="K98" i="46"/>
  <c r="U98" i="46"/>
  <c r="I60" i="46"/>
  <c r="U60" i="46"/>
  <c r="K60" i="46"/>
  <c r="I13" i="46"/>
  <c r="K13" i="46"/>
  <c r="U13" i="46"/>
  <c r="I129" i="46"/>
  <c r="T101" i="46"/>
  <c r="AD101" i="46"/>
  <c r="I28" i="46"/>
  <c r="U28" i="46"/>
  <c r="K28" i="46"/>
  <c r="K52" i="46"/>
  <c r="U52" i="46"/>
  <c r="Z118" i="46"/>
  <c r="P118" i="46"/>
  <c r="P144" i="46"/>
  <c r="Z144" i="46"/>
  <c r="AC27" i="46"/>
  <c r="T76" i="46"/>
  <c r="AD76" i="46"/>
  <c r="U142" i="46"/>
  <c r="I23" i="46"/>
  <c r="U23" i="46"/>
  <c r="K23" i="46"/>
  <c r="AD120" i="46"/>
  <c r="T120" i="46"/>
  <c r="K114" i="46"/>
  <c r="U114" i="46"/>
  <c r="U58" i="46"/>
  <c r="K58" i="46"/>
  <c r="K41" i="46"/>
  <c r="U41" i="46"/>
  <c r="I14" i="46"/>
  <c r="K43" i="46"/>
  <c r="U43" i="46"/>
  <c r="P48" i="46"/>
  <c r="Z48" i="46"/>
  <c r="P82" i="46"/>
  <c r="Z82" i="46"/>
  <c r="AD126" i="46"/>
  <c r="T126" i="46"/>
  <c r="Z115" i="46"/>
  <c r="P115" i="46"/>
  <c r="AD121" i="46"/>
  <c r="T121" i="46"/>
  <c r="K101" i="46"/>
  <c r="U101" i="46"/>
  <c r="AD90" i="46"/>
  <c r="T90" i="46"/>
  <c r="U87" i="46"/>
  <c r="K87" i="46"/>
  <c r="U63" i="46"/>
  <c r="K63" i="46"/>
  <c r="P56" i="46"/>
  <c r="Z56" i="46"/>
  <c r="K7" i="46"/>
  <c r="U7" i="46"/>
  <c r="K48" i="46"/>
  <c r="U48" i="46"/>
  <c r="K109" i="46"/>
  <c r="U109" i="46"/>
  <c r="P123" i="46"/>
  <c r="Z123" i="46"/>
  <c r="U95" i="46"/>
  <c r="K95" i="46"/>
  <c r="AD122" i="46"/>
  <c r="T122" i="46"/>
  <c r="Z107" i="46"/>
  <c r="P107" i="46"/>
  <c r="P10" i="46"/>
  <c r="Z10" i="46"/>
  <c r="AC32" i="46"/>
  <c r="K32" i="46"/>
  <c r="U32" i="46"/>
  <c r="T140" i="46"/>
  <c r="AD140" i="46"/>
  <c r="Z135" i="46"/>
  <c r="P135" i="46"/>
  <c r="P49" i="46"/>
  <c r="Z49" i="46"/>
  <c r="T65" i="46"/>
  <c r="AD65" i="46"/>
  <c r="T43" i="46"/>
  <c r="AD43" i="46"/>
  <c r="AD18" i="46"/>
  <c r="T18" i="46"/>
  <c r="T42" i="46"/>
  <c r="AD42" i="46"/>
  <c r="AD44" i="46"/>
  <c r="T44" i="46"/>
  <c r="Z25" i="46"/>
  <c r="P25" i="46"/>
  <c r="T88" i="46"/>
  <c r="AD88" i="46"/>
  <c r="T85" i="46"/>
  <c r="AD85" i="46"/>
  <c r="P75" i="46"/>
  <c r="Z75" i="46"/>
  <c r="P108" i="46"/>
  <c r="Z108" i="46"/>
  <c r="AD86" i="46"/>
  <c r="T86" i="46"/>
  <c r="I10" i="46"/>
  <c r="K10" i="46"/>
  <c r="U10" i="46"/>
  <c r="I103" i="46"/>
  <c r="U103" i="46"/>
  <c r="K103" i="46"/>
  <c r="AD32" i="46"/>
  <c r="T32" i="46"/>
  <c r="Z32" i="46"/>
  <c r="P32" i="46"/>
  <c r="AD119" i="46"/>
  <c r="T119" i="46"/>
  <c r="T77" i="46"/>
  <c r="AD77" i="46"/>
  <c r="K66" i="46"/>
  <c r="U66" i="46"/>
  <c r="P61" i="46"/>
  <c r="Z61" i="46"/>
  <c r="AD35" i="46"/>
  <c r="T35" i="46"/>
  <c r="Z20" i="46"/>
  <c r="P20" i="46"/>
  <c r="T139" i="46"/>
  <c r="AD139" i="46"/>
  <c r="P128" i="46"/>
  <c r="Z128" i="46"/>
  <c r="AD30" i="46"/>
  <c r="T30" i="46"/>
  <c r="K99" i="46"/>
  <c r="U99" i="46"/>
  <c r="T106" i="46"/>
  <c r="AD106" i="46"/>
  <c r="Z71" i="46"/>
  <c r="P71" i="46"/>
  <c r="K50" i="46"/>
  <c r="U50" i="46"/>
  <c r="Z120" i="46"/>
  <c r="P120" i="46"/>
  <c r="T61" i="46"/>
  <c r="AD61" i="46"/>
  <c r="P37" i="46"/>
  <c r="Z37" i="46"/>
  <c r="AD14" i="46"/>
  <c r="T14" i="46"/>
  <c r="P93" i="46"/>
  <c r="Z93" i="46"/>
  <c r="P90" i="46"/>
  <c r="Z90" i="46"/>
  <c r="Z70" i="46"/>
  <c r="P70" i="46"/>
  <c r="T110" i="46"/>
  <c r="AD110" i="46"/>
  <c r="U73" i="46"/>
  <c r="K73" i="46"/>
  <c r="K105" i="46"/>
  <c r="U105" i="46"/>
  <c r="I40" i="46"/>
  <c r="K40" i="46"/>
  <c r="U40" i="46"/>
  <c r="P125" i="46"/>
  <c r="Z125" i="46"/>
  <c r="AD16" i="46"/>
  <c r="T16" i="46"/>
  <c r="T37" i="46"/>
  <c r="AD37" i="46"/>
  <c r="Z13" i="46"/>
  <c r="P13" i="46"/>
  <c r="P51" i="46"/>
  <c r="Z51" i="46"/>
  <c r="I44" i="46"/>
  <c r="K44" i="46"/>
  <c r="U44" i="46"/>
  <c r="AD15" i="46"/>
  <c r="T15" i="46"/>
  <c r="U68" i="46"/>
  <c r="K68" i="46"/>
  <c r="Z6" i="46"/>
  <c r="P6" i="46"/>
  <c r="U35" i="46"/>
  <c r="K35" i="46"/>
  <c r="K25" i="46"/>
  <c r="U25" i="46"/>
  <c r="T72" i="46"/>
  <c r="AD72" i="46"/>
  <c r="P132" i="46"/>
  <c r="Z132" i="46"/>
  <c r="T104" i="46"/>
  <c r="AD104" i="46"/>
  <c r="P141" i="46"/>
  <c r="Z141" i="46"/>
  <c r="K69" i="46"/>
  <c r="U69" i="46"/>
  <c r="T51" i="46"/>
  <c r="AD51" i="46"/>
  <c r="K104" i="46"/>
  <c r="U104" i="46"/>
  <c r="Z26" i="46"/>
  <c r="P26" i="46"/>
  <c r="AD57" i="46"/>
  <c r="T57" i="46"/>
  <c r="U46" i="46"/>
  <c r="K46" i="46"/>
  <c r="P35" i="46"/>
  <c r="Z35" i="46"/>
  <c r="P112" i="46"/>
  <c r="Z112" i="46"/>
  <c r="AD93" i="46"/>
  <c r="T93" i="46"/>
  <c r="P109" i="46"/>
  <c r="Z109" i="46"/>
  <c r="Z116" i="46"/>
  <c r="P116" i="46"/>
  <c r="AD94" i="46"/>
  <c r="T94" i="46"/>
  <c r="Z29" i="46"/>
  <c r="P29" i="46"/>
  <c r="K107" i="46"/>
  <c r="U107" i="46"/>
  <c r="Z98" i="46"/>
  <c r="P98" i="46"/>
  <c r="U19" i="46"/>
  <c r="K19" i="46"/>
  <c r="U143" i="46"/>
  <c r="AC138" i="46"/>
  <c r="P40" i="46"/>
  <c r="Z40" i="46"/>
  <c r="P77" i="46"/>
  <c r="Z77" i="46"/>
  <c r="K21" i="46"/>
  <c r="U21" i="46"/>
  <c r="AD45" i="46"/>
  <c r="T45" i="46"/>
  <c r="T81" i="46"/>
  <c r="AD81" i="46"/>
  <c r="T111" i="46"/>
  <c r="AD111" i="46"/>
  <c r="P96" i="46"/>
  <c r="Z96" i="46"/>
  <c r="P106" i="46"/>
  <c r="Z106" i="46"/>
  <c r="P84" i="46"/>
  <c r="T84" i="46"/>
  <c r="Z84" i="46"/>
  <c r="AD84" i="46"/>
  <c r="P68" i="46"/>
  <c r="Z68" i="46"/>
  <c r="AD34" i="46"/>
  <c r="Z34" i="46"/>
  <c r="T34" i="46"/>
  <c r="P34" i="46"/>
  <c r="Z134" i="46"/>
  <c r="P134" i="46"/>
  <c r="P140" i="46"/>
  <c r="Z140" i="46"/>
  <c r="P42" i="46"/>
  <c r="Z42" i="46"/>
  <c r="T8" i="46"/>
  <c r="AD8" i="46"/>
  <c r="Z16" i="46"/>
  <c r="P16" i="46"/>
  <c r="AD10" i="46"/>
  <c r="T10" i="46"/>
  <c r="Z94" i="46"/>
  <c r="P94" i="46"/>
  <c r="Z58" i="46"/>
  <c r="P58" i="46"/>
  <c r="AD9" i="46"/>
  <c r="T9" i="46"/>
  <c r="P9" i="46"/>
  <c r="Z9" i="46"/>
  <c r="P85" i="46"/>
  <c r="Z85" i="46"/>
  <c r="P21" i="46"/>
  <c r="AD21" i="46"/>
  <c r="Z21" i="46"/>
  <c r="T21" i="46"/>
  <c r="AD123" i="46"/>
  <c r="T123" i="46"/>
  <c r="AD17" i="46"/>
  <c r="T17" i="46"/>
  <c r="P88" i="46"/>
  <c r="Z88" i="46"/>
  <c r="T125" i="46"/>
  <c r="AD125" i="46"/>
  <c r="AD80" i="46"/>
  <c r="Z80" i="46"/>
  <c r="P80" i="46"/>
  <c r="T80" i="46"/>
  <c r="T79" i="46"/>
  <c r="AD79" i="46"/>
  <c r="AD33" i="46"/>
  <c r="T33" i="46"/>
  <c r="P33" i="46"/>
  <c r="Z33" i="46"/>
  <c r="P43" i="46"/>
  <c r="Z43" i="46"/>
  <c r="P87" i="46"/>
  <c r="Z87" i="46"/>
  <c r="P54" i="46"/>
  <c r="Z54" i="46"/>
  <c r="AD12" i="46"/>
  <c r="T12" i="46"/>
  <c r="P12" i="46"/>
  <c r="Z12" i="46"/>
  <c r="P91" i="46"/>
  <c r="Z91" i="46"/>
  <c r="P45" i="46"/>
  <c r="Z45" i="46"/>
  <c r="T142" i="46"/>
  <c r="AD142" i="46"/>
  <c r="P86" i="46"/>
  <c r="Z86" i="46"/>
  <c r="AD31" i="46"/>
  <c r="T31" i="46"/>
  <c r="U102" i="73"/>
  <c r="AC102" i="73" s="1"/>
  <c r="AD102" i="73" s="1"/>
  <c r="Z133" i="24"/>
  <c r="C133" i="24" s="1"/>
  <c r="AN30" i="116"/>
  <c r="AP30" i="116" s="1"/>
  <c r="D38" i="90"/>
  <c r="C38" i="90" s="1"/>
  <c r="M41" i="97" s="1"/>
  <c r="D124" i="90"/>
  <c r="C124" i="90" s="1"/>
  <c r="M127" i="97" s="1"/>
  <c r="H29" i="73"/>
  <c r="AN59" i="116"/>
  <c r="AP59" i="116" s="1"/>
  <c r="AN40" i="116"/>
  <c r="AP40" i="116" s="1"/>
  <c r="AN7" i="116"/>
  <c r="AP7" i="116" s="1"/>
  <c r="D28" i="90"/>
  <c r="C28" i="90" s="1"/>
  <c r="M30" i="97" s="1"/>
  <c r="D72" i="90"/>
  <c r="C72" i="90" s="1"/>
  <c r="M75" i="97" s="1"/>
  <c r="H66" i="73"/>
  <c r="D113" i="90"/>
  <c r="C113" i="90" s="1"/>
  <c r="M116" i="97" s="1"/>
  <c r="D10" i="90"/>
  <c r="C10" i="90" s="1"/>
  <c r="M12" i="97" s="1"/>
  <c r="H135" i="73"/>
  <c r="T69" i="70"/>
  <c r="R69" i="70"/>
  <c r="R6" i="70"/>
  <c r="R53" i="70"/>
  <c r="T105" i="70"/>
  <c r="R105" i="70"/>
  <c r="R104" i="70"/>
  <c r="T104" i="70"/>
  <c r="R103" i="70"/>
  <c r="T103" i="70"/>
  <c r="R102" i="70"/>
  <c r="T102" i="70"/>
  <c r="AK102" i="73"/>
  <c r="AL102" i="73" s="1"/>
  <c r="AS102" i="73"/>
  <c r="AT102" i="73" s="1"/>
  <c r="S63" i="26"/>
  <c r="M110" i="97"/>
  <c r="Z128" i="24"/>
  <c r="C128" i="24" s="1"/>
  <c r="AH129" i="26"/>
  <c r="Z137" i="24"/>
  <c r="C137" i="24" s="1"/>
  <c r="Z119" i="24"/>
  <c r="C119" i="24" s="1"/>
  <c r="AN131" i="26"/>
  <c r="AK131" i="26" s="1"/>
  <c r="R96" i="70"/>
  <c r="Q109" i="24"/>
  <c r="Z130" i="24"/>
  <c r="C130" i="24" s="1"/>
  <c r="Z129" i="24"/>
  <c r="C129" i="24" s="1"/>
  <c r="Z124" i="24"/>
  <c r="Z121" i="24"/>
  <c r="C116" i="24"/>
  <c r="Z135" i="24"/>
  <c r="C135" i="24" s="1"/>
  <c r="Z134" i="24"/>
  <c r="C123" i="24"/>
  <c r="C115" i="82" s="1"/>
  <c r="P115" i="82" s="1"/>
  <c r="Z139" i="24"/>
  <c r="C139" i="24" s="1"/>
  <c r="Z127" i="24"/>
  <c r="C127" i="24" s="1"/>
  <c r="M132" i="97"/>
  <c r="M125" i="97"/>
  <c r="M133" i="97"/>
  <c r="M138" i="97"/>
  <c r="M140" i="97"/>
  <c r="M135" i="97"/>
  <c r="M111" i="97"/>
  <c r="Z132" i="24"/>
  <c r="C132" i="24" s="1"/>
  <c r="D132" i="24" s="1"/>
  <c r="M126" i="97"/>
  <c r="M137" i="97"/>
  <c r="M102" i="97"/>
  <c r="M103" i="97"/>
  <c r="M119" i="97"/>
  <c r="M113" i="97"/>
  <c r="C122" i="24"/>
  <c r="C114" i="82" s="1"/>
  <c r="M134" i="97"/>
  <c r="M131" i="97"/>
  <c r="K108" i="97"/>
  <c r="K110" i="97"/>
  <c r="K112" i="97"/>
  <c r="K114" i="97"/>
  <c r="K116" i="97"/>
  <c r="L108" i="97"/>
  <c r="L110" i="97"/>
  <c r="L112" i="97"/>
  <c r="L114" i="97"/>
  <c r="L116" i="97"/>
  <c r="L118" i="97"/>
  <c r="L105" i="97"/>
  <c r="K117" i="97"/>
  <c r="K104" i="97"/>
  <c r="K106" i="97"/>
  <c r="K103" i="97"/>
  <c r="L107" i="97"/>
  <c r="L117" i="97"/>
  <c r="L104" i="97"/>
  <c r="L106" i="97"/>
  <c r="K105" i="97"/>
  <c r="K109" i="97"/>
  <c r="K111" i="97"/>
  <c r="K113" i="97"/>
  <c r="K115" i="97"/>
  <c r="K118" i="97"/>
  <c r="K107" i="97"/>
  <c r="L103" i="97"/>
  <c r="L109" i="97"/>
  <c r="L111" i="97"/>
  <c r="L113" i="97"/>
  <c r="L115" i="97"/>
  <c r="M114" i="97"/>
  <c r="Z136" i="24"/>
  <c r="C136" i="24" s="1"/>
  <c r="M107" i="97"/>
  <c r="M121" i="97"/>
  <c r="M105" i="97"/>
  <c r="Z126" i="24"/>
  <c r="C126" i="24" s="1"/>
  <c r="C118" i="82" s="1"/>
  <c r="Z117" i="24"/>
  <c r="M104" i="97"/>
  <c r="M129" i="97"/>
  <c r="M136" i="97"/>
  <c r="M128" i="97"/>
  <c r="M122" i="97"/>
  <c r="I102" i="97"/>
  <c r="Z120" i="24"/>
  <c r="C125" i="24"/>
  <c r="C117" i="82" s="1"/>
  <c r="P117" i="82" s="1"/>
  <c r="M130" i="97"/>
  <c r="M139" i="97"/>
  <c r="M106" i="97"/>
  <c r="M123" i="97"/>
  <c r="M109" i="97"/>
  <c r="Z131" i="24"/>
  <c r="C131" i="24" s="1"/>
  <c r="D131" i="24" s="1"/>
  <c r="Z118" i="24"/>
  <c r="M141" i="97"/>
  <c r="BC35" i="73"/>
  <c r="AU35" i="73"/>
  <c r="BB35" i="73"/>
  <c r="BA35" i="73"/>
  <c r="AZ35" i="73"/>
  <c r="AY35" i="73"/>
  <c r="BF35" i="73"/>
  <c r="AX35" i="73"/>
  <c r="BE35" i="73"/>
  <c r="AW35" i="73"/>
  <c r="BD35" i="73"/>
  <c r="AV35" i="73"/>
  <c r="AZ102" i="73"/>
  <c r="AY102" i="73"/>
  <c r="BF102" i="73"/>
  <c r="AX102" i="73"/>
  <c r="BE102" i="73"/>
  <c r="AW102" i="73"/>
  <c r="BD102" i="73"/>
  <c r="AV102" i="73"/>
  <c r="BC102" i="73"/>
  <c r="AU102" i="73"/>
  <c r="BB102" i="73"/>
  <c r="BA102" i="73"/>
  <c r="BF11" i="73"/>
  <c r="AX11" i="73"/>
  <c r="BE11" i="73"/>
  <c r="AW11" i="73"/>
  <c r="BD11" i="73"/>
  <c r="AV11" i="73"/>
  <c r="AU11" i="73"/>
  <c r="BC11" i="73"/>
  <c r="BB11" i="73"/>
  <c r="BA11" i="73"/>
  <c r="AY11" i="73"/>
  <c r="AZ11" i="73"/>
  <c r="BA13" i="73"/>
  <c r="AZ13" i="73"/>
  <c r="AY13" i="73"/>
  <c r="BF13" i="73"/>
  <c r="AX13" i="73"/>
  <c r="BE13" i="73"/>
  <c r="AW13" i="73"/>
  <c r="BD13" i="73"/>
  <c r="AV13" i="73"/>
  <c r="BB13" i="73"/>
  <c r="BC13" i="73"/>
  <c r="AU13" i="73"/>
  <c r="AZ22" i="73"/>
  <c r="AY22" i="73"/>
  <c r="BF22" i="73"/>
  <c r="AX22" i="73"/>
  <c r="BE22" i="73"/>
  <c r="AW22" i="73"/>
  <c r="BD22" i="73"/>
  <c r="AV22" i="73"/>
  <c r="BA22" i="73"/>
  <c r="BC22" i="73"/>
  <c r="BB22" i="73"/>
  <c r="BB10" i="73"/>
  <c r="BA10" i="73"/>
  <c r="AZ10" i="73"/>
  <c r="AY10" i="73"/>
  <c r="BF10" i="73"/>
  <c r="AX10" i="73"/>
  <c r="BC10" i="73"/>
  <c r="AU10" i="73"/>
  <c r="BE10" i="73"/>
  <c r="AW10" i="73"/>
  <c r="BD10" i="73"/>
  <c r="AV10" i="73"/>
  <c r="BE71" i="73"/>
  <c r="AW71" i="73"/>
  <c r="BD71" i="73"/>
  <c r="AV71" i="73"/>
  <c r="BC71" i="73"/>
  <c r="AU71" i="73"/>
  <c r="BB71" i="73"/>
  <c r="BA71" i="73"/>
  <c r="AZ71" i="73"/>
  <c r="AY71" i="73"/>
  <c r="AX71" i="73"/>
  <c r="BF71" i="73"/>
  <c r="BD138" i="73"/>
  <c r="AV138" i="73"/>
  <c r="BC138" i="73"/>
  <c r="AU138" i="73"/>
  <c r="BB138" i="73"/>
  <c r="BA138" i="73"/>
  <c r="AZ138" i="73"/>
  <c r="AY138" i="73"/>
  <c r="BF138" i="73"/>
  <c r="AX138" i="73"/>
  <c r="BE138" i="73"/>
  <c r="AW138" i="73"/>
  <c r="AZ9" i="73"/>
  <c r="AY9" i="73"/>
  <c r="BF9" i="73"/>
  <c r="AX9" i="73"/>
  <c r="BE9" i="73"/>
  <c r="AW9" i="73"/>
  <c r="BD9" i="73"/>
  <c r="AV9" i="73"/>
  <c r="BC9" i="73"/>
  <c r="AU9" i="73"/>
  <c r="BA9" i="73"/>
  <c r="BB9" i="73"/>
  <c r="BF121" i="73"/>
  <c r="AX121" i="73"/>
  <c r="BE121" i="73"/>
  <c r="AW121" i="73"/>
  <c r="BD121" i="73"/>
  <c r="AV121" i="73"/>
  <c r="BC121" i="73"/>
  <c r="AU121" i="73"/>
  <c r="BB121" i="73"/>
  <c r="BA121" i="73"/>
  <c r="AZ121" i="73"/>
  <c r="AY121" i="73"/>
  <c r="BC80" i="73"/>
  <c r="AU80" i="73"/>
  <c r="BB80" i="73"/>
  <c r="BA80" i="73"/>
  <c r="AZ80" i="73"/>
  <c r="AY80" i="73"/>
  <c r="BF80" i="73"/>
  <c r="AX80" i="73"/>
  <c r="BE80" i="73"/>
  <c r="AW80" i="73"/>
  <c r="BD80" i="73"/>
  <c r="AV80" i="73"/>
  <c r="AY128" i="73"/>
  <c r="BF128" i="73"/>
  <c r="AX128" i="73"/>
  <c r="BE128" i="73"/>
  <c r="AW128" i="73"/>
  <c r="BD128" i="73"/>
  <c r="AV128" i="73"/>
  <c r="BC128" i="73"/>
  <c r="AU128" i="73"/>
  <c r="BB128" i="73"/>
  <c r="BA128" i="73"/>
  <c r="AZ128" i="73"/>
  <c r="BD33" i="73"/>
  <c r="AV33" i="73"/>
  <c r="BC33" i="73"/>
  <c r="AU33" i="73"/>
  <c r="BA33" i="73"/>
  <c r="AZ33" i="73"/>
  <c r="AY33" i="73"/>
  <c r="BF33" i="73"/>
  <c r="AX33" i="73"/>
  <c r="BB33" i="73"/>
  <c r="AW33" i="73"/>
  <c r="BE33" i="73"/>
  <c r="BF36" i="73"/>
  <c r="AX36" i="73"/>
  <c r="BE36" i="73"/>
  <c r="AW36" i="73"/>
  <c r="BD36" i="73"/>
  <c r="AV36" i="73"/>
  <c r="BC36" i="73"/>
  <c r="AU36" i="73"/>
  <c r="BB36" i="73"/>
  <c r="BA36" i="73"/>
  <c r="AZ36" i="73"/>
  <c r="AY36" i="73"/>
  <c r="BB122" i="73"/>
  <c r="BA122" i="73"/>
  <c r="AZ122" i="73"/>
  <c r="AY122" i="73"/>
  <c r="BF122" i="73"/>
  <c r="AX122" i="73"/>
  <c r="BE122" i="73"/>
  <c r="AW122" i="73"/>
  <c r="BD122" i="73"/>
  <c r="AV122" i="73"/>
  <c r="BC122" i="73"/>
  <c r="AU122" i="73"/>
  <c r="BA37" i="73"/>
  <c r="AZ37" i="73"/>
  <c r="AY37" i="73"/>
  <c r="BF37" i="73"/>
  <c r="AX37" i="73"/>
  <c r="BE37" i="73"/>
  <c r="AW37" i="73"/>
  <c r="BD37" i="73"/>
  <c r="AV37" i="73"/>
  <c r="BC37" i="73"/>
  <c r="AU37" i="73"/>
  <c r="BB37" i="73"/>
  <c r="BA77" i="73"/>
  <c r="AZ77" i="73"/>
  <c r="AY77" i="73"/>
  <c r="BF77" i="73"/>
  <c r="AX77" i="73"/>
  <c r="BE77" i="73"/>
  <c r="AW77" i="73"/>
  <c r="BD77" i="73"/>
  <c r="AV77" i="73"/>
  <c r="BC77" i="73"/>
  <c r="AU77" i="73"/>
  <c r="BB77" i="73"/>
  <c r="BB141" i="73"/>
  <c r="BA141" i="73"/>
  <c r="AZ141" i="73"/>
  <c r="AY141" i="73"/>
  <c r="BF141" i="73"/>
  <c r="AX141" i="73"/>
  <c r="BE141" i="73"/>
  <c r="AW141" i="73"/>
  <c r="BD141" i="73"/>
  <c r="AV141" i="73"/>
  <c r="BC141" i="73"/>
  <c r="AU141" i="73"/>
  <c r="BB18" i="73"/>
  <c r="BA18" i="73"/>
  <c r="AZ18" i="73"/>
  <c r="AY18" i="73"/>
  <c r="BC18" i="73"/>
  <c r="AU18" i="73"/>
  <c r="BF18" i="73"/>
  <c r="AX18" i="73"/>
  <c r="BE18" i="73"/>
  <c r="AW18" i="73"/>
  <c r="BD18" i="73"/>
  <c r="AV18" i="73"/>
  <c r="AZ34" i="73"/>
  <c r="AY34" i="73"/>
  <c r="BE34" i="73"/>
  <c r="AW34" i="73"/>
  <c r="BD34" i="73"/>
  <c r="AV34" i="73"/>
  <c r="BC34" i="73"/>
  <c r="AU34" i="73"/>
  <c r="BB34" i="73"/>
  <c r="BF34" i="73"/>
  <c r="BA34" i="73"/>
  <c r="AX34" i="73"/>
  <c r="BE81" i="73"/>
  <c r="AW81" i="73"/>
  <c r="BD81" i="73"/>
  <c r="AV81" i="73"/>
  <c r="BC81" i="73"/>
  <c r="AU81" i="73"/>
  <c r="BB81" i="73"/>
  <c r="BA81" i="73"/>
  <c r="AZ81" i="73"/>
  <c r="AY81" i="73"/>
  <c r="BF81" i="73"/>
  <c r="AX81" i="73"/>
  <c r="AZ72" i="73"/>
  <c r="AY72" i="73"/>
  <c r="BF72" i="73"/>
  <c r="AX72" i="73"/>
  <c r="BE72" i="73"/>
  <c r="AW72" i="73"/>
  <c r="BD72" i="73"/>
  <c r="AV72" i="73"/>
  <c r="BC72" i="73"/>
  <c r="AU72" i="73"/>
  <c r="BB72" i="73"/>
  <c r="BA72" i="73"/>
  <c r="BB32" i="73"/>
  <c r="BA32" i="73"/>
  <c r="AY32" i="73"/>
  <c r="BF32" i="73"/>
  <c r="AX32" i="73"/>
  <c r="BE32" i="73"/>
  <c r="AW32" i="73"/>
  <c r="BD32" i="73"/>
  <c r="AV32" i="73"/>
  <c r="BC32" i="73"/>
  <c r="AZ32" i="73"/>
  <c r="AU32" i="73"/>
  <c r="S20" i="26"/>
  <c r="BB20" i="26" s="1"/>
  <c r="BC20" i="26" s="1"/>
  <c r="Z35" i="24"/>
  <c r="AA35" i="24" s="1"/>
  <c r="M32" i="82"/>
  <c r="O33" i="73" s="1"/>
  <c r="AH20" i="26"/>
  <c r="X20" i="26"/>
  <c r="Y20" i="26" s="1"/>
  <c r="M33" i="97"/>
  <c r="M32" i="97"/>
  <c r="AS20" i="26"/>
  <c r="AT20" i="26" s="1"/>
  <c r="AN20" i="26"/>
  <c r="BD20" i="26" s="1"/>
  <c r="BE20" i="26" s="1"/>
  <c r="F31" i="46"/>
  <c r="CR33" i="116"/>
  <c r="CA33" i="116"/>
  <c r="CS33" i="116"/>
  <c r="CF33" i="116"/>
  <c r="E31" i="46"/>
  <c r="Y31" i="46"/>
  <c r="O31" i="46"/>
  <c r="AA31" i="46"/>
  <c r="Q31" i="46"/>
  <c r="CU33" i="116"/>
  <c r="CP33" i="116"/>
  <c r="CT33" i="116"/>
  <c r="CK33" i="116"/>
  <c r="G31" i="46"/>
  <c r="J139" i="17"/>
  <c r="D139" i="17" s="1"/>
  <c r="J144" i="17"/>
  <c r="I31" i="46"/>
  <c r="AE31" i="46"/>
  <c r="S31" i="46"/>
  <c r="AC31" i="46"/>
  <c r="J31" i="46"/>
  <c r="W35" i="24"/>
  <c r="X35" i="24"/>
  <c r="AV35" i="24"/>
  <c r="K35" i="24" s="1"/>
  <c r="AW35" i="24"/>
  <c r="I35" i="24"/>
  <c r="AX35" i="24"/>
  <c r="R35" i="24" s="1"/>
  <c r="P35" i="24"/>
  <c r="O32" i="82"/>
  <c r="Q33" i="73" s="1"/>
  <c r="N32" i="82"/>
  <c r="V33" i="73" s="1"/>
  <c r="CP44" i="116"/>
  <c r="CU44" i="116"/>
  <c r="AC43" i="120" s="1"/>
  <c r="CA157" i="116"/>
  <c r="CR157" i="116"/>
  <c r="Z145" i="120" s="1"/>
  <c r="CF132" i="116"/>
  <c r="CS132" i="116"/>
  <c r="AA120" i="120" s="1"/>
  <c r="CP74" i="116"/>
  <c r="CU74" i="116"/>
  <c r="AC73" i="120" s="1"/>
  <c r="CP136" i="116"/>
  <c r="CU136" i="116"/>
  <c r="AC124" i="120" s="1"/>
  <c r="CK32" i="116"/>
  <c r="CT32" i="116"/>
  <c r="CT126" i="116"/>
  <c r="AB114" i="120" s="1"/>
  <c r="CK126" i="116"/>
  <c r="CS144" i="116"/>
  <c r="AA132" i="120" s="1"/>
  <c r="CF144" i="116"/>
  <c r="CF62" i="116"/>
  <c r="CS62" i="116"/>
  <c r="AA61" i="120" s="1"/>
  <c r="CF104" i="116"/>
  <c r="CS104" i="116"/>
  <c r="AA103" i="120" s="1"/>
  <c r="CP31" i="116"/>
  <c r="CU31" i="116"/>
  <c r="AC30" i="120" s="1"/>
  <c r="CP55" i="116"/>
  <c r="CU55" i="116"/>
  <c r="AC54" i="120" s="1"/>
  <c r="CF75" i="116"/>
  <c r="CS75" i="116"/>
  <c r="AA74" i="120" s="1"/>
  <c r="CF92" i="116"/>
  <c r="CS92" i="116"/>
  <c r="AA91" i="120" s="1"/>
  <c r="CP25" i="116"/>
  <c r="CU25" i="116"/>
  <c r="AC24" i="120" s="1"/>
  <c r="CS148" i="116"/>
  <c r="AA136" i="120" s="1"/>
  <c r="CF148" i="116"/>
  <c r="CR113" i="116"/>
  <c r="CA113" i="116"/>
  <c r="CP36" i="116"/>
  <c r="CU36" i="116"/>
  <c r="AC35" i="120" s="1"/>
  <c r="CA94" i="116"/>
  <c r="CR94" i="116"/>
  <c r="Z93" i="120" s="1"/>
  <c r="CK142" i="116"/>
  <c r="CT142" i="116"/>
  <c r="AB130" i="120" s="1"/>
  <c r="CK66" i="116"/>
  <c r="CT66" i="116"/>
  <c r="AB65" i="120" s="1"/>
  <c r="CF54" i="116"/>
  <c r="CS54" i="116"/>
  <c r="AA53" i="120" s="1"/>
  <c r="CK139" i="116"/>
  <c r="CT139" i="116"/>
  <c r="AB127" i="120" s="1"/>
  <c r="CA109" i="116"/>
  <c r="CR109" i="116"/>
  <c r="CP126" i="116"/>
  <c r="CU126" i="116"/>
  <c r="AC114" i="120" s="1"/>
  <c r="CP46" i="116"/>
  <c r="CU46" i="116"/>
  <c r="AC45" i="120" s="1"/>
  <c r="CF11" i="116"/>
  <c r="CS11" i="116"/>
  <c r="AA10" i="120" s="1"/>
  <c r="CF31" i="116"/>
  <c r="CS31" i="116"/>
  <c r="AA30" i="120" s="1"/>
  <c r="CP123" i="116"/>
  <c r="CU123" i="116"/>
  <c r="AC111" i="120" s="1"/>
  <c r="CA104" i="116"/>
  <c r="CR104" i="116"/>
  <c r="Z103" i="120" s="1"/>
  <c r="CK146" i="116"/>
  <c r="CT146" i="116"/>
  <c r="AB134" i="120" s="1"/>
  <c r="CF43" i="116"/>
  <c r="CS43" i="116"/>
  <c r="AA42" i="120" s="1"/>
  <c r="CA140" i="116"/>
  <c r="CR140" i="116"/>
  <c r="Z128" i="120" s="1"/>
  <c r="CA83" i="116"/>
  <c r="CR83" i="116"/>
  <c r="Z82" i="120" s="1"/>
  <c r="CP17" i="116"/>
  <c r="CU17" i="116"/>
  <c r="AC16" i="120" s="1"/>
  <c r="CU18" i="116"/>
  <c r="AC17" i="120" s="1"/>
  <c r="CP18" i="116"/>
  <c r="CU137" i="116"/>
  <c r="AC125" i="120" s="1"/>
  <c r="CP137" i="116"/>
  <c r="CP85" i="116"/>
  <c r="CU85" i="116"/>
  <c r="AC84" i="120" s="1"/>
  <c r="CF20" i="116"/>
  <c r="CS20" i="116"/>
  <c r="AA19" i="120" s="1"/>
  <c r="CK85" i="116"/>
  <c r="CT85" i="116"/>
  <c r="AB84" i="120" s="1"/>
  <c r="CA20" i="116"/>
  <c r="CR20" i="116"/>
  <c r="Z19" i="120" s="1"/>
  <c r="CK143" i="116"/>
  <c r="CT143" i="116"/>
  <c r="AB131" i="120" s="1"/>
  <c r="CK63" i="116"/>
  <c r="CT63" i="116"/>
  <c r="AB62" i="120" s="1"/>
  <c r="CF145" i="116"/>
  <c r="CS145" i="116"/>
  <c r="AA133" i="120" s="1"/>
  <c r="CF63" i="116"/>
  <c r="CS63" i="116"/>
  <c r="AA62" i="120" s="1"/>
  <c r="CP72" i="116"/>
  <c r="CU72" i="116"/>
  <c r="AC71" i="120" s="1"/>
  <c r="CT147" i="116"/>
  <c r="AB135" i="120" s="1"/>
  <c r="CK147" i="116"/>
  <c r="CK67" i="116"/>
  <c r="CT67" i="116"/>
  <c r="AB66" i="120" s="1"/>
  <c r="CF149" i="116"/>
  <c r="CS149" i="116"/>
  <c r="AA137" i="120" s="1"/>
  <c r="CF67" i="116"/>
  <c r="CS67" i="116"/>
  <c r="AA66" i="120" s="1"/>
  <c r="CP11" i="116"/>
  <c r="CU11" i="116"/>
  <c r="AC10" i="120" s="1"/>
  <c r="CF125" i="116"/>
  <c r="CS125" i="116"/>
  <c r="AA113" i="120" s="1"/>
  <c r="CF45" i="116"/>
  <c r="CS45" i="116"/>
  <c r="AA44" i="120" s="1"/>
  <c r="CA125" i="116"/>
  <c r="CR125" i="116"/>
  <c r="Z113" i="120" s="1"/>
  <c r="CA45" i="116"/>
  <c r="CR45" i="116"/>
  <c r="Z44" i="120" s="1"/>
  <c r="CT15" i="116"/>
  <c r="AB14" i="120" s="1"/>
  <c r="CK15" i="116"/>
  <c r="CF129" i="116"/>
  <c r="CS129" i="116"/>
  <c r="AA117" i="120" s="1"/>
  <c r="CS49" i="116"/>
  <c r="AA48" i="120" s="1"/>
  <c r="CF49" i="116"/>
  <c r="CR129" i="116"/>
  <c r="Z117" i="120" s="1"/>
  <c r="CA129" i="116"/>
  <c r="CA49" i="116"/>
  <c r="CR49" i="116"/>
  <c r="Z48" i="120" s="1"/>
  <c r="CK44" i="116"/>
  <c r="CT44" i="116"/>
  <c r="AB43" i="120" s="1"/>
  <c r="CP118" i="116"/>
  <c r="CU118" i="116"/>
  <c r="CK116" i="116"/>
  <c r="CT116" i="116"/>
  <c r="CF100" i="116"/>
  <c r="CS100" i="116"/>
  <c r="AA99" i="120" s="1"/>
  <c r="CK100" i="116"/>
  <c r="CT100" i="116"/>
  <c r="AB99" i="120" s="1"/>
  <c r="CU92" i="116"/>
  <c r="AC91" i="120" s="1"/>
  <c r="CP92" i="116"/>
  <c r="CK19" i="116"/>
  <c r="CT19" i="116"/>
  <c r="AB18" i="120" s="1"/>
  <c r="CS68" i="116"/>
  <c r="AA67" i="120" s="1"/>
  <c r="CF68" i="116"/>
  <c r="CA149" i="116"/>
  <c r="CR149" i="116"/>
  <c r="Z137" i="120" s="1"/>
  <c r="CP27" i="116"/>
  <c r="CU27" i="116"/>
  <c r="AC26" i="120" s="1"/>
  <c r="CA73" i="116"/>
  <c r="CR73" i="116"/>
  <c r="Z72" i="120" s="1"/>
  <c r="CR133" i="116"/>
  <c r="Z121" i="120" s="1"/>
  <c r="CA133" i="116"/>
  <c r="CP87" i="116"/>
  <c r="CU87" i="116"/>
  <c r="AC86" i="120" s="1"/>
  <c r="CP21" i="116"/>
  <c r="CU21" i="116"/>
  <c r="AC20" i="120" s="1"/>
  <c r="CK128" i="116"/>
  <c r="CT128" i="116"/>
  <c r="AB116" i="120" s="1"/>
  <c r="CF25" i="116"/>
  <c r="CS25" i="116"/>
  <c r="AA24" i="120" s="1"/>
  <c r="CK78" i="116"/>
  <c r="CT78" i="116"/>
  <c r="AB77" i="120" s="1"/>
  <c r="CF56" i="116"/>
  <c r="CS56" i="116"/>
  <c r="AA55" i="120" s="1"/>
  <c r="CP142" i="116"/>
  <c r="CU142" i="116"/>
  <c r="AC130" i="120" s="1"/>
  <c r="CT21" i="116"/>
  <c r="AB20" i="120" s="1"/>
  <c r="CK21" i="116"/>
  <c r="CT89" i="116"/>
  <c r="AB88" i="120" s="1"/>
  <c r="CK89" i="116"/>
  <c r="CF154" i="116"/>
  <c r="CS154" i="116"/>
  <c r="AA142" i="120" s="1"/>
  <c r="CS72" i="116"/>
  <c r="AA71" i="120" s="1"/>
  <c r="CF72" i="116"/>
  <c r="CP79" i="116"/>
  <c r="CU79" i="116"/>
  <c r="AC78" i="120" s="1"/>
  <c r="CA9" i="116"/>
  <c r="CR9" i="116"/>
  <c r="Z8" i="120" s="1"/>
  <c r="CK132" i="116"/>
  <c r="CT132" i="116"/>
  <c r="AB120" i="120" s="1"/>
  <c r="CF48" i="116"/>
  <c r="CS48" i="116"/>
  <c r="AA47" i="120" s="1"/>
  <c r="CK82" i="116"/>
  <c r="CT82" i="116"/>
  <c r="AB81" i="120" s="1"/>
  <c r="CA132" i="116"/>
  <c r="CR132" i="116"/>
  <c r="Z120" i="120" s="1"/>
  <c r="CA42" i="116"/>
  <c r="CR42" i="116"/>
  <c r="Z41" i="120" s="1"/>
  <c r="CS93" i="116"/>
  <c r="AA92" i="120" s="1"/>
  <c r="CF93" i="116"/>
  <c r="CU19" i="116"/>
  <c r="AC18" i="120" s="1"/>
  <c r="CP19" i="116"/>
  <c r="CA126" i="116"/>
  <c r="CR126" i="116"/>
  <c r="Z114" i="120" s="1"/>
  <c r="CA34" i="116"/>
  <c r="CR34" i="116"/>
  <c r="Z33" i="120" s="1"/>
  <c r="CA82" i="116"/>
  <c r="CR82" i="116"/>
  <c r="Z81" i="120" s="1"/>
  <c r="CP156" i="116"/>
  <c r="CU156" i="116"/>
  <c r="AC144" i="120" s="1"/>
  <c r="CP62" i="116"/>
  <c r="CU62" i="116"/>
  <c r="AC61" i="120" s="1"/>
  <c r="CA115" i="116"/>
  <c r="CR115" i="116"/>
  <c r="CP86" i="116"/>
  <c r="CU86" i="116"/>
  <c r="AC85" i="120" s="1"/>
  <c r="CR13" i="116"/>
  <c r="Z12" i="120" s="1"/>
  <c r="CA13" i="116"/>
  <c r="CT7" i="116"/>
  <c r="AB6" i="120" s="1"/>
  <c r="CK7" i="116"/>
  <c r="CK54" i="116"/>
  <c r="CT54" i="116"/>
  <c r="AB53" i="120" s="1"/>
  <c r="CS105" i="116"/>
  <c r="AA104" i="120" s="1"/>
  <c r="CF105" i="116"/>
  <c r="CK122" i="116"/>
  <c r="CT122" i="116"/>
  <c r="AB110" i="120" s="1"/>
  <c r="CK156" i="116"/>
  <c r="CT156" i="116"/>
  <c r="AB144" i="120" s="1"/>
  <c r="CK74" i="116"/>
  <c r="CT74" i="116"/>
  <c r="AB73" i="120" s="1"/>
  <c r="CF140" i="116"/>
  <c r="CS140" i="116"/>
  <c r="AA128" i="120" s="1"/>
  <c r="CF58" i="116"/>
  <c r="CS58" i="116"/>
  <c r="AA57" i="120" s="1"/>
  <c r="CA70" i="116"/>
  <c r="CR70" i="116"/>
  <c r="Z69" i="120" s="1"/>
  <c r="CK41" i="116"/>
  <c r="CT41" i="116"/>
  <c r="AB40" i="120" s="1"/>
  <c r="CA107" i="116"/>
  <c r="CR107" i="116"/>
  <c r="Z106" i="120" s="1"/>
  <c r="CR80" i="116"/>
  <c r="Z79" i="120" s="1"/>
  <c r="CA80" i="116"/>
  <c r="CU61" i="116"/>
  <c r="AC60" i="120" s="1"/>
  <c r="CP61" i="116"/>
  <c r="CT125" i="116"/>
  <c r="AB113" i="120" s="1"/>
  <c r="CK125" i="116"/>
  <c r="CT153" i="116"/>
  <c r="AB141" i="120" s="1"/>
  <c r="CK153" i="116"/>
  <c r="CK73" i="116"/>
  <c r="CT73" i="116"/>
  <c r="AB72" i="120" s="1"/>
  <c r="CF155" i="116"/>
  <c r="CS155" i="116"/>
  <c r="AA143" i="120" s="1"/>
  <c r="CF73" i="116"/>
  <c r="CS73" i="116"/>
  <c r="AA72" i="120" s="1"/>
  <c r="CA8" i="116"/>
  <c r="CR8" i="116"/>
  <c r="Z7" i="120" s="1"/>
  <c r="CA31" i="116"/>
  <c r="CR31" i="116"/>
  <c r="Z30" i="120" s="1"/>
  <c r="CA156" i="116"/>
  <c r="CR156" i="116"/>
  <c r="Z144" i="120" s="1"/>
  <c r="CA74" i="116"/>
  <c r="CR74" i="116"/>
  <c r="Z73" i="120" s="1"/>
  <c r="CK49" i="116"/>
  <c r="CT49" i="116"/>
  <c r="AB48" i="120" s="1"/>
  <c r="CF119" i="116"/>
  <c r="CS119" i="116"/>
  <c r="AA107" i="120" s="1"/>
  <c r="CP131" i="116"/>
  <c r="CU131" i="116"/>
  <c r="AC119" i="120" s="1"/>
  <c r="CA52" i="116"/>
  <c r="CR52" i="116"/>
  <c r="Z51" i="120" s="1"/>
  <c r="CF10" i="116"/>
  <c r="CS10" i="116"/>
  <c r="AA9" i="120" s="1"/>
  <c r="CP81" i="116"/>
  <c r="CU81" i="116"/>
  <c r="AC80" i="120" s="1"/>
  <c r="CF17" i="116"/>
  <c r="CS17" i="116"/>
  <c r="AA16" i="120" s="1"/>
  <c r="CP12" i="116"/>
  <c r="CU12" i="116"/>
  <c r="AC11" i="120" s="1"/>
  <c r="CU125" i="116"/>
  <c r="AC113" i="120" s="1"/>
  <c r="CP125" i="116"/>
  <c r="CP45" i="116"/>
  <c r="CU45" i="116"/>
  <c r="AC44" i="120" s="1"/>
  <c r="CP155" i="116"/>
  <c r="CU155" i="116"/>
  <c r="AC143" i="120" s="1"/>
  <c r="CP73" i="116"/>
  <c r="CU73" i="116"/>
  <c r="AC72" i="120" s="1"/>
  <c r="CA119" i="116"/>
  <c r="CR119" i="116"/>
  <c r="Z107" i="120" s="1"/>
  <c r="CS39" i="116"/>
  <c r="AA38" i="120" s="1"/>
  <c r="CF39" i="116"/>
  <c r="CA118" i="116"/>
  <c r="CR118" i="116"/>
  <c r="CA39" i="116"/>
  <c r="CR39" i="116"/>
  <c r="Z38" i="120" s="1"/>
  <c r="CP28" i="116"/>
  <c r="CU28" i="116"/>
  <c r="AC27" i="120" s="1"/>
  <c r="CP135" i="116"/>
  <c r="CU135" i="116"/>
  <c r="AC123" i="120" s="1"/>
  <c r="CA56" i="116"/>
  <c r="CR56" i="116"/>
  <c r="Z55" i="120" s="1"/>
  <c r="CK6" i="116"/>
  <c r="CT6" i="116"/>
  <c r="AB5" i="120" s="1"/>
  <c r="CF86" i="116"/>
  <c r="CS86" i="116"/>
  <c r="AA85" i="120" s="1"/>
  <c r="CF111" i="116"/>
  <c r="CS111" i="116"/>
  <c r="CU102" i="116"/>
  <c r="AC101" i="120" s="1"/>
  <c r="CP102" i="116"/>
  <c r="C101" i="108"/>
  <c r="I104" i="97" s="1"/>
  <c r="CR108" i="116"/>
  <c r="CA108" i="116"/>
  <c r="CA44" i="116"/>
  <c r="CR44" i="116"/>
  <c r="Z43" i="120" s="1"/>
  <c r="CK12" i="116"/>
  <c r="CT12" i="116"/>
  <c r="AB11" i="120" s="1"/>
  <c r="CR141" i="116"/>
  <c r="Z129" i="120" s="1"/>
  <c r="CA141" i="116"/>
  <c r="CP40" i="116"/>
  <c r="CU40" i="116"/>
  <c r="AC39" i="120" s="1"/>
  <c r="CA153" i="116"/>
  <c r="CR153" i="116"/>
  <c r="Z141" i="120" s="1"/>
  <c r="CT11" i="116"/>
  <c r="AB10" i="120" s="1"/>
  <c r="CK11" i="116"/>
  <c r="CT92" i="116"/>
  <c r="AB91" i="120" s="1"/>
  <c r="CK92" i="116"/>
  <c r="CK68" i="116"/>
  <c r="CT68" i="116"/>
  <c r="AB67" i="120" s="1"/>
  <c r="CR128" i="116"/>
  <c r="Z116" i="120" s="1"/>
  <c r="CA128" i="116"/>
  <c r="CA81" i="116"/>
  <c r="CR81" i="116"/>
  <c r="Z80" i="120" s="1"/>
  <c r="CP13" i="116"/>
  <c r="CU13" i="116"/>
  <c r="AC12" i="120" s="1"/>
  <c r="CK155" i="116"/>
  <c r="CT155" i="116"/>
  <c r="AB143" i="120" s="1"/>
  <c r="CA10" i="116"/>
  <c r="CR10" i="116"/>
  <c r="Z9" i="120" s="1"/>
  <c r="CA155" i="116"/>
  <c r="CR155" i="116"/>
  <c r="Z143" i="120" s="1"/>
  <c r="CA75" i="116"/>
  <c r="CR75" i="116"/>
  <c r="Z74" i="120" s="1"/>
  <c r="CP64" i="116"/>
  <c r="CU64" i="116"/>
  <c r="AC63" i="120" s="1"/>
  <c r="CK48" i="116"/>
  <c r="CT48" i="116"/>
  <c r="AB47" i="120" s="1"/>
  <c r="CP76" i="116"/>
  <c r="CU76" i="116"/>
  <c r="AC75" i="120" s="1"/>
  <c r="CF124" i="116"/>
  <c r="CS124" i="116"/>
  <c r="AA112" i="120" s="1"/>
  <c r="CK50" i="116"/>
  <c r="CT50" i="116"/>
  <c r="AB49" i="120" s="1"/>
  <c r="CA27" i="116"/>
  <c r="CR27" i="116"/>
  <c r="Z26" i="120" s="1"/>
  <c r="CK59" i="116"/>
  <c r="CT59" i="116"/>
  <c r="AB58" i="120" s="1"/>
  <c r="CF96" i="116"/>
  <c r="CS96" i="116"/>
  <c r="AA95" i="120" s="1"/>
  <c r="CP29" i="116"/>
  <c r="CU29" i="116"/>
  <c r="AC28" i="120" s="1"/>
  <c r="CU43" i="116"/>
  <c r="AC42" i="120" s="1"/>
  <c r="CP43" i="116"/>
  <c r="CU80" i="116"/>
  <c r="AC79" i="120" s="1"/>
  <c r="CP80" i="116"/>
  <c r="CS128" i="116"/>
  <c r="AA116" i="120" s="1"/>
  <c r="CF128" i="116"/>
  <c r="CP71" i="116"/>
  <c r="CU71" i="116"/>
  <c r="AC70" i="120" s="1"/>
  <c r="CA123" i="116"/>
  <c r="CR123" i="116"/>
  <c r="Z111" i="120" s="1"/>
  <c r="CA147" i="116"/>
  <c r="CR147" i="116"/>
  <c r="Z135" i="120" s="1"/>
  <c r="CA67" i="116"/>
  <c r="CR67" i="116"/>
  <c r="Z66" i="120" s="1"/>
  <c r="CK42" i="116"/>
  <c r="CT42" i="116"/>
  <c r="AB41" i="120" s="1"/>
  <c r="CA60" i="116"/>
  <c r="CR60" i="116"/>
  <c r="Z59" i="120" s="1"/>
  <c r="CP53" i="116"/>
  <c r="CU53" i="116"/>
  <c r="AC52" i="120" s="1"/>
  <c r="CK121" i="116"/>
  <c r="CT121" i="116"/>
  <c r="AB109" i="120" s="1"/>
  <c r="CT149" i="116"/>
  <c r="AB137" i="120" s="1"/>
  <c r="CK149" i="116"/>
  <c r="CT69" i="116"/>
  <c r="AB68" i="120" s="1"/>
  <c r="CK69" i="116"/>
  <c r="CS151" i="116"/>
  <c r="AA139" i="120" s="1"/>
  <c r="CF151" i="116"/>
  <c r="CS69" i="116"/>
  <c r="AA68" i="120" s="1"/>
  <c r="CF69" i="116"/>
  <c r="CU15" i="116"/>
  <c r="AC14" i="120" s="1"/>
  <c r="CP15" i="116"/>
  <c r="CF127" i="116"/>
  <c r="CS127" i="116"/>
  <c r="AA115" i="120" s="1"/>
  <c r="CF47" i="116"/>
  <c r="CS47" i="116"/>
  <c r="AA46" i="120" s="1"/>
  <c r="CA127" i="116"/>
  <c r="CR127" i="116"/>
  <c r="Z115" i="120" s="1"/>
  <c r="CA47" i="116"/>
  <c r="CR47" i="116"/>
  <c r="Z46" i="120" s="1"/>
  <c r="CK38" i="116"/>
  <c r="CT38" i="116"/>
  <c r="AB37" i="120" s="1"/>
  <c r="CF131" i="116"/>
  <c r="CS131" i="116"/>
  <c r="AA119" i="120" s="1"/>
  <c r="CT51" i="116"/>
  <c r="AB50" i="120" s="1"/>
  <c r="CK51" i="116"/>
  <c r="CR131" i="116"/>
  <c r="Z119" i="120" s="1"/>
  <c r="CA131" i="116"/>
  <c r="CF51" i="116"/>
  <c r="CS51" i="116"/>
  <c r="AA50" i="120" s="1"/>
  <c r="CP50" i="116"/>
  <c r="CU50" i="116"/>
  <c r="AC49" i="120" s="1"/>
  <c r="CP94" i="116"/>
  <c r="CU94" i="116"/>
  <c r="AC93" i="120" s="1"/>
  <c r="CF28" i="116"/>
  <c r="CS28" i="116"/>
  <c r="AA27" i="120" s="1"/>
  <c r="CK94" i="116"/>
  <c r="CT94" i="116"/>
  <c r="AB93" i="120" s="1"/>
  <c r="CA28" i="116"/>
  <c r="CR28" i="116"/>
  <c r="Z27" i="120" s="1"/>
  <c r="CF32" i="116"/>
  <c r="CS32" i="116"/>
  <c r="CR32" i="116"/>
  <c r="CA32" i="116"/>
  <c r="CS36" i="116"/>
  <c r="AA35" i="120" s="1"/>
  <c r="CF36" i="116"/>
  <c r="CF113" i="116"/>
  <c r="CS113" i="116"/>
  <c r="CU98" i="116"/>
  <c r="AC97" i="120" s="1"/>
  <c r="CP98" i="116"/>
  <c r="CS98" i="116"/>
  <c r="AA97" i="120" s="1"/>
  <c r="CF98" i="116"/>
  <c r="CK99" i="116"/>
  <c r="CT99" i="116"/>
  <c r="AB98" i="120" s="1"/>
  <c r="CF101" i="116"/>
  <c r="CS101" i="116"/>
  <c r="AA100" i="120" s="1"/>
  <c r="BK20" i="120"/>
  <c r="BN20" i="120" s="1"/>
  <c r="BJ20" i="120"/>
  <c r="CP140" i="116"/>
  <c r="CU140" i="116"/>
  <c r="AC128" i="120" s="1"/>
  <c r="CS26" i="116"/>
  <c r="AA25" i="120" s="1"/>
  <c r="CF26" i="116"/>
  <c r="CR38" i="116"/>
  <c r="Z37" i="120" s="1"/>
  <c r="CA38" i="116"/>
  <c r="CF94" i="116"/>
  <c r="CS94" i="116"/>
  <c r="AA93" i="120" s="1"/>
  <c r="CR145" i="116"/>
  <c r="Z133" i="120" s="1"/>
  <c r="CA145" i="116"/>
  <c r="CA151" i="116"/>
  <c r="CR151" i="116"/>
  <c r="Z139" i="120" s="1"/>
  <c r="CR71" i="116"/>
  <c r="Z70" i="120" s="1"/>
  <c r="CA71" i="116"/>
  <c r="CP56" i="116"/>
  <c r="CU56" i="116"/>
  <c r="AC55" i="120" s="1"/>
  <c r="CA96" i="116"/>
  <c r="CR96" i="116"/>
  <c r="Z95" i="120" s="1"/>
  <c r="CT144" i="116"/>
  <c r="AB132" i="120" s="1"/>
  <c r="CK144" i="116"/>
  <c r="CK120" i="116"/>
  <c r="CT120" i="116"/>
  <c r="AB108" i="120" s="1"/>
  <c r="CK154" i="116"/>
  <c r="CT154" i="116"/>
  <c r="AB142" i="120" s="1"/>
  <c r="CK72" i="116"/>
  <c r="CT72" i="116"/>
  <c r="AB71" i="120" s="1"/>
  <c r="CF138" i="116"/>
  <c r="CS138" i="116"/>
  <c r="AA126" i="120" s="1"/>
  <c r="CK25" i="116"/>
  <c r="CT25" i="116"/>
  <c r="AB24" i="120" s="1"/>
  <c r="CA106" i="116"/>
  <c r="CR106" i="116"/>
  <c r="Z105" i="120" s="1"/>
  <c r="CK148" i="116"/>
  <c r="CT148" i="116"/>
  <c r="AB136" i="120" s="1"/>
  <c r="CA7" i="116"/>
  <c r="CR7" i="116"/>
  <c r="Z6" i="120" s="1"/>
  <c r="CF34" i="116"/>
  <c r="CS34" i="116"/>
  <c r="AA33" i="120" s="1"/>
  <c r="CK93" i="116"/>
  <c r="CT93" i="116"/>
  <c r="AB92" i="120" s="1"/>
  <c r="CA21" i="116"/>
  <c r="CR21" i="116"/>
  <c r="Z20" i="120" s="1"/>
  <c r="CU24" i="116"/>
  <c r="AC23" i="120" s="1"/>
  <c r="CP24" i="116"/>
  <c r="CA124" i="116"/>
  <c r="CR124" i="116"/>
  <c r="Z112" i="120" s="1"/>
  <c r="CP138" i="116"/>
  <c r="CU138" i="116"/>
  <c r="AC126" i="120" s="1"/>
  <c r="CK17" i="116"/>
  <c r="CT17" i="116"/>
  <c r="AB16" i="120" s="1"/>
  <c r="CF87" i="116"/>
  <c r="CS87" i="116"/>
  <c r="AA86" i="120" s="1"/>
  <c r="CF152" i="116"/>
  <c r="CS152" i="116"/>
  <c r="AA140" i="120" s="1"/>
  <c r="CF70" i="116"/>
  <c r="CS70" i="116"/>
  <c r="AA69" i="120" s="1"/>
  <c r="CP63" i="116"/>
  <c r="CU63" i="116"/>
  <c r="AC62" i="120" s="1"/>
  <c r="CA54" i="116"/>
  <c r="CR54" i="116"/>
  <c r="Z53" i="120" s="1"/>
  <c r="CF80" i="116"/>
  <c r="CS80" i="116"/>
  <c r="AA79" i="120" s="1"/>
  <c r="CP91" i="116"/>
  <c r="CU91" i="116"/>
  <c r="AC90" i="120" s="1"/>
  <c r="CK138" i="116"/>
  <c r="CT138" i="116"/>
  <c r="AB126" i="120" s="1"/>
  <c r="CK64" i="116"/>
  <c r="CT64" i="116"/>
  <c r="AB63" i="120" s="1"/>
  <c r="CA122" i="116"/>
  <c r="CR122" i="116"/>
  <c r="Z110" i="120" s="1"/>
  <c r="CR25" i="116"/>
  <c r="Z24" i="120" s="1"/>
  <c r="CA25" i="116"/>
  <c r="CP58" i="116"/>
  <c r="CU58" i="116"/>
  <c r="AC57" i="120" s="1"/>
  <c r="CF14" i="116"/>
  <c r="CS14" i="116"/>
  <c r="AA13" i="120" s="1"/>
  <c r="CP83" i="116"/>
  <c r="CU83" i="116"/>
  <c r="AC82" i="120" s="1"/>
  <c r="CA64" i="116"/>
  <c r="CR64" i="116"/>
  <c r="Z63" i="120" s="1"/>
  <c r="CK28" i="116"/>
  <c r="CT28" i="116"/>
  <c r="AB27" i="120" s="1"/>
  <c r="CA95" i="116"/>
  <c r="CR95" i="116"/>
  <c r="Z94" i="120" s="1"/>
  <c r="CK137" i="116"/>
  <c r="CT137" i="116"/>
  <c r="AB125" i="120" s="1"/>
  <c r="CK57" i="116"/>
  <c r="CT57" i="116"/>
  <c r="AB56" i="120" s="1"/>
  <c r="CF139" i="116"/>
  <c r="CS139" i="116"/>
  <c r="AA127" i="120" s="1"/>
  <c r="CF57" i="116"/>
  <c r="CS57" i="116"/>
  <c r="AA56" i="120" s="1"/>
  <c r="CA15" i="116"/>
  <c r="CR15" i="116"/>
  <c r="Z14" i="120" s="1"/>
  <c r="CA138" i="116"/>
  <c r="CR138" i="116"/>
  <c r="Z126" i="120" s="1"/>
  <c r="CA58" i="116"/>
  <c r="CR58" i="116"/>
  <c r="Z57" i="120" s="1"/>
  <c r="CK10" i="116"/>
  <c r="CT10" i="116"/>
  <c r="AB9" i="120" s="1"/>
  <c r="CP88" i="116"/>
  <c r="CU88" i="116"/>
  <c r="AC87" i="120" s="1"/>
  <c r="CF107" i="116"/>
  <c r="CS107" i="116"/>
  <c r="AA106" i="120" s="1"/>
  <c r="CP26" i="116"/>
  <c r="CU26" i="116"/>
  <c r="AC25" i="120" s="1"/>
  <c r="CP145" i="116"/>
  <c r="CU145" i="116"/>
  <c r="AC133" i="120" s="1"/>
  <c r="CK14" i="116"/>
  <c r="CT14" i="116"/>
  <c r="AB13" i="120" s="1"/>
  <c r="CS52" i="116"/>
  <c r="AA51" i="120" s="1"/>
  <c r="CF52" i="116"/>
  <c r="CP51" i="116"/>
  <c r="CU51" i="116"/>
  <c r="AC50" i="120" s="1"/>
  <c r="CS95" i="116"/>
  <c r="AA94" i="120" s="1"/>
  <c r="CF95" i="116"/>
  <c r="CU20" i="116"/>
  <c r="AC19" i="120" s="1"/>
  <c r="CP20" i="116"/>
  <c r="CP139" i="116"/>
  <c r="CU139" i="116"/>
  <c r="AC127" i="120" s="1"/>
  <c r="CF7" i="116"/>
  <c r="CS7" i="116"/>
  <c r="AA6" i="120" s="1"/>
  <c r="CK88" i="116"/>
  <c r="CT88" i="116"/>
  <c r="AB87" i="120" s="1"/>
  <c r="CS22" i="116"/>
  <c r="AA21" i="120" s="1"/>
  <c r="CF22" i="116"/>
  <c r="CF88" i="116"/>
  <c r="CS88" i="116"/>
  <c r="AA87" i="120" s="1"/>
  <c r="CA22" i="116"/>
  <c r="CR22" i="116"/>
  <c r="Z21" i="120" s="1"/>
  <c r="CP69" i="116"/>
  <c r="CU69" i="116"/>
  <c r="AC68" i="120" s="1"/>
  <c r="CK119" i="116"/>
  <c r="CT119" i="116"/>
  <c r="AB107" i="120" s="1"/>
  <c r="CU35" i="116"/>
  <c r="AC34" i="120" s="1"/>
  <c r="CP35" i="116"/>
  <c r="CP149" i="116"/>
  <c r="CU149" i="116"/>
  <c r="AC137" i="120" s="1"/>
  <c r="CK22" i="116"/>
  <c r="CT22" i="116"/>
  <c r="AB21" i="120" s="1"/>
  <c r="CP67" i="116"/>
  <c r="CU67" i="116"/>
  <c r="AC66" i="120" s="1"/>
  <c r="CF108" i="116"/>
  <c r="CS108" i="116"/>
  <c r="CF110" i="116"/>
  <c r="CS110" i="116"/>
  <c r="CP116" i="116"/>
  <c r="CU116" i="116"/>
  <c r="CS99" i="116"/>
  <c r="AA98" i="120" s="1"/>
  <c r="CF99" i="116"/>
  <c r="CU100" i="116"/>
  <c r="AC99" i="120" s="1"/>
  <c r="CP100" i="116"/>
  <c r="CA102" i="116"/>
  <c r="CR102" i="116"/>
  <c r="Z101" i="120" s="1"/>
  <c r="CK102" i="116"/>
  <c r="CT102" i="116"/>
  <c r="AB101" i="120" s="1"/>
  <c r="CU97" i="116"/>
  <c r="AC96" i="120" s="1"/>
  <c r="CP97" i="116"/>
  <c r="CF97" i="116"/>
  <c r="CS97" i="116"/>
  <c r="AA96" i="120" s="1"/>
  <c r="CR90" i="116"/>
  <c r="Z89" i="120" s="1"/>
  <c r="CA90" i="116"/>
  <c r="CT150" i="116"/>
  <c r="AB138" i="120" s="1"/>
  <c r="CK150" i="116"/>
  <c r="CK140" i="116"/>
  <c r="CT140" i="116"/>
  <c r="AB128" i="120" s="1"/>
  <c r="CA11" i="116"/>
  <c r="CR11" i="116"/>
  <c r="Z10" i="120" s="1"/>
  <c r="CP129" i="116"/>
  <c r="CU129" i="116"/>
  <c r="AC117" i="120" s="1"/>
  <c r="CA134" i="116"/>
  <c r="CR134" i="116"/>
  <c r="Z122" i="120" s="1"/>
  <c r="CA61" i="116"/>
  <c r="CR61" i="116"/>
  <c r="Z60" i="120" s="1"/>
  <c r="CA137" i="116"/>
  <c r="CR137" i="116"/>
  <c r="Z125" i="120" s="1"/>
  <c r="CP84" i="116"/>
  <c r="CU84" i="116"/>
  <c r="AC83" i="120" s="1"/>
  <c r="CR26" i="116"/>
  <c r="Z25" i="120" s="1"/>
  <c r="CA26" i="116"/>
  <c r="CK52" i="116"/>
  <c r="CT52" i="116"/>
  <c r="AB51" i="120" s="1"/>
  <c r="CK95" i="116"/>
  <c r="CT95" i="116"/>
  <c r="AB94" i="120" s="1"/>
  <c r="CA29" i="116"/>
  <c r="CR29" i="116"/>
  <c r="Z28" i="120" s="1"/>
  <c r="CK86" i="116"/>
  <c r="CT86" i="116"/>
  <c r="AB85" i="120" s="1"/>
  <c r="CA65" i="116"/>
  <c r="CR65" i="116"/>
  <c r="Z64" i="120" s="1"/>
  <c r="CK34" i="116"/>
  <c r="CT34" i="116"/>
  <c r="AB33" i="120" s="1"/>
  <c r="CK75" i="116"/>
  <c r="CT75" i="116"/>
  <c r="AB74" i="120" s="1"/>
  <c r="CP128" i="116"/>
  <c r="CU128" i="116"/>
  <c r="AC116" i="120" s="1"/>
  <c r="CR139" i="116"/>
  <c r="Z127" i="120" s="1"/>
  <c r="CA139" i="116"/>
  <c r="CR59" i="116"/>
  <c r="Z58" i="120" s="1"/>
  <c r="CA59" i="116"/>
  <c r="CT13" i="116"/>
  <c r="AB12" i="120" s="1"/>
  <c r="CK13" i="116"/>
  <c r="CK56" i="116"/>
  <c r="CT56" i="116"/>
  <c r="AB55" i="120" s="1"/>
  <c r="CP8" i="116"/>
  <c r="CU8" i="116"/>
  <c r="AC7" i="120" s="1"/>
  <c r="CP146" i="116"/>
  <c r="CU146" i="116"/>
  <c r="AC134" i="120" s="1"/>
  <c r="CK36" i="116"/>
  <c r="CT36" i="116"/>
  <c r="AB35" i="120" s="1"/>
  <c r="CP93" i="116"/>
  <c r="CU93" i="116"/>
  <c r="AC92" i="120" s="1"/>
  <c r="CA86" i="116"/>
  <c r="CR86" i="116"/>
  <c r="Z85" i="120" s="1"/>
  <c r="CF141" i="116"/>
  <c r="CS141" i="116"/>
  <c r="AA129" i="120" s="1"/>
  <c r="CA79" i="116"/>
  <c r="CR79" i="116"/>
  <c r="Z78" i="120" s="1"/>
  <c r="CU9" i="116"/>
  <c r="AC8" i="120" s="1"/>
  <c r="CP9" i="116"/>
  <c r="CT45" i="116"/>
  <c r="AB44" i="120" s="1"/>
  <c r="CK45" i="116"/>
  <c r="CP150" i="116"/>
  <c r="CU150" i="116"/>
  <c r="AC138" i="120" s="1"/>
  <c r="CK46" i="116"/>
  <c r="CT46" i="116"/>
  <c r="AB45" i="120" s="1"/>
  <c r="CK127" i="116"/>
  <c r="CT127" i="116"/>
  <c r="AB115" i="120" s="1"/>
  <c r="CA43" i="116"/>
  <c r="CR43" i="116"/>
  <c r="Z42" i="120" s="1"/>
  <c r="CU130" i="116"/>
  <c r="AC118" i="120" s="1"/>
  <c r="CP130" i="116"/>
  <c r="CR51" i="116"/>
  <c r="Z50" i="120" s="1"/>
  <c r="CA51" i="116"/>
  <c r="CS29" i="116"/>
  <c r="AA28" i="120" s="1"/>
  <c r="CF29" i="116"/>
  <c r="CU59" i="116"/>
  <c r="AC58" i="120" s="1"/>
  <c r="CP59" i="116"/>
  <c r="CK16" i="116"/>
  <c r="CT16" i="116"/>
  <c r="AB15" i="120" s="1"/>
  <c r="CP90" i="116"/>
  <c r="CU90" i="116"/>
  <c r="AC89" i="120" s="1"/>
  <c r="CF133" i="116"/>
  <c r="CS133" i="116"/>
  <c r="AA121" i="120" s="1"/>
  <c r="CK53" i="116"/>
  <c r="CT53" i="116"/>
  <c r="AB52" i="120" s="1"/>
  <c r="CA135" i="116"/>
  <c r="CR135" i="116"/>
  <c r="Z123" i="120" s="1"/>
  <c r="CF53" i="116"/>
  <c r="CS53" i="116"/>
  <c r="AA52" i="120" s="1"/>
  <c r="CP96" i="116"/>
  <c r="CU96" i="116"/>
  <c r="AC95" i="120" s="1"/>
  <c r="CF30" i="116"/>
  <c r="CS30" i="116"/>
  <c r="AA29" i="120" s="1"/>
  <c r="CK96" i="116"/>
  <c r="CT96" i="116"/>
  <c r="AB95" i="120" s="1"/>
  <c r="CA30" i="116"/>
  <c r="CR30" i="116"/>
  <c r="Z29" i="120" s="1"/>
  <c r="CF27" i="116"/>
  <c r="CS27" i="116"/>
  <c r="AA26" i="120" s="1"/>
  <c r="CK23" i="116"/>
  <c r="CT23" i="116"/>
  <c r="AB22" i="120" s="1"/>
  <c r="CF35" i="116"/>
  <c r="CS35" i="116"/>
  <c r="AA34" i="120" s="1"/>
  <c r="CR35" i="116"/>
  <c r="Z34" i="120" s="1"/>
  <c r="CA35" i="116"/>
  <c r="CS46" i="116"/>
  <c r="AA45" i="120" s="1"/>
  <c r="CF46" i="116"/>
  <c r="CK157" i="116"/>
  <c r="CT157" i="116"/>
  <c r="AB145" i="120" s="1"/>
  <c r="CK77" i="116"/>
  <c r="CT77" i="116"/>
  <c r="AB76" i="120" s="1"/>
  <c r="CA92" i="116"/>
  <c r="CR92" i="116"/>
  <c r="Z91" i="120" s="1"/>
  <c r="CF77" i="116"/>
  <c r="CS77" i="116"/>
  <c r="AA76" i="120" s="1"/>
  <c r="CA12" i="116"/>
  <c r="CR12" i="116"/>
  <c r="Z11" i="120" s="1"/>
  <c r="CK81" i="116"/>
  <c r="CT81" i="116"/>
  <c r="AB80" i="120" s="1"/>
  <c r="CF19" i="116"/>
  <c r="CS19" i="116"/>
  <c r="AA18" i="120" s="1"/>
  <c r="CF81" i="116"/>
  <c r="CS81" i="116"/>
  <c r="AA80" i="120" s="1"/>
  <c r="CA16" i="116"/>
  <c r="CR16" i="116"/>
  <c r="Z15" i="120" s="1"/>
  <c r="CP119" i="116"/>
  <c r="CU119" i="116"/>
  <c r="AC107" i="120" s="1"/>
  <c r="CK98" i="116"/>
  <c r="CT98" i="116"/>
  <c r="AB97" i="120" s="1"/>
  <c r="CA98" i="116"/>
  <c r="CR98" i="116"/>
  <c r="Z97" i="120" s="1"/>
  <c r="CU101" i="116"/>
  <c r="AC100" i="120" s="1"/>
  <c r="CP101" i="116"/>
  <c r="AW141" i="24"/>
  <c r="L141" i="24" s="1"/>
  <c r="I141" i="24"/>
  <c r="CU132" i="116"/>
  <c r="AC120" i="120" s="1"/>
  <c r="CP132" i="116"/>
  <c r="CA57" i="116"/>
  <c r="CR57" i="116"/>
  <c r="Z56" i="120" s="1"/>
  <c r="CA148" i="116"/>
  <c r="CR148" i="116"/>
  <c r="Z136" i="120" s="1"/>
  <c r="CS50" i="116"/>
  <c r="AA49" i="120" s="1"/>
  <c r="CF50" i="116"/>
  <c r="CP154" i="116"/>
  <c r="CU154" i="116"/>
  <c r="AC142" i="120" s="1"/>
  <c r="CA50" i="116"/>
  <c r="CR50" i="116"/>
  <c r="Z49" i="120" s="1"/>
  <c r="CK58" i="116"/>
  <c r="CT58" i="116"/>
  <c r="AB57" i="120" s="1"/>
  <c r="CP134" i="116"/>
  <c r="CU134" i="116"/>
  <c r="AC122" i="120" s="1"/>
  <c r="CA55" i="116"/>
  <c r="CR55" i="116"/>
  <c r="Z54" i="120" s="1"/>
  <c r="CS42" i="116"/>
  <c r="AA41" i="120" s="1"/>
  <c r="CF42" i="116"/>
  <c r="CP78" i="116"/>
  <c r="CU78" i="116"/>
  <c r="AC77" i="120" s="1"/>
  <c r="CF126" i="116"/>
  <c r="CS126" i="116"/>
  <c r="AA114" i="120" s="1"/>
  <c r="CA23" i="116"/>
  <c r="CR23" i="116"/>
  <c r="Z22" i="120" s="1"/>
  <c r="CA76" i="116"/>
  <c r="CR76" i="116"/>
  <c r="Z75" i="120" s="1"/>
  <c r="CP89" i="116"/>
  <c r="CU89" i="116"/>
  <c r="AC88" i="120" s="1"/>
  <c r="CK136" i="116"/>
  <c r="CT136" i="116"/>
  <c r="AB124" i="120" s="1"/>
  <c r="CK62" i="116"/>
  <c r="CT62" i="116"/>
  <c r="AB61" i="120" s="1"/>
  <c r="CA120" i="116"/>
  <c r="CR120" i="116"/>
  <c r="Z108" i="120" s="1"/>
  <c r="CA66" i="116"/>
  <c r="CR66" i="116"/>
  <c r="Z65" i="120" s="1"/>
  <c r="CU82" i="116"/>
  <c r="AC81" i="120" s="1"/>
  <c r="CP82" i="116"/>
  <c r="CS130" i="116"/>
  <c r="AA118" i="120" s="1"/>
  <c r="CF130" i="116"/>
  <c r="CF82" i="116"/>
  <c r="CS82" i="116"/>
  <c r="AA81" i="120" s="1"/>
  <c r="CF85" i="116"/>
  <c r="CS85" i="116"/>
  <c r="AA84" i="120" s="1"/>
  <c r="CF76" i="116"/>
  <c r="CS76" i="116"/>
  <c r="AA75" i="120" s="1"/>
  <c r="CK26" i="116"/>
  <c r="CT26" i="116"/>
  <c r="AB25" i="120" s="1"/>
  <c r="CU143" i="116"/>
  <c r="AC131" i="120" s="1"/>
  <c r="CP143" i="116"/>
  <c r="CR116" i="116"/>
  <c r="CA116" i="116"/>
  <c r="CT152" i="116"/>
  <c r="AB140" i="120" s="1"/>
  <c r="CK152" i="116"/>
  <c r="CA46" i="116"/>
  <c r="CR46" i="116"/>
  <c r="Z45" i="120" s="1"/>
  <c r="CU23" i="116"/>
  <c r="AC22" i="120" s="1"/>
  <c r="CP23" i="116"/>
  <c r="CS146" i="116"/>
  <c r="AA134" i="120" s="1"/>
  <c r="CF146" i="116"/>
  <c r="CF64" i="116"/>
  <c r="CS64" i="116"/>
  <c r="AA63" i="120" s="1"/>
  <c r="CU70" i="116"/>
  <c r="AC69" i="120" s="1"/>
  <c r="CP70" i="116"/>
  <c r="CS122" i="116"/>
  <c r="AA110" i="120" s="1"/>
  <c r="CF122" i="116"/>
  <c r="CS44" i="116"/>
  <c r="AA43" i="120" s="1"/>
  <c r="CF44" i="116"/>
  <c r="CS91" i="116"/>
  <c r="AA90" i="120" s="1"/>
  <c r="CF91" i="116"/>
  <c r="CK9" i="116"/>
  <c r="CT9" i="116"/>
  <c r="AB8" i="120" s="1"/>
  <c r="CU147" i="116"/>
  <c r="AC135" i="120" s="1"/>
  <c r="CP147" i="116"/>
  <c r="CT18" i="116"/>
  <c r="AB17" i="120" s="1"/>
  <c r="CK18" i="116"/>
  <c r="CP127" i="116"/>
  <c r="CU127" i="116"/>
  <c r="AC115" i="120" s="1"/>
  <c r="CP47" i="116"/>
  <c r="CU47" i="116"/>
  <c r="AC46" i="120" s="1"/>
  <c r="CP157" i="116"/>
  <c r="CU157" i="116"/>
  <c r="AC145" i="120" s="1"/>
  <c r="CP77" i="116"/>
  <c r="CU77" i="116"/>
  <c r="AC76" i="120" s="1"/>
  <c r="CF121" i="116"/>
  <c r="CS121" i="116"/>
  <c r="AA109" i="120" s="1"/>
  <c r="CS41" i="116"/>
  <c r="AA40" i="120" s="1"/>
  <c r="CF41" i="116"/>
  <c r="CR121" i="116"/>
  <c r="Z109" i="120" s="1"/>
  <c r="CA121" i="116"/>
  <c r="CR41" i="116"/>
  <c r="Z40" i="120" s="1"/>
  <c r="CA41" i="116"/>
  <c r="CP75" i="116"/>
  <c r="CU75" i="116"/>
  <c r="AC74" i="120" s="1"/>
  <c r="CP121" i="116"/>
  <c r="CU121" i="116"/>
  <c r="AC109" i="120" s="1"/>
  <c r="CP39" i="116"/>
  <c r="CU39" i="116"/>
  <c r="AC38" i="120" s="1"/>
  <c r="CP151" i="116"/>
  <c r="CU151" i="116"/>
  <c r="AC139" i="120" s="1"/>
  <c r="CK30" i="116"/>
  <c r="CT30" i="116"/>
  <c r="AB29" i="120" s="1"/>
  <c r="CK20" i="116"/>
  <c r="CT20" i="116"/>
  <c r="AB19" i="120" s="1"/>
  <c r="CF84" i="116"/>
  <c r="CS84" i="116"/>
  <c r="AA83" i="120" s="1"/>
  <c r="CP6" i="116"/>
  <c r="CU6" i="116"/>
  <c r="AC5" i="120" s="1"/>
  <c r="CK129" i="116"/>
  <c r="CT129" i="116"/>
  <c r="AB117" i="120" s="1"/>
  <c r="CA36" i="116"/>
  <c r="CR36" i="116"/>
  <c r="Z35" i="120" s="1"/>
  <c r="CF16" i="116"/>
  <c r="CS16" i="116"/>
  <c r="AA15" i="120" s="1"/>
  <c r="CA78" i="116"/>
  <c r="CR78" i="116"/>
  <c r="Z77" i="120" s="1"/>
  <c r="CP57" i="116"/>
  <c r="CU57" i="116"/>
  <c r="AC56" i="120" s="1"/>
  <c r="CT123" i="116"/>
  <c r="AB111" i="120" s="1"/>
  <c r="CK123" i="116"/>
  <c r="CK151" i="116"/>
  <c r="CT151" i="116"/>
  <c r="AB139" i="120" s="1"/>
  <c r="CT71" i="116"/>
  <c r="AB70" i="120" s="1"/>
  <c r="CK71" i="116"/>
  <c r="CF153" i="116"/>
  <c r="CS153" i="116"/>
  <c r="AA141" i="120" s="1"/>
  <c r="CF71" i="116"/>
  <c r="CS71" i="116"/>
  <c r="AA70" i="120" s="1"/>
  <c r="CA6" i="116"/>
  <c r="CR6" i="116"/>
  <c r="Z5" i="120" s="1"/>
  <c r="CT35" i="116"/>
  <c r="AB34" i="120" s="1"/>
  <c r="CK35" i="116"/>
  <c r="CA89" i="116"/>
  <c r="CR89" i="116"/>
  <c r="Z88" i="120" s="1"/>
  <c r="CP14" i="116"/>
  <c r="CU14" i="116"/>
  <c r="AC13" i="120" s="1"/>
  <c r="CT133" i="116"/>
  <c r="AB121" i="120" s="1"/>
  <c r="CK133" i="116"/>
  <c r="CF109" i="116"/>
  <c r="CS109" i="116"/>
  <c r="CF117" i="116"/>
  <c r="CS117" i="116"/>
  <c r="CA100" i="116"/>
  <c r="CR100" i="116"/>
  <c r="Z99" i="120" s="1"/>
  <c r="CA101" i="116"/>
  <c r="CR101" i="116"/>
  <c r="Z100" i="120" s="1"/>
  <c r="AV146" i="24"/>
  <c r="M146" i="24" s="1"/>
  <c r="I146" i="24"/>
  <c r="CK84" i="116"/>
  <c r="CT84" i="116"/>
  <c r="AB83" i="120" s="1"/>
  <c r="CP124" i="116"/>
  <c r="CU124" i="116"/>
  <c r="AC112" i="120" s="1"/>
  <c r="CF23" i="116"/>
  <c r="CS23" i="116"/>
  <c r="AA22" i="120" s="1"/>
  <c r="CA85" i="116"/>
  <c r="CR85" i="116"/>
  <c r="Z84" i="120" s="1"/>
  <c r="CA17" i="116"/>
  <c r="CR17" i="116"/>
  <c r="Z16" i="120" s="1"/>
  <c r="CF78" i="116"/>
  <c r="CS78" i="116"/>
  <c r="AA77" i="120" s="1"/>
  <c r="CU30" i="116"/>
  <c r="AC29" i="120" s="1"/>
  <c r="CP30" i="116"/>
  <c r="CU48" i="116"/>
  <c r="AC47" i="120" s="1"/>
  <c r="CP48" i="116"/>
  <c r="CF21" i="116"/>
  <c r="CS21" i="116"/>
  <c r="AA20" i="120" s="1"/>
  <c r="CF157" i="116"/>
  <c r="CS157" i="116"/>
  <c r="AA145" i="120" s="1"/>
  <c r="CP122" i="116"/>
  <c r="CU122" i="116"/>
  <c r="AC110" i="120" s="1"/>
  <c r="CP42" i="116"/>
  <c r="CU42" i="116"/>
  <c r="AC41" i="120" s="1"/>
  <c r="CF15" i="116"/>
  <c r="CS15" i="116"/>
  <c r="AA14" i="120" s="1"/>
  <c r="CT8" i="116"/>
  <c r="AB7" i="120" s="1"/>
  <c r="CK8" i="116"/>
  <c r="CA69" i="116"/>
  <c r="CR69" i="116"/>
  <c r="Z68" i="120" s="1"/>
  <c r="CT124" i="116"/>
  <c r="AB112" i="120" s="1"/>
  <c r="CK124" i="116"/>
  <c r="CR87" i="116"/>
  <c r="Z86" i="120" s="1"/>
  <c r="CA87" i="116"/>
  <c r="CT76" i="116"/>
  <c r="AB75" i="120" s="1"/>
  <c r="CK76" i="116"/>
  <c r="CS142" i="116"/>
  <c r="AA130" i="120" s="1"/>
  <c r="CF142" i="116"/>
  <c r="CA152" i="116"/>
  <c r="CR152" i="116"/>
  <c r="Z140" i="120" s="1"/>
  <c r="CF59" i="116"/>
  <c r="CS59" i="116"/>
  <c r="AA58" i="120" s="1"/>
  <c r="CR143" i="116"/>
  <c r="Z131" i="120" s="1"/>
  <c r="CA143" i="116"/>
  <c r="CR63" i="116"/>
  <c r="Z62" i="120" s="1"/>
  <c r="CA63" i="116"/>
  <c r="CT27" i="116"/>
  <c r="AB26" i="120" s="1"/>
  <c r="CK27" i="116"/>
  <c r="CT60" i="116"/>
  <c r="AB59" i="120" s="1"/>
  <c r="CK60" i="116"/>
  <c r="CA40" i="116"/>
  <c r="CR40" i="116"/>
  <c r="Z39" i="120" s="1"/>
  <c r="CK130" i="116"/>
  <c r="CT130" i="116"/>
  <c r="AB118" i="120" s="1"/>
  <c r="CF38" i="116"/>
  <c r="CS38" i="116"/>
  <c r="AA37" i="120" s="1"/>
  <c r="CK80" i="116"/>
  <c r="CT80" i="116"/>
  <c r="AB79" i="120" s="1"/>
  <c r="CF6" i="116"/>
  <c r="CS6" i="116"/>
  <c r="AA5" i="120" s="1"/>
  <c r="CF123" i="116"/>
  <c r="CS123" i="116"/>
  <c r="AA111" i="120" s="1"/>
  <c r="CF106" i="116"/>
  <c r="CS106" i="116"/>
  <c r="AA105" i="120" s="1"/>
  <c r="CP34" i="116"/>
  <c r="CU34" i="116"/>
  <c r="AC33" i="120" s="1"/>
  <c r="CP41" i="116"/>
  <c r="CU41" i="116"/>
  <c r="AC40" i="120" s="1"/>
  <c r="CP153" i="116"/>
  <c r="CU153" i="116"/>
  <c r="AC141" i="120" s="1"/>
  <c r="CK43" i="116"/>
  <c r="CT43" i="116"/>
  <c r="AB42" i="120" s="1"/>
  <c r="CA111" i="116"/>
  <c r="CR111" i="116"/>
  <c r="CF37" i="116"/>
  <c r="CS37" i="116"/>
  <c r="AA36" i="120" s="1"/>
  <c r="CA110" i="116"/>
  <c r="CR110" i="116"/>
  <c r="CA37" i="116"/>
  <c r="CR37" i="116"/>
  <c r="Z36" i="120" s="1"/>
  <c r="CT79" i="116"/>
  <c r="AB78" i="120" s="1"/>
  <c r="CK79" i="116"/>
  <c r="CS9" i="116"/>
  <c r="AA8" i="120" s="1"/>
  <c r="CF9" i="116"/>
  <c r="CS79" i="116"/>
  <c r="AA78" i="120" s="1"/>
  <c r="CF79" i="116"/>
  <c r="CR14" i="116"/>
  <c r="Z13" i="120" s="1"/>
  <c r="CA14" i="116"/>
  <c r="CK83" i="116"/>
  <c r="CT83" i="116"/>
  <c r="AB82" i="120" s="1"/>
  <c r="CF12" i="116"/>
  <c r="CS12" i="116"/>
  <c r="AA11" i="120" s="1"/>
  <c r="CF83" i="116"/>
  <c r="CS83" i="116"/>
  <c r="AA82" i="120" s="1"/>
  <c r="CA18" i="116"/>
  <c r="CR18" i="116"/>
  <c r="Z17" i="120" s="1"/>
  <c r="CT141" i="116"/>
  <c r="AB129" i="120" s="1"/>
  <c r="CK141" i="116"/>
  <c r="CT61" i="116"/>
  <c r="AB60" i="120" s="1"/>
  <c r="CK61" i="116"/>
  <c r="CS143" i="116"/>
  <c r="AA131" i="120" s="1"/>
  <c r="CF143" i="116"/>
  <c r="CS61" i="116"/>
  <c r="AA60" i="120" s="1"/>
  <c r="CF61" i="116"/>
  <c r="CP66" i="116"/>
  <c r="CU66" i="116"/>
  <c r="AC65" i="120" s="1"/>
  <c r="CT145" i="116"/>
  <c r="AB133" i="120" s="1"/>
  <c r="CK145" i="116"/>
  <c r="CK65" i="116"/>
  <c r="CT65" i="116"/>
  <c r="AB64" i="120" s="1"/>
  <c r="CF147" i="116"/>
  <c r="CS147" i="116"/>
  <c r="AA135" i="120" s="1"/>
  <c r="CF65" i="116"/>
  <c r="CS65" i="116"/>
  <c r="AA64" i="120" s="1"/>
  <c r="CP7" i="116"/>
  <c r="CU7" i="116"/>
  <c r="AC6" i="120" s="1"/>
  <c r="CF115" i="116"/>
  <c r="CS115" i="116"/>
  <c r="CK117" i="116"/>
  <c r="CT117" i="116"/>
  <c r="CF112" i="116"/>
  <c r="CS112" i="116"/>
  <c r="CF114" i="116"/>
  <c r="CS114" i="116"/>
  <c r="CA136" i="116"/>
  <c r="CR136" i="116"/>
  <c r="Z124" i="120" s="1"/>
  <c r="CK97" i="116"/>
  <c r="CT97" i="116"/>
  <c r="AB96" i="120" s="1"/>
  <c r="CR97" i="116"/>
  <c r="Z96" i="120" s="1"/>
  <c r="CA97" i="116"/>
  <c r="CA77" i="116"/>
  <c r="CR77" i="116"/>
  <c r="Z76" i="120" s="1"/>
  <c r="CA103" i="116"/>
  <c r="CR103" i="116"/>
  <c r="Z102" i="120" s="1"/>
  <c r="CS150" i="116"/>
  <c r="AA138" i="120" s="1"/>
  <c r="CF150" i="116"/>
  <c r="CP120" i="116"/>
  <c r="CU120" i="116"/>
  <c r="AC108" i="120" s="1"/>
  <c r="CP54" i="116"/>
  <c r="CU54" i="116"/>
  <c r="AC53" i="120" s="1"/>
  <c r="CK134" i="116"/>
  <c r="CT134" i="116"/>
  <c r="AB122" i="120" s="1"/>
  <c r="CP37" i="116"/>
  <c r="CU37" i="116"/>
  <c r="AC36" i="120" s="1"/>
  <c r="CA117" i="116"/>
  <c r="CR117" i="116"/>
  <c r="CU38" i="116"/>
  <c r="AC37" i="120" s="1"/>
  <c r="CP38" i="116"/>
  <c r="CP148" i="116"/>
  <c r="CU148" i="116"/>
  <c r="AC136" i="120" s="1"/>
  <c r="CK40" i="116"/>
  <c r="CT40" i="116"/>
  <c r="AB39" i="120" s="1"/>
  <c r="CP95" i="116"/>
  <c r="CU95" i="116"/>
  <c r="AC94" i="120" s="1"/>
  <c r="CR88" i="116"/>
  <c r="Z87" i="120" s="1"/>
  <c r="CA88" i="116"/>
  <c r="CU68" i="116"/>
  <c r="AC67" i="120" s="1"/>
  <c r="CP68" i="116"/>
  <c r="CF120" i="116"/>
  <c r="CS120" i="116"/>
  <c r="AA108" i="120" s="1"/>
  <c r="CF40" i="116"/>
  <c r="CS40" i="116"/>
  <c r="AA39" i="120" s="1"/>
  <c r="CS89" i="116"/>
  <c r="AA88" i="120" s="1"/>
  <c r="CF89" i="116"/>
  <c r="CU65" i="116"/>
  <c r="AC64" i="120" s="1"/>
  <c r="CP65" i="116"/>
  <c r="CF13" i="116"/>
  <c r="CS13" i="116"/>
  <c r="AA12" i="120" s="1"/>
  <c r="CP32" i="116"/>
  <c r="CU32" i="116"/>
  <c r="CP152" i="116"/>
  <c r="CU152" i="116"/>
  <c r="AC140" i="120" s="1"/>
  <c r="CP52" i="116"/>
  <c r="CU52" i="116"/>
  <c r="AC51" i="120" s="1"/>
  <c r="CF66" i="116"/>
  <c r="CS66" i="116"/>
  <c r="AA65" i="120" s="1"/>
  <c r="CA146" i="116"/>
  <c r="CR146" i="116"/>
  <c r="Z134" i="120" s="1"/>
  <c r="CA53" i="116"/>
  <c r="CR53" i="116"/>
  <c r="Z52" i="120" s="1"/>
  <c r="CS60" i="116"/>
  <c r="AA59" i="120" s="1"/>
  <c r="CF60" i="116"/>
  <c r="CP133" i="116"/>
  <c r="CU133" i="116"/>
  <c r="AC121" i="120" s="1"/>
  <c r="CS18" i="116"/>
  <c r="AA17" i="120" s="1"/>
  <c r="CF18" i="116"/>
  <c r="CK87" i="116"/>
  <c r="CT87" i="116"/>
  <c r="AB86" i="120" s="1"/>
  <c r="CF134" i="116"/>
  <c r="CS134" i="116"/>
  <c r="AA122" i="120" s="1"/>
  <c r="CR114" i="116"/>
  <c r="CA114" i="116"/>
  <c r="CP60" i="116"/>
  <c r="CU60" i="116"/>
  <c r="AC59" i="120" s="1"/>
  <c r="CK70" i="116"/>
  <c r="CT70" i="116"/>
  <c r="AB69" i="120" s="1"/>
  <c r="CA130" i="116"/>
  <c r="CR130" i="116"/>
  <c r="Z118" i="120" s="1"/>
  <c r="CA142" i="116"/>
  <c r="CR142" i="116"/>
  <c r="Z130" i="120" s="1"/>
  <c r="CP144" i="116"/>
  <c r="CU144" i="116"/>
  <c r="AC132" i="120" s="1"/>
  <c r="CK29" i="116"/>
  <c r="CT29" i="116"/>
  <c r="AB28" i="120" s="1"/>
  <c r="CK91" i="116"/>
  <c r="CT91" i="116"/>
  <c r="AB90" i="120" s="1"/>
  <c r="CF156" i="116"/>
  <c r="CS156" i="116"/>
  <c r="AA144" i="120" s="1"/>
  <c r="CF74" i="116"/>
  <c r="CS74" i="116"/>
  <c r="AA73" i="120" s="1"/>
  <c r="CP10" i="116"/>
  <c r="CU10" i="116"/>
  <c r="AC9" i="120" s="1"/>
  <c r="CK131" i="116"/>
  <c r="CT131" i="116"/>
  <c r="AB119" i="120" s="1"/>
  <c r="CF103" i="116"/>
  <c r="CS103" i="116"/>
  <c r="AA102" i="120" s="1"/>
  <c r="CU22" i="116"/>
  <c r="AC21" i="120" s="1"/>
  <c r="CP22" i="116"/>
  <c r="CP141" i="116"/>
  <c r="CU141" i="116"/>
  <c r="AC129" i="120" s="1"/>
  <c r="CF8" i="116"/>
  <c r="CS8" i="116"/>
  <c r="AA7" i="120" s="1"/>
  <c r="CK90" i="116"/>
  <c r="CT90" i="116"/>
  <c r="AB89" i="120" s="1"/>
  <c r="CF24" i="116"/>
  <c r="CS24" i="116"/>
  <c r="AA23" i="120" s="1"/>
  <c r="CF90" i="116"/>
  <c r="CS90" i="116"/>
  <c r="AA89" i="120" s="1"/>
  <c r="CA24" i="116"/>
  <c r="CR24" i="116"/>
  <c r="Z23" i="120" s="1"/>
  <c r="CR48" i="116"/>
  <c r="Z47" i="120" s="1"/>
  <c r="CA48" i="116"/>
  <c r="CT39" i="116"/>
  <c r="AB38" i="120" s="1"/>
  <c r="CK39" i="116"/>
  <c r="CR91" i="116"/>
  <c r="Z90" i="120" s="1"/>
  <c r="CA91" i="116"/>
  <c r="CU16" i="116"/>
  <c r="AC15" i="120" s="1"/>
  <c r="CP16" i="116"/>
  <c r="CT135" i="116"/>
  <c r="AB123" i="120" s="1"/>
  <c r="CK135" i="116"/>
  <c r="CR150" i="116"/>
  <c r="Z138" i="120" s="1"/>
  <c r="CA150" i="116"/>
  <c r="CR68" i="116"/>
  <c r="Z67" i="120" s="1"/>
  <c r="CA68" i="116"/>
  <c r="CT37" i="116"/>
  <c r="AB36" i="120" s="1"/>
  <c r="CK37" i="116"/>
  <c r="CR105" i="116"/>
  <c r="Z104" i="120" s="1"/>
  <c r="CA105" i="116"/>
  <c r="CT31" i="116"/>
  <c r="AB30" i="120" s="1"/>
  <c r="CK31" i="116"/>
  <c r="CA19" i="116"/>
  <c r="CR19" i="116"/>
  <c r="Z18" i="120" s="1"/>
  <c r="CA144" i="116"/>
  <c r="CR144" i="116"/>
  <c r="Z132" i="120" s="1"/>
  <c r="CA62" i="116"/>
  <c r="CR62" i="116"/>
  <c r="Z61" i="120" s="1"/>
  <c r="CK24" i="116"/>
  <c r="CT24" i="116"/>
  <c r="AB23" i="120" s="1"/>
  <c r="CA93" i="116"/>
  <c r="CR93" i="116"/>
  <c r="Z92" i="120" s="1"/>
  <c r="CF135" i="116"/>
  <c r="CS135" i="116"/>
  <c r="AA123" i="120" s="1"/>
  <c r="CK55" i="116"/>
  <c r="CT55" i="116"/>
  <c r="AB54" i="120" s="1"/>
  <c r="CF137" i="116"/>
  <c r="CS137" i="116"/>
  <c r="AA125" i="120" s="1"/>
  <c r="CS55" i="116"/>
  <c r="AA54" i="120" s="1"/>
  <c r="CF55" i="116"/>
  <c r="CA154" i="116"/>
  <c r="CR154" i="116"/>
  <c r="Z142" i="120" s="1"/>
  <c r="CA72" i="116"/>
  <c r="CR72" i="116"/>
  <c r="Z71" i="120" s="1"/>
  <c r="CK47" i="116"/>
  <c r="CT47" i="116"/>
  <c r="AB46" i="120" s="1"/>
  <c r="CA112" i="116"/>
  <c r="CR112" i="116"/>
  <c r="CK108" i="116"/>
  <c r="CT108" i="116"/>
  <c r="CF116" i="116"/>
  <c r="CS116" i="116"/>
  <c r="CP117" i="116"/>
  <c r="CU117" i="116"/>
  <c r="CF118" i="116"/>
  <c r="CS118" i="116"/>
  <c r="CP49" i="116"/>
  <c r="CU49" i="116"/>
  <c r="AC48" i="120" s="1"/>
  <c r="CS102" i="116"/>
  <c r="AA101" i="120" s="1"/>
  <c r="CF102" i="116"/>
  <c r="CK101" i="116"/>
  <c r="CT101" i="116"/>
  <c r="AB100" i="120" s="1"/>
  <c r="CA99" i="116"/>
  <c r="CR99" i="116"/>
  <c r="Z98" i="120" s="1"/>
  <c r="CP99" i="116"/>
  <c r="CU99" i="116"/>
  <c r="AC98" i="120" s="1"/>
  <c r="AH125" i="26"/>
  <c r="CK112" i="116"/>
  <c r="CT112" i="116"/>
  <c r="CK111" i="116"/>
  <c r="CT111" i="116"/>
  <c r="CK114" i="116"/>
  <c r="CT114" i="116"/>
  <c r="CK113" i="116"/>
  <c r="CT113" i="116"/>
  <c r="CK110" i="116"/>
  <c r="CT110" i="116"/>
  <c r="CK115" i="116"/>
  <c r="CT115" i="116"/>
  <c r="CK118" i="116"/>
  <c r="CT118" i="116"/>
  <c r="CL115" i="116"/>
  <c r="AC104" i="110"/>
  <c r="R103" i="118"/>
  <c r="V103" i="118" s="1"/>
  <c r="CH111" i="116"/>
  <c r="N99" i="118"/>
  <c r="CL108" i="116"/>
  <c r="AC97" i="110"/>
  <c r="R96" i="118"/>
  <c r="V96" i="118" s="1"/>
  <c r="CL109" i="116"/>
  <c r="AC98" i="110"/>
  <c r="R97" i="118"/>
  <c r="V97" i="118" s="1"/>
  <c r="CH114" i="116"/>
  <c r="N102" i="118"/>
  <c r="CL110" i="116"/>
  <c r="AC99" i="110"/>
  <c r="R98" i="118"/>
  <c r="V98" i="118" s="1"/>
  <c r="CH113" i="116"/>
  <c r="N101" i="118"/>
  <c r="CL111" i="116"/>
  <c r="AC100" i="110"/>
  <c r="R99" i="118"/>
  <c r="V99" i="118" s="1"/>
  <c r="CH110" i="116"/>
  <c r="N98" i="118"/>
  <c r="CG109" i="116"/>
  <c r="U98" i="110"/>
  <c r="M97" i="118"/>
  <c r="Q97" i="118" s="1"/>
  <c r="CL112" i="116"/>
  <c r="AC101" i="110"/>
  <c r="R100" i="118"/>
  <c r="V100" i="118" s="1"/>
  <c r="CH115" i="116"/>
  <c r="N103" i="118"/>
  <c r="CL113" i="116"/>
  <c r="AC102" i="110"/>
  <c r="R101" i="118"/>
  <c r="V101" i="118" s="1"/>
  <c r="CH118" i="116"/>
  <c r="N106" i="118"/>
  <c r="CL114" i="116"/>
  <c r="AC103" i="110"/>
  <c r="R102" i="118"/>
  <c r="V102" i="118" s="1"/>
  <c r="CH112" i="116"/>
  <c r="N100" i="118"/>
  <c r="AX110" i="24"/>
  <c r="R110" i="24" s="1"/>
  <c r="AQ53" i="116"/>
  <c r="R52" i="70"/>
  <c r="Q131" i="24"/>
  <c r="Q34" i="24"/>
  <c r="AB27" i="113"/>
  <c r="AB15" i="113"/>
  <c r="AH113" i="26"/>
  <c r="Z113" i="24"/>
  <c r="C113" i="24" s="1"/>
  <c r="D113" i="24" s="1"/>
  <c r="AH101" i="26"/>
  <c r="AH37" i="26"/>
  <c r="AH123" i="26"/>
  <c r="AH59" i="26"/>
  <c r="AH114" i="26"/>
  <c r="AH50" i="26"/>
  <c r="AH105" i="26"/>
  <c r="AH80" i="26"/>
  <c r="AH17" i="26"/>
  <c r="AH86" i="26"/>
  <c r="AH22" i="26"/>
  <c r="AH61" i="26"/>
  <c r="AG61" i="26" s="1"/>
  <c r="AE61" i="26" s="1"/>
  <c r="AC61" i="26" s="1"/>
  <c r="AD61" i="26" s="1"/>
  <c r="AH83" i="26"/>
  <c r="AH138" i="26"/>
  <c r="AH74" i="26"/>
  <c r="AH11" i="26"/>
  <c r="AH104" i="26"/>
  <c r="AH40" i="26"/>
  <c r="AH110" i="26"/>
  <c r="AH46" i="26"/>
  <c r="AH102" i="26"/>
  <c r="AH38" i="26"/>
  <c r="AH85" i="26"/>
  <c r="AH21" i="26"/>
  <c r="AH107" i="26"/>
  <c r="AH43" i="26"/>
  <c r="AH98" i="26"/>
  <c r="AH34" i="26"/>
  <c r="AG34" i="26" s="1"/>
  <c r="AE34" i="26" s="1"/>
  <c r="AC34" i="26" s="1"/>
  <c r="AD34" i="26" s="1"/>
  <c r="AH128" i="26"/>
  <c r="AG128" i="26" s="1"/>
  <c r="AE128" i="26" s="1"/>
  <c r="AC128" i="26" s="1"/>
  <c r="AD128" i="26" s="1"/>
  <c r="AH64" i="26"/>
  <c r="AG64" i="26" s="1"/>
  <c r="AE64" i="26" s="1"/>
  <c r="AC64" i="26" s="1"/>
  <c r="AD64" i="26" s="1"/>
  <c r="AH134" i="26"/>
  <c r="AH70" i="26"/>
  <c r="AH7" i="26"/>
  <c r="AH33" i="26"/>
  <c r="AH30" i="26"/>
  <c r="AH78" i="26"/>
  <c r="AH15" i="26"/>
  <c r="AH41" i="26"/>
  <c r="AH53" i="26"/>
  <c r="AG53" i="26" s="1"/>
  <c r="AE53" i="26" s="1"/>
  <c r="AC53" i="26" s="1"/>
  <c r="AD53" i="26" s="1"/>
  <c r="AH139" i="26"/>
  <c r="AG139" i="26" s="1"/>
  <c r="AE139" i="26" s="1"/>
  <c r="AC139" i="26" s="1"/>
  <c r="AD139" i="26" s="1"/>
  <c r="AH75" i="26"/>
  <c r="AH12" i="26"/>
  <c r="AH130" i="26"/>
  <c r="AH66" i="26"/>
  <c r="AH137" i="26"/>
  <c r="AH96" i="26"/>
  <c r="AH32" i="26"/>
  <c r="AG32" i="26" s="1"/>
  <c r="AE32" i="26" s="1"/>
  <c r="AC32" i="26" s="1"/>
  <c r="AD32" i="26" s="1"/>
  <c r="AH25" i="26"/>
  <c r="AH69" i="26"/>
  <c r="AG69" i="26" s="1"/>
  <c r="AE69" i="26" s="1"/>
  <c r="AC69" i="26" s="1"/>
  <c r="AD69" i="26" s="1"/>
  <c r="AH6" i="26"/>
  <c r="AH91" i="26"/>
  <c r="AH27" i="26"/>
  <c r="AH82" i="26"/>
  <c r="AH19" i="26"/>
  <c r="AH49" i="26"/>
  <c r="AH112" i="26"/>
  <c r="AH48" i="26"/>
  <c r="AH119" i="26"/>
  <c r="AH55" i="26"/>
  <c r="AH118" i="26"/>
  <c r="AH54" i="26"/>
  <c r="AH10" i="26"/>
  <c r="AH109" i="26"/>
  <c r="AH45" i="26"/>
  <c r="AH131" i="26"/>
  <c r="AH67" i="26"/>
  <c r="AH122" i="26"/>
  <c r="AH58" i="26"/>
  <c r="AH121" i="26"/>
  <c r="AH108" i="26"/>
  <c r="AH88" i="26"/>
  <c r="AH24" i="26"/>
  <c r="AH94" i="26"/>
  <c r="AH93" i="26"/>
  <c r="AH29" i="26"/>
  <c r="AH115" i="26"/>
  <c r="AH51" i="26"/>
  <c r="AH106" i="26"/>
  <c r="AH42" i="26"/>
  <c r="AH136" i="26"/>
  <c r="AH72" i="26"/>
  <c r="AH9" i="26"/>
  <c r="AH65" i="26"/>
  <c r="AH13" i="26"/>
  <c r="AH133" i="26"/>
  <c r="AH111" i="26"/>
  <c r="AH47" i="26"/>
  <c r="AH132" i="26"/>
  <c r="AH18" i="26"/>
  <c r="AH124" i="26"/>
  <c r="AH103" i="26"/>
  <c r="AH39" i="26"/>
  <c r="AH117" i="26"/>
  <c r="AH100" i="26"/>
  <c r="AH95" i="26"/>
  <c r="AH31" i="26"/>
  <c r="AH116" i="26"/>
  <c r="AH92" i="26"/>
  <c r="AH76" i="26"/>
  <c r="AH87" i="26"/>
  <c r="AH23" i="26"/>
  <c r="AH84" i="26"/>
  <c r="AH97" i="26"/>
  <c r="AH68" i="26"/>
  <c r="AH89" i="26"/>
  <c r="AH52" i="26"/>
  <c r="AH79" i="26"/>
  <c r="AG79" i="26" s="1"/>
  <c r="AE79" i="26" s="1"/>
  <c r="AC79" i="26" s="1"/>
  <c r="AD79" i="26" s="1"/>
  <c r="AH16" i="26"/>
  <c r="AH60" i="26"/>
  <c r="AG60" i="26" s="1"/>
  <c r="AE60" i="26" s="1"/>
  <c r="AC60" i="26" s="1"/>
  <c r="AD60" i="26" s="1"/>
  <c r="AH81" i="26"/>
  <c r="AH44" i="26"/>
  <c r="AG44" i="26" s="1"/>
  <c r="AE44" i="26" s="1"/>
  <c r="AC44" i="26" s="1"/>
  <c r="AD44" i="26" s="1"/>
  <c r="AH73" i="26"/>
  <c r="AH135" i="26"/>
  <c r="AH71" i="26"/>
  <c r="AH77" i="26"/>
  <c r="AG77" i="26" s="1"/>
  <c r="AH14" i="26"/>
  <c r="AH99" i="26"/>
  <c r="AH35" i="26"/>
  <c r="AG35" i="26" s="1"/>
  <c r="AE35" i="26" s="1"/>
  <c r="AC35" i="26" s="1"/>
  <c r="AD35" i="26" s="1"/>
  <c r="AH90" i="26"/>
  <c r="AH26" i="26"/>
  <c r="AH36" i="26"/>
  <c r="AH28" i="26"/>
  <c r="AH57" i="26"/>
  <c r="AH120" i="26"/>
  <c r="AH56" i="26"/>
  <c r="AH8" i="26"/>
  <c r="AH127" i="26"/>
  <c r="AH63" i="26"/>
  <c r="AG63" i="26" s="1"/>
  <c r="AE63" i="26" s="1"/>
  <c r="AC63" i="26" s="1"/>
  <c r="AD63" i="26" s="1"/>
  <c r="AH126" i="26"/>
  <c r="AH62" i="26"/>
  <c r="C35" i="73"/>
  <c r="D35" i="73"/>
  <c r="C102" i="73"/>
  <c r="K102" i="97" s="1"/>
  <c r="D102" i="73"/>
  <c r="L102" i="97" s="1"/>
  <c r="C10" i="73"/>
  <c r="D10" i="73"/>
  <c r="C32" i="73"/>
  <c r="D32" i="73"/>
  <c r="C33" i="73"/>
  <c r="D33" i="73"/>
  <c r="C37" i="73"/>
  <c r="D37" i="73"/>
  <c r="C77" i="73"/>
  <c r="D77" i="73"/>
  <c r="C71" i="73"/>
  <c r="D71" i="73"/>
  <c r="C138" i="73"/>
  <c r="K138" i="97" s="1"/>
  <c r="D138" i="73"/>
  <c r="L138" i="97" s="1"/>
  <c r="D9" i="73"/>
  <c r="C9" i="73"/>
  <c r="C18" i="73"/>
  <c r="D18" i="73"/>
  <c r="D34" i="73"/>
  <c r="C34" i="73"/>
  <c r="C81" i="73"/>
  <c r="D81" i="73"/>
  <c r="C36" i="73"/>
  <c r="D36" i="73"/>
  <c r="D121" i="73"/>
  <c r="L121" i="97" s="1"/>
  <c r="C121" i="73"/>
  <c r="K121" i="97" s="1"/>
  <c r="C80" i="73"/>
  <c r="D80" i="73"/>
  <c r="C11" i="73"/>
  <c r="D11" i="73"/>
  <c r="C128" i="73"/>
  <c r="K128" i="97" s="1"/>
  <c r="D128" i="73"/>
  <c r="L128" i="97" s="1"/>
  <c r="C22" i="73"/>
  <c r="D22" i="73"/>
  <c r="C122" i="73"/>
  <c r="K122" i="97" s="1"/>
  <c r="D122" i="73"/>
  <c r="L122" i="97" s="1"/>
  <c r="C13" i="73"/>
  <c r="D13" i="73"/>
  <c r="C72" i="73"/>
  <c r="D72" i="73"/>
  <c r="D141" i="73"/>
  <c r="L141" i="97" s="1"/>
  <c r="C141" i="73"/>
  <c r="K141" i="97" s="1"/>
  <c r="G133" i="18"/>
  <c r="L134" i="17" s="1"/>
  <c r="D133" i="18"/>
  <c r="J134" i="17" s="1"/>
  <c r="E133" i="18"/>
  <c r="K134" i="17" s="1"/>
  <c r="H133" i="18"/>
  <c r="M134" i="17" s="1"/>
  <c r="E128" i="18"/>
  <c r="H128" i="18"/>
  <c r="G128" i="18"/>
  <c r="M124" i="15" s="1"/>
  <c r="D128" i="18"/>
  <c r="J129" i="17" s="1"/>
  <c r="E85" i="18"/>
  <c r="K86" i="17" s="1"/>
  <c r="D85" i="18"/>
  <c r="J86" i="17" s="1"/>
  <c r="G85" i="18"/>
  <c r="M86" i="15" s="1"/>
  <c r="H85" i="18"/>
  <c r="M86" i="17" s="1"/>
  <c r="E143" i="18"/>
  <c r="C143" i="18" s="1"/>
  <c r="H143" i="18"/>
  <c r="M144" i="17" s="1"/>
  <c r="G143" i="18"/>
  <c r="L144" i="17" s="1"/>
  <c r="E79" i="18"/>
  <c r="L80" i="15" s="1"/>
  <c r="D79" i="18"/>
  <c r="K80" i="15" s="1"/>
  <c r="G79" i="18"/>
  <c r="M80" i="15" s="1"/>
  <c r="H79" i="18"/>
  <c r="N80" i="15" s="1"/>
  <c r="H15" i="18"/>
  <c r="M16" i="17" s="1"/>
  <c r="H16" i="17" s="1"/>
  <c r="F17" i="98" s="1"/>
  <c r="D15" i="18"/>
  <c r="K17" i="15" s="1"/>
  <c r="C17" i="15" s="1"/>
  <c r="E15" i="18"/>
  <c r="K16" i="17" s="1"/>
  <c r="E16" i="17" s="1"/>
  <c r="D17" i="98" s="1"/>
  <c r="G15" i="18"/>
  <c r="E94" i="18"/>
  <c r="L95" i="15" s="1"/>
  <c r="H94" i="18"/>
  <c r="N95" i="15" s="1"/>
  <c r="D94" i="18"/>
  <c r="K95" i="15" s="1"/>
  <c r="G94" i="18"/>
  <c r="L95" i="17" s="1"/>
  <c r="D30" i="18"/>
  <c r="K31" i="15" s="1"/>
  <c r="C31" i="15" s="1"/>
  <c r="G30" i="18"/>
  <c r="M31" i="15" s="1"/>
  <c r="F31" i="15" s="1"/>
  <c r="E30" i="18"/>
  <c r="L31" i="15" s="1"/>
  <c r="D31" i="15" s="1"/>
  <c r="H30" i="18"/>
  <c r="N31" i="15" s="1"/>
  <c r="G31" i="15" s="1"/>
  <c r="H108" i="18"/>
  <c r="N104" i="15" s="1"/>
  <c r="G104" i="15" s="1"/>
  <c r="L103" i="82" s="1"/>
  <c r="E108" i="18"/>
  <c r="L104" i="15" s="1"/>
  <c r="G108" i="18"/>
  <c r="D108" i="18"/>
  <c r="K104" i="15" s="1"/>
  <c r="C104" i="15" s="1"/>
  <c r="E44" i="18"/>
  <c r="L45" i="15" s="1"/>
  <c r="D45" i="15" s="1"/>
  <c r="G44" i="18"/>
  <c r="L45" i="17" s="1"/>
  <c r="H44" i="18"/>
  <c r="M45" i="17" s="1"/>
  <c r="D44" i="18"/>
  <c r="K45" i="15" s="1"/>
  <c r="C45" i="15" s="1"/>
  <c r="G131" i="18"/>
  <c r="L132" i="17" s="1"/>
  <c r="D131" i="18"/>
  <c r="J132" i="17" s="1"/>
  <c r="E131" i="18"/>
  <c r="K132" i="17" s="1"/>
  <c r="H131" i="18"/>
  <c r="M132" i="17" s="1"/>
  <c r="H67" i="18"/>
  <c r="N68" i="15" s="1"/>
  <c r="G68" i="15" s="1"/>
  <c r="D67" i="18"/>
  <c r="J68" i="17" s="1"/>
  <c r="E67" i="18"/>
  <c r="K68" i="17" s="1"/>
  <c r="G67" i="18"/>
  <c r="L68" i="17" s="1"/>
  <c r="D53" i="18"/>
  <c r="J54" i="17" s="1"/>
  <c r="G53" i="18"/>
  <c r="M54" i="15" s="1"/>
  <c r="F54" i="15" s="1"/>
  <c r="E53" i="18"/>
  <c r="K54" i="17" s="1"/>
  <c r="H53" i="18"/>
  <c r="M54" i="17" s="1"/>
  <c r="D98" i="18"/>
  <c r="J99" i="17" s="1"/>
  <c r="G98" i="18"/>
  <c r="M99" i="15" s="1"/>
  <c r="F99" i="15" s="1"/>
  <c r="H99" i="15" s="1"/>
  <c r="D34" i="18"/>
  <c r="J35" i="17" s="1"/>
  <c r="E34" i="18"/>
  <c r="L35" i="15" s="1"/>
  <c r="G34" i="18"/>
  <c r="L35" i="17" s="1"/>
  <c r="H34" i="18"/>
  <c r="M35" i="17" s="1"/>
  <c r="H121" i="18"/>
  <c r="M122" i="17" s="1"/>
  <c r="D121" i="18"/>
  <c r="J122" i="17" s="1"/>
  <c r="E121" i="18"/>
  <c r="K122" i="17" s="1"/>
  <c r="G121" i="18"/>
  <c r="L122" i="17" s="1"/>
  <c r="D57" i="18"/>
  <c r="K58" i="15" s="1"/>
  <c r="E57" i="18"/>
  <c r="L58" i="15" s="1"/>
  <c r="G57" i="18"/>
  <c r="M58" i="15" s="1"/>
  <c r="H57" i="18"/>
  <c r="N58" i="15" s="1"/>
  <c r="E101" i="18"/>
  <c r="L102" i="15" s="1"/>
  <c r="D101" i="18"/>
  <c r="J102" i="17" s="1"/>
  <c r="G101" i="18"/>
  <c r="L102" i="17" s="1"/>
  <c r="H101" i="18"/>
  <c r="N102" i="15" s="1"/>
  <c r="D96" i="18"/>
  <c r="J97" i="17" s="1"/>
  <c r="G96" i="18"/>
  <c r="L97" i="17" s="1"/>
  <c r="E45" i="18"/>
  <c r="L46" i="15" s="1"/>
  <c r="D45" i="18"/>
  <c r="K46" i="15" s="1"/>
  <c r="G45" i="18"/>
  <c r="M46" i="15" s="1"/>
  <c r="H45" i="18"/>
  <c r="M46" i="17" s="1"/>
  <c r="G135" i="18"/>
  <c r="L136" i="17" s="1"/>
  <c r="D135" i="18"/>
  <c r="J136" i="17" s="1"/>
  <c r="E135" i="18"/>
  <c r="K136" i="17" s="1"/>
  <c r="H135" i="18"/>
  <c r="M136" i="17" s="1"/>
  <c r="H71" i="18"/>
  <c r="M72" i="17" s="1"/>
  <c r="G71" i="18"/>
  <c r="L72" i="17" s="1"/>
  <c r="D71" i="18"/>
  <c r="J72" i="17" s="1"/>
  <c r="E71" i="18"/>
  <c r="K72" i="17" s="1"/>
  <c r="E7" i="18"/>
  <c r="D7" i="18"/>
  <c r="H7" i="18"/>
  <c r="M9" i="98" s="1"/>
  <c r="AS6" i="120" s="1"/>
  <c r="G7" i="18"/>
  <c r="M9" i="15" s="1"/>
  <c r="F9" i="15" s="1"/>
  <c r="D86" i="18"/>
  <c r="K87" i="15" s="1"/>
  <c r="E86" i="18"/>
  <c r="L87" i="15" s="1"/>
  <c r="G86" i="18"/>
  <c r="L87" i="17" s="1"/>
  <c r="H86" i="18"/>
  <c r="N87" i="15" s="1"/>
  <c r="D22" i="18"/>
  <c r="E22" i="18"/>
  <c r="K24" i="98" s="1"/>
  <c r="AI21" i="120" s="1"/>
  <c r="G22" i="18"/>
  <c r="L24" i="98" s="1"/>
  <c r="AP21" i="120" s="1"/>
  <c r="H22" i="18"/>
  <c r="M23" i="17" s="1"/>
  <c r="H23" i="17" s="1"/>
  <c r="F24" i="98" s="1"/>
  <c r="D100" i="18"/>
  <c r="K101" i="15" s="1"/>
  <c r="E100" i="18"/>
  <c r="K102" i="98" s="1"/>
  <c r="AI100" i="120" s="1"/>
  <c r="G100" i="18"/>
  <c r="L101" i="17" s="1"/>
  <c r="H100" i="18"/>
  <c r="N101" i="15" s="1"/>
  <c r="D36" i="18"/>
  <c r="K37" i="15" s="1"/>
  <c r="C37" i="15" s="1"/>
  <c r="G36" i="18"/>
  <c r="L37" i="17" s="1"/>
  <c r="E36" i="18"/>
  <c r="K37" i="17" s="1"/>
  <c r="H36" i="18"/>
  <c r="N37" i="15" s="1"/>
  <c r="G37" i="15" s="1"/>
  <c r="D123" i="18"/>
  <c r="D124" i="17" s="1"/>
  <c r="C120" i="98" s="1"/>
  <c r="E123" i="18"/>
  <c r="L119" i="15" s="1"/>
  <c r="G123" i="18"/>
  <c r="G124" i="17" s="1"/>
  <c r="E120" i="98" s="1"/>
  <c r="H123" i="18"/>
  <c r="N119" i="15" s="1"/>
  <c r="D59" i="18"/>
  <c r="K60" i="15" s="1"/>
  <c r="C60" i="15" s="1"/>
  <c r="E59" i="18"/>
  <c r="L60" i="15" s="1"/>
  <c r="D60" i="15" s="1"/>
  <c r="G59" i="18"/>
  <c r="M60" i="15" s="1"/>
  <c r="F60" i="15" s="1"/>
  <c r="H59" i="18"/>
  <c r="M60" i="17" s="1"/>
  <c r="D29" i="18"/>
  <c r="E29" i="18"/>
  <c r="L30" i="15" s="1"/>
  <c r="D30" i="15" s="1"/>
  <c r="G29" i="18"/>
  <c r="H29" i="18"/>
  <c r="E90" i="18"/>
  <c r="L91" i="15" s="1"/>
  <c r="D91" i="15" s="1"/>
  <c r="H90" i="18"/>
  <c r="N91" i="15" s="1"/>
  <c r="G91" i="15" s="1"/>
  <c r="G90" i="18"/>
  <c r="M91" i="15" s="1"/>
  <c r="F91" i="15" s="1"/>
  <c r="D90" i="18"/>
  <c r="K91" i="15" s="1"/>
  <c r="C91" i="15" s="1"/>
  <c r="G26" i="18"/>
  <c r="D26" i="18"/>
  <c r="H26" i="18"/>
  <c r="E26" i="18"/>
  <c r="L27" i="15" s="1"/>
  <c r="D27" i="15" s="1"/>
  <c r="E113" i="18"/>
  <c r="L109" i="15" s="1"/>
  <c r="H113" i="18"/>
  <c r="G113" i="18"/>
  <c r="M109" i="15" s="1"/>
  <c r="D113" i="18"/>
  <c r="J114" i="17" s="1"/>
  <c r="G49" i="18"/>
  <c r="M50" i="15" s="1"/>
  <c r="F50" i="15" s="1"/>
  <c r="D49" i="18"/>
  <c r="K50" i="15" s="1"/>
  <c r="C50" i="15" s="1"/>
  <c r="H49" i="18"/>
  <c r="N50" i="15" s="1"/>
  <c r="G50" i="15" s="1"/>
  <c r="E49" i="18"/>
  <c r="L50" i="15" s="1"/>
  <c r="D50" i="15" s="1"/>
  <c r="G69" i="18"/>
  <c r="M70" i="15" s="1"/>
  <c r="F70" i="15" s="1"/>
  <c r="E69" i="18"/>
  <c r="L70" i="15" s="1"/>
  <c r="D70" i="15" s="1"/>
  <c r="D69" i="18"/>
  <c r="K70" i="15" s="1"/>
  <c r="C70" i="15" s="1"/>
  <c r="H69" i="18"/>
  <c r="M70" i="17" s="1"/>
  <c r="D64" i="18"/>
  <c r="K65" i="15" s="1"/>
  <c r="C65" i="15" s="1"/>
  <c r="E64" i="18"/>
  <c r="L65" i="15" s="1"/>
  <c r="D65" i="15" s="1"/>
  <c r="H64" i="18"/>
  <c r="M65" i="17" s="1"/>
  <c r="G64" i="18"/>
  <c r="M65" i="15" s="1"/>
  <c r="F65" i="15" s="1"/>
  <c r="E141" i="18"/>
  <c r="K142" i="17" s="1"/>
  <c r="H141" i="18"/>
  <c r="M142" i="17" s="1"/>
  <c r="D141" i="18"/>
  <c r="J142" i="17" s="1"/>
  <c r="G141" i="18"/>
  <c r="L142" i="17" s="1"/>
  <c r="H127" i="18"/>
  <c r="M128" i="17" s="1"/>
  <c r="G127" i="18"/>
  <c r="M123" i="15" s="1"/>
  <c r="E127" i="18"/>
  <c r="L123" i="15" s="1"/>
  <c r="D127" i="18"/>
  <c r="J124" i="98" s="1"/>
  <c r="AF127" i="120" s="1"/>
  <c r="AH127" i="120" s="1"/>
  <c r="H63" i="18"/>
  <c r="N64" i="15" s="1"/>
  <c r="G64" i="15" s="1"/>
  <c r="E63" i="18"/>
  <c r="K64" i="17" s="1"/>
  <c r="G63" i="18"/>
  <c r="L64" i="17" s="1"/>
  <c r="D63" i="18"/>
  <c r="J64" i="17" s="1"/>
  <c r="D142" i="18"/>
  <c r="J143" i="17" s="1"/>
  <c r="H142" i="18"/>
  <c r="M143" i="17" s="1"/>
  <c r="G142" i="18"/>
  <c r="L143" i="17" s="1"/>
  <c r="E142" i="18"/>
  <c r="K143" i="17" s="1"/>
  <c r="H78" i="18"/>
  <c r="N79" i="15" s="1"/>
  <c r="G79" i="15" s="1"/>
  <c r="E78" i="18"/>
  <c r="L79" i="15" s="1"/>
  <c r="D79" i="15" s="1"/>
  <c r="G78" i="18"/>
  <c r="M79" i="15" s="1"/>
  <c r="F79" i="15" s="1"/>
  <c r="D78" i="18"/>
  <c r="J79" i="17" s="1"/>
  <c r="E14" i="18"/>
  <c r="L16" i="15" s="1"/>
  <c r="D16" i="15" s="1"/>
  <c r="H14" i="18"/>
  <c r="M15" i="17" s="1"/>
  <c r="H15" i="17" s="1"/>
  <c r="D14" i="18"/>
  <c r="J15" i="17" s="1"/>
  <c r="D15" i="17" s="1"/>
  <c r="C16" i="98" s="1"/>
  <c r="G14" i="18"/>
  <c r="L15" i="17" s="1"/>
  <c r="G15" i="17" s="1"/>
  <c r="E16" i="98" s="1"/>
  <c r="D92" i="18"/>
  <c r="K93" i="15" s="1"/>
  <c r="C93" i="15" s="1"/>
  <c r="H92" i="18"/>
  <c r="M93" i="17" s="1"/>
  <c r="G92" i="18"/>
  <c r="M93" i="15" s="1"/>
  <c r="F93" i="15" s="1"/>
  <c r="E92" i="18"/>
  <c r="L93" i="15" s="1"/>
  <c r="D93" i="15" s="1"/>
  <c r="E28" i="18"/>
  <c r="H28" i="18"/>
  <c r="N29" i="15" s="1"/>
  <c r="G29" i="15" s="1"/>
  <c r="G28" i="18"/>
  <c r="L30" i="98" s="1"/>
  <c r="AP27" i="120" s="1"/>
  <c r="D28" i="18"/>
  <c r="J30" i="98" s="1"/>
  <c r="AF27" i="120" s="1"/>
  <c r="D115" i="18"/>
  <c r="J116" i="17" s="1"/>
  <c r="E115" i="18"/>
  <c r="L111" i="15" s="1"/>
  <c r="G115" i="18"/>
  <c r="M111" i="15" s="1"/>
  <c r="H115" i="18"/>
  <c r="N111" i="15" s="1"/>
  <c r="D51" i="18"/>
  <c r="J52" i="17" s="1"/>
  <c r="E51" i="18"/>
  <c r="K52" i="17" s="1"/>
  <c r="G51" i="18"/>
  <c r="L52" i="17" s="1"/>
  <c r="H51" i="18"/>
  <c r="N52" i="15" s="1"/>
  <c r="G82" i="18"/>
  <c r="L83" i="17" s="1"/>
  <c r="D82" i="18"/>
  <c r="J83" i="17" s="1"/>
  <c r="E82" i="18"/>
  <c r="K83" i="17" s="1"/>
  <c r="H82" i="18"/>
  <c r="M83" i="17" s="1"/>
  <c r="D18" i="18"/>
  <c r="G18" i="18"/>
  <c r="H18" i="18"/>
  <c r="E18" i="18"/>
  <c r="K19" i="17" s="1"/>
  <c r="E19" i="17" s="1"/>
  <c r="D20" i="98" s="1"/>
  <c r="D105" i="18"/>
  <c r="G105" i="18"/>
  <c r="E105" i="18"/>
  <c r="H105" i="18"/>
  <c r="D41" i="18"/>
  <c r="J42" i="17" s="1"/>
  <c r="G41" i="18"/>
  <c r="M42" i="15" s="1"/>
  <c r="F42" i="15" s="1"/>
  <c r="E41" i="18"/>
  <c r="L42" i="15" s="1"/>
  <c r="D42" i="15" s="1"/>
  <c r="H41" i="18"/>
  <c r="M42" i="17" s="1"/>
  <c r="E77" i="18"/>
  <c r="K78" i="17" s="1"/>
  <c r="H77" i="18"/>
  <c r="M78" i="17" s="1"/>
  <c r="D77" i="18"/>
  <c r="J78" i="17" s="1"/>
  <c r="G77" i="18"/>
  <c r="M78" i="15" s="1"/>
  <c r="F78" i="15" s="1"/>
  <c r="D16" i="18"/>
  <c r="J17" i="17" s="1"/>
  <c r="D17" i="17" s="1"/>
  <c r="C18" i="98" s="1"/>
  <c r="E16" i="18"/>
  <c r="K17" i="17" s="1"/>
  <c r="E17" i="17" s="1"/>
  <c r="D18" i="98" s="1"/>
  <c r="G16" i="18"/>
  <c r="H16" i="18"/>
  <c r="M17" i="17" s="1"/>
  <c r="H17" i="17" s="1"/>
  <c r="F18" i="98" s="1"/>
  <c r="E120" i="18"/>
  <c r="K121" i="17" s="1"/>
  <c r="H120" i="18"/>
  <c r="M121" i="17" s="1"/>
  <c r="D120" i="18"/>
  <c r="J121" i="17" s="1"/>
  <c r="G120" i="18"/>
  <c r="L121" i="17" s="1"/>
  <c r="D8" i="18"/>
  <c r="J10" i="98" s="1"/>
  <c r="AF7" i="120" s="1"/>
  <c r="G8" i="18"/>
  <c r="E8" i="18"/>
  <c r="L10" i="15" s="1"/>
  <c r="D10" i="15" s="1"/>
  <c r="H8" i="18"/>
  <c r="M10" i="98" s="1"/>
  <c r="AS7" i="120" s="1"/>
  <c r="E119" i="18"/>
  <c r="L115" i="15" s="1"/>
  <c r="D119" i="18"/>
  <c r="J120" i="17" s="1"/>
  <c r="G119" i="18"/>
  <c r="L120" i="17" s="1"/>
  <c r="H119" i="18"/>
  <c r="M120" i="17" s="1"/>
  <c r="E55" i="18"/>
  <c r="K56" i="17" s="1"/>
  <c r="D55" i="18"/>
  <c r="J56" i="17" s="1"/>
  <c r="G55" i="18"/>
  <c r="L56" i="17" s="1"/>
  <c r="H55" i="18"/>
  <c r="N56" i="15" s="1"/>
  <c r="E134" i="18"/>
  <c r="K135" i="17" s="1"/>
  <c r="D134" i="18"/>
  <c r="J135" i="17" s="1"/>
  <c r="G134" i="18"/>
  <c r="L135" i="17" s="1"/>
  <c r="H134" i="18"/>
  <c r="M135" i="17" s="1"/>
  <c r="E70" i="18"/>
  <c r="K71" i="17" s="1"/>
  <c r="D70" i="18"/>
  <c r="K71" i="15" s="1"/>
  <c r="G70" i="18"/>
  <c r="L71" i="17" s="1"/>
  <c r="H70" i="18"/>
  <c r="M71" i="17" s="1"/>
  <c r="E13" i="18"/>
  <c r="L15" i="15" s="1"/>
  <c r="D15" i="15" s="1"/>
  <c r="H13" i="18"/>
  <c r="D13" i="18"/>
  <c r="K15" i="15" s="1"/>
  <c r="C15" i="15" s="1"/>
  <c r="G13" i="18"/>
  <c r="L14" i="17" s="1"/>
  <c r="G14" i="17" s="1"/>
  <c r="E15" i="98" s="1"/>
  <c r="D84" i="18"/>
  <c r="J85" i="17" s="1"/>
  <c r="E84" i="18"/>
  <c r="K85" i="17" s="1"/>
  <c r="G84" i="18"/>
  <c r="L86" i="98" s="1"/>
  <c r="AP84" i="120" s="1"/>
  <c r="AR84" i="120" s="1"/>
  <c r="H84" i="18"/>
  <c r="M85" i="17" s="1"/>
  <c r="E20" i="18"/>
  <c r="H20" i="18"/>
  <c r="N22" i="15" s="1"/>
  <c r="G22" i="15" s="1"/>
  <c r="D20" i="18"/>
  <c r="J22" i="98" s="1"/>
  <c r="AF19" i="120" s="1"/>
  <c r="G20" i="18"/>
  <c r="L21" i="17" s="1"/>
  <c r="G21" i="17" s="1"/>
  <c r="E22" i="98" s="1"/>
  <c r="D107" i="18"/>
  <c r="J104" i="98" s="1"/>
  <c r="AF107" i="120" s="1"/>
  <c r="G107" i="18"/>
  <c r="L104" i="98" s="1"/>
  <c r="AP107" i="120" s="1"/>
  <c r="E107" i="18"/>
  <c r="L103" i="15" s="1"/>
  <c r="D103" i="15" s="1"/>
  <c r="H107" i="18"/>
  <c r="N103" i="15" s="1"/>
  <c r="G103" i="15" s="1"/>
  <c r="D43" i="18"/>
  <c r="K44" i="15" s="1"/>
  <c r="E43" i="18"/>
  <c r="L44" i="15" s="1"/>
  <c r="G43" i="18"/>
  <c r="L44" i="17" s="1"/>
  <c r="H43" i="18"/>
  <c r="M44" i="17" s="1"/>
  <c r="G138" i="18"/>
  <c r="L139" i="17" s="1"/>
  <c r="E138" i="18"/>
  <c r="C138" i="18" s="1"/>
  <c r="H138" i="18"/>
  <c r="M139" i="17" s="1"/>
  <c r="D74" i="18"/>
  <c r="J75" i="17" s="1"/>
  <c r="G74" i="18"/>
  <c r="M75" i="15" s="1"/>
  <c r="F75" i="15" s="1"/>
  <c r="E74" i="18"/>
  <c r="L75" i="15" s="1"/>
  <c r="D75" i="15" s="1"/>
  <c r="H74" i="18"/>
  <c r="M75" i="17" s="1"/>
  <c r="D10" i="18"/>
  <c r="E10" i="18"/>
  <c r="G10" i="18"/>
  <c r="H10" i="18"/>
  <c r="M11" i="17" s="1"/>
  <c r="H11" i="17" s="1"/>
  <c r="F12" i="98" s="1"/>
  <c r="G97" i="18"/>
  <c r="D97" i="18"/>
  <c r="J98" i="17" s="1"/>
  <c r="D33" i="18"/>
  <c r="J34" i="17" s="1"/>
  <c r="E33" i="18"/>
  <c r="L34" i="15" s="1"/>
  <c r="G33" i="18"/>
  <c r="L34" i="17" s="1"/>
  <c r="H33" i="18"/>
  <c r="M34" i="17" s="1"/>
  <c r="D136" i="18"/>
  <c r="J137" i="17" s="1"/>
  <c r="G136" i="18"/>
  <c r="L137" i="17" s="1"/>
  <c r="H136" i="18"/>
  <c r="M137" i="17" s="1"/>
  <c r="E136" i="18"/>
  <c r="K137" i="17" s="1"/>
  <c r="E125" i="18"/>
  <c r="L121" i="15" s="1"/>
  <c r="D125" i="18"/>
  <c r="J126" i="17" s="1"/>
  <c r="G125" i="18"/>
  <c r="M121" i="15" s="1"/>
  <c r="H125" i="18"/>
  <c r="M126" i="17" s="1"/>
  <c r="E88" i="18"/>
  <c r="K89" i="17" s="1"/>
  <c r="H88" i="18"/>
  <c r="N89" i="15" s="1"/>
  <c r="D88" i="18"/>
  <c r="K89" i="15" s="1"/>
  <c r="G88" i="18"/>
  <c r="L89" i="17" s="1"/>
  <c r="D144" i="18"/>
  <c r="J145" i="17" s="1"/>
  <c r="G144" i="18"/>
  <c r="L145" i="17" s="1"/>
  <c r="E144" i="18"/>
  <c r="K145" i="17" s="1"/>
  <c r="H144" i="18"/>
  <c r="M145" i="17" s="1"/>
  <c r="D111" i="18"/>
  <c r="J108" i="98" s="1"/>
  <c r="AF111" i="120" s="1"/>
  <c r="G111" i="18"/>
  <c r="M107" i="15" s="1"/>
  <c r="F107" i="15" s="1"/>
  <c r="K106" i="82" s="1"/>
  <c r="E111" i="18"/>
  <c r="L107" i="15" s="1"/>
  <c r="H111" i="18"/>
  <c r="N107" i="15" s="1"/>
  <c r="G107" i="15" s="1"/>
  <c r="L106" i="82" s="1"/>
  <c r="G47" i="18"/>
  <c r="M48" i="15" s="1"/>
  <c r="F48" i="15" s="1"/>
  <c r="H47" i="18"/>
  <c r="N48" i="15" s="1"/>
  <c r="G48" i="15" s="1"/>
  <c r="E47" i="18"/>
  <c r="L48" i="15" s="1"/>
  <c r="D48" i="15" s="1"/>
  <c r="D47" i="18"/>
  <c r="K48" i="15" s="1"/>
  <c r="C48" i="15" s="1"/>
  <c r="D126" i="18"/>
  <c r="K122" i="15" s="1"/>
  <c r="E126" i="18"/>
  <c r="K127" i="17" s="1"/>
  <c r="G126" i="18"/>
  <c r="G127" i="17" s="1"/>
  <c r="E123" i="98" s="1"/>
  <c r="H126" i="18"/>
  <c r="N122" i="15" s="1"/>
  <c r="D62" i="18"/>
  <c r="J63" i="17" s="1"/>
  <c r="H62" i="18"/>
  <c r="M63" i="17" s="1"/>
  <c r="E62" i="18"/>
  <c r="K63" i="17" s="1"/>
  <c r="G62" i="18"/>
  <c r="L63" i="17" s="1"/>
  <c r="D140" i="18"/>
  <c r="J141" i="17" s="1"/>
  <c r="E140" i="18"/>
  <c r="K141" i="17" s="1"/>
  <c r="G140" i="18"/>
  <c r="L141" i="17" s="1"/>
  <c r="H140" i="18"/>
  <c r="M141" i="17" s="1"/>
  <c r="D76" i="18"/>
  <c r="J77" i="17" s="1"/>
  <c r="E76" i="18"/>
  <c r="K77" i="17" s="1"/>
  <c r="G76" i="18"/>
  <c r="M77" i="15" s="1"/>
  <c r="H76" i="18"/>
  <c r="M77" i="17" s="1"/>
  <c r="D12" i="18"/>
  <c r="K14" i="15" s="1"/>
  <c r="C14" i="15" s="1"/>
  <c r="E12" i="18"/>
  <c r="K13" i="17" s="1"/>
  <c r="E13" i="17" s="1"/>
  <c r="D14" i="98" s="1"/>
  <c r="G12" i="18"/>
  <c r="L13" i="17" s="1"/>
  <c r="G13" i="17" s="1"/>
  <c r="E14" i="98" s="1"/>
  <c r="H12" i="18"/>
  <c r="G99" i="18"/>
  <c r="L100" i="17" s="1"/>
  <c r="D99" i="18"/>
  <c r="E35" i="18"/>
  <c r="L36" i="15" s="1"/>
  <c r="D35" i="18"/>
  <c r="K36" i="15" s="1"/>
  <c r="G35" i="18"/>
  <c r="L36" i="17" s="1"/>
  <c r="H35" i="18"/>
  <c r="N36" i="15" s="1"/>
  <c r="D130" i="18"/>
  <c r="J131" i="17" s="1"/>
  <c r="G130" i="18"/>
  <c r="L131" i="17" s="1"/>
  <c r="E130" i="18"/>
  <c r="K131" i="17" s="1"/>
  <c r="H130" i="18"/>
  <c r="M131" i="17" s="1"/>
  <c r="E66" i="18"/>
  <c r="L67" i="15" s="1"/>
  <c r="D67" i="15" s="1"/>
  <c r="H66" i="18"/>
  <c r="M67" i="17" s="1"/>
  <c r="D66" i="18"/>
  <c r="J67" i="17" s="1"/>
  <c r="G66" i="18"/>
  <c r="L67" i="17" s="1"/>
  <c r="D37" i="18"/>
  <c r="K38" i="15" s="1"/>
  <c r="C38" i="15" s="1"/>
  <c r="E37" i="18"/>
  <c r="L38" i="15" s="1"/>
  <c r="D38" i="15" s="1"/>
  <c r="G37" i="18"/>
  <c r="L38" i="17" s="1"/>
  <c r="H37" i="18"/>
  <c r="N38" i="15" s="1"/>
  <c r="G38" i="15" s="1"/>
  <c r="D89" i="18"/>
  <c r="K90" i="15" s="1"/>
  <c r="E89" i="18"/>
  <c r="L90" i="15" s="1"/>
  <c r="H89" i="18"/>
  <c r="M90" i="17" s="1"/>
  <c r="G89" i="18"/>
  <c r="L90" i="17" s="1"/>
  <c r="D25" i="18"/>
  <c r="J27" i="98" s="1"/>
  <c r="AF24" i="120" s="1"/>
  <c r="E25" i="18"/>
  <c r="L26" i="15" s="1"/>
  <c r="D26" i="15" s="1"/>
  <c r="G25" i="18"/>
  <c r="L27" i="98" s="1"/>
  <c r="AP24" i="120" s="1"/>
  <c r="H25" i="18"/>
  <c r="M27" i="98" s="1"/>
  <c r="AS24" i="120" s="1"/>
  <c r="D104" i="18"/>
  <c r="G104" i="18"/>
  <c r="E104" i="18"/>
  <c r="H104" i="18"/>
  <c r="H93" i="18"/>
  <c r="M94" i="17" s="1"/>
  <c r="E93" i="18"/>
  <c r="K94" i="17" s="1"/>
  <c r="G93" i="18"/>
  <c r="L94" i="17" s="1"/>
  <c r="D93" i="18"/>
  <c r="J94" i="17" s="1"/>
  <c r="E48" i="18"/>
  <c r="K49" i="17" s="1"/>
  <c r="D48" i="18"/>
  <c r="K49" i="15" s="1"/>
  <c r="C49" i="15" s="1"/>
  <c r="H48" i="18"/>
  <c r="N49" i="15" s="1"/>
  <c r="G49" i="15" s="1"/>
  <c r="G48" i="18"/>
  <c r="M49" i="15" s="1"/>
  <c r="F49" i="15" s="1"/>
  <c r="E112" i="18"/>
  <c r="L108" i="15" s="1"/>
  <c r="D112" i="18"/>
  <c r="D113" i="17" s="1"/>
  <c r="C109" i="98" s="1"/>
  <c r="G112" i="18"/>
  <c r="M108" i="15" s="1"/>
  <c r="H112" i="18"/>
  <c r="N108" i="15" s="1"/>
  <c r="G103" i="18"/>
  <c r="D103" i="18"/>
  <c r="H103" i="18"/>
  <c r="E103" i="18"/>
  <c r="E39" i="18"/>
  <c r="K40" i="17" s="1"/>
  <c r="D39" i="18"/>
  <c r="K40" i="15" s="1"/>
  <c r="C40" i="15" s="1"/>
  <c r="H39" i="18"/>
  <c r="M40" i="17" s="1"/>
  <c r="G39" i="18"/>
  <c r="M40" i="15" s="1"/>
  <c r="F40" i="15" s="1"/>
  <c r="D118" i="18"/>
  <c r="J119" i="17" s="1"/>
  <c r="E118" i="18"/>
  <c r="K119" i="17" s="1"/>
  <c r="G118" i="18"/>
  <c r="M114" i="15" s="1"/>
  <c r="H118" i="18"/>
  <c r="M119" i="17" s="1"/>
  <c r="D54" i="18"/>
  <c r="J55" i="17" s="1"/>
  <c r="E54" i="18"/>
  <c r="K55" i="17" s="1"/>
  <c r="G54" i="18"/>
  <c r="L55" i="17" s="1"/>
  <c r="H54" i="18"/>
  <c r="N55" i="15" s="1"/>
  <c r="D132" i="18"/>
  <c r="J133" i="17" s="1"/>
  <c r="E132" i="18"/>
  <c r="K133" i="17" s="1"/>
  <c r="H132" i="18"/>
  <c r="M133" i="17" s="1"/>
  <c r="G132" i="18"/>
  <c r="L133" i="17" s="1"/>
  <c r="D68" i="18"/>
  <c r="J69" i="17" s="1"/>
  <c r="E68" i="18"/>
  <c r="L69" i="15" s="1"/>
  <c r="G68" i="18"/>
  <c r="L69" i="17" s="1"/>
  <c r="H68" i="18"/>
  <c r="N69" i="15" s="1"/>
  <c r="D61" i="18"/>
  <c r="K62" i="15" s="1"/>
  <c r="C62" i="15" s="1"/>
  <c r="G61" i="18"/>
  <c r="L62" i="17" s="1"/>
  <c r="H61" i="18"/>
  <c r="N62" i="15" s="1"/>
  <c r="G62" i="15" s="1"/>
  <c r="E61" i="18"/>
  <c r="K62" i="17" s="1"/>
  <c r="D91" i="18"/>
  <c r="K92" i="15" s="1"/>
  <c r="E91" i="18"/>
  <c r="K92" i="17" s="1"/>
  <c r="G91" i="18"/>
  <c r="L92" i="17" s="1"/>
  <c r="H91" i="18"/>
  <c r="N92" i="15" s="1"/>
  <c r="E27" i="18"/>
  <c r="L28" i="15" s="1"/>
  <c r="D28" i="15" s="1"/>
  <c r="H27" i="18"/>
  <c r="N28" i="15" s="1"/>
  <c r="G28" i="15" s="1"/>
  <c r="D27" i="18"/>
  <c r="G27" i="18"/>
  <c r="L29" i="98" s="1"/>
  <c r="AP26" i="120" s="1"/>
  <c r="E122" i="18"/>
  <c r="K123" i="17" s="1"/>
  <c r="H122" i="18"/>
  <c r="M123" i="17" s="1"/>
  <c r="G122" i="18"/>
  <c r="L123" i="17" s="1"/>
  <c r="D122" i="18"/>
  <c r="J123" i="17" s="1"/>
  <c r="E58" i="18"/>
  <c r="L59" i="15" s="1"/>
  <c r="H58" i="18"/>
  <c r="M59" i="17" s="1"/>
  <c r="D58" i="18"/>
  <c r="J59" i="17" s="1"/>
  <c r="G58" i="18"/>
  <c r="L59" i="17" s="1"/>
  <c r="D145" i="18"/>
  <c r="J146" i="17" s="1"/>
  <c r="E145" i="18"/>
  <c r="K146" i="17" s="1"/>
  <c r="G145" i="18"/>
  <c r="L146" i="17" s="1"/>
  <c r="H145" i="18"/>
  <c r="M146" i="17" s="1"/>
  <c r="E81" i="18"/>
  <c r="K82" i="17" s="1"/>
  <c r="H81" i="18"/>
  <c r="N82" i="15" s="1"/>
  <c r="G82" i="15" s="1"/>
  <c r="D81" i="18"/>
  <c r="J82" i="17" s="1"/>
  <c r="G81" i="18"/>
  <c r="M82" i="15" s="1"/>
  <c r="F82" i="15" s="1"/>
  <c r="D17" i="18"/>
  <c r="K19" i="15" s="1"/>
  <c r="C19" i="15" s="1"/>
  <c r="E17" i="18"/>
  <c r="G17" i="18"/>
  <c r="L18" i="17" s="1"/>
  <c r="G18" i="17" s="1"/>
  <c r="E19" i="98" s="1"/>
  <c r="H17" i="18"/>
  <c r="M18" i="17" s="1"/>
  <c r="H18" i="17" s="1"/>
  <c r="F19" i="98" s="1"/>
  <c r="D72" i="18"/>
  <c r="J73" i="17" s="1"/>
  <c r="E72" i="18"/>
  <c r="L73" i="15" s="1"/>
  <c r="G72" i="18"/>
  <c r="L73" i="17" s="1"/>
  <c r="H72" i="18"/>
  <c r="N73" i="15" s="1"/>
  <c r="E56" i="18"/>
  <c r="L57" i="15" s="1"/>
  <c r="D56" i="18"/>
  <c r="J57" i="17" s="1"/>
  <c r="G56" i="18"/>
  <c r="M57" i="15" s="1"/>
  <c r="H56" i="18"/>
  <c r="M57" i="17" s="1"/>
  <c r="D109" i="18"/>
  <c r="J110" i="17" s="1"/>
  <c r="G109" i="18"/>
  <c r="L110" i="17" s="1"/>
  <c r="E109" i="18"/>
  <c r="L105" i="15" s="1"/>
  <c r="H109" i="18"/>
  <c r="M106" i="98" s="1"/>
  <c r="AS109" i="120" s="1"/>
  <c r="D80" i="18"/>
  <c r="K81" i="15" s="1"/>
  <c r="E80" i="18"/>
  <c r="K81" i="17" s="1"/>
  <c r="G80" i="18"/>
  <c r="L81" i="17" s="1"/>
  <c r="H80" i="18"/>
  <c r="M81" i="17" s="1"/>
  <c r="D95" i="18"/>
  <c r="J96" i="17" s="1"/>
  <c r="E95" i="18"/>
  <c r="K96" i="17" s="1"/>
  <c r="H95" i="18"/>
  <c r="M96" i="17" s="1"/>
  <c r="G95" i="18"/>
  <c r="L96" i="17" s="1"/>
  <c r="D31" i="18"/>
  <c r="E31" i="18"/>
  <c r="G31" i="18"/>
  <c r="M32" i="15" s="1"/>
  <c r="H31" i="18"/>
  <c r="D110" i="18"/>
  <c r="K106" i="15" s="1"/>
  <c r="E110" i="18"/>
  <c r="E111" i="17" s="1"/>
  <c r="D107" i="98" s="1"/>
  <c r="G110" i="18"/>
  <c r="M106" i="15" s="1"/>
  <c r="H110" i="18"/>
  <c r="N106" i="15" s="1"/>
  <c r="E46" i="18"/>
  <c r="K47" i="17" s="1"/>
  <c r="H46" i="18"/>
  <c r="M47" i="17" s="1"/>
  <c r="D46" i="18"/>
  <c r="K47" i="15" s="1"/>
  <c r="C47" i="15" s="1"/>
  <c r="G46" i="18"/>
  <c r="M47" i="15" s="1"/>
  <c r="F47" i="15" s="1"/>
  <c r="E124" i="18"/>
  <c r="K125" i="17" s="1"/>
  <c r="H124" i="18"/>
  <c r="D124" i="18"/>
  <c r="K120" i="15" s="1"/>
  <c r="G124" i="18"/>
  <c r="M120" i="15" s="1"/>
  <c r="G60" i="18"/>
  <c r="M61" i="15" s="1"/>
  <c r="F61" i="15" s="1"/>
  <c r="E60" i="18"/>
  <c r="L61" i="15" s="1"/>
  <c r="D61" i="15" s="1"/>
  <c r="D60" i="18"/>
  <c r="K61" i="15" s="1"/>
  <c r="C61" i="15" s="1"/>
  <c r="H60" i="18"/>
  <c r="N61" i="15" s="1"/>
  <c r="G61" i="15" s="1"/>
  <c r="D21" i="18"/>
  <c r="G21" i="18"/>
  <c r="H21" i="18"/>
  <c r="E21" i="18"/>
  <c r="K22" i="17" s="1"/>
  <c r="E22" i="17" s="1"/>
  <c r="D23" i="98" s="1"/>
  <c r="E83" i="18"/>
  <c r="L84" i="15" s="1"/>
  <c r="D84" i="15" s="1"/>
  <c r="D83" i="18"/>
  <c r="K84" i="15" s="1"/>
  <c r="C84" i="15" s="1"/>
  <c r="G83" i="18"/>
  <c r="L84" i="17" s="1"/>
  <c r="H83" i="18"/>
  <c r="N84" i="15" s="1"/>
  <c r="G84" i="15" s="1"/>
  <c r="E19" i="18"/>
  <c r="K20" i="17" s="1"/>
  <c r="E20" i="17" s="1"/>
  <c r="D19" i="18"/>
  <c r="K21" i="15" s="1"/>
  <c r="C21" i="15" s="1"/>
  <c r="G19" i="18"/>
  <c r="M21" i="15" s="1"/>
  <c r="F21" i="15" s="1"/>
  <c r="H19" i="18"/>
  <c r="N21" i="15" s="1"/>
  <c r="G21" i="15" s="1"/>
  <c r="E114" i="18"/>
  <c r="L110" i="15" s="1"/>
  <c r="D114" i="18"/>
  <c r="K110" i="15" s="1"/>
  <c r="G114" i="18"/>
  <c r="M110" i="15" s="1"/>
  <c r="H114" i="18"/>
  <c r="N110" i="15" s="1"/>
  <c r="G110" i="15" s="1"/>
  <c r="E50" i="18"/>
  <c r="L51" i="15" s="1"/>
  <c r="D51" i="15" s="1"/>
  <c r="H50" i="18"/>
  <c r="N51" i="15" s="1"/>
  <c r="G51" i="15" s="1"/>
  <c r="D50" i="18"/>
  <c r="K51" i="15" s="1"/>
  <c r="C51" i="15" s="1"/>
  <c r="G50" i="18"/>
  <c r="L51" i="17" s="1"/>
  <c r="D137" i="18"/>
  <c r="J138" i="17" s="1"/>
  <c r="G137" i="18"/>
  <c r="L138" i="17" s="1"/>
  <c r="E137" i="18"/>
  <c r="K138" i="17" s="1"/>
  <c r="H137" i="18"/>
  <c r="M138" i="17" s="1"/>
  <c r="E73" i="18"/>
  <c r="L74" i="15" s="1"/>
  <c r="D74" i="15" s="1"/>
  <c r="H73" i="18"/>
  <c r="N74" i="15" s="1"/>
  <c r="G74" i="15" s="1"/>
  <c r="D73" i="18"/>
  <c r="K74" i="15" s="1"/>
  <c r="C74" i="15" s="1"/>
  <c r="G73" i="18"/>
  <c r="M74" i="15" s="1"/>
  <c r="F74" i="15" s="1"/>
  <c r="D9" i="18"/>
  <c r="E9" i="18"/>
  <c r="L11" i="15" s="1"/>
  <c r="D11" i="15" s="1"/>
  <c r="G9" i="18"/>
  <c r="H9" i="18"/>
  <c r="M11" i="98" s="1"/>
  <c r="AS8" i="120" s="1"/>
  <c r="H24" i="18"/>
  <c r="N25" i="15" s="1"/>
  <c r="G25" i="15" s="1"/>
  <c r="G24" i="18"/>
  <c r="L25" i="17" s="1"/>
  <c r="G25" i="17" s="1"/>
  <c r="E26" i="98" s="1"/>
  <c r="E24" i="18"/>
  <c r="K26" i="98" s="1"/>
  <c r="AI23" i="120" s="1"/>
  <c r="D24" i="18"/>
  <c r="J25" i="17" s="1"/>
  <c r="D25" i="17" s="1"/>
  <c r="C26" i="98" s="1"/>
  <c r="D32" i="18"/>
  <c r="J33" i="17" s="1"/>
  <c r="G32" i="18"/>
  <c r="L33" i="17" s="1"/>
  <c r="E32" i="18"/>
  <c r="K33" i="17" s="1"/>
  <c r="H32" i="18"/>
  <c r="M33" i="17" s="1"/>
  <c r="E117" i="18"/>
  <c r="L113" i="15" s="1"/>
  <c r="G117" i="18"/>
  <c r="L118" i="17" s="1"/>
  <c r="H117" i="18"/>
  <c r="N113" i="15" s="1"/>
  <c r="D117" i="18"/>
  <c r="J118" i="17" s="1"/>
  <c r="H40" i="18"/>
  <c r="M41" i="17" s="1"/>
  <c r="G40" i="18"/>
  <c r="M41" i="15" s="1"/>
  <c r="F41" i="15" s="1"/>
  <c r="E40" i="18"/>
  <c r="K41" i="17" s="1"/>
  <c r="D40" i="18"/>
  <c r="K41" i="15" s="1"/>
  <c r="C41" i="15" s="1"/>
  <c r="D87" i="18"/>
  <c r="J88" i="17" s="1"/>
  <c r="E87" i="18"/>
  <c r="K88" i="17" s="1"/>
  <c r="G87" i="18"/>
  <c r="L88" i="17" s="1"/>
  <c r="H87" i="18"/>
  <c r="M88" i="17" s="1"/>
  <c r="E23" i="18"/>
  <c r="K25" i="98" s="1"/>
  <c r="AI22" i="120" s="1"/>
  <c r="D23" i="18"/>
  <c r="K24" i="15" s="1"/>
  <c r="C24" i="15" s="1"/>
  <c r="H23" i="18"/>
  <c r="G23" i="18"/>
  <c r="L25" i="98" s="1"/>
  <c r="AP22" i="120" s="1"/>
  <c r="H102" i="18"/>
  <c r="E102" i="18"/>
  <c r="D102" i="18"/>
  <c r="J103" i="17" s="1"/>
  <c r="G102" i="18"/>
  <c r="L103" i="17" s="1"/>
  <c r="D38" i="18"/>
  <c r="K39" i="15" s="1"/>
  <c r="C39" i="15" s="1"/>
  <c r="G38" i="18"/>
  <c r="L39" i="17" s="1"/>
  <c r="H38" i="18"/>
  <c r="M39" i="17" s="1"/>
  <c r="E38" i="18"/>
  <c r="L39" i="15" s="1"/>
  <c r="D39" i="15" s="1"/>
  <c r="E116" i="18"/>
  <c r="K117" i="17" s="1"/>
  <c r="H116" i="18"/>
  <c r="M117" i="17" s="1"/>
  <c r="D116" i="18"/>
  <c r="K112" i="15" s="1"/>
  <c r="G116" i="18"/>
  <c r="M112" i="15" s="1"/>
  <c r="H52" i="18"/>
  <c r="M53" i="17" s="1"/>
  <c r="D52" i="18"/>
  <c r="J53" i="17" s="1"/>
  <c r="G52" i="18"/>
  <c r="M53" i="15" s="1"/>
  <c r="F53" i="15" s="1"/>
  <c r="E52" i="18"/>
  <c r="L53" i="15" s="1"/>
  <c r="D53" i="15" s="1"/>
  <c r="D139" i="18"/>
  <c r="J140" i="17" s="1"/>
  <c r="E139" i="18"/>
  <c r="K140" i="17" s="1"/>
  <c r="G139" i="18"/>
  <c r="L140" i="17" s="1"/>
  <c r="H139" i="18"/>
  <c r="M140" i="17" s="1"/>
  <c r="E75" i="18"/>
  <c r="K76" i="17" s="1"/>
  <c r="H75" i="18"/>
  <c r="N76" i="15" s="1"/>
  <c r="G76" i="15" s="1"/>
  <c r="G75" i="18"/>
  <c r="M76" i="15" s="1"/>
  <c r="F76" i="15" s="1"/>
  <c r="D75" i="18"/>
  <c r="K76" i="15" s="1"/>
  <c r="C76" i="15" s="1"/>
  <c r="D11" i="18"/>
  <c r="G11" i="18"/>
  <c r="H11" i="18"/>
  <c r="M13" i="98" s="1"/>
  <c r="AS10" i="120" s="1"/>
  <c r="E11" i="18"/>
  <c r="K12" i="17" s="1"/>
  <c r="E12" i="17" s="1"/>
  <c r="D13" i="98" s="1"/>
  <c r="E106" i="18"/>
  <c r="D106" i="18"/>
  <c r="J107" i="17" s="1"/>
  <c r="G106" i="18"/>
  <c r="L107" i="17" s="1"/>
  <c r="H106" i="18"/>
  <c r="D42" i="18"/>
  <c r="J43" i="17" s="1"/>
  <c r="G42" i="18"/>
  <c r="L43" i="17" s="1"/>
  <c r="H42" i="18"/>
  <c r="M43" i="17" s="1"/>
  <c r="E42" i="18"/>
  <c r="K43" i="17" s="1"/>
  <c r="H129" i="18"/>
  <c r="M126" i="98" s="1"/>
  <c r="AS129" i="120" s="1"/>
  <c r="E129" i="18"/>
  <c r="L125" i="15" s="1"/>
  <c r="G129" i="18"/>
  <c r="M125" i="15" s="1"/>
  <c r="F125" i="15" s="1"/>
  <c r="D129" i="18"/>
  <c r="G65" i="18"/>
  <c r="L66" i="17" s="1"/>
  <c r="D65" i="18"/>
  <c r="K66" i="15" s="1"/>
  <c r="C66" i="15" s="1"/>
  <c r="H65" i="18"/>
  <c r="N66" i="15" s="1"/>
  <c r="G66" i="15" s="1"/>
  <c r="E65" i="18"/>
  <c r="K66" i="17" s="1"/>
  <c r="D6" i="18"/>
  <c r="E6" i="18"/>
  <c r="K7" i="17" s="1"/>
  <c r="E7" i="17" s="1"/>
  <c r="D8" i="98" s="1"/>
  <c r="G6" i="18"/>
  <c r="L7" i="17" s="1"/>
  <c r="G7" i="17" s="1"/>
  <c r="H6" i="18"/>
  <c r="N8" i="15" s="1"/>
  <c r="G8" i="15" s="1"/>
  <c r="L96" i="18"/>
  <c r="L97" i="18"/>
  <c r="L98" i="18"/>
  <c r="L99" i="18"/>
  <c r="AW26" i="24"/>
  <c r="Q108" i="24"/>
  <c r="Q105" i="24"/>
  <c r="Q106" i="24"/>
  <c r="J104" i="46"/>
  <c r="F103" i="46"/>
  <c r="P109" i="24"/>
  <c r="AX109" i="24"/>
  <c r="T109" i="24" s="1"/>
  <c r="P106" i="24"/>
  <c r="AX106" i="24"/>
  <c r="S106" i="24" s="1"/>
  <c r="I108" i="24"/>
  <c r="AW108" i="24"/>
  <c r="AV108" i="24"/>
  <c r="K108" i="24" s="1"/>
  <c r="S102" i="46"/>
  <c r="AE102" i="46"/>
  <c r="AC102" i="46"/>
  <c r="I102" i="46"/>
  <c r="P108" i="24"/>
  <c r="AX108" i="24"/>
  <c r="R108" i="24" s="1"/>
  <c r="P105" i="24"/>
  <c r="AX105" i="24"/>
  <c r="T105" i="24" s="1"/>
  <c r="O106" i="46"/>
  <c r="Q106" i="46"/>
  <c r="E106" i="46"/>
  <c r="AA106" i="46"/>
  <c r="Y106" i="46"/>
  <c r="G106" i="46"/>
  <c r="AV107" i="24"/>
  <c r="K107" i="24" s="1"/>
  <c r="AW107" i="24"/>
  <c r="I107" i="24"/>
  <c r="AE106" i="46"/>
  <c r="AC106" i="46"/>
  <c r="S106" i="46"/>
  <c r="I106" i="46"/>
  <c r="F106" i="46"/>
  <c r="AV106" i="24"/>
  <c r="M106" i="24" s="1"/>
  <c r="AW106" i="24"/>
  <c r="I106" i="24"/>
  <c r="S103" i="46"/>
  <c r="AC103" i="46"/>
  <c r="AE103" i="46"/>
  <c r="I104" i="46"/>
  <c r="AE104" i="46"/>
  <c r="S104" i="46"/>
  <c r="AC104" i="46"/>
  <c r="F105" i="46"/>
  <c r="E105" i="46"/>
  <c r="Y105" i="46"/>
  <c r="G105" i="46"/>
  <c r="O105" i="46"/>
  <c r="AA105" i="46"/>
  <c r="Q105" i="46"/>
  <c r="Y102" i="46"/>
  <c r="E102" i="46"/>
  <c r="Q102" i="46"/>
  <c r="AA102" i="46"/>
  <c r="G102" i="46"/>
  <c r="O102" i="46"/>
  <c r="AV105" i="24"/>
  <c r="M105" i="24" s="1"/>
  <c r="AW105" i="24"/>
  <c r="I105" i="24"/>
  <c r="I105" i="46"/>
  <c r="S105" i="46"/>
  <c r="AE105" i="46"/>
  <c r="AC105" i="46"/>
  <c r="J106" i="46"/>
  <c r="M107" i="24"/>
  <c r="F102" i="46"/>
  <c r="F104" i="46"/>
  <c r="P107" i="24"/>
  <c r="AX107" i="24"/>
  <c r="T107" i="24" s="1"/>
  <c r="E104" i="46"/>
  <c r="G104" i="46"/>
  <c r="Q104" i="46"/>
  <c r="AA104" i="46"/>
  <c r="O104" i="46"/>
  <c r="Y104" i="46"/>
  <c r="O103" i="46"/>
  <c r="G103" i="46"/>
  <c r="Q103" i="46"/>
  <c r="AA103" i="46"/>
  <c r="E103" i="46"/>
  <c r="Y103" i="46"/>
  <c r="I109" i="24"/>
  <c r="AW109" i="24"/>
  <c r="AV109" i="24"/>
  <c r="L109" i="24" s="1"/>
  <c r="G107" i="17"/>
  <c r="D107" i="17"/>
  <c r="E107" i="17"/>
  <c r="H107" i="17"/>
  <c r="I66" i="36"/>
  <c r="E66" i="36" s="1"/>
  <c r="P68" i="97" s="1"/>
  <c r="M101" i="97"/>
  <c r="C103" i="108"/>
  <c r="I106" i="97" s="1"/>
  <c r="N136" i="82"/>
  <c r="V137" i="73" s="1"/>
  <c r="Y9" i="46"/>
  <c r="O9" i="46"/>
  <c r="S9" i="46"/>
  <c r="AC9" i="46"/>
  <c r="I9" i="46"/>
  <c r="I86" i="36"/>
  <c r="D86" i="36" s="1"/>
  <c r="Z71" i="24"/>
  <c r="I50" i="36"/>
  <c r="D50" i="36" s="1"/>
  <c r="O52" i="97" s="1"/>
  <c r="T52" i="70"/>
  <c r="T71" i="70"/>
  <c r="R71" i="70"/>
  <c r="T27" i="70"/>
  <c r="R27" i="70"/>
  <c r="T113" i="70"/>
  <c r="R113" i="70"/>
  <c r="R39" i="70"/>
  <c r="T39" i="70"/>
  <c r="T44" i="70"/>
  <c r="R44" i="70"/>
  <c r="R119" i="70"/>
  <c r="T119" i="70"/>
  <c r="T92" i="70"/>
  <c r="R92" i="70"/>
  <c r="R41" i="70"/>
  <c r="T41" i="70"/>
  <c r="R14" i="70"/>
  <c r="T14" i="70"/>
  <c r="T23" i="70"/>
  <c r="R23" i="70"/>
  <c r="T136" i="70"/>
  <c r="R136" i="70"/>
  <c r="R59" i="70"/>
  <c r="T59" i="70"/>
  <c r="T40" i="70"/>
  <c r="R40" i="70"/>
  <c r="T135" i="70"/>
  <c r="T78" i="70"/>
  <c r="R78" i="70"/>
  <c r="T18" i="70"/>
  <c r="R18" i="70"/>
  <c r="R108" i="70"/>
  <c r="T108" i="70"/>
  <c r="Q82" i="24"/>
  <c r="T29" i="70"/>
  <c r="R29" i="70"/>
  <c r="R74" i="70"/>
  <c r="T74" i="70"/>
  <c r="T7" i="70"/>
  <c r="T64" i="70"/>
  <c r="R64" i="70"/>
  <c r="T47" i="70"/>
  <c r="R47" i="70"/>
  <c r="R131" i="70"/>
  <c r="T131" i="70"/>
  <c r="T144" i="70"/>
  <c r="R144" i="70"/>
  <c r="T38" i="70"/>
  <c r="R38" i="70"/>
  <c r="R83" i="70"/>
  <c r="T83" i="70"/>
  <c r="T138" i="70"/>
  <c r="R138" i="70"/>
  <c r="R49" i="70"/>
  <c r="T49" i="70"/>
  <c r="T13" i="70"/>
  <c r="R13" i="70"/>
  <c r="T50" i="70"/>
  <c r="R50" i="70"/>
  <c r="R46" i="70"/>
  <c r="T46" i="70"/>
  <c r="R128" i="70"/>
  <c r="T128" i="70"/>
  <c r="T77" i="70"/>
  <c r="R77" i="70"/>
  <c r="T26" i="70"/>
  <c r="R26" i="70"/>
  <c r="R124" i="70"/>
  <c r="T124" i="70"/>
  <c r="T73" i="70"/>
  <c r="R73" i="70"/>
  <c r="T61" i="70"/>
  <c r="R61" i="70"/>
  <c r="T96" i="70"/>
  <c r="T98" i="70"/>
  <c r="R98" i="70"/>
  <c r="T20" i="70"/>
  <c r="R20" i="70"/>
  <c r="T65" i="70"/>
  <c r="R65" i="70"/>
  <c r="T30" i="70"/>
  <c r="R30" i="70"/>
  <c r="T81" i="70"/>
  <c r="R81" i="70"/>
  <c r="T129" i="70"/>
  <c r="R129" i="70"/>
  <c r="T28" i="70"/>
  <c r="R28" i="70"/>
  <c r="R143" i="70"/>
  <c r="T143" i="70"/>
  <c r="T36" i="70"/>
  <c r="R36" i="70"/>
  <c r="R66" i="70"/>
  <c r="T66" i="70"/>
  <c r="T37" i="70"/>
  <c r="R37" i="70"/>
  <c r="T130" i="70"/>
  <c r="R130" i="70"/>
  <c r="T11" i="70"/>
  <c r="R11" i="70"/>
  <c r="R24" i="70"/>
  <c r="T24" i="70"/>
  <c r="R90" i="70"/>
  <c r="T90" i="70"/>
  <c r="T63" i="70"/>
  <c r="R63" i="70"/>
  <c r="T137" i="70"/>
  <c r="R137" i="70"/>
  <c r="T97" i="70"/>
  <c r="R97" i="70"/>
  <c r="T53" i="70"/>
  <c r="R60" i="70"/>
  <c r="T60" i="70"/>
  <c r="R93" i="70"/>
  <c r="T93" i="70"/>
  <c r="T133" i="70"/>
  <c r="R133" i="70"/>
  <c r="T15" i="70"/>
  <c r="R15" i="70"/>
  <c r="T6" i="70"/>
  <c r="R82" i="70"/>
  <c r="T82" i="70"/>
  <c r="T19" i="70"/>
  <c r="R19" i="70"/>
  <c r="R107" i="70"/>
  <c r="T107" i="70"/>
  <c r="R67" i="70"/>
  <c r="T67" i="70"/>
  <c r="R127" i="70"/>
  <c r="T127" i="70"/>
  <c r="R120" i="70"/>
  <c r="T120" i="70"/>
  <c r="T99" i="70"/>
  <c r="R99" i="70"/>
  <c r="R75" i="70"/>
  <c r="T75" i="70"/>
  <c r="T48" i="70"/>
  <c r="R48" i="70"/>
  <c r="R141" i="70"/>
  <c r="T141" i="70"/>
  <c r="T122" i="70"/>
  <c r="R122" i="70"/>
  <c r="AX34" i="24"/>
  <c r="S34" i="24" s="1"/>
  <c r="J101" i="24"/>
  <c r="Q102" i="24"/>
  <c r="Q100" i="24"/>
  <c r="J102" i="24"/>
  <c r="J99" i="24"/>
  <c r="AV99" i="24"/>
  <c r="K99" i="24" s="1"/>
  <c r="F98" i="46"/>
  <c r="AX99" i="24"/>
  <c r="S99" i="24" s="1"/>
  <c r="AX104" i="24"/>
  <c r="Q101" i="24"/>
  <c r="S104" i="24"/>
  <c r="J31" i="24"/>
  <c r="I121" i="24"/>
  <c r="J131" i="24"/>
  <c r="J78" i="24"/>
  <c r="J139" i="24"/>
  <c r="J32" i="24"/>
  <c r="J147" i="24"/>
  <c r="J74" i="24"/>
  <c r="I54" i="36"/>
  <c r="D54" i="36" s="1"/>
  <c r="Z112" i="24"/>
  <c r="C112" i="24" s="1"/>
  <c r="D112" i="24" s="1"/>
  <c r="Z76" i="24"/>
  <c r="AX43" i="24"/>
  <c r="S43" i="24" s="1"/>
  <c r="AX51" i="24"/>
  <c r="T51" i="24" s="1"/>
  <c r="I6" i="36"/>
  <c r="E6" i="36" s="1"/>
  <c r="I7" i="36"/>
  <c r="D7" i="36" s="1"/>
  <c r="O8" i="97" s="1"/>
  <c r="Z146" i="24"/>
  <c r="C146" i="24" s="1"/>
  <c r="M106" i="82"/>
  <c r="Z92" i="24"/>
  <c r="C92" i="24" s="1"/>
  <c r="D92" i="24" s="1"/>
  <c r="Z143" i="24"/>
  <c r="C143" i="24" s="1"/>
  <c r="D143" i="24" s="1"/>
  <c r="Z38" i="24"/>
  <c r="Z110" i="24"/>
  <c r="C110" i="24" s="1"/>
  <c r="D110" i="24" s="1"/>
  <c r="S26" i="26"/>
  <c r="P26" i="26" s="1"/>
  <c r="N26" i="26" s="1"/>
  <c r="I25" i="36"/>
  <c r="C25" i="36" s="1"/>
  <c r="AN66" i="26"/>
  <c r="AK66" i="26" s="1"/>
  <c r="J143" i="24"/>
  <c r="G107" i="98"/>
  <c r="N135" i="82"/>
  <c r="V136" i="73" s="1"/>
  <c r="N128" i="82"/>
  <c r="V129" i="73" s="1"/>
  <c r="G66" i="98"/>
  <c r="Z74" i="24"/>
  <c r="O135" i="82"/>
  <c r="Q136" i="73" s="1"/>
  <c r="O136" i="82"/>
  <c r="Q137" i="73" s="1"/>
  <c r="I104" i="36"/>
  <c r="E104" i="36" s="1"/>
  <c r="P106" i="97" s="1"/>
  <c r="Z75" i="24"/>
  <c r="AX145" i="24"/>
  <c r="S145" i="24" s="1"/>
  <c r="G125" i="98"/>
  <c r="AT116" i="24"/>
  <c r="Q116" i="24" s="1"/>
  <c r="AX102" i="24"/>
  <c r="R102" i="24" s="1"/>
  <c r="AN108" i="46"/>
  <c r="AM96" i="46"/>
  <c r="AN115" i="46"/>
  <c r="P103" i="24"/>
  <c r="I102" i="36"/>
  <c r="E102" i="36" s="1"/>
  <c r="P104" i="97" s="1"/>
  <c r="I138" i="36"/>
  <c r="E138" i="36" s="1"/>
  <c r="P140" i="97" s="1"/>
  <c r="Z91" i="24"/>
  <c r="C91" i="24" s="1"/>
  <c r="D91" i="24" s="1"/>
  <c r="Z95" i="24"/>
  <c r="C95" i="24" s="1"/>
  <c r="D95" i="24" s="1"/>
  <c r="Z73" i="24"/>
  <c r="Z87" i="24"/>
  <c r="C87" i="24" s="1"/>
  <c r="I130" i="36"/>
  <c r="E130" i="36" s="1"/>
  <c r="P132" i="97" s="1"/>
  <c r="I135" i="36"/>
  <c r="D135" i="36" s="1"/>
  <c r="O137" i="97" s="1"/>
  <c r="I139" i="36"/>
  <c r="I24" i="36"/>
  <c r="C24" i="36" s="1"/>
  <c r="I132" i="36"/>
  <c r="C132" i="36" s="1"/>
  <c r="N134" i="97" s="1"/>
  <c r="J87" i="24"/>
  <c r="Q87" i="24"/>
  <c r="I137" i="36"/>
  <c r="C137" i="36" s="1"/>
  <c r="N139" i="97" s="1"/>
  <c r="I48" i="24"/>
  <c r="AW146" i="24"/>
  <c r="AX146" i="24"/>
  <c r="S146" i="24" s="1"/>
  <c r="I97" i="24"/>
  <c r="AX63" i="24"/>
  <c r="S63" i="24" s="1"/>
  <c r="I71" i="24"/>
  <c r="I36" i="24"/>
  <c r="Z58" i="24"/>
  <c r="Z26" i="24"/>
  <c r="Z83" i="24"/>
  <c r="C83" i="24" s="1"/>
  <c r="Z57" i="24"/>
  <c r="Z31" i="24"/>
  <c r="Z94" i="24"/>
  <c r="C94" i="24" s="1"/>
  <c r="D94" i="24" s="1"/>
  <c r="Z80" i="24"/>
  <c r="Z79" i="24"/>
  <c r="Z32" i="24"/>
  <c r="Z147" i="24"/>
  <c r="C147" i="24" s="1"/>
  <c r="W78" i="24"/>
  <c r="Z54" i="24"/>
  <c r="Z63" i="24"/>
  <c r="Z90" i="24"/>
  <c r="C90" i="24" s="1"/>
  <c r="D90" i="24" s="1"/>
  <c r="Z61" i="24"/>
  <c r="Z145" i="24"/>
  <c r="C145" i="24" s="1"/>
  <c r="D145" i="24" s="1"/>
  <c r="Z39" i="24"/>
  <c r="Z67" i="24"/>
  <c r="C67" i="24" s="1"/>
  <c r="Q99" i="24"/>
  <c r="I63" i="24"/>
  <c r="O106" i="82"/>
  <c r="J144" i="24"/>
  <c r="I128" i="36"/>
  <c r="C128" i="36" s="1"/>
  <c r="N130" i="97" s="1"/>
  <c r="I21" i="36"/>
  <c r="I125" i="36"/>
  <c r="D125" i="36" s="1"/>
  <c r="O127" i="97" s="1"/>
  <c r="I98" i="36"/>
  <c r="E98" i="36" s="1"/>
  <c r="I101" i="36"/>
  <c r="E101" i="36" s="1"/>
  <c r="P103" i="97" s="1"/>
  <c r="I127" i="36"/>
  <c r="D127" i="36" s="1"/>
  <c r="O129" i="97" s="1"/>
  <c r="AB9" i="113"/>
  <c r="F71" i="15"/>
  <c r="G71" i="15"/>
  <c r="C71" i="15"/>
  <c r="D71" i="15"/>
  <c r="C88" i="15"/>
  <c r="G88" i="15"/>
  <c r="D88" i="15"/>
  <c r="F88" i="15"/>
  <c r="F141" i="15"/>
  <c r="G141" i="15"/>
  <c r="C141" i="15"/>
  <c r="D141" i="15"/>
  <c r="J140" i="82" s="1"/>
  <c r="D58" i="15"/>
  <c r="F58" i="15"/>
  <c r="C58" i="15"/>
  <c r="G58" i="15"/>
  <c r="D85" i="15"/>
  <c r="F85" i="15"/>
  <c r="C85" i="15"/>
  <c r="G85" i="15"/>
  <c r="D73" i="15"/>
  <c r="F73" i="15"/>
  <c r="C73" i="15"/>
  <c r="G73" i="15"/>
  <c r="D90" i="15"/>
  <c r="G90" i="15"/>
  <c r="F90" i="15"/>
  <c r="C90" i="15"/>
  <c r="C63" i="15"/>
  <c r="D63" i="15"/>
  <c r="F63" i="15"/>
  <c r="G63" i="15"/>
  <c r="D133" i="17"/>
  <c r="C129" i="98" s="1"/>
  <c r="E133" i="17"/>
  <c r="D129" i="98" s="1"/>
  <c r="H133" i="17"/>
  <c r="F129" i="98" s="1"/>
  <c r="G133" i="17"/>
  <c r="E129" i="98" s="1"/>
  <c r="C87" i="15"/>
  <c r="D87" i="15"/>
  <c r="F87" i="15"/>
  <c r="G87" i="15"/>
  <c r="D136" i="15"/>
  <c r="F136" i="15"/>
  <c r="G136" i="15"/>
  <c r="C136" i="15"/>
  <c r="I126" i="36"/>
  <c r="I134" i="36"/>
  <c r="C134" i="36" s="1"/>
  <c r="N136" i="97" s="1"/>
  <c r="C100" i="36"/>
  <c r="N102" i="97" s="1"/>
  <c r="E100" i="36"/>
  <c r="P102" i="97" s="1"/>
  <c r="D100" i="36"/>
  <c r="O102" i="97" s="1"/>
  <c r="D59" i="15"/>
  <c r="F59" i="15"/>
  <c r="G59" i="15"/>
  <c r="C59" i="15"/>
  <c r="D101" i="15"/>
  <c r="F101" i="15"/>
  <c r="G101" i="15"/>
  <c r="C101" i="15"/>
  <c r="I124" i="36"/>
  <c r="E124" i="36" s="1"/>
  <c r="P126" i="97" s="1"/>
  <c r="I29" i="36"/>
  <c r="D29" i="36" s="1"/>
  <c r="O30" i="97" s="1"/>
  <c r="I136" i="36"/>
  <c r="C128" i="15"/>
  <c r="F128" i="15"/>
  <c r="G128" i="15"/>
  <c r="D128" i="15"/>
  <c r="C21" i="36"/>
  <c r="D21" i="36"/>
  <c r="E21" i="36"/>
  <c r="D140" i="17"/>
  <c r="C136" i="98" s="1"/>
  <c r="H140" i="17"/>
  <c r="F136" i="98" s="1"/>
  <c r="E140" i="17"/>
  <c r="D136" i="98" s="1"/>
  <c r="G140" i="17"/>
  <c r="E136" i="98" s="1"/>
  <c r="I22" i="36"/>
  <c r="C22" i="36" s="1"/>
  <c r="G46" i="15"/>
  <c r="C46" i="15"/>
  <c r="D46" i="15"/>
  <c r="F46" i="15"/>
  <c r="Z49" i="24"/>
  <c r="Z50" i="24"/>
  <c r="Z65" i="24"/>
  <c r="I133" i="36"/>
  <c r="D133" i="36" s="1"/>
  <c r="O135" i="97" s="1"/>
  <c r="C126" i="36"/>
  <c r="N128" i="97" s="1"/>
  <c r="D126" i="36"/>
  <c r="O128" i="97" s="1"/>
  <c r="E126" i="36"/>
  <c r="P128" i="97" s="1"/>
  <c r="D32" i="15"/>
  <c r="G32" i="15"/>
  <c r="C32" i="15"/>
  <c r="F32" i="15"/>
  <c r="D55" i="15"/>
  <c r="G55" i="15"/>
  <c r="C55" i="15"/>
  <c r="F55" i="15"/>
  <c r="C57" i="15"/>
  <c r="I56" i="82" s="1"/>
  <c r="G57" i="15"/>
  <c r="D57" i="15"/>
  <c r="J56" i="82" s="1"/>
  <c r="F57" i="15"/>
  <c r="I105" i="36"/>
  <c r="E105" i="36" s="1"/>
  <c r="P107" i="97" s="1"/>
  <c r="D143" i="17"/>
  <c r="C139" i="98" s="1"/>
  <c r="H143" i="17"/>
  <c r="F139" i="98" s="1"/>
  <c r="E143" i="17"/>
  <c r="D139" i="98" s="1"/>
  <c r="G143" i="17"/>
  <c r="E139" i="98" s="1"/>
  <c r="Z36" i="24"/>
  <c r="Z102" i="24"/>
  <c r="D52" i="15"/>
  <c r="C52" i="15"/>
  <c r="G52" i="15"/>
  <c r="F52" i="15"/>
  <c r="G56" i="15"/>
  <c r="D56" i="15"/>
  <c r="F56" i="15"/>
  <c r="C56" i="15"/>
  <c r="F106" i="15"/>
  <c r="K105" i="82" s="1"/>
  <c r="G106" i="15"/>
  <c r="L105" i="82" s="1"/>
  <c r="C106" i="15"/>
  <c r="I23" i="36"/>
  <c r="C23" i="36" s="1"/>
  <c r="I100" i="36"/>
  <c r="D102" i="15"/>
  <c r="C102" i="15"/>
  <c r="F102" i="15"/>
  <c r="G102" i="15"/>
  <c r="F44" i="15"/>
  <c r="G44" i="15"/>
  <c r="C44" i="15"/>
  <c r="D44" i="15"/>
  <c r="D135" i="17"/>
  <c r="C131" i="98" s="1"/>
  <c r="H135" i="17"/>
  <c r="F131" i="98" s="1"/>
  <c r="E135" i="17"/>
  <c r="D131" i="98" s="1"/>
  <c r="G135" i="17"/>
  <c r="E131" i="98" s="1"/>
  <c r="C35" i="15"/>
  <c r="D35" i="15"/>
  <c r="F35" i="15"/>
  <c r="G35" i="15"/>
  <c r="D77" i="15"/>
  <c r="C77" i="15"/>
  <c r="G77" i="15"/>
  <c r="F77" i="15"/>
  <c r="Z68" i="24"/>
  <c r="C68" i="24" s="1"/>
  <c r="Z59" i="24"/>
  <c r="I131" i="36"/>
  <c r="D131" i="36" s="1"/>
  <c r="O133" i="97" s="1"/>
  <c r="I129" i="36"/>
  <c r="E129" i="36" s="1"/>
  <c r="P131" i="97" s="1"/>
  <c r="F43" i="15"/>
  <c r="G43" i="15"/>
  <c r="C43" i="15"/>
  <c r="D43" i="15"/>
  <c r="E139" i="36"/>
  <c r="P141" i="97" s="1"/>
  <c r="C139" i="36"/>
  <c r="N141" i="97" s="1"/>
  <c r="D139" i="36"/>
  <c r="O141" i="97" s="1"/>
  <c r="F34" i="15"/>
  <c r="G34" i="15"/>
  <c r="C34" i="15"/>
  <c r="D34" i="15"/>
  <c r="F36" i="15"/>
  <c r="G36" i="15"/>
  <c r="D36" i="15"/>
  <c r="C36" i="15"/>
  <c r="F81" i="15"/>
  <c r="G81" i="15"/>
  <c r="C81" i="15"/>
  <c r="D81" i="15"/>
  <c r="I103" i="36"/>
  <c r="E103" i="36" s="1"/>
  <c r="P105" i="97" s="1"/>
  <c r="C86" i="15"/>
  <c r="G86" i="15"/>
  <c r="F86" i="15"/>
  <c r="D86" i="15"/>
  <c r="F95" i="15"/>
  <c r="G95" i="15"/>
  <c r="D95" i="15"/>
  <c r="C95" i="15"/>
  <c r="C130" i="15"/>
  <c r="D130" i="15"/>
  <c r="G130" i="15"/>
  <c r="F130" i="15"/>
  <c r="F96" i="15"/>
  <c r="C96" i="15"/>
  <c r="D96" i="15"/>
  <c r="G96" i="15"/>
  <c r="W54" i="24"/>
  <c r="C136" i="36"/>
  <c r="N138" i="97" s="1"/>
  <c r="D136" i="36"/>
  <c r="O138" i="97" s="1"/>
  <c r="E136" i="36"/>
  <c r="P138" i="97" s="1"/>
  <c r="G141" i="17"/>
  <c r="E137" i="98" s="1"/>
  <c r="D141" i="17"/>
  <c r="C137" i="98" s="1"/>
  <c r="E141" i="17"/>
  <c r="D137" i="98" s="1"/>
  <c r="H141" i="17"/>
  <c r="F137" i="98" s="1"/>
  <c r="D80" i="15"/>
  <c r="C80" i="15"/>
  <c r="F80" i="15"/>
  <c r="G80" i="15"/>
  <c r="F33" i="15"/>
  <c r="K32" i="82" s="1"/>
  <c r="D33" i="15"/>
  <c r="J32" i="82" s="1"/>
  <c r="C33" i="15"/>
  <c r="I32" i="82" s="1"/>
  <c r="G33" i="15"/>
  <c r="L32" i="82" s="1"/>
  <c r="G146" i="17"/>
  <c r="E142" i="98" s="1"/>
  <c r="E146" i="17"/>
  <c r="D142" i="98" s="1"/>
  <c r="D146" i="17"/>
  <c r="C142" i="98" s="1"/>
  <c r="H146" i="17"/>
  <c r="C138" i="15"/>
  <c r="G138" i="15"/>
  <c r="D138" i="15"/>
  <c r="F138" i="15"/>
  <c r="G89" i="15"/>
  <c r="D89" i="15"/>
  <c r="F89" i="15"/>
  <c r="C89" i="15"/>
  <c r="G92" i="15"/>
  <c r="C92" i="15"/>
  <c r="D92" i="15"/>
  <c r="F92" i="15"/>
  <c r="F135" i="15"/>
  <c r="C135" i="15"/>
  <c r="G135" i="15"/>
  <c r="D135" i="15"/>
  <c r="C69" i="15"/>
  <c r="G69" i="15"/>
  <c r="F69" i="15"/>
  <c r="D69" i="15"/>
  <c r="K139" i="15"/>
  <c r="C139" i="15" s="1"/>
  <c r="J88" i="24"/>
  <c r="Q95" i="24"/>
  <c r="J94" i="24"/>
  <c r="J89" i="24"/>
  <c r="J90" i="24"/>
  <c r="J91" i="24"/>
  <c r="G140" i="98"/>
  <c r="G132" i="98"/>
  <c r="G138" i="98"/>
  <c r="G129" i="98"/>
  <c r="G141" i="98"/>
  <c r="G139" i="98"/>
  <c r="G131" i="98"/>
  <c r="G130" i="98"/>
  <c r="G137" i="98"/>
  <c r="G134" i="98"/>
  <c r="G136" i="98"/>
  <c r="G128" i="98"/>
  <c r="G135" i="98"/>
  <c r="G127" i="98"/>
  <c r="G142" i="98"/>
  <c r="G133" i="98"/>
  <c r="G9" i="98"/>
  <c r="O29" i="82"/>
  <c r="Q30" i="73" s="1"/>
  <c r="N29" i="82"/>
  <c r="V30" i="73" s="1"/>
  <c r="N133" i="82"/>
  <c r="V134" i="73" s="1"/>
  <c r="O126" i="82"/>
  <c r="Q127" i="73" s="1"/>
  <c r="C111" i="15"/>
  <c r="I110" i="82" s="1"/>
  <c r="Q145" i="24"/>
  <c r="AB19" i="113"/>
  <c r="AB23" i="113"/>
  <c r="AB14" i="113"/>
  <c r="AB17" i="113"/>
  <c r="AB16" i="113"/>
  <c r="J95" i="24"/>
  <c r="AB25" i="113"/>
  <c r="AP90" i="46"/>
  <c r="U90" i="46" s="1"/>
  <c r="AX142" i="24"/>
  <c r="R142" i="24" s="1"/>
  <c r="AX143" i="24"/>
  <c r="T143" i="24" s="1"/>
  <c r="AP70" i="46"/>
  <c r="Q70" i="46" s="1"/>
  <c r="AP39" i="46"/>
  <c r="AA39" i="46" s="1"/>
  <c r="AW52" i="24"/>
  <c r="AP9" i="46"/>
  <c r="K9" i="46" s="1"/>
  <c r="AP14" i="46"/>
  <c r="K14" i="46" s="1"/>
  <c r="P145" i="24"/>
  <c r="I139" i="24"/>
  <c r="AP129" i="46"/>
  <c r="Q129" i="46" s="1"/>
  <c r="AP56" i="46"/>
  <c r="AE56" i="46" s="1"/>
  <c r="AP36" i="46"/>
  <c r="U36" i="46" s="1"/>
  <c r="AV56" i="24"/>
  <c r="K56" i="24" s="1"/>
  <c r="AW101" i="24"/>
  <c r="AV39" i="24"/>
  <c r="L39" i="24" s="1"/>
  <c r="AX132" i="24"/>
  <c r="T132" i="24" s="1"/>
  <c r="AW50" i="24"/>
  <c r="AV59" i="24"/>
  <c r="M59" i="24" s="1"/>
  <c r="AW61" i="24"/>
  <c r="AV100" i="24"/>
  <c r="L100" i="24" s="1"/>
  <c r="I89" i="24"/>
  <c r="P146" i="24"/>
  <c r="AV60" i="24"/>
  <c r="L60" i="24" s="1"/>
  <c r="AW38" i="24"/>
  <c r="AV65" i="24"/>
  <c r="K65" i="24" s="1"/>
  <c r="AV66" i="24"/>
  <c r="K66" i="24" s="1"/>
  <c r="AV71" i="24"/>
  <c r="M71" i="24" s="1"/>
  <c r="I74" i="24"/>
  <c r="AV62" i="24"/>
  <c r="L62" i="24" s="1"/>
  <c r="I34" i="24"/>
  <c r="I132" i="24"/>
  <c r="I104" i="24"/>
  <c r="I84" i="24"/>
  <c r="I76" i="24"/>
  <c r="AW53" i="24"/>
  <c r="I81" i="24"/>
  <c r="AV31" i="24"/>
  <c r="K31" i="24" s="1"/>
  <c r="AV64" i="24"/>
  <c r="M64" i="24" s="1"/>
  <c r="J86" i="24"/>
  <c r="I72" i="24"/>
  <c r="I64" i="24"/>
  <c r="I87" i="24"/>
  <c r="AV43" i="24"/>
  <c r="L43" i="24" s="1"/>
  <c r="I95" i="24"/>
  <c r="AW132" i="24"/>
  <c r="I143" i="24"/>
  <c r="J138" i="24"/>
  <c r="AW46" i="24"/>
  <c r="I44" i="24"/>
  <c r="I54" i="24"/>
  <c r="I92" i="24"/>
  <c r="I68" i="24"/>
  <c r="I50" i="24"/>
  <c r="I45" i="24"/>
  <c r="I116" i="24"/>
  <c r="AV47" i="24"/>
  <c r="L47" i="24" s="1"/>
  <c r="AW63" i="24"/>
  <c r="AW54" i="24"/>
  <c r="AW68" i="24"/>
  <c r="AV34" i="24"/>
  <c r="K34" i="24" s="1"/>
  <c r="AV104" i="24"/>
  <c r="L104" i="24" s="1"/>
  <c r="AV132" i="24"/>
  <c r="L132" i="24" s="1"/>
  <c r="I57" i="24"/>
  <c r="I83" i="24"/>
  <c r="AV36" i="24"/>
  <c r="L36" i="24" s="1"/>
  <c r="AV74" i="24"/>
  <c r="L74" i="24" s="1"/>
  <c r="AW39" i="24"/>
  <c r="J132" i="24"/>
  <c r="AW71" i="24"/>
  <c r="P132" i="24"/>
  <c r="AX38" i="24"/>
  <c r="R38" i="24" s="1"/>
  <c r="AV48" i="24"/>
  <c r="L48" i="24" s="1"/>
  <c r="J40" i="24"/>
  <c r="AX141" i="24"/>
  <c r="T141" i="24" s="1"/>
  <c r="I59" i="24"/>
  <c r="I100" i="24"/>
  <c r="I137" i="24"/>
  <c r="I37" i="24"/>
  <c r="AW45" i="24"/>
  <c r="P141" i="24"/>
  <c r="AW70" i="24"/>
  <c r="AV58" i="24"/>
  <c r="K58" i="24" s="1"/>
  <c r="AW51" i="24"/>
  <c r="AV69" i="24"/>
  <c r="L69" i="24" s="1"/>
  <c r="AW37" i="24"/>
  <c r="AV143" i="24"/>
  <c r="M143" i="24" s="1"/>
  <c r="I31" i="24"/>
  <c r="I136" i="24"/>
  <c r="I101" i="24"/>
  <c r="I129" i="24"/>
  <c r="I102" i="24"/>
  <c r="I94" i="24"/>
  <c r="J48" i="24"/>
  <c r="AX31" i="24"/>
  <c r="S31" i="24" s="1"/>
  <c r="AW102" i="24"/>
  <c r="E98" i="46"/>
  <c r="Q147" i="24"/>
  <c r="Q52" i="24"/>
  <c r="AW143" i="24"/>
  <c r="I147" i="24"/>
  <c r="I122" i="24"/>
  <c r="Q39" i="24"/>
  <c r="AV54" i="24"/>
  <c r="K54" i="24" s="1"/>
  <c r="AW66" i="24"/>
  <c r="AV45" i="24"/>
  <c r="L45" i="24" s="1"/>
  <c r="I75" i="24"/>
  <c r="I49" i="24"/>
  <c r="I88" i="24"/>
  <c r="I79" i="24"/>
  <c r="I47" i="24"/>
  <c r="I142" i="24"/>
  <c r="I114" i="24"/>
  <c r="I111" i="24"/>
  <c r="I113" i="24"/>
  <c r="I53" i="24"/>
  <c r="I130" i="24"/>
  <c r="I58" i="24"/>
  <c r="I90" i="24"/>
  <c r="I80" i="24"/>
  <c r="I103" i="24"/>
  <c r="I77" i="24"/>
  <c r="I98" i="24"/>
  <c r="I60" i="24"/>
  <c r="I123" i="24"/>
  <c r="I38" i="24"/>
  <c r="I65" i="24"/>
  <c r="I96" i="24"/>
  <c r="I128" i="24"/>
  <c r="I52" i="24"/>
  <c r="AX56" i="24"/>
  <c r="S56" i="24" s="1"/>
  <c r="I33" i="24"/>
  <c r="I82" i="24"/>
  <c r="I110" i="24"/>
  <c r="I131" i="24"/>
  <c r="I126" i="24"/>
  <c r="I39" i="24"/>
  <c r="I148" i="24"/>
  <c r="I91" i="24"/>
  <c r="I32" i="24"/>
  <c r="I120" i="24"/>
  <c r="I42" i="24"/>
  <c r="I125" i="24"/>
  <c r="I43" i="24"/>
  <c r="I140" i="24"/>
  <c r="I99" i="24"/>
  <c r="I55" i="24"/>
  <c r="I112" i="24"/>
  <c r="I93" i="24"/>
  <c r="I117" i="24"/>
  <c r="I85" i="24"/>
  <c r="I145" i="24"/>
  <c r="I78" i="24"/>
  <c r="P144" i="24"/>
  <c r="Y132" i="46"/>
  <c r="E132" i="46"/>
  <c r="O132" i="46"/>
  <c r="AB11" i="113"/>
  <c r="E127" i="46"/>
  <c r="Y127" i="46"/>
  <c r="O127" i="46"/>
  <c r="Y88" i="46"/>
  <c r="E88" i="46"/>
  <c r="O88" i="46"/>
  <c r="Q101" i="46"/>
  <c r="Y101" i="46"/>
  <c r="E101" i="46"/>
  <c r="O101" i="46"/>
  <c r="G101" i="46"/>
  <c r="AA101" i="46"/>
  <c r="E90" i="46"/>
  <c r="O90" i="46"/>
  <c r="Y90" i="46"/>
  <c r="F99" i="46"/>
  <c r="O117" i="46"/>
  <c r="E117" i="46"/>
  <c r="Y117" i="46"/>
  <c r="Y75" i="46"/>
  <c r="O75" i="46"/>
  <c r="E75" i="46"/>
  <c r="E123" i="46"/>
  <c r="Y123" i="46"/>
  <c r="O123" i="46"/>
  <c r="Y84" i="46"/>
  <c r="O84" i="46"/>
  <c r="E84" i="46"/>
  <c r="O93" i="46"/>
  <c r="Y93" i="46"/>
  <c r="E93" i="46"/>
  <c r="Y125" i="46"/>
  <c r="O125" i="46"/>
  <c r="E125" i="46"/>
  <c r="AX61" i="24"/>
  <c r="R61" i="24" s="1"/>
  <c r="I56" i="24"/>
  <c r="I133" i="24"/>
  <c r="P101" i="24"/>
  <c r="AX101" i="24"/>
  <c r="S101" i="24" s="1"/>
  <c r="Y120" i="46"/>
  <c r="O120" i="46"/>
  <c r="E120" i="46"/>
  <c r="Y79" i="46"/>
  <c r="O79" i="46"/>
  <c r="E79" i="46"/>
  <c r="O116" i="46"/>
  <c r="E116" i="46"/>
  <c r="Y116" i="46"/>
  <c r="Y73" i="46"/>
  <c r="E73" i="46"/>
  <c r="O73" i="46"/>
  <c r="G96" i="46"/>
  <c r="Q96" i="46"/>
  <c r="O96" i="46"/>
  <c r="E96" i="46"/>
  <c r="Y96" i="46"/>
  <c r="AA96" i="46"/>
  <c r="Y130" i="46"/>
  <c r="E130" i="46"/>
  <c r="O130" i="46"/>
  <c r="Y128" i="46"/>
  <c r="E128" i="46"/>
  <c r="O128" i="46"/>
  <c r="I61" i="24"/>
  <c r="I118" i="24"/>
  <c r="Y145" i="46"/>
  <c r="O145" i="46"/>
  <c r="E145" i="46"/>
  <c r="O80" i="46"/>
  <c r="E80" i="46"/>
  <c r="Y80" i="46"/>
  <c r="Y82" i="46"/>
  <c r="E82" i="46"/>
  <c r="O82" i="46"/>
  <c r="F97" i="46"/>
  <c r="O110" i="46"/>
  <c r="Y110" i="46"/>
  <c r="E110" i="46"/>
  <c r="Y99" i="46"/>
  <c r="Q99" i="46"/>
  <c r="O99" i="46"/>
  <c r="G99" i="46"/>
  <c r="AA99" i="46"/>
  <c r="E99" i="46"/>
  <c r="Y118" i="46"/>
  <c r="E118" i="46"/>
  <c r="O118" i="46"/>
  <c r="E76" i="46"/>
  <c r="Y76" i="46"/>
  <c r="O76" i="46"/>
  <c r="Y124" i="46"/>
  <c r="E124" i="46"/>
  <c r="O124" i="46"/>
  <c r="E85" i="46"/>
  <c r="O85" i="46"/>
  <c r="Y85" i="46"/>
  <c r="E86" i="46"/>
  <c r="O86" i="46"/>
  <c r="Y86" i="46"/>
  <c r="AB21" i="113"/>
  <c r="AW49" i="24"/>
  <c r="AW42" i="24"/>
  <c r="I144" i="24"/>
  <c r="E113" i="46"/>
  <c r="Y113" i="46"/>
  <c r="O113" i="46"/>
  <c r="Y114" i="46"/>
  <c r="O114" i="46"/>
  <c r="E114" i="46"/>
  <c r="Y133" i="46"/>
  <c r="E133" i="46"/>
  <c r="O133" i="46"/>
  <c r="O108" i="46"/>
  <c r="E108" i="46"/>
  <c r="Y108" i="46"/>
  <c r="AC99" i="46"/>
  <c r="I99" i="46"/>
  <c r="S99" i="46"/>
  <c r="AE99" i="46"/>
  <c r="AA97" i="46"/>
  <c r="E97" i="46"/>
  <c r="Q97" i="46"/>
  <c r="G97" i="46"/>
  <c r="Y97" i="46"/>
  <c r="O97" i="46"/>
  <c r="O89" i="46"/>
  <c r="E89" i="46"/>
  <c r="Y89" i="46"/>
  <c r="AW60" i="24"/>
  <c r="AV101" i="24"/>
  <c r="M101" i="24" s="1"/>
  <c r="AW47" i="24"/>
  <c r="AB13" i="113"/>
  <c r="AX54" i="24"/>
  <c r="R54" i="24" s="1"/>
  <c r="AW104" i="24"/>
  <c r="AV141" i="24"/>
  <c r="AV40" i="24"/>
  <c r="K40" i="24" s="1"/>
  <c r="AV72" i="24"/>
  <c r="M72" i="24" s="1"/>
  <c r="AW142" i="24"/>
  <c r="AV145" i="24"/>
  <c r="K145" i="24" s="1"/>
  <c r="I115" i="24"/>
  <c r="I46" i="24"/>
  <c r="I62" i="24"/>
  <c r="I66" i="24"/>
  <c r="I69" i="24"/>
  <c r="I124" i="24"/>
  <c r="P100" i="24"/>
  <c r="AX100" i="24"/>
  <c r="R100" i="24" s="1"/>
  <c r="O94" i="46"/>
  <c r="Y94" i="46"/>
  <c r="E94" i="46"/>
  <c r="O131" i="46"/>
  <c r="Y131" i="46"/>
  <c r="E131" i="46"/>
  <c r="O115" i="46"/>
  <c r="Y115" i="46"/>
  <c r="E115" i="46"/>
  <c r="Y72" i="46"/>
  <c r="O72" i="46"/>
  <c r="E72" i="46"/>
  <c r="F101" i="46"/>
  <c r="F96" i="46"/>
  <c r="E74" i="46"/>
  <c r="Y74" i="46"/>
  <c r="O74" i="46"/>
  <c r="O135" i="46"/>
  <c r="E135" i="46"/>
  <c r="Y135" i="46"/>
  <c r="O91" i="46"/>
  <c r="Y91" i="46"/>
  <c r="E91" i="46"/>
  <c r="O111" i="46"/>
  <c r="E111" i="46"/>
  <c r="Y111" i="46"/>
  <c r="O119" i="46"/>
  <c r="Y119" i="46"/>
  <c r="E119" i="46"/>
  <c r="Y77" i="46"/>
  <c r="O77" i="46"/>
  <c r="E77" i="46"/>
  <c r="E136" i="46"/>
  <c r="Y136" i="46"/>
  <c r="O136" i="46"/>
  <c r="Y30" i="46"/>
  <c r="O30" i="46"/>
  <c r="J101" i="46"/>
  <c r="AV55" i="24"/>
  <c r="K55" i="24" s="1"/>
  <c r="I40" i="24"/>
  <c r="I73" i="24"/>
  <c r="I70" i="24"/>
  <c r="I134" i="24"/>
  <c r="E78" i="46"/>
  <c r="O78" i="46"/>
  <c r="Y78" i="46"/>
  <c r="AC101" i="46"/>
  <c r="S101" i="46"/>
  <c r="AE101" i="46"/>
  <c r="I101" i="46"/>
  <c r="Y107" i="46"/>
  <c r="O107" i="46"/>
  <c r="E107" i="46"/>
  <c r="O109" i="46"/>
  <c r="Y109" i="46"/>
  <c r="E109" i="46"/>
  <c r="E144" i="46"/>
  <c r="Y144" i="46"/>
  <c r="O144" i="46"/>
  <c r="Y122" i="46"/>
  <c r="O122" i="46"/>
  <c r="E122" i="46"/>
  <c r="E92" i="46"/>
  <c r="Y92" i="46"/>
  <c r="O92" i="46"/>
  <c r="Y137" i="46"/>
  <c r="E137" i="46"/>
  <c r="O137" i="46"/>
  <c r="O112" i="46"/>
  <c r="Y112" i="46"/>
  <c r="E112" i="46"/>
  <c r="Y29" i="46"/>
  <c r="O29" i="46"/>
  <c r="O95" i="46"/>
  <c r="Y95" i="46"/>
  <c r="E95" i="46"/>
  <c r="I97" i="46"/>
  <c r="S97" i="46"/>
  <c r="AE97" i="46"/>
  <c r="AC97" i="46"/>
  <c r="AW99" i="24"/>
  <c r="I67" i="24"/>
  <c r="I41" i="24"/>
  <c r="I127" i="24"/>
  <c r="I138" i="24"/>
  <c r="Y70" i="46"/>
  <c r="O70" i="46"/>
  <c r="E70" i="46"/>
  <c r="Y126" i="46"/>
  <c r="O126" i="46"/>
  <c r="E126" i="46"/>
  <c r="E87" i="46"/>
  <c r="Y87" i="46"/>
  <c r="O87" i="46"/>
  <c r="E121" i="46"/>
  <c r="O121" i="46"/>
  <c r="Y121" i="46"/>
  <c r="E81" i="46"/>
  <c r="O81" i="46"/>
  <c r="Y81" i="46"/>
  <c r="Y134" i="46"/>
  <c r="E134" i="46"/>
  <c r="O134" i="46"/>
  <c r="AX66" i="24"/>
  <c r="S66" i="24" s="1"/>
  <c r="Q74" i="24"/>
  <c r="AV61" i="24"/>
  <c r="L61" i="24" s="1"/>
  <c r="Q112" i="46"/>
  <c r="AW100" i="24"/>
  <c r="AW59" i="24"/>
  <c r="G112" i="46"/>
  <c r="M142" i="24"/>
  <c r="K142" i="24"/>
  <c r="L142" i="24"/>
  <c r="F144" i="46"/>
  <c r="AW147" i="24"/>
  <c r="AV147" i="24"/>
  <c r="AP132" i="46"/>
  <c r="U132" i="46" s="1"/>
  <c r="AV53" i="24"/>
  <c r="M53" i="24" s="1"/>
  <c r="AQ133" i="46"/>
  <c r="AU144" i="24"/>
  <c r="AX144" i="24" s="1"/>
  <c r="S144" i="24" s="1"/>
  <c r="AQ141" i="46"/>
  <c r="AA141" i="46" s="1"/>
  <c r="AP137" i="46"/>
  <c r="Q137" i="46" s="1"/>
  <c r="AP144" i="46"/>
  <c r="AE144" i="46" s="1"/>
  <c r="G115" i="46"/>
  <c r="P34" i="24"/>
  <c r="AV49" i="24"/>
  <c r="K49" i="24" s="1"/>
  <c r="G114" i="46"/>
  <c r="J67" i="24"/>
  <c r="G111" i="46"/>
  <c r="AW148" i="24"/>
  <c r="AV148" i="24"/>
  <c r="Q53" i="24"/>
  <c r="G116" i="46"/>
  <c r="G109" i="46"/>
  <c r="P147" i="24"/>
  <c r="AX147" i="24"/>
  <c r="S147" i="24" s="1"/>
  <c r="J145" i="46"/>
  <c r="P148" i="24"/>
  <c r="AX148" i="24"/>
  <c r="S148" i="24" s="1"/>
  <c r="AT136" i="24"/>
  <c r="Q136" i="24" s="1"/>
  <c r="AT144" i="24"/>
  <c r="Q144" i="24" s="1"/>
  <c r="AP138" i="46"/>
  <c r="G138" i="46" s="1"/>
  <c r="AP145" i="46"/>
  <c r="K145" i="46" s="1"/>
  <c r="J57" i="24"/>
  <c r="Q43" i="24"/>
  <c r="I144" i="46"/>
  <c r="AC144" i="46"/>
  <c r="S144" i="46"/>
  <c r="I145" i="46"/>
  <c r="S145" i="46"/>
  <c r="AC145" i="46"/>
  <c r="AP67" i="46"/>
  <c r="AE67" i="46" s="1"/>
  <c r="AP139" i="46"/>
  <c r="G139" i="46" s="1"/>
  <c r="J61" i="24"/>
  <c r="AW34" i="24"/>
  <c r="F145" i="46"/>
  <c r="AV102" i="24"/>
  <c r="M102" i="24" s="1"/>
  <c r="AA114" i="46"/>
  <c r="G108" i="46"/>
  <c r="AX53" i="24"/>
  <c r="T53" i="24" s="1"/>
  <c r="AV63" i="24"/>
  <c r="L63" i="24" s="1"/>
  <c r="AW31" i="24"/>
  <c r="AP117" i="46"/>
  <c r="AA117" i="46" s="1"/>
  <c r="AP29" i="46"/>
  <c r="AE29" i="46" s="1"/>
  <c r="AA115" i="46"/>
  <c r="AA111" i="46"/>
  <c r="AP110" i="46"/>
  <c r="G110" i="46" s="1"/>
  <c r="Q116" i="46"/>
  <c r="J47" i="24"/>
  <c r="AW69" i="24"/>
  <c r="Q138" i="24"/>
  <c r="AP85" i="46"/>
  <c r="U85" i="46" s="1"/>
  <c r="G98" i="46"/>
  <c r="J69" i="24"/>
  <c r="O98" i="46"/>
  <c r="AX46" i="24"/>
  <c r="R46" i="24" s="1"/>
  <c r="AA98" i="46"/>
  <c r="AP81" i="46"/>
  <c r="Q81" i="46" s="1"/>
  <c r="AP17" i="46"/>
  <c r="AE17" i="46" s="1"/>
  <c r="Q98" i="46"/>
  <c r="AW55" i="24"/>
  <c r="AP122" i="46"/>
  <c r="U122" i="46" s="1"/>
  <c r="Q130" i="24"/>
  <c r="AX55" i="24"/>
  <c r="T55" i="24" s="1"/>
  <c r="AP121" i="46"/>
  <c r="G121" i="46" s="1"/>
  <c r="AP133" i="46"/>
  <c r="U133" i="46" s="1"/>
  <c r="AT135" i="24"/>
  <c r="Q135" i="24" s="1"/>
  <c r="AN132" i="46"/>
  <c r="AW65" i="24"/>
  <c r="AP83" i="46"/>
  <c r="U83" i="46" s="1"/>
  <c r="P63" i="24"/>
  <c r="AV37" i="24"/>
  <c r="K37" i="24" s="1"/>
  <c r="AP135" i="46"/>
  <c r="Q135" i="46" s="1"/>
  <c r="AP125" i="46"/>
  <c r="AE125" i="46" s="1"/>
  <c r="AT115" i="24"/>
  <c r="Q115" i="24" s="1"/>
  <c r="AW64" i="24"/>
  <c r="AX49" i="24"/>
  <c r="T49" i="24" s="1"/>
  <c r="R104" i="24"/>
  <c r="T104" i="24"/>
  <c r="AX37" i="24"/>
  <c r="S37" i="24" s="1"/>
  <c r="AX69" i="24"/>
  <c r="S69" i="24" s="1"/>
  <c r="AN112" i="46"/>
  <c r="AT110" i="24"/>
  <c r="Q110" i="24" s="1"/>
  <c r="AX64" i="24"/>
  <c r="T64" i="24" s="1"/>
  <c r="AU135" i="24"/>
  <c r="AV135" i="24" s="1"/>
  <c r="AX44" i="24"/>
  <c r="S44" i="24" s="1"/>
  <c r="AP126" i="46"/>
  <c r="U126" i="46" s="1"/>
  <c r="AP119" i="46"/>
  <c r="G119" i="46" s="1"/>
  <c r="AP93" i="46"/>
  <c r="Q93" i="46" s="1"/>
  <c r="AN107" i="46"/>
  <c r="AQ132" i="46"/>
  <c r="K132" i="46" s="1"/>
  <c r="AP131" i="46"/>
  <c r="U131" i="46" s="1"/>
  <c r="AP127" i="46"/>
  <c r="AE127" i="46" s="1"/>
  <c r="AP118" i="46"/>
  <c r="AA118" i="46" s="1"/>
  <c r="AP62" i="46"/>
  <c r="Q62" i="46" s="1"/>
  <c r="AX70" i="24"/>
  <c r="R70" i="24" s="1"/>
  <c r="AP76" i="46"/>
  <c r="AA76" i="46" s="1"/>
  <c r="AP124" i="46"/>
  <c r="AA124" i="46" s="1"/>
  <c r="AP75" i="46"/>
  <c r="G75" i="46" s="1"/>
  <c r="AN133" i="46"/>
  <c r="AX67" i="24"/>
  <c r="S67" i="24" s="1"/>
  <c r="AX50" i="24"/>
  <c r="T50" i="24" s="1"/>
  <c r="AN113" i="46"/>
  <c r="P50" i="24"/>
  <c r="AA116" i="46"/>
  <c r="AP92" i="46"/>
  <c r="Q92" i="46" s="1"/>
  <c r="AP128" i="46"/>
  <c r="AA128" i="46" s="1"/>
  <c r="AU136" i="24"/>
  <c r="AW136" i="24" s="1"/>
  <c r="AP33" i="46"/>
  <c r="K33" i="46" s="1"/>
  <c r="AW44" i="24"/>
  <c r="AW43" i="24"/>
  <c r="AV67" i="24"/>
  <c r="K67" i="24" s="1"/>
  <c r="AT118" i="24"/>
  <c r="Q118" i="24" s="1"/>
  <c r="AP130" i="46"/>
  <c r="U130" i="46" s="1"/>
  <c r="AV44" i="24"/>
  <c r="K44" i="24" s="1"/>
  <c r="AA109" i="46"/>
  <c r="AW67" i="24"/>
  <c r="P110" i="24"/>
  <c r="AP27" i="46"/>
  <c r="AE27" i="46" s="1"/>
  <c r="J97" i="24"/>
  <c r="AT111" i="24"/>
  <c r="Q111" i="24" s="1"/>
  <c r="AP123" i="46"/>
  <c r="K123" i="46" s="1"/>
  <c r="AP94" i="46"/>
  <c r="Q94" i="46" s="1"/>
  <c r="AP134" i="46"/>
  <c r="U134" i="46" s="1"/>
  <c r="S107" i="46"/>
  <c r="AE107" i="46"/>
  <c r="AC107" i="46"/>
  <c r="I107" i="46"/>
  <c r="AP120" i="46"/>
  <c r="K120" i="46" s="1"/>
  <c r="AV103" i="24"/>
  <c r="AW103" i="24"/>
  <c r="AA108" i="46"/>
  <c r="F107" i="46"/>
  <c r="Q107" i="46"/>
  <c r="AA107" i="46"/>
  <c r="G107" i="46"/>
  <c r="AV70" i="24"/>
  <c r="K70" i="24" s="1"/>
  <c r="AP78" i="46"/>
  <c r="K78" i="46" s="1"/>
  <c r="AV38" i="24"/>
  <c r="L38" i="24" s="1"/>
  <c r="AP47" i="46"/>
  <c r="Q47" i="46" s="1"/>
  <c r="P51" i="24"/>
  <c r="AW58" i="24"/>
  <c r="AX58" i="24"/>
  <c r="T58" i="24" s="1"/>
  <c r="J49" i="24"/>
  <c r="AV52" i="24"/>
  <c r="M52" i="24" s="1"/>
  <c r="AV51" i="24"/>
  <c r="K51" i="24" s="1"/>
  <c r="AX57" i="24"/>
  <c r="S57" i="24" s="1"/>
  <c r="AP24" i="46"/>
  <c r="Q24" i="46" s="1"/>
  <c r="AP80" i="46"/>
  <c r="K80" i="46" s="1"/>
  <c r="AP57" i="46"/>
  <c r="U57" i="46" s="1"/>
  <c r="AX68" i="24"/>
  <c r="S68" i="24" s="1"/>
  <c r="AP49" i="46"/>
  <c r="K49" i="46" s="1"/>
  <c r="P70" i="26"/>
  <c r="N70" i="26" s="1"/>
  <c r="L70" i="26" s="1"/>
  <c r="J70" i="26" s="1"/>
  <c r="K70" i="26" s="1"/>
  <c r="Q126" i="24"/>
  <c r="AX74" i="24"/>
  <c r="R74" i="24" s="1"/>
  <c r="AX40" i="24"/>
  <c r="T40" i="24" s="1"/>
  <c r="AX62" i="24"/>
  <c r="R62" i="24" s="1"/>
  <c r="Q51" i="24"/>
  <c r="P43" i="24"/>
  <c r="AW62" i="24"/>
  <c r="AX71" i="24"/>
  <c r="S71" i="24" s="1"/>
  <c r="AX65" i="24"/>
  <c r="S65" i="24" s="1"/>
  <c r="J71" i="24"/>
  <c r="J68" i="24"/>
  <c r="J16" i="24"/>
  <c r="AX60" i="24"/>
  <c r="R60" i="24" s="1"/>
  <c r="AP61" i="46"/>
  <c r="U61" i="46" s="1"/>
  <c r="J45" i="24"/>
  <c r="AW48" i="24"/>
  <c r="AX39" i="24"/>
  <c r="S39" i="24" s="1"/>
  <c r="AX45" i="24"/>
  <c r="R45" i="24" s="1"/>
  <c r="AX48" i="24"/>
  <c r="S48" i="24" s="1"/>
  <c r="AV57" i="24"/>
  <c r="K57" i="24" s="1"/>
  <c r="AV68" i="24"/>
  <c r="M68" i="24" s="1"/>
  <c r="AW74" i="24"/>
  <c r="AW57" i="24"/>
  <c r="E40" i="46"/>
  <c r="AW36" i="24"/>
  <c r="AV42" i="24"/>
  <c r="L42" i="24" s="1"/>
  <c r="AP89" i="46"/>
  <c r="G89" i="46" s="1"/>
  <c r="AX42" i="24"/>
  <c r="R42" i="24" s="1"/>
  <c r="AP72" i="46"/>
  <c r="K72" i="46" s="1"/>
  <c r="Q31" i="24"/>
  <c r="AX47" i="24"/>
  <c r="S47" i="24" s="1"/>
  <c r="AV50" i="24"/>
  <c r="M50" i="24" s="1"/>
  <c r="AW56" i="24"/>
  <c r="AX41" i="24"/>
  <c r="T41" i="24" s="1"/>
  <c r="J46" i="24"/>
  <c r="AX36" i="24"/>
  <c r="R36" i="24" s="1"/>
  <c r="J73" i="24"/>
  <c r="AP77" i="46"/>
  <c r="AA77" i="46" s="1"/>
  <c r="AA112" i="46"/>
  <c r="AX59" i="24"/>
  <c r="T59" i="24" s="1"/>
  <c r="AV46" i="24"/>
  <c r="L46" i="24" s="1"/>
  <c r="AW41" i="24"/>
  <c r="AV41" i="24"/>
  <c r="M41" i="24" s="1"/>
  <c r="AP86" i="46"/>
  <c r="AE86" i="46" s="1"/>
  <c r="Q77" i="24"/>
  <c r="J137" i="24"/>
  <c r="J70" i="24"/>
  <c r="AP88" i="46"/>
  <c r="G88" i="46" s="1"/>
  <c r="Q139" i="24"/>
  <c r="AS51" i="26"/>
  <c r="AT51" i="26" s="1"/>
  <c r="AP91" i="46"/>
  <c r="Q91" i="46" s="1"/>
  <c r="Q128" i="24"/>
  <c r="AP84" i="46"/>
  <c r="Q84" i="46" s="1"/>
  <c r="AX72" i="24"/>
  <c r="S72" i="24" s="1"/>
  <c r="AX52" i="24"/>
  <c r="S52" i="24" s="1"/>
  <c r="Q108" i="46"/>
  <c r="AW40" i="24"/>
  <c r="AW72" i="24"/>
  <c r="AP30" i="46"/>
  <c r="AA30" i="46" s="1"/>
  <c r="AP16" i="46"/>
  <c r="K16" i="46" s="1"/>
  <c r="Q109" i="46"/>
  <c r="AP79" i="46"/>
  <c r="K79" i="46" s="1"/>
  <c r="F80" i="46"/>
  <c r="AP74" i="46"/>
  <c r="AA74" i="46" s="1"/>
  <c r="AA87" i="46"/>
  <c r="G87" i="46"/>
  <c r="Q87" i="46"/>
  <c r="P113" i="24"/>
  <c r="AX113" i="24"/>
  <c r="R113" i="24" s="1"/>
  <c r="I115" i="46"/>
  <c r="S115" i="46"/>
  <c r="AC115" i="46"/>
  <c r="AE115" i="46"/>
  <c r="P76" i="24"/>
  <c r="AX76" i="24"/>
  <c r="S76" i="24" s="1"/>
  <c r="AE98" i="46"/>
  <c r="E143" i="46"/>
  <c r="J127" i="24"/>
  <c r="P79" i="24"/>
  <c r="AX79" i="24"/>
  <c r="S79" i="24" s="1"/>
  <c r="P96" i="24"/>
  <c r="AX96" i="24"/>
  <c r="S96" i="24" s="1"/>
  <c r="P125" i="24"/>
  <c r="AX125" i="24"/>
  <c r="S125" i="24" s="1"/>
  <c r="P139" i="24"/>
  <c r="AX139" i="24"/>
  <c r="R139" i="24" s="1"/>
  <c r="J79" i="46"/>
  <c r="F112" i="46"/>
  <c r="J124" i="46"/>
  <c r="I88" i="46"/>
  <c r="AC88" i="46"/>
  <c r="S88" i="46"/>
  <c r="AW125" i="24"/>
  <c r="AV125" i="24"/>
  <c r="AW139" i="24"/>
  <c r="AV139" i="24"/>
  <c r="F82" i="46"/>
  <c r="P115" i="24"/>
  <c r="AX115" i="24"/>
  <c r="S115" i="24" s="1"/>
  <c r="J119" i="46"/>
  <c r="P83" i="24"/>
  <c r="AX83" i="24"/>
  <c r="S83" i="24" s="1"/>
  <c r="AX77" i="24"/>
  <c r="S77" i="24" s="1"/>
  <c r="P77" i="24"/>
  <c r="P94" i="24"/>
  <c r="AX94" i="24"/>
  <c r="S94" i="24" s="1"/>
  <c r="I121" i="46"/>
  <c r="AC121" i="46"/>
  <c r="S121" i="46"/>
  <c r="J90" i="46"/>
  <c r="AX112" i="24"/>
  <c r="S112" i="24" s="1"/>
  <c r="P112" i="24"/>
  <c r="S110" i="46"/>
  <c r="I110" i="46"/>
  <c r="AC110" i="46"/>
  <c r="J120" i="46"/>
  <c r="P84" i="24"/>
  <c r="AX84" i="24"/>
  <c r="S84" i="24" s="1"/>
  <c r="AV112" i="24"/>
  <c r="AW112" i="24"/>
  <c r="AV126" i="24"/>
  <c r="AW126" i="24"/>
  <c r="J118" i="46"/>
  <c r="S84" i="46"/>
  <c r="AC84" i="46"/>
  <c r="I84" i="46"/>
  <c r="S73" i="46"/>
  <c r="AC73" i="46"/>
  <c r="AE73" i="46"/>
  <c r="I73" i="46"/>
  <c r="S90" i="46"/>
  <c r="AC90" i="46"/>
  <c r="I90" i="46"/>
  <c r="AW138" i="24"/>
  <c r="AV138" i="24"/>
  <c r="L138" i="24" s="1"/>
  <c r="AV111" i="24"/>
  <c r="AW111" i="24"/>
  <c r="J122" i="46"/>
  <c r="J111" i="46"/>
  <c r="Q114" i="46"/>
  <c r="S133" i="46"/>
  <c r="I133" i="46"/>
  <c r="AC133" i="46"/>
  <c r="AX91" i="24"/>
  <c r="S91" i="24" s="1"/>
  <c r="P91" i="24"/>
  <c r="AX87" i="24"/>
  <c r="S87" i="24" s="1"/>
  <c r="P87" i="24"/>
  <c r="AW95" i="24"/>
  <c r="AV95" i="24"/>
  <c r="F127" i="46"/>
  <c r="Y143" i="46"/>
  <c r="J80" i="46"/>
  <c r="T63" i="24"/>
  <c r="R63" i="24"/>
  <c r="AC76" i="46"/>
  <c r="S76" i="46"/>
  <c r="I76" i="46"/>
  <c r="S93" i="46"/>
  <c r="AC93" i="46"/>
  <c r="I93" i="46"/>
  <c r="AC122" i="46"/>
  <c r="S122" i="46"/>
  <c r="I122" i="46"/>
  <c r="AC136" i="46"/>
  <c r="I136" i="46"/>
  <c r="S136" i="46"/>
  <c r="AV83" i="24"/>
  <c r="AW83" i="24"/>
  <c r="AW79" i="24"/>
  <c r="AV79" i="24"/>
  <c r="AW96" i="24"/>
  <c r="AV96" i="24"/>
  <c r="AE112" i="46"/>
  <c r="I112" i="46"/>
  <c r="S112" i="46"/>
  <c r="AC112" i="46"/>
  <c r="S80" i="46"/>
  <c r="I80" i="46"/>
  <c r="AC80" i="46"/>
  <c r="AC74" i="46"/>
  <c r="I74" i="46"/>
  <c r="S74" i="46"/>
  <c r="I91" i="46"/>
  <c r="AC91" i="46"/>
  <c r="S91" i="46"/>
  <c r="P119" i="24"/>
  <c r="AX119" i="24"/>
  <c r="S119" i="24" s="1"/>
  <c r="AV131" i="24"/>
  <c r="AW131" i="24"/>
  <c r="AX89" i="24"/>
  <c r="S89" i="24" s="1"/>
  <c r="P89" i="24"/>
  <c r="AC109" i="46"/>
  <c r="S109" i="46"/>
  <c r="I109" i="46"/>
  <c r="AE109" i="46"/>
  <c r="S126" i="46"/>
  <c r="AC126" i="46"/>
  <c r="I126" i="46"/>
  <c r="J87" i="46"/>
  <c r="AW115" i="24"/>
  <c r="AV115" i="24"/>
  <c r="K115" i="24" s="1"/>
  <c r="AC81" i="46"/>
  <c r="I81" i="46"/>
  <c r="S81" i="46"/>
  <c r="AV140" i="24"/>
  <c r="K140" i="24" s="1"/>
  <c r="AW140" i="24"/>
  <c r="AV75" i="24"/>
  <c r="AW75" i="24"/>
  <c r="AW92" i="24"/>
  <c r="AV92" i="24"/>
  <c r="J72" i="46"/>
  <c r="J89" i="46"/>
  <c r="P81" i="24"/>
  <c r="AX81" i="24"/>
  <c r="S81" i="24" s="1"/>
  <c r="P98" i="24"/>
  <c r="AX98" i="24"/>
  <c r="S98" i="24" s="1"/>
  <c r="I127" i="46"/>
  <c r="S127" i="46"/>
  <c r="AC127" i="46"/>
  <c r="F134" i="46"/>
  <c r="J86" i="46"/>
  <c r="F114" i="46"/>
  <c r="J130" i="46"/>
  <c r="AX32" i="24"/>
  <c r="S32" i="24" s="1"/>
  <c r="AV32" i="24"/>
  <c r="AW32" i="24"/>
  <c r="AV81" i="24"/>
  <c r="L81" i="24" s="1"/>
  <c r="AW81" i="24"/>
  <c r="AW98" i="24"/>
  <c r="AV98" i="24"/>
  <c r="F79" i="46"/>
  <c r="P124" i="24"/>
  <c r="AX124" i="24"/>
  <c r="S124" i="24" s="1"/>
  <c r="F86" i="46"/>
  <c r="F117" i="46"/>
  <c r="AC98" i="46"/>
  <c r="AA82" i="46"/>
  <c r="G82" i="46"/>
  <c r="Q82" i="46"/>
  <c r="AV85" i="24"/>
  <c r="AW85" i="24"/>
  <c r="AW114" i="24"/>
  <c r="AV114" i="24"/>
  <c r="AX128" i="24"/>
  <c r="T128" i="24" s="1"/>
  <c r="P128" i="24"/>
  <c r="F85" i="46"/>
  <c r="AV128" i="24"/>
  <c r="AW128" i="24"/>
  <c r="J85" i="46"/>
  <c r="AV117" i="24"/>
  <c r="AW117" i="24"/>
  <c r="AV33" i="24"/>
  <c r="AW33" i="24"/>
  <c r="AV82" i="24"/>
  <c r="AW82" i="24"/>
  <c r="I116" i="46"/>
  <c r="AE116" i="46"/>
  <c r="AC116" i="46"/>
  <c r="S116" i="46"/>
  <c r="F95" i="46"/>
  <c r="F120" i="46"/>
  <c r="S86" i="46"/>
  <c r="AC86" i="46"/>
  <c r="I86" i="46"/>
  <c r="P121" i="24"/>
  <c r="AX121" i="24"/>
  <c r="S121" i="24" s="1"/>
  <c r="AV134" i="24"/>
  <c r="L134" i="24" s="1"/>
  <c r="AW134" i="24"/>
  <c r="F123" i="46"/>
  <c r="AV89" i="24"/>
  <c r="AW89" i="24"/>
  <c r="AX129" i="24"/>
  <c r="S129" i="24" s="1"/>
  <c r="AV129" i="24"/>
  <c r="AW129" i="24"/>
  <c r="F81" i="46"/>
  <c r="F108" i="46"/>
  <c r="F121" i="46"/>
  <c r="F133" i="46"/>
  <c r="P120" i="24"/>
  <c r="AX120" i="24"/>
  <c r="S120" i="24" s="1"/>
  <c r="I29" i="46"/>
  <c r="S29" i="46"/>
  <c r="AC29" i="46"/>
  <c r="AC78" i="46"/>
  <c r="S78" i="46"/>
  <c r="I78" i="46"/>
  <c r="S95" i="46"/>
  <c r="AC95" i="46"/>
  <c r="AE95" i="46"/>
  <c r="I95" i="46"/>
  <c r="AX122" i="24"/>
  <c r="R122" i="24" s="1"/>
  <c r="P122" i="24"/>
  <c r="J117" i="46"/>
  <c r="S137" i="46"/>
  <c r="I137" i="46"/>
  <c r="AC137" i="46"/>
  <c r="AN116" i="46"/>
  <c r="AT119" i="24"/>
  <c r="Q119" i="24" s="1"/>
  <c r="S98" i="46"/>
  <c r="G73" i="46"/>
  <c r="Q73" i="46"/>
  <c r="AA73" i="46"/>
  <c r="G95" i="46"/>
  <c r="Q95" i="46"/>
  <c r="AA95" i="46"/>
  <c r="Q78" i="24"/>
  <c r="AC125" i="46"/>
  <c r="S125" i="46"/>
  <c r="I125" i="46"/>
  <c r="AX33" i="24"/>
  <c r="S33" i="24" s="1"/>
  <c r="P33" i="24"/>
  <c r="P82" i="24"/>
  <c r="AX82" i="24"/>
  <c r="S82" i="24" s="1"/>
  <c r="AX134" i="24"/>
  <c r="R134" i="24" s="1"/>
  <c r="P134" i="24"/>
  <c r="AX127" i="24"/>
  <c r="S127" i="24" s="1"/>
  <c r="P127" i="24"/>
  <c r="AV77" i="24"/>
  <c r="AW77" i="24"/>
  <c r="AV94" i="24"/>
  <c r="AW94" i="24"/>
  <c r="AW116" i="24"/>
  <c r="AV116" i="24"/>
  <c r="I118" i="46"/>
  <c r="AC118" i="46"/>
  <c r="S118" i="46"/>
  <c r="F75" i="46"/>
  <c r="AV121" i="24"/>
  <c r="AW121" i="24"/>
  <c r="P78" i="24"/>
  <c r="AX78" i="24"/>
  <c r="S78" i="24" s="1"/>
  <c r="AX95" i="24"/>
  <c r="S95" i="24" s="1"/>
  <c r="P95" i="24"/>
  <c r="S117" i="46"/>
  <c r="I117" i="46"/>
  <c r="AC117" i="46"/>
  <c r="F77" i="46"/>
  <c r="F94" i="46"/>
  <c r="AW87" i="24"/>
  <c r="AV87" i="24"/>
  <c r="AV118" i="24"/>
  <c r="AW118" i="24"/>
  <c r="I119" i="46"/>
  <c r="S119" i="46"/>
  <c r="AC119" i="46"/>
  <c r="F74" i="46"/>
  <c r="F91" i="46"/>
  <c r="AX85" i="24"/>
  <c r="S85" i="24" s="1"/>
  <c r="P85" i="24"/>
  <c r="J83" i="46"/>
  <c r="AX117" i="24"/>
  <c r="S117" i="24" s="1"/>
  <c r="P117" i="24"/>
  <c r="I123" i="46"/>
  <c r="AC123" i="46"/>
  <c r="S123" i="46"/>
  <c r="AX93" i="24"/>
  <c r="S93" i="24" s="1"/>
  <c r="P93" i="24"/>
  <c r="J91" i="46"/>
  <c r="AN141" i="46"/>
  <c r="AQ134" i="46"/>
  <c r="AU137" i="24"/>
  <c r="AX137" i="24" s="1"/>
  <c r="S137" i="24" s="1"/>
  <c r="AN114" i="46"/>
  <c r="AT117" i="24"/>
  <c r="Q117" i="24" s="1"/>
  <c r="J133" i="24"/>
  <c r="AX88" i="24"/>
  <c r="S88" i="24" s="1"/>
  <c r="P88" i="24"/>
  <c r="AW133" i="24"/>
  <c r="AV133" i="24"/>
  <c r="M133" i="24" s="1"/>
  <c r="J29" i="46"/>
  <c r="J88" i="46"/>
  <c r="F119" i="46"/>
  <c r="F113" i="46"/>
  <c r="Q111" i="46"/>
  <c r="AC30" i="46"/>
  <c r="I30" i="46"/>
  <c r="S30" i="46"/>
  <c r="S79" i="46"/>
  <c r="AC79" i="46"/>
  <c r="I79" i="46"/>
  <c r="P131" i="24"/>
  <c r="AX131" i="24"/>
  <c r="S131" i="24" s="1"/>
  <c r="F90" i="46"/>
  <c r="F126" i="46"/>
  <c r="AX86" i="24"/>
  <c r="S86" i="24" s="1"/>
  <c r="P86" i="24"/>
  <c r="I131" i="46"/>
  <c r="S131" i="46"/>
  <c r="AC131" i="46"/>
  <c r="J82" i="46"/>
  <c r="F110" i="46"/>
  <c r="F109" i="46"/>
  <c r="AC124" i="46"/>
  <c r="I124" i="46"/>
  <c r="S124" i="46"/>
  <c r="AW124" i="24"/>
  <c r="AV124" i="24"/>
  <c r="P137" i="24"/>
  <c r="F128" i="46"/>
  <c r="P75" i="24"/>
  <c r="AX75" i="24"/>
  <c r="R75" i="24" s="1"/>
  <c r="P92" i="24"/>
  <c r="AX92" i="24"/>
  <c r="S92" i="24" s="1"/>
  <c r="F30" i="46"/>
  <c r="J84" i="46"/>
  <c r="J110" i="46"/>
  <c r="J123" i="46"/>
  <c r="F135" i="46"/>
  <c r="S75" i="46"/>
  <c r="I75" i="46"/>
  <c r="AC75" i="46"/>
  <c r="AC92" i="46"/>
  <c r="S92" i="46"/>
  <c r="I92" i="46"/>
  <c r="P135" i="24"/>
  <c r="J121" i="46"/>
  <c r="AA113" i="46"/>
  <c r="Q113" i="46"/>
  <c r="G113" i="46"/>
  <c r="P138" i="24"/>
  <c r="AX138" i="24"/>
  <c r="R138" i="24" s="1"/>
  <c r="AE82" i="46"/>
  <c r="I82" i="46"/>
  <c r="AC82" i="46"/>
  <c r="S82" i="46"/>
  <c r="AX114" i="24"/>
  <c r="S114" i="24" s="1"/>
  <c r="P114" i="24"/>
  <c r="AX130" i="24"/>
  <c r="R130" i="24" s="1"/>
  <c r="AW130" i="24"/>
  <c r="AV130" i="24"/>
  <c r="AE114" i="46"/>
  <c r="I114" i="46"/>
  <c r="AC114" i="46"/>
  <c r="S114" i="46"/>
  <c r="F132" i="46"/>
  <c r="Q115" i="46"/>
  <c r="F84" i="46"/>
  <c r="J30" i="46"/>
  <c r="AV110" i="24"/>
  <c r="AW110" i="24"/>
  <c r="I130" i="46"/>
  <c r="AC130" i="46"/>
  <c r="S130" i="46"/>
  <c r="AN109" i="46"/>
  <c r="AT112" i="24"/>
  <c r="Q112" i="24" s="1"/>
  <c r="AC85" i="46"/>
  <c r="I85" i="46"/>
  <c r="S85" i="46"/>
  <c r="AV88" i="24"/>
  <c r="AW88" i="24"/>
  <c r="AC128" i="46"/>
  <c r="S128" i="46"/>
  <c r="I128" i="46"/>
  <c r="S83" i="46"/>
  <c r="I83" i="46"/>
  <c r="AC83" i="46"/>
  <c r="P116" i="24"/>
  <c r="AX116" i="24"/>
  <c r="T116" i="24" s="1"/>
  <c r="P80" i="24"/>
  <c r="AX80" i="24"/>
  <c r="S80" i="24" s="1"/>
  <c r="P97" i="24"/>
  <c r="AX97" i="24"/>
  <c r="R97" i="24" s="1"/>
  <c r="I134" i="46"/>
  <c r="S134" i="46"/>
  <c r="AC134" i="46"/>
  <c r="J95" i="46"/>
  <c r="AC72" i="46"/>
  <c r="I72" i="46"/>
  <c r="S72" i="46"/>
  <c r="I89" i="46"/>
  <c r="S89" i="46"/>
  <c r="AC89" i="46"/>
  <c r="AW84" i="24"/>
  <c r="AV84" i="24"/>
  <c r="AV123" i="24"/>
  <c r="AW123" i="24"/>
  <c r="AC132" i="46"/>
  <c r="I132" i="46"/>
  <c r="S132" i="46"/>
  <c r="J81" i="46"/>
  <c r="P111" i="24"/>
  <c r="AX111" i="24"/>
  <c r="R111" i="24" s="1"/>
  <c r="AX73" i="24"/>
  <c r="S73" i="24" s="1"/>
  <c r="P73" i="24"/>
  <c r="AX90" i="24"/>
  <c r="S90" i="24" s="1"/>
  <c r="P90" i="24"/>
  <c r="I135" i="46"/>
  <c r="S135" i="46"/>
  <c r="AC135" i="46"/>
  <c r="J77" i="46"/>
  <c r="J94" i="46"/>
  <c r="F122" i="46"/>
  <c r="F111" i="46"/>
  <c r="AV73" i="24"/>
  <c r="AW73" i="24"/>
  <c r="AW90" i="24"/>
  <c r="AV90" i="24"/>
  <c r="AE111" i="46"/>
  <c r="S111" i="46"/>
  <c r="AC111" i="46"/>
  <c r="I111" i="46"/>
  <c r="F29" i="46"/>
  <c r="F88" i="46"/>
  <c r="AC120" i="46"/>
  <c r="S120" i="46"/>
  <c r="I120" i="46"/>
  <c r="AW113" i="24"/>
  <c r="AV113" i="24"/>
  <c r="AV78" i="24"/>
  <c r="AW78" i="24"/>
  <c r="AW122" i="24"/>
  <c r="AV122" i="24"/>
  <c r="AN134" i="46"/>
  <c r="AT137" i="24"/>
  <c r="Q137" i="24" s="1"/>
  <c r="AQ143" i="46"/>
  <c r="Q143" i="46" s="1"/>
  <c r="AP136" i="46"/>
  <c r="K136" i="46" s="1"/>
  <c r="AV76" i="24"/>
  <c r="AW76" i="24"/>
  <c r="AV93" i="24"/>
  <c r="AW93" i="24"/>
  <c r="P136" i="24"/>
  <c r="F76" i="46"/>
  <c r="F93" i="46"/>
  <c r="J76" i="46"/>
  <c r="J93" i="46"/>
  <c r="F136" i="46"/>
  <c r="AV91" i="24"/>
  <c r="AW91" i="24"/>
  <c r="I113" i="46"/>
  <c r="AC113" i="46"/>
  <c r="AE113" i="46"/>
  <c r="S113" i="46"/>
  <c r="F70" i="46"/>
  <c r="F87" i="46"/>
  <c r="J126" i="46"/>
  <c r="I77" i="46"/>
  <c r="S77" i="46"/>
  <c r="AC77" i="46"/>
  <c r="S94" i="46"/>
  <c r="AC94" i="46"/>
  <c r="I94" i="46"/>
  <c r="AV119" i="24"/>
  <c r="AW119" i="24"/>
  <c r="AX126" i="24"/>
  <c r="R126" i="24" s="1"/>
  <c r="P126" i="24"/>
  <c r="P140" i="24"/>
  <c r="AX140" i="24"/>
  <c r="R140" i="24" s="1"/>
  <c r="F118" i="46"/>
  <c r="AV80" i="24"/>
  <c r="AW80" i="24"/>
  <c r="AV97" i="24"/>
  <c r="M97" i="24" s="1"/>
  <c r="AW97" i="24"/>
  <c r="P123" i="24"/>
  <c r="AX123" i="24"/>
  <c r="S123" i="24" s="1"/>
  <c r="F72" i="46"/>
  <c r="F89" i="46"/>
  <c r="F116" i="46"/>
  <c r="F125" i="46"/>
  <c r="F115" i="46"/>
  <c r="P118" i="24"/>
  <c r="AX118" i="24"/>
  <c r="AE108" i="46"/>
  <c r="S108" i="46"/>
  <c r="AC108" i="46"/>
  <c r="I108" i="46"/>
  <c r="J125" i="46"/>
  <c r="S87" i="46"/>
  <c r="AE87" i="46"/>
  <c r="AC87" i="46"/>
  <c r="I87" i="46"/>
  <c r="AW120" i="24"/>
  <c r="AV120" i="24"/>
  <c r="AW127" i="24"/>
  <c r="AV127" i="24"/>
  <c r="AX133" i="24"/>
  <c r="S133" i="24" s="1"/>
  <c r="P133" i="24"/>
  <c r="AV11" i="24"/>
  <c r="M11" i="24" s="1"/>
  <c r="AW23" i="24"/>
  <c r="W90" i="24"/>
  <c r="X90" i="24"/>
  <c r="W91" i="24"/>
  <c r="X91" i="24"/>
  <c r="Z55" i="24"/>
  <c r="W133" i="24"/>
  <c r="X133" i="24"/>
  <c r="Z43" i="24"/>
  <c r="X51" i="24"/>
  <c r="W51" i="24"/>
  <c r="W67" i="24"/>
  <c r="X67" i="24"/>
  <c r="W134" i="24"/>
  <c r="X134" i="24"/>
  <c r="W34" i="24"/>
  <c r="X34" i="24"/>
  <c r="X66" i="24"/>
  <c r="W66" i="24"/>
  <c r="W89" i="24"/>
  <c r="X89" i="24"/>
  <c r="W45" i="24"/>
  <c r="X45" i="24"/>
  <c r="X63" i="24"/>
  <c r="W63" i="24"/>
  <c r="Z114" i="24"/>
  <c r="C114" i="24" s="1"/>
  <c r="D114" i="24" s="1"/>
  <c r="X114" i="24"/>
  <c r="W114" i="24"/>
  <c r="W44" i="24"/>
  <c r="X44" i="24"/>
  <c r="W73" i="24"/>
  <c r="X73" i="24"/>
  <c r="Z138" i="24"/>
  <c r="C138" i="24" s="1"/>
  <c r="W94" i="24"/>
  <c r="X94" i="24"/>
  <c r="X129" i="24"/>
  <c r="W129" i="24"/>
  <c r="Z47" i="24"/>
  <c r="C134" i="24"/>
  <c r="Z48" i="24"/>
  <c r="X58" i="24"/>
  <c r="W58" i="24"/>
  <c r="W48" i="24"/>
  <c r="X48" i="24"/>
  <c r="X123" i="24"/>
  <c r="W55" i="24"/>
  <c r="X55" i="24"/>
  <c r="Z33" i="24"/>
  <c r="C33" i="24" s="1"/>
  <c r="Z86" i="24"/>
  <c r="C86" i="24" s="1"/>
  <c r="D86" i="24" s="1"/>
  <c r="W141" i="24"/>
  <c r="X141" i="24"/>
  <c r="Z144" i="24"/>
  <c r="C144" i="24" s="1"/>
  <c r="X143" i="24"/>
  <c r="W143" i="24"/>
  <c r="W85" i="24"/>
  <c r="X85" i="24"/>
  <c r="W116" i="24"/>
  <c r="X116" i="24"/>
  <c r="W56" i="24"/>
  <c r="X56" i="24"/>
  <c r="W47" i="24"/>
  <c r="X47" i="24"/>
  <c r="X87" i="24"/>
  <c r="W87" i="24"/>
  <c r="Z42" i="24"/>
  <c r="W37" i="24"/>
  <c r="X37" i="24"/>
  <c r="Z44" i="24"/>
  <c r="W86" i="24"/>
  <c r="X86" i="24"/>
  <c r="W132" i="24"/>
  <c r="X132" i="24"/>
  <c r="Z45" i="24"/>
  <c r="X72" i="24"/>
  <c r="W72" i="24"/>
  <c r="Z88" i="24"/>
  <c r="C88" i="24" s="1"/>
  <c r="D88" i="24" s="1"/>
  <c r="Z103" i="24"/>
  <c r="C103" i="24" s="1"/>
  <c r="D103" i="24" s="1"/>
  <c r="X131" i="24"/>
  <c r="W131" i="24"/>
  <c r="W136" i="24"/>
  <c r="X136" i="24"/>
  <c r="X125" i="24"/>
  <c r="W125" i="24"/>
  <c r="Z56" i="24"/>
  <c r="W99" i="24"/>
  <c r="X99" i="24"/>
  <c r="X83" i="24"/>
  <c r="W83" i="24"/>
  <c r="X98" i="24"/>
  <c r="W98" i="24"/>
  <c r="X36" i="24"/>
  <c r="W36" i="24"/>
  <c r="W118" i="24"/>
  <c r="X118" i="24"/>
  <c r="Z148" i="24"/>
  <c r="X96" i="24"/>
  <c r="W96" i="24"/>
  <c r="Z69" i="24"/>
  <c r="X113" i="24"/>
  <c r="W113" i="24"/>
  <c r="Z140" i="24"/>
  <c r="C140" i="24" s="1"/>
  <c r="W39" i="24"/>
  <c r="X39" i="24"/>
  <c r="Z104" i="24"/>
  <c r="C104" i="24" s="1"/>
  <c r="D104" i="24" s="1"/>
  <c r="X93" i="24"/>
  <c r="W93" i="24"/>
  <c r="X122" i="24"/>
  <c r="W122" i="24"/>
  <c r="X120" i="24"/>
  <c r="W120" i="24"/>
  <c r="W84" i="24"/>
  <c r="X84" i="24"/>
  <c r="X38" i="24"/>
  <c r="W38" i="24"/>
  <c r="W115" i="24"/>
  <c r="X115" i="24"/>
  <c r="Z85" i="24"/>
  <c r="C85" i="24" s="1"/>
  <c r="D85" i="24" s="1"/>
  <c r="Z37" i="24"/>
  <c r="C37" i="24" s="1"/>
  <c r="D37" i="24" s="1"/>
  <c r="X82" i="24"/>
  <c r="W82" i="24"/>
  <c r="Z99" i="24"/>
  <c r="C99" i="24" s="1"/>
  <c r="D99" i="24" s="1"/>
  <c r="W117" i="24"/>
  <c r="X117" i="24"/>
  <c r="X145" i="24"/>
  <c r="W145" i="24"/>
  <c r="Z53" i="24"/>
  <c r="W53" i="24"/>
  <c r="X53" i="24"/>
  <c r="X97" i="24"/>
  <c r="W97" i="24"/>
  <c r="W142" i="24"/>
  <c r="X142" i="24"/>
  <c r="W75" i="24"/>
  <c r="X75" i="24"/>
  <c r="W140" i="24"/>
  <c r="X140" i="24"/>
  <c r="Z96" i="24"/>
  <c r="C96" i="24" s="1"/>
  <c r="D96" i="24" s="1"/>
  <c r="Z51" i="24"/>
  <c r="Z78" i="24"/>
  <c r="W144" i="24"/>
  <c r="X144" i="24"/>
  <c r="W80" i="24"/>
  <c r="X80" i="24"/>
  <c r="X54" i="24"/>
  <c r="W33" i="24"/>
  <c r="X33" i="24"/>
  <c r="W101" i="24"/>
  <c r="X101" i="24"/>
  <c r="X62" i="24"/>
  <c r="W62" i="24"/>
  <c r="X43" i="24"/>
  <c r="W43" i="24"/>
  <c r="X65" i="24"/>
  <c r="W65" i="24"/>
  <c r="W31" i="24"/>
  <c r="X31" i="24"/>
  <c r="Z62" i="24"/>
  <c r="W135" i="24"/>
  <c r="X135" i="24"/>
  <c r="W111" i="24"/>
  <c r="X111" i="24"/>
  <c r="X42" i="24"/>
  <c r="W42" i="24"/>
  <c r="W61" i="24"/>
  <c r="X61" i="24"/>
  <c r="X110" i="24"/>
  <c r="W110" i="24"/>
  <c r="Z64" i="24"/>
  <c r="W124" i="24"/>
  <c r="X124" i="24"/>
  <c r="Z93" i="24"/>
  <c r="C93" i="24" s="1"/>
  <c r="D93" i="24" s="1"/>
  <c r="X121" i="24"/>
  <c r="W121" i="24"/>
  <c r="Z52" i="24"/>
  <c r="X32" i="24"/>
  <c r="W32" i="24"/>
  <c r="W130" i="24"/>
  <c r="X130" i="24"/>
  <c r="Z101" i="24"/>
  <c r="C101" i="24" s="1"/>
  <c r="D101" i="24" s="1"/>
  <c r="W79" i="24"/>
  <c r="X79" i="24"/>
  <c r="Z46" i="24"/>
  <c r="X74" i="24"/>
  <c r="W74" i="24"/>
  <c r="W52" i="24"/>
  <c r="X52" i="24"/>
  <c r="X71" i="24"/>
  <c r="W71" i="24"/>
  <c r="Z82" i="24"/>
  <c r="Z77" i="24"/>
  <c r="Z89" i="24"/>
  <c r="C89" i="24" s="1"/>
  <c r="D89" i="24" s="1"/>
  <c r="Z60" i="24"/>
  <c r="W112" i="24"/>
  <c r="X112" i="24"/>
  <c r="X46" i="24"/>
  <c r="W46" i="24"/>
  <c r="W147" i="24"/>
  <c r="X147" i="24"/>
  <c r="X95" i="24"/>
  <c r="W95" i="24"/>
  <c r="Z34" i="24"/>
  <c r="Z111" i="24"/>
  <c r="C111" i="24" s="1"/>
  <c r="D111" i="24" s="1"/>
  <c r="W81" i="24"/>
  <c r="X81" i="24"/>
  <c r="Z41" i="24"/>
  <c r="Z81" i="24"/>
  <c r="W128" i="24"/>
  <c r="X128" i="24"/>
  <c r="X78" i="24"/>
  <c r="Z100" i="24"/>
  <c r="C100" i="24" s="1"/>
  <c r="D100" i="24" s="1"/>
  <c r="W64" i="24"/>
  <c r="X64" i="24"/>
  <c r="Z72" i="24"/>
  <c r="X119" i="24"/>
  <c r="W119" i="24"/>
  <c r="W76" i="24"/>
  <c r="X76" i="24"/>
  <c r="X68" i="24"/>
  <c r="W68" i="24"/>
  <c r="W102" i="24"/>
  <c r="X102" i="24"/>
  <c r="X40" i="24"/>
  <c r="W40" i="24"/>
  <c r="Z70" i="24"/>
  <c r="Z66" i="24"/>
  <c r="X127" i="24"/>
  <c r="W127" i="24"/>
  <c r="Z97" i="24"/>
  <c r="W60" i="24"/>
  <c r="X60" i="24"/>
  <c r="Z115" i="24"/>
  <c r="C115" i="24" s="1"/>
  <c r="X70" i="24"/>
  <c r="W70" i="24"/>
  <c r="X92" i="24"/>
  <c r="W92" i="24"/>
  <c r="X138" i="24"/>
  <c r="W138" i="24"/>
  <c r="X88" i="24"/>
  <c r="W88" i="24"/>
  <c r="W148" i="24"/>
  <c r="X148" i="24"/>
  <c r="W146" i="24"/>
  <c r="X146" i="24"/>
  <c r="X41" i="24"/>
  <c r="W41" i="24"/>
  <c r="W49" i="24"/>
  <c r="X49" i="24"/>
  <c r="W104" i="24"/>
  <c r="X104" i="24"/>
  <c r="W57" i="24"/>
  <c r="X57" i="24"/>
  <c r="Z40" i="24"/>
  <c r="C40" i="24" s="1"/>
  <c r="X103" i="24"/>
  <c r="W103" i="24"/>
  <c r="W50" i="24"/>
  <c r="X50" i="24"/>
  <c r="W137" i="24"/>
  <c r="X137" i="24"/>
  <c r="W126" i="24"/>
  <c r="X126" i="24"/>
  <c r="Z98" i="24"/>
  <c r="X139" i="24"/>
  <c r="W139" i="24"/>
  <c r="X59" i="24"/>
  <c r="W59" i="24"/>
  <c r="W77" i="24"/>
  <c r="X77" i="24"/>
  <c r="Z142" i="24"/>
  <c r="C142" i="24" s="1"/>
  <c r="D142" i="24" s="1"/>
  <c r="W69" i="24"/>
  <c r="X69" i="24"/>
  <c r="X100" i="24"/>
  <c r="W100" i="24"/>
  <c r="W123" i="24"/>
  <c r="Z141" i="24"/>
  <c r="C141" i="24" s="1"/>
  <c r="Z84" i="24"/>
  <c r="C84" i="24" s="1"/>
  <c r="D84" i="24" s="1"/>
  <c r="D133" i="108"/>
  <c r="J136" i="97" s="1"/>
  <c r="D124" i="108"/>
  <c r="J127" i="97" s="1"/>
  <c r="C30" i="108"/>
  <c r="I33" i="97" s="1"/>
  <c r="D127" i="108"/>
  <c r="J130" i="97" s="1"/>
  <c r="D128" i="108"/>
  <c r="J131" i="97" s="1"/>
  <c r="D125" i="108"/>
  <c r="J128" i="97" s="1"/>
  <c r="D138" i="108"/>
  <c r="J141" i="97" s="1"/>
  <c r="C29" i="108"/>
  <c r="I31" i="97" s="1"/>
  <c r="C128" i="108"/>
  <c r="I131" i="97" s="1"/>
  <c r="D132" i="108"/>
  <c r="J135" i="97" s="1"/>
  <c r="C134" i="108"/>
  <c r="I137" i="97" s="1"/>
  <c r="C124" i="108"/>
  <c r="I127" i="97" s="1"/>
  <c r="C135" i="108"/>
  <c r="I138" i="97" s="1"/>
  <c r="D126" i="108"/>
  <c r="J129" i="97" s="1"/>
  <c r="C126" i="108"/>
  <c r="I129" i="97" s="1"/>
  <c r="D136" i="108"/>
  <c r="J139" i="97" s="1"/>
  <c r="C136" i="108"/>
  <c r="I139" i="97" s="1"/>
  <c r="D30" i="108"/>
  <c r="J33" i="97" s="1"/>
  <c r="C28" i="108"/>
  <c r="I30" i="97" s="1"/>
  <c r="C138" i="108"/>
  <c r="I141" i="97" s="1"/>
  <c r="D131" i="108"/>
  <c r="J134" i="97" s="1"/>
  <c r="D135" i="108"/>
  <c r="J138" i="97" s="1"/>
  <c r="D102" i="108"/>
  <c r="J105" i="97" s="1"/>
  <c r="D134" i="108"/>
  <c r="J137" i="97" s="1"/>
  <c r="D129" i="108"/>
  <c r="J132" i="97" s="1"/>
  <c r="C102" i="108"/>
  <c r="I105" i="97" s="1"/>
  <c r="D130" i="108"/>
  <c r="J133" i="97" s="1"/>
  <c r="D137" i="108"/>
  <c r="J140" i="97" s="1"/>
  <c r="C133" i="108"/>
  <c r="I136" i="97" s="1"/>
  <c r="D28" i="108"/>
  <c r="J30" i="97" s="1"/>
  <c r="C127" i="108"/>
  <c r="I130" i="97" s="1"/>
  <c r="D29" i="108"/>
  <c r="J31" i="97" s="1"/>
  <c r="C129" i="108"/>
  <c r="I132" i="97" s="1"/>
  <c r="C130" i="108"/>
  <c r="I133" i="97" s="1"/>
  <c r="C131" i="108"/>
  <c r="I134" i="97" s="1"/>
  <c r="C132" i="108"/>
  <c r="I135" i="97" s="1"/>
  <c r="C125" i="108"/>
  <c r="I128" i="97" s="1"/>
  <c r="C137" i="108"/>
  <c r="I140" i="97" s="1"/>
  <c r="D117" i="108"/>
  <c r="J120" i="97" s="1"/>
  <c r="I35" i="36"/>
  <c r="D35" i="36" s="1"/>
  <c r="O37" i="97" s="1"/>
  <c r="E45" i="46"/>
  <c r="E68" i="46"/>
  <c r="E139" i="46"/>
  <c r="E67" i="46"/>
  <c r="X117" i="26"/>
  <c r="Y117" i="26" s="1"/>
  <c r="BB21" i="26"/>
  <c r="BB55" i="26"/>
  <c r="P77" i="26"/>
  <c r="N77" i="26" s="1"/>
  <c r="L77" i="26" s="1"/>
  <c r="J77" i="26" s="1"/>
  <c r="K77" i="26" s="1"/>
  <c r="BB77" i="26"/>
  <c r="P63" i="26"/>
  <c r="N63" i="26" s="1"/>
  <c r="L63" i="26" s="1"/>
  <c r="J63" i="26" s="1"/>
  <c r="K63" i="26" s="1"/>
  <c r="BB63" i="26"/>
  <c r="P34" i="26"/>
  <c r="N34" i="26" s="1"/>
  <c r="L34" i="26" s="1"/>
  <c r="J34" i="26" s="1"/>
  <c r="K34" i="26" s="1"/>
  <c r="BB34" i="26"/>
  <c r="P119" i="26"/>
  <c r="N119" i="26" s="1"/>
  <c r="BB119" i="26"/>
  <c r="P35" i="26"/>
  <c r="N35" i="26" s="1"/>
  <c r="L35" i="26" s="1"/>
  <c r="J35" i="26" s="1"/>
  <c r="K35" i="26" s="1"/>
  <c r="BB35" i="26"/>
  <c r="P31" i="26"/>
  <c r="N31" i="26" s="1"/>
  <c r="L31" i="26" s="1"/>
  <c r="J31" i="26" s="1"/>
  <c r="BB31" i="26"/>
  <c r="P69" i="26"/>
  <c r="N69" i="26" s="1"/>
  <c r="L69" i="26" s="1"/>
  <c r="J69" i="26" s="1"/>
  <c r="K69" i="26" s="1"/>
  <c r="BB69" i="26"/>
  <c r="P44" i="26"/>
  <c r="N44" i="26" s="1"/>
  <c r="L44" i="26" s="1"/>
  <c r="J44" i="26" s="1"/>
  <c r="K44" i="26" s="1"/>
  <c r="BB44" i="26"/>
  <c r="P64" i="26"/>
  <c r="N64" i="26" s="1"/>
  <c r="L64" i="26" s="1"/>
  <c r="J64" i="26" s="1"/>
  <c r="K64" i="26" s="1"/>
  <c r="BB64" i="26"/>
  <c r="P53" i="26"/>
  <c r="N53" i="26" s="1"/>
  <c r="L53" i="26" s="1"/>
  <c r="J53" i="26" s="1"/>
  <c r="K53" i="26" s="1"/>
  <c r="BB53" i="26"/>
  <c r="P30" i="26"/>
  <c r="N30" i="26" s="1"/>
  <c r="BB30" i="26"/>
  <c r="P61" i="26"/>
  <c r="N61" i="26" s="1"/>
  <c r="L61" i="26" s="1"/>
  <c r="J61" i="26" s="1"/>
  <c r="K61" i="26" s="1"/>
  <c r="BB61" i="26"/>
  <c r="BB70" i="26"/>
  <c r="BB65" i="26"/>
  <c r="P60" i="26"/>
  <c r="N60" i="26" s="1"/>
  <c r="L60" i="26" s="1"/>
  <c r="J60" i="26" s="1"/>
  <c r="K60" i="26" s="1"/>
  <c r="BB60" i="26"/>
  <c r="BB8" i="26"/>
  <c r="P79" i="26"/>
  <c r="N79" i="26" s="1"/>
  <c r="L79" i="26" s="1"/>
  <c r="J79" i="26" s="1"/>
  <c r="K79" i="26" s="1"/>
  <c r="BB79" i="26"/>
  <c r="P32" i="26"/>
  <c r="N32" i="26" s="1"/>
  <c r="L32" i="26" s="1"/>
  <c r="J32" i="26" s="1"/>
  <c r="K32" i="26" s="1"/>
  <c r="BB32" i="26"/>
  <c r="AS138" i="26"/>
  <c r="AT138" i="26" s="1"/>
  <c r="AK70" i="26"/>
  <c r="X134" i="26"/>
  <c r="Y134" i="26" s="1"/>
  <c r="S132" i="26"/>
  <c r="P132" i="26" s="1"/>
  <c r="N132" i="26" s="1"/>
  <c r="AN132" i="26"/>
  <c r="AK132" i="26" s="1"/>
  <c r="AN57" i="26"/>
  <c r="AK57" i="26" s="1"/>
  <c r="AN72" i="26"/>
  <c r="AK72" i="26" s="1"/>
  <c r="AN54" i="26"/>
  <c r="AK54" i="26" s="1"/>
  <c r="S138" i="26"/>
  <c r="P138" i="26" s="1"/>
  <c r="N138" i="26" s="1"/>
  <c r="S61" i="26"/>
  <c r="S67" i="26"/>
  <c r="P67" i="26" s="1"/>
  <c r="N67" i="26" s="1"/>
  <c r="L67" i="26" s="1"/>
  <c r="J67" i="26" s="1"/>
  <c r="K67" i="26" s="1"/>
  <c r="S106" i="26"/>
  <c r="P106" i="26" s="1"/>
  <c r="S128" i="26"/>
  <c r="AN129" i="26"/>
  <c r="AK129" i="26" s="1"/>
  <c r="S73" i="26"/>
  <c r="P73" i="26" s="1"/>
  <c r="N73" i="26" s="1"/>
  <c r="L73" i="26" s="1"/>
  <c r="J73" i="26" s="1"/>
  <c r="K73" i="26" s="1"/>
  <c r="AS131" i="26"/>
  <c r="AT131" i="26" s="1"/>
  <c r="AS133" i="26"/>
  <c r="AT133" i="26" s="1"/>
  <c r="S136" i="26"/>
  <c r="P136" i="26" s="1"/>
  <c r="N136" i="26" s="1"/>
  <c r="S77" i="26"/>
  <c r="AS130" i="26"/>
  <c r="AT130" i="26" s="1"/>
  <c r="X136" i="26"/>
  <c r="Y136" i="26" s="1"/>
  <c r="AS137" i="26"/>
  <c r="AT137" i="26" s="1"/>
  <c r="S125" i="26"/>
  <c r="P125" i="26" s="1"/>
  <c r="N125" i="26" s="1"/>
  <c r="L125" i="26" s="1"/>
  <c r="J125" i="26" s="1"/>
  <c r="K125" i="26" s="1"/>
  <c r="AN104" i="26"/>
  <c r="AK104" i="26" s="1"/>
  <c r="AS127" i="26"/>
  <c r="AT127" i="26" s="1"/>
  <c r="S50" i="26"/>
  <c r="P50" i="26" s="1"/>
  <c r="N50" i="26" s="1"/>
  <c r="L50" i="26" s="1"/>
  <c r="J50" i="26" s="1"/>
  <c r="K50" i="26" s="1"/>
  <c r="X45" i="26"/>
  <c r="Y45" i="26" s="1"/>
  <c r="X132" i="26"/>
  <c r="Y132" i="26" s="1"/>
  <c r="AS139" i="26"/>
  <c r="AT139" i="26" s="1"/>
  <c r="S64" i="26"/>
  <c r="AN86" i="26"/>
  <c r="AK86" i="26" s="1"/>
  <c r="AS126" i="26"/>
  <c r="AT126" i="26" s="1"/>
  <c r="AS128" i="26"/>
  <c r="AT128" i="26" s="1"/>
  <c r="X127" i="26"/>
  <c r="Y127" i="26" s="1"/>
  <c r="S129" i="26"/>
  <c r="P129" i="26" s="1"/>
  <c r="N129" i="26" s="1"/>
  <c r="L129" i="26" s="1"/>
  <c r="J129" i="26" s="1"/>
  <c r="K129" i="26" s="1"/>
  <c r="AN136" i="26"/>
  <c r="AK136" i="26" s="1"/>
  <c r="AN135" i="26"/>
  <c r="AK135" i="26" s="1"/>
  <c r="X138" i="26"/>
  <c r="Y138" i="26" s="1"/>
  <c r="AN133" i="26"/>
  <c r="AK133" i="26" s="1"/>
  <c r="X128" i="26"/>
  <c r="Y128" i="26" s="1"/>
  <c r="AS135" i="26"/>
  <c r="AT135" i="26" s="1"/>
  <c r="AS129" i="26"/>
  <c r="AT129" i="26" s="1"/>
  <c r="S68" i="26"/>
  <c r="P68" i="26" s="1"/>
  <c r="N68" i="26" s="1"/>
  <c r="L68" i="26" s="1"/>
  <c r="J68" i="26" s="1"/>
  <c r="K68" i="26" s="1"/>
  <c r="X139" i="26"/>
  <c r="Y139" i="26" s="1"/>
  <c r="X133" i="26"/>
  <c r="Y133" i="26" s="1"/>
  <c r="AN137" i="26"/>
  <c r="AK137" i="26" s="1"/>
  <c r="S133" i="26"/>
  <c r="S135" i="26"/>
  <c r="P135" i="26" s="1"/>
  <c r="N135" i="26" s="1"/>
  <c r="L135" i="26" s="1"/>
  <c r="J135" i="26" s="1"/>
  <c r="K135" i="26" s="1"/>
  <c r="S52" i="26"/>
  <c r="P52" i="26" s="1"/>
  <c r="N52" i="26" s="1"/>
  <c r="L52" i="26" s="1"/>
  <c r="J52" i="26" s="1"/>
  <c r="K52" i="26" s="1"/>
  <c r="X137" i="26"/>
  <c r="Y137" i="26" s="1"/>
  <c r="AS125" i="26"/>
  <c r="AT125" i="26" s="1"/>
  <c r="X131" i="26"/>
  <c r="Y131" i="26" s="1"/>
  <c r="AS136" i="26"/>
  <c r="AT136" i="26" s="1"/>
  <c r="AN134" i="26"/>
  <c r="AK134" i="26" s="1"/>
  <c r="X126" i="26"/>
  <c r="Y126" i="26" s="1"/>
  <c r="X129" i="26"/>
  <c r="Y129" i="26" s="1"/>
  <c r="X130" i="26"/>
  <c r="Y130" i="26" s="1"/>
  <c r="AN125" i="26"/>
  <c r="AK125" i="26" s="1"/>
  <c r="AN128" i="26"/>
  <c r="AN130" i="26"/>
  <c r="AK130" i="26" s="1"/>
  <c r="N139" i="26"/>
  <c r="L139" i="26" s="1"/>
  <c r="J139" i="26" s="1"/>
  <c r="K139" i="26" s="1"/>
  <c r="X135" i="26"/>
  <c r="Y135" i="26" s="1"/>
  <c r="S134" i="26"/>
  <c r="P134" i="26" s="1"/>
  <c r="N134" i="26" s="1"/>
  <c r="L134" i="26" s="1"/>
  <c r="J134" i="26" s="1"/>
  <c r="K134" i="26" s="1"/>
  <c r="S130" i="26"/>
  <c r="P130" i="26" s="1"/>
  <c r="N130" i="26" s="1"/>
  <c r="L130" i="26" s="1"/>
  <c r="J130" i="26" s="1"/>
  <c r="K130" i="26" s="1"/>
  <c r="S139" i="26"/>
  <c r="X125" i="26"/>
  <c r="Y125" i="26" s="1"/>
  <c r="AN138" i="26"/>
  <c r="AK138" i="26" s="1"/>
  <c r="AN126" i="26"/>
  <c r="AK126" i="26" s="1"/>
  <c r="AN139" i="26"/>
  <c r="P133" i="26"/>
  <c r="N133" i="26" s="1"/>
  <c r="L133" i="26" s="1"/>
  <c r="J133" i="26" s="1"/>
  <c r="K133" i="26" s="1"/>
  <c r="AN127" i="26"/>
  <c r="AK127" i="26" s="1"/>
  <c r="S127" i="26"/>
  <c r="P127" i="26" s="1"/>
  <c r="N127" i="26" s="1"/>
  <c r="L127" i="26" s="1"/>
  <c r="J127" i="26" s="1"/>
  <c r="K127" i="26" s="1"/>
  <c r="S137" i="26"/>
  <c r="P137" i="26" s="1"/>
  <c r="N137" i="26" s="1"/>
  <c r="L137" i="26" s="1"/>
  <c r="J137" i="26" s="1"/>
  <c r="K137" i="26" s="1"/>
  <c r="AN62" i="26"/>
  <c r="AK62" i="26" s="1"/>
  <c r="AN107" i="26"/>
  <c r="AK107" i="26" s="1"/>
  <c r="S70" i="26"/>
  <c r="S104" i="26"/>
  <c r="P104" i="26" s="1"/>
  <c r="N104" i="26" s="1"/>
  <c r="AS6" i="26"/>
  <c r="AT6" i="26" s="1"/>
  <c r="S46" i="26"/>
  <c r="P46" i="26" s="1"/>
  <c r="N46" i="26" s="1"/>
  <c r="L46" i="26" s="1"/>
  <c r="J46" i="26" s="1"/>
  <c r="K46" i="26" s="1"/>
  <c r="S84" i="26"/>
  <c r="P84" i="26" s="1"/>
  <c r="N84" i="26" s="1"/>
  <c r="AS134" i="26"/>
  <c r="AT134" i="26" s="1"/>
  <c r="AS132" i="26"/>
  <c r="AT132" i="26" s="1"/>
  <c r="S126" i="26"/>
  <c r="P126" i="26" s="1"/>
  <c r="N126" i="26" s="1"/>
  <c r="L126" i="26" s="1"/>
  <c r="J126" i="26" s="1"/>
  <c r="K126" i="26" s="1"/>
  <c r="S131" i="26"/>
  <c r="P131" i="26" s="1"/>
  <c r="N131" i="26" s="1"/>
  <c r="X55" i="26"/>
  <c r="Y55" i="26" s="1"/>
  <c r="AS66" i="26"/>
  <c r="AT66" i="26" s="1"/>
  <c r="X59" i="26"/>
  <c r="Y59" i="26" s="1"/>
  <c r="X68" i="26"/>
  <c r="Y68" i="26" s="1"/>
  <c r="AS70" i="26"/>
  <c r="AT70" i="26" s="1"/>
  <c r="P55" i="26"/>
  <c r="N55" i="26" s="1"/>
  <c r="L55" i="26" s="1"/>
  <c r="J55" i="26" s="1"/>
  <c r="K55" i="26" s="1"/>
  <c r="X53" i="26"/>
  <c r="Y53" i="26" s="1"/>
  <c r="N128" i="26"/>
  <c r="L128" i="26" s="1"/>
  <c r="J128" i="26" s="1"/>
  <c r="K128" i="26" s="1"/>
  <c r="P65" i="26"/>
  <c r="N65" i="26" s="1"/>
  <c r="L65" i="26" s="1"/>
  <c r="J65" i="26" s="1"/>
  <c r="K65" i="26" s="1"/>
  <c r="X62" i="26"/>
  <c r="Y62" i="26" s="1"/>
  <c r="X26" i="26"/>
  <c r="Y26" i="26" s="1"/>
  <c r="X28" i="26"/>
  <c r="Y28" i="26" s="1"/>
  <c r="X84" i="26"/>
  <c r="Y84" i="26" s="1"/>
  <c r="X103" i="26"/>
  <c r="Y103" i="26" s="1"/>
  <c r="X80" i="26"/>
  <c r="Y80" i="26" s="1"/>
  <c r="AS55" i="26"/>
  <c r="AT55" i="26" s="1"/>
  <c r="X72" i="26"/>
  <c r="Y72" i="26" s="1"/>
  <c r="X39" i="26"/>
  <c r="Y39" i="26" s="1"/>
  <c r="AK55" i="26"/>
  <c r="X77" i="26"/>
  <c r="Y77" i="26" s="1"/>
  <c r="AS32" i="26"/>
  <c r="AT32" i="26" s="1"/>
  <c r="X36" i="26"/>
  <c r="Y36" i="26" s="1"/>
  <c r="X30" i="26"/>
  <c r="Y30" i="26" s="1"/>
  <c r="X82" i="26"/>
  <c r="Y82" i="26" s="1"/>
  <c r="AS52" i="26"/>
  <c r="AT52" i="26" s="1"/>
  <c r="S85" i="26"/>
  <c r="P85" i="26" s="1"/>
  <c r="N85" i="26" s="1"/>
  <c r="L85" i="26" s="1"/>
  <c r="J85" i="26" s="1"/>
  <c r="K85" i="26" s="1"/>
  <c r="X42" i="26"/>
  <c r="Y42" i="26" s="1"/>
  <c r="X40" i="26"/>
  <c r="Y40" i="26" s="1"/>
  <c r="S51" i="26"/>
  <c r="P51" i="26" s="1"/>
  <c r="N51" i="26" s="1"/>
  <c r="L51" i="26" s="1"/>
  <c r="J51" i="26" s="1"/>
  <c r="K51" i="26" s="1"/>
  <c r="AS45" i="26"/>
  <c r="AT45" i="26" s="1"/>
  <c r="AN110" i="26"/>
  <c r="AK110" i="26" s="1"/>
  <c r="X49" i="26"/>
  <c r="Y49" i="26" s="1"/>
  <c r="X74" i="26"/>
  <c r="Y74" i="26" s="1"/>
  <c r="AS76" i="26"/>
  <c r="AT76" i="26" s="1"/>
  <c r="AN61" i="26"/>
  <c r="S60" i="26"/>
  <c r="AN31" i="26"/>
  <c r="AK31" i="26" s="1"/>
  <c r="S47" i="26"/>
  <c r="P47" i="26" s="1"/>
  <c r="N47" i="26" s="1"/>
  <c r="L47" i="26" s="1"/>
  <c r="J47" i="26" s="1"/>
  <c r="K47" i="26" s="1"/>
  <c r="AS42" i="26"/>
  <c r="AT42" i="26" s="1"/>
  <c r="AS67" i="26"/>
  <c r="AT67" i="26" s="1"/>
  <c r="AN69" i="26"/>
  <c r="AS107" i="26"/>
  <c r="AT107" i="26" s="1"/>
  <c r="X104" i="26"/>
  <c r="Y104" i="26" s="1"/>
  <c r="AN38" i="26"/>
  <c r="AK38" i="26" s="1"/>
  <c r="AN84" i="26"/>
  <c r="AK84" i="26" s="1"/>
  <c r="S86" i="26"/>
  <c r="P86" i="26" s="1"/>
  <c r="N86" i="26" s="1"/>
  <c r="L86" i="26" s="1"/>
  <c r="J86" i="26" s="1"/>
  <c r="K86" i="26" s="1"/>
  <c r="S48" i="26"/>
  <c r="BB48" i="26" s="1"/>
  <c r="AN39" i="26"/>
  <c r="BD39" i="26" s="1"/>
  <c r="AS82" i="26"/>
  <c r="AT82" i="26" s="1"/>
  <c r="S81" i="26"/>
  <c r="P81" i="26" s="1"/>
  <c r="N81" i="26" s="1"/>
  <c r="L81" i="26" s="1"/>
  <c r="J81" i="26" s="1"/>
  <c r="K81" i="26" s="1"/>
  <c r="AN30" i="26"/>
  <c r="AK30" i="26" s="1"/>
  <c r="X69" i="26"/>
  <c r="Y69" i="26" s="1"/>
  <c r="X38" i="26"/>
  <c r="Y38" i="26" s="1"/>
  <c r="X58" i="26"/>
  <c r="Y58" i="26" s="1"/>
  <c r="X51" i="26"/>
  <c r="Y51" i="26" s="1"/>
  <c r="S58" i="26"/>
  <c r="P58" i="26" s="1"/>
  <c r="N58" i="26" s="1"/>
  <c r="L58" i="26" s="1"/>
  <c r="J58" i="26" s="1"/>
  <c r="K58" i="26" s="1"/>
  <c r="AN64" i="26"/>
  <c r="X67" i="26"/>
  <c r="Y67" i="26" s="1"/>
  <c r="X52" i="26"/>
  <c r="Y52" i="26" s="1"/>
  <c r="S39" i="26"/>
  <c r="P39" i="26" s="1"/>
  <c r="N39" i="26" s="1"/>
  <c r="L39" i="26" s="1"/>
  <c r="J39" i="26" s="1"/>
  <c r="K39" i="26" s="1"/>
  <c r="AS54" i="26"/>
  <c r="AT54" i="26" s="1"/>
  <c r="AS36" i="26"/>
  <c r="AT36" i="26" s="1"/>
  <c r="AN108" i="26"/>
  <c r="AK108" i="26" s="1"/>
  <c r="AN114" i="26"/>
  <c r="BD114" i="26" s="1"/>
  <c r="BE114" i="26" s="1"/>
  <c r="AS50" i="26"/>
  <c r="AT50" i="26" s="1"/>
  <c r="AS110" i="26"/>
  <c r="AT110" i="26" s="1"/>
  <c r="AN60" i="26"/>
  <c r="S28" i="26"/>
  <c r="P28" i="26" s="1"/>
  <c r="N28" i="26" s="1"/>
  <c r="S69" i="26"/>
  <c r="X107" i="26"/>
  <c r="Y107" i="26" s="1"/>
  <c r="AS43" i="26"/>
  <c r="AT43" i="26" s="1"/>
  <c r="AN51" i="26"/>
  <c r="AK51" i="26" s="1"/>
  <c r="AN59" i="26"/>
  <c r="AK59" i="26" s="1"/>
  <c r="AS46" i="26"/>
  <c r="AT46" i="26" s="1"/>
  <c r="AS37" i="26"/>
  <c r="AT37" i="26" s="1"/>
  <c r="X56" i="26"/>
  <c r="Y56" i="26" s="1"/>
  <c r="AS104" i="26"/>
  <c r="AT104" i="26" s="1"/>
  <c r="AN42" i="26"/>
  <c r="AK42" i="26" s="1"/>
  <c r="S83" i="26"/>
  <c r="P83" i="26" s="1"/>
  <c r="N83" i="26" s="1"/>
  <c r="L83" i="26" s="1"/>
  <c r="J83" i="26" s="1"/>
  <c r="K83" i="26" s="1"/>
  <c r="AS83" i="26"/>
  <c r="AT83" i="26" s="1"/>
  <c r="S103" i="26"/>
  <c r="P103" i="26" s="1"/>
  <c r="N103" i="26" s="1"/>
  <c r="L103" i="26" s="1"/>
  <c r="J103" i="26" s="1"/>
  <c r="K103" i="26" s="1"/>
  <c r="S110" i="26"/>
  <c r="P110" i="26" s="1"/>
  <c r="N110" i="26" s="1"/>
  <c r="L110" i="26" s="1"/>
  <c r="J110" i="26" s="1"/>
  <c r="K110" i="26" s="1"/>
  <c r="AN46" i="26"/>
  <c r="AK46" i="26" s="1"/>
  <c r="AS48" i="26"/>
  <c r="AT48" i="26" s="1"/>
  <c r="S78" i="26"/>
  <c r="P78" i="26" s="1"/>
  <c r="N78" i="26" s="1"/>
  <c r="L78" i="26" s="1"/>
  <c r="J78" i="26" s="1"/>
  <c r="K78" i="26" s="1"/>
  <c r="S42" i="26"/>
  <c r="P42" i="26" s="1"/>
  <c r="N42" i="26" s="1"/>
  <c r="L42" i="26" s="1"/>
  <c r="J42" i="26" s="1"/>
  <c r="K42" i="26" s="1"/>
  <c r="S56" i="26"/>
  <c r="P56" i="26" s="1"/>
  <c r="N56" i="26" s="1"/>
  <c r="L56" i="26" s="1"/>
  <c r="J56" i="26" s="1"/>
  <c r="K56" i="26" s="1"/>
  <c r="AN44" i="26"/>
  <c r="AS108" i="26"/>
  <c r="AT108" i="26" s="1"/>
  <c r="AN34" i="26"/>
  <c r="AN75" i="26"/>
  <c r="AK75" i="26" s="1"/>
  <c r="AS69" i="26"/>
  <c r="AT69" i="26" s="1"/>
  <c r="AN37" i="26"/>
  <c r="AK37" i="26" s="1"/>
  <c r="AS81" i="26"/>
  <c r="AT81" i="26" s="1"/>
  <c r="AN53" i="26"/>
  <c r="X109" i="26"/>
  <c r="Y109" i="26" s="1"/>
  <c r="X48" i="26"/>
  <c r="Y48" i="26" s="1"/>
  <c r="AS57" i="26"/>
  <c r="AT57" i="26" s="1"/>
  <c r="AN40" i="26"/>
  <c r="AK40" i="26" s="1"/>
  <c r="S72" i="26"/>
  <c r="P72" i="26" s="1"/>
  <c r="N72" i="26" s="1"/>
  <c r="L72" i="26" s="1"/>
  <c r="J72" i="26" s="1"/>
  <c r="K72" i="26" s="1"/>
  <c r="AN43" i="26"/>
  <c r="AK43" i="26" s="1"/>
  <c r="S62" i="26"/>
  <c r="P62" i="26" s="1"/>
  <c r="N62" i="26" s="1"/>
  <c r="L62" i="26" s="1"/>
  <c r="J62" i="26" s="1"/>
  <c r="K62" i="26" s="1"/>
  <c r="S75" i="26"/>
  <c r="P75" i="26" s="1"/>
  <c r="N75" i="26" s="1"/>
  <c r="L75" i="26" s="1"/>
  <c r="J75" i="26" s="1"/>
  <c r="K75" i="26" s="1"/>
  <c r="AN103" i="26"/>
  <c r="AK103" i="26" s="1"/>
  <c r="S76" i="26"/>
  <c r="P76" i="26" s="1"/>
  <c r="N76" i="26" s="1"/>
  <c r="L76" i="26" s="1"/>
  <c r="J76" i="26" s="1"/>
  <c r="K76" i="26" s="1"/>
  <c r="AS106" i="26"/>
  <c r="AT106" i="26" s="1"/>
  <c r="AN63" i="26"/>
  <c r="AN73" i="26"/>
  <c r="AK73" i="26" s="1"/>
  <c r="S57" i="26"/>
  <c r="P57" i="26" s="1"/>
  <c r="N57" i="26" s="1"/>
  <c r="L57" i="26" s="1"/>
  <c r="J57" i="26" s="1"/>
  <c r="K57" i="26" s="1"/>
  <c r="AN55" i="26"/>
  <c r="AS71" i="26"/>
  <c r="AT71" i="26" s="1"/>
  <c r="AS79" i="26"/>
  <c r="AT79" i="26" s="1"/>
  <c r="AS61" i="26"/>
  <c r="AT61" i="26" s="1"/>
  <c r="AS80" i="26"/>
  <c r="AT80" i="26" s="1"/>
  <c r="AS28" i="26"/>
  <c r="AT28" i="26" s="1"/>
  <c r="S82" i="26"/>
  <c r="P82" i="26" s="1"/>
  <c r="N82" i="26" s="1"/>
  <c r="L82" i="26" s="1"/>
  <c r="J82" i="26" s="1"/>
  <c r="K82" i="26" s="1"/>
  <c r="S44" i="26"/>
  <c r="AS47" i="26"/>
  <c r="AT47" i="26" s="1"/>
  <c r="S43" i="26"/>
  <c r="P43" i="26" s="1"/>
  <c r="N43" i="26" s="1"/>
  <c r="L43" i="26" s="1"/>
  <c r="J43" i="26" s="1"/>
  <c r="K43" i="26" s="1"/>
  <c r="S108" i="26"/>
  <c r="P108" i="26" s="1"/>
  <c r="N108" i="26" s="1"/>
  <c r="L108" i="26" s="1"/>
  <c r="J108" i="26" s="1"/>
  <c r="K108" i="26" s="1"/>
  <c r="AS58" i="26"/>
  <c r="AT58" i="26" s="1"/>
  <c r="X34" i="26"/>
  <c r="Y34" i="26" s="1"/>
  <c r="AN67" i="26"/>
  <c r="AK67" i="26" s="1"/>
  <c r="X73" i="26"/>
  <c r="Y73" i="26" s="1"/>
  <c r="AN76" i="26"/>
  <c r="BD76" i="26" s="1"/>
  <c r="X66" i="26"/>
  <c r="Y66" i="26" s="1"/>
  <c r="S34" i="26"/>
  <c r="X64" i="26"/>
  <c r="Y64" i="26" s="1"/>
  <c r="X41" i="26"/>
  <c r="Y41" i="26" s="1"/>
  <c r="AS63" i="26"/>
  <c r="AT63" i="26" s="1"/>
  <c r="S80" i="26"/>
  <c r="P80" i="26" s="1"/>
  <c r="N80" i="26" s="1"/>
  <c r="L80" i="26" s="1"/>
  <c r="J80" i="26" s="1"/>
  <c r="K80" i="26" s="1"/>
  <c r="AN47" i="26"/>
  <c r="AK47" i="26" s="1"/>
  <c r="AS64" i="26"/>
  <c r="AT64" i="26" s="1"/>
  <c r="AN32" i="26"/>
  <c r="S65" i="26"/>
  <c r="AN78" i="26"/>
  <c r="AK78" i="26" s="1"/>
  <c r="AS59" i="26"/>
  <c r="AT59" i="26" s="1"/>
  <c r="X57" i="26"/>
  <c r="Y57" i="26" s="1"/>
  <c r="AS35" i="26"/>
  <c r="AT35" i="26" s="1"/>
  <c r="AN81" i="26"/>
  <c r="AK81" i="26" s="1"/>
  <c r="X75" i="26"/>
  <c r="Y75" i="26" s="1"/>
  <c r="AS27" i="26"/>
  <c r="AT27" i="26" s="1"/>
  <c r="AN33" i="26"/>
  <c r="AK33" i="26" s="1"/>
  <c r="AS31" i="26"/>
  <c r="AT31" i="26" s="1"/>
  <c r="X81" i="26"/>
  <c r="Y81" i="26" s="1"/>
  <c r="X27" i="26"/>
  <c r="Y27" i="26" s="1"/>
  <c r="AS26" i="26"/>
  <c r="AT26" i="26" s="1"/>
  <c r="S49" i="26"/>
  <c r="P49" i="26" s="1"/>
  <c r="N49" i="26" s="1"/>
  <c r="L49" i="26" s="1"/>
  <c r="J49" i="26" s="1"/>
  <c r="K49" i="26" s="1"/>
  <c r="S32" i="26"/>
  <c r="AN50" i="26"/>
  <c r="AK50" i="26" s="1"/>
  <c r="S38" i="26"/>
  <c r="P38" i="26" s="1"/>
  <c r="N38" i="26" s="1"/>
  <c r="L38" i="26" s="1"/>
  <c r="J38" i="26" s="1"/>
  <c r="K38" i="26" s="1"/>
  <c r="AN35" i="26"/>
  <c r="AS34" i="26"/>
  <c r="AT34" i="26" s="1"/>
  <c r="X108" i="26"/>
  <c r="Y108" i="26" s="1"/>
  <c r="X61" i="26"/>
  <c r="Y61" i="26" s="1"/>
  <c r="X71" i="26"/>
  <c r="Y71" i="26" s="1"/>
  <c r="AS30" i="26"/>
  <c r="AT30" i="26" s="1"/>
  <c r="S109" i="26"/>
  <c r="P109" i="26" s="1"/>
  <c r="N109" i="26" s="1"/>
  <c r="L109" i="26" s="1"/>
  <c r="J109" i="26" s="1"/>
  <c r="K109" i="26" s="1"/>
  <c r="X110" i="26"/>
  <c r="Y110" i="26" s="1"/>
  <c r="X79" i="26"/>
  <c r="Y79" i="26" s="1"/>
  <c r="S40" i="26"/>
  <c r="P40" i="26" s="1"/>
  <c r="N40" i="26" s="1"/>
  <c r="L40" i="26" s="1"/>
  <c r="J40" i="26" s="1"/>
  <c r="K40" i="26" s="1"/>
  <c r="X83" i="26"/>
  <c r="Y83" i="26" s="1"/>
  <c r="AS74" i="26"/>
  <c r="AT74" i="26" s="1"/>
  <c r="AS56" i="26"/>
  <c r="AT56" i="26" s="1"/>
  <c r="S33" i="26"/>
  <c r="P33" i="26" s="1"/>
  <c r="N33" i="26" s="1"/>
  <c r="L33" i="26" s="1"/>
  <c r="J33" i="26" s="1"/>
  <c r="K33" i="26" s="1"/>
  <c r="AN56" i="26"/>
  <c r="AK56" i="26" s="1"/>
  <c r="X85" i="26"/>
  <c r="Y85" i="26" s="1"/>
  <c r="X43" i="26"/>
  <c r="Y43" i="26" s="1"/>
  <c r="S107" i="26"/>
  <c r="P107" i="26" s="1"/>
  <c r="N107" i="26" s="1"/>
  <c r="L107" i="26" s="1"/>
  <c r="J107" i="26" s="1"/>
  <c r="K107" i="26" s="1"/>
  <c r="AS85" i="26"/>
  <c r="AT85" i="26" s="1"/>
  <c r="S59" i="26"/>
  <c r="P59" i="26" s="1"/>
  <c r="N59" i="26" s="1"/>
  <c r="L59" i="26" s="1"/>
  <c r="J59" i="26" s="1"/>
  <c r="K59" i="26" s="1"/>
  <c r="X86" i="26"/>
  <c r="Y86" i="26" s="1"/>
  <c r="X70" i="26"/>
  <c r="Y70" i="26" s="1"/>
  <c r="X33" i="26"/>
  <c r="Y33" i="26" s="1"/>
  <c r="AN74" i="26"/>
  <c r="AK74" i="26" s="1"/>
  <c r="AN49" i="26"/>
  <c r="AK49" i="26" s="1"/>
  <c r="AS86" i="26"/>
  <c r="AT86" i="26" s="1"/>
  <c r="AN65" i="26"/>
  <c r="AK65" i="26" s="1"/>
  <c r="X106" i="26"/>
  <c r="Y106" i="26" s="1"/>
  <c r="S53" i="26"/>
  <c r="S71" i="26"/>
  <c r="P71" i="26" s="1"/>
  <c r="N71" i="26" s="1"/>
  <c r="L71" i="26" s="1"/>
  <c r="J71" i="26" s="1"/>
  <c r="K71" i="26" s="1"/>
  <c r="AS29" i="26"/>
  <c r="AT29" i="26" s="1"/>
  <c r="AS84" i="26"/>
  <c r="AT84" i="26" s="1"/>
  <c r="AN79" i="26"/>
  <c r="AS40" i="26"/>
  <c r="AT40" i="26" s="1"/>
  <c r="AN83" i="26"/>
  <c r="AK83" i="26" s="1"/>
  <c r="AS60" i="26"/>
  <c r="AT60" i="26" s="1"/>
  <c r="AN52" i="26"/>
  <c r="AK52" i="26" s="1"/>
  <c r="AN105" i="26"/>
  <c r="AK105" i="26" s="1"/>
  <c r="X47" i="26"/>
  <c r="Y47" i="26" s="1"/>
  <c r="S35" i="26"/>
  <c r="AS41" i="26"/>
  <c r="AT41" i="26" s="1"/>
  <c r="AN70" i="26"/>
  <c r="AN77" i="26"/>
  <c r="AS109" i="26"/>
  <c r="AT109" i="26" s="1"/>
  <c r="S45" i="26"/>
  <c r="P45" i="26" s="1"/>
  <c r="N45" i="26" s="1"/>
  <c r="L45" i="26" s="1"/>
  <c r="J45" i="26" s="1"/>
  <c r="K45" i="26" s="1"/>
  <c r="AN28" i="26"/>
  <c r="AK28" i="26" s="1"/>
  <c r="S54" i="26"/>
  <c r="P54" i="26" s="1"/>
  <c r="N54" i="26" s="1"/>
  <c r="L54" i="26" s="1"/>
  <c r="J54" i="26" s="1"/>
  <c r="K54" i="26" s="1"/>
  <c r="AS65" i="26"/>
  <c r="AT65" i="26" s="1"/>
  <c r="X44" i="26"/>
  <c r="Y44" i="26" s="1"/>
  <c r="X37" i="26"/>
  <c r="Y37" i="26" s="1"/>
  <c r="X46" i="26"/>
  <c r="Y46" i="26" s="1"/>
  <c r="AS75" i="26"/>
  <c r="AT75" i="26" s="1"/>
  <c r="AN45" i="26"/>
  <c r="AK45" i="26" s="1"/>
  <c r="AN85" i="26"/>
  <c r="AK85" i="26" s="1"/>
  <c r="AN41" i="26"/>
  <c r="AK41" i="26" s="1"/>
  <c r="AS105" i="26"/>
  <c r="AT105" i="26" s="1"/>
  <c r="AN27" i="26"/>
  <c r="AK27" i="26" s="1"/>
  <c r="AN26" i="26"/>
  <c r="AK26" i="26" s="1"/>
  <c r="X50" i="26"/>
  <c r="Y50" i="26" s="1"/>
  <c r="S27" i="26"/>
  <c r="P27" i="26" s="1"/>
  <c r="N27" i="26" s="1"/>
  <c r="L27" i="26" s="1"/>
  <c r="J27" i="26" s="1"/>
  <c r="K27" i="26" s="1"/>
  <c r="X54" i="26"/>
  <c r="Y54" i="26" s="1"/>
  <c r="X32" i="26"/>
  <c r="Y32" i="26" s="1"/>
  <c r="X63" i="26"/>
  <c r="Y63" i="26" s="1"/>
  <c r="AS77" i="26"/>
  <c r="AT77" i="26" s="1"/>
  <c r="AN80" i="26"/>
  <c r="AK80" i="26" s="1"/>
  <c r="AS103" i="26"/>
  <c r="AT103" i="26" s="1"/>
  <c r="AS39" i="26"/>
  <c r="AT39" i="26" s="1"/>
  <c r="S66" i="26"/>
  <c r="P66" i="26" s="1"/>
  <c r="N66" i="26" s="1"/>
  <c r="L66" i="26" s="1"/>
  <c r="J66" i="26" s="1"/>
  <c r="K66" i="26" s="1"/>
  <c r="S74" i="26"/>
  <c r="P74" i="26" s="1"/>
  <c r="N74" i="26" s="1"/>
  <c r="L74" i="26" s="1"/>
  <c r="J74" i="26" s="1"/>
  <c r="K74" i="26" s="1"/>
  <c r="S79" i="26"/>
  <c r="AS49" i="26"/>
  <c r="AT49" i="26" s="1"/>
  <c r="X65" i="26"/>
  <c r="Y65" i="26" s="1"/>
  <c r="AS53" i="26"/>
  <c r="AT53" i="26" s="1"/>
  <c r="S37" i="26"/>
  <c r="P37" i="26" s="1"/>
  <c r="N37" i="26" s="1"/>
  <c r="S29" i="26"/>
  <c r="P29" i="26" s="1"/>
  <c r="N29" i="26" s="1"/>
  <c r="X78" i="26"/>
  <c r="Y78" i="26" s="1"/>
  <c r="S31" i="26"/>
  <c r="AN71" i="26"/>
  <c r="AK71" i="26" s="1"/>
  <c r="AG71" i="26" s="1"/>
  <c r="AS38" i="26"/>
  <c r="AT38" i="26" s="1"/>
  <c r="X76" i="26"/>
  <c r="Y76" i="26" s="1"/>
  <c r="AN36" i="26"/>
  <c r="AK36" i="26" s="1"/>
  <c r="AN106" i="26"/>
  <c r="AK106" i="26" s="1"/>
  <c r="AS62" i="26"/>
  <c r="AT62" i="26" s="1"/>
  <c r="X35" i="26"/>
  <c r="Y35" i="26" s="1"/>
  <c r="AN109" i="26"/>
  <c r="AK109" i="26" s="1"/>
  <c r="AN48" i="26"/>
  <c r="AK48" i="26" s="1"/>
  <c r="X105" i="26"/>
  <c r="Y105" i="26" s="1"/>
  <c r="S41" i="26"/>
  <c r="P41" i="26" s="1"/>
  <c r="N41" i="26" s="1"/>
  <c r="L41" i="26" s="1"/>
  <c r="J41" i="26" s="1"/>
  <c r="K41" i="26" s="1"/>
  <c r="AS72" i="26"/>
  <c r="AT72" i="26" s="1"/>
  <c r="AS44" i="26"/>
  <c r="AT44" i="26" s="1"/>
  <c r="X29" i="26"/>
  <c r="Y29" i="26" s="1"/>
  <c r="AS68" i="26"/>
  <c r="AT68" i="26" s="1"/>
  <c r="S105" i="26"/>
  <c r="BB105" i="26" s="1"/>
  <c r="AS78" i="26"/>
  <c r="AT78" i="26" s="1"/>
  <c r="S36" i="26"/>
  <c r="P36" i="26" s="1"/>
  <c r="N36" i="26" s="1"/>
  <c r="AN82" i="26"/>
  <c r="AK82" i="26" s="1"/>
  <c r="AN68" i="26"/>
  <c r="AK68" i="26" s="1"/>
  <c r="AN58" i="26"/>
  <c r="AK58" i="26" s="1"/>
  <c r="AS33" i="26"/>
  <c r="AT33" i="26" s="1"/>
  <c r="S55" i="26"/>
  <c r="S30" i="26"/>
  <c r="X31" i="26"/>
  <c r="Y31" i="26" s="1"/>
  <c r="AN29" i="26"/>
  <c r="AK29" i="26" s="1"/>
  <c r="X60" i="26"/>
  <c r="Y60" i="26" s="1"/>
  <c r="AS73" i="26"/>
  <c r="AT73" i="26" s="1"/>
  <c r="I20" i="36"/>
  <c r="D20" i="36" s="1"/>
  <c r="J14" i="24"/>
  <c r="Q9" i="24"/>
  <c r="J118" i="24"/>
  <c r="Q120" i="24"/>
  <c r="J120" i="24"/>
  <c r="J121" i="24"/>
  <c r="Q121" i="24"/>
  <c r="Q114" i="24"/>
  <c r="J114" i="24"/>
  <c r="Q55" i="24"/>
  <c r="J55" i="24"/>
  <c r="Q146" i="24"/>
  <c r="J113" i="24"/>
  <c r="Q113" i="24"/>
  <c r="Q63" i="24"/>
  <c r="J63" i="24"/>
  <c r="J50" i="24"/>
  <c r="Q50" i="24"/>
  <c r="J110" i="24"/>
  <c r="Q66" i="24"/>
  <c r="J66" i="24"/>
  <c r="Q76" i="24"/>
  <c r="J76" i="24"/>
  <c r="J62" i="24"/>
  <c r="Q62" i="24"/>
  <c r="J41" i="24"/>
  <c r="Q41" i="24"/>
  <c r="Q122" i="24"/>
  <c r="J122" i="24"/>
  <c r="J116" i="24"/>
  <c r="J81" i="24"/>
  <c r="Q81" i="24"/>
  <c r="J115" i="24"/>
  <c r="J112" i="24"/>
  <c r="Q44" i="24"/>
  <c r="J44" i="24"/>
  <c r="Q123" i="24"/>
  <c r="J123" i="24"/>
  <c r="J111" i="24"/>
  <c r="Q36" i="24"/>
  <c r="J36" i="24"/>
  <c r="Q140" i="24"/>
  <c r="J140" i="24"/>
  <c r="J72" i="24"/>
  <c r="Q72" i="24"/>
  <c r="J119" i="24"/>
  <c r="J42" i="24"/>
  <c r="Q42" i="24"/>
  <c r="Q141" i="24"/>
  <c r="J124" i="24"/>
  <c r="Q124" i="24"/>
  <c r="J125" i="24"/>
  <c r="Q125" i="24"/>
  <c r="J117" i="24"/>
  <c r="Q83" i="24"/>
  <c r="J83" i="24"/>
  <c r="J134" i="24"/>
  <c r="Q134" i="24"/>
  <c r="J56" i="24"/>
  <c r="Q56" i="24"/>
  <c r="Q37" i="24"/>
  <c r="J37" i="24"/>
  <c r="I21" i="24"/>
  <c r="H18" i="82"/>
  <c r="N18" i="73" s="1"/>
  <c r="G44" i="98"/>
  <c r="G12" i="98"/>
  <c r="G33" i="98"/>
  <c r="M136" i="82"/>
  <c r="O137" i="73" s="1"/>
  <c r="G19" i="98"/>
  <c r="Q26" i="24"/>
  <c r="O130" i="82"/>
  <c r="Q131" i="73" s="1"/>
  <c r="Q14" i="24"/>
  <c r="Q13" i="24"/>
  <c r="G55" i="98"/>
  <c r="G115" i="98"/>
  <c r="G120" i="98"/>
  <c r="G52" i="98"/>
  <c r="G43" i="98"/>
  <c r="G110" i="98"/>
  <c r="M14" i="97"/>
  <c r="G35" i="98"/>
  <c r="J10" i="24"/>
  <c r="AW10" i="24"/>
  <c r="N126" i="82"/>
  <c r="V127" i="73" s="1"/>
  <c r="O138" i="82"/>
  <c r="Q139" i="73" s="1"/>
  <c r="O125" i="82"/>
  <c r="Q126" i="73" s="1"/>
  <c r="N129" i="82"/>
  <c r="V130" i="73" s="1"/>
  <c r="N132" i="82"/>
  <c r="V133" i="73" s="1"/>
  <c r="N140" i="82"/>
  <c r="V141" i="73" s="1"/>
  <c r="O124" i="82"/>
  <c r="Q125" i="73" s="1"/>
  <c r="O139" i="82"/>
  <c r="Q140" i="73" s="1"/>
  <c r="O132" i="82"/>
  <c r="Q133" i="73" s="1"/>
  <c r="O127" i="82"/>
  <c r="Q128" i="73" s="1"/>
  <c r="N134" i="82"/>
  <c r="V135" i="73" s="1"/>
  <c r="O137" i="82"/>
  <c r="Q138" i="73" s="1"/>
  <c r="N124" i="82"/>
  <c r="V125" i="73" s="1"/>
  <c r="N139" i="82"/>
  <c r="V140" i="73" s="1"/>
  <c r="N127" i="82"/>
  <c r="V128" i="73" s="1"/>
  <c r="O129" i="82"/>
  <c r="Q130" i="73" s="1"/>
  <c r="N106" i="82"/>
  <c r="V107" i="73" s="1"/>
  <c r="O140" i="82"/>
  <c r="Q141" i="73" s="1"/>
  <c r="O131" i="82"/>
  <c r="Q132" i="73" s="1"/>
  <c r="N137" i="82"/>
  <c r="V138" i="73" s="1"/>
  <c r="M132" i="82"/>
  <c r="O133" i="73" s="1"/>
  <c r="M125" i="82"/>
  <c r="O126" i="73" s="1"/>
  <c r="O103" i="82"/>
  <c r="M135" i="82"/>
  <c r="O136" i="73" s="1"/>
  <c r="G11" i="98"/>
  <c r="O128" i="82"/>
  <c r="Q129" i="73" s="1"/>
  <c r="O133" i="82"/>
  <c r="Q134" i="73" s="1"/>
  <c r="G28" i="98"/>
  <c r="G36" i="98"/>
  <c r="N131" i="82"/>
  <c r="V132" i="73" s="1"/>
  <c r="M133" i="82"/>
  <c r="O134" i="73" s="1"/>
  <c r="N105" i="82"/>
  <c r="V106" i="73" s="1"/>
  <c r="M137" i="82"/>
  <c r="O138" i="73" s="1"/>
  <c r="G38" i="98"/>
  <c r="G26" i="98"/>
  <c r="O134" i="82"/>
  <c r="Q135" i="73" s="1"/>
  <c r="M138" i="82"/>
  <c r="O139" i="73" s="1"/>
  <c r="M29" i="82"/>
  <c r="O30" i="73" s="1"/>
  <c r="M129" i="82"/>
  <c r="O130" i="73" s="1"/>
  <c r="N103" i="82"/>
  <c r="V104" i="73" s="1"/>
  <c r="M127" i="82"/>
  <c r="O128" i="73" s="1"/>
  <c r="G17" i="98"/>
  <c r="M139" i="82"/>
  <c r="O140" i="73" s="1"/>
  <c r="M128" i="82"/>
  <c r="O129" i="73" s="1"/>
  <c r="G58" i="98"/>
  <c r="N130" i="82"/>
  <c r="V131" i="73" s="1"/>
  <c r="M104" i="82"/>
  <c r="O104" i="82"/>
  <c r="G45" i="98"/>
  <c r="G37" i="98"/>
  <c r="G112" i="98"/>
  <c r="G116" i="98"/>
  <c r="M126" i="82"/>
  <c r="O127" i="73" s="1"/>
  <c r="M134" i="82"/>
  <c r="O135" i="73" s="1"/>
  <c r="M105" i="82"/>
  <c r="N104" i="82"/>
  <c r="V105" i="73" s="1"/>
  <c r="G106" i="98"/>
  <c r="G27" i="98"/>
  <c r="G108" i="98"/>
  <c r="G104" i="98"/>
  <c r="G78" i="98"/>
  <c r="M124" i="82"/>
  <c r="O125" i="73" s="1"/>
  <c r="M140" i="82"/>
  <c r="O141" i="73" s="1"/>
  <c r="M130" i="82"/>
  <c r="O131" i="73" s="1"/>
  <c r="M103" i="82"/>
  <c r="O105" i="82"/>
  <c r="G10" i="98"/>
  <c r="N125" i="82"/>
  <c r="V126" i="73" s="1"/>
  <c r="M131" i="82"/>
  <c r="O132" i="73" s="1"/>
  <c r="G99" i="98"/>
  <c r="N138" i="82"/>
  <c r="V139" i="73" s="1"/>
  <c r="S101" i="26"/>
  <c r="H88" i="82"/>
  <c r="N89" i="73" s="1"/>
  <c r="H85" i="82"/>
  <c r="N86" i="73" s="1"/>
  <c r="H20" i="82"/>
  <c r="N20" i="73" s="1"/>
  <c r="BD79" i="26"/>
  <c r="S111" i="26"/>
  <c r="P111" i="26" s="1"/>
  <c r="N111" i="26" s="1"/>
  <c r="H65" i="82"/>
  <c r="N66" i="73" s="1"/>
  <c r="H46" i="82"/>
  <c r="N47" i="73" s="1"/>
  <c r="S96" i="26"/>
  <c r="P96" i="26" s="1"/>
  <c r="N96" i="26" s="1"/>
  <c r="L96" i="26" s="1"/>
  <c r="J96" i="26" s="1"/>
  <c r="K96" i="26" s="1"/>
  <c r="H51" i="82"/>
  <c r="N52" i="73" s="1"/>
  <c r="H67" i="82"/>
  <c r="N68" i="73" s="1"/>
  <c r="H21" i="82"/>
  <c r="N21" i="73" s="1"/>
  <c r="H38" i="82"/>
  <c r="N39" i="73" s="1"/>
  <c r="H30" i="82"/>
  <c r="N31" i="73" s="1"/>
  <c r="H90" i="82"/>
  <c r="N91" i="73" s="1"/>
  <c r="H40" i="82"/>
  <c r="N41" i="73" s="1"/>
  <c r="H53" i="82"/>
  <c r="N54" i="73" s="1"/>
  <c r="H99" i="82"/>
  <c r="N100" i="73" s="1"/>
  <c r="H14" i="82"/>
  <c r="N14" i="73" s="1"/>
  <c r="H60" i="82"/>
  <c r="N61" i="73" s="1"/>
  <c r="H96" i="82"/>
  <c r="N97" i="73" s="1"/>
  <c r="H62" i="82"/>
  <c r="N63" i="73" s="1"/>
  <c r="H23" i="82"/>
  <c r="N24" i="73" s="1"/>
  <c r="H93" i="82"/>
  <c r="N94" i="73" s="1"/>
  <c r="H97" i="82"/>
  <c r="N98" i="73" s="1"/>
  <c r="H70" i="82"/>
  <c r="N71" i="73" s="1"/>
  <c r="H68" i="82"/>
  <c r="N69" i="73" s="1"/>
  <c r="H89" i="82"/>
  <c r="N90" i="73" s="1"/>
  <c r="H33" i="82"/>
  <c r="N34" i="73" s="1"/>
  <c r="H12" i="82"/>
  <c r="N12" i="73" s="1"/>
  <c r="H47" i="82"/>
  <c r="N48" i="73" s="1"/>
  <c r="I34" i="36"/>
  <c r="I89" i="36"/>
  <c r="D89" i="36" s="1"/>
  <c r="I45" i="36"/>
  <c r="D45" i="36" s="1"/>
  <c r="I42" i="36"/>
  <c r="E42" i="36" s="1"/>
  <c r="I97" i="36"/>
  <c r="C97" i="36" s="1"/>
  <c r="I15" i="36"/>
  <c r="E15" i="36" s="1"/>
  <c r="I95" i="36"/>
  <c r="C95" i="36" s="1"/>
  <c r="I87" i="36"/>
  <c r="E87" i="36" s="1"/>
  <c r="H75" i="82"/>
  <c r="N76" i="73" s="1"/>
  <c r="H35" i="82"/>
  <c r="N36" i="73" s="1"/>
  <c r="H9" i="82"/>
  <c r="N9" i="73" s="1"/>
  <c r="H87" i="82"/>
  <c r="N88" i="73" s="1"/>
  <c r="H78" i="82"/>
  <c r="N79" i="73" s="1"/>
  <c r="H45" i="82"/>
  <c r="N46" i="73" s="1"/>
  <c r="H100" i="82"/>
  <c r="H31" i="82"/>
  <c r="N32" i="73" s="1"/>
  <c r="H34" i="82"/>
  <c r="N35" i="73" s="1"/>
  <c r="H24" i="82"/>
  <c r="N25" i="73" s="1"/>
  <c r="H71" i="82"/>
  <c r="N72" i="73" s="1"/>
  <c r="H95" i="82"/>
  <c r="N96" i="73" s="1"/>
  <c r="I49" i="36"/>
  <c r="E49" i="36" s="1"/>
  <c r="I26" i="36"/>
  <c r="D26" i="36" s="1"/>
  <c r="I115" i="36"/>
  <c r="C115" i="36" s="1"/>
  <c r="N117" i="97" s="1"/>
  <c r="I39" i="36"/>
  <c r="D39" i="36" s="1"/>
  <c r="I82" i="36"/>
  <c r="C82" i="36" s="1"/>
  <c r="I69" i="36"/>
  <c r="E69" i="36" s="1"/>
  <c r="I12" i="36"/>
  <c r="C12" i="36" s="1"/>
  <c r="I16" i="36"/>
  <c r="D16" i="36" s="1"/>
  <c r="G89" i="98"/>
  <c r="I118" i="36"/>
  <c r="C118" i="36" s="1"/>
  <c r="N120" i="97" s="1"/>
  <c r="I123" i="36"/>
  <c r="C123" i="36" s="1"/>
  <c r="N125" i="97" s="1"/>
  <c r="I108" i="36"/>
  <c r="E108" i="36" s="1"/>
  <c r="P110" i="97" s="1"/>
  <c r="I110" i="36"/>
  <c r="C110" i="36" s="1"/>
  <c r="N112" i="97" s="1"/>
  <c r="I58" i="36"/>
  <c r="E58" i="36" s="1"/>
  <c r="I88" i="36"/>
  <c r="C88" i="36" s="1"/>
  <c r="I113" i="36"/>
  <c r="C113" i="36" s="1"/>
  <c r="N115" i="97" s="1"/>
  <c r="AW11" i="24"/>
  <c r="I11" i="24"/>
  <c r="I17" i="24"/>
  <c r="H119" i="82"/>
  <c r="N120" i="73" s="1"/>
  <c r="H134" i="82"/>
  <c r="N135" i="73" s="1"/>
  <c r="H80" i="82"/>
  <c r="N81" i="73" s="1"/>
  <c r="H72" i="82"/>
  <c r="N73" i="73" s="1"/>
  <c r="H49" i="82"/>
  <c r="N50" i="73" s="1"/>
  <c r="H73" i="82"/>
  <c r="N74" i="73" s="1"/>
  <c r="H17" i="82"/>
  <c r="N17" i="73" s="1"/>
  <c r="H13" i="82"/>
  <c r="N13" i="73" s="1"/>
  <c r="H118" i="82"/>
  <c r="N119" i="73" s="1"/>
  <c r="H133" i="82"/>
  <c r="N134" i="73" s="1"/>
  <c r="H113" i="82"/>
  <c r="H125" i="82"/>
  <c r="N126" i="73" s="1"/>
  <c r="H127" i="82"/>
  <c r="N128" i="73" s="1"/>
  <c r="H56" i="82"/>
  <c r="N57" i="73" s="1"/>
  <c r="H63" i="82"/>
  <c r="N64" i="73" s="1"/>
  <c r="H112" i="82"/>
  <c r="H124" i="82"/>
  <c r="N125" i="73" s="1"/>
  <c r="H116" i="82"/>
  <c r="H130" i="82"/>
  <c r="N131" i="73" s="1"/>
  <c r="H25" i="82"/>
  <c r="N26" i="73" s="1"/>
  <c r="H59" i="82"/>
  <c r="N60" i="73" s="1"/>
  <c r="H61" i="82"/>
  <c r="N62" i="73" s="1"/>
  <c r="H44" i="82"/>
  <c r="N45" i="73" s="1"/>
  <c r="H77" i="82"/>
  <c r="N78" i="73" s="1"/>
  <c r="H55" i="82"/>
  <c r="N56" i="73" s="1"/>
  <c r="H84" i="82"/>
  <c r="N85" i="73" s="1"/>
  <c r="H98" i="82"/>
  <c r="N99" i="73" s="1"/>
  <c r="H48" i="82"/>
  <c r="N49" i="73" s="1"/>
  <c r="H50" i="82"/>
  <c r="N51" i="73" s="1"/>
  <c r="H94" i="82"/>
  <c r="N95" i="73" s="1"/>
  <c r="H7" i="82"/>
  <c r="N7" i="73" s="1"/>
  <c r="H19" i="82"/>
  <c r="N19" i="73" s="1"/>
  <c r="H57" i="82"/>
  <c r="N58" i="73" s="1"/>
  <c r="H79" i="82"/>
  <c r="N80" i="73" s="1"/>
  <c r="H122" i="82"/>
  <c r="N123" i="73" s="1"/>
  <c r="H137" i="82"/>
  <c r="N138" i="73" s="1"/>
  <c r="H115" i="82"/>
  <c r="H128" i="82"/>
  <c r="N129" i="73" s="1"/>
  <c r="H26" i="82"/>
  <c r="N27" i="73" s="1"/>
  <c r="H36" i="82"/>
  <c r="N37" i="73" s="1"/>
  <c r="H42" i="82"/>
  <c r="N43" i="73" s="1"/>
  <c r="H39" i="82"/>
  <c r="N40" i="73" s="1"/>
  <c r="H129" i="82"/>
  <c r="N130" i="73" s="1"/>
  <c r="H123" i="82"/>
  <c r="N124" i="73" s="1"/>
  <c r="H138" i="82"/>
  <c r="N139" i="73" s="1"/>
  <c r="H15" i="82"/>
  <c r="N15" i="73" s="1"/>
  <c r="H10" i="82"/>
  <c r="N10" i="73" s="1"/>
  <c r="H8" i="82"/>
  <c r="N8" i="73" s="1"/>
  <c r="H22" i="82"/>
  <c r="H66" i="82"/>
  <c r="N67" i="73" s="1"/>
  <c r="H28" i="82"/>
  <c r="N29" i="73" s="1"/>
  <c r="H54" i="82"/>
  <c r="N55" i="73" s="1"/>
  <c r="H27" i="82"/>
  <c r="N28" i="73" s="1"/>
  <c r="H16" i="82"/>
  <c r="N16" i="73" s="1"/>
  <c r="H82" i="82"/>
  <c r="N83" i="73" s="1"/>
  <c r="H83" i="82"/>
  <c r="N84" i="73" s="1"/>
  <c r="H92" i="82"/>
  <c r="N93" i="73" s="1"/>
  <c r="H131" i="82"/>
  <c r="N132" i="73" s="1"/>
  <c r="H120" i="82"/>
  <c r="N121" i="73" s="1"/>
  <c r="H135" i="82"/>
  <c r="N136" i="73" s="1"/>
  <c r="H37" i="82"/>
  <c r="N38" i="73" s="1"/>
  <c r="H29" i="82"/>
  <c r="N30" i="73" s="1"/>
  <c r="H69" i="82"/>
  <c r="N70" i="73" s="1"/>
  <c r="H114" i="82"/>
  <c r="H126" i="82"/>
  <c r="N127" i="73" s="1"/>
  <c r="H64" i="82"/>
  <c r="N65" i="73" s="1"/>
  <c r="H117" i="82"/>
  <c r="H132" i="82"/>
  <c r="N133" i="73" s="1"/>
  <c r="H43" i="82"/>
  <c r="N44" i="73" s="1"/>
  <c r="H74" i="82"/>
  <c r="N75" i="73" s="1"/>
  <c r="G8" i="98"/>
  <c r="G21" i="98"/>
  <c r="G39" i="98"/>
  <c r="I56" i="36"/>
  <c r="C56" i="36" s="1"/>
  <c r="I27" i="36"/>
  <c r="E27" i="36" s="1"/>
  <c r="I55" i="36"/>
  <c r="C55" i="36" s="1"/>
  <c r="G98" i="98"/>
  <c r="G123" i="98"/>
  <c r="G77" i="98"/>
  <c r="G83" i="98"/>
  <c r="G56" i="98"/>
  <c r="G62" i="98"/>
  <c r="G103" i="98"/>
  <c r="S21" i="26"/>
  <c r="N30" i="82"/>
  <c r="V31" i="73" s="1"/>
  <c r="M68" i="82"/>
  <c r="O69" i="73" s="1"/>
  <c r="AA69" i="46"/>
  <c r="AC18" i="46"/>
  <c r="AW27" i="24"/>
  <c r="AW9" i="24"/>
  <c r="J11" i="24"/>
  <c r="J21" i="24"/>
  <c r="E50" i="46"/>
  <c r="J27" i="24"/>
  <c r="AW14" i="24"/>
  <c r="Q18" i="24"/>
  <c r="J19" i="46"/>
  <c r="J9" i="46"/>
  <c r="Q21" i="24"/>
  <c r="Q12" i="24"/>
  <c r="AW13" i="24"/>
  <c r="Q20" i="24"/>
  <c r="Q22" i="24"/>
  <c r="Q29" i="24"/>
  <c r="F21" i="46"/>
  <c r="Q24" i="24"/>
  <c r="J56" i="46"/>
  <c r="Q28" i="24"/>
  <c r="J30" i="24"/>
  <c r="E66" i="46"/>
  <c r="Q25" i="24"/>
  <c r="F35" i="46"/>
  <c r="Y6" i="46"/>
  <c r="E6" i="46"/>
  <c r="I18" i="46"/>
  <c r="F6" i="46"/>
  <c r="AW20" i="24"/>
  <c r="G69" i="17"/>
  <c r="F69" i="17" s="1"/>
  <c r="E69" i="17"/>
  <c r="D70" i="98" s="1"/>
  <c r="D69" i="17"/>
  <c r="C70" i="98" s="1"/>
  <c r="H92" i="17"/>
  <c r="F93" i="98" s="1"/>
  <c r="E112" i="98"/>
  <c r="G95" i="17"/>
  <c r="E96" i="98" s="1"/>
  <c r="E95" i="17"/>
  <c r="D96" i="98" s="1"/>
  <c r="H95" i="17"/>
  <c r="F96" i="98" s="1"/>
  <c r="F33" i="46"/>
  <c r="H123" i="73"/>
  <c r="H11" i="73"/>
  <c r="W21" i="24"/>
  <c r="H75" i="73"/>
  <c r="D85" i="90"/>
  <c r="C85" i="90" s="1"/>
  <c r="M88" i="97" s="1"/>
  <c r="H55" i="73"/>
  <c r="H27" i="73"/>
  <c r="H92" i="73"/>
  <c r="D115" i="90"/>
  <c r="C115" i="90" s="1"/>
  <c r="M118" i="97" s="1"/>
  <c r="D95" i="90"/>
  <c r="C95" i="90" s="1"/>
  <c r="M98" i="97" s="1"/>
  <c r="H89" i="73"/>
  <c r="D17" i="90"/>
  <c r="C17" i="90" s="1"/>
  <c r="M19" i="97" s="1"/>
  <c r="D69" i="90"/>
  <c r="C69" i="90" s="1"/>
  <c r="M72" i="97" s="1"/>
  <c r="D83" i="108"/>
  <c r="D31" i="90"/>
  <c r="C31" i="90" s="1"/>
  <c r="H116" i="17"/>
  <c r="F112" i="98" s="1"/>
  <c r="H24" i="73"/>
  <c r="D13" i="90"/>
  <c r="C13" i="90" s="1"/>
  <c r="M15" i="97" s="1"/>
  <c r="D79" i="90"/>
  <c r="C79" i="90" s="1"/>
  <c r="M7" i="97" s="1"/>
  <c r="D116" i="17"/>
  <c r="H35" i="73"/>
  <c r="H14" i="73"/>
  <c r="D121" i="90"/>
  <c r="C121" i="90" s="1"/>
  <c r="M124" i="97" s="1"/>
  <c r="D37" i="90"/>
  <c r="C37" i="90" s="1"/>
  <c r="M50" i="97" s="1"/>
  <c r="H7" i="73"/>
  <c r="E116" i="17"/>
  <c r="D112" i="98" s="1"/>
  <c r="D63" i="90"/>
  <c r="C63" i="90" s="1"/>
  <c r="M66" i="97" s="1"/>
  <c r="D87" i="90"/>
  <c r="C87" i="90" s="1"/>
  <c r="M90" i="97" s="1"/>
  <c r="D22" i="90"/>
  <c r="C22" i="90" s="1"/>
  <c r="M24" i="97" s="1"/>
  <c r="D33" i="90"/>
  <c r="C33" i="90" s="1"/>
  <c r="M36" i="97" s="1"/>
  <c r="H45" i="73"/>
  <c r="D41" i="90"/>
  <c r="C41" i="90" s="1"/>
  <c r="M44" i="97" s="1"/>
  <c r="H64" i="73"/>
  <c r="H20" i="73"/>
  <c r="D65" i="90"/>
  <c r="C65" i="90" s="1"/>
  <c r="M68" i="97" s="1"/>
  <c r="H9" i="73"/>
  <c r="H58" i="73"/>
  <c r="H70" i="73"/>
  <c r="D112" i="90"/>
  <c r="C112" i="90" s="1"/>
  <c r="M115" i="97" s="1"/>
  <c r="H54" i="73"/>
  <c r="H74" i="73"/>
  <c r="D105" i="90"/>
  <c r="C105" i="90" s="1"/>
  <c r="M108" i="97" s="1"/>
  <c r="H63" i="73"/>
  <c r="H53" i="73"/>
  <c r="H50" i="73"/>
  <c r="D45" i="90"/>
  <c r="C45" i="90" s="1"/>
  <c r="M48" i="97" s="1"/>
  <c r="D53" i="90"/>
  <c r="C53" i="90" s="1"/>
  <c r="M56" i="97" s="1"/>
  <c r="H81" i="73"/>
  <c r="D45" i="108"/>
  <c r="M71" i="97"/>
  <c r="D43" i="108"/>
  <c r="H57" i="17"/>
  <c r="F58" i="98" s="1"/>
  <c r="D107" i="108"/>
  <c r="J110" i="97" s="1"/>
  <c r="Z16" i="24"/>
  <c r="C16" i="24" s="1"/>
  <c r="D16" i="24" s="1"/>
  <c r="AN116" i="26"/>
  <c r="BD116" i="26" s="1"/>
  <c r="BE116" i="26" s="1"/>
  <c r="AN96" i="26"/>
  <c r="AK96" i="26" s="1"/>
  <c r="AS123" i="26"/>
  <c r="AT123" i="26" s="1"/>
  <c r="S112" i="26"/>
  <c r="AN124" i="26"/>
  <c r="AK124" i="26" s="1"/>
  <c r="I75" i="36"/>
  <c r="C75" i="36" s="1"/>
  <c r="X114" i="26"/>
  <c r="Y114" i="26" s="1"/>
  <c r="X124" i="26"/>
  <c r="Y124" i="26" s="1"/>
  <c r="X113" i="26"/>
  <c r="Y113" i="26" s="1"/>
  <c r="F70" i="98"/>
  <c r="C96" i="98"/>
  <c r="C93" i="98"/>
  <c r="Z28" i="24"/>
  <c r="C28" i="24" s="1"/>
  <c r="D111" i="108"/>
  <c r="J114" i="97" s="1"/>
  <c r="D71" i="108"/>
  <c r="M81" i="97"/>
  <c r="L110" i="82"/>
  <c r="D114" i="90"/>
  <c r="C114" i="90" s="1"/>
  <c r="M117" i="97" s="1"/>
  <c r="I121" i="36"/>
  <c r="D121" i="36" s="1"/>
  <c r="O123" i="97" s="1"/>
  <c r="H69" i="73"/>
  <c r="H8" i="73"/>
  <c r="H85" i="73"/>
  <c r="H77" i="73"/>
  <c r="H67" i="73"/>
  <c r="X10" i="26"/>
  <c r="Y10" i="26" s="1"/>
  <c r="AS7" i="26"/>
  <c r="AT7" i="26" s="1"/>
  <c r="D36" i="90"/>
  <c r="C36" i="90" s="1"/>
  <c r="M39" i="97" s="1"/>
  <c r="AS114" i="26"/>
  <c r="AT114" i="26" s="1"/>
  <c r="D39" i="90"/>
  <c r="C39" i="90" s="1"/>
  <c r="D111" i="15"/>
  <c r="J110" i="82" s="1"/>
  <c r="D117" i="90"/>
  <c r="C117" i="90" s="1"/>
  <c r="M120" i="97" s="1"/>
  <c r="H43" i="73"/>
  <c r="F111" i="15"/>
  <c r="K110" i="82" s="1"/>
  <c r="H79" i="73"/>
  <c r="H83" i="73"/>
  <c r="D109" i="90"/>
  <c r="C109" i="90" s="1"/>
  <c r="M112" i="97" s="1"/>
  <c r="I91" i="36"/>
  <c r="E91" i="36" s="1"/>
  <c r="D73" i="90"/>
  <c r="C73" i="90" s="1"/>
  <c r="M76" i="97" s="1"/>
  <c r="H121" i="73"/>
  <c r="S12" i="26"/>
  <c r="BB12" i="26" s="1"/>
  <c r="Z24" i="24"/>
  <c r="D56" i="90"/>
  <c r="C56" i="90" s="1"/>
  <c r="M59" i="97" s="1"/>
  <c r="D37" i="108"/>
  <c r="I10" i="36"/>
  <c r="D10" i="36" s="1"/>
  <c r="S124" i="26"/>
  <c r="BB124" i="26" s="1"/>
  <c r="BD77" i="26"/>
  <c r="D57" i="108"/>
  <c r="C112" i="108"/>
  <c r="I115" i="97" s="1"/>
  <c r="C40" i="108"/>
  <c r="C72" i="108"/>
  <c r="AS113" i="26"/>
  <c r="AT113" i="26" s="1"/>
  <c r="AS10" i="26"/>
  <c r="AT10" i="26" s="1"/>
  <c r="X87" i="26"/>
  <c r="Y87" i="26" s="1"/>
  <c r="AS87" i="26"/>
  <c r="AT87" i="26" s="1"/>
  <c r="X99" i="26"/>
  <c r="Y99" i="26" s="1"/>
  <c r="X119" i="26"/>
  <c r="Y119" i="26" s="1"/>
  <c r="AS19" i="26"/>
  <c r="AT19" i="26" s="1"/>
  <c r="X8" i="26"/>
  <c r="Y8" i="26" s="1"/>
  <c r="AS124" i="26"/>
  <c r="AT124" i="26" s="1"/>
  <c r="AS99" i="26"/>
  <c r="AT99" i="26" s="1"/>
  <c r="X19" i="26"/>
  <c r="Y19" i="26" s="1"/>
  <c r="BD34" i="26"/>
  <c r="BD35" i="26"/>
  <c r="X88" i="26"/>
  <c r="Y88" i="26" s="1"/>
  <c r="S97" i="26"/>
  <c r="AQ142" i="46"/>
  <c r="K142" i="46" s="1"/>
  <c r="I19" i="24"/>
  <c r="X90" i="26"/>
  <c r="Y90" i="26" s="1"/>
  <c r="AN112" i="26"/>
  <c r="BD112" i="26" s="1"/>
  <c r="BE112" i="26" s="1"/>
  <c r="S99" i="26"/>
  <c r="H119" i="73"/>
  <c r="AV28" i="24"/>
  <c r="K28" i="24" s="1"/>
  <c r="I46" i="36"/>
  <c r="E46" i="36" s="1"/>
  <c r="H17" i="73"/>
  <c r="G57" i="17"/>
  <c r="E58" i="98" s="1"/>
  <c r="H18" i="73"/>
  <c r="H38" i="73"/>
  <c r="H94" i="73"/>
  <c r="H51" i="73"/>
  <c r="H73" i="73"/>
  <c r="H95" i="73"/>
  <c r="D27" i="90"/>
  <c r="C27" i="90" s="1"/>
  <c r="M29" i="97" s="1"/>
  <c r="I63" i="36"/>
  <c r="E63" i="36" s="1"/>
  <c r="D81" i="90"/>
  <c r="C81" i="90" s="1"/>
  <c r="M84" i="97" s="1"/>
  <c r="H28" i="73"/>
  <c r="D93" i="90"/>
  <c r="C93" i="90" s="1"/>
  <c r="M96" i="97" s="1"/>
  <c r="H93" i="73"/>
  <c r="H16" i="73"/>
  <c r="H37" i="73"/>
  <c r="H46" i="73"/>
  <c r="H47" i="73"/>
  <c r="D75" i="90"/>
  <c r="C75" i="90" s="1"/>
  <c r="M78" i="97" s="1"/>
  <c r="D23" i="90"/>
  <c r="C23" i="90" s="1"/>
  <c r="M25" i="97" s="1"/>
  <c r="D110" i="108"/>
  <c r="J113" i="97" s="1"/>
  <c r="AV19" i="24"/>
  <c r="M19" i="24" s="1"/>
  <c r="AN24" i="26"/>
  <c r="BD24" i="26" s="1"/>
  <c r="BE24" i="26" s="1"/>
  <c r="X14" i="26"/>
  <c r="Y14" i="26" s="1"/>
  <c r="AX24" i="24"/>
  <c r="T24" i="24" s="1"/>
  <c r="AX28" i="24"/>
  <c r="S28" i="24" s="1"/>
  <c r="M17" i="97"/>
  <c r="M11" i="97"/>
  <c r="M26" i="97"/>
  <c r="M92" i="97"/>
  <c r="M58" i="97"/>
  <c r="M18" i="97"/>
  <c r="M51" i="97"/>
  <c r="M61" i="97"/>
  <c r="M83" i="97"/>
  <c r="M91" i="97"/>
  <c r="M60" i="97"/>
  <c r="M53" i="97"/>
  <c r="AV23" i="24"/>
  <c r="M23" i="24" s="1"/>
  <c r="M64" i="97"/>
  <c r="W10" i="24"/>
  <c r="M13" i="97"/>
  <c r="M21" i="97"/>
  <c r="M67" i="97"/>
  <c r="M85" i="97"/>
  <c r="I22" i="24"/>
  <c r="M27" i="97"/>
  <c r="M57" i="97"/>
  <c r="AV10" i="24"/>
  <c r="K10" i="24" s="1"/>
  <c r="I23" i="24"/>
  <c r="M9" i="97"/>
  <c r="M100" i="97"/>
  <c r="AX19" i="24"/>
  <c r="R19" i="24" s="1"/>
  <c r="M54" i="97"/>
  <c r="M70" i="97"/>
  <c r="M35" i="97"/>
  <c r="J19" i="24"/>
  <c r="M47" i="97"/>
  <c r="M93" i="97"/>
  <c r="M97" i="97"/>
  <c r="M23" i="97"/>
  <c r="M73" i="97"/>
  <c r="M20" i="97"/>
  <c r="M10" i="97"/>
  <c r="M46" i="97"/>
  <c r="I10" i="24"/>
  <c r="M94" i="97"/>
  <c r="M86" i="97"/>
  <c r="M22" i="97"/>
  <c r="M69" i="97"/>
  <c r="M89" i="97"/>
  <c r="M8" i="97"/>
  <c r="BD44" i="26"/>
  <c r="X116" i="26"/>
  <c r="Y116" i="26" s="1"/>
  <c r="AS17" i="26"/>
  <c r="AT17" i="26" s="1"/>
  <c r="X21" i="26"/>
  <c r="Y21" i="26" s="1"/>
  <c r="AN91" i="26"/>
  <c r="BD91" i="26" s="1"/>
  <c r="BE91" i="26" s="1"/>
  <c r="X122" i="26"/>
  <c r="Y122" i="26" s="1"/>
  <c r="X97" i="26"/>
  <c r="Y97" i="26" s="1"/>
  <c r="X91" i="26"/>
  <c r="Y91" i="26" s="1"/>
  <c r="X121" i="26"/>
  <c r="Y121" i="26" s="1"/>
  <c r="X23" i="26"/>
  <c r="Y23" i="26" s="1"/>
  <c r="I61" i="36"/>
  <c r="E61" i="36" s="1"/>
  <c r="P63" i="97" s="1"/>
  <c r="Z29" i="24"/>
  <c r="C29" i="24" s="1"/>
  <c r="D29" i="24" s="1"/>
  <c r="Z9" i="24"/>
  <c r="C9" i="24" s="1"/>
  <c r="O76" i="82"/>
  <c r="Q77" i="73" s="1"/>
  <c r="O79" i="82"/>
  <c r="Q80" i="73" s="1"/>
  <c r="O80" i="82"/>
  <c r="Q81" i="73" s="1"/>
  <c r="Q19" i="24"/>
  <c r="I62" i="36"/>
  <c r="E62" i="36" s="1"/>
  <c r="G76" i="98"/>
  <c r="G79" i="98"/>
  <c r="BD64" i="26"/>
  <c r="N70" i="82"/>
  <c r="V71" i="73" s="1"/>
  <c r="G15" i="98"/>
  <c r="G40" i="98"/>
  <c r="G23" i="98"/>
  <c r="G101" i="98"/>
  <c r="G32" i="98"/>
  <c r="AW19" i="24"/>
  <c r="G114" i="98"/>
  <c r="G53" i="98"/>
  <c r="G93" i="98"/>
  <c r="G30" i="98"/>
  <c r="G16" i="98"/>
  <c r="G111" i="98"/>
  <c r="G46" i="98"/>
  <c r="G97" i="98"/>
  <c r="G59" i="98"/>
  <c r="G74" i="98"/>
  <c r="G90" i="98"/>
  <c r="G118" i="98"/>
  <c r="G121" i="98"/>
  <c r="G126" i="98"/>
  <c r="G64" i="98"/>
  <c r="G69" i="98"/>
  <c r="G57" i="98"/>
  <c r="G31" i="98"/>
  <c r="G95" i="98"/>
  <c r="G109" i="98"/>
  <c r="G75" i="98"/>
  <c r="G68" i="98"/>
  <c r="G49" i="98"/>
  <c r="G14" i="98"/>
  <c r="G71" i="98"/>
  <c r="G84" i="98"/>
  <c r="G87" i="98"/>
  <c r="Q23" i="24"/>
  <c r="G29" i="98"/>
  <c r="G65" i="98"/>
  <c r="G47" i="98"/>
  <c r="G63" i="98"/>
  <c r="G82" i="98"/>
  <c r="G122" i="98"/>
  <c r="G94" i="98"/>
  <c r="G48" i="98"/>
  <c r="G80" i="98"/>
  <c r="G60" i="98"/>
  <c r="Q17" i="24"/>
  <c r="G88" i="98"/>
  <c r="G25" i="98"/>
  <c r="G41" i="98"/>
  <c r="G50" i="98"/>
  <c r="AW18" i="24"/>
  <c r="Z14" i="24"/>
  <c r="C14" i="24" s="1"/>
  <c r="G42" i="98"/>
  <c r="G24" i="98"/>
  <c r="G13" i="98"/>
  <c r="G91" i="98"/>
  <c r="G54" i="98"/>
  <c r="G96" i="98"/>
  <c r="G34" i="98"/>
  <c r="G73" i="98"/>
  <c r="G51" i="98"/>
  <c r="G20" i="98"/>
  <c r="G70" i="98"/>
  <c r="G86" i="98"/>
  <c r="G105" i="98"/>
  <c r="G117" i="98"/>
  <c r="G119" i="98"/>
  <c r="G124" i="98"/>
  <c r="G113" i="98"/>
  <c r="G85" i="98"/>
  <c r="G22" i="98"/>
  <c r="G61" i="98"/>
  <c r="G92" i="98"/>
  <c r="G81" i="98"/>
  <c r="G18" i="98"/>
  <c r="G72" i="98"/>
  <c r="G100" i="98"/>
  <c r="G67" i="98"/>
  <c r="G102" i="98"/>
  <c r="AW22" i="24"/>
  <c r="O16" i="82"/>
  <c r="Q16" i="73" s="1"/>
  <c r="M18" i="82"/>
  <c r="O18" i="73" s="1"/>
  <c r="O115" i="82"/>
  <c r="I20" i="24"/>
  <c r="M88" i="82"/>
  <c r="O89" i="73" s="1"/>
  <c r="M57" i="82"/>
  <c r="O58" i="73" s="1"/>
  <c r="M31" i="82"/>
  <c r="O32" i="73" s="1"/>
  <c r="M80" i="82"/>
  <c r="O81" i="73" s="1"/>
  <c r="Z21" i="24"/>
  <c r="C21" i="24" s="1"/>
  <c r="N123" i="82"/>
  <c r="V124" i="73" s="1"/>
  <c r="N12" i="82"/>
  <c r="V12" i="73" s="1"/>
  <c r="N43" i="82"/>
  <c r="V44" i="73" s="1"/>
  <c r="O59" i="82"/>
  <c r="Q60" i="73" s="1"/>
  <c r="Z30" i="24"/>
  <c r="AW29" i="24"/>
  <c r="O34" i="82"/>
  <c r="Q35" i="73" s="1"/>
  <c r="N34" i="82"/>
  <c r="V35" i="73" s="1"/>
  <c r="O37" i="82"/>
  <c r="Q38" i="73" s="1"/>
  <c r="N45" i="82"/>
  <c r="V46" i="73" s="1"/>
  <c r="O49" i="82"/>
  <c r="Q50" i="73" s="1"/>
  <c r="O64" i="82"/>
  <c r="Q65" i="73" s="1"/>
  <c r="N52" i="82"/>
  <c r="V53" i="73" s="1"/>
  <c r="O65" i="82"/>
  <c r="Q66" i="73" s="1"/>
  <c r="O9" i="82"/>
  <c r="Q9" i="73" s="1"/>
  <c r="O17" i="82"/>
  <c r="Q17" i="73" s="1"/>
  <c r="O62" i="82"/>
  <c r="Q63" i="73" s="1"/>
  <c r="O53" i="82"/>
  <c r="Q54" i="73" s="1"/>
  <c r="AV22" i="24"/>
  <c r="K22" i="24" s="1"/>
  <c r="M94" i="82"/>
  <c r="O95" i="73" s="1"/>
  <c r="M97" i="82"/>
  <c r="O98" i="73" s="1"/>
  <c r="O123" i="82"/>
  <c r="Q124" i="73" s="1"/>
  <c r="N18" i="82"/>
  <c r="V18" i="73" s="1"/>
  <c r="N14" i="82"/>
  <c r="V14" i="73" s="1"/>
  <c r="N7" i="82"/>
  <c r="V7" i="73" s="1"/>
  <c r="O24" i="82"/>
  <c r="Q25" i="73" s="1"/>
  <c r="O13" i="82"/>
  <c r="Q13" i="73" s="1"/>
  <c r="N20" i="82"/>
  <c r="V20" i="73" s="1"/>
  <c r="O36" i="82"/>
  <c r="Q37" i="73" s="1"/>
  <c r="N25" i="82"/>
  <c r="V26" i="73" s="1"/>
  <c r="O33" i="82"/>
  <c r="Q34" i="73" s="1"/>
  <c r="O48" i="82"/>
  <c r="Q49" i="73" s="1"/>
  <c r="M60" i="82"/>
  <c r="O61" i="73" s="1"/>
  <c r="M64" i="82"/>
  <c r="O65" i="73" s="1"/>
  <c r="N44" i="82"/>
  <c r="V45" i="73" s="1"/>
  <c r="N68" i="82"/>
  <c r="V69" i="73" s="1"/>
  <c r="O54" i="82"/>
  <c r="Q55" i="73" s="1"/>
  <c r="N60" i="82"/>
  <c r="V61" i="73" s="1"/>
  <c r="O66" i="82"/>
  <c r="Q67" i="73" s="1"/>
  <c r="N73" i="82"/>
  <c r="V74" i="73" s="1"/>
  <c r="O56" i="82"/>
  <c r="Q57" i="73" s="1"/>
  <c r="N118" i="82"/>
  <c r="V119" i="73" s="1"/>
  <c r="M83" i="82"/>
  <c r="O84" i="73" s="1"/>
  <c r="M110" i="82"/>
  <c r="M81" i="82"/>
  <c r="O82" i="73" s="1"/>
  <c r="M17" i="82"/>
  <c r="O17" i="73" s="1"/>
  <c r="O7" i="82"/>
  <c r="Q7" i="73" s="1"/>
  <c r="O27" i="82"/>
  <c r="Q28" i="73" s="1"/>
  <c r="M7" i="82"/>
  <c r="O7" i="73" s="1"/>
  <c r="O26" i="82"/>
  <c r="Q27" i="73" s="1"/>
  <c r="O35" i="82"/>
  <c r="Q36" i="73" s="1"/>
  <c r="M36" i="82"/>
  <c r="O37" i="73" s="1"/>
  <c r="N9" i="82"/>
  <c r="V9" i="73" s="1"/>
  <c r="N17" i="82"/>
  <c r="V17" i="73" s="1"/>
  <c r="O25" i="82"/>
  <c r="Q26" i="73" s="1"/>
  <c r="N37" i="82"/>
  <c r="V38" i="73" s="1"/>
  <c r="M47" i="82"/>
  <c r="O48" i="73" s="1"/>
  <c r="N51" i="82"/>
  <c r="V52" i="73" s="1"/>
  <c r="N58" i="82"/>
  <c r="V59" i="73" s="1"/>
  <c r="N46" i="82"/>
  <c r="V47" i="73" s="1"/>
  <c r="M53" i="82"/>
  <c r="O54" i="73" s="1"/>
  <c r="N63" i="82"/>
  <c r="V64" i="73" s="1"/>
  <c r="O44" i="82"/>
  <c r="Q45" i="73" s="1"/>
  <c r="O68" i="82"/>
  <c r="Q69" i="73" s="1"/>
  <c r="N49" i="82"/>
  <c r="V50" i="73" s="1"/>
  <c r="N59" i="82"/>
  <c r="V60" i="73" s="1"/>
  <c r="N64" i="82"/>
  <c r="V65" i="73" s="1"/>
  <c r="M77" i="82"/>
  <c r="O78" i="73" s="1"/>
  <c r="O60" i="82"/>
  <c r="Q61" i="73" s="1"/>
  <c r="O70" i="82"/>
  <c r="Q71" i="73" s="1"/>
  <c r="N72" i="82"/>
  <c r="V73" i="73" s="1"/>
  <c r="O74" i="82"/>
  <c r="Q75" i="73" s="1"/>
  <c r="O100" i="82"/>
  <c r="O102" i="82"/>
  <c r="M112" i="82"/>
  <c r="M118" i="82"/>
  <c r="O119" i="73" s="1"/>
  <c r="N121" i="82"/>
  <c r="V122" i="73" s="1"/>
  <c r="O121" i="82"/>
  <c r="Q122" i="73" s="1"/>
  <c r="M23" i="82"/>
  <c r="O24" i="73" s="1"/>
  <c r="O23" i="82"/>
  <c r="Q24" i="73" s="1"/>
  <c r="M14" i="82"/>
  <c r="O14" i="73" s="1"/>
  <c r="N19" i="82"/>
  <c r="V19" i="73" s="1"/>
  <c r="N23" i="82"/>
  <c r="V24" i="73" s="1"/>
  <c r="N28" i="82"/>
  <c r="V29" i="73" s="1"/>
  <c r="N40" i="82"/>
  <c r="V41" i="73" s="1"/>
  <c r="I14" i="24"/>
  <c r="N21" i="82"/>
  <c r="V21" i="73" s="1"/>
  <c r="N50" i="82"/>
  <c r="V51" i="73" s="1"/>
  <c r="O61" i="82"/>
  <c r="Q62" i="73" s="1"/>
  <c r="O45" i="82"/>
  <c r="Q46" i="73" s="1"/>
  <c r="N66" i="82"/>
  <c r="V67" i="73" s="1"/>
  <c r="O110" i="82"/>
  <c r="O119" i="82"/>
  <c r="Q120" i="73" s="1"/>
  <c r="M73" i="82"/>
  <c r="O74" i="73" s="1"/>
  <c r="M111" i="82"/>
  <c r="M114" i="82"/>
  <c r="M87" i="82"/>
  <c r="O88" i="73" s="1"/>
  <c r="M40" i="82"/>
  <c r="O41" i="73" s="1"/>
  <c r="M16" i="82"/>
  <c r="O16" i="73" s="1"/>
  <c r="M24" i="82"/>
  <c r="O25" i="73" s="1"/>
  <c r="AV21" i="24"/>
  <c r="K21" i="24" s="1"/>
  <c r="M38" i="82"/>
  <c r="O39" i="73" s="1"/>
  <c r="M11" i="82"/>
  <c r="O11" i="73" s="1"/>
  <c r="M33" i="82"/>
  <c r="O34" i="73" s="1"/>
  <c r="M44" i="82"/>
  <c r="O45" i="73" s="1"/>
  <c r="M49" i="82"/>
  <c r="O50" i="73" s="1"/>
  <c r="M54" i="82"/>
  <c r="O55" i="73" s="1"/>
  <c r="M75" i="82"/>
  <c r="O76" i="73" s="1"/>
  <c r="M120" i="82"/>
  <c r="O121" i="73" s="1"/>
  <c r="M15" i="82"/>
  <c r="O15" i="73" s="1"/>
  <c r="M46" i="82"/>
  <c r="O47" i="73" s="1"/>
  <c r="M48" i="82"/>
  <c r="O49" i="73" s="1"/>
  <c r="J26" i="24"/>
  <c r="M67" i="82"/>
  <c r="O68" i="73" s="1"/>
  <c r="M74" i="82"/>
  <c r="O75" i="73" s="1"/>
  <c r="M85" i="82"/>
  <c r="O86" i="73" s="1"/>
  <c r="M82" i="82"/>
  <c r="O83" i="73" s="1"/>
  <c r="M90" i="82"/>
  <c r="O91" i="73" s="1"/>
  <c r="M96" i="82"/>
  <c r="O97" i="73" s="1"/>
  <c r="M122" i="82"/>
  <c r="O123" i="73" s="1"/>
  <c r="M95" i="82"/>
  <c r="O96" i="73" s="1"/>
  <c r="M113" i="82"/>
  <c r="M109" i="82"/>
  <c r="M107" i="82"/>
  <c r="O18" i="82"/>
  <c r="Q18" i="73" s="1"/>
  <c r="M19" i="82"/>
  <c r="O19" i="73" s="1"/>
  <c r="M21" i="82"/>
  <c r="O21" i="73" s="1"/>
  <c r="M9" i="82"/>
  <c r="O9" i="73" s="1"/>
  <c r="M45" i="82"/>
  <c r="O46" i="73" s="1"/>
  <c r="M55" i="82"/>
  <c r="O56" i="73" s="1"/>
  <c r="M116" i="82"/>
  <c r="AV20" i="24"/>
  <c r="M22" i="82"/>
  <c r="O23" i="73" s="1"/>
  <c r="O22" i="73" s="1"/>
  <c r="M37" i="82"/>
  <c r="O38" i="73" s="1"/>
  <c r="M50" i="82"/>
  <c r="O51" i="73" s="1"/>
  <c r="M25" i="82"/>
  <c r="O26" i="73" s="1"/>
  <c r="M12" i="82"/>
  <c r="O12" i="73" s="1"/>
  <c r="M58" i="82"/>
  <c r="O59" i="73" s="1"/>
  <c r="M72" i="82"/>
  <c r="O73" i="73" s="1"/>
  <c r="M61" i="82"/>
  <c r="O62" i="73" s="1"/>
  <c r="M84" i="82"/>
  <c r="O85" i="73" s="1"/>
  <c r="M91" i="82"/>
  <c r="O92" i="73" s="1"/>
  <c r="M99" i="82"/>
  <c r="O100" i="73" s="1"/>
  <c r="M102" i="82"/>
  <c r="M115" i="82"/>
  <c r="M69" i="82"/>
  <c r="O70" i="73" s="1"/>
  <c r="M66" i="82"/>
  <c r="O67" i="73" s="1"/>
  <c r="M93" i="82"/>
  <c r="O94" i="73" s="1"/>
  <c r="M65" i="82"/>
  <c r="O66" i="73" s="1"/>
  <c r="M70" i="82"/>
  <c r="O71" i="73" s="1"/>
  <c r="AW17" i="24"/>
  <c r="M123" i="82"/>
  <c r="O124" i="73" s="1"/>
  <c r="M121" i="82"/>
  <c r="O122" i="73" s="1"/>
  <c r="M13" i="82"/>
  <c r="O13" i="73" s="1"/>
  <c r="M10" i="82"/>
  <c r="O10" i="73" s="1"/>
  <c r="M8" i="82"/>
  <c r="O8" i="73" s="1"/>
  <c r="M27" i="82"/>
  <c r="O28" i="73" s="1"/>
  <c r="M20" i="82"/>
  <c r="O20" i="73" s="1"/>
  <c r="AV14" i="24"/>
  <c r="K14" i="24" s="1"/>
  <c r="M41" i="82"/>
  <c r="O42" i="73" s="1"/>
  <c r="M56" i="82"/>
  <c r="O57" i="73" s="1"/>
  <c r="M59" i="82"/>
  <c r="O60" i="73" s="1"/>
  <c r="M51" i="82"/>
  <c r="O52" i="73" s="1"/>
  <c r="M76" i="82"/>
  <c r="O77" i="73" s="1"/>
  <c r="M63" i="82"/>
  <c r="O64" i="73" s="1"/>
  <c r="M79" i="82"/>
  <c r="O80" i="73" s="1"/>
  <c r="M30" i="82"/>
  <c r="O31" i="73" s="1"/>
  <c r="M39" i="82"/>
  <c r="O40" i="73" s="1"/>
  <c r="M26" i="82"/>
  <c r="O27" i="73" s="1"/>
  <c r="M35" i="82"/>
  <c r="O36" i="73" s="1"/>
  <c r="M43" i="82"/>
  <c r="O44" i="73" s="1"/>
  <c r="M52" i="82"/>
  <c r="O53" i="73" s="1"/>
  <c r="M86" i="82"/>
  <c r="O87" i="73" s="1"/>
  <c r="M92" i="82"/>
  <c r="O93" i="73" s="1"/>
  <c r="M100" i="82"/>
  <c r="M89" i="82"/>
  <c r="O90" i="73" s="1"/>
  <c r="M108" i="82"/>
  <c r="M117" i="82"/>
  <c r="M119" i="82"/>
  <c r="O120" i="73" s="1"/>
  <c r="M42" i="82"/>
  <c r="O43" i="73" s="1"/>
  <c r="M78" i="82"/>
  <c r="O79" i="73" s="1"/>
  <c r="M62" i="82"/>
  <c r="O63" i="73" s="1"/>
  <c r="M98" i="82"/>
  <c r="O99" i="73" s="1"/>
  <c r="M34" i="82"/>
  <c r="O35" i="73" s="1"/>
  <c r="M71" i="82"/>
  <c r="O72" i="73" s="1"/>
  <c r="M28" i="82"/>
  <c r="O29" i="73" s="1"/>
  <c r="AW21" i="24"/>
  <c r="I28" i="24"/>
  <c r="AV12" i="24"/>
  <c r="N61" i="82"/>
  <c r="V62" i="73" s="1"/>
  <c r="AX13" i="24"/>
  <c r="R13" i="24" s="1"/>
  <c r="N8" i="82"/>
  <c r="V8" i="73" s="1"/>
  <c r="AW28" i="24"/>
  <c r="Z10" i="24"/>
  <c r="C10" i="24" s="1"/>
  <c r="D10" i="24" s="1"/>
  <c r="AW24" i="24"/>
  <c r="O20" i="82"/>
  <c r="Q20" i="73" s="1"/>
  <c r="J17" i="24"/>
  <c r="N11" i="82"/>
  <c r="V11" i="73" s="1"/>
  <c r="N62" i="82"/>
  <c r="V63" i="73" s="1"/>
  <c r="N122" i="82"/>
  <c r="V123" i="73" s="1"/>
  <c r="I38" i="36"/>
  <c r="C38" i="36" s="1"/>
  <c r="N40" i="97" s="1"/>
  <c r="N10" i="82"/>
  <c r="V10" i="73" s="1"/>
  <c r="C122" i="108"/>
  <c r="I125" i="97" s="1"/>
  <c r="X28" i="24"/>
  <c r="J24" i="24"/>
  <c r="E21" i="46"/>
  <c r="AN22" i="26"/>
  <c r="BD22" i="26" s="1"/>
  <c r="BE22" i="26" s="1"/>
  <c r="Z20" i="24"/>
  <c r="C20" i="24" s="1"/>
  <c r="D20" i="24" s="1"/>
  <c r="AX10" i="24"/>
  <c r="R10" i="24" s="1"/>
  <c r="AC45" i="46"/>
  <c r="S45" i="46"/>
  <c r="Q30" i="24"/>
  <c r="S96" i="52"/>
  <c r="T96" i="52" s="1"/>
  <c r="C123" i="108"/>
  <c r="I126" i="97" s="1"/>
  <c r="E92" i="17"/>
  <c r="D93" i="98" s="1"/>
  <c r="I79" i="36"/>
  <c r="C79" i="36" s="1"/>
  <c r="C20" i="108"/>
  <c r="C77" i="108"/>
  <c r="D99" i="108"/>
  <c r="J102" i="97" s="1"/>
  <c r="I119" i="36"/>
  <c r="E119" i="36" s="1"/>
  <c r="P121" i="97" s="1"/>
  <c r="G92" i="17"/>
  <c r="J96" i="52"/>
  <c r="U9" i="109" s="1"/>
  <c r="T7" i="109" s="1"/>
  <c r="D113" i="108"/>
  <c r="J116" i="97" s="1"/>
  <c r="C45" i="108"/>
  <c r="G121" i="15"/>
  <c r="I43" i="36"/>
  <c r="C43" i="36" s="1"/>
  <c r="C5" i="108"/>
  <c r="D7" i="108"/>
  <c r="P96" i="52"/>
  <c r="Q96" i="52" s="1"/>
  <c r="M96" i="52"/>
  <c r="N96" i="52" s="1"/>
  <c r="Z17" i="24"/>
  <c r="C17" i="24" s="1"/>
  <c r="D17" i="24" s="1"/>
  <c r="V96" i="52"/>
  <c r="W96" i="52" s="1"/>
  <c r="I32" i="36"/>
  <c r="C32" i="36" s="1"/>
  <c r="N34" i="97" s="1"/>
  <c r="H49" i="73"/>
  <c r="H60" i="73"/>
  <c r="H10" i="73"/>
  <c r="H61" i="73"/>
  <c r="H57" i="73"/>
  <c r="D95" i="108"/>
  <c r="H91" i="73"/>
  <c r="AN21" i="26"/>
  <c r="BD21" i="26" s="1"/>
  <c r="BE21" i="26" s="1"/>
  <c r="D26" i="90"/>
  <c r="C26" i="90" s="1"/>
  <c r="M28" i="97" s="1"/>
  <c r="H12" i="73"/>
  <c r="I81" i="36"/>
  <c r="D81" i="36" s="1"/>
  <c r="H97" i="73"/>
  <c r="I77" i="36"/>
  <c r="D77" i="36" s="1"/>
  <c r="I109" i="36"/>
  <c r="I65" i="36"/>
  <c r="D65" i="36" s="1"/>
  <c r="I30" i="36"/>
  <c r="E30" i="36" s="1"/>
  <c r="P31" i="97" s="1"/>
  <c r="I117" i="36"/>
  <c r="C117" i="36" s="1"/>
  <c r="N119" i="97" s="1"/>
  <c r="I53" i="36"/>
  <c r="E53" i="36" s="1"/>
  <c r="I19" i="36"/>
  <c r="D19" i="36" s="1"/>
  <c r="I11" i="36"/>
  <c r="E11" i="36" s="1"/>
  <c r="O81" i="82"/>
  <c r="Q82" i="73" s="1"/>
  <c r="N55" i="82"/>
  <c r="V56" i="73" s="1"/>
  <c r="N84" i="82"/>
  <c r="V85" i="73" s="1"/>
  <c r="O97" i="82"/>
  <c r="Q98" i="73" s="1"/>
  <c r="O91" i="82"/>
  <c r="Q92" i="73" s="1"/>
  <c r="O108" i="82"/>
  <c r="O111" i="82"/>
  <c r="N24" i="82"/>
  <c r="V25" i="73" s="1"/>
  <c r="O73" i="82"/>
  <c r="Q74" i="73" s="1"/>
  <c r="O114" i="82"/>
  <c r="O88" i="82"/>
  <c r="Q89" i="73" s="1"/>
  <c r="O120" i="82"/>
  <c r="Q121" i="73" s="1"/>
  <c r="O118" i="82"/>
  <c r="Q119" i="73" s="1"/>
  <c r="O47" i="46"/>
  <c r="AC13" i="46"/>
  <c r="O56" i="46"/>
  <c r="E47" i="46"/>
  <c r="C61" i="108"/>
  <c r="D108" i="108"/>
  <c r="J111" i="97" s="1"/>
  <c r="D97" i="108"/>
  <c r="C6" i="108"/>
  <c r="I8" i="97" s="1"/>
  <c r="C50" i="108"/>
  <c r="C82" i="108"/>
  <c r="C114" i="108"/>
  <c r="I117" i="97" s="1"/>
  <c r="I59" i="36"/>
  <c r="C59" i="36" s="1"/>
  <c r="I64" i="36"/>
  <c r="C64" i="36" s="1"/>
  <c r="I111" i="36"/>
  <c r="D111" i="36" s="1"/>
  <c r="O113" i="97" s="1"/>
  <c r="I116" i="36"/>
  <c r="D116" i="36" s="1"/>
  <c r="O118" i="97" s="1"/>
  <c r="I48" i="36"/>
  <c r="C48" i="36" s="1"/>
  <c r="I93" i="36"/>
  <c r="D93" i="36" s="1"/>
  <c r="H77" i="17"/>
  <c r="F78" i="98" s="1"/>
  <c r="C42" i="108"/>
  <c r="C74" i="108"/>
  <c r="D41" i="108"/>
  <c r="C106" i="108"/>
  <c r="I109" i="97" s="1"/>
  <c r="D73" i="108"/>
  <c r="D114" i="108"/>
  <c r="J117" i="97" s="1"/>
  <c r="O51" i="82"/>
  <c r="Q52" i="73" s="1"/>
  <c r="O112" i="82"/>
  <c r="O98" i="82"/>
  <c r="Q99" i="73" s="1"/>
  <c r="O22" i="82"/>
  <c r="Q23" i="73" s="1"/>
  <c r="I31" i="36"/>
  <c r="C31" i="36" s="1"/>
  <c r="N33" i="97" s="1"/>
  <c r="O50" i="82"/>
  <c r="Q51" i="73" s="1"/>
  <c r="O122" i="82"/>
  <c r="Q123" i="73" s="1"/>
  <c r="I57" i="36"/>
  <c r="D57" i="36" s="1"/>
  <c r="O59" i="97" s="1"/>
  <c r="O14" i="82"/>
  <c r="Q14" i="73" s="1"/>
  <c r="O15" i="82"/>
  <c r="Q15" i="73" s="1"/>
  <c r="I94" i="36"/>
  <c r="E94" i="36" s="1"/>
  <c r="N48" i="82"/>
  <c r="V49" i="73" s="1"/>
  <c r="N15" i="82"/>
  <c r="V15" i="73" s="1"/>
  <c r="O52" i="82"/>
  <c r="Q53" i="73" s="1"/>
  <c r="O63" i="82"/>
  <c r="Q64" i="73" s="1"/>
  <c r="O11" i="82"/>
  <c r="Q11" i="73" s="1"/>
  <c r="I8" i="36"/>
  <c r="D8" i="36" s="1"/>
  <c r="O9" i="97" s="1"/>
  <c r="I84" i="36"/>
  <c r="C84" i="36" s="1"/>
  <c r="I83" i="36"/>
  <c r="C83" i="36" s="1"/>
  <c r="L107" i="82"/>
  <c r="C121" i="15"/>
  <c r="I114" i="36"/>
  <c r="E114" i="36" s="1"/>
  <c r="P116" i="97" s="1"/>
  <c r="I78" i="36"/>
  <c r="E78" i="36" s="1"/>
  <c r="P80" i="97" s="1"/>
  <c r="C85" i="108"/>
  <c r="D75" i="108"/>
  <c r="D20" i="108"/>
  <c r="D6" i="108"/>
  <c r="J8" i="97" s="1"/>
  <c r="I37" i="36"/>
  <c r="D37" i="36" s="1"/>
  <c r="I33" i="36"/>
  <c r="D33" i="36" s="1"/>
  <c r="I17" i="36"/>
  <c r="C17" i="36" s="1"/>
  <c r="N18" i="97" s="1"/>
  <c r="I73" i="36"/>
  <c r="D73" i="36" s="1"/>
  <c r="I96" i="36"/>
  <c r="C96" i="36" s="1"/>
  <c r="I71" i="36"/>
  <c r="C71" i="36" s="1"/>
  <c r="I76" i="36"/>
  <c r="E76" i="36" s="1"/>
  <c r="I18" i="36"/>
  <c r="D18" i="36" s="1"/>
  <c r="O19" i="97" s="1"/>
  <c r="E34" i="36"/>
  <c r="C56" i="108"/>
  <c r="C88" i="108"/>
  <c r="I28" i="36"/>
  <c r="I52" i="36"/>
  <c r="D52" i="36" s="1"/>
  <c r="C27" i="108"/>
  <c r="C121" i="108"/>
  <c r="I124" i="97" s="1"/>
  <c r="I90" i="36"/>
  <c r="C90" i="36" s="1"/>
  <c r="E57" i="17"/>
  <c r="D58" i="98" s="1"/>
  <c r="D39" i="108"/>
  <c r="C110" i="108"/>
  <c r="I113" i="97" s="1"/>
  <c r="Q15" i="24"/>
  <c r="J15" i="24"/>
  <c r="I112" i="36"/>
  <c r="D112" i="36" s="1"/>
  <c r="O114" i="97" s="1"/>
  <c r="I80" i="36"/>
  <c r="C80" i="36" s="1"/>
  <c r="I85" i="36"/>
  <c r="C85" i="36" s="1"/>
  <c r="I47" i="36"/>
  <c r="C47" i="36" s="1"/>
  <c r="I9" i="36"/>
  <c r="E9" i="36" s="1"/>
  <c r="I36" i="36"/>
  <c r="C36" i="36" s="1"/>
  <c r="I92" i="36"/>
  <c r="C92" i="36" s="1"/>
  <c r="I70" i="36"/>
  <c r="E70" i="36" s="1"/>
  <c r="I122" i="36"/>
  <c r="D122" i="36" s="1"/>
  <c r="O124" i="97" s="1"/>
  <c r="D31" i="108"/>
  <c r="I74" i="36"/>
  <c r="E74" i="36" s="1"/>
  <c r="P76" i="97" s="1"/>
  <c r="Q11" i="24"/>
  <c r="I60" i="36"/>
  <c r="C60" i="36" s="1"/>
  <c r="C32" i="108"/>
  <c r="C64" i="108"/>
  <c r="C96" i="108"/>
  <c r="C34" i="108"/>
  <c r="C66" i="108"/>
  <c r="C69" i="108"/>
  <c r="C53" i="108"/>
  <c r="J20" i="24"/>
  <c r="J29" i="24"/>
  <c r="D23" i="108"/>
  <c r="S13" i="46"/>
  <c r="X25" i="26"/>
  <c r="Y25" i="26" s="1"/>
  <c r="J139" i="46"/>
  <c r="AN25" i="26"/>
  <c r="BD25" i="26" s="1"/>
  <c r="BE25" i="26" s="1"/>
  <c r="AS21" i="26"/>
  <c r="AT21" i="26" s="1"/>
  <c r="X26" i="24"/>
  <c r="S100" i="26"/>
  <c r="P100" i="26" s="1"/>
  <c r="N100" i="26" s="1"/>
  <c r="W12" i="24"/>
  <c r="Y68" i="46"/>
  <c r="O68" i="46"/>
  <c r="AV13" i="24"/>
  <c r="K13" i="24" s="1"/>
  <c r="F8" i="46"/>
  <c r="Y21" i="46"/>
  <c r="S19" i="26"/>
  <c r="P19" i="26" s="1"/>
  <c r="N19" i="26" s="1"/>
  <c r="AS8" i="26"/>
  <c r="AT8" i="26" s="1"/>
  <c r="AS24" i="26"/>
  <c r="AT24" i="26" s="1"/>
  <c r="S16" i="26"/>
  <c r="O142" i="46"/>
  <c r="AC40" i="46"/>
  <c r="AV29" i="24"/>
  <c r="K29" i="24" s="1"/>
  <c r="E142" i="46"/>
  <c r="E62" i="46"/>
  <c r="AC129" i="46"/>
  <c r="Y62" i="46"/>
  <c r="W13" i="24"/>
  <c r="X17" i="24"/>
  <c r="S113" i="26"/>
  <c r="BB113" i="26" s="1"/>
  <c r="Z13" i="24"/>
  <c r="C13" i="24" s="1"/>
  <c r="S17" i="26"/>
  <c r="P17" i="26" s="1"/>
  <c r="N17" i="26" s="1"/>
  <c r="S40" i="46"/>
  <c r="X29" i="24"/>
  <c r="J37" i="46"/>
  <c r="Y67" i="46"/>
  <c r="AV17" i="24"/>
  <c r="M17" i="24" s="1"/>
  <c r="AV27" i="24"/>
  <c r="L27" i="24" s="1"/>
  <c r="O67" i="46"/>
  <c r="AX17" i="24"/>
  <c r="T17" i="24" s="1"/>
  <c r="X9" i="26"/>
  <c r="Y9" i="26" s="1"/>
  <c r="AE42" i="46"/>
  <c r="AC42" i="46"/>
  <c r="Y54" i="46"/>
  <c r="I42" i="46"/>
  <c r="X102" i="26"/>
  <c r="Y102" i="26" s="1"/>
  <c r="I27" i="24"/>
  <c r="I25" i="24"/>
  <c r="S10" i="46"/>
  <c r="J35" i="46"/>
  <c r="AV25" i="24"/>
  <c r="K25" i="24" s="1"/>
  <c r="J23" i="24"/>
  <c r="F17" i="46"/>
  <c r="Y42" i="46"/>
  <c r="Y23" i="46"/>
  <c r="E24" i="46"/>
  <c r="S129" i="46"/>
  <c r="AC10" i="46"/>
  <c r="S23" i="46"/>
  <c r="E37" i="46"/>
  <c r="O24" i="46"/>
  <c r="AC44" i="46"/>
  <c r="AX9" i="24"/>
  <c r="R9" i="24" s="1"/>
  <c r="I13" i="24"/>
  <c r="AA40" i="46"/>
  <c r="J55" i="46"/>
  <c r="F37" i="46"/>
  <c r="G40" i="46"/>
  <c r="J54" i="46"/>
  <c r="AX25" i="24"/>
  <c r="R25" i="24" s="1"/>
  <c r="I29" i="24"/>
  <c r="E23" i="46"/>
  <c r="O139" i="46"/>
  <c r="Q35" i="46"/>
  <c r="AX29" i="24"/>
  <c r="S29" i="24" s="1"/>
  <c r="J44" i="46"/>
  <c r="Y37" i="46"/>
  <c r="S47" i="46"/>
  <c r="Y139" i="46"/>
  <c r="J57" i="46"/>
  <c r="I9" i="24"/>
  <c r="AV9" i="24"/>
  <c r="M9" i="24" s="1"/>
  <c r="AC14" i="46"/>
  <c r="I47" i="46"/>
  <c r="Z15" i="24"/>
  <c r="C15" i="24" s="1"/>
  <c r="Z23" i="24"/>
  <c r="Z22" i="24"/>
  <c r="W29" i="24"/>
  <c r="X21" i="24"/>
  <c r="Z19" i="24"/>
  <c r="C19" i="24" s="1"/>
  <c r="Z18" i="24"/>
  <c r="C18" i="24" s="1"/>
  <c r="D18" i="24" s="1"/>
  <c r="X100" i="26"/>
  <c r="Y100" i="26" s="1"/>
  <c r="X12" i="26"/>
  <c r="Y12" i="26" s="1"/>
  <c r="X17" i="26"/>
  <c r="Y17" i="26" s="1"/>
  <c r="AS25" i="26"/>
  <c r="AT25" i="26" s="1"/>
  <c r="AS18" i="26"/>
  <c r="AT18" i="26" s="1"/>
  <c r="X7" i="26"/>
  <c r="Y7" i="26" s="1"/>
  <c r="AN113" i="26"/>
  <c r="BD113" i="26" s="1"/>
  <c r="BE113" i="26" s="1"/>
  <c r="S117" i="26"/>
  <c r="P117" i="26" s="1"/>
  <c r="N117" i="26" s="1"/>
  <c r="L117" i="26" s="1"/>
  <c r="AN18" i="26"/>
  <c r="BD18" i="26" s="1"/>
  <c r="BE18" i="26" s="1"/>
  <c r="S22" i="26"/>
  <c r="P22" i="26" s="1"/>
  <c r="N22" i="26" s="1"/>
  <c r="L22" i="26" s="1"/>
  <c r="J22" i="26" s="1"/>
  <c r="K22" i="26" s="1"/>
  <c r="X11" i="26"/>
  <c r="Y11" i="26" s="1"/>
  <c r="AN90" i="26"/>
  <c r="AK90" i="26" s="1"/>
  <c r="X20" i="24"/>
  <c r="W18" i="24"/>
  <c r="X12" i="24"/>
  <c r="W28" i="24"/>
  <c r="W20" i="24"/>
  <c r="X27" i="24"/>
  <c r="X15" i="24"/>
  <c r="W17" i="24"/>
  <c r="W30" i="24"/>
  <c r="C73" i="108"/>
  <c r="C118" i="108"/>
  <c r="I121" i="97" s="1"/>
  <c r="C109" i="108"/>
  <c r="I112" i="97" s="1"/>
  <c r="C37" i="108"/>
  <c r="D77" i="108"/>
  <c r="D112" i="108"/>
  <c r="J115" i="97" s="1"/>
  <c r="AN9" i="26"/>
  <c r="AK9" i="26" s="1"/>
  <c r="S92" i="26"/>
  <c r="S95" i="26"/>
  <c r="P95" i="26" s="1"/>
  <c r="N95" i="26" s="1"/>
  <c r="AS16" i="26"/>
  <c r="AT16" i="26" s="1"/>
  <c r="AS100" i="26"/>
  <c r="AT100" i="26" s="1"/>
  <c r="D115" i="108"/>
  <c r="J118" i="97" s="1"/>
  <c r="D47" i="108"/>
  <c r="AN17" i="26"/>
  <c r="AK17" i="26" s="1"/>
  <c r="Z27" i="24"/>
  <c r="AN10" i="26"/>
  <c r="BD10" i="26" s="1"/>
  <c r="BE10" i="26" s="1"/>
  <c r="E126" i="17"/>
  <c r="D122" i="98" s="1"/>
  <c r="E88" i="17"/>
  <c r="D89" i="98" s="1"/>
  <c r="AN99" i="26"/>
  <c r="BD99" i="26" s="1"/>
  <c r="BE99" i="26" s="1"/>
  <c r="S60" i="46"/>
  <c r="J45" i="46"/>
  <c r="J64" i="46"/>
  <c r="X13" i="24"/>
  <c r="AX12" i="24"/>
  <c r="S12" i="24" s="1"/>
  <c r="S90" i="26"/>
  <c r="P90" i="26" s="1"/>
  <c r="N90" i="26" s="1"/>
  <c r="S94" i="26"/>
  <c r="AN98" i="26"/>
  <c r="AK98" i="26" s="1"/>
  <c r="S102" i="26"/>
  <c r="P102" i="26" s="1"/>
  <c r="N102" i="26" s="1"/>
  <c r="L102" i="26" s="1"/>
  <c r="AC60" i="46"/>
  <c r="D69" i="108"/>
  <c r="X10" i="24"/>
  <c r="C93" i="108"/>
  <c r="D59" i="108"/>
  <c r="I41" i="36"/>
  <c r="D41" i="36" s="1"/>
  <c r="I67" i="36"/>
  <c r="C67" i="36" s="1"/>
  <c r="I106" i="36"/>
  <c r="C106" i="36" s="1"/>
  <c r="N108" i="97" s="1"/>
  <c r="C90" i="108"/>
  <c r="C38" i="108"/>
  <c r="C105" i="108"/>
  <c r="I108" i="97" s="1"/>
  <c r="AN92" i="26"/>
  <c r="AK92" i="26" s="1"/>
  <c r="AN118" i="26"/>
  <c r="AK118" i="26" s="1"/>
  <c r="S116" i="26"/>
  <c r="S118" i="26"/>
  <c r="BC118" i="26" s="1"/>
  <c r="AN121" i="26"/>
  <c r="BD121" i="26" s="1"/>
  <c r="BE121" i="26" s="1"/>
  <c r="AN101" i="26"/>
  <c r="BD101" i="26" s="1"/>
  <c r="BE101" i="26" s="1"/>
  <c r="S25" i="26"/>
  <c r="BB25" i="26" s="1"/>
  <c r="AN88" i="26"/>
  <c r="BD88" i="26" s="1"/>
  <c r="BE88" i="26" s="1"/>
  <c r="X6" i="26"/>
  <c r="Y6" i="26" s="1"/>
  <c r="D21" i="108"/>
  <c r="AN14" i="26"/>
  <c r="BD14" i="26" s="1"/>
  <c r="BE14" i="26" s="1"/>
  <c r="S56" i="46"/>
  <c r="AC56" i="46"/>
  <c r="Z25" i="24"/>
  <c r="AN93" i="26"/>
  <c r="BD93" i="26" s="1"/>
  <c r="BE93" i="26" s="1"/>
  <c r="AS121" i="26"/>
  <c r="AT121" i="26" s="1"/>
  <c r="BD70" i="26"/>
  <c r="S98" i="26"/>
  <c r="P98" i="26" s="1"/>
  <c r="N98" i="26" s="1"/>
  <c r="L98" i="26" s="1"/>
  <c r="J98" i="26" s="1"/>
  <c r="K98" i="26" s="1"/>
  <c r="I56" i="46"/>
  <c r="AE40" i="46"/>
  <c r="Q16" i="24"/>
  <c r="Q27" i="24"/>
  <c r="I44" i="36"/>
  <c r="C48" i="108"/>
  <c r="C80" i="108"/>
  <c r="C58" i="108"/>
  <c r="I14" i="36"/>
  <c r="E14" i="36" s="1"/>
  <c r="C117" i="108"/>
  <c r="I120" i="97" s="1"/>
  <c r="D65" i="108"/>
  <c r="AS14" i="26"/>
  <c r="AT14" i="26" s="1"/>
  <c r="W11" i="24"/>
  <c r="Z11" i="24"/>
  <c r="C11" i="24" s="1"/>
  <c r="C111" i="108"/>
  <c r="I114" i="97" s="1"/>
  <c r="I13" i="36"/>
  <c r="D116" i="108"/>
  <c r="J119" i="97" s="1"/>
  <c r="D33" i="108"/>
  <c r="D49" i="108"/>
  <c r="J17" i="46"/>
  <c r="X96" i="26"/>
  <c r="Y96" i="26" s="1"/>
  <c r="X18" i="26"/>
  <c r="Y18" i="26" s="1"/>
  <c r="X16" i="26"/>
  <c r="Y16" i="26" s="1"/>
  <c r="X101" i="26"/>
  <c r="Y101" i="26" s="1"/>
  <c r="X94" i="26"/>
  <c r="Y94" i="26" s="1"/>
  <c r="X30" i="24"/>
  <c r="W14" i="24"/>
  <c r="D78" i="108"/>
  <c r="C94" i="108"/>
  <c r="AA11" i="46"/>
  <c r="E11" i="46"/>
  <c r="AA6" i="46"/>
  <c r="G6" i="46"/>
  <c r="Q6" i="46"/>
  <c r="O6" i="46"/>
  <c r="D104" i="108"/>
  <c r="J107" i="97" s="1"/>
  <c r="I68" i="36"/>
  <c r="C68" i="36" s="1"/>
  <c r="J33" i="46"/>
  <c r="AA44" i="46"/>
  <c r="G44" i="46"/>
  <c r="AN19" i="26"/>
  <c r="AK19" i="26" s="1"/>
  <c r="Q40" i="46"/>
  <c r="AC23" i="46"/>
  <c r="S15" i="26"/>
  <c r="P15" i="26" s="1"/>
  <c r="N15" i="26" s="1"/>
  <c r="S89" i="26"/>
  <c r="P89" i="26" s="1"/>
  <c r="N89" i="26" s="1"/>
  <c r="L89" i="26" s="1"/>
  <c r="J89" i="26" s="1"/>
  <c r="K89" i="26" s="1"/>
  <c r="D18" i="108"/>
  <c r="D25" i="108"/>
  <c r="AV26" i="24"/>
  <c r="K26" i="24" s="1"/>
  <c r="AN8" i="26"/>
  <c r="BD8" i="26" s="1"/>
  <c r="BE8" i="26" s="1"/>
  <c r="D121" i="108"/>
  <c r="J124" i="97" s="1"/>
  <c r="I26" i="24"/>
  <c r="F16" i="46"/>
  <c r="AE60" i="46"/>
  <c r="D93" i="108"/>
  <c r="E140" i="46"/>
  <c r="E42" i="46"/>
  <c r="F25" i="46"/>
  <c r="J25" i="24"/>
  <c r="J96" i="82"/>
  <c r="AN13" i="26"/>
  <c r="BD13" i="26" s="1"/>
  <c r="BE13" i="26" s="1"/>
  <c r="F56" i="46"/>
  <c r="D60" i="108"/>
  <c r="D55" i="108"/>
  <c r="C18" i="108"/>
  <c r="AN11" i="26"/>
  <c r="BD11" i="26" s="1"/>
  <c r="BE11" i="26" s="1"/>
  <c r="N13" i="82"/>
  <c r="V13" i="73" s="1"/>
  <c r="X18" i="24"/>
  <c r="J28" i="24"/>
  <c r="C44" i="108"/>
  <c r="C23" i="108"/>
  <c r="AS95" i="26"/>
  <c r="AT95" i="26" s="1"/>
  <c r="J18" i="24"/>
  <c r="N80" i="82"/>
  <c r="V81" i="73" s="1"/>
  <c r="I72" i="36"/>
  <c r="C72" i="36" s="1"/>
  <c r="N74" i="97" s="1"/>
  <c r="E57" i="46"/>
  <c r="Y57" i="46"/>
  <c r="S32" i="46"/>
  <c r="I32" i="46"/>
  <c r="G50" i="46"/>
  <c r="F9" i="46"/>
  <c r="AX30" i="24"/>
  <c r="T30" i="24" s="1"/>
  <c r="AV24" i="24"/>
  <c r="S38" i="46"/>
  <c r="S14" i="46"/>
  <c r="E54" i="46"/>
  <c r="Q63" i="46"/>
  <c r="I24" i="24"/>
  <c r="C119" i="15"/>
  <c r="AE28" i="46"/>
  <c r="I38" i="46"/>
  <c r="Y50" i="46"/>
  <c r="O63" i="46"/>
  <c r="F28" i="46"/>
  <c r="F36" i="46"/>
  <c r="F42" i="46"/>
  <c r="O50" i="46"/>
  <c r="AA63" i="46"/>
  <c r="I12" i="46"/>
  <c r="AC12" i="46"/>
  <c r="F24" i="46"/>
  <c r="F140" i="46"/>
  <c r="AE13" i="46"/>
  <c r="E63" i="46"/>
  <c r="S28" i="46"/>
  <c r="G63" i="46"/>
  <c r="AE12" i="46"/>
  <c r="F55" i="46"/>
  <c r="AE23" i="46"/>
  <c r="G23" i="46"/>
  <c r="AA23" i="46"/>
  <c r="Y59" i="46"/>
  <c r="E59" i="46"/>
  <c r="O138" i="46"/>
  <c r="E138" i="46"/>
  <c r="G11" i="46"/>
  <c r="Q11" i="46"/>
  <c r="Y11" i="46"/>
  <c r="O11" i="46"/>
  <c r="J21" i="46"/>
  <c r="AC37" i="46"/>
  <c r="I37" i="46"/>
  <c r="S37" i="46"/>
  <c r="G66" i="46"/>
  <c r="O66" i="46"/>
  <c r="Y66" i="46"/>
  <c r="Q66" i="46"/>
  <c r="AA25" i="46"/>
  <c r="O25" i="46"/>
  <c r="AW16" i="24"/>
  <c r="I16" i="24"/>
  <c r="AV16" i="24"/>
  <c r="L16" i="24" s="1"/>
  <c r="I8" i="46"/>
  <c r="AC8" i="46"/>
  <c r="S8" i="46"/>
  <c r="Q68" i="46"/>
  <c r="AA68" i="46"/>
  <c r="G68" i="46"/>
  <c r="O55" i="46"/>
  <c r="Q55" i="46"/>
  <c r="I54" i="46"/>
  <c r="S54" i="46"/>
  <c r="AC54" i="46"/>
  <c r="Q23" i="46"/>
  <c r="E55" i="46"/>
  <c r="G55" i="46"/>
  <c r="Y55" i="46"/>
  <c r="S17" i="46"/>
  <c r="I17" i="46"/>
  <c r="AC17" i="46"/>
  <c r="E14" i="46"/>
  <c r="Q44" i="46"/>
  <c r="Y44" i="46"/>
  <c r="E44" i="46"/>
  <c r="O44" i="46"/>
  <c r="Y52" i="46"/>
  <c r="Q52" i="46"/>
  <c r="I62" i="46"/>
  <c r="AC62" i="46"/>
  <c r="S62" i="46"/>
  <c r="G69" i="46"/>
  <c r="Q69" i="46"/>
  <c r="E69" i="46"/>
  <c r="Y69" i="46"/>
  <c r="O69" i="46"/>
  <c r="F142" i="46"/>
  <c r="S43" i="46"/>
  <c r="I43" i="46"/>
  <c r="AC43" i="46"/>
  <c r="Q28" i="46"/>
  <c r="G28" i="46"/>
  <c r="AA28" i="46"/>
  <c r="O28" i="46"/>
  <c r="J12" i="46"/>
  <c r="AA66" i="46"/>
  <c r="O59" i="46"/>
  <c r="AA55" i="46"/>
  <c r="E52" i="46"/>
  <c r="F54" i="46"/>
  <c r="AE43" i="46"/>
  <c r="O17" i="46"/>
  <c r="E17" i="46"/>
  <c r="AW30" i="24"/>
  <c r="I30" i="24"/>
  <c r="P11" i="24"/>
  <c r="AX11" i="24"/>
  <c r="T11" i="24" s="1"/>
  <c r="P14" i="24"/>
  <c r="AX14" i="24"/>
  <c r="S14" i="24" s="1"/>
  <c r="I52" i="46"/>
  <c r="S52" i="46"/>
  <c r="F40" i="46"/>
  <c r="I25" i="46"/>
  <c r="S25" i="46"/>
  <c r="AC25" i="46"/>
  <c r="AE25" i="46"/>
  <c r="E56" i="46"/>
  <c r="AA37" i="46"/>
  <c r="Q37" i="46"/>
  <c r="G37" i="46"/>
  <c r="AE37" i="46"/>
  <c r="AE54" i="46"/>
  <c r="G54" i="46"/>
  <c r="AA54" i="46"/>
  <c r="G59" i="46"/>
  <c r="Q59" i="46"/>
  <c r="I59" i="46"/>
  <c r="S59" i="46"/>
  <c r="AE59" i="46"/>
  <c r="AV30" i="24"/>
  <c r="Q54" i="46"/>
  <c r="AE52" i="46"/>
  <c r="AA59" i="46"/>
  <c r="O27" i="46"/>
  <c r="Y27" i="46"/>
  <c r="S51" i="46"/>
  <c r="AC52" i="46"/>
  <c r="I34" i="46"/>
  <c r="S34" i="46"/>
  <c r="AC34" i="46"/>
  <c r="I24" i="46"/>
  <c r="AC24" i="46"/>
  <c r="G25" i="46"/>
  <c r="Q25" i="46"/>
  <c r="E25" i="46"/>
  <c r="Y25" i="46"/>
  <c r="AC6" i="46"/>
  <c r="S6" i="46"/>
  <c r="AE6" i="46"/>
  <c r="I140" i="46"/>
  <c r="AC140" i="46"/>
  <c r="AX21" i="24"/>
  <c r="S21" i="24" s="1"/>
  <c r="P21" i="24"/>
  <c r="AC51" i="46"/>
  <c r="AE35" i="46"/>
  <c r="G45" i="46"/>
  <c r="O45" i="46"/>
  <c r="Q45" i="46"/>
  <c r="Y45" i="46"/>
  <c r="I57" i="46"/>
  <c r="AC57" i="46"/>
  <c r="O140" i="46"/>
  <c r="Y140" i="46"/>
  <c r="J142" i="46"/>
  <c r="AA12" i="46"/>
  <c r="O12" i="46"/>
  <c r="G12" i="46"/>
  <c r="I50" i="46"/>
  <c r="AC50" i="46"/>
  <c r="AA52" i="46"/>
  <c r="G52" i="46"/>
  <c r="O39" i="46"/>
  <c r="Y39" i="46"/>
  <c r="E39" i="46"/>
  <c r="AE45" i="46"/>
  <c r="G21" i="46"/>
  <c r="J61" i="46"/>
  <c r="C58" i="98"/>
  <c r="C104" i="108"/>
  <c r="I107" i="97" s="1"/>
  <c r="AC28" i="46"/>
  <c r="Q12" i="46"/>
  <c r="S14" i="26"/>
  <c r="P14" i="26" s="1"/>
  <c r="N14" i="26" s="1"/>
  <c r="L14" i="26" s="1"/>
  <c r="J14" i="26" s="1"/>
  <c r="K14" i="26" s="1"/>
  <c r="AS96" i="26"/>
  <c r="AT96" i="26" s="1"/>
  <c r="X24" i="26"/>
  <c r="Y24" i="26" s="1"/>
  <c r="AS94" i="26"/>
  <c r="AT94" i="26" s="1"/>
  <c r="AS102" i="26"/>
  <c r="AT102" i="26" s="1"/>
  <c r="X11" i="24"/>
  <c r="I40" i="36"/>
  <c r="S8" i="26"/>
  <c r="AS9" i="26"/>
  <c r="AT9" i="26" s="1"/>
  <c r="I51" i="36"/>
  <c r="D51" i="108"/>
  <c r="C83" i="108"/>
  <c r="C14" i="108"/>
  <c r="J42" i="46"/>
  <c r="AS11" i="26"/>
  <c r="AT11" i="26" s="1"/>
  <c r="S91" i="26"/>
  <c r="N31" i="82"/>
  <c r="V32" i="73" s="1"/>
  <c r="O39" i="82"/>
  <c r="Q40" i="73" s="1"/>
  <c r="N26" i="82"/>
  <c r="V27" i="73" s="1"/>
  <c r="D16" i="108"/>
  <c r="I107" i="36"/>
  <c r="C107" i="36" s="1"/>
  <c r="N109" i="97" s="1"/>
  <c r="D103" i="108"/>
  <c r="J106" i="97" s="1"/>
  <c r="S50" i="46"/>
  <c r="S140" i="46"/>
  <c r="E27" i="46"/>
  <c r="S24" i="26"/>
  <c r="P24" i="26" s="1"/>
  <c r="N24" i="26" s="1"/>
  <c r="L24" i="26" s="1"/>
  <c r="J24" i="26" s="1"/>
  <c r="K24" i="26" s="1"/>
  <c r="C78" i="108"/>
  <c r="C17" i="108"/>
  <c r="I19" i="97" s="1"/>
  <c r="S24" i="46"/>
  <c r="AA45" i="46"/>
  <c r="O38" i="82"/>
  <c r="Q39" i="73" s="1"/>
  <c r="I12" i="24"/>
  <c r="S10" i="26"/>
  <c r="P10" i="26" s="1"/>
  <c r="N10" i="26" s="1"/>
  <c r="C49" i="108"/>
  <c r="C71" i="108"/>
  <c r="D79" i="108"/>
  <c r="C107" i="108"/>
  <c r="I110" i="97" s="1"/>
  <c r="AS91" i="26"/>
  <c r="AT91" i="26" s="1"/>
  <c r="N74" i="82"/>
  <c r="V75" i="73" s="1"/>
  <c r="D68" i="108"/>
  <c r="C84" i="108"/>
  <c r="X93" i="26"/>
  <c r="Y93" i="26" s="1"/>
  <c r="S13" i="26"/>
  <c r="BB13" i="26" s="1"/>
  <c r="S18" i="26"/>
  <c r="X15" i="26"/>
  <c r="Y15" i="26" s="1"/>
  <c r="AS101" i="26"/>
  <c r="AT101" i="26" s="1"/>
  <c r="AX15" i="24"/>
  <c r="T15" i="24" s="1"/>
  <c r="O77" i="82"/>
  <c r="Q78" i="73" s="1"/>
  <c r="N91" i="82"/>
  <c r="V92" i="73" s="1"/>
  <c r="AW12" i="24"/>
  <c r="AM141" i="46"/>
  <c r="J16" i="46"/>
  <c r="D87" i="108"/>
  <c r="C10" i="108"/>
  <c r="D101" i="108"/>
  <c r="J104" i="97" s="1"/>
  <c r="D63" i="108"/>
  <c r="D61" i="108"/>
  <c r="X112" i="26"/>
  <c r="Y112" i="26" s="1"/>
  <c r="AS115" i="26"/>
  <c r="AT115" i="26" s="1"/>
  <c r="AS88" i="26"/>
  <c r="AT88" i="26" s="1"/>
  <c r="AN12" i="26"/>
  <c r="BD12" i="26" s="1"/>
  <c r="BE12" i="26" s="1"/>
  <c r="BD55" i="26"/>
  <c r="O87" i="82"/>
  <c r="Q88" i="73" s="1"/>
  <c r="O40" i="46"/>
  <c r="Y40" i="46"/>
  <c r="H41" i="73"/>
  <c r="D54" i="108"/>
  <c r="P26" i="24"/>
  <c r="AX26" i="24"/>
  <c r="S26" i="24" s="1"/>
  <c r="AV18" i="24"/>
  <c r="K18" i="24" s="1"/>
  <c r="I18" i="24"/>
  <c r="N113" i="82"/>
  <c r="V114" i="73" s="1"/>
  <c r="N86" i="82"/>
  <c r="V87" i="73" s="1"/>
  <c r="N119" i="82"/>
  <c r="V120" i="73" s="1"/>
  <c r="N100" i="82"/>
  <c r="O85" i="82"/>
  <c r="Q86" i="73" s="1"/>
  <c r="O40" i="82"/>
  <c r="Q41" i="73" s="1"/>
  <c r="N109" i="82"/>
  <c r="V110" i="73" s="1"/>
  <c r="O90" i="82"/>
  <c r="Q91" i="73" s="1"/>
  <c r="N82" i="82"/>
  <c r="V83" i="73" s="1"/>
  <c r="O69" i="82"/>
  <c r="Q70" i="73" s="1"/>
  <c r="N98" i="82"/>
  <c r="V99" i="73" s="1"/>
  <c r="N90" i="82"/>
  <c r="V91" i="73" s="1"/>
  <c r="N83" i="82"/>
  <c r="V84" i="73" s="1"/>
  <c r="N75" i="82"/>
  <c r="V76" i="73" s="1"/>
  <c r="O46" i="82"/>
  <c r="Q47" i="73" s="1"/>
  <c r="O41" i="82"/>
  <c r="Q42" i="73" s="1"/>
  <c r="N117" i="82"/>
  <c r="V118" i="73" s="1"/>
  <c r="N85" i="82"/>
  <c r="V86" i="73" s="1"/>
  <c r="N95" i="82"/>
  <c r="V96" i="73" s="1"/>
  <c r="N114" i="82"/>
  <c r="V115" i="73" s="1"/>
  <c r="O95" i="82"/>
  <c r="Q96" i="73" s="1"/>
  <c r="N89" i="82"/>
  <c r="V90" i="73" s="1"/>
  <c r="O82" i="82"/>
  <c r="Q83" i="73" s="1"/>
  <c r="O67" i="82"/>
  <c r="Q68" i="73" s="1"/>
  <c r="N38" i="82"/>
  <c r="V39" i="73" s="1"/>
  <c r="N16" i="82"/>
  <c r="V16" i="73" s="1"/>
  <c r="N35" i="82"/>
  <c r="V36" i="73" s="1"/>
  <c r="O19" i="82"/>
  <c r="Q19" i="73" s="1"/>
  <c r="O47" i="82"/>
  <c r="Q48" i="73" s="1"/>
  <c r="N27" i="82"/>
  <c r="V28" i="73" s="1"/>
  <c r="O10" i="82"/>
  <c r="Q10" i="73" s="1"/>
  <c r="O117" i="82"/>
  <c r="O113" i="82"/>
  <c r="O109" i="82"/>
  <c r="O107" i="82"/>
  <c r="O96" i="82"/>
  <c r="Q97" i="73" s="1"/>
  <c r="N77" i="82"/>
  <c r="V78" i="73" s="1"/>
  <c r="N69" i="82"/>
  <c r="V70" i="73" s="1"/>
  <c r="N57" i="82"/>
  <c r="V58" i="73" s="1"/>
  <c r="N81" i="82"/>
  <c r="V82" i="73" s="1"/>
  <c r="N92" i="82"/>
  <c r="V93" i="73" s="1"/>
  <c r="N87" i="82"/>
  <c r="V88" i="73" s="1"/>
  <c r="P20" i="24"/>
  <c r="AX20" i="24"/>
  <c r="S20" i="24" s="1"/>
  <c r="W26" i="24"/>
  <c r="P23" i="24"/>
  <c r="AX23" i="24"/>
  <c r="S23" i="24" s="1"/>
  <c r="X24" i="24"/>
  <c r="W24" i="24"/>
  <c r="O42" i="82"/>
  <c r="Q43" i="73" s="1"/>
  <c r="N56" i="82"/>
  <c r="V57" i="73" s="1"/>
  <c r="N47" i="82"/>
  <c r="V48" i="73" s="1"/>
  <c r="N94" i="82"/>
  <c r="V95" i="73" s="1"/>
  <c r="N33" i="82"/>
  <c r="V34" i="73" s="1"/>
  <c r="N112" i="82"/>
  <c r="V113" i="73" s="1"/>
  <c r="O43" i="82"/>
  <c r="Q44" i="73" s="1"/>
  <c r="N67" i="82"/>
  <c r="V68" i="73" s="1"/>
  <c r="O86" i="82"/>
  <c r="Q87" i="73" s="1"/>
  <c r="N102" i="82"/>
  <c r="V103" i="73" s="1"/>
  <c r="O83" i="82"/>
  <c r="Q84" i="73" s="1"/>
  <c r="O28" i="82"/>
  <c r="Q29" i="73" s="1"/>
  <c r="N107" i="82"/>
  <c r="V108" i="73" s="1"/>
  <c r="N76" i="82"/>
  <c r="V77" i="73" s="1"/>
  <c r="N78" i="82"/>
  <c r="V79" i="73" s="1"/>
  <c r="N54" i="82"/>
  <c r="V55" i="73" s="1"/>
  <c r="N65" i="82"/>
  <c r="V66" i="73" s="1"/>
  <c r="O78" i="82"/>
  <c r="Q79" i="73" s="1"/>
  <c r="N53" i="82"/>
  <c r="V54" i="73" s="1"/>
  <c r="O55" i="82"/>
  <c r="Q56" i="73" s="1"/>
  <c r="O84" i="82"/>
  <c r="Q85" i="73" s="1"/>
  <c r="O94" i="82"/>
  <c r="Q95" i="73" s="1"/>
  <c r="O99" i="82"/>
  <c r="Q100" i="73" s="1"/>
  <c r="N115" i="82"/>
  <c r="V116" i="73" s="1"/>
  <c r="O116" i="82"/>
  <c r="N120" i="82"/>
  <c r="V121" i="73" s="1"/>
  <c r="J22" i="24"/>
  <c r="AW25" i="24"/>
  <c r="AX27" i="24"/>
  <c r="S27" i="24" s="1"/>
  <c r="W27" i="24"/>
  <c r="X14" i="24"/>
  <c r="P18" i="24"/>
  <c r="AX18" i="24"/>
  <c r="S18" i="24" s="1"/>
  <c r="P16" i="24"/>
  <c r="AX16" i="24"/>
  <c r="S16" i="24" s="1"/>
  <c r="J12" i="24"/>
  <c r="AV15" i="24"/>
  <c r="AW15" i="24"/>
  <c r="N79" i="82"/>
  <c r="V80" i="73" s="1"/>
  <c r="O30" i="82"/>
  <c r="Q31" i="73" s="1"/>
  <c r="O21" i="82"/>
  <c r="Q21" i="73" s="1"/>
  <c r="N39" i="82"/>
  <c r="V40" i="73" s="1"/>
  <c r="N96" i="82"/>
  <c r="V97" i="73" s="1"/>
  <c r="N110" i="82"/>
  <c r="V111" i="73" s="1"/>
  <c r="N88" i="82"/>
  <c r="V89" i="73" s="1"/>
  <c r="O93" i="82"/>
  <c r="Q94" i="73" s="1"/>
  <c r="W9" i="24"/>
  <c r="X9" i="24"/>
  <c r="O31" i="82"/>
  <c r="Q32" i="73" s="1"/>
  <c r="O58" i="82"/>
  <c r="Q59" i="73" s="1"/>
  <c r="O71" i="82"/>
  <c r="Q72" i="73" s="1"/>
  <c r="O89" i="82"/>
  <c r="Q90" i="73" s="1"/>
  <c r="N97" i="82"/>
  <c r="V98" i="73" s="1"/>
  <c r="O8" i="82"/>
  <c r="Q8" i="73" s="1"/>
  <c r="O57" i="82"/>
  <c r="Q58" i="73" s="1"/>
  <c r="O92" i="82"/>
  <c r="Q93" i="73" s="1"/>
  <c r="N22" i="82"/>
  <c r="V23" i="73" s="1"/>
  <c r="V22" i="73" s="1"/>
  <c r="N41" i="82"/>
  <c r="V42" i="73" s="1"/>
  <c r="N111" i="82"/>
  <c r="V112" i="73" s="1"/>
  <c r="I15" i="24"/>
  <c r="P22" i="24"/>
  <c r="AX22" i="24"/>
  <c r="T22" i="24" s="1"/>
  <c r="Z12" i="24"/>
  <c r="C12" i="24" s="1"/>
  <c r="O12" i="82"/>
  <c r="Q12" i="73" s="1"/>
  <c r="O72" i="82"/>
  <c r="Q73" i="73" s="1"/>
  <c r="N93" i="82"/>
  <c r="V94" i="73" s="1"/>
  <c r="N99" i="82"/>
  <c r="V100" i="73" s="1"/>
  <c r="N116" i="82"/>
  <c r="V117" i="73" s="1"/>
  <c r="O75" i="82"/>
  <c r="Q76" i="73" s="1"/>
  <c r="N71" i="82"/>
  <c r="V72" i="73" s="1"/>
  <c r="N36" i="82"/>
  <c r="V37" i="73" s="1"/>
  <c r="N42" i="82"/>
  <c r="V43" i="73" s="1"/>
  <c r="N108" i="82"/>
  <c r="V109" i="73" s="1"/>
  <c r="BD60" i="26"/>
  <c r="AN94" i="26"/>
  <c r="BD94" i="26" s="1"/>
  <c r="BE94" i="26" s="1"/>
  <c r="AN102" i="26"/>
  <c r="AK102" i="26" s="1"/>
  <c r="S7" i="26"/>
  <c r="AN100" i="26"/>
  <c r="BD100" i="26" s="1"/>
  <c r="BE100" i="26" s="1"/>
  <c r="S121" i="26"/>
  <c r="AN122" i="26"/>
  <c r="AK122" i="26" s="1"/>
  <c r="BD53" i="26"/>
  <c r="S11" i="26"/>
  <c r="P11" i="26" s="1"/>
  <c r="N11" i="26" s="1"/>
  <c r="L11" i="26" s="1"/>
  <c r="AS92" i="26"/>
  <c r="AT92" i="26" s="1"/>
  <c r="AS118" i="26"/>
  <c r="AT118" i="26" s="1"/>
  <c r="X92" i="26"/>
  <c r="Y92" i="26" s="1"/>
  <c r="X118" i="26"/>
  <c r="Y118" i="26" s="1"/>
  <c r="AN95" i="26"/>
  <c r="AK95" i="26" s="1"/>
  <c r="X22" i="26"/>
  <c r="Y22" i="26" s="1"/>
  <c r="S9" i="26"/>
  <c r="BC9" i="26" s="1"/>
  <c r="AN120" i="26"/>
  <c r="AK120" i="26" s="1"/>
  <c r="X98" i="26"/>
  <c r="Y98" i="26" s="1"/>
  <c r="AS93" i="26"/>
  <c r="AT93" i="26" s="1"/>
  <c r="AN7" i="26"/>
  <c r="BD7" i="26" s="1"/>
  <c r="BE7" i="26" s="1"/>
  <c r="AS13" i="26"/>
  <c r="AT13" i="26" s="1"/>
  <c r="AS116" i="26"/>
  <c r="AT116" i="26" s="1"/>
  <c r="S93" i="26"/>
  <c r="BC93" i="26" s="1"/>
  <c r="S88" i="26"/>
  <c r="S115" i="26"/>
  <c r="P115" i="26" s="1"/>
  <c r="N115" i="26" s="1"/>
  <c r="L115" i="26" s="1"/>
  <c r="J115" i="26" s="1"/>
  <c r="K115" i="26" s="1"/>
  <c r="X115" i="26"/>
  <c r="Y115" i="26" s="1"/>
  <c r="X89" i="26"/>
  <c r="Y89" i="26" s="1"/>
  <c r="AS90" i="26"/>
  <c r="AT90" i="26" s="1"/>
  <c r="S87" i="26"/>
  <c r="BB87" i="26" s="1"/>
  <c r="S120" i="26"/>
  <c r="P120" i="26" s="1"/>
  <c r="N120" i="26" s="1"/>
  <c r="AN117" i="26"/>
  <c r="BD117" i="26" s="1"/>
  <c r="BE117" i="26" s="1"/>
  <c r="AS15" i="26"/>
  <c r="AT15" i="26" s="1"/>
  <c r="X95" i="26"/>
  <c r="Y95" i="26" s="1"/>
  <c r="AS98" i="26"/>
  <c r="AT98" i="26" s="1"/>
  <c r="AS12" i="26"/>
  <c r="AT12" i="26" s="1"/>
  <c r="AN115" i="26"/>
  <c r="AK115" i="26" s="1"/>
  <c r="AS112" i="26"/>
  <c r="AT112" i="26" s="1"/>
  <c r="X13" i="26"/>
  <c r="Y13" i="26" s="1"/>
  <c r="AN89" i="26"/>
  <c r="AK89" i="26" s="1"/>
  <c r="S114" i="26"/>
  <c r="P114" i="26" s="1"/>
  <c r="N114" i="26" s="1"/>
  <c r="L114" i="26" s="1"/>
  <c r="AN119" i="26"/>
  <c r="AK119" i="26" s="1"/>
  <c r="BD61" i="26"/>
  <c r="AS23" i="26"/>
  <c r="AT23" i="26" s="1"/>
  <c r="F58" i="46"/>
  <c r="Q50" i="46"/>
  <c r="F20" i="46"/>
  <c r="J129" i="46"/>
  <c r="J34" i="46"/>
  <c r="F43" i="46"/>
  <c r="J58" i="46"/>
  <c r="E35" i="46"/>
  <c r="O35" i="46"/>
  <c r="G35" i="46"/>
  <c r="AA35" i="46"/>
  <c r="Y35" i="46"/>
  <c r="F45" i="46"/>
  <c r="AE50" i="46"/>
  <c r="AA50" i="46"/>
  <c r="F57" i="46"/>
  <c r="AC139" i="46"/>
  <c r="I139" i="46"/>
  <c r="S139" i="46"/>
  <c r="F12" i="46"/>
  <c r="E12" i="46"/>
  <c r="AA140" i="46"/>
  <c r="G140" i="46"/>
  <c r="AE140" i="46"/>
  <c r="Q140" i="46"/>
  <c r="AE11" i="46"/>
  <c r="AC11" i="46"/>
  <c r="I11" i="46"/>
  <c r="J14" i="46"/>
  <c r="AC33" i="46"/>
  <c r="I33" i="46"/>
  <c r="S33" i="46"/>
  <c r="O14" i="46"/>
  <c r="Y14" i="46"/>
  <c r="Y33" i="46"/>
  <c r="E33" i="46"/>
  <c r="I27" i="46"/>
  <c r="S27" i="46"/>
  <c r="S44" i="46"/>
  <c r="AE44" i="46"/>
  <c r="J140" i="46"/>
  <c r="G60" i="46"/>
  <c r="Y60" i="46"/>
  <c r="Q60" i="46"/>
  <c r="AA60" i="46"/>
  <c r="E60" i="46"/>
  <c r="O60" i="46"/>
  <c r="F48" i="46"/>
  <c r="F15" i="46"/>
  <c r="I35" i="46"/>
  <c r="S35" i="46"/>
  <c r="AC35" i="46"/>
  <c r="S138" i="46"/>
  <c r="I138" i="46"/>
  <c r="I39" i="46"/>
  <c r="S39" i="46"/>
  <c r="J43" i="46"/>
  <c r="F50" i="46"/>
  <c r="J8" i="46"/>
  <c r="AE34" i="46"/>
  <c r="F26" i="46"/>
  <c r="AE32" i="46"/>
  <c r="W15" i="24"/>
  <c r="D26" i="108"/>
  <c r="D84" i="108"/>
  <c r="D5" i="108"/>
  <c r="D56" i="108"/>
  <c r="D88" i="108"/>
  <c r="C21" i="108"/>
  <c r="C91" i="108"/>
  <c r="D42" i="108"/>
  <c r="D74" i="108"/>
  <c r="D109" i="108"/>
  <c r="J112" i="97" s="1"/>
  <c r="C33" i="108"/>
  <c r="D36" i="108"/>
  <c r="D100" i="108"/>
  <c r="J103" i="97" s="1"/>
  <c r="D17" i="108"/>
  <c r="J19" i="97" s="1"/>
  <c r="C9" i="108"/>
  <c r="D35" i="108"/>
  <c r="C119" i="108"/>
  <c r="I122" i="97" s="1"/>
  <c r="D53" i="108"/>
  <c r="D46" i="108"/>
  <c r="C52" i="108"/>
  <c r="D27" i="108"/>
  <c r="D86" i="108"/>
  <c r="D48" i="108"/>
  <c r="D80" i="108"/>
  <c r="C8" i="108"/>
  <c r="D119" i="108"/>
  <c r="J122" i="97" s="1"/>
  <c r="C25" i="108"/>
  <c r="C120" i="108"/>
  <c r="I123" i="97" s="1"/>
  <c r="D62" i="108"/>
  <c r="D118" i="108"/>
  <c r="J121" i="97" s="1"/>
  <c r="D15" i="108"/>
  <c r="D22" i="108"/>
  <c r="D13" i="108"/>
  <c r="D34" i="108"/>
  <c r="D66" i="108"/>
  <c r="C31" i="108"/>
  <c r="C47" i="108"/>
  <c r="C59" i="108"/>
  <c r="C75" i="108"/>
  <c r="C95" i="108"/>
  <c r="C57" i="108"/>
  <c r="C65" i="108"/>
  <c r="C81" i="108"/>
  <c r="C35" i="108"/>
  <c r="C67" i="108"/>
  <c r="C87" i="108"/>
  <c r="D85" i="108"/>
  <c r="D91" i="108"/>
  <c r="D106" i="108"/>
  <c r="J109" i="97" s="1"/>
  <c r="C46" i="108"/>
  <c r="D44" i="108"/>
  <c r="C60" i="108"/>
  <c r="D76" i="108"/>
  <c r="C92" i="108"/>
  <c r="D12" i="108"/>
  <c r="D40" i="108"/>
  <c r="D72" i="108"/>
  <c r="C70" i="108"/>
  <c r="D123" i="108"/>
  <c r="J126" i="97" s="1"/>
  <c r="D50" i="108"/>
  <c r="C76" i="108"/>
  <c r="D82" i="108"/>
  <c r="D9" i="108"/>
  <c r="D24" i="108"/>
  <c r="D8" i="108"/>
  <c r="D58" i="108"/>
  <c r="D90" i="108"/>
  <c r="C13" i="108"/>
  <c r="C24" i="108"/>
  <c r="D92" i="108"/>
  <c r="C43" i="108"/>
  <c r="C79" i="108"/>
  <c r="C116" i="108"/>
  <c r="I119" i="97" s="1"/>
  <c r="D38" i="108"/>
  <c r="C54" i="108"/>
  <c r="D67" i="108"/>
  <c r="C97" i="108"/>
  <c r="C108" i="108"/>
  <c r="I111" i="97" s="1"/>
  <c r="C62" i="108"/>
  <c r="C113" i="108"/>
  <c r="I116" i="97" s="1"/>
  <c r="C39" i="108"/>
  <c r="C55" i="108"/>
  <c r="D89" i="108"/>
  <c r="C89" i="108"/>
  <c r="C12" i="108"/>
  <c r="D10" i="108"/>
  <c r="D81" i="108"/>
  <c r="C115" i="108"/>
  <c r="I118" i="97" s="1"/>
  <c r="D11" i="108"/>
  <c r="D19" i="108"/>
  <c r="C11" i="108"/>
  <c r="C15" i="108"/>
  <c r="C19" i="108"/>
  <c r="C22" i="108"/>
  <c r="C26" i="108"/>
  <c r="D52" i="108"/>
  <c r="C100" i="108"/>
  <c r="I103" i="97" s="1"/>
  <c r="D32" i="108"/>
  <c r="D64" i="108"/>
  <c r="D96" i="108"/>
  <c r="C63" i="108"/>
  <c r="C7" i="108"/>
  <c r="D70" i="108"/>
  <c r="D105" i="108"/>
  <c r="J108" i="97" s="1"/>
  <c r="C41" i="108"/>
  <c r="D14" i="108"/>
  <c r="C51" i="108"/>
  <c r="C16" i="108"/>
  <c r="D94" i="108"/>
  <c r="C86" i="108"/>
  <c r="D120" i="108"/>
  <c r="J123" i="97" s="1"/>
  <c r="C36" i="108"/>
  <c r="C68" i="108"/>
  <c r="D122" i="108"/>
  <c r="J125" i="97" s="1"/>
  <c r="AS89" i="26"/>
  <c r="AT89" i="26" s="1"/>
  <c r="AS117" i="26"/>
  <c r="AT117" i="26" s="1"/>
  <c r="AN111" i="26"/>
  <c r="BD111" i="26" s="1"/>
  <c r="BE111" i="26" s="1"/>
  <c r="BD63" i="26"/>
  <c r="X123" i="26"/>
  <c r="Y123" i="26" s="1"/>
  <c r="S122" i="26"/>
  <c r="S123" i="26"/>
  <c r="P123" i="26" s="1"/>
  <c r="N123" i="26" s="1"/>
  <c r="AS119" i="26"/>
  <c r="AT119" i="26" s="1"/>
  <c r="AN6" i="26"/>
  <c r="AK6" i="26" s="1"/>
  <c r="AS22" i="26"/>
  <c r="AT22" i="26" s="1"/>
  <c r="S23" i="26"/>
  <c r="BC23" i="26" s="1"/>
  <c r="S119" i="26"/>
  <c r="F49" i="46"/>
  <c r="F71" i="46"/>
  <c r="W19" i="24"/>
  <c r="X19" i="24"/>
  <c r="W16" i="24"/>
  <c r="X16" i="24"/>
  <c r="AN23" i="26"/>
  <c r="BD23" i="26" s="1"/>
  <c r="BE23" i="26" s="1"/>
  <c r="H86" i="82"/>
  <c r="N87" i="73" s="1"/>
  <c r="AS97" i="26"/>
  <c r="AT97" i="26" s="1"/>
  <c r="X111" i="26"/>
  <c r="Y111" i="26" s="1"/>
  <c r="I7" i="46"/>
  <c r="S7" i="46"/>
  <c r="AE7" i="46"/>
  <c r="AC7" i="46"/>
  <c r="F13" i="46"/>
  <c r="AC61" i="46"/>
  <c r="I61" i="46"/>
  <c r="S61" i="46"/>
  <c r="I67" i="46"/>
  <c r="S67" i="46"/>
  <c r="AC67" i="46"/>
  <c r="I69" i="46"/>
  <c r="AC69" i="46"/>
  <c r="AE69" i="46"/>
  <c r="S69" i="46"/>
  <c r="J32" i="46"/>
  <c r="I36" i="46"/>
  <c r="S36" i="46"/>
  <c r="AC36" i="46"/>
  <c r="E58" i="46"/>
  <c r="Q58" i="46"/>
  <c r="Y58" i="46"/>
  <c r="G58" i="46"/>
  <c r="AA58" i="46"/>
  <c r="O58" i="46"/>
  <c r="F61" i="46"/>
  <c r="F68" i="46"/>
  <c r="I142" i="46"/>
  <c r="S142" i="46"/>
  <c r="AC142" i="46"/>
  <c r="AE10" i="46"/>
  <c r="AC15" i="46"/>
  <c r="I15" i="46"/>
  <c r="AE15" i="46"/>
  <c r="S15" i="46"/>
  <c r="E43" i="46"/>
  <c r="O43" i="46"/>
  <c r="Y43" i="46"/>
  <c r="G43" i="46"/>
  <c r="Q43" i="46"/>
  <c r="AA43" i="46"/>
  <c r="AE64" i="46"/>
  <c r="I64" i="46"/>
  <c r="AC64" i="46"/>
  <c r="S64" i="46"/>
  <c r="E129" i="46"/>
  <c r="O129" i="46"/>
  <c r="Y129" i="46"/>
  <c r="S26" i="46"/>
  <c r="I26" i="46"/>
  <c r="AC26" i="46"/>
  <c r="AE26" i="46"/>
  <c r="AE71" i="46"/>
  <c r="AC71" i="46"/>
  <c r="S71" i="46"/>
  <c r="AE46" i="46"/>
  <c r="S46" i="46"/>
  <c r="AC46" i="46"/>
  <c r="I46" i="46"/>
  <c r="AE8" i="46"/>
  <c r="F10" i="46"/>
  <c r="O10" i="46"/>
  <c r="Y10" i="46"/>
  <c r="Q10" i="46"/>
  <c r="E10" i="46"/>
  <c r="AA10" i="46"/>
  <c r="G10" i="46"/>
  <c r="O20" i="46"/>
  <c r="Y20" i="46"/>
  <c r="E20" i="46"/>
  <c r="Q20" i="46"/>
  <c r="G20" i="46"/>
  <c r="AA20" i="46"/>
  <c r="S48" i="46"/>
  <c r="AC48" i="46"/>
  <c r="I48" i="46"/>
  <c r="AE48" i="46"/>
  <c r="S53" i="46"/>
  <c r="I53" i="46"/>
  <c r="AC53" i="46"/>
  <c r="AE53" i="46"/>
  <c r="J65" i="46"/>
  <c r="AS122" i="26"/>
  <c r="AT122" i="26" s="1"/>
  <c r="F32" i="46"/>
  <c r="Q42" i="46"/>
  <c r="J66" i="46"/>
  <c r="J67" i="46"/>
  <c r="J68" i="46"/>
  <c r="O41" i="46"/>
  <c r="Y41" i="46"/>
  <c r="E41" i="46"/>
  <c r="G41" i="46"/>
  <c r="AA41" i="46"/>
  <c r="Q41" i="46"/>
  <c r="O51" i="46"/>
  <c r="AA51" i="46"/>
  <c r="Y51" i="46"/>
  <c r="G51" i="46"/>
  <c r="Q51" i="46"/>
  <c r="E51" i="46"/>
  <c r="O18" i="46"/>
  <c r="AA18" i="46"/>
  <c r="E18" i="46"/>
  <c r="G18" i="46"/>
  <c r="Y18" i="46"/>
  <c r="Q18" i="46"/>
  <c r="S22" i="46"/>
  <c r="I22" i="46"/>
  <c r="AC22" i="46"/>
  <c r="AE22" i="46"/>
  <c r="I49" i="46"/>
  <c r="AC49" i="46"/>
  <c r="S49" i="46"/>
  <c r="AA21" i="46"/>
  <c r="D29" i="90"/>
  <c r="C29" i="90" s="1"/>
  <c r="M31" i="97" s="1"/>
  <c r="D77" i="90"/>
  <c r="C77" i="90" s="1"/>
  <c r="M80" i="97" s="1"/>
  <c r="X120" i="26"/>
  <c r="Y120" i="26" s="1"/>
  <c r="W22" i="24"/>
  <c r="X22" i="24"/>
  <c r="AN87" i="26"/>
  <c r="AK87" i="26" s="1"/>
  <c r="AS111" i="26"/>
  <c r="AT111" i="26" s="1"/>
  <c r="AA8" i="46"/>
  <c r="E8" i="46"/>
  <c r="O8" i="46"/>
  <c r="Y8" i="46"/>
  <c r="G8" i="46"/>
  <c r="Q8" i="46"/>
  <c r="I21" i="46"/>
  <c r="S21" i="46"/>
  <c r="AE21" i="46"/>
  <c r="AC21" i="46"/>
  <c r="AA42" i="46"/>
  <c r="G42" i="46"/>
  <c r="AC55" i="46"/>
  <c r="I55" i="46"/>
  <c r="AE55" i="46"/>
  <c r="S55" i="46"/>
  <c r="G7" i="46"/>
  <c r="E7" i="46"/>
  <c r="O7" i="46"/>
  <c r="Q7" i="46"/>
  <c r="Y7" i="46"/>
  <c r="AA7" i="46"/>
  <c r="J15" i="46"/>
  <c r="O19" i="46"/>
  <c r="G19" i="46"/>
  <c r="Y19" i="46"/>
  <c r="E19" i="46"/>
  <c r="AA19" i="46"/>
  <c r="Q19" i="46"/>
  <c r="AE20" i="46"/>
  <c r="I20" i="46"/>
  <c r="AC20" i="46"/>
  <c r="S20" i="46"/>
  <c r="F34" i="46"/>
  <c r="AE38" i="46"/>
  <c r="F51" i="46"/>
  <c r="F62" i="46"/>
  <c r="I66" i="46"/>
  <c r="S66" i="46"/>
  <c r="AE66" i="46"/>
  <c r="AC66" i="46"/>
  <c r="I68" i="46"/>
  <c r="S68" i="46"/>
  <c r="AE68" i="46"/>
  <c r="AC68" i="46"/>
  <c r="O36" i="46"/>
  <c r="Y36" i="46"/>
  <c r="E36" i="46"/>
  <c r="AE58" i="46"/>
  <c r="I58" i="46"/>
  <c r="AC58" i="46"/>
  <c r="S58" i="46"/>
  <c r="O13" i="46"/>
  <c r="AA13" i="46"/>
  <c r="E13" i="46"/>
  <c r="G13" i="46"/>
  <c r="Q13" i="46"/>
  <c r="Y13" i="46"/>
  <c r="AE41" i="46"/>
  <c r="I41" i="46"/>
  <c r="S41" i="46"/>
  <c r="AC41" i="46"/>
  <c r="G64" i="46"/>
  <c r="O64" i="46"/>
  <c r="AA64" i="46"/>
  <c r="E64" i="46"/>
  <c r="Q64" i="46"/>
  <c r="Y64" i="46"/>
  <c r="O16" i="46"/>
  <c r="Y16" i="46"/>
  <c r="E16" i="46"/>
  <c r="AE18" i="46"/>
  <c r="AA26" i="46"/>
  <c r="E26" i="46"/>
  <c r="Y26" i="46"/>
  <c r="O26" i="46"/>
  <c r="G26" i="46"/>
  <c r="Q26" i="46"/>
  <c r="H62" i="73"/>
  <c r="D59" i="90"/>
  <c r="C59" i="90" s="1"/>
  <c r="M62" i="97" s="1"/>
  <c r="Y71" i="46"/>
  <c r="G71" i="46"/>
  <c r="O71" i="46"/>
  <c r="AA71" i="46"/>
  <c r="E71" i="46"/>
  <c r="Q71" i="46"/>
  <c r="D62" i="90"/>
  <c r="C62" i="90" s="1"/>
  <c r="M65" i="97" s="1"/>
  <c r="AS120" i="26"/>
  <c r="AT120" i="26" s="1"/>
  <c r="X23" i="24"/>
  <c r="W23" i="24"/>
  <c r="S6" i="26"/>
  <c r="P6" i="26" s="1"/>
  <c r="N6" i="26" s="1"/>
  <c r="W25" i="24"/>
  <c r="X25" i="24"/>
  <c r="AN15" i="26"/>
  <c r="BD15" i="26" s="1"/>
  <c r="BE15" i="26" s="1"/>
  <c r="AN16" i="26"/>
  <c r="AK16" i="26" s="1"/>
  <c r="AN97" i="26"/>
  <c r="AK97" i="26" s="1"/>
  <c r="J10" i="46"/>
  <c r="AC19" i="46"/>
  <c r="I19" i="46"/>
  <c r="S19" i="46"/>
  <c r="AE19" i="46"/>
  <c r="J24" i="46"/>
  <c r="Q38" i="46"/>
  <c r="Y38" i="46"/>
  <c r="E38" i="46"/>
  <c r="G38" i="46"/>
  <c r="AA38" i="46"/>
  <c r="O38" i="46"/>
  <c r="O48" i="46"/>
  <c r="G48" i="46"/>
  <c r="Q48" i="46"/>
  <c r="Y48" i="46"/>
  <c r="E48" i="46"/>
  <c r="AA48" i="46"/>
  <c r="AA53" i="46"/>
  <c r="Y53" i="46"/>
  <c r="O53" i="46"/>
  <c r="E53" i="46"/>
  <c r="G53" i="46"/>
  <c r="Q53" i="46"/>
  <c r="E61" i="46"/>
  <c r="O61" i="46"/>
  <c r="Y61" i="46"/>
  <c r="J62" i="46"/>
  <c r="S63" i="46"/>
  <c r="AC63" i="46"/>
  <c r="I63" i="46"/>
  <c r="AE63" i="46"/>
  <c r="E65" i="46"/>
  <c r="G65" i="46"/>
  <c r="O65" i="46"/>
  <c r="Y65" i="46"/>
  <c r="Q65" i="46"/>
  <c r="AA65" i="46"/>
  <c r="I143" i="46"/>
  <c r="AC143" i="46"/>
  <c r="S143" i="46"/>
  <c r="O32" i="46"/>
  <c r="Y32" i="46"/>
  <c r="G32" i="46"/>
  <c r="Q32" i="46"/>
  <c r="AA32" i="46"/>
  <c r="E32" i="46"/>
  <c r="P118" i="26"/>
  <c r="N118" i="26" s="1"/>
  <c r="E15" i="46"/>
  <c r="O15" i="46"/>
  <c r="Y15" i="46"/>
  <c r="AA15" i="46"/>
  <c r="Q15" i="46"/>
  <c r="G15" i="46"/>
  <c r="AA34" i="46"/>
  <c r="E34" i="46"/>
  <c r="G34" i="46"/>
  <c r="O34" i="46"/>
  <c r="Q34" i="46"/>
  <c r="Y34" i="46"/>
  <c r="J51" i="46"/>
  <c r="AE51" i="46"/>
  <c r="AC65" i="46"/>
  <c r="S65" i="46"/>
  <c r="AE65" i="46"/>
  <c r="I65" i="46"/>
  <c r="J18" i="46"/>
  <c r="AA22" i="46"/>
  <c r="E22" i="46"/>
  <c r="Y22" i="46"/>
  <c r="O22" i="46"/>
  <c r="G22" i="46"/>
  <c r="Q22" i="46"/>
  <c r="S16" i="46"/>
  <c r="I16" i="46"/>
  <c r="AC16" i="46"/>
  <c r="AN123" i="26"/>
  <c r="AK123" i="26" s="1"/>
  <c r="O49" i="46"/>
  <c r="Y49" i="46"/>
  <c r="E49" i="46"/>
  <c r="Q21" i="46"/>
  <c r="G46" i="46"/>
  <c r="Q46" i="46"/>
  <c r="Y46" i="46"/>
  <c r="AA46" i="46"/>
  <c r="O46" i="46"/>
  <c r="E46" i="46"/>
  <c r="D49" i="90"/>
  <c r="C49" i="90" s="1"/>
  <c r="M52" i="97" s="1"/>
  <c r="I120" i="36"/>
  <c r="D120" i="36" s="1"/>
  <c r="O122" i="97" s="1"/>
  <c r="J99" i="82"/>
  <c r="Y141" i="46"/>
  <c r="E141" i="46"/>
  <c r="O141" i="46"/>
  <c r="H121" i="82"/>
  <c r="N122" i="73" s="1"/>
  <c r="L99" i="82"/>
  <c r="C34" i="36"/>
  <c r="N36" i="97" s="1"/>
  <c r="D34" i="36"/>
  <c r="F141" i="46"/>
  <c r="K133" i="46" l="1"/>
  <c r="K134" i="46"/>
  <c r="U138" i="46"/>
  <c r="U67" i="46"/>
  <c r="U120" i="46"/>
  <c r="K139" i="46"/>
  <c r="U86" i="46"/>
  <c r="K84" i="46"/>
  <c r="U123" i="46"/>
  <c r="V123" i="46" s="1"/>
  <c r="F119" i="97" s="1"/>
  <c r="U139" i="46"/>
  <c r="V139" i="46" s="1"/>
  <c r="F135" i="97" s="1"/>
  <c r="U84" i="46"/>
  <c r="V84" i="46" s="1"/>
  <c r="K29" i="46"/>
  <c r="K143" i="46"/>
  <c r="K126" i="46"/>
  <c r="U77" i="46"/>
  <c r="U29" i="46"/>
  <c r="AD134" i="46"/>
  <c r="T134" i="46"/>
  <c r="K77" i="46"/>
  <c r="L77" i="46" s="1"/>
  <c r="K131" i="46"/>
  <c r="U76" i="46"/>
  <c r="V76" i="46" s="1"/>
  <c r="U117" i="46"/>
  <c r="V117" i="46" s="1"/>
  <c r="F113" i="97" s="1"/>
  <c r="T109" i="46"/>
  <c r="V109" i="46" s="1"/>
  <c r="AD109" i="46"/>
  <c r="J107" i="46"/>
  <c r="T107" i="46"/>
  <c r="AD107" i="46"/>
  <c r="AD132" i="46"/>
  <c r="T132" i="46"/>
  <c r="U33" i="46"/>
  <c r="K122" i="46"/>
  <c r="K88" i="46"/>
  <c r="L88" i="46" s="1"/>
  <c r="K76" i="46"/>
  <c r="L76" i="46" s="1"/>
  <c r="K117" i="46"/>
  <c r="U128" i="46"/>
  <c r="U88" i="46"/>
  <c r="K128" i="46"/>
  <c r="K144" i="46"/>
  <c r="U74" i="46"/>
  <c r="U80" i="46"/>
  <c r="V80" i="46" s="1"/>
  <c r="U136" i="46"/>
  <c r="U144" i="46"/>
  <c r="K17" i="46"/>
  <c r="L17" i="46" s="1"/>
  <c r="K74" i="46"/>
  <c r="U79" i="46"/>
  <c r="T115" i="46"/>
  <c r="AD115" i="46"/>
  <c r="U62" i="46"/>
  <c r="U17" i="46"/>
  <c r="K90" i="46"/>
  <c r="K96" i="46"/>
  <c r="U96" i="46"/>
  <c r="K62" i="46"/>
  <c r="L62" i="46" s="1"/>
  <c r="U9" i="46"/>
  <c r="V9" i="46" s="1"/>
  <c r="K93" i="46"/>
  <c r="L93" i="46" s="1"/>
  <c r="U135" i="46"/>
  <c r="K36" i="46"/>
  <c r="T108" i="46"/>
  <c r="V108" i="46" s="1"/>
  <c r="F104" i="97" s="1"/>
  <c r="AD108" i="46"/>
  <c r="U93" i="46"/>
  <c r="K135" i="46"/>
  <c r="U118" i="46"/>
  <c r="K141" i="46"/>
  <c r="U141" i="46"/>
  <c r="U72" i="46"/>
  <c r="V72" i="46" s="1"/>
  <c r="U129" i="46"/>
  <c r="V129" i="46" s="1"/>
  <c r="K121" i="46"/>
  <c r="U145" i="46"/>
  <c r="U16" i="46"/>
  <c r="K89" i="46"/>
  <c r="K118" i="46"/>
  <c r="T112" i="46"/>
  <c r="AD112" i="46"/>
  <c r="K129" i="46"/>
  <c r="L129" i="46" s="1"/>
  <c r="U121" i="46"/>
  <c r="U89" i="46"/>
  <c r="V89" i="46" s="1"/>
  <c r="U39" i="46"/>
  <c r="U127" i="46"/>
  <c r="AD113" i="46"/>
  <c r="T113" i="46"/>
  <c r="V113" i="46" s="1"/>
  <c r="F109" i="97" s="1"/>
  <c r="K83" i="46"/>
  <c r="K137" i="46"/>
  <c r="K94" i="46"/>
  <c r="L94" i="46" s="1"/>
  <c r="U30" i="46"/>
  <c r="V30" i="46" s="1"/>
  <c r="F31" i="97" s="1"/>
  <c r="P30" i="120" s="1"/>
  <c r="K39" i="46"/>
  <c r="K127" i="46"/>
  <c r="U119" i="46"/>
  <c r="V119" i="46" s="1"/>
  <c r="U49" i="46"/>
  <c r="K130" i="46"/>
  <c r="U137" i="46"/>
  <c r="U94" i="46"/>
  <c r="K30" i="46"/>
  <c r="K92" i="46"/>
  <c r="K119" i="46"/>
  <c r="K125" i="46"/>
  <c r="L125" i="46" s="1"/>
  <c r="D121" i="97" s="1"/>
  <c r="U56" i="46"/>
  <c r="U14" i="46"/>
  <c r="U78" i="46"/>
  <c r="K57" i="46"/>
  <c r="L57" i="46" s="1"/>
  <c r="U92" i="46"/>
  <c r="K124" i="46"/>
  <c r="U125" i="46"/>
  <c r="K56" i="46"/>
  <c r="L56" i="46" s="1"/>
  <c r="U81" i="46"/>
  <c r="V81" i="46" s="1"/>
  <c r="U124" i="46"/>
  <c r="U27" i="46"/>
  <c r="K61" i="46"/>
  <c r="K85" i="46"/>
  <c r="L85" i="46" s="1"/>
  <c r="D86" i="97" s="1"/>
  <c r="F85" i="120" s="1"/>
  <c r="H85" i="120" s="1"/>
  <c r="K81" i="46"/>
  <c r="L81" i="46" s="1"/>
  <c r="U47" i="46"/>
  <c r="T116" i="46"/>
  <c r="AD116" i="46"/>
  <c r="U75" i="46"/>
  <c r="K24" i="46"/>
  <c r="K27" i="46"/>
  <c r="U110" i="46"/>
  <c r="V110" i="46" s="1"/>
  <c r="K91" i="46"/>
  <c r="K47" i="46"/>
  <c r="AD114" i="46"/>
  <c r="AF114" i="46" s="1"/>
  <c r="H110" i="97" s="1"/>
  <c r="T114" i="46"/>
  <c r="K138" i="46"/>
  <c r="K67" i="46"/>
  <c r="K75" i="46"/>
  <c r="U24" i="46"/>
  <c r="K86" i="46"/>
  <c r="K110" i="46"/>
  <c r="L110" i="46" s="1"/>
  <c r="U91" i="46"/>
  <c r="AG129" i="26"/>
  <c r="AE129" i="26" s="1"/>
  <c r="AC129" i="26" s="1"/>
  <c r="AD129" i="26" s="1"/>
  <c r="AG52" i="26"/>
  <c r="AE52" i="26" s="1"/>
  <c r="AC52" i="26" s="1"/>
  <c r="AD52" i="26" s="1"/>
  <c r="AG118" i="26"/>
  <c r="AE118" i="26" s="1"/>
  <c r="AC118" i="26" s="1"/>
  <c r="AD118" i="26" s="1"/>
  <c r="AI104" i="46"/>
  <c r="AU105" i="116"/>
  <c r="AW105" i="116"/>
  <c r="AJ104" i="46"/>
  <c r="AH105" i="46"/>
  <c r="AS106" i="116"/>
  <c r="AU103" i="116"/>
  <c r="AI102" i="46"/>
  <c r="T102" i="46" s="1"/>
  <c r="AI103" i="46"/>
  <c r="T103" i="46" s="1"/>
  <c r="AU104" i="116"/>
  <c r="AH104" i="46"/>
  <c r="AS105" i="116"/>
  <c r="AW106" i="116"/>
  <c r="AJ105" i="46"/>
  <c r="AD105" i="46" s="1"/>
  <c r="AH102" i="46"/>
  <c r="AS103" i="116"/>
  <c r="AU106" i="116"/>
  <c r="AI105" i="46"/>
  <c r="T105" i="46" s="1"/>
  <c r="AJ102" i="46"/>
  <c r="AD102" i="46" s="1"/>
  <c r="AW103" i="116"/>
  <c r="AJ103" i="46"/>
  <c r="AD103" i="46" s="1"/>
  <c r="AW104" i="116"/>
  <c r="AH103" i="46"/>
  <c r="AS104" i="116"/>
  <c r="BA105" i="120"/>
  <c r="AG59" i="26"/>
  <c r="AG124" i="26"/>
  <c r="AG92" i="26"/>
  <c r="AE92" i="26" s="1"/>
  <c r="AC92" i="26" s="1"/>
  <c r="AD92" i="26" s="1"/>
  <c r="AG28" i="26"/>
  <c r="AE28" i="26" s="1"/>
  <c r="AC28" i="26" s="1"/>
  <c r="AD28" i="26" s="1"/>
  <c r="C111" i="82"/>
  <c r="D119" i="24"/>
  <c r="AA119" i="24"/>
  <c r="M74" i="52"/>
  <c r="N74" i="52" s="1"/>
  <c r="M103" i="17"/>
  <c r="H103" i="17" s="1"/>
  <c r="AS102" i="120"/>
  <c r="AV102" i="120"/>
  <c r="AY102" i="120" s="1"/>
  <c r="M106" i="17"/>
  <c r="H106" i="17" s="1"/>
  <c r="AS105" i="120"/>
  <c r="AV105" i="120"/>
  <c r="AY105" i="120" s="1"/>
  <c r="M107" i="17"/>
  <c r="AS106" i="120"/>
  <c r="AV106" i="120"/>
  <c r="AY106" i="120" s="1"/>
  <c r="K106" i="17"/>
  <c r="E106" i="17" s="1"/>
  <c r="AI105" i="120"/>
  <c r="AL105" i="120"/>
  <c r="AO105" i="120" s="1"/>
  <c r="K107" i="17"/>
  <c r="AI106" i="120"/>
  <c r="AL106" i="120"/>
  <c r="AO106" i="120" s="1"/>
  <c r="K104" i="17"/>
  <c r="E104" i="17" s="1"/>
  <c r="AI103" i="120"/>
  <c r="AL103" i="120"/>
  <c r="AO103" i="120" s="1"/>
  <c r="M105" i="17"/>
  <c r="H105" i="17" s="1"/>
  <c r="AS104" i="120"/>
  <c r="AV104" i="120"/>
  <c r="AY104" i="120" s="1"/>
  <c r="M104" i="17"/>
  <c r="H104" i="17" s="1"/>
  <c r="AV103" i="120"/>
  <c r="AY103" i="120" s="1"/>
  <c r="AS103" i="120"/>
  <c r="K105" i="17"/>
  <c r="E105" i="17" s="1"/>
  <c r="AI104" i="120"/>
  <c r="AL104" i="120"/>
  <c r="AO104" i="120" s="1"/>
  <c r="K103" i="17"/>
  <c r="E103" i="17" s="1"/>
  <c r="AL102" i="120"/>
  <c r="AO102" i="120" s="1"/>
  <c r="AI102" i="120"/>
  <c r="AG98" i="26"/>
  <c r="AE98" i="26" s="1"/>
  <c r="AC98" i="26" s="1"/>
  <c r="AD98" i="26" s="1"/>
  <c r="AG122" i="26"/>
  <c r="AE122" i="26" s="1"/>
  <c r="AC122" i="26" s="1"/>
  <c r="AD122" i="26" s="1"/>
  <c r="W106" i="120"/>
  <c r="BP106" i="120"/>
  <c r="BA104" i="120"/>
  <c r="BA103" i="120"/>
  <c r="W103" i="120"/>
  <c r="BP103" i="120"/>
  <c r="BP102" i="120"/>
  <c r="BA102" i="120"/>
  <c r="W102" i="120"/>
  <c r="W105" i="120"/>
  <c r="BP105" i="120"/>
  <c r="W104" i="120"/>
  <c r="BP104" i="120"/>
  <c r="BA106" i="120"/>
  <c r="AG30" i="26"/>
  <c r="AE30" i="26" s="1"/>
  <c r="AG55" i="26"/>
  <c r="AE55" i="26" s="1"/>
  <c r="AC55" i="26" s="1"/>
  <c r="AD55" i="26" s="1"/>
  <c r="AG65" i="26"/>
  <c r="AE65" i="26" s="1"/>
  <c r="AC65" i="26" s="1"/>
  <c r="AD65" i="26" s="1"/>
  <c r="C121" i="24"/>
  <c r="AA121" i="24"/>
  <c r="C118" i="24"/>
  <c r="C110" i="82" s="1"/>
  <c r="AA118" i="24"/>
  <c r="C117" i="24"/>
  <c r="C109" i="82" s="1"/>
  <c r="AA117" i="24"/>
  <c r="C124" i="24"/>
  <c r="C116" i="82" s="1"/>
  <c r="AA124" i="24"/>
  <c r="C120" i="24"/>
  <c r="C112" i="82" s="1"/>
  <c r="AA120" i="24"/>
  <c r="AG29" i="26"/>
  <c r="AE29" i="26" s="1"/>
  <c r="AC29" i="26" s="1"/>
  <c r="AD29" i="26" s="1"/>
  <c r="R115" i="73"/>
  <c r="D126" i="24"/>
  <c r="P33" i="73"/>
  <c r="AS33" i="73" s="1"/>
  <c r="M87" i="52"/>
  <c r="M89" i="52" s="1"/>
  <c r="N89" i="52" s="1"/>
  <c r="P57" i="73"/>
  <c r="AS57" i="73" s="1"/>
  <c r="BF57" i="73" s="1"/>
  <c r="N23" i="73"/>
  <c r="N22" i="73" s="1"/>
  <c r="Q22" i="73"/>
  <c r="AG125" i="26"/>
  <c r="AE125" i="26" s="1"/>
  <c r="AC125" i="26" s="1"/>
  <c r="AD125" i="26" s="1"/>
  <c r="P20" i="26"/>
  <c r="N20" i="26" s="1"/>
  <c r="L20" i="26" s="1"/>
  <c r="J20" i="26" s="1"/>
  <c r="K20" i="26" s="1"/>
  <c r="C35" i="24"/>
  <c r="C32" i="82" s="1"/>
  <c r="R33" i="73" s="1"/>
  <c r="AK20" i="26"/>
  <c r="AG20" i="26" s="1"/>
  <c r="AE20" i="26" s="1"/>
  <c r="L31" i="46"/>
  <c r="AB31" i="46"/>
  <c r="J32" i="97"/>
  <c r="Z32" i="120"/>
  <c r="Z31" i="120"/>
  <c r="AB32" i="120"/>
  <c r="AB31" i="120"/>
  <c r="I32" i="97"/>
  <c r="N32" i="97"/>
  <c r="AC32" i="120"/>
  <c r="AC31" i="120"/>
  <c r="AA32" i="120"/>
  <c r="AA31" i="120"/>
  <c r="BB19" i="26"/>
  <c r="BC19" i="26" s="1"/>
  <c r="L32" i="97"/>
  <c r="L33" i="97"/>
  <c r="K33" i="97"/>
  <c r="K32" i="97"/>
  <c r="J124" i="17"/>
  <c r="J112" i="17"/>
  <c r="D112" i="17" s="1"/>
  <c r="C108" i="98" s="1"/>
  <c r="L126" i="17"/>
  <c r="K130" i="17"/>
  <c r="E130" i="17" s="1"/>
  <c r="K114" i="17"/>
  <c r="E114" i="17" s="1"/>
  <c r="D110" i="98" s="1"/>
  <c r="K50" i="17"/>
  <c r="E50" i="17" s="1"/>
  <c r="D51" i="98" s="1"/>
  <c r="K34" i="17"/>
  <c r="J36" i="17"/>
  <c r="M51" i="17"/>
  <c r="H51" i="17" s="1"/>
  <c r="F52" i="98" s="1"/>
  <c r="J46" i="17"/>
  <c r="M111" i="17"/>
  <c r="L119" i="17"/>
  <c r="K73" i="17"/>
  <c r="K57" i="17"/>
  <c r="J58" i="17"/>
  <c r="J115" i="17"/>
  <c r="J51" i="17"/>
  <c r="D51" i="17" s="1"/>
  <c r="M74" i="17"/>
  <c r="H74" i="17" s="1"/>
  <c r="F75" i="98" s="1"/>
  <c r="M58" i="17"/>
  <c r="L124" i="17"/>
  <c r="L78" i="17"/>
  <c r="G78" i="17" s="1"/>
  <c r="E79" i="98" s="1"/>
  <c r="L46" i="17"/>
  <c r="J108" i="17"/>
  <c r="D108" i="17" s="1"/>
  <c r="C104" i="98" s="1"/>
  <c r="J92" i="17"/>
  <c r="K144" i="17"/>
  <c r="E144" i="17" s="1"/>
  <c r="D140" i="98" s="1"/>
  <c r="K128" i="17"/>
  <c r="E128" i="17" s="1"/>
  <c r="K112" i="17"/>
  <c r="E112" i="17" s="1"/>
  <c r="D108" i="98" s="1"/>
  <c r="K80" i="17"/>
  <c r="K48" i="17"/>
  <c r="E48" i="17" s="1"/>
  <c r="D49" i="98" s="1"/>
  <c r="J90" i="17"/>
  <c r="M101" i="17"/>
  <c r="M49" i="17"/>
  <c r="H49" i="17" s="1"/>
  <c r="F50" i="98" s="1"/>
  <c r="J40" i="17"/>
  <c r="D40" i="17" s="1"/>
  <c r="C41" i="98" s="1"/>
  <c r="L117" i="17"/>
  <c r="L85" i="17"/>
  <c r="L53" i="17"/>
  <c r="G53" i="17" s="1"/>
  <c r="E54" i="98" s="1"/>
  <c r="J50" i="17"/>
  <c r="D50" i="17" s="1"/>
  <c r="M113" i="17"/>
  <c r="K87" i="17"/>
  <c r="K39" i="17"/>
  <c r="E39" i="17" s="1"/>
  <c r="D40" i="98" s="1"/>
  <c r="J113" i="17"/>
  <c r="J81" i="17"/>
  <c r="J65" i="17"/>
  <c r="D65" i="17" s="1"/>
  <c r="C66" i="98" s="1"/>
  <c r="J49" i="17"/>
  <c r="D49" i="17" s="1"/>
  <c r="C50" i="98" s="1"/>
  <c r="M56" i="17"/>
  <c r="L76" i="17"/>
  <c r="G76" i="17" s="1"/>
  <c r="E77" i="98" s="1"/>
  <c r="L60" i="17"/>
  <c r="G60" i="17" s="1"/>
  <c r="AF31" i="46"/>
  <c r="M130" i="17"/>
  <c r="H130" i="17" s="1"/>
  <c r="F126" i="98" s="1"/>
  <c r="K126" i="17"/>
  <c r="K110" i="17"/>
  <c r="E110" i="17" s="1"/>
  <c r="D106" i="98" s="1"/>
  <c r="K46" i="17"/>
  <c r="J80" i="17"/>
  <c r="M95" i="17"/>
  <c r="M79" i="17"/>
  <c r="H79" i="17" s="1"/>
  <c r="F80" i="98" s="1"/>
  <c r="L115" i="17"/>
  <c r="L99" i="17"/>
  <c r="G99" i="17" s="1"/>
  <c r="E100" i="98" s="1"/>
  <c r="J44" i="17"/>
  <c r="K101" i="17"/>
  <c r="K69" i="17"/>
  <c r="K53" i="17"/>
  <c r="E53" i="17" s="1"/>
  <c r="J127" i="17"/>
  <c r="J111" i="17"/>
  <c r="J95" i="17"/>
  <c r="J47" i="17"/>
  <c r="D47" i="17" s="1"/>
  <c r="C48" i="98" s="1"/>
  <c r="M118" i="17"/>
  <c r="M102" i="17"/>
  <c r="M38" i="17"/>
  <c r="H38" i="17" s="1"/>
  <c r="F39" i="98" s="1"/>
  <c r="L116" i="17"/>
  <c r="L74" i="17"/>
  <c r="G74" i="17" s="1"/>
  <c r="E75" i="98" s="1"/>
  <c r="L58" i="17"/>
  <c r="L42" i="17"/>
  <c r="G42" i="17" s="1"/>
  <c r="E43" i="98" s="1"/>
  <c r="D98" i="17"/>
  <c r="C99" i="98" s="1"/>
  <c r="L114" i="17"/>
  <c r="G114" i="17" s="1"/>
  <c r="K124" i="17"/>
  <c r="K108" i="17"/>
  <c r="E108" i="17" s="1"/>
  <c r="D104" i="98" s="1"/>
  <c r="K60" i="17"/>
  <c r="E60" i="17" s="1"/>
  <c r="D61" i="98" s="1"/>
  <c r="K44" i="17"/>
  <c r="M61" i="17"/>
  <c r="H61" i="17" s="1"/>
  <c r="F62" i="98" s="1"/>
  <c r="L129" i="17"/>
  <c r="G129" i="17" s="1"/>
  <c r="E125" i="98" s="1"/>
  <c r="L113" i="17"/>
  <c r="L65" i="17"/>
  <c r="G65" i="17" s="1"/>
  <c r="E66" i="98" s="1"/>
  <c r="L49" i="17"/>
  <c r="G49" i="17" s="1"/>
  <c r="E50" i="98" s="1"/>
  <c r="J38" i="17"/>
  <c r="D38" i="17" s="1"/>
  <c r="K115" i="17"/>
  <c r="K67" i="17"/>
  <c r="E67" i="17" s="1"/>
  <c r="D68" i="98" s="1"/>
  <c r="K51" i="17"/>
  <c r="E51" i="17" s="1"/>
  <c r="D52" i="98" s="1"/>
  <c r="K35" i="17"/>
  <c r="J125" i="17"/>
  <c r="D125" i="17" s="1"/>
  <c r="C121" i="98" s="1"/>
  <c r="J109" i="17"/>
  <c r="D109" i="17" s="1"/>
  <c r="C105" i="98" s="1"/>
  <c r="J93" i="17"/>
  <c r="D93" i="17" s="1"/>
  <c r="J61" i="17"/>
  <c r="D61" i="17" s="1"/>
  <c r="J45" i="17"/>
  <c r="D45" i="17" s="1"/>
  <c r="C46" i="98" s="1"/>
  <c r="M116" i="17"/>
  <c r="M84" i="17"/>
  <c r="H84" i="17" s="1"/>
  <c r="F85" i="98" s="1"/>
  <c r="M68" i="17"/>
  <c r="H68" i="17" s="1"/>
  <c r="F69" i="98" s="1"/>
  <c r="M52" i="17"/>
  <c r="M36" i="17"/>
  <c r="L112" i="17"/>
  <c r="G112" i="17" s="1"/>
  <c r="E108" i="98" s="1"/>
  <c r="L40" i="17"/>
  <c r="G40" i="17" s="1"/>
  <c r="E41" i="98" s="1"/>
  <c r="K31" i="26"/>
  <c r="F32" i="82"/>
  <c r="J106" i="17"/>
  <c r="D106" i="17" s="1"/>
  <c r="J100" i="17"/>
  <c r="D100" i="17" s="1"/>
  <c r="C101" i="98" s="1"/>
  <c r="K90" i="17"/>
  <c r="K74" i="17"/>
  <c r="E74" i="17" s="1"/>
  <c r="D75" i="98" s="1"/>
  <c r="K58" i="17"/>
  <c r="K42" i="17"/>
  <c r="E42" i="17" s="1"/>
  <c r="D43" i="98" s="1"/>
  <c r="M127" i="17"/>
  <c r="M91" i="17"/>
  <c r="H91" i="17" s="1"/>
  <c r="F92" i="98" s="1"/>
  <c r="J74" i="17"/>
  <c r="D74" i="17" s="1"/>
  <c r="L127" i="17"/>
  <c r="L111" i="17"/>
  <c r="L79" i="17"/>
  <c r="G79" i="17" s="1"/>
  <c r="L47" i="17"/>
  <c r="G47" i="17" s="1"/>
  <c r="E48" i="98" s="1"/>
  <c r="J84" i="17"/>
  <c r="D84" i="17" s="1"/>
  <c r="K129" i="17"/>
  <c r="E129" i="17" s="1"/>
  <c r="K113" i="17"/>
  <c r="K65" i="17"/>
  <c r="E65" i="17" s="1"/>
  <c r="D66" i="98" s="1"/>
  <c r="J91" i="17"/>
  <c r="D91" i="17" s="1"/>
  <c r="M114" i="17"/>
  <c r="H114" i="17" s="1"/>
  <c r="F110" i="98" s="1"/>
  <c r="M82" i="17"/>
  <c r="H82" i="17" s="1"/>
  <c r="F83" i="98" s="1"/>
  <c r="M66" i="17"/>
  <c r="H66" i="17" s="1"/>
  <c r="F67" i="98" s="1"/>
  <c r="M50" i="17"/>
  <c r="H50" i="17" s="1"/>
  <c r="F51" i="98" s="1"/>
  <c r="L108" i="17"/>
  <c r="G108" i="17" s="1"/>
  <c r="E104" i="98" s="1"/>
  <c r="L86" i="17"/>
  <c r="L70" i="17"/>
  <c r="G70" i="17" s="1"/>
  <c r="E71" i="98" s="1"/>
  <c r="L54" i="17"/>
  <c r="G54" i="17" s="1"/>
  <c r="E55" i="98" s="1"/>
  <c r="J128" i="17"/>
  <c r="D128" i="17" s="1"/>
  <c r="C124" i="98" s="1"/>
  <c r="L106" i="17"/>
  <c r="G106" i="17" s="1"/>
  <c r="K120" i="17"/>
  <c r="M89" i="17"/>
  <c r="M73" i="17"/>
  <c r="J66" i="17"/>
  <c r="D66" i="17" s="1"/>
  <c r="C67" i="98" s="1"/>
  <c r="M129" i="17"/>
  <c r="H129" i="17" s="1"/>
  <c r="F125" i="98" s="1"/>
  <c r="L125" i="17"/>
  <c r="G125" i="17" s="1"/>
  <c r="E121" i="98" s="1"/>
  <c r="L109" i="17"/>
  <c r="G109" i="17" s="1"/>
  <c r="E105" i="98" s="1"/>
  <c r="L93" i="17"/>
  <c r="G93" i="17" s="1"/>
  <c r="L77" i="17"/>
  <c r="L61" i="17"/>
  <c r="G61" i="17" s="1"/>
  <c r="J76" i="17"/>
  <c r="D76" i="17" s="1"/>
  <c r="C77" i="98" s="1"/>
  <c r="K111" i="17"/>
  <c r="K95" i="17"/>
  <c r="K79" i="17"/>
  <c r="E79" i="17" s="1"/>
  <c r="D80" i="98" s="1"/>
  <c r="J105" i="17"/>
  <c r="D105" i="17" s="1"/>
  <c r="J89" i="17"/>
  <c r="J41" i="17"/>
  <c r="D41" i="17" s="1"/>
  <c r="C42" i="98" s="1"/>
  <c r="M112" i="17"/>
  <c r="H112" i="17" s="1"/>
  <c r="F108" i="98" s="1"/>
  <c r="M80" i="17"/>
  <c r="M64" i="17"/>
  <c r="H64" i="17" s="1"/>
  <c r="F65" i="98" s="1"/>
  <c r="M48" i="17"/>
  <c r="H48" i="17" s="1"/>
  <c r="F49" i="98" s="1"/>
  <c r="L104" i="17"/>
  <c r="G104" i="17" s="1"/>
  <c r="V31" i="46"/>
  <c r="J130" i="17"/>
  <c r="D130" i="17" s="1"/>
  <c r="C126" i="98" s="1"/>
  <c r="K118" i="17"/>
  <c r="K102" i="17"/>
  <c r="K70" i="17"/>
  <c r="E70" i="17" s="1"/>
  <c r="D71" i="98" s="1"/>
  <c r="K38" i="17"/>
  <c r="E38" i="17" s="1"/>
  <c r="D39" i="98" s="1"/>
  <c r="J48" i="17"/>
  <c r="D48" i="17" s="1"/>
  <c r="M115" i="17"/>
  <c r="M87" i="17"/>
  <c r="M55" i="17"/>
  <c r="J60" i="17"/>
  <c r="D60" i="17" s="1"/>
  <c r="L91" i="17"/>
  <c r="G91" i="17" s="1"/>
  <c r="L75" i="17"/>
  <c r="G75" i="17" s="1"/>
  <c r="K109" i="17"/>
  <c r="E109" i="17" s="1"/>
  <c r="D105" i="98" s="1"/>
  <c r="K93" i="17"/>
  <c r="E93" i="17" s="1"/>
  <c r="D94" i="98" s="1"/>
  <c r="K61" i="17"/>
  <c r="E61" i="17" s="1"/>
  <c r="D62" i="98" s="1"/>
  <c r="K45" i="17"/>
  <c r="E45" i="17" s="1"/>
  <c r="D46" i="98" s="1"/>
  <c r="J87" i="17"/>
  <c r="J71" i="17"/>
  <c r="J39" i="17"/>
  <c r="D39" i="17" s="1"/>
  <c r="M110" i="17"/>
  <c r="H110" i="17" s="1"/>
  <c r="F106" i="98" s="1"/>
  <c r="M62" i="17"/>
  <c r="H62" i="17" s="1"/>
  <c r="F63" i="98" s="1"/>
  <c r="L82" i="17"/>
  <c r="G82" i="17" s="1"/>
  <c r="E83" i="98" s="1"/>
  <c r="L50" i="17"/>
  <c r="G50" i="17" s="1"/>
  <c r="R31" i="46"/>
  <c r="H31" i="46"/>
  <c r="G110" i="17"/>
  <c r="E106" i="98" s="1"/>
  <c r="D129" i="17"/>
  <c r="C125" i="98" s="1"/>
  <c r="J104" i="17"/>
  <c r="D104" i="17" s="1"/>
  <c r="L130" i="17"/>
  <c r="G130" i="17" s="1"/>
  <c r="E126" i="98" s="1"/>
  <c r="K116" i="17"/>
  <c r="K84" i="17"/>
  <c r="E84" i="17" s="1"/>
  <c r="D85" i="98" s="1"/>
  <c r="K36" i="17"/>
  <c r="M109" i="17"/>
  <c r="H109" i="17" s="1"/>
  <c r="F105" i="98" s="1"/>
  <c r="M69" i="17"/>
  <c r="M37" i="17"/>
  <c r="H37" i="17" s="1"/>
  <c r="F38" i="98" s="1"/>
  <c r="L105" i="17"/>
  <c r="G105" i="17" s="1"/>
  <c r="L57" i="17"/>
  <c r="L41" i="17"/>
  <c r="G41" i="17" s="1"/>
  <c r="E42" i="98" s="1"/>
  <c r="J62" i="17"/>
  <c r="D62" i="17" s="1"/>
  <c r="M125" i="17"/>
  <c r="H125" i="17" s="1"/>
  <c r="F121" i="98" s="1"/>
  <c r="K139" i="17"/>
  <c r="E139" i="17" s="1"/>
  <c r="D135" i="98" s="1"/>
  <c r="K91" i="17"/>
  <c r="E91" i="17" s="1"/>
  <c r="D92" i="98" s="1"/>
  <c r="K75" i="17"/>
  <c r="E75" i="17" s="1"/>
  <c r="D76" i="98" s="1"/>
  <c r="K59" i="17"/>
  <c r="J70" i="17"/>
  <c r="D70" i="17" s="1"/>
  <c r="C71" i="98" s="1"/>
  <c r="J117" i="17"/>
  <c r="J101" i="17"/>
  <c r="J37" i="17"/>
  <c r="D37" i="17" s="1"/>
  <c r="C38" i="98" s="1"/>
  <c r="M124" i="17"/>
  <c r="M108" i="17"/>
  <c r="H108" i="17" s="1"/>
  <c r="F104" i="98" s="1"/>
  <c r="M92" i="17"/>
  <c r="M76" i="17"/>
  <c r="H76" i="17" s="1"/>
  <c r="F77" i="98" s="1"/>
  <c r="L128" i="17"/>
  <c r="G128" i="17" s="1"/>
  <c r="E124" i="98" s="1"/>
  <c r="L98" i="17"/>
  <c r="G98" i="17" s="1"/>
  <c r="E99" i="98" s="1"/>
  <c r="L80" i="17"/>
  <c r="L48" i="17"/>
  <c r="G48" i="17" s="1"/>
  <c r="E49" i="98" s="1"/>
  <c r="Y35" i="24"/>
  <c r="AG119" i="26"/>
  <c r="AE119" i="26" s="1"/>
  <c r="AC119" i="26" s="1"/>
  <c r="AD119" i="26" s="1"/>
  <c r="K33" i="15"/>
  <c r="M35" i="24"/>
  <c r="L35" i="24"/>
  <c r="S35" i="24"/>
  <c r="T35" i="24"/>
  <c r="BA67" i="120"/>
  <c r="W67" i="120"/>
  <c r="BP67" i="120"/>
  <c r="BA90" i="120"/>
  <c r="W90" i="120"/>
  <c r="BP90" i="120"/>
  <c r="BP87" i="120"/>
  <c r="BA87" i="120"/>
  <c r="W87" i="120"/>
  <c r="BA131" i="120"/>
  <c r="W131" i="120"/>
  <c r="BP131" i="120"/>
  <c r="BP34" i="120"/>
  <c r="W34" i="120"/>
  <c r="BA34" i="120"/>
  <c r="BP50" i="120"/>
  <c r="BA50" i="120"/>
  <c r="W50" i="120"/>
  <c r="W89" i="120"/>
  <c r="BP89" i="120"/>
  <c r="BA89" i="120"/>
  <c r="W133" i="120"/>
  <c r="BP133" i="120"/>
  <c r="BA133" i="120"/>
  <c r="BA119" i="120"/>
  <c r="BP119" i="120"/>
  <c r="W119" i="120"/>
  <c r="BA38" i="120"/>
  <c r="W38" i="120"/>
  <c r="BP38" i="120"/>
  <c r="W51" i="120"/>
  <c r="BA51" i="120"/>
  <c r="BP51" i="120"/>
  <c r="BA73" i="120"/>
  <c r="W73" i="120"/>
  <c r="BP73" i="120"/>
  <c r="BP33" i="120"/>
  <c r="BA33" i="120"/>
  <c r="W33" i="120"/>
  <c r="BP41" i="120"/>
  <c r="BA41" i="120"/>
  <c r="W41" i="120"/>
  <c r="BA113" i="120"/>
  <c r="W113" i="120"/>
  <c r="BP113" i="120"/>
  <c r="BP82" i="120"/>
  <c r="W82" i="120"/>
  <c r="BA82" i="120"/>
  <c r="BP145" i="120"/>
  <c r="BA145" i="120"/>
  <c r="W145" i="120"/>
  <c r="BA134" i="120"/>
  <c r="BP134" i="120"/>
  <c r="W134" i="120"/>
  <c r="BA16" i="120"/>
  <c r="W16" i="120"/>
  <c r="BP16" i="120"/>
  <c r="BP88" i="120"/>
  <c r="BA88" i="120"/>
  <c r="W88" i="120"/>
  <c r="BA123" i="120"/>
  <c r="W123" i="120"/>
  <c r="BP123" i="120"/>
  <c r="BA125" i="120"/>
  <c r="BP125" i="120"/>
  <c r="W125" i="120"/>
  <c r="BP10" i="120"/>
  <c r="BA10" i="120"/>
  <c r="W10" i="120"/>
  <c r="W126" i="120"/>
  <c r="BP126" i="120"/>
  <c r="BA126" i="120"/>
  <c r="BP63" i="120"/>
  <c r="W63" i="120"/>
  <c r="BA63" i="120"/>
  <c r="BP115" i="120"/>
  <c r="W115" i="120"/>
  <c r="BA115" i="120"/>
  <c r="BP66" i="120"/>
  <c r="W66" i="120"/>
  <c r="BA66" i="120"/>
  <c r="BP74" i="120"/>
  <c r="BA74" i="120"/>
  <c r="W74" i="120"/>
  <c r="W138" i="120"/>
  <c r="BA138" i="120"/>
  <c r="BP138" i="120"/>
  <c r="BP96" i="120"/>
  <c r="W96" i="120"/>
  <c r="BA96" i="120"/>
  <c r="W86" i="120"/>
  <c r="BP86" i="120"/>
  <c r="BA86" i="120"/>
  <c r="W58" i="120"/>
  <c r="BP58" i="120"/>
  <c r="BA58" i="120"/>
  <c r="BA24" i="120"/>
  <c r="W24" i="120"/>
  <c r="BP24" i="120"/>
  <c r="W129" i="120"/>
  <c r="BP129" i="120"/>
  <c r="BA129" i="120"/>
  <c r="BP55" i="120"/>
  <c r="BA55" i="120"/>
  <c r="W55" i="120"/>
  <c r="BP144" i="120"/>
  <c r="W144" i="120"/>
  <c r="BA144" i="120"/>
  <c r="W69" i="120"/>
  <c r="BA69" i="120"/>
  <c r="BP69" i="120"/>
  <c r="BA114" i="120"/>
  <c r="W114" i="120"/>
  <c r="BP114" i="120"/>
  <c r="W120" i="120"/>
  <c r="BA120" i="120"/>
  <c r="BP120" i="120"/>
  <c r="BA8" i="120"/>
  <c r="W8" i="120"/>
  <c r="BP8" i="120"/>
  <c r="BP137" i="120"/>
  <c r="BA137" i="120"/>
  <c r="W137" i="120"/>
  <c r="BA19" i="120"/>
  <c r="W19" i="120"/>
  <c r="BP19" i="120"/>
  <c r="BA128" i="120"/>
  <c r="BP128" i="120"/>
  <c r="W128" i="120"/>
  <c r="BA71" i="120"/>
  <c r="W71" i="120"/>
  <c r="BP71" i="120"/>
  <c r="BP61" i="120"/>
  <c r="W61" i="120"/>
  <c r="BA61" i="120"/>
  <c r="W130" i="120"/>
  <c r="BA130" i="120"/>
  <c r="BP130" i="120"/>
  <c r="BP17" i="120"/>
  <c r="BA17" i="120"/>
  <c r="W17" i="120"/>
  <c r="BA36" i="120"/>
  <c r="BP36" i="120"/>
  <c r="W36" i="120"/>
  <c r="BP140" i="120"/>
  <c r="W140" i="120"/>
  <c r="BA140" i="120"/>
  <c r="BP84" i="120"/>
  <c r="BA84" i="120"/>
  <c r="W84" i="120"/>
  <c r="BA77" i="120"/>
  <c r="BP77" i="120"/>
  <c r="W77" i="120"/>
  <c r="BP65" i="120"/>
  <c r="BA65" i="120"/>
  <c r="W65" i="120"/>
  <c r="BA136" i="120"/>
  <c r="W136" i="120"/>
  <c r="BP136" i="120"/>
  <c r="BP15" i="120"/>
  <c r="BA15" i="120"/>
  <c r="W15" i="120"/>
  <c r="BP11" i="120"/>
  <c r="BA11" i="120"/>
  <c r="W11" i="120"/>
  <c r="BP42" i="120"/>
  <c r="BA42" i="120"/>
  <c r="W42" i="120"/>
  <c r="BP85" i="120"/>
  <c r="W85" i="120"/>
  <c r="BA85" i="120"/>
  <c r="BP64" i="120"/>
  <c r="W64" i="120"/>
  <c r="BA64" i="120"/>
  <c r="W60" i="120"/>
  <c r="BP60" i="120"/>
  <c r="BA60" i="120"/>
  <c r="BP14" i="120"/>
  <c r="W14" i="120"/>
  <c r="BA14" i="120"/>
  <c r="BP110" i="120"/>
  <c r="BA110" i="120"/>
  <c r="W110" i="120"/>
  <c r="W112" i="120"/>
  <c r="BP112" i="120"/>
  <c r="BA112" i="120"/>
  <c r="BA27" i="120"/>
  <c r="W27" i="120"/>
  <c r="BP27" i="120"/>
  <c r="BA135" i="120"/>
  <c r="W135" i="120"/>
  <c r="BP135" i="120"/>
  <c r="W143" i="120"/>
  <c r="BP143" i="120"/>
  <c r="BA143" i="120"/>
  <c r="BA80" i="120"/>
  <c r="W80" i="120"/>
  <c r="BP80" i="120"/>
  <c r="BA47" i="120"/>
  <c r="BP47" i="120"/>
  <c r="W47" i="120"/>
  <c r="W13" i="120"/>
  <c r="BP13" i="120"/>
  <c r="BA13" i="120"/>
  <c r="BA40" i="120"/>
  <c r="BP40" i="120"/>
  <c r="W40" i="120"/>
  <c r="BA127" i="120"/>
  <c r="W127" i="120"/>
  <c r="BP127" i="120"/>
  <c r="BP70" i="120"/>
  <c r="W70" i="120"/>
  <c r="BA70" i="120"/>
  <c r="BA37" i="120"/>
  <c r="W37" i="120"/>
  <c r="BP37" i="120"/>
  <c r="W30" i="120"/>
  <c r="BA30" i="120"/>
  <c r="BP30" i="120"/>
  <c r="BA48" i="120"/>
  <c r="W48" i="120"/>
  <c r="BP48" i="120"/>
  <c r="W142" i="120"/>
  <c r="BA142" i="120"/>
  <c r="BP142" i="120"/>
  <c r="BA132" i="120"/>
  <c r="W132" i="120"/>
  <c r="BP132" i="120"/>
  <c r="BP23" i="120"/>
  <c r="BA23" i="120"/>
  <c r="W23" i="120"/>
  <c r="BA118" i="120"/>
  <c r="BP118" i="120"/>
  <c r="W118" i="120"/>
  <c r="BP124" i="120"/>
  <c r="W124" i="120"/>
  <c r="BA124" i="120"/>
  <c r="W68" i="120"/>
  <c r="BP68" i="120"/>
  <c r="BA68" i="120"/>
  <c r="BP100" i="120"/>
  <c r="W100" i="120"/>
  <c r="BA100" i="120"/>
  <c r="BP5" i="120"/>
  <c r="W5" i="120"/>
  <c r="BA5" i="120"/>
  <c r="BP108" i="120"/>
  <c r="BA108" i="120"/>
  <c r="W108" i="120"/>
  <c r="BP75" i="120"/>
  <c r="BA75" i="120"/>
  <c r="W75" i="120"/>
  <c r="W49" i="120"/>
  <c r="BP49" i="120"/>
  <c r="BA49" i="120"/>
  <c r="BP56" i="120"/>
  <c r="W56" i="120"/>
  <c r="BA56" i="120"/>
  <c r="W97" i="120"/>
  <c r="BP97" i="120"/>
  <c r="BA97" i="120"/>
  <c r="W122" i="120"/>
  <c r="BA122" i="120"/>
  <c r="BP122" i="120"/>
  <c r="BP94" i="120"/>
  <c r="BA94" i="120"/>
  <c r="W94" i="120"/>
  <c r="BP53" i="120"/>
  <c r="BA53" i="120"/>
  <c r="W53" i="120"/>
  <c r="W6" i="120"/>
  <c r="BP6" i="120"/>
  <c r="BA6" i="120"/>
  <c r="BP139" i="120"/>
  <c r="W139" i="120"/>
  <c r="BA139" i="120"/>
  <c r="BA59" i="120"/>
  <c r="BP59" i="120"/>
  <c r="W59" i="120"/>
  <c r="BP111" i="120"/>
  <c r="BA111" i="120"/>
  <c r="W111" i="120"/>
  <c r="W26" i="120"/>
  <c r="BP26" i="120"/>
  <c r="BA26" i="120"/>
  <c r="BP9" i="120"/>
  <c r="W9" i="120"/>
  <c r="BA9" i="120"/>
  <c r="W141" i="120"/>
  <c r="BA141" i="120"/>
  <c r="BP141" i="120"/>
  <c r="W43" i="120"/>
  <c r="BP43" i="120"/>
  <c r="BA43" i="120"/>
  <c r="W79" i="120"/>
  <c r="BP79" i="120"/>
  <c r="BA79" i="120"/>
  <c r="W12" i="120"/>
  <c r="BP12" i="120"/>
  <c r="BA12" i="120"/>
  <c r="W121" i="120"/>
  <c r="BP121" i="120"/>
  <c r="BA121" i="120"/>
  <c r="BA62" i="120"/>
  <c r="W62" i="120"/>
  <c r="BP62" i="120"/>
  <c r="BP109" i="120"/>
  <c r="BA109" i="120"/>
  <c r="W109" i="120"/>
  <c r="BA25" i="120"/>
  <c r="W25" i="120"/>
  <c r="BP25" i="120"/>
  <c r="BP116" i="120"/>
  <c r="BA116" i="120"/>
  <c r="W116" i="120"/>
  <c r="BP107" i="120"/>
  <c r="BA107" i="120"/>
  <c r="W107" i="120"/>
  <c r="BA7" i="120"/>
  <c r="W7" i="120"/>
  <c r="BP7" i="120"/>
  <c r="BP81" i="120"/>
  <c r="BA81" i="120"/>
  <c r="W81" i="120"/>
  <c r="BP72" i="120"/>
  <c r="BA72" i="120"/>
  <c r="W72" i="120"/>
  <c r="BA44" i="120"/>
  <c r="BP44" i="120"/>
  <c r="W44" i="120"/>
  <c r="W93" i="120"/>
  <c r="BP93" i="120"/>
  <c r="BA93" i="120"/>
  <c r="W98" i="120"/>
  <c r="BP98" i="120"/>
  <c r="BA98" i="120"/>
  <c r="BP92" i="120"/>
  <c r="BA92" i="120"/>
  <c r="W92" i="120"/>
  <c r="BA18" i="120"/>
  <c r="BP18" i="120"/>
  <c r="W18" i="120"/>
  <c r="BP52" i="120"/>
  <c r="W52" i="120"/>
  <c r="BA52" i="120"/>
  <c r="W76" i="120"/>
  <c r="BP76" i="120"/>
  <c r="BA76" i="120"/>
  <c r="BA39" i="120"/>
  <c r="W39" i="120"/>
  <c r="BP39" i="120"/>
  <c r="W99" i="120"/>
  <c r="BP99" i="120"/>
  <c r="BA99" i="120"/>
  <c r="BP35" i="120"/>
  <c r="BA35" i="120"/>
  <c r="W35" i="120"/>
  <c r="BA45" i="120"/>
  <c r="W45" i="120"/>
  <c r="BP45" i="120"/>
  <c r="BA22" i="120"/>
  <c r="BP22" i="120"/>
  <c r="W22" i="120"/>
  <c r="BP54" i="120"/>
  <c r="BA54" i="120"/>
  <c r="W54" i="120"/>
  <c r="BA91" i="120"/>
  <c r="W91" i="120"/>
  <c r="BP91" i="120"/>
  <c r="BP29" i="120"/>
  <c r="W29" i="120"/>
  <c r="BA29" i="120"/>
  <c r="W78" i="120"/>
  <c r="BA78" i="120"/>
  <c r="BP78" i="120"/>
  <c r="W28" i="120"/>
  <c r="BP28" i="120"/>
  <c r="BA28" i="120"/>
  <c r="BA101" i="120"/>
  <c r="W101" i="120"/>
  <c r="BP101" i="120"/>
  <c r="BA21" i="120"/>
  <c r="W21" i="120"/>
  <c r="BP21" i="120"/>
  <c r="W57" i="120"/>
  <c r="BA57" i="120"/>
  <c r="BP57" i="120"/>
  <c r="BP20" i="120"/>
  <c r="W20" i="120"/>
  <c r="BA20" i="120"/>
  <c r="BP95" i="120"/>
  <c r="BA95" i="120"/>
  <c r="W95" i="120"/>
  <c r="W46" i="120"/>
  <c r="BP46" i="120"/>
  <c r="BA46" i="120"/>
  <c r="BP117" i="120"/>
  <c r="BA117" i="120"/>
  <c r="W117" i="120"/>
  <c r="AU10" i="120"/>
  <c r="AV24" i="120"/>
  <c r="AY24" i="120" s="1"/>
  <c r="AU6" i="120"/>
  <c r="AU129" i="120"/>
  <c r="AK22" i="120"/>
  <c r="CP113" i="116"/>
  <c r="CU113" i="116"/>
  <c r="CK109" i="116"/>
  <c r="CT109" i="116"/>
  <c r="CP110" i="116"/>
  <c r="CU110" i="116"/>
  <c r="CP108" i="116"/>
  <c r="CU108" i="116"/>
  <c r="CP114" i="116"/>
  <c r="CU114" i="116"/>
  <c r="CP115" i="116"/>
  <c r="CU115" i="116"/>
  <c r="CP109" i="116"/>
  <c r="CU109" i="116"/>
  <c r="CP112" i="116"/>
  <c r="CU112" i="116"/>
  <c r="CP111" i="116"/>
  <c r="CU111" i="116"/>
  <c r="CM110" i="116"/>
  <c r="S98" i="118"/>
  <c r="CM108" i="116"/>
  <c r="S96" i="118"/>
  <c r="CM114" i="116"/>
  <c r="S102" i="118"/>
  <c r="CM112" i="116"/>
  <c r="S100" i="118"/>
  <c r="CM111" i="116"/>
  <c r="S99" i="118"/>
  <c r="CM109" i="116"/>
  <c r="S97" i="118"/>
  <c r="CM115" i="116"/>
  <c r="S103" i="118"/>
  <c r="CM113" i="116"/>
  <c r="S101" i="118"/>
  <c r="CH109" i="116"/>
  <c r="N97" i="118"/>
  <c r="AG33" i="26"/>
  <c r="AE33" i="26" s="1"/>
  <c r="AC33" i="26" s="1"/>
  <c r="AD33" i="26" s="1"/>
  <c r="AG43" i="26"/>
  <c r="AE43" i="26" s="1"/>
  <c r="AC43" i="26" s="1"/>
  <c r="AD43" i="26" s="1"/>
  <c r="AG123" i="26"/>
  <c r="AE123" i="26" s="1"/>
  <c r="AC123" i="26" s="1"/>
  <c r="AD123" i="26" s="1"/>
  <c r="AG40" i="26"/>
  <c r="AE40" i="26" s="1"/>
  <c r="AC40" i="26" s="1"/>
  <c r="AD40" i="26" s="1"/>
  <c r="AG6" i="26"/>
  <c r="AG62" i="26"/>
  <c r="AE62" i="26" s="1"/>
  <c r="AC62" i="26" s="1"/>
  <c r="AD62" i="26" s="1"/>
  <c r="AG115" i="26"/>
  <c r="AE115" i="26" s="1"/>
  <c r="AG102" i="26"/>
  <c r="AE102" i="26" s="1"/>
  <c r="AG83" i="26"/>
  <c r="AE83" i="26" s="1"/>
  <c r="AC83" i="26" s="1"/>
  <c r="AD83" i="26" s="1"/>
  <c r="AG27" i="26"/>
  <c r="AE27" i="26" s="1"/>
  <c r="AC27" i="26" s="1"/>
  <c r="AD27" i="26" s="1"/>
  <c r="AG78" i="26"/>
  <c r="AE78" i="26" s="1"/>
  <c r="AC78" i="26" s="1"/>
  <c r="AD78" i="26" s="1"/>
  <c r="AG108" i="26"/>
  <c r="AE108" i="26" s="1"/>
  <c r="AG50" i="26"/>
  <c r="AE50" i="26" s="1"/>
  <c r="AC50" i="26" s="1"/>
  <c r="AD50" i="26" s="1"/>
  <c r="AG104" i="26"/>
  <c r="AE104" i="26" s="1"/>
  <c r="AC104" i="26" s="1"/>
  <c r="AD104" i="26" s="1"/>
  <c r="AG126" i="26"/>
  <c r="AE126" i="26" s="1"/>
  <c r="AG57" i="26"/>
  <c r="AE57" i="26" s="1"/>
  <c r="AC57" i="26" s="1"/>
  <c r="AD57" i="26" s="1"/>
  <c r="AG107" i="26"/>
  <c r="AE107" i="26" s="1"/>
  <c r="AC107" i="26" s="1"/>
  <c r="AD107" i="26" s="1"/>
  <c r="AG37" i="26"/>
  <c r="AE37" i="26" s="1"/>
  <c r="AC37" i="26" s="1"/>
  <c r="AD37" i="26" s="1"/>
  <c r="AG86" i="26"/>
  <c r="AE86" i="26" s="1"/>
  <c r="AC86" i="26" s="1"/>
  <c r="AD86" i="26" s="1"/>
  <c r="M93" i="98"/>
  <c r="AS91" i="120" s="1"/>
  <c r="AG17" i="26"/>
  <c r="AE17" i="26" s="1"/>
  <c r="AC17" i="26" s="1"/>
  <c r="AD17" i="26" s="1"/>
  <c r="AG46" i="26"/>
  <c r="AE46" i="26" s="1"/>
  <c r="AC46" i="26" s="1"/>
  <c r="AD46" i="26" s="1"/>
  <c r="AG58" i="26"/>
  <c r="AE58" i="26" s="1"/>
  <c r="AC58" i="26" s="1"/>
  <c r="AD58" i="26" s="1"/>
  <c r="J70" i="98"/>
  <c r="AF68" i="120" s="1"/>
  <c r="AG103" i="26"/>
  <c r="AE103" i="26" s="1"/>
  <c r="AC103" i="26" s="1"/>
  <c r="AD103" i="26" s="1"/>
  <c r="AG110" i="26"/>
  <c r="AE110" i="26" s="1"/>
  <c r="AC110" i="26" s="1"/>
  <c r="AD110" i="26" s="1"/>
  <c r="AG70" i="26"/>
  <c r="AE70" i="26" s="1"/>
  <c r="AC70" i="26" s="1"/>
  <c r="AD70" i="26" s="1"/>
  <c r="AG130" i="26"/>
  <c r="AE130" i="26" s="1"/>
  <c r="AG136" i="26"/>
  <c r="AE136" i="26" s="1"/>
  <c r="AG41" i="26"/>
  <c r="AE41" i="26" s="1"/>
  <c r="AC41" i="26" s="1"/>
  <c r="AD41" i="26" s="1"/>
  <c r="AG56" i="26"/>
  <c r="AE56" i="26" s="1"/>
  <c r="AC56" i="26" s="1"/>
  <c r="AD56" i="26" s="1"/>
  <c r="AG96" i="26"/>
  <c r="AE96" i="26" s="1"/>
  <c r="AG105" i="26"/>
  <c r="AE105" i="26" s="1"/>
  <c r="AC105" i="26" s="1"/>
  <c r="AD105" i="26" s="1"/>
  <c r="AG38" i="26"/>
  <c r="AE38" i="26" s="1"/>
  <c r="AC38" i="26" s="1"/>
  <c r="AD38" i="26" s="1"/>
  <c r="AG133" i="26"/>
  <c r="AE133" i="26" s="1"/>
  <c r="AC133" i="26" s="1"/>
  <c r="AD133" i="26" s="1"/>
  <c r="AG19" i="26"/>
  <c r="AE19" i="26" s="1"/>
  <c r="AC19" i="26" s="1"/>
  <c r="AD19" i="26" s="1"/>
  <c r="AG106" i="26"/>
  <c r="AE106" i="26" s="1"/>
  <c r="AC106" i="26" s="1"/>
  <c r="AD106" i="26" s="1"/>
  <c r="AG138" i="26"/>
  <c r="AE138" i="26" s="1"/>
  <c r="AC138" i="26" s="1"/>
  <c r="AD138" i="26" s="1"/>
  <c r="AG85" i="26"/>
  <c r="AE85" i="26" s="1"/>
  <c r="AC85" i="26" s="1"/>
  <c r="AD85" i="26" s="1"/>
  <c r="AG134" i="26"/>
  <c r="AE134" i="26" s="1"/>
  <c r="AG80" i="26"/>
  <c r="AE80" i="26" s="1"/>
  <c r="AC80" i="26" s="1"/>
  <c r="AD80" i="26" s="1"/>
  <c r="AG74" i="26"/>
  <c r="AE74" i="26" s="1"/>
  <c r="AC74" i="26" s="1"/>
  <c r="AD74" i="26" s="1"/>
  <c r="AG16" i="26"/>
  <c r="AE16" i="26" s="1"/>
  <c r="AC16" i="26" s="1"/>
  <c r="AD16" i="26" s="1"/>
  <c r="AG54" i="26"/>
  <c r="AE54" i="26" s="1"/>
  <c r="AC54" i="26" s="1"/>
  <c r="AD54" i="26" s="1"/>
  <c r="AG51" i="26"/>
  <c r="AE51" i="26" s="1"/>
  <c r="AC51" i="26" s="1"/>
  <c r="AD51" i="26" s="1"/>
  <c r="AG137" i="26"/>
  <c r="AE137" i="26" s="1"/>
  <c r="AG87" i="26"/>
  <c r="AE87" i="26" s="1"/>
  <c r="AC87" i="26" s="1"/>
  <c r="AD87" i="26" s="1"/>
  <c r="AG120" i="26"/>
  <c r="AE120" i="26" s="1"/>
  <c r="AC120" i="26" s="1"/>
  <c r="AD120" i="26" s="1"/>
  <c r="AG82" i="26"/>
  <c r="AE82" i="26" s="1"/>
  <c r="AC82" i="26" s="1"/>
  <c r="AD82" i="26" s="1"/>
  <c r="AG66" i="26"/>
  <c r="AE66" i="26" s="1"/>
  <c r="AC66" i="26" s="1"/>
  <c r="AD66" i="26" s="1"/>
  <c r="AG48" i="26"/>
  <c r="AE48" i="26" s="1"/>
  <c r="AC48" i="26" s="1"/>
  <c r="AD48" i="26" s="1"/>
  <c r="AG31" i="26"/>
  <c r="AE31" i="26" s="1"/>
  <c r="AG132" i="26"/>
  <c r="AE132" i="26" s="1"/>
  <c r="AG73" i="26"/>
  <c r="AE73" i="26" s="1"/>
  <c r="AG75" i="26"/>
  <c r="AE75" i="26" s="1"/>
  <c r="AG26" i="26"/>
  <c r="AE26" i="26" s="1"/>
  <c r="AC26" i="26" s="1"/>
  <c r="AD26" i="26" s="1"/>
  <c r="AG131" i="26"/>
  <c r="AE131" i="26" s="1"/>
  <c r="AG68" i="26"/>
  <c r="AE68" i="26" s="1"/>
  <c r="AC68" i="26" s="1"/>
  <c r="AD68" i="26" s="1"/>
  <c r="AG72" i="26"/>
  <c r="AE72" i="26" s="1"/>
  <c r="AC72" i="26" s="1"/>
  <c r="AD72" i="26" s="1"/>
  <c r="AG9" i="26"/>
  <c r="AE9" i="26" s="1"/>
  <c r="AC9" i="26" s="1"/>
  <c r="AD9" i="26" s="1"/>
  <c r="AG36" i="26"/>
  <c r="AE36" i="26" s="1"/>
  <c r="AC36" i="26" s="1"/>
  <c r="AD36" i="26" s="1"/>
  <c r="AG89" i="26"/>
  <c r="AE89" i="26" s="1"/>
  <c r="AC89" i="26" s="1"/>
  <c r="AD89" i="26" s="1"/>
  <c r="AG135" i="26"/>
  <c r="AE135" i="26" s="1"/>
  <c r="AC135" i="26" s="1"/>
  <c r="AD135" i="26" s="1"/>
  <c r="AG67" i="26"/>
  <c r="AE67" i="26" s="1"/>
  <c r="AC67" i="26" s="1"/>
  <c r="AD67" i="26" s="1"/>
  <c r="AG49" i="26"/>
  <c r="AE49" i="26" s="1"/>
  <c r="AC49" i="26" s="1"/>
  <c r="AD49" i="26" s="1"/>
  <c r="AG42" i="26"/>
  <c r="AE42" i="26" s="1"/>
  <c r="AC42" i="26" s="1"/>
  <c r="AD42" i="26" s="1"/>
  <c r="AG84" i="26"/>
  <c r="AE84" i="26" s="1"/>
  <c r="AC84" i="26" s="1"/>
  <c r="AD84" i="26" s="1"/>
  <c r="AG109" i="26"/>
  <c r="AE109" i="26" s="1"/>
  <c r="AC109" i="26" s="1"/>
  <c r="AD109" i="26" s="1"/>
  <c r="AG81" i="26"/>
  <c r="AE81" i="26" s="1"/>
  <c r="AC81" i="26" s="1"/>
  <c r="AD81" i="26" s="1"/>
  <c r="AG90" i="26"/>
  <c r="AE90" i="26" s="1"/>
  <c r="AC90" i="26" s="1"/>
  <c r="AD90" i="26" s="1"/>
  <c r="AG127" i="26"/>
  <c r="AE127" i="26" s="1"/>
  <c r="AC127" i="26" s="1"/>
  <c r="AD127" i="26" s="1"/>
  <c r="AG97" i="26"/>
  <c r="AE97" i="26" s="1"/>
  <c r="AC97" i="26" s="1"/>
  <c r="AD97" i="26" s="1"/>
  <c r="AG95" i="26"/>
  <c r="AE95" i="26" s="1"/>
  <c r="AC95" i="26" s="1"/>
  <c r="AD95" i="26" s="1"/>
  <c r="AG45" i="26"/>
  <c r="AE45" i="26" s="1"/>
  <c r="AC45" i="26" s="1"/>
  <c r="AD45" i="26" s="1"/>
  <c r="AG47" i="26"/>
  <c r="AE47" i="26" s="1"/>
  <c r="AC47" i="26" s="1"/>
  <c r="AD47" i="26" s="1"/>
  <c r="L95" i="26"/>
  <c r="J95" i="26" s="1"/>
  <c r="K95" i="26" s="1"/>
  <c r="L30" i="26"/>
  <c r="J30" i="26" s="1"/>
  <c r="K30" i="26" s="1"/>
  <c r="AE77" i="26"/>
  <c r="AC77" i="26" s="1"/>
  <c r="AD77" i="26" s="1"/>
  <c r="L131" i="26"/>
  <c r="J131" i="26" s="1"/>
  <c r="K131" i="26" s="1"/>
  <c r="L132" i="26"/>
  <c r="J132" i="26" s="1"/>
  <c r="K132" i="26" s="1"/>
  <c r="L136" i="26"/>
  <c r="J136" i="26" s="1"/>
  <c r="K136" i="26" s="1"/>
  <c r="L104" i="26"/>
  <c r="J104" i="26" s="1"/>
  <c r="K104" i="26" s="1"/>
  <c r="BB106" i="26"/>
  <c r="BC106" i="26" s="1"/>
  <c r="K58" i="98"/>
  <c r="AI56" i="120" s="1"/>
  <c r="F11" i="18"/>
  <c r="C42" i="18"/>
  <c r="F93" i="18"/>
  <c r="F122" i="18"/>
  <c r="L13" i="98"/>
  <c r="AP10" i="120" s="1"/>
  <c r="AR10" i="120" s="1"/>
  <c r="G77" i="17"/>
  <c r="E78" i="98" s="1"/>
  <c r="C144" i="18"/>
  <c r="C77" i="18"/>
  <c r="F63" i="18"/>
  <c r="F117" i="18"/>
  <c r="F92" i="18"/>
  <c r="C113" i="18"/>
  <c r="C9" i="18"/>
  <c r="K43" i="15"/>
  <c r="C66" i="36"/>
  <c r="N68" i="97" s="1"/>
  <c r="C31" i="18"/>
  <c r="C13" i="18"/>
  <c r="C120" i="18"/>
  <c r="F7" i="18"/>
  <c r="F143" i="18"/>
  <c r="C6" i="18"/>
  <c r="L14" i="98"/>
  <c r="AP11" i="120" s="1"/>
  <c r="F19" i="18"/>
  <c r="F110" i="18"/>
  <c r="F80" i="18"/>
  <c r="F72" i="18"/>
  <c r="F145" i="18"/>
  <c r="F68" i="18"/>
  <c r="F112" i="18"/>
  <c r="C76" i="18"/>
  <c r="C52" i="18"/>
  <c r="F24" i="18"/>
  <c r="F137" i="18"/>
  <c r="C19" i="18"/>
  <c r="C11" i="18"/>
  <c r="F60" i="18"/>
  <c r="F6" i="18"/>
  <c r="F9" i="18"/>
  <c r="F83" i="18"/>
  <c r="F31" i="18"/>
  <c r="F17" i="18"/>
  <c r="F91" i="18"/>
  <c r="F25" i="18"/>
  <c r="F47" i="18"/>
  <c r="F119" i="18"/>
  <c r="C121" i="18"/>
  <c r="F42" i="18"/>
  <c r="F109" i="18"/>
  <c r="C44" i="18"/>
  <c r="F88" i="18"/>
  <c r="C94" i="18"/>
  <c r="M14" i="15"/>
  <c r="F14" i="15" s="1"/>
  <c r="K109" i="15"/>
  <c r="C109" i="15" s="1"/>
  <c r="C20" i="18"/>
  <c r="C141" i="18"/>
  <c r="C90" i="18"/>
  <c r="F67" i="18"/>
  <c r="F15" i="18"/>
  <c r="M64" i="15"/>
  <c r="F64" i="15" s="1"/>
  <c r="H64" i="15" s="1"/>
  <c r="C48" i="18"/>
  <c r="F62" i="18"/>
  <c r="F49" i="18"/>
  <c r="F123" i="18"/>
  <c r="F108" i="18"/>
  <c r="F139" i="18"/>
  <c r="F87" i="18"/>
  <c r="F114" i="18"/>
  <c r="F56" i="18"/>
  <c r="F54" i="18"/>
  <c r="C62" i="18"/>
  <c r="F43" i="18"/>
  <c r="F134" i="18"/>
  <c r="F115" i="18"/>
  <c r="G85" i="17"/>
  <c r="E86" i="98" s="1"/>
  <c r="C65" i="18"/>
  <c r="F32" i="18"/>
  <c r="F21" i="18"/>
  <c r="F61" i="18"/>
  <c r="F130" i="18"/>
  <c r="K78" i="15"/>
  <c r="C78" i="15" s="1"/>
  <c r="I77" i="82" s="1"/>
  <c r="J7" i="17"/>
  <c r="D7" i="17" s="1"/>
  <c r="C7" i="17" s="1"/>
  <c r="C38" i="18"/>
  <c r="C21" i="18"/>
  <c r="C61" i="18"/>
  <c r="K32" i="15"/>
  <c r="C60" i="18"/>
  <c r="C69" i="18"/>
  <c r="F100" i="18"/>
  <c r="M44" i="15"/>
  <c r="C80" i="18"/>
  <c r="C88" i="18"/>
  <c r="F82" i="18"/>
  <c r="F33" i="18"/>
  <c r="C29" i="18"/>
  <c r="C123" i="18"/>
  <c r="C100" i="18"/>
  <c r="C86" i="18"/>
  <c r="F57" i="18"/>
  <c r="F34" i="18"/>
  <c r="C128" i="18"/>
  <c r="F128" i="18"/>
  <c r="C56" i="18"/>
  <c r="C39" i="18"/>
  <c r="C112" i="18"/>
  <c r="C33" i="18"/>
  <c r="C134" i="18"/>
  <c r="C119" i="18"/>
  <c r="F113" i="18"/>
  <c r="F90" i="18"/>
  <c r="C7" i="18"/>
  <c r="C28" i="18"/>
  <c r="C116" i="18"/>
  <c r="C73" i="18"/>
  <c r="C50" i="18"/>
  <c r="C124" i="18"/>
  <c r="C81" i="18"/>
  <c r="C58" i="18"/>
  <c r="C27" i="18"/>
  <c r="F118" i="18"/>
  <c r="C66" i="18"/>
  <c r="F35" i="18"/>
  <c r="C12" i="18"/>
  <c r="C140" i="18"/>
  <c r="C126" i="18"/>
  <c r="F70" i="18"/>
  <c r="F55" i="18"/>
  <c r="F16" i="18"/>
  <c r="F51" i="18"/>
  <c r="F28" i="18"/>
  <c r="C14" i="18"/>
  <c r="C108" i="18"/>
  <c r="F94" i="18"/>
  <c r="F85" i="18"/>
  <c r="C35" i="18"/>
  <c r="C47" i="18"/>
  <c r="F107" i="18"/>
  <c r="C70" i="18"/>
  <c r="C55" i="18"/>
  <c r="F8" i="18"/>
  <c r="F41" i="18"/>
  <c r="F127" i="18"/>
  <c r="C85" i="18"/>
  <c r="C79" i="18"/>
  <c r="C129" i="18"/>
  <c r="C75" i="18"/>
  <c r="F23" i="18"/>
  <c r="C40" i="18"/>
  <c r="F46" i="18"/>
  <c r="C122" i="18"/>
  <c r="F39" i="18"/>
  <c r="C93" i="18"/>
  <c r="F37" i="18"/>
  <c r="F144" i="18"/>
  <c r="C125" i="18"/>
  <c r="C10" i="18"/>
  <c r="F20" i="18"/>
  <c r="F13" i="18"/>
  <c r="F120" i="18"/>
  <c r="F77" i="18"/>
  <c r="F105" i="18"/>
  <c r="C78" i="18"/>
  <c r="C63" i="18"/>
  <c r="F141" i="18"/>
  <c r="F26" i="18"/>
  <c r="C53" i="18"/>
  <c r="F131" i="18"/>
  <c r="F129" i="18"/>
  <c r="F106" i="18"/>
  <c r="F75" i="18"/>
  <c r="F52" i="18"/>
  <c r="C46" i="18"/>
  <c r="C105" i="18"/>
  <c r="C106" i="18"/>
  <c r="F38" i="18"/>
  <c r="C23" i="18"/>
  <c r="F40" i="18"/>
  <c r="C114" i="18"/>
  <c r="C83" i="18"/>
  <c r="C82" i="18"/>
  <c r="F59" i="18"/>
  <c r="F22" i="18"/>
  <c r="C57" i="18"/>
  <c r="C34" i="18"/>
  <c r="C32" i="18"/>
  <c r="C137" i="18"/>
  <c r="C17" i="18"/>
  <c r="C145" i="18"/>
  <c r="C91" i="18"/>
  <c r="C68" i="18"/>
  <c r="K69" i="15"/>
  <c r="C54" i="18"/>
  <c r="C25" i="18"/>
  <c r="C37" i="18"/>
  <c r="C130" i="18"/>
  <c r="F12" i="18"/>
  <c r="F140" i="18"/>
  <c r="F126" i="18"/>
  <c r="F74" i="18"/>
  <c r="C43" i="18"/>
  <c r="C115" i="18"/>
  <c r="C92" i="18"/>
  <c r="F78" i="18"/>
  <c r="F69" i="18"/>
  <c r="F36" i="18"/>
  <c r="C135" i="18"/>
  <c r="F121" i="18"/>
  <c r="C67" i="18"/>
  <c r="F44" i="18"/>
  <c r="F30" i="18"/>
  <c r="C15" i="18"/>
  <c r="F116" i="18"/>
  <c r="F102" i="18"/>
  <c r="G103" i="17"/>
  <c r="C117" i="18"/>
  <c r="C24" i="18"/>
  <c r="F73" i="18"/>
  <c r="F50" i="18"/>
  <c r="F124" i="18"/>
  <c r="F95" i="18"/>
  <c r="F81" i="18"/>
  <c r="F58" i="18"/>
  <c r="F27" i="18"/>
  <c r="F132" i="18"/>
  <c r="C103" i="18"/>
  <c r="F48" i="18"/>
  <c r="F104" i="18"/>
  <c r="F89" i="18"/>
  <c r="F66" i="18"/>
  <c r="F111" i="18"/>
  <c r="F136" i="18"/>
  <c r="C74" i="18"/>
  <c r="F14" i="18"/>
  <c r="C127" i="18"/>
  <c r="F64" i="18"/>
  <c r="C59" i="18"/>
  <c r="C36" i="18"/>
  <c r="C22" i="18"/>
  <c r="F135" i="18"/>
  <c r="F101" i="18"/>
  <c r="C30" i="18"/>
  <c r="C102" i="18"/>
  <c r="D103" i="17"/>
  <c r="F103" i="18"/>
  <c r="C104" i="18"/>
  <c r="C111" i="18"/>
  <c r="C136" i="18"/>
  <c r="F84" i="18"/>
  <c r="M85" i="15"/>
  <c r="F142" i="18"/>
  <c r="F29" i="18"/>
  <c r="C101" i="18"/>
  <c r="F10" i="18"/>
  <c r="F18" i="18"/>
  <c r="F86" i="18"/>
  <c r="C71" i="18"/>
  <c r="F45" i="18"/>
  <c r="F79" i="18"/>
  <c r="C133" i="18"/>
  <c r="F65" i="18"/>
  <c r="C139" i="18"/>
  <c r="C87" i="18"/>
  <c r="C110" i="18"/>
  <c r="C95" i="18"/>
  <c r="C109" i="18"/>
  <c r="C72" i="18"/>
  <c r="C132" i="18"/>
  <c r="C118" i="18"/>
  <c r="C89" i="18"/>
  <c r="F76" i="18"/>
  <c r="L78" i="98"/>
  <c r="AP76" i="120" s="1"/>
  <c r="F125" i="18"/>
  <c r="F138" i="18"/>
  <c r="C107" i="18"/>
  <c r="C84" i="18"/>
  <c r="C8" i="18"/>
  <c r="C16" i="18"/>
  <c r="C41" i="18"/>
  <c r="C18" i="18"/>
  <c r="C51" i="18"/>
  <c r="C142" i="18"/>
  <c r="C64" i="18"/>
  <c r="C49" i="18"/>
  <c r="C26" i="18"/>
  <c r="F71" i="18"/>
  <c r="C45" i="18"/>
  <c r="F53" i="18"/>
  <c r="C131" i="18"/>
  <c r="F133" i="18"/>
  <c r="AA24" i="24"/>
  <c r="C24" i="24"/>
  <c r="AA64" i="24"/>
  <c r="C64" i="24"/>
  <c r="D64" i="24" s="1"/>
  <c r="AA56" i="24"/>
  <c r="C56" i="24"/>
  <c r="AA48" i="24"/>
  <c r="C48" i="24"/>
  <c r="D48" i="24" s="1"/>
  <c r="AA81" i="24"/>
  <c r="C81" i="24"/>
  <c r="AA77" i="24"/>
  <c r="C77" i="24"/>
  <c r="D77" i="24" s="1"/>
  <c r="AA46" i="24"/>
  <c r="C46" i="24"/>
  <c r="D46" i="24" s="1"/>
  <c r="AA65" i="24"/>
  <c r="C65" i="24"/>
  <c r="AA39" i="24"/>
  <c r="C39" i="24"/>
  <c r="AA26" i="24"/>
  <c r="C26" i="24"/>
  <c r="AA76" i="24"/>
  <c r="C76" i="24"/>
  <c r="AA30" i="24"/>
  <c r="C30" i="24"/>
  <c r="AA27" i="24"/>
  <c r="C27" i="24"/>
  <c r="D27" i="24" s="1"/>
  <c r="AA22" i="24"/>
  <c r="C22" i="24"/>
  <c r="AA98" i="24"/>
  <c r="C98" i="24"/>
  <c r="AA72" i="24"/>
  <c r="C72" i="24"/>
  <c r="D72" i="24" s="1"/>
  <c r="AA41" i="24"/>
  <c r="C41" i="24"/>
  <c r="AA82" i="24"/>
  <c r="C82" i="24"/>
  <c r="D82" i="24" s="1"/>
  <c r="AA52" i="24"/>
  <c r="C52" i="24"/>
  <c r="AA69" i="24"/>
  <c r="C69" i="24"/>
  <c r="AA44" i="24"/>
  <c r="C44" i="24"/>
  <c r="AA47" i="24"/>
  <c r="C47" i="24"/>
  <c r="D47" i="24" s="1"/>
  <c r="AA55" i="24"/>
  <c r="C55" i="24"/>
  <c r="AA32" i="24"/>
  <c r="C32" i="24"/>
  <c r="D32" i="24" s="1"/>
  <c r="AA58" i="24"/>
  <c r="C58" i="24"/>
  <c r="D58" i="24" s="1"/>
  <c r="AA25" i="24"/>
  <c r="C25" i="24"/>
  <c r="AA23" i="24"/>
  <c r="C23" i="24"/>
  <c r="D23" i="24" s="1"/>
  <c r="AA97" i="24"/>
  <c r="C97" i="24"/>
  <c r="AA61" i="24"/>
  <c r="C61" i="24"/>
  <c r="D61" i="24" s="1"/>
  <c r="AA79" i="24"/>
  <c r="C79" i="24"/>
  <c r="D79" i="24" s="1"/>
  <c r="AA71" i="24"/>
  <c r="C71" i="24"/>
  <c r="C7" i="82"/>
  <c r="R7" i="73" s="1"/>
  <c r="D9" i="24"/>
  <c r="AA62" i="24"/>
  <c r="C62" i="24"/>
  <c r="D62" i="24" s="1"/>
  <c r="AA53" i="24"/>
  <c r="C53" i="24"/>
  <c r="AA45" i="24"/>
  <c r="C45" i="24"/>
  <c r="D45" i="24" s="1"/>
  <c r="AA50" i="24"/>
  <c r="C50" i="24"/>
  <c r="AA80" i="24"/>
  <c r="C80" i="24"/>
  <c r="D80" i="24" s="1"/>
  <c r="AA73" i="24"/>
  <c r="C73" i="24"/>
  <c r="AA75" i="24"/>
  <c r="C75" i="24"/>
  <c r="AA66" i="24"/>
  <c r="C66" i="24"/>
  <c r="AA34" i="24"/>
  <c r="C34" i="24"/>
  <c r="D34" i="24" s="1"/>
  <c r="AA78" i="24"/>
  <c r="C78" i="24"/>
  <c r="D78" i="24" s="1"/>
  <c r="C148" i="24"/>
  <c r="C140" i="82" s="1"/>
  <c r="R141" i="73" s="1"/>
  <c r="AA42" i="24"/>
  <c r="C42" i="24"/>
  <c r="AA49" i="24"/>
  <c r="C49" i="24"/>
  <c r="AA63" i="24"/>
  <c r="C63" i="24"/>
  <c r="AA74" i="24"/>
  <c r="C74" i="24"/>
  <c r="AA59" i="24"/>
  <c r="C59" i="24"/>
  <c r="D59" i="24" s="1"/>
  <c r="AA102" i="24"/>
  <c r="C102" i="24"/>
  <c r="D102" i="24" s="1"/>
  <c r="AA54" i="24"/>
  <c r="C54" i="24"/>
  <c r="D54" i="24" s="1"/>
  <c r="AA31" i="24"/>
  <c r="C31" i="24"/>
  <c r="D31" i="24" s="1"/>
  <c r="AA38" i="24"/>
  <c r="C38" i="24"/>
  <c r="AA70" i="24"/>
  <c r="C70" i="24"/>
  <c r="D70" i="24" s="1"/>
  <c r="AA60" i="24"/>
  <c r="C60" i="24"/>
  <c r="D60" i="24" s="1"/>
  <c r="AA51" i="24"/>
  <c r="C51" i="24"/>
  <c r="AA43" i="24"/>
  <c r="C43" i="24"/>
  <c r="AA36" i="24"/>
  <c r="C36" i="24"/>
  <c r="AA57" i="24"/>
  <c r="C57" i="24"/>
  <c r="D57" i="24" s="1"/>
  <c r="H99" i="18"/>
  <c r="E99" i="18"/>
  <c r="E98" i="18"/>
  <c r="H98" i="18"/>
  <c r="E97" i="18"/>
  <c r="H97" i="18"/>
  <c r="E96" i="18"/>
  <c r="H96" i="18"/>
  <c r="F107" i="17"/>
  <c r="R105" i="24"/>
  <c r="S109" i="24"/>
  <c r="K106" i="24"/>
  <c r="L105" i="24"/>
  <c r="L107" i="24"/>
  <c r="N107" i="24" s="1"/>
  <c r="O107" i="24" s="1"/>
  <c r="R106" i="24"/>
  <c r="T106" i="24"/>
  <c r="R109" i="24"/>
  <c r="K105" i="24"/>
  <c r="M108" i="24"/>
  <c r="R107" i="24"/>
  <c r="L106" i="24"/>
  <c r="S105" i="24"/>
  <c r="L108" i="24"/>
  <c r="S108" i="24"/>
  <c r="T108" i="24"/>
  <c r="R34" i="24"/>
  <c r="T34" i="24"/>
  <c r="AB104" i="46"/>
  <c r="C107" i="17"/>
  <c r="L104" i="46"/>
  <c r="R103" i="46"/>
  <c r="H102" i="46"/>
  <c r="H103" i="46"/>
  <c r="R105" i="46"/>
  <c r="H105" i="46"/>
  <c r="L106" i="46"/>
  <c r="V104" i="46"/>
  <c r="M109" i="24"/>
  <c r="H106" i="46"/>
  <c r="K109" i="24"/>
  <c r="BB26" i="26"/>
  <c r="BC26" i="26" s="1"/>
  <c r="AB103" i="46"/>
  <c r="V106" i="46"/>
  <c r="R102" i="46"/>
  <c r="H104" i="46"/>
  <c r="S107" i="24"/>
  <c r="R104" i="46"/>
  <c r="AF104" i="46"/>
  <c r="AF106" i="46"/>
  <c r="AB106" i="46"/>
  <c r="R106" i="46"/>
  <c r="AB102" i="46"/>
  <c r="AB105" i="46"/>
  <c r="AJ98" i="46"/>
  <c r="AD98" i="46" s="1"/>
  <c r="AW99" i="116"/>
  <c r="AI97" i="46"/>
  <c r="T97" i="46" s="1"/>
  <c r="AU98" i="116"/>
  <c r="AI98" i="46"/>
  <c r="T98" i="46" s="1"/>
  <c r="AU99" i="116"/>
  <c r="AI99" i="46"/>
  <c r="T99" i="46" s="1"/>
  <c r="AU100" i="116"/>
  <c r="AH97" i="46"/>
  <c r="AS98" i="116"/>
  <c r="AJ96" i="46"/>
  <c r="AD96" i="46" s="1"/>
  <c r="AW97" i="116"/>
  <c r="AH99" i="46"/>
  <c r="AS100" i="116"/>
  <c r="AJ97" i="46"/>
  <c r="AD97" i="46" s="1"/>
  <c r="AW98" i="116"/>
  <c r="AH96" i="46"/>
  <c r="J96" i="46" s="1"/>
  <c r="AS97" i="116"/>
  <c r="AJ99" i="46"/>
  <c r="AD99" i="46" s="1"/>
  <c r="AW100" i="116"/>
  <c r="AI96" i="46"/>
  <c r="T96" i="46" s="1"/>
  <c r="AU97" i="116"/>
  <c r="AH98" i="46"/>
  <c r="J98" i="46" s="1"/>
  <c r="L98" i="46" s="1"/>
  <c r="AS99" i="116"/>
  <c r="C50" i="36"/>
  <c r="N52" i="97" s="1"/>
  <c r="D66" i="36"/>
  <c r="O68" i="97" s="1"/>
  <c r="E50" i="36"/>
  <c r="P52" i="97" s="1"/>
  <c r="AH122" i="46"/>
  <c r="AS134" i="116"/>
  <c r="AI107" i="46"/>
  <c r="AU119" i="116"/>
  <c r="AJ133" i="46"/>
  <c r="AD133" i="46" s="1"/>
  <c r="AW145" i="116"/>
  <c r="AI129" i="46"/>
  <c r="P129" i="46" s="1"/>
  <c r="AU141" i="116"/>
  <c r="AJ122" i="46"/>
  <c r="AW134" i="116"/>
  <c r="AI127" i="46"/>
  <c r="T127" i="46" s="1"/>
  <c r="AU139" i="116"/>
  <c r="AH107" i="46"/>
  <c r="AS119" i="116"/>
  <c r="AI143" i="46"/>
  <c r="AU155" i="116"/>
  <c r="AJ131" i="46"/>
  <c r="AW143" i="116"/>
  <c r="AH120" i="46"/>
  <c r="AS132" i="116"/>
  <c r="AJ143" i="46"/>
  <c r="AW155" i="116"/>
  <c r="AI131" i="46"/>
  <c r="AU143" i="116"/>
  <c r="AJ141" i="46"/>
  <c r="AD141" i="46" s="1"/>
  <c r="AW153" i="116"/>
  <c r="AJ127" i="46"/>
  <c r="AD127" i="46" s="1"/>
  <c r="AW139" i="116"/>
  <c r="AH143" i="46"/>
  <c r="AS155" i="116"/>
  <c r="AH131" i="46"/>
  <c r="J131" i="46" s="1"/>
  <c r="AS143" i="116"/>
  <c r="AH141" i="46"/>
  <c r="J141" i="46" s="1"/>
  <c r="AS153" i="116"/>
  <c r="AH127" i="46"/>
  <c r="AS139" i="116"/>
  <c r="AJ108" i="46"/>
  <c r="AW120" i="116"/>
  <c r="AI141" i="46"/>
  <c r="T141" i="46" s="1"/>
  <c r="AU153" i="116"/>
  <c r="AI130" i="46"/>
  <c r="P130" i="46" s="1"/>
  <c r="AU142" i="116"/>
  <c r="AJ124" i="46"/>
  <c r="Z124" i="46" s="1"/>
  <c r="AW136" i="116"/>
  <c r="AI138" i="46"/>
  <c r="AU150" i="116"/>
  <c r="AI108" i="46"/>
  <c r="AU120" i="116"/>
  <c r="AI135" i="46"/>
  <c r="T135" i="46" s="1"/>
  <c r="AU147" i="116"/>
  <c r="AH137" i="46"/>
  <c r="F137" i="46" s="1"/>
  <c r="AS149" i="116"/>
  <c r="AH130" i="46"/>
  <c r="AS142" i="116"/>
  <c r="AH124" i="46"/>
  <c r="F124" i="46" s="1"/>
  <c r="AS136" i="116"/>
  <c r="AI128" i="46"/>
  <c r="T128" i="46" s="1"/>
  <c r="AU140" i="116"/>
  <c r="AH138" i="46"/>
  <c r="AS150" i="116"/>
  <c r="AH144" i="46"/>
  <c r="AS156" i="116"/>
  <c r="AH108" i="46"/>
  <c r="AS120" i="116"/>
  <c r="AH135" i="46"/>
  <c r="AS147" i="116"/>
  <c r="AI136" i="46"/>
  <c r="T136" i="46" s="1"/>
  <c r="AU148" i="116"/>
  <c r="AI113" i="46"/>
  <c r="AU125" i="116"/>
  <c r="AJ120" i="46"/>
  <c r="AW132" i="116"/>
  <c r="AH133" i="46"/>
  <c r="AS145" i="116"/>
  <c r="AI137" i="46"/>
  <c r="AU149" i="116"/>
  <c r="AJ130" i="46"/>
  <c r="Z130" i="46" s="1"/>
  <c r="AW142" i="116"/>
  <c r="AH129" i="46"/>
  <c r="AS141" i="116"/>
  <c r="AI124" i="46"/>
  <c r="P124" i="46" s="1"/>
  <c r="AU136" i="116"/>
  <c r="AJ128" i="46"/>
  <c r="AD128" i="46" s="1"/>
  <c r="AW140" i="116"/>
  <c r="AJ138" i="46"/>
  <c r="AW150" i="116"/>
  <c r="AI144" i="46"/>
  <c r="T144" i="46" s="1"/>
  <c r="AU156" i="116"/>
  <c r="AJ135" i="46"/>
  <c r="AD135" i="46" s="1"/>
  <c r="AW147" i="116"/>
  <c r="AH136" i="46"/>
  <c r="AS148" i="116"/>
  <c r="AH113" i="46"/>
  <c r="AS125" i="116"/>
  <c r="AI122" i="46"/>
  <c r="AU134" i="116"/>
  <c r="AI120" i="46"/>
  <c r="AU132" i="116"/>
  <c r="AJ107" i="46"/>
  <c r="AW119" i="116"/>
  <c r="AI133" i="46"/>
  <c r="T133" i="46" s="1"/>
  <c r="AU145" i="116"/>
  <c r="AJ137" i="46"/>
  <c r="AW149" i="116"/>
  <c r="AJ129" i="46"/>
  <c r="Z129" i="46" s="1"/>
  <c r="AW141" i="116"/>
  <c r="AH128" i="46"/>
  <c r="AS140" i="116"/>
  <c r="AJ144" i="46"/>
  <c r="AD144" i="46" s="1"/>
  <c r="AW156" i="116"/>
  <c r="AJ136" i="46"/>
  <c r="AD136" i="46" s="1"/>
  <c r="AW148" i="116"/>
  <c r="AJ113" i="46"/>
  <c r="AW125" i="116"/>
  <c r="AJ75" i="46"/>
  <c r="AD75" i="46" s="1"/>
  <c r="AW76" i="116"/>
  <c r="AJ6" i="46"/>
  <c r="AW6" i="116"/>
  <c r="AI53" i="46"/>
  <c r="AU54" i="116"/>
  <c r="AI63" i="46"/>
  <c r="AU64" i="116"/>
  <c r="AH23" i="46"/>
  <c r="F23" i="46" s="1"/>
  <c r="H23" i="46" s="1"/>
  <c r="AS24" i="116"/>
  <c r="AJ37" i="46"/>
  <c r="AW38" i="116"/>
  <c r="AJ65" i="46"/>
  <c r="Z65" i="46" s="1"/>
  <c r="AW66" i="116"/>
  <c r="AJ61" i="46"/>
  <c r="AW62" i="116"/>
  <c r="AJ25" i="46"/>
  <c r="AD25" i="46" s="1"/>
  <c r="AW26" i="116"/>
  <c r="AI46" i="46"/>
  <c r="P46" i="46" s="1"/>
  <c r="AU47" i="116"/>
  <c r="AJ13" i="46"/>
  <c r="AD13" i="46" s="1"/>
  <c r="AW13" i="116"/>
  <c r="AI83" i="46"/>
  <c r="P83" i="46" s="1"/>
  <c r="AU84" i="116"/>
  <c r="AJ64" i="46"/>
  <c r="Z64" i="46" s="1"/>
  <c r="AW65" i="116"/>
  <c r="AJ28" i="46"/>
  <c r="AD28" i="46" s="1"/>
  <c r="AW29" i="116"/>
  <c r="AI18" i="46"/>
  <c r="P18" i="46" s="1"/>
  <c r="AU18" i="116"/>
  <c r="AH40" i="46"/>
  <c r="J40" i="46" s="1"/>
  <c r="L40" i="46" s="1"/>
  <c r="AS41" i="116"/>
  <c r="AH22" i="46"/>
  <c r="AS23" i="116"/>
  <c r="AI41" i="46"/>
  <c r="AU42" i="116"/>
  <c r="AH44" i="46"/>
  <c r="AS45" i="116"/>
  <c r="AH26" i="46"/>
  <c r="AS27" i="116"/>
  <c r="AH52" i="46"/>
  <c r="AS53" i="116"/>
  <c r="AI75" i="46"/>
  <c r="T75" i="46" s="1"/>
  <c r="AU76" i="116"/>
  <c r="AI6" i="46"/>
  <c r="AU6" i="116"/>
  <c r="AJ93" i="46"/>
  <c r="AW94" i="116"/>
  <c r="AH53" i="46"/>
  <c r="AS54" i="116"/>
  <c r="AH63" i="46"/>
  <c r="AS64" i="116"/>
  <c r="AH11" i="46"/>
  <c r="J11" i="46" s="1"/>
  <c r="L11" i="46" s="1"/>
  <c r="AS11" i="116"/>
  <c r="AI37" i="46"/>
  <c r="AU38" i="116"/>
  <c r="AH81" i="46"/>
  <c r="AS82" i="116"/>
  <c r="AI65" i="46"/>
  <c r="P65" i="46" s="1"/>
  <c r="AU66" i="116"/>
  <c r="AH73" i="46"/>
  <c r="AS74" i="116"/>
  <c r="AI25" i="46"/>
  <c r="T25" i="46" s="1"/>
  <c r="AU26" i="116"/>
  <c r="AJ46" i="46"/>
  <c r="Z46" i="46" s="1"/>
  <c r="AW47" i="116"/>
  <c r="AJ49" i="46"/>
  <c r="AD49" i="46" s="1"/>
  <c r="AW50" i="116"/>
  <c r="AH83" i="46"/>
  <c r="AS84" i="116"/>
  <c r="AI7" i="46"/>
  <c r="P7" i="46" s="1"/>
  <c r="AU7" i="116"/>
  <c r="AI28" i="46"/>
  <c r="T28" i="46" s="1"/>
  <c r="AU29" i="116"/>
  <c r="AH78" i="46"/>
  <c r="AS79" i="116"/>
  <c r="AJ40" i="46"/>
  <c r="AD40" i="46" s="1"/>
  <c r="AW41" i="116"/>
  <c r="AJ22" i="46"/>
  <c r="AW23" i="116"/>
  <c r="AI92" i="46"/>
  <c r="AU93" i="116"/>
  <c r="AJ44" i="46"/>
  <c r="Z44" i="46" s="1"/>
  <c r="AW45" i="116"/>
  <c r="AI26" i="46"/>
  <c r="T26" i="46" s="1"/>
  <c r="AU27" i="116"/>
  <c r="AH75" i="46"/>
  <c r="J75" i="46" s="1"/>
  <c r="AS76" i="116"/>
  <c r="AH19" i="46"/>
  <c r="AS19" i="116"/>
  <c r="AH6" i="46"/>
  <c r="J6" i="46" s="1"/>
  <c r="L6" i="46" s="1"/>
  <c r="AS6" i="116"/>
  <c r="AI93" i="46"/>
  <c r="AU94" i="116"/>
  <c r="AJ63" i="46"/>
  <c r="AW64" i="116"/>
  <c r="AJ11" i="46"/>
  <c r="AW11" i="116"/>
  <c r="AJ66" i="46"/>
  <c r="Z66" i="46" s="1"/>
  <c r="AW67" i="116"/>
  <c r="AI81" i="46"/>
  <c r="AU82" i="116"/>
  <c r="AH20" i="46"/>
  <c r="J20" i="46" s="1"/>
  <c r="L20" i="46" s="1"/>
  <c r="AS20" i="116"/>
  <c r="AJ73" i="46"/>
  <c r="AW74" i="116"/>
  <c r="AI77" i="46"/>
  <c r="AU78" i="116"/>
  <c r="AH46" i="46"/>
  <c r="AS47" i="116"/>
  <c r="AI49" i="46"/>
  <c r="T49" i="46" s="1"/>
  <c r="AU50" i="116"/>
  <c r="AH38" i="46"/>
  <c r="F38" i="46" s="1"/>
  <c r="H38" i="46" s="1"/>
  <c r="AS39" i="116"/>
  <c r="AH7" i="46"/>
  <c r="AS7" i="116"/>
  <c r="AI78" i="46"/>
  <c r="AU79" i="116"/>
  <c r="AJ59" i="46"/>
  <c r="AW60" i="116"/>
  <c r="AI22" i="46"/>
  <c r="AU23" i="116"/>
  <c r="AH92" i="46"/>
  <c r="J92" i="46" s="1"/>
  <c r="AS93" i="116"/>
  <c r="AJ39" i="46"/>
  <c r="AW40" i="116"/>
  <c r="AJ26" i="46"/>
  <c r="AD26" i="46" s="1"/>
  <c r="AW27" i="116"/>
  <c r="AJ19" i="46"/>
  <c r="Z19" i="46" s="1"/>
  <c r="AW19" i="116"/>
  <c r="AH15" i="46"/>
  <c r="AS15" i="116"/>
  <c r="AH93" i="46"/>
  <c r="AS94" i="116"/>
  <c r="AJ90" i="46"/>
  <c r="AW91" i="116"/>
  <c r="AI11" i="46"/>
  <c r="AU11" i="116"/>
  <c r="AI66" i="46"/>
  <c r="P66" i="46" s="1"/>
  <c r="AU67" i="116"/>
  <c r="AH27" i="46"/>
  <c r="AS28" i="116"/>
  <c r="AJ81" i="46"/>
  <c r="AW82" i="116"/>
  <c r="AI20" i="46"/>
  <c r="T20" i="46" s="1"/>
  <c r="AU20" i="116"/>
  <c r="AI73" i="46"/>
  <c r="AU74" i="116"/>
  <c r="AH77" i="46"/>
  <c r="AS78" i="116"/>
  <c r="AH50" i="46"/>
  <c r="J50" i="46" s="1"/>
  <c r="L50" i="46" s="1"/>
  <c r="AS51" i="116"/>
  <c r="AH49" i="46"/>
  <c r="J49" i="46" s="1"/>
  <c r="AS50" i="116"/>
  <c r="AJ38" i="46"/>
  <c r="AW39" i="116"/>
  <c r="AI47" i="46"/>
  <c r="AU48" i="116"/>
  <c r="AJ7" i="46"/>
  <c r="Z7" i="46" s="1"/>
  <c r="AW7" i="116"/>
  <c r="AJ78" i="46"/>
  <c r="AW79" i="116"/>
  <c r="AI59" i="46"/>
  <c r="AU60" i="116"/>
  <c r="AI14" i="46"/>
  <c r="P14" i="46" s="1"/>
  <c r="AU14" i="116"/>
  <c r="AJ92" i="46"/>
  <c r="AW93" i="116"/>
  <c r="AI39" i="46"/>
  <c r="AU40" i="116"/>
  <c r="AI71" i="46"/>
  <c r="T71" i="46" s="1"/>
  <c r="AU72" i="116"/>
  <c r="AI67" i="46"/>
  <c r="P67" i="46" s="1"/>
  <c r="AU68" i="116"/>
  <c r="AI19" i="46"/>
  <c r="P19" i="46" s="1"/>
  <c r="AU19" i="116"/>
  <c r="AJ15" i="46"/>
  <c r="AW15" i="116"/>
  <c r="AJ60" i="46"/>
  <c r="AW61" i="116"/>
  <c r="AI90" i="46"/>
  <c r="AU91" i="116"/>
  <c r="AH66" i="46"/>
  <c r="F66" i="46" s="1"/>
  <c r="H66" i="46" s="1"/>
  <c r="AS67" i="116"/>
  <c r="AI27" i="46"/>
  <c r="AU28" i="116"/>
  <c r="AI29" i="46"/>
  <c r="AU30" i="116"/>
  <c r="AJ20" i="46"/>
  <c r="AD20" i="46" s="1"/>
  <c r="AW20" i="116"/>
  <c r="AJ77" i="46"/>
  <c r="AW78" i="116"/>
  <c r="AJ50" i="46"/>
  <c r="AD50" i="46" s="1"/>
  <c r="AW51" i="116"/>
  <c r="AI38" i="46"/>
  <c r="AU39" i="116"/>
  <c r="AH47" i="46"/>
  <c r="AS48" i="116"/>
  <c r="AI74" i="46"/>
  <c r="T74" i="46" s="1"/>
  <c r="AU75" i="116"/>
  <c r="AH59" i="46"/>
  <c r="AS60" i="116"/>
  <c r="AJ14" i="46"/>
  <c r="Z14" i="46" s="1"/>
  <c r="AW14" i="116"/>
  <c r="AH39" i="46"/>
  <c r="F39" i="46" s="1"/>
  <c r="AS40" i="116"/>
  <c r="AH71" i="46"/>
  <c r="AS72" i="116"/>
  <c r="AH48" i="46"/>
  <c r="AS49" i="116"/>
  <c r="AJ67" i="46"/>
  <c r="Z67" i="46" s="1"/>
  <c r="AW68" i="116"/>
  <c r="AI82" i="46"/>
  <c r="AU83" i="116"/>
  <c r="AI15" i="46"/>
  <c r="AU15" i="116"/>
  <c r="AI60" i="46"/>
  <c r="AU61" i="116"/>
  <c r="AH90" i="46"/>
  <c r="AS91" i="116"/>
  <c r="AI36" i="46"/>
  <c r="T36" i="46" s="1"/>
  <c r="AU37" i="116"/>
  <c r="AJ27" i="46"/>
  <c r="AW28" i="116"/>
  <c r="AH29" i="46"/>
  <c r="AS30" i="116"/>
  <c r="AJ69" i="46"/>
  <c r="AW70" i="116"/>
  <c r="AI50" i="46"/>
  <c r="T50" i="46" s="1"/>
  <c r="AU51" i="116"/>
  <c r="AJ47" i="46"/>
  <c r="AW48" i="116"/>
  <c r="AJ74" i="46"/>
  <c r="AD74" i="46" s="1"/>
  <c r="AW75" i="116"/>
  <c r="AH14" i="46"/>
  <c r="F14" i="46" s="1"/>
  <c r="AS14" i="116"/>
  <c r="AJ71" i="46"/>
  <c r="AD71" i="46" s="1"/>
  <c r="AW72" i="116"/>
  <c r="AJ48" i="46"/>
  <c r="AD48" i="46" s="1"/>
  <c r="AW49" i="116"/>
  <c r="AH67" i="46"/>
  <c r="AS68" i="116"/>
  <c r="AJ82" i="46"/>
  <c r="AW83" i="116"/>
  <c r="AH60" i="46"/>
  <c r="AS61" i="116"/>
  <c r="AJ23" i="46"/>
  <c r="AW24" i="116"/>
  <c r="AH36" i="46"/>
  <c r="AS37" i="116"/>
  <c r="AJ29" i="46"/>
  <c r="AW30" i="116"/>
  <c r="AH69" i="46"/>
  <c r="AS70" i="116"/>
  <c r="AI61" i="46"/>
  <c r="AU62" i="116"/>
  <c r="AI13" i="46"/>
  <c r="T13" i="46" s="1"/>
  <c r="AU13" i="116"/>
  <c r="AI64" i="46"/>
  <c r="P64" i="46" s="1"/>
  <c r="AU65" i="116"/>
  <c r="AH74" i="46"/>
  <c r="AS75" i="116"/>
  <c r="AH18" i="46"/>
  <c r="AS18" i="116"/>
  <c r="AJ41" i="46"/>
  <c r="AW42" i="116"/>
  <c r="AJ52" i="46"/>
  <c r="AW53" i="116"/>
  <c r="AI48" i="46"/>
  <c r="T48" i="46" s="1"/>
  <c r="AU49" i="116"/>
  <c r="AH82" i="46"/>
  <c r="AS83" i="116"/>
  <c r="AJ53" i="46"/>
  <c r="AW54" i="116"/>
  <c r="AI23" i="46"/>
  <c r="AU24" i="116"/>
  <c r="AH37" i="46"/>
  <c r="AS38" i="116"/>
  <c r="AJ36" i="46"/>
  <c r="AD36" i="46" s="1"/>
  <c r="AW37" i="116"/>
  <c r="AH65" i="46"/>
  <c r="F65" i="46" s="1"/>
  <c r="H65" i="46" s="1"/>
  <c r="AS66" i="116"/>
  <c r="AI69" i="46"/>
  <c r="AU70" i="116"/>
  <c r="AH61" i="46"/>
  <c r="AS62" i="116"/>
  <c r="AH25" i="46"/>
  <c r="AS26" i="116"/>
  <c r="AH13" i="46"/>
  <c r="AS13" i="116"/>
  <c r="AJ83" i="46"/>
  <c r="Z83" i="46" s="1"/>
  <c r="AW84" i="116"/>
  <c r="AH64" i="46"/>
  <c r="AS65" i="116"/>
  <c r="AH28" i="46"/>
  <c r="J28" i="46" s="1"/>
  <c r="L28" i="46" s="1"/>
  <c r="AS29" i="116"/>
  <c r="AJ18" i="46"/>
  <c r="Z18" i="46" s="1"/>
  <c r="AW18" i="116"/>
  <c r="AI40" i="46"/>
  <c r="T40" i="46" s="1"/>
  <c r="AU41" i="116"/>
  <c r="AH41" i="46"/>
  <c r="AS42" i="116"/>
  <c r="AI44" i="46"/>
  <c r="P44" i="46" s="1"/>
  <c r="AU45" i="116"/>
  <c r="AI52" i="46"/>
  <c r="AU53" i="116"/>
  <c r="AI119" i="46"/>
  <c r="AU131" i="116"/>
  <c r="AJ119" i="46"/>
  <c r="AW131" i="116"/>
  <c r="AH119" i="46"/>
  <c r="AS131" i="116"/>
  <c r="L76" i="24"/>
  <c r="G97" i="17"/>
  <c r="E98" i="98" s="1"/>
  <c r="J98" i="98"/>
  <c r="AF96" i="120" s="1"/>
  <c r="D97" i="17"/>
  <c r="C98" i="98" s="1"/>
  <c r="E86" i="36"/>
  <c r="P88" i="97" s="1"/>
  <c r="C86" i="36"/>
  <c r="J74" i="97"/>
  <c r="Q9" i="46"/>
  <c r="R9" i="46" s="1"/>
  <c r="E24" i="36"/>
  <c r="E54" i="36"/>
  <c r="P56" i="97" s="1"/>
  <c r="D25" i="36"/>
  <c r="C54" i="36"/>
  <c r="T43" i="24"/>
  <c r="R43" i="24"/>
  <c r="T99" i="24"/>
  <c r="R99" i="24"/>
  <c r="R56" i="24"/>
  <c r="T145" i="24"/>
  <c r="AE132" i="46"/>
  <c r="S19" i="24"/>
  <c r="S10" i="24"/>
  <c r="J108" i="46"/>
  <c r="L108" i="46" s="1"/>
  <c r="D104" i="97" s="1"/>
  <c r="S51" i="24"/>
  <c r="V42" i="52"/>
  <c r="D6" i="36"/>
  <c r="C6" i="36"/>
  <c r="N7" i="97" s="1"/>
  <c r="R51" i="24"/>
  <c r="R145" i="24"/>
  <c r="J87" i="52"/>
  <c r="J89" i="52" s="1"/>
  <c r="K89" i="52" s="1"/>
  <c r="J42" i="52"/>
  <c r="E25" i="36"/>
  <c r="S42" i="52"/>
  <c r="E7" i="36"/>
  <c r="P8" i="97" s="1"/>
  <c r="C7" i="36"/>
  <c r="N8" i="97" s="1"/>
  <c r="R146" i="24"/>
  <c r="L106" i="15"/>
  <c r="J115" i="46"/>
  <c r="L115" i="46" s="1"/>
  <c r="D111" i="97" s="1"/>
  <c r="AF115" i="46"/>
  <c r="H111" i="97" s="1"/>
  <c r="P102" i="24"/>
  <c r="T146" i="24"/>
  <c r="D24" i="36"/>
  <c r="O25" i="97" s="1"/>
  <c r="D104" i="36"/>
  <c r="O106" i="97" s="1"/>
  <c r="C104" i="36"/>
  <c r="N106" i="97" s="1"/>
  <c r="AX103" i="24"/>
  <c r="R103" i="24" s="1"/>
  <c r="Y54" i="24"/>
  <c r="J52" i="97"/>
  <c r="V33" i="46"/>
  <c r="I103" i="82"/>
  <c r="I105" i="82"/>
  <c r="D138" i="36"/>
  <c r="O140" i="97" s="1"/>
  <c r="C138" i="36"/>
  <c r="N140" i="97" s="1"/>
  <c r="D98" i="36"/>
  <c r="C98" i="36"/>
  <c r="H102" i="15"/>
  <c r="C135" i="36"/>
  <c r="N137" i="97" s="1"/>
  <c r="E135" i="36"/>
  <c r="P137" i="97" s="1"/>
  <c r="C102" i="36"/>
  <c r="N104" i="97" s="1"/>
  <c r="E102" i="15"/>
  <c r="D102" i="36"/>
  <c r="O104" i="97" s="1"/>
  <c r="E101" i="15"/>
  <c r="H101" i="15"/>
  <c r="T56" i="24"/>
  <c r="R93" i="46"/>
  <c r="AA90" i="46"/>
  <c r="AB90" i="46" s="1"/>
  <c r="S126" i="24"/>
  <c r="S49" i="24"/>
  <c r="S111" i="24"/>
  <c r="S134" i="24"/>
  <c r="S17" i="24"/>
  <c r="S70" i="24"/>
  <c r="S40" i="24"/>
  <c r="S50" i="24"/>
  <c r="S102" i="24"/>
  <c r="S25" i="24"/>
  <c r="S9" i="24"/>
  <c r="S61" i="24"/>
  <c r="S45" i="24"/>
  <c r="S58" i="24"/>
  <c r="S110" i="24"/>
  <c r="S36" i="24"/>
  <c r="S138" i="24"/>
  <c r="S130" i="24"/>
  <c r="S42" i="24"/>
  <c r="S74" i="24"/>
  <c r="S41" i="24"/>
  <c r="S142" i="24"/>
  <c r="S139" i="24"/>
  <c r="S122" i="24"/>
  <c r="S141" i="24"/>
  <c r="S75" i="24"/>
  <c r="S64" i="24"/>
  <c r="S30" i="24"/>
  <c r="S22" i="24"/>
  <c r="S54" i="24"/>
  <c r="S38" i="24"/>
  <c r="S24" i="24"/>
  <c r="S132" i="24"/>
  <c r="S143" i="24"/>
  <c r="S128" i="24"/>
  <c r="S15" i="24"/>
  <c r="T118" i="24"/>
  <c r="S118" i="24"/>
  <c r="S53" i="24"/>
  <c r="S55" i="24"/>
  <c r="S13" i="24"/>
  <c r="S60" i="24"/>
  <c r="S140" i="24"/>
  <c r="S113" i="24"/>
  <c r="S100" i="24"/>
  <c r="S62" i="24"/>
  <c r="S97" i="24"/>
  <c r="S59" i="24"/>
  <c r="S116" i="24"/>
  <c r="S11" i="24"/>
  <c r="S46" i="24"/>
  <c r="Y78" i="24"/>
  <c r="L96" i="98"/>
  <c r="AP94" i="120" s="1"/>
  <c r="C39" i="36"/>
  <c r="L106" i="98"/>
  <c r="AP109" i="120" s="1"/>
  <c r="AV109" i="120" s="1"/>
  <c r="AY109" i="120" s="1"/>
  <c r="C130" i="36"/>
  <c r="N132" i="97" s="1"/>
  <c r="D132" i="36"/>
  <c r="O134" i="97" s="1"/>
  <c r="M112" i="98"/>
  <c r="AS115" i="120" s="1"/>
  <c r="D113" i="36"/>
  <c r="O115" i="97" s="1"/>
  <c r="N109" i="15"/>
  <c r="G109" i="15" s="1"/>
  <c r="L108" i="82" s="1"/>
  <c r="E132" i="36"/>
  <c r="P134" i="97" s="1"/>
  <c r="D127" i="17"/>
  <c r="C123" i="98" s="1"/>
  <c r="L135" i="82"/>
  <c r="C35" i="36"/>
  <c r="N37" i="97" s="1"/>
  <c r="D130" i="36"/>
  <c r="O132" i="97" s="1"/>
  <c r="C131" i="36"/>
  <c r="N133" i="97" s="1"/>
  <c r="D137" i="36"/>
  <c r="O139" i="97" s="1"/>
  <c r="E35" i="36"/>
  <c r="P37" i="97" s="1"/>
  <c r="D101" i="17"/>
  <c r="M120" i="98"/>
  <c r="AS123" i="120" s="1"/>
  <c r="C124" i="36"/>
  <c r="N126" i="97" s="1"/>
  <c r="E128" i="36"/>
  <c r="P130" i="97" s="1"/>
  <c r="D124" i="36"/>
  <c r="O126" i="97" s="1"/>
  <c r="D128" i="36"/>
  <c r="O130" i="97" s="1"/>
  <c r="L121" i="98"/>
  <c r="AP124" i="120" s="1"/>
  <c r="K104" i="98"/>
  <c r="AI107" i="120" s="1"/>
  <c r="AL107" i="120" s="1"/>
  <c r="AO107" i="120" s="1"/>
  <c r="E101" i="17"/>
  <c r="D102" i="98" s="1"/>
  <c r="E137" i="36"/>
  <c r="P139" i="97" s="1"/>
  <c r="L108" i="98"/>
  <c r="AP111" i="120" s="1"/>
  <c r="C125" i="36"/>
  <c r="N127" i="97" s="1"/>
  <c r="E125" i="36"/>
  <c r="P127" i="97" s="1"/>
  <c r="E26" i="36"/>
  <c r="G111" i="17"/>
  <c r="E107" i="98" s="1"/>
  <c r="D107" i="36"/>
  <c r="O109" i="97" s="1"/>
  <c r="L110" i="98"/>
  <c r="AP113" i="120" s="1"/>
  <c r="H111" i="17"/>
  <c r="F107" i="98" s="1"/>
  <c r="M102" i="98"/>
  <c r="AS100" i="120" s="1"/>
  <c r="M105" i="98"/>
  <c r="AS108" i="120" s="1"/>
  <c r="K43" i="98"/>
  <c r="AI41" i="120" s="1"/>
  <c r="AE39" i="46"/>
  <c r="K107" i="15"/>
  <c r="C107" i="15" s="1"/>
  <c r="J71" i="98"/>
  <c r="AF69" i="120" s="1"/>
  <c r="L9" i="46"/>
  <c r="G9" i="46"/>
  <c r="H9" i="46" s="1"/>
  <c r="AB98" i="46"/>
  <c r="L41" i="98"/>
  <c r="AP39" i="120" s="1"/>
  <c r="Y42" i="24"/>
  <c r="Y120" i="24"/>
  <c r="Y124" i="24"/>
  <c r="Y137" i="24"/>
  <c r="Y61" i="24"/>
  <c r="Y118" i="24"/>
  <c r="Y47" i="24"/>
  <c r="L101" i="46"/>
  <c r="D102" i="97" s="1"/>
  <c r="F101" i="120" s="1"/>
  <c r="H98" i="46"/>
  <c r="H82" i="15"/>
  <c r="L20" i="17"/>
  <c r="G20" i="17" s="1"/>
  <c r="E21" i="98" s="1"/>
  <c r="L21" i="98"/>
  <c r="AP18" i="120" s="1"/>
  <c r="AA17" i="46"/>
  <c r="AB17" i="46" s="1"/>
  <c r="V90" i="46"/>
  <c r="M39" i="24"/>
  <c r="N105" i="15"/>
  <c r="G105" i="15" s="1"/>
  <c r="L104" i="82" s="1"/>
  <c r="Q14" i="46"/>
  <c r="K111" i="98"/>
  <c r="AI114" i="120" s="1"/>
  <c r="AE90" i="46"/>
  <c r="AF90" i="46" s="1"/>
  <c r="AA14" i="46"/>
  <c r="E124" i="17"/>
  <c r="D120" i="98" s="1"/>
  <c r="K126" i="98"/>
  <c r="AI129" i="120" s="1"/>
  <c r="Q90" i="46"/>
  <c r="R90" i="46" s="1"/>
  <c r="G90" i="46"/>
  <c r="H90" i="46" s="1"/>
  <c r="D49" i="36"/>
  <c r="E20" i="36"/>
  <c r="P21" i="97" s="1"/>
  <c r="C101" i="36"/>
  <c r="N103" i="97" s="1"/>
  <c r="C121" i="36"/>
  <c r="N123" i="97" s="1"/>
  <c r="C20" i="36"/>
  <c r="E121" i="36"/>
  <c r="P123" i="97" s="1"/>
  <c r="D144" i="17"/>
  <c r="C140" i="98" s="1"/>
  <c r="H52" i="15"/>
  <c r="H69" i="15"/>
  <c r="E33" i="15"/>
  <c r="G70" i="46"/>
  <c r="H70" i="46" s="1"/>
  <c r="C70" i="46" s="1"/>
  <c r="D70" i="46" s="1"/>
  <c r="J140" i="98"/>
  <c r="AF143" i="120" s="1"/>
  <c r="AH143" i="120" s="1"/>
  <c r="V56" i="46"/>
  <c r="J105" i="98"/>
  <c r="AF108" i="120" s="1"/>
  <c r="J42" i="98"/>
  <c r="AF40" i="120" s="1"/>
  <c r="AA70" i="46"/>
  <c r="AB70" i="46" s="1"/>
  <c r="W70" i="46" s="1"/>
  <c r="X70" i="46" s="1"/>
  <c r="J121" i="98"/>
  <c r="AF124" i="120" s="1"/>
  <c r="L109" i="98"/>
  <c r="AP112" i="120" s="1"/>
  <c r="J101" i="98"/>
  <c r="AF99" i="120" s="1"/>
  <c r="Q56" i="46"/>
  <c r="R56" i="46" s="1"/>
  <c r="R132" i="24"/>
  <c r="R143" i="24"/>
  <c r="M34" i="24"/>
  <c r="T142" i="24"/>
  <c r="L56" i="24"/>
  <c r="AX135" i="24"/>
  <c r="R135" i="24" s="1"/>
  <c r="AB82" i="46"/>
  <c r="AA9" i="46"/>
  <c r="AB9" i="46" s="1"/>
  <c r="L100" i="98"/>
  <c r="AP98" i="120" s="1"/>
  <c r="AX136" i="24"/>
  <c r="K108" i="15"/>
  <c r="E128" i="15"/>
  <c r="K20" i="98"/>
  <c r="AI17" i="120" s="1"/>
  <c r="AE9" i="46"/>
  <c r="AF9" i="46" s="1"/>
  <c r="H135" i="15"/>
  <c r="H89" i="15"/>
  <c r="E138" i="15"/>
  <c r="H128" i="15"/>
  <c r="E133" i="36"/>
  <c r="P135" i="97" s="1"/>
  <c r="D101" i="36"/>
  <c r="O103" i="97" s="1"/>
  <c r="F141" i="17"/>
  <c r="C127" i="36"/>
  <c r="N129" i="97" s="1"/>
  <c r="E127" i="36"/>
  <c r="P129" i="97" s="1"/>
  <c r="E81" i="15"/>
  <c r="E34" i="15"/>
  <c r="E131" i="36"/>
  <c r="P133" i="97" s="1"/>
  <c r="C140" i="17"/>
  <c r="E89" i="15"/>
  <c r="H138" i="15"/>
  <c r="C133" i="36"/>
  <c r="N135" i="97" s="1"/>
  <c r="H46" i="15"/>
  <c r="E46" i="15"/>
  <c r="C133" i="17"/>
  <c r="K134" i="15"/>
  <c r="C134" i="15" s="1"/>
  <c r="E130" i="15"/>
  <c r="H81" i="15"/>
  <c r="H34" i="15"/>
  <c r="J135" i="98"/>
  <c r="AF138" i="120" s="1"/>
  <c r="F146" i="17"/>
  <c r="E29" i="36"/>
  <c r="P30" i="97" s="1"/>
  <c r="H96" i="15"/>
  <c r="H44" i="15"/>
  <c r="M95" i="15"/>
  <c r="C146" i="17"/>
  <c r="C29" i="36"/>
  <c r="N30" i="97" s="1"/>
  <c r="H141" i="15"/>
  <c r="E43" i="15"/>
  <c r="H77" i="15"/>
  <c r="F135" i="17"/>
  <c r="E56" i="15"/>
  <c r="H85" i="15"/>
  <c r="D129" i="36"/>
  <c r="O131" i="97" s="1"/>
  <c r="E57" i="15"/>
  <c r="E32" i="15"/>
  <c r="E59" i="15"/>
  <c r="H73" i="15"/>
  <c r="H58" i="15"/>
  <c r="H92" i="15"/>
  <c r="E95" i="15"/>
  <c r="H86" i="15"/>
  <c r="E36" i="15"/>
  <c r="E88" i="15"/>
  <c r="E55" i="15"/>
  <c r="D22" i="36"/>
  <c r="H87" i="15"/>
  <c r="H63" i="15"/>
  <c r="E141" i="15"/>
  <c r="E71" i="15"/>
  <c r="C135" i="98"/>
  <c r="Y50" i="24"/>
  <c r="Y66" i="24"/>
  <c r="F142" i="98"/>
  <c r="H142" i="98" s="1"/>
  <c r="M139" i="98"/>
  <c r="AS142" i="120" s="1"/>
  <c r="N138" i="15"/>
  <c r="E135" i="15"/>
  <c r="C141" i="17"/>
  <c r="J142" i="98"/>
  <c r="AF145" i="120" s="1"/>
  <c r="K141" i="15"/>
  <c r="L141" i="98"/>
  <c r="AP144" i="120" s="1"/>
  <c r="G145" i="17"/>
  <c r="M140" i="15"/>
  <c r="F140" i="15" s="1"/>
  <c r="K139" i="82" s="1"/>
  <c r="J132" i="98"/>
  <c r="AF135" i="120" s="1"/>
  <c r="AH135" i="120" s="1"/>
  <c r="K131" i="15"/>
  <c r="C131" i="15" s="1"/>
  <c r="I130" i="82" s="1"/>
  <c r="D136" i="17"/>
  <c r="C129" i="36"/>
  <c r="N131" i="97" s="1"/>
  <c r="C135" i="17"/>
  <c r="H56" i="15"/>
  <c r="M101" i="15"/>
  <c r="D23" i="36"/>
  <c r="O24" i="97" s="1"/>
  <c r="K127" i="98"/>
  <c r="AI130" i="120" s="1"/>
  <c r="L126" i="15"/>
  <c r="D126" i="15" s="1"/>
  <c r="J125" i="82" s="1"/>
  <c r="E131" i="17"/>
  <c r="D127" i="98" s="1"/>
  <c r="E136" i="15"/>
  <c r="E90" i="15"/>
  <c r="K138" i="15"/>
  <c r="J139" i="98"/>
  <c r="AF142" i="120" s="1"/>
  <c r="M141" i="15"/>
  <c r="L142" i="98"/>
  <c r="AP145" i="120" s="1"/>
  <c r="J141" i="98"/>
  <c r="AF144" i="120" s="1"/>
  <c r="D145" i="17"/>
  <c r="K140" i="15"/>
  <c r="C140" i="15" s="1"/>
  <c r="M131" i="15"/>
  <c r="F131" i="15" s="1"/>
  <c r="L132" i="98"/>
  <c r="AP135" i="120" s="1"/>
  <c r="AR135" i="120" s="1"/>
  <c r="G136" i="17"/>
  <c r="E77" i="15"/>
  <c r="L101" i="15"/>
  <c r="E23" i="36"/>
  <c r="P24" i="97" s="1"/>
  <c r="H55" i="15"/>
  <c r="N132" i="15"/>
  <c r="G132" i="15" s="1"/>
  <c r="H137" i="17"/>
  <c r="F133" i="98" s="1"/>
  <c r="M133" i="98"/>
  <c r="AS136" i="120" s="1"/>
  <c r="J137" i="98"/>
  <c r="AF140" i="120" s="1"/>
  <c r="AH140" i="120" s="1"/>
  <c r="K136" i="15"/>
  <c r="K123" i="15"/>
  <c r="C123" i="15" s="1"/>
  <c r="M126" i="15"/>
  <c r="F126" i="15" s="1"/>
  <c r="L127" i="98"/>
  <c r="AP130" i="120" s="1"/>
  <c r="G131" i="17"/>
  <c r="D103" i="36"/>
  <c r="O105" i="97" s="1"/>
  <c r="H90" i="15"/>
  <c r="E85" i="15"/>
  <c r="Y97" i="24"/>
  <c r="M140" i="98"/>
  <c r="AS143" i="120" s="1"/>
  <c r="N139" i="15"/>
  <c r="G139" i="15" s="1"/>
  <c r="H144" i="17"/>
  <c r="F140" i="98" s="1"/>
  <c r="M129" i="15"/>
  <c r="F129" i="15" s="1"/>
  <c r="L130" i="98"/>
  <c r="AP133" i="120" s="1"/>
  <c r="AR133" i="120" s="1"/>
  <c r="G134" i="17"/>
  <c r="L124" i="15"/>
  <c r="D124" i="15" s="1"/>
  <c r="M102" i="15"/>
  <c r="G139" i="17"/>
  <c r="L135" i="98"/>
  <c r="AP138" i="120" s="1"/>
  <c r="M134" i="15"/>
  <c r="F134" i="15" s="1"/>
  <c r="N135" i="15"/>
  <c r="M136" i="98"/>
  <c r="AS139" i="120" s="1"/>
  <c r="K119" i="15"/>
  <c r="J120" i="98"/>
  <c r="AF123" i="120" s="1"/>
  <c r="L132" i="15"/>
  <c r="D132" i="15" s="1"/>
  <c r="J131" i="82" s="1"/>
  <c r="K133" i="98"/>
  <c r="AI136" i="120" s="1"/>
  <c r="E137" i="17"/>
  <c r="D133" i="98" s="1"/>
  <c r="L137" i="98"/>
  <c r="AP140" i="120" s="1"/>
  <c r="AR140" i="120" s="1"/>
  <c r="M136" i="15"/>
  <c r="E22" i="36"/>
  <c r="P23" i="97" s="1"/>
  <c r="K126" i="15"/>
  <c r="C126" i="15" s="1"/>
  <c r="D131" i="17"/>
  <c r="J127" i="98"/>
  <c r="AF130" i="120" s="1"/>
  <c r="C103" i="36"/>
  <c r="N105" i="97" s="1"/>
  <c r="K99" i="15"/>
  <c r="C99" i="15" s="1"/>
  <c r="H136" i="15"/>
  <c r="H71" i="15"/>
  <c r="K140" i="98"/>
  <c r="AI143" i="120" s="1"/>
  <c r="L139" i="15"/>
  <c r="D139" i="15" s="1"/>
  <c r="E139" i="15" s="1"/>
  <c r="L129" i="15"/>
  <c r="D129" i="15" s="1"/>
  <c r="E134" i="17"/>
  <c r="D130" i="98" s="1"/>
  <c r="K130" i="98"/>
  <c r="AI133" i="120" s="1"/>
  <c r="N124" i="15"/>
  <c r="G124" i="15" s="1"/>
  <c r="H80" i="15"/>
  <c r="K135" i="98"/>
  <c r="AI138" i="120" s="1"/>
  <c r="L134" i="15"/>
  <c r="D134" i="15" s="1"/>
  <c r="L135" i="15"/>
  <c r="K136" i="98"/>
  <c r="AI139" i="120" s="1"/>
  <c r="M119" i="15"/>
  <c r="E44" i="15"/>
  <c r="C105" i="36"/>
  <c r="N107" i="97" s="1"/>
  <c r="M132" i="15"/>
  <c r="F132" i="15" s="1"/>
  <c r="K131" i="82" s="1"/>
  <c r="L133" i="98"/>
  <c r="AP136" i="120" s="1"/>
  <c r="AR136" i="120" s="1"/>
  <c r="G137" i="17"/>
  <c r="M137" i="98"/>
  <c r="AS140" i="120" s="1"/>
  <c r="N136" i="15"/>
  <c r="N123" i="15"/>
  <c r="G123" i="15" s="1"/>
  <c r="K131" i="98"/>
  <c r="AI134" i="120" s="1"/>
  <c r="L130" i="15"/>
  <c r="N128" i="15"/>
  <c r="M129" i="98"/>
  <c r="AS132" i="120" s="1"/>
  <c r="E87" i="15"/>
  <c r="E63" i="15"/>
  <c r="M58" i="52"/>
  <c r="Y140" i="24"/>
  <c r="M130" i="98"/>
  <c r="AS133" i="120" s="1"/>
  <c r="N129" i="15"/>
  <c r="G129" i="15" s="1"/>
  <c r="H134" i="17"/>
  <c r="F130" i="98" s="1"/>
  <c r="E92" i="15"/>
  <c r="K102" i="15"/>
  <c r="E80" i="15"/>
  <c r="H139" i="17"/>
  <c r="F135" i="98" s="1"/>
  <c r="M135" i="98"/>
  <c r="N134" i="15"/>
  <c r="G134" i="15" s="1"/>
  <c r="K135" i="15"/>
  <c r="J136" i="98"/>
  <c r="AF139" i="120" s="1"/>
  <c r="E96" i="15"/>
  <c r="H95" i="15"/>
  <c r="E86" i="15"/>
  <c r="H36" i="15"/>
  <c r="K137" i="15"/>
  <c r="C137" i="15" s="1"/>
  <c r="D142" i="17"/>
  <c r="J138" i="98"/>
  <c r="AF141" i="120" s="1"/>
  <c r="AH141" i="120" s="1"/>
  <c r="N125" i="15"/>
  <c r="G125" i="15" s="1"/>
  <c r="H35" i="15"/>
  <c r="F143" i="17"/>
  <c r="N120" i="15"/>
  <c r="G120" i="15" s="1"/>
  <c r="D105" i="36"/>
  <c r="O107" i="97" s="1"/>
  <c r="D137" i="17"/>
  <c r="J133" i="98"/>
  <c r="AF136" i="120" s="1"/>
  <c r="AH136" i="120" s="1"/>
  <c r="K132" i="15"/>
  <c r="C132" i="15" s="1"/>
  <c r="L136" i="15"/>
  <c r="K137" i="98"/>
  <c r="AI140" i="120" s="1"/>
  <c r="M131" i="98"/>
  <c r="AS134" i="120" s="1"/>
  <c r="N130" i="15"/>
  <c r="L129" i="98"/>
  <c r="AP132" i="120" s="1"/>
  <c r="M128" i="15"/>
  <c r="H59" i="15"/>
  <c r="D134" i="36"/>
  <c r="O136" i="97" s="1"/>
  <c r="D132" i="17"/>
  <c r="K127" i="15"/>
  <c r="C127" i="15" s="1"/>
  <c r="I126" i="82" s="1"/>
  <c r="J128" i="98"/>
  <c r="AF131" i="120" s="1"/>
  <c r="AH131" i="120" s="1"/>
  <c r="H138" i="17"/>
  <c r="F134" i="98" s="1"/>
  <c r="N133" i="15"/>
  <c r="G133" i="15" s="1"/>
  <c r="M134" i="98"/>
  <c r="AS137" i="120" s="1"/>
  <c r="F133" i="17"/>
  <c r="H88" i="15"/>
  <c r="I52" i="97"/>
  <c r="M139" i="15"/>
  <c r="F139" i="15" s="1"/>
  <c r="L140" i="98"/>
  <c r="AP143" i="120" s="1"/>
  <c r="AR143" i="120" s="1"/>
  <c r="G144" i="17"/>
  <c r="J130" i="98"/>
  <c r="AF133" i="120" s="1"/>
  <c r="AH133" i="120" s="1"/>
  <c r="D134" i="17"/>
  <c r="K129" i="15"/>
  <c r="C129" i="15" s="1"/>
  <c r="K124" i="15"/>
  <c r="C124" i="15" s="1"/>
  <c r="J125" i="98"/>
  <c r="AF128" i="120" s="1"/>
  <c r="M135" i="15"/>
  <c r="L136" i="98"/>
  <c r="AP139" i="120" s="1"/>
  <c r="L137" i="15"/>
  <c r="D137" i="15" s="1"/>
  <c r="K138" i="98"/>
  <c r="AI141" i="120" s="1"/>
  <c r="E142" i="17"/>
  <c r="D138" i="98" s="1"/>
  <c r="E52" i="15"/>
  <c r="C143" i="17"/>
  <c r="H57" i="15"/>
  <c r="H32" i="15"/>
  <c r="N121" i="15"/>
  <c r="K97" i="15"/>
  <c r="C97" i="15" s="1"/>
  <c r="E97" i="15" s="1"/>
  <c r="F140" i="17"/>
  <c r="L131" i="98"/>
  <c r="AP134" i="120" s="1"/>
  <c r="M130" i="15"/>
  <c r="K128" i="15"/>
  <c r="J129" i="98"/>
  <c r="AF132" i="120" s="1"/>
  <c r="E134" i="36"/>
  <c r="P136" i="97" s="1"/>
  <c r="M128" i="98"/>
  <c r="AS131" i="120" s="1"/>
  <c r="H132" i="17"/>
  <c r="F128" i="98" s="1"/>
  <c r="N127" i="15"/>
  <c r="G127" i="15" s="1"/>
  <c r="L126" i="82" s="1"/>
  <c r="M98" i="15"/>
  <c r="F98" i="15" s="1"/>
  <c r="L99" i="98"/>
  <c r="AP97" i="120" s="1"/>
  <c r="L133" i="15"/>
  <c r="D133" i="15" s="1"/>
  <c r="J132" i="82" s="1"/>
  <c r="E138" i="17"/>
  <c r="D134" i="98" s="1"/>
  <c r="K134" i="98"/>
  <c r="AI137" i="120" s="1"/>
  <c r="L122" i="15"/>
  <c r="E73" i="15"/>
  <c r="E58" i="15"/>
  <c r="M138" i="15"/>
  <c r="L139" i="98"/>
  <c r="AP142" i="120" s="1"/>
  <c r="E69" i="15"/>
  <c r="H33" i="15"/>
  <c r="M142" i="98"/>
  <c r="AS145" i="120" s="1"/>
  <c r="N141" i="15"/>
  <c r="H145" i="17"/>
  <c r="F141" i="98" s="1"/>
  <c r="M141" i="98"/>
  <c r="AS144" i="120" s="1"/>
  <c r="N140" i="15"/>
  <c r="G140" i="15" s="1"/>
  <c r="K132" i="98"/>
  <c r="AI135" i="120" s="1"/>
  <c r="E136" i="17"/>
  <c r="D132" i="98" s="1"/>
  <c r="L131" i="15"/>
  <c r="D131" i="15" s="1"/>
  <c r="H130" i="15"/>
  <c r="N137" i="15"/>
  <c r="G137" i="15" s="1"/>
  <c r="M138" i="98"/>
  <c r="AS141" i="120" s="1"/>
  <c r="H142" i="17"/>
  <c r="F138" i="98" s="1"/>
  <c r="K125" i="15"/>
  <c r="C125" i="15" s="1"/>
  <c r="H43" i="15"/>
  <c r="E35" i="15"/>
  <c r="L120" i="15"/>
  <c r="D120" i="15" s="1"/>
  <c r="J131" i="98"/>
  <c r="AF134" i="120" s="1"/>
  <c r="K130" i="15"/>
  <c r="K129" i="98"/>
  <c r="AI132" i="120" s="1"/>
  <c r="L128" i="15"/>
  <c r="E132" i="17"/>
  <c r="D128" i="98" s="1"/>
  <c r="L127" i="15"/>
  <c r="D127" i="15" s="1"/>
  <c r="K128" i="98"/>
  <c r="AI131" i="120" s="1"/>
  <c r="L134" i="98"/>
  <c r="AP137" i="120" s="1"/>
  <c r="G138" i="17"/>
  <c r="M133" i="15"/>
  <c r="F133" i="15" s="1"/>
  <c r="M122" i="15"/>
  <c r="J68" i="97"/>
  <c r="I68" i="97"/>
  <c r="L138" i="15"/>
  <c r="K139" i="98"/>
  <c r="AI142" i="120" s="1"/>
  <c r="L141" i="15"/>
  <c r="K142" i="98"/>
  <c r="AI145" i="120" s="1"/>
  <c r="E145" i="17"/>
  <c r="D141" i="98" s="1"/>
  <c r="L140" i="15"/>
  <c r="D140" i="15" s="1"/>
  <c r="K141" i="98"/>
  <c r="AI144" i="120" s="1"/>
  <c r="H136" i="17"/>
  <c r="F132" i="98" s="1"/>
  <c r="M132" i="98"/>
  <c r="AS135" i="120" s="1"/>
  <c r="N131" i="15"/>
  <c r="G131" i="15" s="1"/>
  <c r="L130" i="82" s="1"/>
  <c r="L138" i="98"/>
  <c r="AP141" i="120" s="1"/>
  <c r="AR141" i="120" s="1"/>
  <c r="M137" i="15"/>
  <c r="F137" i="15" s="1"/>
  <c r="G142" i="17"/>
  <c r="K121" i="15"/>
  <c r="M97" i="15"/>
  <c r="F97" i="15" s="1"/>
  <c r="N126" i="15"/>
  <c r="G126" i="15" s="1"/>
  <c r="L125" i="82" s="1"/>
  <c r="H131" i="17"/>
  <c r="F127" i="98" s="1"/>
  <c r="M127" i="98"/>
  <c r="AS130" i="120" s="1"/>
  <c r="L128" i="98"/>
  <c r="AP131" i="120" s="1"/>
  <c r="AR131" i="120" s="1"/>
  <c r="G132" i="17"/>
  <c r="M127" i="15"/>
  <c r="F127" i="15" s="1"/>
  <c r="K98" i="15"/>
  <c r="C98" i="15" s="1"/>
  <c r="D138" i="17"/>
  <c r="J134" i="98"/>
  <c r="AF137" i="120" s="1"/>
  <c r="K133" i="15"/>
  <c r="C133" i="15" s="1"/>
  <c r="E31" i="15"/>
  <c r="H91" i="15"/>
  <c r="E50" i="15"/>
  <c r="E84" i="15"/>
  <c r="H31" i="15"/>
  <c r="E39" i="15"/>
  <c r="H48" i="15"/>
  <c r="H49" i="15"/>
  <c r="E38" i="15"/>
  <c r="E60" i="15"/>
  <c r="H61" i="15"/>
  <c r="E93" i="15"/>
  <c r="H74" i="15"/>
  <c r="E65" i="15"/>
  <c r="H42" i="17"/>
  <c r="F43" i="98" s="1"/>
  <c r="N42" i="15"/>
  <c r="G42" i="15" s="1"/>
  <c r="H42" i="15" s="1"/>
  <c r="H88" i="17"/>
  <c r="F89" i="98" s="1"/>
  <c r="N88" i="15"/>
  <c r="L85" i="98"/>
  <c r="AP83" i="120" s="1"/>
  <c r="AR83" i="120" s="1"/>
  <c r="M84" i="15"/>
  <c r="F84" i="15" s="1"/>
  <c r="H84" i="15" s="1"/>
  <c r="M69" i="15"/>
  <c r="L39" i="98"/>
  <c r="AP37" i="120" s="1"/>
  <c r="AR37" i="120" s="1"/>
  <c r="M38" i="15"/>
  <c r="F38" i="15" s="1"/>
  <c r="H38" i="15" s="1"/>
  <c r="G90" i="17"/>
  <c r="E91" i="98" s="1"/>
  <c r="M90" i="15"/>
  <c r="D75" i="17"/>
  <c r="C76" i="98" s="1"/>
  <c r="K75" i="15"/>
  <c r="C75" i="15" s="1"/>
  <c r="E75" i="15" s="1"/>
  <c r="M103" i="15"/>
  <c r="F103" i="15" s="1"/>
  <c r="H103" i="15" s="1"/>
  <c r="K57" i="15"/>
  <c r="H79" i="15"/>
  <c r="L38" i="98"/>
  <c r="AP36" i="120" s="1"/>
  <c r="M37" i="15"/>
  <c r="F37" i="15" s="1"/>
  <c r="H37" i="15" s="1"/>
  <c r="L53" i="98"/>
  <c r="AP51" i="120" s="1"/>
  <c r="M52" i="15"/>
  <c r="N118" i="15"/>
  <c r="G118" i="15" s="1"/>
  <c r="J57" i="98"/>
  <c r="AF55" i="120" s="1"/>
  <c r="K56" i="15"/>
  <c r="K38" i="98"/>
  <c r="AI36" i="120" s="1"/>
  <c r="L37" i="15"/>
  <c r="D37" i="15" s="1"/>
  <c r="J36" i="82" s="1"/>
  <c r="G94" i="17"/>
  <c r="E95" i="98" s="1"/>
  <c r="M94" i="15"/>
  <c r="F94" i="15" s="1"/>
  <c r="K78" i="98"/>
  <c r="AI76" i="120" s="1"/>
  <c r="L77" i="15"/>
  <c r="E56" i="17"/>
  <c r="D57" i="98" s="1"/>
  <c r="L56" i="15"/>
  <c r="M33" i="98"/>
  <c r="AS30" i="120" s="1"/>
  <c r="N32" i="15"/>
  <c r="L67" i="98"/>
  <c r="AP65" i="120" s="1"/>
  <c r="M66" i="15"/>
  <c r="F66" i="15" s="1"/>
  <c r="H66" i="15" s="1"/>
  <c r="H78" i="17"/>
  <c r="F79" i="98" s="1"/>
  <c r="N78" i="15"/>
  <c r="G78" i="15" s="1"/>
  <c r="H78" i="15" s="1"/>
  <c r="E78" i="17"/>
  <c r="D79" i="98" s="1"/>
  <c r="L78" i="15"/>
  <c r="D78" i="15" s="1"/>
  <c r="J117" i="98"/>
  <c r="AF120" i="120" s="1"/>
  <c r="K116" i="15"/>
  <c r="C116" i="15" s="1"/>
  <c r="M95" i="98"/>
  <c r="AS93" i="120" s="1"/>
  <c r="N94" i="15"/>
  <c r="G94" i="15" s="1"/>
  <c r="D67" i="17"/>
  <c r="C68" i="98" s="1"/>
  <c r="K67" i="15"/>
  <c r="C67" i="15" s="1"/>
  <c r="E67" i="15" s="1"/>
  <c r="E71" i="17"/>
  <c r="D72" i="98" s="1"/>
  <c r="L71" i="15"/>
  <c r="F113" i="15"/>
  <c r="K112" i="82" s="1"/>
  <c r="M113" i="15"/>
  <c r="H40" i="17"/>
  <c r="F41" i="98" s="1"/>
  <c r="N40" i="15"/>
  <c r="G40" i="15" s="1"/>
  <c r="L39" i="82" s="1"/>
  <c r="L30" i="17"/>
  <c r="G30" i="17" s="1"/>
  <c r="E31" i="98" s="1"/>
  <c r="M30" i="15"/>
  <c r="F30" i="15" s="1"/>
  <c r="M46" i="98"/>
  <c r="AS44" i="120" s="1"/>
  <c r="N45" i="15"/>
  <c r="G45" i="15" s="1"/>
  <c r="L44" i="82" s="1"/>
  <c r="E54" i="17"/>
  <c r="D55" i="98" s="1"/>
  <c r="L54" i="15"/>
  <c r="D54" i="15" s="1"/>
  <c r="M105" i="15"/>
  <c r="F105" i="15" s="1"/>
  <c r="K104" i="82" s="1"/>
  <c r="J97" i="98"/>
  <c r="AF95" i="120" s="1"/>
  <c r="K96" i="15"/>
  <c r="L74" i="98"/>
  <c r="AP72" i="120" s="1"/>
  <c r="AR72" i="120" s="1"/>
  <c r="M73" i="15"/>
  <c r="D94" i="17"/>
  <c r="C95" i="98" s="1"/>
  <c r="K94" i="15"/>
  <c r="C94" i="15" s="1"/>
  <c r="L118" i="15"/>
  <c r="D118" i="15" s="1"/>
  <c r="J117" i="82" s="1"/>
  <c r="M92" i="15"/>
  <c r="M42" i="98"/>
  <c r="AS40" i="120" s="1"/>
  <c r="N41" i="15"/>
  <c r="G41" i="15" s="1"/>
  <c r="H41" i="15" s="1"/>
  <c r="H90" i="17"/>
  <c r="N90" i="15"/>
  <c r="D53" i="17"/>
  <c r="C54" i="98" s="1"/>
  <c r="K53" i="15"/>
  <c r="C53" i="15" s="1"/>
  <c r="E53" i="15" s="1"/>
  <c r="K111" i="15"/>
  <c r="M113" i="98"/>
  <c r="AS116" i="120" s="1"/>
  <c r="N112" i="15"/>
  <c r="H76" i="15"/>
  <c r="M76" i="98"/>
  <c r="AS74" i="120" s="1"/>
  <c r="N75" i="15"/>
  <c r="G75" i="15" s="1"/>
  <c r="H75" i="15" s="1"/>
  <c r="M115" i="15"/>
  <c r="F115" i="15" s="1"/>
  <c r="G67" i="17"/>
  <c r="E68" i="98" s="1"/>
  <c r="M67" i="15"/>
  <c r="F67" i="15" s="1"/>
  <c r="J35" i="98"/>
  <c r="AF33" i="120" s="1"/>
  <c r="AH33" i="120" s="1"/>
  <c r="K34" i="15"/>
  <c r="K105" i="15"/>
  <c r="C105" i="15" s="1"/>
  <c r="E91" i="15"/>
  <c r="H50" i="15"/>
  <c r="H47" i="17"/>
  <c r="F48" i="98" s="1"/>
  <c r="N47" i="15"/>
  <c r="G47" i="15" s="1"/>
  <c r="L46" i="82" s="1"/>
  <c r="D59" i="17"/>
  <c r="C60" i="98" s="1"/>
  <c r="K59" i="15"/>
  <c r="J65" i="98"/>
  <c r="AF63" i="120" s="1"/>
  <c r="K64" i="15"/>
  <c r="C64" i="15" s="1"/>
  <c r="I63" i="82" s="1"/>
  <c r="K113" i="98"/>
  <c r="AI116" i="120" s="1"/>
  <c r="L112" i="15"/>
  <c r="H33" i="17"/>
  <c r="F34" i="98" s="1"/>
  <c r="N33" i="15"/>
  <c r="E122" i="17"/>
  <c r="D118" i="98" s="1"/>
  <c r="L117" i="15"/>
  <c r="I129" i="82"/>
  <c r="E85" i="17"/>
  <c r="D86" i="98" s="1"/>
  <c r="L85" i="15"/>
  <c r="C117" i="15"/>
  <c r="I116" i="82" s="1"/>
  <c r="K117" i="15"/>
  <c r="G114" i="15"/>
  <c r="L113" i="82" s="1"/>
  <c r="N114" i="15"/>
  <c r="G117" i="15"/>
  <c r="L116" i="82" s="1"/>
  <c r="N117" i="15"/>
  <c r="D77" i="17"/>
  <c r="C78" i="98" s="1"/>
  <c r="K77" i="15"/>
  <c r="E76" i="17"/>
  <c r="D77" i="98" s="1"/>
  <c r="L76" i="15"/>
  <c r="D76" i="15" s="1"/>
  <c r="E76" i="15" s="1"/>
  <c r="K93" i="98"/>
  <c r="AI91" i="120" s="1"/>
  <c r="L92" i="15"/>
  <c r="L84" i="98"/>
  <c r="AP82" i="120" s="1"/>
  <c r="AR82" i="120" s="1"/>
  <c r="M83" i="15"/>
  <c r="F83" i="15" s="1"/>
  <c r="H86" i="17"/>
  <c r="F87" i="98" s="1"/>
  <c r="N86" i="15"/>
  <c r="G45" i="17"/>
  <c r="E46" i="98" s="1"/>
  <c r="M45" i="15"/>
  <c r="F45" i="15" s="1"/>
  <c r="L88" i="15"/>
  <c r="M104" i="15"/>
  <c r="F104" i="15" s="1"/>
  <c r="H81" i="17"/>
  <c r="F82" i="98" s="1"/>
  <c r="N81" i="15"/>
  <c r="N77" i="15"/>
  <c r="M45" i="98"/>
  <c r="AS43" i="120" s="1"/>
  <c r="N44" i="15"/>
  <c r="E45" i="15"/>
  <c r="K48" i="98"/>
  <c r="AI46" i="120" s="1"/>
  <c r="L47" i="15"/>
  <c r="D47" i="15" s="1"/>
  <c r="E47" i="15" s="1"/>
  <c r="E121" i="17"/>
  <c r="D117" i="98" s="1"/>
  <c r="L116" i="15"/>
  <c r="D116" i="15" s="1"/>
  <c r="K87" i="98"/>
  <c r="AI85" i="120" s="1"/>
  <c r="L86" i="15"/>
  <c r="J114" i="98"/>
  <c r="AF117" i="120" s="1"/>
  <c r="K113" i="15"/>
  <c r="H34" i="17"/>
  <c r="F35" i="98" s="1"/>
  <c r="N34" i="15"/>
  <c r="L82" i="98"/>
  <c r="AP80" i="120" s="1"/>
  <c r="AR80" i="120" s="1"/>
  <c r="M81" i="15"/>
  <c r="D86" i="17"/>
  <c r="C87" i="98" s="1"/>
  <c r="K86" i="15"/>
  <c r="E43" i="17"/>
  <c r="D44" i="98" s="1"/>
  <c r="L43" i="15"/>
  <c r="H83" i="17"/>
  <c r="F84" i="98" s="1"/>
  <c r="N83" i="15"/>
  <c r="G83" i="15" s="1"/>
  <c r="E70" i="15"/>
  <c r="J43" i="98"/>
  <c r="AF41" i="120" s="1"/>
  <c r="K42" i="15"/>
  <c r="C42" i="15" s="1"/>
  <c r="E42" i="15" s="1"/>
  <c r="K56" i="98"/>
  <c r="AI54" i="120" s="1"/>
  <c r="L55" i="15"/>
  <c r="E89" i="17"/>
  <c r="D90" i="98" s="1"/>
  <c r="L89" i="15"/>
  <c r="E51" i="15"/>
  <c r="D55" i="17"/>
  <c r="C56" i="98" s="1"/>
  <c r="K55" i="15"/>
  <c r="G89" i="17"/>
  <c r="E90" i="98" s="1"/>
  <c r="M89" i="15"/>
  <c r="E52" i="17"/>
  <c r="D53" i="98" s="1"/>
  <c r="L52" i="15"/>
  <c r="G123" i="17"/>
  <c r="E119" i="98" s="1"/>
  <c r="M118" i="15"/>
  <c r="F118" i="15" s="1"/>
  <c r="D85" i="17"/>
  <c r="C86" i="98" s="1"/>
  <c r="K85" i="15"/>
  <c r="H63" i="17"/>
  <c r="F64" i="98" s="1"/>
  <c r="N63" i="15"/>
  <c r="E61" i="15"/>
  <c r="M94" i="98"/>
  <c r="AS92" i="120" s="1"/>
  <c r="N93" i="15"/>
  <c r="G93" i="15" s="1"/>
  <c r="H93" i="15" s="1"/>
  <c r="M58" i="98"/>
  <c r="AS56" i="120" s="1"/>
  <c r="N57" i="15"/>
  <c r="H96" i="17"/>
  <c r="F97" i="98" s="1"/>
  <c r="N96" i="15"/>
  <c r="J73" i="98"/>
  <c r="AF71" i="120" s="1"/>
  <c r="AH71" i="120" s="1"/>
  <c r="K72" i="15"/>
  <c r="C72" i="15" s="1"/>
  <c r="K42" i="98"/>
  <c r="AI40" i="120" s="1"/>
  <c r="L41" i="15"/>
  <c r="D41" i="15" s="1"/>
  <c r="E41" i="15" s="1"/>
  <c r="G62" i="17"/>
  <c r="E63" i="98" s="1"/>
  <c r="M62" i="15"/>
  <c r="F62" i="15" s="1"/>
  <c r="H62" i="15" s="1"/>
  <c r="E63" i="17"/>
  <c r="D64" i="98" s="1"/>
  <c r="L63" i="15"/>
  <c r="D110" i="17"/>
  <c r="C106" i="98" s="1"/>
  <c r="H39" i="17"/>
  <c r="F40" i="98" s="1"/>
  <c r="N39" i="15"/>
  <c r="G39" i="15" s="1"/>
  <c r="L38" i="82" s="1"/>
  <c r="D52" i="17"/>
  <c r="C53" i="98" s="1"/>
  <c r="K52" i="15"/>
  <c r="L56" i="98"/>
  <c r="AP54" i="120" s="1"/>
  <c r="M55" i="15"/>
  <c r="M60" i="98"/>
  <c r="AS58" i="120" s="1"/>
  <c r="N59" i="15"/>
  <c r="H35" i="17"/>
  <c r="F36" i="98" s="1"/>
  <c r="N35" i="15"/>
  <c r="E33" i="17"/>
  <c r="D34" i="98" s="1"/>
  <c r="L33" i="15"/>
  <c r="G56" i="17"/>
  <c r="E57" i="98" s="1"/>
  <c r="M56" i="15"/>
  <c r="E64" i="17"/>
  <c r="D65" i="98" s="1"/>
  <c r="L64" i="15"/>
  <c r="D64" i="15" s="1"/>
  <c r="D54" i="17"/>
  <c r="C55" i="98" s="1"/>
  <c r="K54" i="15"/>
  <c r="C54" i="15" s="1"/>
  <c r="E49" i="17"/>
  <c r="D50" i="98" s="1"/>
  <c r="L49" i="15"/>
  <c r="D49" i="15" s="1"/>
  <c r="E49" i="15" s="1"/>
  <c r="M116" i="15"/>
  <c r="F116" i="15" s="1"/>
  <c r="N115" i="15"/>
  <c r="G115" i="15" s="1"/>
  <c r="L114" i="82" s="1"/>
  <c r="H71" i="17"/>
  <c r="F72" i="98" s="1"/>
  <c r="N71" i="15"/>
  <c r="J69" i="98"/>
  <c r="AF67" i="120" s="1"/>
  <c r="K68" i="15"/>
  <c r="C68" i="15" s="1"/>
  <c r="G34" i="17"/>
  <c r="E35" i="98" s="1"/>
  <c r="M34" i="15"/>
  <c r="L72" i="98"/>
  <c r="AP70" i="120" s="1"/>
  <c r="M71" i="15"/>
  <c r="J80" i="98"/>
  <c r="AF78" i="120" s="1"/>
  <c r="K79" i="15"/>
  <c r="C79" i="15" s="1"/>
  <c r="E79" i="15" s="1"/>
  <c r="G39" i="17"/>
  <c r="E40" i="98" s="1"/>
  <c r="M39" i="15"/>
  <c r="F39" i="15" s="1"/>
  <c r="L37" i="98"/>
  <c r="AP35" i="120" s="1"/>
  <c r="M36" i="15"/>
  <c r="E81" i="17"/>
  <c r="D82" i="98" s="1"/>
  <c r="L81" i="15"/>
  <c r="G33" i="17"/>
  <c r="E34" i="98" s="1"/>
  <c r="M33" i="15"/>
  <c r="E40" i="17"/>
  <c r="D41" i="98" s="1"/>
  <c r="L40" i="15"/>
  <c r="D40" i="15" s="1"/>
  <c r="E40" i="15" s="1"/>
  <c r="E48" i="15"/>
  <c r="L44" i="98"/>
  <c r="AP42" i="120" s="1"/>
  <c r="M43" i="15"/>
  <c r="L60" i="98"/>
  <c r="AP58" i="120" s="1"/>
  <c r="M59" i="15"/>
  <c r="K63" i="98"/>
  <c r="AI61" i="120" s="1"/>
  <c r="AK61" i="120" s="1"/>
  <c r="L62" i="15"/>
  <c r="D62" i="15" s="1"/>
  <c r="E62" i="15" s="1"/>
  <c r="G87" i="17"/>
  <c r="E88" i="98" s="1"/>
  <c r="M87" i="15"/>
  <c r="L36" i="98"/>
  <c r="AP34" i="120" s="1"/>
  <c r="M35" i="15"/>
  <c r="D82" i="17"/>
  <c r="C83" i="98" s="1"/>
  <c r="K82" i="15"/>
  <c r="C82" i="15" s="1"/>
  <c r="K118" i="15"/>
  <c r="C118" i="15" s="1"/>
  <c r="E72" i="17"/>
  <c r="D73" i="98" s="1"/>
  <c r="L72" i="15"/>
  <c r="D72" i="15" s="1"/>
  <c r="K33" i="98"/>
  <c r="AI30" i="120" s="1"/>
  <c r="L32" i="15"/>
  <c r="H53" i="17"/>
  <c r="F54" i="98" s="1"/>
  <c r="N53" i="15"/>
  <c r="G53" i="15" s="1"/>
  <c r="H53" i="15" s="1"/>
  <c r="M73" i="98"/>
  <c r="AS71" i="120" s="1"/>
  <c r="N72" i="15"/>
  <c r="G72" i="15" s="1"/>
  <c r="H60" i="17"/>
  <c r="F61" i="98" s="1"/>
  <c r="N60" i="15"/>
  <c r="G60" i="15" s="1"/>
  <c r="H60" i="15" s="1"/>
  <c r="M71" i="98"/>
  <c r="AS69" i="120" s="1"/>
  <c r="N70" i="15"/>
  <c r="G70" i="15" s="1"/>
  <c r="H70" i="15" s="1"/>
  <c r="G122" i="17"/>
  <c r="E118" i="98" s="1"/>
  <c r="M117" i="15"/>
  <c r="E74" i="15"/>
  <c r="M66" i="98"/>
  <c r="AS64" i="120" s="1"/>
  <c r="N65" i="15"/>
  <c r="G65" i="15" s="1"/>
  <c r="H65" i="15" s="1"/>
  <c r="K67" i="98"/>
  <c r="AI65" i="120" s="1"/>
  <c r="AK65" i="120" s="1"/>
  <c r="L66" i="15"/>
  <c r="D66" i="15" s="1"/>
  <c r="E66" i="15" s="1"/>
  <c r="J36" i="98"/>
  <c r="AF34" i="120" s="1"/>
  <c r="K35" i="15"/>
  <c r="K97" i="98"/>
  <c r="AI95" i="120" s="1"/>
  <c r="L96" i="15"/>
  <c r="J74" i="98"/>
  <c r="AF72" i="120" s="1"/>
  <c r="AH72" i="120" s="1"/>
  <c r="K73" i="15"/>
  <c r="D119" i="17"/>
  <c r="C115" i="98" s="1"/>
  <c r="K114" i="15"/>
  <c r="E82" i="17"/>
  <c r="D83" i="98" s="1"/>
  <c r="L82" i="15"/>
  <c r="D82" i="15" s="1"/>
  <c r="L73" i="98"/>
  <c r="AP71" i="120" s="1"/>
  <c r="AR71" i="120" s="1"/>
  <c r="M72" i="15"/>
  <c r="F72" i="15" s="1"/>
  <c r="K95" i="98"/>
  <c r="AI93" i="120" s="1"/>
  <c r="L94" i="15"/>
  <c r="D94" i="15" s="1"/>
  <c r="L52" i="98"/>
  <c r="AP50" i="120" s="1"/>
  <c r="M51" i="15"/>
  <c r="F51" i="15" s="1"/>
  <c r="H51" i="15" s="1"/>
  <c r="G96" i="17"/>
  <c r="E97" i="98" s="1"/>
  <c r="M96" i="15"/>
  <c r="M55" i="98"/>
  <c r="AS53" i="120" s="1"/>
  <c r="N54" i="15"/>
  <c r="G54" i="15" s="1"/>
  <c r="H54" i="15" s="1"/>
  <c r="K115" i="15"/>
  <c r="C115" i="15" s="1"/>
  <c r="I114" i="82" s="1"/>
  <c r="M86" i="98"/>
  <c r="AS84" i="120" s="1"/>
  <c r="AV84" i="120" s="1"/>
  <c r="AY84" i="120" s="1"/>
  <c r="N85" i="15"/>
  <c r="L64" i="98"/>
  <c r="AP62" i="120" s="1"/>
  <c r="M63" i="15"/>
  <c r="M47" i="98"/>
  <c r="AS45" i="120" s="1"/>
  <c r="N46" i="15"/>
  <c r="G88" i="17"/>
  <c r="E89" i="98" s="1"/>
  <c r="M88" i="15"/>
  <c r="H67" i="17"/>
  <c r="F68" i="98" s="1"/>
  <c r="N67" i="15"/>
  <c r="G67" i="15" s="1"/>
  <c r="J89" i="98"/>
  <c r="AF87" i="120" s="1"/>
  <c r="AH87" i="120" s="1"/>
  <c r="K88" i="15"/>
  <c r="D114" i="15"/>
  <c r="J113" i="82" s="1"/>
  <c r="L114" i="15"/>
  <c r="H43" i="17"/>
  <c r="F44" i="98" s="1"/>
  <c r="N43" i="15"/>
  <c r="J84" i="98"/>
  <c r="AF82" i="120" s="1"/>
  <c r="AH82" i="120" s="1"/>
  <c r="K83" i="15"/>
  <c r="C83" i="15" s="1"/>
  <c r="K84" i="98"/>
  <c r="AI82" i="120" s="1"/>
  <c r="L83" i="15"/>
  <c r="D83" i="15" s="1"/>
  <c r="D63" i="17"/>
  <c r="C64" i="98" s="1"/>
  <c r="K63" i="15"/>
  <c r="M100" i="15"/>
  <c r="F100" i="15" s="1"/>
  <c r="H100" i="15" s="1"/>
  <c r="E68" i="17"/>
  <c r="D69" i="98" s="1"/>
  <c r="L68" i="15"/>
  <c r="D68" i="15" s="1"/>
  <c r="M30" i="17"/>
  <c r="H30" i="17" s="1"/>
  <c r="F31" i="98" s="1"/>
  <c r="N30" i="15"/>
  <c r="G30" i="15" s="1"/>
  <c r="L29" i="82" s="1"/>
  <c r="L69" i="98"/>
  <c r="AP67" i="120" s="1"/>
  <c r="M68" i="15"/>
  <c r="F68" i="15" s="1"/>
  <c r="H68" i="15" s="1"/>
  <c r="J30" i="17"/>
  <c r="D30" i="17" s="1"/>
  <c r="C31" i="98" s="1"/>
  <c r="K30" i="15"/>
  <c r="C30" i="15" s="1"/>
  <c r="E30" i="15" s="1"/>
  <c r="K100" i="15"/>
  <c r="C100" i="15" s="1"/>
  <c r="K103" i="15"/>
  <c r="C103" i="15" s="1"/>
  <c r="L109" i="82"/>
  <c r="H137" i="98"/>
  <c r="H129" i="98"/>
  <c r="H139" i="98"/>
  <c r="H136" i="98"/>
  <c r="H131" i="98"/>
  <c r="C26" i="36"/>
  <c r="E118" i="36"/>
  <c r="P120" i="97" s="1"/>
  <c r="E115" i="36"/>
  <c r="P117" i="97" s="1"/>
  <c r="E95" i="36"/>
  <c r="P97" i="97" s="1"/>
  <c r="E39" i="36"/>
  <c r="P41" i="97" s="1"/>
  <c r="D95" i="36"/>
  <c r="Q57" i="46"/>
  <c r="R57" i="46" s="1"/>
  <c r="AA57" i="46"/>
  <c r="AB57" i="46" s="1"/>
  <c r="R111" i="46"/>
  <c r="E107" i="97" s="1"/>
  <c r="R115" i="46"/>
  <c r="E111" i="97" s="1"/>
  <c r="AV136" i="24"/>
  <c r="M136" i="24" s="1"/>
  <c r="L117" i="46"/>
  <c r="D113" i="97" s="1"/>
  <c r="Q127" i="46"/>
  <c r="R127" i="46" s="1"/>
  <c r="E123" i="97" s="1"/>
  <c r="R55" i="24"/>
  <c r="V132" i="46"/>
  <c r="AE57" i="46"/>
  <c r="AF57" i="46" s="1"/>
  <c r="R148" i="24"/>
  <c r="AE139" i="46"/>
  <c r="AF139" i="46" s="1"/>
  <c r="H135" i="97" s="1"/>
  <c r="M99" i="24"/>
  <c r="K39" i="24"/>
  <c r="AE14" i="46"/>
  <c r="AF14" i="46" s="1"/>
  <c r="G14" i="46"/>
  <c r="L14" i="46"/>
  <c r="M60" i="24"/>
  <c r="T148" i="24"/>
  <c r="H110" i="46"/>
  <c r="C106" i="97" s="1"/>
  <c r="T76" i="24"/>
  <c r="M69" i="24"/>
  <c r="R76" i="24"/>
  <c r="H87" i="46"/>
  <c r="T46" i="24"/>
  <c r="K69" i="24"/>
  <c r="L64" i="24"/>
  <c r="L34" i="24"/>
  <c r="AA127" i="46"/>
  <c r="AB127" i="46" s="1"/>
  <c r="G123" i="97" s="1"/>
  <c r="K64" i="24"/>
  <c r="G127" i="46"/>
  <c r="H127" i="46" s="1"/>
  <c r="C123" i="97" s="1"/>
  <c r="AE120" i="46"/>
  <c r="AF120" i="46" s="1"/>
  <c r="H116" i="97" s="1"/>
  <c r="AE117" i="46"/>
  <c r="AF117" i="46" s="1"/>
  <c r="H113" i="97" s="1"/>
  <c r="G39" i="46"/>
  <c r="Q39" i="46"/>
  <c r="AA139" i="46"/>
  <c r="AB139" i="46" s="1"/>
  <c r="G135" i="97" s="1"/>
  <c r="Q139" i="46"/>
  <c r="R139" i="46" s="1"/>
  <c r="E135" i="97" s="1"/>
  <c r="M104" i="24"/>
  <c r="H115" i="46"/>
  <c r="C111" i="97" s="1"/>
  <c r="R87" i="46"/>
  <c r="AA129" i="46"/>
  <c r="L143" i="24"/>
  <c r="G56" i="46"/>
  <c r="H56" i="46" s="1"/>
  <c r="AA56" i="46"/>
  <c r="AB56" i="46" s="1"/>
  <c r="K61" i="24"/>
  <c r="M55" i="24"/>
  <c r="H75" i="46"/>
  <c r="M61" i="24"/>
  <c r="H111" i="46"/>
  <c r="C107" i="97" s="1"/>
  <c r="K104" i="24"/>
  <c r="AB87" i="46"/>
  <c r="H112" i="46"/>
  <c r="C108" i="97" s="1"/>
  <c r="L55" i="24"/>
  <c r="M145" i="24"/>
  <c r="G36" i="46"/>
  <c r="H36" i="46" s="1"/>
  <c r="K143" i="24"/>
  <c r="K59" i="24"/>
  <c r="G129" i="46"/>
  <c r="M132" i="24"/>
  <c r="K132" i="24"/>
  <c r="T31" i="24"/>
  <c r="R31" i="24"/>
  <c r="L65" i="24"/>
  <c r="M65" i="24"/>
  <c r="AE129" i="46"/>
  <c r="AF129" i="46" s="1"/>
  <c r="H125" i="97" s="1"/>
  <c r="R71" i="24"/>
  <c r="L59" i="24"/>
  <c r="AE36" i="46"/>
  <c r="AA36" i="46"/>
  <c r="AB36" i="46" s="1"/>
  <c r="Q36" i="46"/>
  <c r="R36" i="46" s="1"/>
  <c r="Q122" i="46"/>
  <c r="R122" i="46" s="1"/>
  <c r="L139" i="46"/>
  <c r="AB113" i="46"/>
  <c r="G109" i="97" s="1"/>
  <c r="K36" i="24"/>
  <c r="M56" i="24"/>
  <c r="Q16" i="46"/>
  <c r="R16" i="46" s="1"/>
  <c r="M62" i="24"/>
  <c r="L66" i="24"/>
  <c r="T54" i="24"/>
  <c r="M66" i="24"/>
  <c r="AE143" i="46"/>
  <c r="K100" i="24"/>
  <c r="AB76" i="46"/>
  <c r="V83" i="46"/>
  <c r="G47" i="46"/>
  <c r="L83" i="46"/>
  <c r="AW135" i="24"/>
  <c r="AE83" i="46"/>
  <c r="AF83" i="46" s="1"/>
  <c r="M100" i="24"/>
  <c r="L145" i="24"/>
  <c r="K71" i="24"/>
  <c r="L71" i="24"/>
  <c r="AB99" i="46"/>
  <c r="Q27" i="46"/>
  <c r="R113" i="46"/>
  <c r="E109" i="97" s="1"/>
  <c r="AB77" i="46"/>
  <c r="G27" i="46"/>
  <c r="M58" i="24"/>
  <c r="M43" i="24"/>
  <c r="AB109" i="46"/>
  <c r="G105" i="97" s="1"/>
  <c r="K74" i="24"/>
  <c r="AA27" i="46"/>
  <c r="K62" i="24"/>
  <c r="L51" i="24"/>
  <c r="R98" i="46"/>
  <c r="K60" i="24"/>
  <c r="G130" i="46"/>
  <c r="L122" i="46"/>
  <c r="D118" i="97" s="1"/>
  <c r="K63" i="24"/>
  <c r="M36" i="24"/>
  <c r="L99" i="24"/>
  <c r="L50" i="24"/>
  <c r="H89" i="46"/>
  <c r="R91" i="46"/>
  <c r="K50" i="24"/>
  <c r="T71" i="24"/>
  <c r="M45" i="24"/>
  <c r="R108" i="46"/>
  <c r="E104" i="97" s="1"/>
  <c r="G122" i="46"/>
  <c r="H122" i="46" s="1"/>
  <c r="C118" i="97" s="1"/>
  <c r="AE122" i="46"/>
  <c r="AF122" i="46" s="1"/>
  <c r="H118" i="97" s="1"/>
  <c r="V130" i="46"/>
  <c r="AB116" i="46"/>
  <c r="G112" i="97" s="1"/>
  <c r="L31" i="24"/>
  <c r="Q110" i="46"/>
  <c r="R110" i="46" s="1"/>
  <c r="E106" i="97" s="1"/>
  <c r="T66" i="24"/>
  <c r="H109" i="46"/>
  <c r="M31" i="24"/>
  <c r="R112" i="46"/>
  <c r="E108" i="97" s="1"/>
  <c r="T74" i="24"/>
  <c r="R66" i="24"/>
  <c r="G124" i="46"/>
  <c r="M63" i="24"/>
  <c r="AA122" i="46"/>
  <c r="AB122" i="46" s="1"/>
  <c r="G118" i="97" s="1"/>
  <c r="AE110" i="46"/>
  <c r="AF110" i="46" s="1"/>
  <c r="H106" i="97" s="1"/>
  <c r="V107" i="46"/>
  <c r="F103" i="97" s="1"/>
  <c r="L49" i="24"/>
  <c r="M47" i="24"/>
  <c r="M48" i="24"/>
  <c r="K47" i="24"/>
  <c r="AA29" i="46"/>
  <c r="AB29" i="46" s="1"/>
  <c r="G30" i="97" s="1"/>
  <c r="AE33" i="46"/>
  <c r="AF33" i="46" s="1"/>
  <c r="R81" i="46"/>
  <c r="L16" i="46"/>
  <c r="G57" i="46"/>
  <c r="H57" i="46" s="1"/>
  <c r="AA33" i="46"/>
  <c r="AB33" i="46" s="1"/>
  <c r="M49" i="24"/>
  <c r="AB111" i="46"/>
  <c r="G107" i="97" s="1"/>
  <c r="L52" i="24"/>
  <c r="L53" i="24"/>
  <c r="L102" i="24"/>
  <c r="K53" i="24"/>
  <c r="M74" i="24"/>
  <c r="K43" i="24"/>
  <c r="L133" i="24"/>
  <c r="T61" i="24"/>
  <c r="R141" i="24"/>
  <c r="T98" i="24"/>
  <c r="R98" i="24"/>
  <c r="H88" i="46"/>
  <c r="K45" i="24"/>
  <c r="L58" i="24"/>
  <c r="AB30" i="46"/>
  <c r="G31" i="97" s="1"/>
  <c r="AF101" i="46"/>
  <c r="H102" i="97" s="1"/>
  <c r="H99" i="46"/>
  <c r="R97" i="46"/>
  <c r="R101" i="24"/>
  <c r="T100" i="24"/>
  <c r="T101" i="24"/>
  <c r="T38" i="24"/>
  <c r="AB114" i="46"/>
  <c r="G110" i="97" s="1"/>
  <c r="M54" i="24"/>
  <c r="Q76" i="46"/>
  <c r="R76" i="46" s="1"/>
  <c r="G132" i="46"/>
  <c r="H132" i="46" s="1"/>
  <c r="C128" i="97" s="1"/>
  <c r="AA62" i="46"/>
  <c r="AB62" i="46" s="1"/>
  <c r="L54" i="24"/>
  <c r="G117" i="46"/>
  <c r="H117" i="46" s="1"/>
  <c r="C113" i="97" s="1"/>
  <c r="V77" i="46"/>
  <c r="K48" i="24"/>
  <c r="R114" i="46"/>
  <c r="E110" i="97" s="1"/>
  <c r="H97" i="46"/>
  <c r="V62" i="46"/>
  <c r="G62" i="46"/>
  <c r="H62" i="46" s="1"/>
  <c r="Q141" i="46"/>
  <c r="R141" i="46" s="1"/>
  <c r="G49" i="46"/>
  <c r="H49" i="46" s="1"/>
  <c r="L101" i="24"/>
  <c r="V61" i="46"/>
  <c r="R79" i="24"/>
  <c r="K101" i="24"/>
  <c r="AB128" i="46"/>
  <c r="G124" i="97" s="1"/>
  <c r="R109" i="46"/>
  <c r="G61" i="46"/>
  <c r="H61" i="46" s="1"/>
  <c r="AE62" i="46"/>
  <c r="AF62" i="46" s="1"/>
  <c r="AA49" i="46"/>
  <c r="AB49" i="46" s="1"/>
  <c r="AE49" i="46"/>
  <c r="L11" i="24"/>
  <c r="R128" i="24"/>
  <c r="V101" i="46"/>
  <c r="F102" i="97" s="1"/>
  <c r="H96" i="46"/>
  <c r="R96" i="46"/>
  <c r="T102" i="24"/>
  <c r="R144" i="24"/>
  <c r="T144" i="24"/>
  <c r="H116" i="46"/>
  <c r="C112" i="97" s="1"/>
  <c r="AE85" i="46"/>
  <c r="AF85" i="46" s="1"/>
  <c r="H86" i="97" s="1"/>
  <c r="H113" i="46"/>
  <c r="C109" i="97" s="1"/>
  <c r="V86" i="46"/>
  <c r="AB95" i="46"/>
  <c r="H107" i="46"/>
  <c r="C103" i="97" s="1"/>
  <c r="G33" i="46"/>
  <c r="H33" i="46" s="1"/>
  <c r="Q17" i="46"/>
  <c r="R17" i="46" s="1"/>
  <c r="G16" i="46"/>
  <c r="H16" i="46" s="1"/>
  <c r="K72" i="24"/>
  <c r="AB115" i="46"/>
  <c r="G111" i="97" s="1"/>
  <c r="R116" i="46"/>
  <c r="E112" i="97" s="1"/>
  <c r="R70" i="46"/>
  <c r="M70" i="46" s="1"/>
  <c r="N70" i="46" s="1"/>
  <c r="R84" i="46"/>
  <c r="AB74" i="46"/>
  <c r="G85" i="46"/>
  <c r="H85" i="46" s="1"/>
  <c r="H95" i="46"/>
  <c r="R82" i="46"/>
  <c r="AB107" i="46"/>
  <c r="G103" i="97" s="1"/>
  <c r="T37" i="24"/>
  <c r="L72" i="24"/>
  <c r="AB118" i="46"/>
  <c r="G114" i="97" s="1"/>
  <c r="R135" i="46"/>
  <c r="E131" i="97" s="1"/>
  <c r="H119" i="46"/>
  <c r="C115" i="97" s="1"/>
  <c r="AA135" i="46"/>
  <c r="AB135" i="46" s="1"/>
  <c r="G131" i="97" s="1"/>
  <c r="Q85" i="46"/>
  <c r="R85" i="46" s="1"/>
  <c r="H121" i="46"/>
  <c r="C117" i="97" s="1"/>
  <c r="R95" i="46"/>
  <c r="AB112" i="46"/>
  <c r="G108" i="97" s="1"/>
  <c r="R107" i="46"/>
  <c r="E103" i="97" s="1"/>
  <c r="R101" i="46"/>
  <c r="E102" i="97" s="1"/>
  <c r="L40" i="24"/>
  <c r="R37" i="24"/>
  <c r="AE135" i="46"/>
  <c r="G135" i="46"/>
  <c r="H135" i="46" s="1"/>
  <c r="C131" i="97" s="1"/>
  <c r="AA85" i="46"/>
  <c r="AB85" i="46" s="1"/>
  <c r="AB108" i="46"/>
  <c r="G104" i="97" s="1"/>
  <c r="AB117" i="46"/>
  <c r="G113" i="97" s="1"/>
  <c r="H82" i="46"/>
  <c r="AB97" i="46"/>
  <c r="H101" i="46"/>
  <c r="C102" i="97" s="1"/>
  <c r="AE96" i="46"/>
  <c r="I96" i="46"/>
  <c r="S96" i="46"/>
  <c r="AC96" i="46"/>
  <c r="Q33" i="46"/>
  <c r="R33" i="46" s="1"/>
  <c r="AE16" i="46"/>
  <c r="AF16" i="46" s="1"/>
  <c r="AA16" i="46"/>
  <c r="AB16" i="46" s="1"/>
  <c r="M40" i="24"/>
  <c r="R94" i="46"/>
  <c r="H108" i="46"/>
  <c r="C104" i="97" s="1"/>
  <c r="H114" i="46"/>
  <c r="C110" i="97" s="1"/>
  <c r="AB101" i="46"/>
  <c r="G102" i="97" s="1"/>
  <c r="R99" i="46"/>
  <c r="AB96" i="46"/>
  <c r="AE137" i="46"/>
  <c r="AA84" i="46"/>
  <c r="AB84" i="46" s="1"/>
  <c r="Q117" i="46"/>
  <c r="R117" i="46" s="1"/>
  <c r="E113" i="97" s="1"/>
  <c r="T69" i="24"/>
  <c r="V125" i="46"/>
  <c r="F121" i="97" s="1"/>
  <c r="AA137" i="46"/>
  <c r="G137" i="46"/>
  <c r="R77" i="24"/>
  <c r="M38" i="24"/>
  <c r="AA47" i="46"/>
  <c r="V24" i="46"/>
  <c r="AA75" i="46"/>
  <c r="AB75" i="46" s="1"/>
  <c r="AE47" i="46"/>
  <c r="AA24" i="46"/>
  <c r="AB24" i="46" s="1"/>
  <c r="T82" i="24"/>
  <c r="N142" i="24"/>
  <c r="O142" i="24" s="1"/>
  <c r="G128" i="46"/>
  <c r="H128" i="46" s="1"/>
  <c r="C124" i="97" s="1"/>
  <c r="G77" i="46"/>
  <c r="H77" i="46" s="1"/>
  <c r="L67" i="46"/>
  <c r="D68" i="97" s="1"/>
  <c r="F67" i="120" s="1"/>
  <c r="T77" i="24"/>
  <c r="L86" i="46"/>
  <c r="G93" i="46"/>
  <c r="H93" i="46" s="1"/>
  <c r="AW144" i="24"/>
  <c r="AV144" i="24"/>
  <c r="K147" i="24"/>
  <c r="L147" i="24"/>
  <c r="M147" i="24"/>
  <c r="AE138" i="46"/>
  <c r="Q67" i="46"/>
  <c r="AA93" i="46"/>
  <c r="AB93" i="46" s="1"/>
  <c r="L145" i="46"/>
  <c r="T147" i="24"/>
  <c r="R68" i="24"/>
  <c r="J112" i="46"/>
  <c r="L112" i="46" s="1"/>
  <c r="D108" i="97" s="1"/>
  <c r="AE145" i="46"/>
  <c r="AF145" i="46" s="1"/>
  <c r="H141" i="97" s="1"/>
  <c r="G67" i="46"/>
  <c r="G141" i="46"/>
  <c r="H141" i="46" s="1"/>
  <c r="AA138" i="46"/>
  <c r="R147" i="24"/>
  <c r="T68" i="24"/>
  <c r="T110" i="24"/>
  <c r="V112" i="46"/>
  <c r="F108" i="97" s="1"/>
  <c r="AE93" i="46"/>
  <c r="AF93" i="46" s="1"/>
  <c r="Q138" i="46"/>
  <c r="AE118" i="46"/>
  <c r="AF118" i="46" s="1"/>
  <c r="H114" i="97" s="1"/>
  <c r="V145" i="46"/>
  <c r="K148" i="24"/>
  <c r="L148" i="24"/>
  <c r="M148" i="24"/>
  <c r="AE134" i="46"/>
  <c r="V67" i="46"/>
  <c r="F68" i="97" s="1"/>
  <c r="P67" i="120" s="1"/>
  <c r="AA67" i="46"/>
  <c r="V118" i="46"/>
  <c r="F114" i="97" s="1"/>
  <c r="G144" i="46"/>
  <c r="H144" i="46" s="1"/>
  <c r="Q144" i="46"/>
  <c r="R144" i="46" s="1"/>
  <c r="AA144" i="46"/>
  <c r="AB144" i="46" s="1"/>
  <c r="G140" i="97" s="1"/>
  <c r="AA145" i="46"/>
  <c r="AB145" i="46" s="1"/>
  <c r="G141" i="97" s="1"/>
  <c r="Q145" i="46"/>
  <c r="R145" i="46" s="1"/>
  <c r="G145" i="46"/>
  <c r="H145" i="46" s="1"/>
  <c r="V94" i="46"/>
  <c r="T79" i="24"/>
  <c r="R82" i="24"/>
  <c r="R67" i="24"/>
  <c r="R53" i="24"/>
  <c r="AE124" i="46"/>
  <c r="AF124" i="46" s="1"/>
  <c r="H120" i="97" s="1"/>
  <c r="R69" i="24"/>
  <c r="K102" i="24"/>
  <c r="L118" i="46"/>
  <c r="D114" i="97" s="1"/>
  <c r="V29" i="46"/>
  <c r="F30" i="97" s="1"/>
  <c r="P29" i="120" s="1"/>
  <c r="V93" i="46"/>
  <c r="G29" i="46"/>
  <c r="H29" i="46" s="1"/>
  <c r="C30" i="97" s="1"/>
  <c r="C29" i="120" s="1"/>
  <c r="E29" i="120" s="1"/>
  <c r="L97" i="24"/>
  <c r="R50" i="24"/>
  <c r="T67" i="24"/>
  <c r="AE94" i="46"/>
  <c r="AF94" i="46" s="1"/>
  <c r="Q89" i="46"/>
  <c r="R89" i="46" s="1"/>
  <c r="L29" i="46"/>
  <c r="D30" i="97" s="1"/>
  <c r="F29" i="120" s="1"/>
  <c r="T47" i="24"/>
  <c r="Q29" i="46"/>
  <c r="R29" i="46" s="1"/>
  <c r="E30" i="97" s="1"/>
  <c r="M29" i="120" s="1"/>
  <c r="O29" i="120" s="1"/>
  <c r="K97" i="24"/>
  <c r="G94" i="46"/>
  <c r="H94" i="46" s="1"/>
  <c r="T48" i="24"/>
  <c r="Q125" i="46"/>
  <c r="R125" i="46" s="1"/>
  <c r="E121" i="97" s="1"/>
  <c r="AA119" i="46"/>
  <c r="AB119" i="46" s="1"/>
  <c r="G115" i="97" s="1"/>
  <c r="Q118" i="46"/>
  <c r="R118" i="46" s="1"/>
  <c r="E114" i="97" s="1"/>
  <c r="G118" i="46"/>
  <c r="H118" i="46" s="1"/>
  <c r="C114" i="97" s="1"/>
  <c r="R48" i="24"/>
  <c r="G125" i="46"/>
  <c r="H125" i="46" s="1"/>
  <c r="C121" i="97" s="1"/>
  <c r="L119" i="46"/>
  <c r="D115" i="97" s="1"/>
  <c r="Q119" i="46"/>
  <c r="R119" i="46" s="1"/>
  <c r="E115" i="97" s="1"/>
  <c r="AA110" i="46"/>
  <c r="AB110" i="46" s="1"/>
  <c r="G106" i="97" s="1"/>
  <c r="AE77" i="46"/>
  <c r="AF77" i="46" s="1"/>
  <c r="AA125" i="46"/>
  <c r="AB125" i="46" s="1"/>
  <c r="G121" i="97" s="1"/>
  <c r="AE119" i="46"/>
  <c r="AF119" i="46" s="1"/>
  <c r="H115" i="97" s="1"/>
  <c r="AA94" i="46"/>
  <c r="AB94" i="46" s="1"/>
  <c r="AF107" i="46"/>
  <c r="H103" i="97" s="1"/>
  <c r="J113" i="46"/>
  <c r="L113" i="46" s="1"/>
  <c r="D109" i="97" s="1"/>
  <c r="J132" i="46"/>
  <c r="Q49" i="46"/>
  <c r="R49" i="46" s="1"/>
  <c r="AE72" i="46"/>
  <c r="AF72" i="46" s="1"/>
  <c r="Q124" i="46"/>
  <c r="AE92" i="46"/>
  <c r="AA130" i="46"/>
  <c r="AE121" i="46"/>
  <c r="AF121" i="46" s="1"/>
  <c r="H117" i="97" s="1"/>
  <c r="AA92" i="46"/>
  <c r="M70" i="24"/>
  <c r="T44" i="24"/>
  <c r="AE130" i="46"/>
  <c r="AF130" i="46" s="1"/>
  <c r="H126" i="97" s="1"/>
  <c r="AE81" i="46"/>
  <c r="AF81" i="46" s="1"/>
  <c r="Q130" i="46"/>
  <c r="AA81" i="46"/>
  <c r="AB81" i="46" s="1"/>
  <c r="L70" i="24"/>
  <c r="R44" i="24"/>
  <c r="V124" i="46"/>
  <c r="F120" i="97" s="1"/>
  <c r="V121" i="46"/>
  <c r="F117" i="97" s="1"/>
  <c r="AE88" i="46"/>
  <c r="AF88" i="46" s="1"/>
  <c r="L124" i="46"/>
  <c r="D120" i="97" s="1"/>
  <c r="G81" i="46"/>
  <c r="H81" i="46" s="1"/>
  <c r="Q121" i="46"/>
  <c r="R121" i="46" s="1"/>
  <c r="E117" i="97" s="1"/>
  <c r="AA121" i="46"/>
  <c r="AB121" i="46" s="1"/>
  <c r="G117" i="97" s="1"/>
  <c r="AA132" i="46"/>
  <c r="AB132" i="46" s="1"/>
  <c r="G128" i="97" s="1"/>
  <c r="L37" i="24"/>
  <c r="L121" i="46"/>
  <c r="D117" i="97" s="1"/>
  <c r="G92" i="46"/>
  <c r="Q132" i="46"/>
  <c r="R132" i="46" s="1"/>
  <c r="M37" i="24"/>
  <c r="K52" i="24"/>
  <c r="AE128" i="46"/>
  <c r="AE75" i="46"/>
  <c r="AE126" i="46"/>
  <c r="AF126" i="46" s="1"/>
  <c r="H122" i="97" s="1"/>
  <c r="AA78" i="46"/>
  <c r="Q78" i="46"/>
  <c r="L44" i="24"/>
  <c r="AE131" i="46"/>
  <c r="AE78" i="46"/>
  <c r="AE133" i="46"/>
  <c r="G78" i="46"/>
  <c r="Q75" i="46"/>
  <c r="R75" i="46" s="1"/>
  <c r="G17" i="46"/>
  <c r="H17" i="46" s="1"/>
  <c r="K41" i="24"/>
  <c r="Q126" i="46"/>
  <c r="R126" i="46" s="1"/>
  <c r="E122" i="97" s="1"/>
  <c r="AA133" i="46"/>
  <c r="AB133" i="46" s="1"/>
  <c r="G129" i="97" s="1"/>
  <c r="L41" i="24"/>
  <c r="M44" i="24"/>
  <c r="AA131" i="46"/>
  <c r="G126" i="46"/>
  <c r="H126" i="46" s="1"/>
  <c r="C122" i="97" s="1"/>
  <c r="V126" i="46"/>
  <c r="F122" i="97" s="1"/>
  <c r="G133" i="46"/>
  <c r="H133" i="46" s="1"/>
  <c r="M51" i="24"/>
  <c r="Q131" i="46"/>
  <c r="Q128" i="46"/>
  <c r="R128" i="46" s="1"/>
  <c r="AA126" i="46"/>
  <c r="AB126" i="46" s="1"/>
  <c r="G122" i="97" s="1"/>
  <c r="L107" i="46"/>
  <c r="D103" i="97" s="1"/>
  <c r="Q133" i="46"/>
  <c r="R133" i="46" s="1"/>
  <c r="V17" i="46"/>
  <c r="AE61" i="46"/>
  <c r="AF61" i="46" s="1"/>
  <c r="G131" i="46"/>
  <c r="R118" i="24"/>
  <c r="T140" i="24"/>
  <c r="T62" i="24"/>
  <c r="K42" i="24"/>
  <c r="R64" i="24"/>
  <c r="R49" i="24"/>
  <c r="T70" i="24"/>
  <c r="U104" i="24"/>
  <c r="V104" i="24" s="1"/>
  <c r="M67" i="24"/>
  <c r="L67" i="24"/>
  <c r="AA80" i="46"/>
  <c r="AB80" i="46" s="1"/>
  <c r="G76" i="46"/>
  <c r="H76" i="46" s="1"/>
  <c r="R58" i="24"/>
  <c r="AE76" i="46"/>
  <c r="AF76" i="46" s="1"/>
  <c r="M42" i="24"/>
  <c r="L120" i="46"/>
  <c r="D116" i="97" s="1"/>
  <c r="K38" i="24"/>
  <c r="AA88" i="46"/>
  <c r="AB88" i="46" s="1"/>
  <c r="G89" i="97" s="1"/>
  <c r="Q123" i="46"/>
  <c r="R123" i="46" s="1"/>
  <c r="E119" i="97" s="1"/>
  <c r="G123" i="46"/>
  <c r="H123" i="46" s="1"/>
  <c r="C119" i="97" s="1"/>
  <c r="R57" i="24"/>
  <c r="AA123" i="46"/>
  <c r="AB123" i="46" s="1"/>
  <c r="G119" i="97" s="1"/>
  <c r="T57" i="24"/>
  <c r="Q120" i="46"/>
  <c r="R120" i="46" s="1"/>
  <c r="E116" i="97" s="1"/>
  <c r="G120" i="46"/>
  <c r="H120" i="46" s="1"/>
  <c r="C116" i="97" s="1"/>
  <c r="AA120" i="46"/>
  <c r="AB120" i="46" s="1"/>
  <c r="G116" i="97" s="1"/>
  <c r="AE123" i="46"/>
  <c r="AF123" i="46" s="1"/>
  <c r="H119" i="97" s="1"/>
  <c r="M46" i="24"/>
  <c r="M103" i="24"/>
  <c r="K103" i="24"/>
  <c r="L103" i="24"/>
  <c r="R39" i="24"/>
  <c r="T113" i="24"/>
  <c r="T39" i="24"/>
  <c r="R115" i="24"/>
  <c r="T65" i="24"/>
  <c r="T126" i="24"/>
  <c r="L91" i="46"/>
  <c r="L24" i="46"/>
  <c r="R40" i="24"/>
  <c r="R65" i="24"/>
  <c r="AE24" i="46"/>
  <c r="AF24" i="46" s="1"/>
  <c r="T32" i="24"/>
  <c r="R52" i="24"/>
  <c r="G24" i="46"/>
  <c r="H24" i="46" s="1"/>
  <c r="R32" i="24"/>
  <c r="T52" i="24"/>
  <c r="G30" i="46"/>
  <c r="H30" i="46" s="1"/>
  <c r="C31" i="97" s="1"/>
  <c r="C30" i="120" s="1"/>
  <c r="Q74" i="46"/>
  <c r="R74" i="46" s="1"/>
  <c r="G74" i="46"/>
  <c r="H74" i="46" s="1"/>
  <c r="Q80" i="46"/>
  <c r="R80" i="46" s="1"/>
  <c r="AE30" i="46"/>
  <c r="AF30" i="46" s="1"/>
  <c r="H31" i="97" s="1"/>
  <c r="AA91" i="46"/>
  <c r="AB91" i="46" s="1"/>
  <c r="V91" i="46"/>
  <c r="G80" i="46"/>
  <c r="H80" i="46" s="1"/>
  <c r="L30" i="46"/>
  <c r="D31" i="97" s="1"/>
  <c r="F30" i="120" s="1"/>
  <c r="AE80" i="46"/>
  <c r="AF80" i="46" s="1"/>
  <c r="K133" i="24"/>
  <c r="G91" i="46"/>
  <c r="H91" i="46" s="1"/>
  <c r="R47" i="24"/>
  <c r="K76" i="24"/>
  <c r="L89" i="46"/>
  <c r="M76" i="24"/>
  <c r="T111" i="24"/>
  <c r="R41" i="24"/>
  <c r="Q30" i="46"/>
  <c r="R30" i="46" s="1"/>
  <c r="E31" i="97" s="1"/>
  <c r="M30" i="120" s="1"/>
  <c r="T60" i="24"/>
  <c r="AA89" i="46"/>
  <c r="AB89" i="46" s="1"/>
  <c r="AE89" i="46"/>
  <c r="AF89" i="46" s="1"/>
  <c r="AE91" i="46"/>
  <c r="AF91" i="46" s="1"/>
  <c r="BC21" i="26"/>
  <c r="M57" i="24"/>
  <c r="L57" i="24"/>
  <c r="T42" i="24"/>
  <c r="AA61" i="46"/>
  <c r="AB61" i="46" s="1"/>
  <c r="Q61" i="46"/>
  <c r="R61" i="46" s="1"/>
  <c r="K46" i="24"/>
  <c r="Q88" i="46"/>
  <c r="R88" i="46" s="1"/>
  <c r="T45" i="24"/>
  <c r="V88" i="46"/>
  <c r="F89" i="97" s="1"/>
  <c r="P88" i="120" s="1"/>
  <c r="K134" i="24"/>
  <c r="Q72" i="46"/>
  <c r="R72" i="46" s="1"/>
  <c r="T134" i="24"/>
  <c r="K68" i="24"/>
  <c r="T129" i="24"/>
  <c r="K81" i="24"/>
  <c r="AA72" i="46"/>
  <c r="AB72" i="46" s="1"/>
  <c r="T97" i="24"/>
  <c r="R129" i="24"/>
  <c r="M81" i="24"/>
  <c r="G72" i="46"/>
  <c r="H72" i="46" s="1"/>
  <c r="G84" i="46"/>
  <c r="H84" i="46" s="1"/>
  <c r="M134" i="24"/>
  <c r="T36" i="24"/>
  <c r="L68" i="24"/>
  <c r="L111" i="46"/>
  <c r="D107" i="97" s="1"/>
  <c r="Q77" i="46"/>
  <c r="R77" i="46" s="1"/>
  <c r="AE74" i="46"/>
  <c r="T115" i="24"/>
  <c r="M115" i="24"/>
  <c r="L84" i="46"/>
  <c r="M22" i="24"/>
  <c r="G143" i="46"/>
  <c r="R59" i="24"/>
  <c r="AE84" i="46"/>
  <c r="AF84" i="46" s="1"/>
  <c r="V79" i="46"/>
  <c r="T123" i="24"/>
  <c r="R72" i="24"/>
  <c r="AE79" i="46"/>
  <c r="AF79" i="46" s="1"/>
  <c r="Q86" i="46"/>
  <c r="R86" i="46" s="1"/>
  <c r="AA86" i="46"/>
  <c r="AB86" i="46" s="1"/>
  <c r="G86" i="46"/>
  <c r="H86" i="46" s="1"/>
  <c r="T72" i="24"/>
  <c r="L79" i="46"/>
  <c r="Q79" i="46"/>
  <c r="R79" i="46" s="1"/>
  <c r="AF86" i="46"/>
  <c r="AA79" i="46"/>
  <c r="AB79" i="46" s="1"/>
  <c r="Q142" i="46"/>
  <c r="R142" i="46" s="1"/>
  <c r="E138" i="97" s="1"/>
  <c r="T138" i="24"/>
  <c r="T75" i="24"/>
  <c r="G142" i="46"/>
  <c r="H142" i="46" s="1"/>
  <c r="C138" i="97" s="1"/>
  <c r="G79" i="46"/>
  <c r="H79" i="46" s="1"/>
  <c r="AA142" i="46"/>
  <c r="AB142" i="46" s="1"/>
  <c r="G138" i="97" s="1"/>
  <c r="K11" i="24"/>
  <c r="T133" i="24"/>
  <c r="T122" i="24"/>
  <c r="V87" i="46"/>
  <c r="R133" i="24"/>
  <c r="L90" i="46"/>
  <c r="T19" i="24"/>
  <c r="R80" i="24"/>
  <c r="R116" i="24"/>
  <c r="T80" i="24"/>
  <c r="AF95" i="46"/>
  <c r="AF29" i="46"/>
  <c r="H30" i="97" s="1"/>
  <c r="L72" i="46"/>
  <c r="AF82" i="46"/>
  <c r="U63" i="24"/>
  <c r="V63" i="24" s="1"/>
  <c r="AF108" i="46"/>
  <c r="H104" i="97" s="1"/>
  <c r="AE136" i="46"/>
  <c r="AA143" i="46"/>
  <c r="V82" i="46"/>
  <c r="L120" i="24"/>
  <c r="K120" i="24"/>
  <c r="M120" i="24"/>
  <c r="L122" i="24"/>
  <c r="M122" i="24"/>
  <c r="K122" i="24"/>
  <c r="L86" i="24"/>
  <c r="M86" i="24"/>
  <c r="K86" i="24"/>
  <c r="R73" i="24"/>
  <c r="T73" i="24"/>
  <c r="R92" i="24"/>
  <c r="T92" i="24"/>
  <c r="K118" i="24"/>
  <c r="L118" i="24"/>
  <c r="M118" i="24"/>
  <c r="L82" i="24"/>
  <c r="M82" i="24"/>
  <c r="K82" i="24"/>
  <c r="K131" i="24"/>
  <c r="L131" i="24"/>
  <c r="M131" i="24"/>
  <c r="R123" i="24"/>
  <c r="M138" i="24"/>
  <c r="T130" i="24"/>
  <c r="L119" i="24"/>
  <c r="K119" i="24"/>
  <c r="M119" i="24"/>
  <c r="AF113" i="46"/>
  <c r="H109" i="97" s="1"/>
  <c r="K73" i="24"/>
  <c r="M73" i="24"/>
  <c r="L73" i="24"/>
  <c r="M124" i="24"/>
  <c r="K124" i="24"/>
  <c r="L124" i="24"/>
  <c r="K87" i="24"/>
  <c r="L87" i="24"/>
  <c r="M87" i="24"/>
  <c r="T127" i="24"/>
  <c r="R127" i="24"/>
  <c r="L135" i="24"/>
  <c r="M135" i="24"/>
  <c r="K135" i="24"/>
  <c r="V95" i="46"/>
  <c r="T119" i="24"/>
  <c r="R119" i="24"/>
  <c r="R94" i="24"/>
  <c r="T94" i="24"/>
  <c r="K138" i="24"/>
  <c r="R83" i="24"/>
  <c r="T139" i="24"/>
  <c r="L87" i="46"/>
  <c r="AF111" i="46"/>
  <c r="H107" i="97" s="1"/>
  <c r="L130" i="46"/>
  <c r="R114" i="24"/>
  <c r="T114" i="24"/>
  <c r="R85" i="24"/>
  <c r="T85" i="24"/>
  <c r="K116" i="24"/>
  <c r="M116" i="24"/>
  <c r="L116" i="24"/>
  <c r="R33" i="24"/>
  <c r="T33" i="24"/>
  <c r="K33" i="24"/>
  <c r="M33" i="24"/>
  <c r="L33" i="24"/>
  <c r="L98" i="24"/>
  <c r="K98" i="24"/>
  <c r="M98" i="24"/>
  <c r="L32" i="24"/>
  <c r="M32" i="24"/>
  <c r="K32" i="24"/>
  <c r="R89" i="24"/>
  <c r="T89" i="24"/>
  <c r="L80" i="46"/>
  <c r="L95" i="24"/>
  <c r="K95" i="24"/>
  <c r="M95" i="24"/>
  <c r="L126" i="24"/>
  <c r="M126" i="24"/>
  <c r="K126" i="24"/>
  <c r="T112" i="24"/>
  <c r="R112" i="24"/>
  <c r="L139" i="24"/>
  <c r="M139" i="24"/>
  <c r="K139" i="24"/>
  <c r="R125" i="24"/>
  <c r="T125" i="24"/>
  <c r="V115" i="46"/>
  <c r="F111" i="97" s="1"/>
  <c r="L115" i="24"/>
  <c r="M140" i="24"/>
  <c r="T83" i="24"/>
  <c r="V111" i="46"/>
  <c r="F107" i="97" s="1"/>
  <c r="T131" i="24"/>
  <c r="R131" i="24"/>
  <c r="T95" i="24"/>
  <c r="R95" i="24"/>
  <c r="K121" i="24"/>
  <c r="M121" i="24"/>
  <c r="L121" i="24"/>
  <c r="M129" i="24"/>
  <c r="K129" i="24"/>
  <c r="L129" i="24"/>
  <c r="M114" i="24"/>
  <c r="K114" i="24"/>
  <c r="L114" i="24"/>
  <c r="K92" i="24"/>
  <c r="M92" i="24"/>
  <c r="L92" i="24"/>
  <c r="M96" i="24"/>
  <c r="K96" i="24"/>
  <c r="L96" i="24"/>
  <c r="K83" i="24"/>
  <c r="L83" i="24"/>
  <c r="M83" i="24"/>
  <c r="L140" i="24"/>
  <c r="AF87" i="46"/>
  <c r="L91" i="24"/>
  <c r="M91" i="24"/>
  <c r="K91" i="24"/>
  <c r="J134" i="46"/>
  <c r="AF109" i="46"/>
  <c r="H105" i="97" s="1"/>
  <c r="J109" i="46"/>
  <c r="L109" i="46" s="1"/>
  <c r="K110" i="24"/>
  <c r="M110" i="24"/>
  <c r="L110" i="24"/>
  <c r="R88" i="24"/>
  <c r="T88" i="24"/>
  <c r="V114" i="46"/>
  <c r="F110" i="97" s="1"/>
  <c r="J114" i="46"/>
  <c r="L114" i="46" s="1"/>
  <c r="D110" i="97" s="1"/>
  <c r="T93" i="24"/>
  <c r="R93" i="24"/>
  <c r="T78" i="24"/>
  <c r="R78" i="24"/>
  <c r="AF116" i="46"/>
  <c r="H112" i="97" s="1"/>
  <c r="V116" i="46"/>
  <c r="F112" i="97" s="1"/>
  <c r="J116" i="46"/>
  <c r="L116" i="46" s="1"/>
  <c r="D112" i="97" s="1"/>
  <c r="L95" i="46"/>
  <c r="K128" i="24"/>
  <c r="L128" i="24"/>
  <c r="M128" i="24"/>
  <c r="R124" i="24"/>
  <c r="T124" i="24"/>
  <c r="R81" i="24"/>
  <c r="T81" i="24"/>
  <c r="L112" i="24"/>
  <c r="M112" i="24"/>
  <c r="K112" i="24"/>
  <c r="L125" i="24"/>
  <c r="K125" i="24"/>
  <c r="M125" i="24"/>
  <c r="R96" i="24"/>
  <c r="T96" i="24"/>
  <c r="K80" i="24"/>
  <c r="L80" i="24"/>
  <c r="M80" i="24"/>
  <c r="V120" i="46"/>
  <c r="F116" i="97" s="1"/>
  <c r="AV137" i="24"/>
  <c r="AW137" i="24"/>
  <c r="L123" i="46"/>
  <c r="D119" i="97" s="1"/>
  <c r="L94" i="24"/>
  <c r="K94" i="24"/>
  <c r="M94" i="24"/>
  <c r="AF125" i="46"/>
  <c r="H121" i="97" s="1"/>
  <c r="T120" i="24"/>
  <c r="R120" i="24"/>
  <c r="T121" i="24"/>
  <c r="R121" i="24"/>
  <c r="AF112" i="46"/>
  <c r="H108" i="97" s="1"/>
  <c r="K79" i="24"/>
  <c r="L79" i="24"/>
  <c r="M79" i="24"/>
  <c r="R87" i="24"/>
  <c r="T87" i="24"/>
  <c r="R84" i="24"/>
  <c r="T84" i="24"/>
  <c r="L127" i="24"/>
  <c r="M127" i="24"/>
  <c r="K127" i="24"/>
  <c r="G136" i="46"/>
  <c r="H136" i="46" s="1"/>
  <c r="AA136" i="46"/>
  <c r="AB136" i="46" s="1"/>
  <c r="G132" i="97" s="1"/>
  <c r="Q136" i="46"/>
  <c r="R136" i="46" s="1"/>
  <c r="E132" i="97" s="1"/>
  <c r="L78" i="24"/>
  <c r="M78" i="24"/>
  <c r="K78" i="24"/>
  <c r="L90" i="24"/>
  <c r="K90" i="24"/>
  <c r="M90" i="24"/>
  <c r="T90" i="24"/>
  <c r="R90" i="24"/>
  <c r="L123" i="24"/>
  <c r="M123" i="24"/>
  <c r="K123" i="24"/>
  <c r="V85" i="46"/>
  <c r="F86" i="97" s="1"/>
  <c r="P85" i="120" s="1"/>
  <c r="K130" i="24"/>
  <c r="M130" i="24"/>
  <c r="L130" i="24"/>
  <c r="L82" i="46"/>
  <c r="R86" i="24"/>
  <c r="T86" i="24"/>
  <c r="G134" i="46"/>
  <c r="H134" i="46" s="1"/>
  <c r="C130" i="97" s="1"/>
  <c r="AA134" i="46"/>
  <c r="AB134" i="46" s="1"/>
  <c r="G130" i="97" s="1"/>
  <c r="Q134" i="46"/>
  <c r="R134" i="46" s="1"/>
  <c r="E130" i="97" s="1"/>
  <c r="L89" i="24"/>
  <c r="M89" i="24"/>
  <c r="K89" i="24"/>
  <c r="K85" i="24"/>
  <c r="M85" i="24"/>
  <c r="L85" i="24"/>
  <c r="K75" i="24"/>
  <c r="M75" i="24"/>
  <c r="L75" i="24"/>
  <c r="V122" i="46"/>
  <c r="F118" i="97" s="1"/>
  <c r="L93" i="24"/>
  <c r="M93" i="24"/>
  <c r="K93" i="24"/>
  <c r="M113" i="24"/>
  <c r="L113" i="24"/>
  <c r="K113" i="24"/>
  <c r="K84" i="24"/>
  <c r="L84" i="24"/>
  <c r="M84" i="24"/>
  <c r="K88" i="24"/>
  <c r="L88" i="24"/>
  <c r="M88" i="24"/>
  <c r="R137" i="24"/>
  <c r="T137" i="24"/>
  <c r="T117" i="24"/>
  <c r="R117" i="24"/>
  <c r="K77" i="24"/>
  <c r="M77" i="24"/>
  <c r="L77" i="24"/>
  <c r="M117" i="24"/>
  <c r="K117" i="24"/>
  <c r="L117" i="24"/>
  <c r="L126" i="46"/>
  <c r="D122" i="97" s="1"/>
  <c r="R91" i="24"/>
  <c r="T91" i="24"/>
  <c r="K111" i="24"/>
  <c r="L111" i="24"/>
  <c r="M111" i="24"/>
  <c r="Y49" i="24"/>
  <c r="Y76" i="24"/>
  <c r="Y83" i="24"/>
  <c r="Y37" i="24"/>
  <c r="Y73" i="24"/>
  <c r="Y133" i="24"/>
  <c r="Y112" i="24"/>
  <c r="Y132" i="24"/>
  <c r="Y141" i="24"/>
  <c r="Y44" i="24"/>
  <c r="AA89" i="24"/>
  <c r="Y57" i="24"/>
  <c r="Y146" i="24"/>
  <c r="Y117" i="24"/>
  <c r="Y115" i="24"/>
  <c r="Y110" i="24"/>
  <c r="Y122" i="24"/>
  <c r="Y63" i="24"/>
  <c r="AA100" i="24"/>
  <c r="Y74" i="24"/>
  <c r="Y130" i="24"/>
  <c r="Y65" i="24"/>
  <c r="Y101" i="24"/>
  <c r="Y142" i="24"/>
  <c r="AA104" i="24"/>
  <c r="Y96" i="24"/>
  <c r="Y131" i="24"/>
  <c r="Y58" i="24"/>
  <c r="Y100" i="24"/>
  <c r="Y77" i="24"/>
  <c r="Y41" i="24"/>
  <c r="Y70" i="24"/>
  <c r="Y32" i="24"/>
  <c r="Y111" i="24"/>
  <c r="AA96" i="24"/>
  <c r="Y99" i="24"/>
  <c r="Y116" i="24"/>
  <c r="Y114" i="24"/>
  <c r="Y89" i="24"/>
  <c r="Y67" i="24"/>
  <c r="Y59" i="24"/>
  <c r="Y126" i="24"/>
  <c r="Y147" i="24"/>
  <c r="Y43" i="24"/>
  <c r="Y33" i="24"/>
  <c r="Y39" i="24"/>
  <c r="AA103" i="24"/>
  <c r="Y86" i="24"/>
  <c r="Y87" i="24"/>
  <c r="AA85" i="24"/>
  <c r="AA33" i="24"/>
  <c r="D33" i="24" s="1"/>
  <c r="Y51" i="24"/>
  <c r="Y148" i="24"/>
  <c r="Y129" i="24"/>
  <c r="Y88" i="24"/>
  <c r="Y40" i="24"/>
  <c r="Y119" i="24"/>
  <c r="Y128" i="24"/>
  <c r="Y46" i="24"/>
  <c r="Y135" i="24"/>
  <c r="AA99" i="24"/>
  <c r="Y38" i="24"/>
  <c r="Y125" i="24"/>
  <c r="Y85" i="24"/>
  <c r="Y94" i="24"/>
  <c r="Y103" i="24"/>
  <c r="Y139" i="24"/>
  <c r="Y95" i="24"/>
  <c r="Y71" i="24"/>
  <c r="Y79" i="24"/>
  <c r="Y121" i="24"/>
  <c r="Y82" i="24"/>
  <c r="Y72" i="24"/>
  <c r="Y143" i="24"/>
  <c r="Y55" i="24"/>
  <c r="Y91" i="24"/>
  <c r="Y69" i="24"/>
  <c r="Y138" i="24"/>
  <c r="Y60" i="24"/>
  <c r="Y62" i="24"/>
  <c r="Y80" i="24"/>
  <c r="Y53" i="24"/>
  <c r="AA84" i="24"/>
  <c r="Y113" i="24"/>
  <c r="Y36" i="24"/>
  <c r="Y123" i="24"/>
  <c r="Y34" i="24"/>
  <c r="Y104" i="24"/>
  <c r="Y102" i="24"/>
  <c r="AA101" i="24"/>
  <c r="Y75" i="24"/>
  <c r="Y84" i="24"/>
  <c r="Y93" i="24"/>
  <c r="Y136" i="24"/>
  <c r="Y92" i="24"/>
  <c r="Y127" i="24"/>
  <c r="Y68" i="24"/>
  <c r="Y64" i="24"/>
  <c r="Y81" i="24"/>
  <c r="Y52" i="24"/>
  <c r="Y31" i="24"/>
  <c r="Y144" i="24"/>
  <c r="Y145" i="24"/>
  <c r="AA93" i="24"/>
  <c r="Y98" i="24"/>
  <c r="Y56" i="24"/>
  <c r="Y48" i="24"/>
  <c r="Y45" i="24"/>
  <c r="Y134" i="24"/>
  <c r="Y90" i="24"/>
  <c r="J42" i="97"/>
  <c r="J34" i="97"/>
  <c r="I97" i="97"/>
  <c r="S59" i="52" s="1"/>
  <c r="I39" i="97"/>
  <c r="J11" i="97"/>
  <c r="I13" i="97"/>
  <c r="J39" i="97"/>
  <c r="I99" i="97"/>
  <c r="J54" i="97"/>
  <c r="J48" i="97"/>
  <c r="J57" i="97"/>
  <c r="J72" i="97"/>
  <c r="J24" i="97"/>
  <c r="M59" i="52"/>
  <c r="I45" i="97"/>
  <c r="J89" i="97"/>
  <c r="J40" i="97"/>
  <c r="I62" i="97"/>
  <c r="I38" i="97"/>
  <c r="I54" i="97"/>
  <c r="J98" i="97"/>
  <c r="V58" i="52" s="1"/>
  <c r="I9" i="97"/>
  <c r="I91" i="97"/>
  <c r="I11" i="97"/>
  <c r="I10" i="97"/>
  <c r="J50" i="97"/>
  <c r="J27" i="97"/>
  <c r="J55" i="97"/>
  <c r="J76" i="97"/>
  <c r="I64" i="97"/>
  <c r="J10" i="97"/>
  <c r="I27" i="97"/>
  <c r="I71" i="97"/>
  <c r="J96" i="97"/>
  <c r="J87" i="97"/>
  <c r="J91" i="97"/>
  <c r="J21" i="97"/>
  <c r="I61" i="97"/>
  <c r="I48" i="97"/>
  <c r="J36" i="97"/>
  <c r="I59" i="97"/>
  <c r="J78" i="97"/>
  <c r="I70" i="97"/>
  <c r="I28" i="97"/>
  <c r="I43" i="97"/>
  <c r="J83" i="97"/>
  <c r="I72" i="97"/>
  <c r="J65" i="97"/>
  <c r="I73" i="97"/>
  <c r="I46" i="97"/>
  <c r="I76" i="97"/>
  <c r="J95" i="97"/>
  <c r="J29" i="97"/>
  <c r="I83" i="97"/>
  <c r="J12" i="97"/>
  <c r="I67" i="97"/>
  <c r="J7" i="97"/>
  <c r="I40" i="97"/>
  <c r="I88" i="97"/>
  <c r="J26" i="97"/>
  <c r="J86" i="97"/>
  <c r="J63" i="97"/>
  <c r="I92" i="97"/>
  <c r="J82" i="97"/>
  <c r="I29" i="97"/>
  <c r="I56" i="97"/>
  <c r="I89" i="97"/>
  <c r="I96" i="97"/>
  <c r="J61" i="97"/>
  <c r="J92" i="97"/>
  <c r="I23" i="97"/>
  <c r="J59" i="97"/>
  <c r="N101" i="97"/>
  <c r="O95" i="97"/>
  <c r="E88" i="36"/>
  <c r="D58" i="36"/>
  <c r="D15" i="36"/>
  <c r="O16" i="97" s="1"/>
  <c r="E97" i="36"/>
  <c r="D97" i="36"/>
  <c r="O99" i="97" s="1"/>
  <c r="D12" i="36"/>
  <c r="O13" i="97" s="1"/>
  <c r="E12" i="36"/>
  <c r="N26" i="97"/>
  <c r="C58" i="36"/>
  <c r="C108" i="36"/>
  <c r="N110" i="97" s="1"/>
  <c r="N49" i="97"/>
  <c r="N57" i="97"/>
  <c r="O91" i="97"/>
  <c r="D108" i="36"/>
  <c r="O110" i="97" s="1"/>
  <c r="N22" i="97"/>
  <c r="D42" i="36"/>
  <c r="O56" i="97" s="1"/>
  <c r="C42" i="36"/>
  <c r="P100" i="97"/>
  <c r="P78" i="97"/>
  <c r="N86" i="97"/>
  <c r="N69" i="97"/>
  <c r="N73" i="97"/>
  <c r="C89" i="36"/>
  <c r="N85" i="97" s="1"/>
  <c r="D123" i="36"/>
  <c r="O125" i="97" s="1"/>
  <c r="N62" i="97"/>
  <c r="P48" i="97"/>
  <c r="O27" i="97"/>
  <c r="E89" i="36"/>
  <c r="O83" i="97"/>
  <c r="P12" i="97"/>
  <c r="N90" i="97"/>
  <c r="N81" i="97"/>
  <c r="P64" i="97"/>
  <c r="P60" i="97"/>
  <c r="N70" i="97"/>
  <c r="N98" i="97"/>
  <c r="V75" i="52" s="1"/>
  <c r="N84" i="97"/>
  <c r="P10" i="97"/>
  <c r="N61" i="97"/>
  <c r="O47" i="97"/>
  <c r="E16" i="36"/>
  <c r="C15" i="36"/>
  <c r="M45" i="97"/>
  <c r="M49" i="97"/>
  <c r="M87" i="97"/>
  <c r="M55" i="97"/>
  <c r="M42" i="97"/>
  <c r="M43" i="97"/>
  <c r="M38" i="97"/>
  <c r="M63" i="97"/>
  <c r="M79" i="97"/>
  <c r="M16" i="97"/>
  <c r="M95" i="97"/>
  <c r="M34" i="97"/>
  <c r="M99" i="97"/>
  <c r="M74" i="97"/>
  <c r="M40" i="97"/>
  <c r="M37" i="97"/>
  <c r="M82" i="97"/>
  <c r="M77" i="97"/>
  <c r="J37" i="97"/>
  <c r="I53" i="97"/>
  <c r="J66" i="97"/>
  <c r="J16" i="97"/>
  <c r="I85" i="97"/>
  <c r="J49" i="97"/>
  <c r="I66" i="97"/>
  <c r="J41" i="97"/>
  <c r="I90" i="97"/>
  <c r="J77" i="97"/>
  <c r="J99" i="97"/>
  <c r="I7" i="97"/>
  <c r="J85" i="97"/>
  <c r="I95" i="97"/>
  <c r="I17" i="97"/>
  <c r="I26" i="97"/>
  <c r="J69" i="97"/>
  <c r="I15" i="97"/>
  <c r="J84" i="97"/>
  <c r="I94" i="97"/>
  <c r="I77" i="97"/>
  <c r="J17" i="97"/>
  <c r="I51" i="97"/>
  <c r="I50" i="97"/>
  <c r="J70" i="97"/>
  <c r="I65" i="97"/>
  <c r="I21" i="97"/>
  <c r="J94" i="97"/>
  <c r="J93" i="97"/>
  <c r="J81" i="97"/>
  <c r="J53" i="97"/>
  <c r="I58" i="97"/>
  <c r="J47" i="97"/>
  <c r="I18" i="97"/>
  <c r="I63" i="97"/>
  <c r="J44" i="97"/>
  <c r="I20" i="97"/>
  <c r="I60" i="97"/>
  <c r="J71" i="97"/>
  <c r="J79" i="97"/>
  <c r="I55" i="97"/>
  <c r="I87" i="97"/>
  <c r="J75" i="97"/>
  <c r="I93" i="97"/>
  <c r="J56" i="97"/>
  <c r="J18" i="97"/>
  <c r="I82" i="97"/>
  <c r="I84" i="97"/>
  <c r="J97" i="97"/>
  <c r="S58" i="52" s="1"/>
  <c r="I79" i="97"/>
  <c r="I74" i="97"/>
  <c r="I57" i="97"/>
  <c r="J13" i="97"/>
  <c r="I41" i="97"/>
  <c r="I69" i="97"/>
  <c r="I49" i="97"/>
  <c r="J64" i="97"/>
  <c r="J88" i="97"/>
  <c r="I86" i="97"/>
  <c r="I80" i="97"/>
  <c r="J62" i="97"/>
  <c r="J43" i="97"/>
  <c r="I42" i="97"/>
  <c r="J73" i="97"/>
  <c r="J60" i="97"/>
  <c r="J46" i="97"/>
  <c r="J90" i="97"/>
  <c r="J80" i="97"/>
  <c r="J51" i="97"/>
  <c r="I78" i="97"/>
  <c r="I81" i="97"/>
  <c r="J58" i="97"/>
  <c r="I16" i="97"/>
  <c r="J20" i="97"/>
  <c r="J67" i="97"/>
  <c r="I75" i="97"/>
  <c r="I98" i="97"/>
  <c r="V59" i="52" s="1"/>
  <c r="I44" i="97"/>
  <c r="I47" i="97"/>
  <c r="J45" i="97"/>
  <c r="I101" i="97"/>
  <c r="I100" i="97"/>
  <c r="J59" i="52" s="1"/>
  <c r="J101" i="97"/>
  <c r="J100" i="97"/>
  <c r="J58" i="52" s="1"/>
  <c r="J28" i="97"/>
  <c r="I34" i="97"/>
  <c r="I37" i="97"/>
  <c r="J25" i="97"/>
  <c r="I12" i="97"/>
  <c r="J22" i="97"/>
  <c r="I24" i="97"/>
  <c r="I25" i="97"/>
  <c r="I14" i="97"/>
  <c r="J23" i="97"/>
  <c r="I22" i="97"/>
  <c r="J14" i="97"/>
  <c r="J38" i="97"/>
  <c r="J35" i="97"/>
  <c r="I36" i="97"/>
  <c r="J15" i="97"/>
  <c r="I35" i="97"/>
  <c r="J9" i="97"/>
  <c r="H139" i="46"/>
  <c r="C135" i="97" s="1"/>
  <c r="C69" i="36"/>
  <c r="N71" i="97" s="1"/>
  <c r="D69" i="36"/>
  <c r="E110" i="36"/>
  <c r="P112" i="97" s="1"/>
  <c r="D110" i="36"/>
  <c r="O112" i="97" s="1"/>
  <c r="L22" i="24"/>
  <c r="V142" i="46"/>
  <c r="F138" i="97" s="1"/>
  <c r="J11" i="26"/>
  <c r="K11" i="26" s="1"/>
  <c r="BB11" i="26"/>
  <c r="BC11" i="26" s="1"/>
  <c r="J102" i="26"/>
  <c r="K102" i="26" s="1"/>
  <c r="BC8" i="26"/>
  <c r="BB38" i="26"/>
  <c r="BC38" i="26" s="1"/>
  <c r="M38" i="26" s="1"/>
  <c r="BB110" i="26"/>
  <c r="BC110" i="26" s="1"/>
  <c r="L119" i="26"/>
  <c r="J119" i="26" s="1"/>
  <c r="K119" i="26" s="1"/>
  <c r="BB68" i="26"/>
  <c r="BC68" i="26" s="1"/>
  <c r="M68" i="26" s="1"/>
  <c r="BB103" i="26"/>
  <c r="BC103" i="26" s="1"/>
  <c r="BB107" i="26"/>
  <c r="BC107" i="26" s="1"/>
  <c r="BB111" i="26"/>
  <c r="BC111" i="26" s="1"/>
  <c r="BB96" i="26"/>
  <c r="BC96" i="26" s="1"/>
  <c r="BB45" i="26"/>
  <c r="BC45" i="26" s="1"/>
  <c r="M45" i="26" s="1"/>
  <c r="BB36" i="26"/>
  <c r="BB117" i="26"/>
  <c r="BC117" i="26" s="1"/>
  <c r="BB49" i="26"/>
  <c r="BB82" i="26"/>
  <c r="BC82" i="26" s="1"/>
  <c r="M82" i="26" s="1"/>
  <c r="BB88" i="26"/>
  <c r="BC88" i="26" s="1"/>
  <c r="BB57" i="26"/>
  <c r="BB115" i="26"/>
  <c r="BC115" i="26" s="1"/>
  <c r="BB37" i="26"/>
  <c r="BC37" i="26" s="1"/>
  <c r="BB24" i="26"/>
  <c r="BC24" i="26" s="1"/>
  <c r="BB90" i="26"/>
  <c r="BC90" i="26" s="1"/>
  <c r="BB92" i="26"/>
  <c r="BC92" i="26" s="1"/>
  <c r="BC87" i="26"/>
  <c r="BB95" i="26"/>
  <c r="BC95" i="26" s="1"/>
  <c r="BB29" i="26"/>
  <c r="BB91" i="26"/>
  <c r="BC91" i="26" s="1"/>
  <c r="BB123" i="26"/>
  <c r="BC123" i="26" s="1"/>
  <c r="BB97" i="26"/>
  <c r="BC97" i="26" s="1"/>
  <c r="BB112" i="26"/>
  <c r="BC112" i="26" s="1"/>
  <c r="BB51" i="26"/>
  <c r="BC51" i="26" s="1"/>
  <c r="M51" i="26" s="1"/>
  <c r="BB47" i="26"/>
  <c r="BC47" i="26" s="1"/>
  <c r="M47" i="26" s="1"/>
  <c r="BB17" i="26"/>
  <c r="BC17" i="26" s="1"/>
  <c r="BB78" i="26"/>
  <c r="BC78" i="26" s="1"/>
  <c r="M78" i="26" s="1"/>
  <c r="BB28" i="26"/>
  <c r="BC28" i="26" s="1"/>
  <c r="BB66" i="26"/>
  <c r="BC66" i="26" s="1"/>
  <c r="M66" i="26" s="1"/>
  <c r="BB100" i="26"/>
  <c r="BC100" i="26" s="1"/>
  <c r="BC25" i="26"/>
  <c r="BC113" i="26"/>
  <c r="BC13" i="26"/>
  <c r="BB86" i="26"/>
  <c r="BC86" i="26" s="1"/>
  <c r="BB52" i="26"/>
  <c r="BC52" i="26" s="1"/>
  <c r="M52" i="26" s="1"/>
  <c r="BB10" i="26"/>
  <c r="BC10" i="26" s="1"/>
  <c r="BB16" i="26"/>
  <c r="BC16" i="26" s="1"/>
  <c r="BB72" i="26"/>
  <c r="BC72" i="26" s="1"/>
  <c r="M72" i="26" s="1"/>
  <c r="BB116" i="26"/>
  <c r="BC116" i="26" s="1"/>
  <c r="BB59" i="26"/>
  <c r="BB14" i="26"/>
  <c r="BC14" i="26" s="1"/>
  <c r="BB58" i="26"/>
  <c r="BC58" i="26" s="1"/>
  <c r="M58" i="26" s="1"/>
  <c r="BB81" i="26"/>
  <c r="BC81" i="26" s="1"/>
  <c r="M81" i="26" s="1"/>
  <c r="BB122" i="26"/>
  <c r="BC122" i="26" s="1"/>
  <c r="BB76" i="26"/>
  <c r="BC76" i="26" s="1"/>
  <c r="M76" i="26" s="1"/>
  <c r="BB41" i="26"/>
  <c r="BB89" i="26"/>
  <c r="BC89" i="26" s="1"/>
  <c r="BB33" i="26"/>
  <c r="BC33" i="26" s="1"/>
  <c r="M33" i="26" s="1"/>
  <c r="BB99" i="26"/>
  <c r="BC99" i="26" s="1"/>
  <c r="BB85" i="26"/>
  <c r="BC85" i="26" s="1"/>
  <c r="BB7" i="26"/>
  <c r="BC7" i="26" s="1"/>
  <c r="BB80" i="26"/>
  <c r="BB74" i="26"/>
  <c r="BC74" i="26" s="1"/>
  <c r="M74" i="26" s="1"/>
  <c r="BB6" i="26"/>
  <c r="BC6" i="26" s="1"/>
  <c r="BB108" i="26"/>
  <c r="BC108" i="26" s="1"/>
  <c r="BB42" i="26"/>
  <c r="BC42" i="26" s="1"/>
  <c r="M42" i="26" s="1"/>
  <c r="BB54" i="26"/>
  <c r="BC54" i="26" s="1"/>
  <c r="M54" i="26" s="1"/>
  <c r="BB50" i="26"/>
  <c r="BB120" i="26"/>
  <c r="BC120" i="26" s="1"/>
  <c r="BC12" i="26"/>
  <c r="BB71" i="26"/>
  <c r="BC71" i="26" s="1"/>
  <c r="M71" i="26" s="1"/>
  <c r="BB22" i="26"/>
  <c r="BC22" i="26" s="1"/>
  <c r="BB56" i="26"/>
  <c r="BC56" i="26" s="1"/>
  <c r="M56" i="26" s="1"/>
  <c r="BB101" i="26"/>
  <c r="BC101" i="26" s="1"/>
  <c r="BB46" i="26"/>
  <c r="BC46" i="26" s="1"/>
  <c r="M46" i="26" s="1"/>
  <c r="BB18" i="26"/>
  <c r="BC18" i="26" s="1"/>
  <c r="BB84" i="26"/>
  <c r="BC84" i="26" s="1"/>
  <c r="BB27" i="26"/>
  <c r="BC27" i="26" s="1"/>
  <c r="M27" i="26" s="1"/>
  <c r="BB62" i="26"/>
  <c r="BB104" i="26"/>
  <c r="BC104" i="26" s="1"/>
  <c r="BB121" i="26"/>
  <c r="BC121" i="26" s="1"/>
  <c r="BC124" i="26"/>
  <c r="BB75" i="26"/>
  <c r="BB43" i="26"/>
  <c r="BB67" i="26"/>
  <c r="BC67" i="26" s="1"/>
  <c r="M67" i="26" s="1"/>
  <c r="BB94" i="26"/>
  <c r="BC94" i="26" s="1"/>
  <c r="BB109" i="26"/>
  <c r="BC109" i="26" s="1"/>
  <c r="BB102" i="26"/>
  <c r="BC102" i="26" s="1"/>
  <c r="BB39" i="26"/>
  <c r="BC39" i="26" s="1"/>
  <c r="M39" i="26" s="1"/>
  <c r="BB40" i="26"/>
  <c r="BC40" i="26" s="1"/>
  <c r="M40" i="26" s="1"/>
  <c r="BB73" i="26"/>
  <c r="BC73" i="26" s="1"/>
  <c r="M73" i="26" s="1"/>
  <c r="BB83" i="26"/>
  <c r="BC83" i="26" s="1"/>
  <c r="BB98" i="26"/>
  <c r="BC98" i="26" s="1"/>
  <c r="BB114" i="26"/>
  <c r="BC114" i="26" s="1"/>
  <c r="BB15" i="26"/>
  <c r="BC15" i="26" s="1"/>
  <c r="AK114" i="26"/>
  <c r="AG114" i="26" s="1"/>
  <c r="AE114" i="26" s="1"/>
  <c r="BD57" i="26"/>
  <c r="BE57" i="26" s="1"/>
  <c r="BD72" i="26"/>
  <c r="BE72" i="26" s="1"/>
  <c r="P101" i="26"/>
  <c r="N101" i="26" s="1"/>
  <c r="L101" i="26" s="1"/>
  <c r="BD80" i="26"/>
  <c r="BE80" i="26" s="1"/>
  <c r="BD83" i="26"/>
  <c r="BE83" i="26" s="1"/>
  <c r="BD82" i="26"/>
  <c r="BD43" i="26"/>
  <c r="BE43" i="26" s="1"/>
  <c r="BD108" i="26"/>
  <c r="BE108" i="26" s="1"/>
  <c r="BD62" i="26"/>
  <c r="BE62" i="26" s="1"/>
  <c r="P105" i="26"/>
  <c r="N105" i="26" s="1"/>
  <c r="L105" i="26" s="1"/>
  <c r="N106" i="26"/>
  <c r="L106" i="26" s="1"/>
  <c r="J106" i="26" s="1"/>
  <c r="K106" i="26" s="1"/>
  <c r="L100" i="26"/>
  <c r="J100" i="26" s="1"/>
  <c r="K100" i="26" s="1"/>
  <c r="BD74" i="26"/>
  <c r="BE74" i="26" s="1"/>
  <c r="BD40" i="26"/>
  <c r="BE40" i="26" s="1"/>
  <c r="BD67" i="26"/>
  <c r="BE67" i="26" s="1"/>
  <c r="BD104" i="26"/>
  <c r="BE104" i="26" s="1"/>
  <c r="BD107" i="26"/>
  <c r="BE107" i="26" s="1"/>
  <c r="L90" i="26"/>
  <c r="BD105" i="26"/>
  <c r="BE105" i="26" s="1"/>
  <c r="BD110" i="26"/>
  <c r="BE110" i="26" s="1"/>
  <c r="BD59" i="26"/>
  <c r="BE59" i="26" s="1"/>
  <c r="BD84" i="26"/>
  <c r="BE84" i="26" s="1"/>
  <c r="BD109" i="26"/>
  <c r="BE109" i="26" s="1"/>
  <c r="BD86" i="26"/>
  <c r="BE86" i="26" s="1"/>
  <c r="BD41" i="26"/>
  <c r="BE41" i="26" s="1"/>
  <c r="P92" i="26"/>
  <c r="N92" i="26" s="1"/>
  <c r="L92" i="26" s="1"/>
  <c r="BD85" i="26"/>
  <c r="BE85" i="26" s="1"/>
  <c r="BD52" i="26"/>
  <c r="BE52" i="26" s="1"/>
  <c r="BD92" i="26"/>
  <c r="BE92" i="26" s="1"/>
  <c r="L84" i="26"/>
  <c r="AF139" i="26"/>
  <c r="BD49" i="26"/>
  <c r="BE49" i="26" s="1"/>
  <c r="BD38" i="26"/>
  <c r="BE38" i="26" s="1"/>
  <c r="BD51" i="26"/>
  <c r="BE51" i="26" s="1"/>
  <c r="BD50" i="26"/>
  <c r="BE50" i="26" s="1"/>
  <c r="BD56" i="26"/>
  <c r="BE56" i="26" s="1"/>
  <c r="BD78" i="26"/>
  <c r="BE78" i="26" s="1"/>
  <c r="BD28" i="26"/>
  <c r="BE28" i="26" s="1"/>
  <c r="AF128" i="26"/>
  <c r="M128" i="26"/>
  <c r="AK39" i="26"/>
  <c r="AG39" i="26" s="1"/>
  <c r="AE39" i="26" s="1"/>
  <c r="AC39" i="26" s="1"/>
  <c r="AD39" i="26" s="1"/>
  <c r="AK76" i="26"/>
  <c r="AG76" i="26" s="1"/>
  <c r="AE76" i="26" s="1"/>
  <c r="L138" i="26"/>
  <c r="M127" i="26"/>
  <c r="M133" i="26"/>
  <c r="BD73" i="26"/>
  <c r="BE73" i="26" s="1"/>
  <c r="M125" i="26"/>
  <c r="M139" i="26"/>
  <c r="L19" i="26"/>
  <c r="BD26" i="26"/>
  <c r="BE26" i="26" s="1"/>
  <c r="C139" i="26"/>
  <c r="D139" i="26" s="1"/>
  <c r="P48" i="26"/>
  <c r="N48" i="26" s="1"/>
  <c r="L48" i="26" s="1"/>
  <c r="BD68" i="26"/>
  <c r="BE68" i="26" s="1"/>
  <c r="F109" i="82"/>
  <c r="L26" i="26"/>
  <c r="L36" i="26"/>
  <c r="J36" i="26" s="1"/>
  <c r="K36" i="26" s="1"/>
  <c r="F131" i="82"/>
  <c r="L132" i="73" s="1"/>
  <c r="F135" i="82"/>
  <c r="L136" i="73" s="1"/>
  <c r="L28" i="26"/>
  <c r="J28" i="26" s="1"/>
  <c r="K28" i="26" s="1"/>
  <c r="C128" i="26"/>
  <c r="D128" i="26" s="1"/>
  <c r="M130" i="26"/>
  <c r="M137" i="26"/>
  <c r="M129" i="26"/>
  <c r="M135" i="26"/>
  <c r="M134" i="26"/>
  <c r="M126" i="26"/>
  <c r="AE71" i="26"/>
  <c r="AC71" i="26" s="1"/>
  <c r="AD71" i="26" s="1"/>
  <c r="L37" i="26"/>
  <c r="BD36" i="26"/>
  <c r="BE36" i="26" s="1"/>
  <c r="BD27" i="26"/>
  <c r="BE27" i="26" s="1"/>
  <c r="BD29" i="26"/>
  <c r="BE29" i="26" s="1"/>
  <c r="L29" i="26"/>
  <c r="J29" i="26" s="1"/>
  <c r="K29" i="26" s="1"/>
  <c r="BD58" i="26"/>
  <c r="BE58" i="26" s="1"/>
  <c r="BD71" i="26"/>
  <c r="BE71" i="26" s="1"/>
  <c r="AE59" i="26"/>
  <c r="AC59" i="26" s="1"/>
  <c r="AD59" i="26" s="1"/>
  <c r="M42" i="52"/>
  <c r="P42" i="52"/>
  <c r="D87" i="36"/>
  <c r="C87" i="36"/>
  <c r="N89" i="97" s="1"/>
  <c r="E45" i="36"/>
  <c r="P47" i="97" s="1"/>
  <c r="C45" i="36"/>
  <c r="N47" i="97" s="1"/>
  <c r="D88" i="36"/>
  <c r="D82" i="36"/>
  <c r="E82" i="36"/>
  <c r="BD124" i="26"/>
  <c r="BE124" i="26" s="1"/>
  <c r="AK12" i="26"/>
  <c r="AG12" i="26" s="1"/>
  <c r="AE12" i="26" s="1"/>
  <c r="C16" i="36"/>
  <c r="N17" i="97" s="1"/>
  <c r="P124" i="26"/>
  <c r="N124" i="26" s="1"/>
  <c r="L124" i="26" s="1"/>
  <c r="AK11" i="26"/>
  <c r="AG11" i="26" s="1"/>
  <c r="AE11" i="26" s="1"/>
  <c r="AF11" i="26" s="1"/>
  <c r="AE124" i="26"/>
  <c r="AC124" i="26" s="1"/>
  <c r="AD124" i="26" s="1"/>
  <c r="L10" i="26"/>
  <c r="J10" i="26" s="1"/>
  <c r="K10" i="26" s="1"/>
  <c r="BC55" i="26"/>
  <c r="M55" i="26" s="1"/>
  <c r="BE35" i="26"/>
  <c r="AF35" i="26" s="1"/>
  <c r="BC48" i="26"/>
  <c r="BE39" i="26"/>
  <c r="BE64" i="26"/>
  <c r="AF64" i="26" s="1"/>
  <c r="BC69" i="26"/>
  <c r="M69" i="26" s="1"/>
  <c r="BE55" i="26"/>
  <c r="BC35" i="26"/>
  <c r="M35" i="26" s="1"/>
  <c r="BC65" i="26"/>
  <c r="M65" i="26" s="1"/>
  <c r="BC79" i="26"/>
  <c r="M79" i="26" s="1"/>
  <c r="BE34" i="26"/>
  <c r="AF34" i="26" s="1"/>
  <c r="BE79" i="26"/>
  <c r="AF79" i="26" s="1"/>
  <c r="BC34" i="26"/>
  <c r="M34" i="26" s="1"/>
  <c r="BC63" i="26"/>
  <c r="M63" i="26" s="1"/>
  <c r="BC31" i="26"/>
  <c r="M31" i="26" s="1"/>
  <c r="BE63" i="26"/>
  <c r="AF63" i="26" s="1"/>
  <c r="BE53" i="26"/>
  <c r="AF53" i="26" s="1"/>
  <c r="BE60" i="26"/>
  <c r="AF60" i="26" s="1"/>
  <c r="BE76" i="26"/>
  <c r="BE70" i="26"/>
  <c r="BC64" i="26"/>
  <c r="M64" i="26" s="1"/>
  <c r="BC77" i="26"/>
  <c r="M77" i="26" s="1"/>
  <c r="BE77" i="26"/>
  <c r="BE61" i="26"/>
  <c r="AF61" i="26" s="1"/>
  <c r="BC53" i="26"/>
  <c r="M53" i="26" s="1"/>
  <c r="BE44" i="26"/>
  <c r="AF44" i="26" s="1"/>
  <c r="BC60" i="26"/>
  <c r="M60" i="26" s="1"/>
  <c r="P12" i="26"/>
  <c r="N12" i="26" s="1"/>
  <c r="L12" i="26" s="1"/>
  <c r="J12" i="26" s="1"/>
  <c r="K12" i="26" s="1"/>
  <c r="AE142" i="46"/>
  <c r="AF142" i="46" s="1"/>
  <c r="H138" i="97" s="1"/>
  <c r="F80" i="82"/>
  <c r="I57" i="82"/>
  <c r="F71" i="82"/>
  <c r="E113" i="36"/>
  <c r="P115" i="97" s="1"/>
  <c r="C49" i="36"/>
  <c r="N51" i="97" s="1"/>
  <c r="D55" i="36"/>
  <c r="D115" i="36"/>
  <c r="O117" i="97" s="1"/>
  <c r="E123" i="36"/>
  <c r="P125" i="97" s="1"/>
  <c r="D118" i="36"/>
  <c r="O120" i="97" s="1"/>
  <c r="C27" i="36"/>
  <c r="E55" i="36"/>
  <c r="D27" i="36"/>
  <c r="O28" i="97" s="1"/>
  <c r="D56" i="36"/>
  <c r="E56" i="36"/>
  <c r="L56" i="82"/>
  <c r="K76" i="82"/>
  <c r="K45" i="82"/>
  <c r="L57" i="82"/>
  <c r="M84" i="98"/>
  <c r="AS82" i="120" s="1"/>
  <c r="I16" i="82"/>
  <c r="J45" i="82"/>
  <c r="C12" i="82"/>
  <c r="R12" i="73" s="1"/>
  <c r="K56" i="82"/>
  <c r="K91" i="82"/>
  <c r="F56" i="82"/>
  <c r="F116" i="82"/>
  <c r="F130" i="82"/>
  <c r="L131" i="73" s="1"/>
  <c r="L37" i="82"/>
  <c r="L27" i="82"/>
  <c r="J69" i="82"/>
  <c r="F78" i="82"/>
  <c r="L137" i="82"/>
  <c r="F23" i="82"/>
  <c r="I127" i="82"/>
  <c r="K124" i="82"/>
  <c r="K41" i="82"/>
  <c r="L21" i="82"/>
  <c r="K94" i="82"/>
  <c r="F45" i="82"/>
  <c r="I39" i="82"/>
  <c r="J127" i="82"/>
  <c r="L129" i="82"/>
  <c r="C126" i="82"/>
  <c r="J36" i="52" s="1"/>
  <c r="I138" i="82"/>
  <c r="J134" i="82"/>
  <c r="I135" i="82"/>
  <c r="F76" i="82"/>
  <c r="N18" i="15"/>
  <c r="G18" i="15" s="1"/>
  <c r="L20" i="82" s="1"/>
  <c r="P21" i="26"/>
  <c r="N21" i="26" s="1"/>
  <c r="L21" i="26" s="1"/>
  <c r="J21" i="26" s="1"/>
  <c r="K21" i="26" s="1"/>
  <c r="P112" i="26"/>
  <c r="N112" i="26" s="1"/>
  <c r="L112" i="26" s="1"/>
  <c r="J112" i="26" s="1"/>
  <c r="K112" i="26" s="1"/>
  <c r="M26" i="15"/>
  <c r="F26" i="15" s="1"/>
  <c r="J76" i="98"/>
  <c r="AF74" i="120" s="1"/>
  <c r="L26" i="17"/>
  <c r="G26" i="17" s="1"/>
  <c r="E27" i="98" s="1"/>
  <c r="K22" i="15"/>
  <c r="C22" i="15" s="1"/>
  <c r="I13" i="82" s="1"/>
  <c r="L12" i="17"/>
  <c r="G12" i="17" s="1"/>
  <c r="E13" i="98" s="1"/>
  <c r="M13" i="15"/>
  <c r="F13" i="15" s="1"/>
  <c r="L98" i="98"/>
  <c r="AP96" i="120" s="1"/>
  <c r="K14" i="17"/>
  <c r="E14" i="17" s="1"/>
  <c r="D15" i="98" s="1"/>
  <c r="J18" i="17"/>
  <c r="D18" i="17" s="1"/>
  <c r="C19" i="98" s="1"/>
  <c r="J19" i="98"/>
  <c r="AF16" i="120" s="1"/>
  <c r="K15" i="98"/>
  <c r="AI12" i="120" s="1"/>
  <c r="D110" i="15"/>
  <c r="J109" i="82" s="1"/>
  <c r="E115" i="17"/>
  <c r="D111" i="98" s="1"/>
  <c r="D34" i="17"/>
  <c r="C35" i="98" s="1"/>
  <c r="L26" i="98"/>
  <c r="AP23" i="120" s="1"/>
  <c r="M25" i="15"/>
  <c r="F25" i="15" s="1"/>
  <c r="L68" i="98"/>
  <c r="AP66" i="120" s="1"/>
  <c r="AR66" i="120" s="1"/>
  <c r="M18" i="98"/>
  <c r="AS15" i="120" s="1"/>
  <c r="J64" i="98"/>
  <c r="AF62" i="120" s="1"/>
  <c r="J31" i="98"/>
  <c r="AF28" i="120" s="1"/>
  <c r="K55" i="98"/>
  <c r="AI53" i="120" s="1"/>
  <c r="V57" i="46"/>
  <c r="E47" i="17"/>
  <c r="D48" i="98" s="1"/>
  <c r="M56" i="98"/>
  <c r="AS54" i="120" s="1"/>
  <c r="K44" i="98"/>
  <c r="AI42" i="120" s="1"/>
  <c r="K89" i="98"/>
  <c r="AI87" i="120" s="1"/>
  <c r="G68" i="17"/>
  <c r="E69" i="98" s="1"/>
  <c r="J72" i="82"/>
  <c r="J98" i="82"/>
  <c r="J87" i="98"/>
  <c r="AF85" i="120" s="1"/>
  <c r="AH85" i="120" s="1"/>
  <c r="I85" i="82"/>
  <c r="G71" i="17"/>
  <c r="E72" i="98" s="1"/>
  <c r="L45" i="98"/>
  <c r="AP43" i="120" s="1"/>
  <c r="G44" i="17"/>
  <c r="E45" i="98" s="1"/>
  <c r="L20" i="15"/>
  <c r="D20" i="15" s="1"/>
  <c r="J19" i="82" s="1"/>
  <c r="D38" i="36"/>
  <c r="O40" i="97" s="1"/>
  <c r="C64" i="26"/>
  <c r="D64" i="26" s="1"/>
  <c r="BD96" i="26"/>
  <c r="BE96" i="26" s="1"/>
  <c r="F110" i="82"/>
  <c r="L15" i="26"/>
  <c r="L6" i="26"/>
  <c r="J6" i="26" s="1"/>
  <c r="K6" i="26" s="1"/>
  <c r="F62" i="82"/>
  <c r="J21" i="17"/>
  <c r="D21" i="17" s="1"/>
  <c r="C22" i="98" s="1"/>
  <c r="P87" i="52"/>
  <c r="P89" i="52" s="1"/>
  <c r="Q89" i="52" s="1"/>
  <c r="E38" i="36"/>
  <c r="P40" i="97" s="1"/>
  <c r="C11" i="36"/>
  <c r="N12" i="97" s="1"/>
  <c r="H55" i="17"/>
  <c r="F56" i="98" s="1"/>
  <c r="J46" i="98"/>
  <c r="AF44" i="120" s="1"/>
  <c r="BD31" i="26"/>
  <c r="E93" i="36"/>
  <c r="C93" i="36"/>
  <c r="D11" i="36"/>
  <c r="O12" i="97" s="1"/>
  <c r="E43" i="36"/>
  <c r="C79" i="26"/>
  <c r="D79" i="26" s="1"/>
  <c r="E40" i="36"/>
  <c r="D40" i="36"/>
  <c r="C40" i="36"/>
  <c r="N42" i="97" s="1"/>
  <c r="D84" i="36"/>
  <c r="O20" i="97" s="1"/>
  <c r="D43" i="36"/>
  <c r="O45" i="97" s="1"/>
  <c r="E28" i="36"/>
  <c r="P29" i="97" s="1"/>
  <c r="D28" i="36"/>
  <c r="O29" i="97" s="1"/>
  <c r="C28" i="36"/>
  <c r="N29" i="97" s="1"/>
  <c r="BD106" i="26"/>
  <c r="BD118" i="26"/>
  <c r="BE118" i="26" s="1"/>
  <c r="E84" i="36"/>
  <c r="C109" i="36"/>
  <c r="N111" i="97" s="1"/>
  <c r="E109" i="36"/>
  <c r="P111" i="97" s="1"/>
  <c r="D109" i="36"/>
  <c r="O111" i="97" s="1"/>
  <c r="BD95" i="26"/>
  <c r="BE95" i="26" s="1"/>
  <c r="C13" i="36"/>
  <c r="D13" i="36"/>
  <c r="E13" i="36"/>
  <c r="P14" i="97" s="1"/>
  <c r="AA28" i="24"/>
  <c r="D28" i="24" s="1"/>
  <c r="Y21" i="24"/>
  <c r="AK116" i="26"/>
  <c r="AG116" i="26" s="1"/>
  <c r="AE116" i="26" s="1"/>
  <c r="AC116" i="26" s="1"/>
  <c r="AD116" i="26" s="1"/>
  <c r="J74" i="52"/>
  <c r="K74" i="52" s="1"/>
  <c r="V18" i="46"/>
  <c r="F19" i="97" s="1"/>
  <c r="P17" i="120" s="1"/>
  <c r="E70" i="98"/>
  <c r="H70" i="98" s="1"/>
  <c r="O68" i="125" s="1"/>
  <c r="Q68" i="125" s="1"/>
  <c r="AA29" i="24"/>
  <c r="C69" i="17"/>
  <c r="H21" i="15"/>
  <c r="K140" i="82"/>
  <c r="F120" i="15"/>
  <c r="C17" i="17"/>
  <c r="F95" i="17"/>
  <c r="L116" i="98"/>
  <c r="AP119" i="120" s="1"/>
  <c r="F116" i="17"/>
  <c r="F92" i="17"/>
  <c r="E44" i="17"/>
  <c r="D45" i="98" s="1"/>
  <c r="D121" i="15"/>
  <c r="K122" i="98"/>
  <c r="AI125" i="120" s="1"/>
  <c r="K13" i="98"/>
  <c r="AI10" i="120" s="1"/>
  <c r="Y28" i="24"/>
  <c r="C95" i="17"/>
  <c r="H44" i="17"/>
  <c r="F45" i="98" s="1"/>
  <c r="H45" i="17"/>
  <c r="F46" i="98" s="1"/>
  <c r="M69" i="98"/>
  <c r="AS67" i="120" s="1"/>
  <c r="E15" i="15"/>
  <c r="J117" i="26"/>
  <c r="K117" i="26" s="1"/>
  <c r="Y26" i="24"/>
  <c r="Y29" i="24"/>
  <c r="Y15" i="24"/>
  <c r="Y19" i="24"/>
  <c r="Y27" i="24"/>
  <c r="L10" i="24"/>
  <c r="AK24" i="26"/>
  <c r="AG24" i="26" s="1"/>
  <c r="AE24" i="26" s="1"/>
  <c r="AC24" i="26" s="1"/>
  <c r="AD24" i="26" s="1"/>
  <c r="K18" i="98"/>
  <c r="AI15" i="120" s="1"/>
  <c r="L76" i="82"/>
  <c r="M78" i="98"/>
  <c r="AS76" i="120" s="1"/>
  <c r="D62" i="36"/>
  <c r="O64" i="97" s="1"/>
  <c r="C116" i="17"/>
  <c r="C112" i="98"/>
  <c r="H112" i="98" s="1"/>
  <c r="O110" i="125" s="1"/>
  <c r="Q110" i="125" s="1"/>
  <c r="G120" i="17"/>
  <c r="E116" i="98" s="1"/>
  <c r="I140" i="82"/>
  <c r="P141" i="73" s="1"/>
  <c r="AS141" i="73" s="1"/>
  <c r="L31" i="98"/>
  <c r="AP28" i="120" s="1"/>
  <c r="L43" i="82"/>
  <c r="K45" i="98"/>
  <c r="AI43" i="120" s="1"/>
  <c r="L13" i="15"/>
  <c r="D13" i="15" s="1"/>
  <c r="J12" i="82" s="1"/>
  <c r="D30" i="36"/>
  <c r="F18" i="17"/>
  <c r="C30" i="36"/>
  <c r="N31" i="97" s="1"/>
  <c r="C91" i="36"/>
  <c r="N93" i="97" s="1"/>
  <c r="E10" i="36"/>
  <c r="L46" i="98"/>
  <c r="AP44" i="120" s="1"/>
  <c r="D91" i="36"/>
  <c r="K31" i="98"/>
  <c r="AI28" i="120" s="1"/>
  <c r="E75" i="36"/>
  <c r="P77" i="97" s="1"/>
  <c r="K8" i="15"/>
  <c r="C8" i="15" s="1"/>
  <c r="L18" i="15"/>
  <c r="D18" i="15" s="1"/>
  <c r="K33" i="82"/>
  <c r="C63" i="36"/>
  <c r="L35" i="98"/>
  <c r="AP33" i="120" s="1"/>
  <c r="AR33" i="120" s="1"/>
  <c r="D75" i="36"/>
  <c r="O77" i="97" s="1"/>
  <c r="M15" i="15"/>
  <c r="F15" i="15" s="1"/>
  <c r="K14" i="82" s="1"/>
  <c r="D63" i="36"/>
  <c r="M87" i="98"/>
  <c r="AS85" i="120" s="1"/>
  <c r="J8" i="98"/>
  <c r="AF5" i="120" s="1"/>
  <c r="L15" i="98"/>
  <c r="AP12" i="120" s="1"/>
  <c r="AR12" i="120" s="1"/>
  <c r="C61" i="36"/>
  <c r="K69" i="98"/>
  <c r="AI67" i="120" s="1"/>
  <c r="K41" i="98"/>
  <c r="AI39" i="120" s="1"/>
  <c r="E90" i="36"/>
  <c r="P92" i="97" s="1"/>
  <c r="D61" i="36"/>
  <c r="O63" i="97" s="1"/>
  <c r="L93" i="98"/>
  <c r="AP91" i="120" s="1"/>
  <c r="AR91" i="120" s="1"/>
  <c r="C78" i="36"/>
  <c r="M15" i="98"/>
  <c r="AS12" i="120" s="1"/>
  <c r="N15" i="15"/>
  <c r="G15" i="15" s="1"/>
  <c r="L14" i="82" s="1"/>
  <c r="K46" i="98"/>
  <c r="AI44" i="120" s="1"/>
  <c r="J14" i="17"/>
  <c r="D14" i="17" s="1"/>
  <c r="C15" i="98" s="1"/>
  <c r="E83" i="17"/>
  <c r="D84" i="98" s="1"/>
  <c r="J45" i="98"/>
  <c r="AF43" i="120" s="1"/>
  <c r="M96" i="98"/>
  <c r="AS94" i="120" s="1"/>
  <c r="C19" i="36"/>
  <c r="N20" i="97" s="1"/>
  <c r="L8" i="15"/>
  <c r="D8" i="15" s="1"/>
  <c r="J7" i="82" s="1"/>
  <c r="C10" i="36"/>
  <c r="N11" i="97" s="1"/>
  <c r="D44" i="17"/>
  <c r="C45" i="98" s="1"/>
  <c r="E111" i="15"/>
  <c r="K13" i="15"/>
  <c r="C13" i="15" s="1"/>
  <c r="J13" i="98"/>
  <c r="AF10" i="120" s="1"/>
  <c r="AH10" i="120" s="1"/>
  <c r="C77" i="36"/>
  <c r="E79" i="36"/>
  <c r="P7" i="97" s="1"/>
  <c r="H113" i="17"/>
  <c r="F109" i="98" s="1"/>
  <c r="L120" i="82"/>
  <c r="D71" i="17"/>
  <c r="C72" i="98" s="1"/>
  <c r="J12" i="17"/>
  <c r="D12" i="17" s="1"/>
  <c r="E19" i="36"/>
  <c r="K8" i="98"/>
  <c r="AI5" i="120" s="1"/>
  <c r="M122" i="98"/>
  <c r="AS125" i="120" s="1"/>
  <c r="M116" i="98"/>
  <c r="AS119" i="120" s="1"/>
  <c r="J106" i="98"/>
  <c r="AF109" i="120" s="1"/>
  <c r="H120" i="17"/>
  <c r="F116" i="98" s="1"/>
  <c r="L77" i="98"/>
  <c r="AP75" i="120" s="1"/>
  <c r="F57" i="17"/>
  <c r="J100" i="98"/>
  <c r="AF98" i="120" s="1"/>
  <c r="D99" i="17"/>
  <c r="C100" i="98" s="1"/>
  <c r="L98" i="82"/>
  <c r="J41" i="82"/>
  <c r="M31" i="98"/>
  <c r="AS28" i="120" s="1"/>
  <c r="E86" i="17"/>
  <c r="D53" i="36"/>
  <c r="O55" i="97" s="1"/>
  <c r="C53" i="36"/>
  <c r="S74" i="52"/>
  <c r="T74" i="52" s="1"/>
  <c r="Y16" i="24"/>
  <c r="S87" i="52"/>
  <c r="S89" i="52" s="1"/>
  <c r="T89" i="52" s="1"/>
  <c r="Y9" i="24"/>
  <c r="V87" i="52"/>
  <c r="V89" i="52" s="1"/>
  <c r="W89" i="52" s="1"/>
  <c r="Y24" i="24"/>
  <c r="S49" i="52"/>
  <c r="Y25" i="24"/>
  <c r="Y22" i="24"/>
  <c r="Y10" i="24"/>
  <c r="V49" i="52"/>
  <c r="Y30" i="24"/>
  <c r="Y17" i="24"/>
  <c r="Y18" i="24"/>
  <c r="Y13" i="24"/>
  <c r="Y23" i="24"/>
  <c r="Y11" i="24"/>
  <c r="Y20" i="24"/>
  <c r="Y14" i="24"/>
  <c r="S47" i="52"/>
  <c r="T47" i="52" s="1"/>
  <c r="Y12" i="24"/>
  <c r="T28" i="24"/>
  <c r="R24" i="24"/>
  <c r="L23" i="24"/>
  <c r="M14" i="17"/>
  <c r="H14" i="17" s="1"/>
  <c r="F15" i="98" s="1"/>
  <c r="M21" i="98"/>
  <c r="AS18" i="120" s="1"/>
  <c r="M30" i="98"/>
  <c r="AS27" i="120" s="1"/>
  <c r="AV27" i="120" s="1"/>
  <c r="AY27" i="120" s="1"/>
  <c r="K23" i="24"/>
  <c r="L28" i="24"/>
  <c r="H111" i="15"/>
  <c r="M20" i="17"/>
  <c r="H20" i="17" s="1"/>
  <c r="F21" i="98" s="1"/>
  <c r="M108" i="98"/>
  <c r="AS111" i="120" s="1"/>
  <c r="M29" i="17"/>
  <c r="H29" i="17" s="1"/>
  <c r="F30" i="98" s="1"/>
  <c r="M28" i="24"/>
  <c r="F117" i="15"/>
  <c r="J68" i="98"/>
  <c r="AF66" i="120" s="1"/>
  <c r="AH66" i="120" s="1"/>
  <c r="M10" i="24"/>
  <c r="P97" i="26"/>
  <c r="N97" i="26" s="1"/>
  <c r="L97" i="26" s="1"/>
  <c r="F82" i="82"/>
  <c r="AK112" i="26"/>
  <c r="AG112" i="26" s="1"/>
  <c r="AE112" i="26" s="1"/>
  <c r="AC112" i="26" s="1"/>
  <c r="AD112" i="26" s="1"/>
  <c r="P99" i="26"/>
  <c r="N99" i="26" s="1"/>
  <c r="L99" i="26" s="1"/>
  <c r="J99" i="26" s="1"/>
  <c r="K99" i="26" s="1"/>
  <c r="M47" i="52"/>
  <c r="N47" i="52" s="1"/>
  <c r="P74" i="52"/>
  <c r="Q74" i="52" s="1"/>
  <c r="S48" i="52"/>
  <c r="V74" i="52"/>
  <c r="W74" i="52" s="1"/>
  <c r="M48" i="52"/>
  <c r="P48" i="52"/>
  <c r="D121" i="17"/>
  <c r="C117" i="98" s="1"/>
  <c r="AK8" i="26"/>
  <c r="AG8" i="26" s="1"/>
  <c r="AE8" i="26" s="1"/>
  <c r="L25" i="15"/>
  <c r="D25" i="15" s="1"/>
  <c r="G81" i="17"/>
  <c r="M41" i="98"/>
  <c r="AS39" i="120" s="1"/>
  <c r="J122" i="98"/>
  <c r="AF125" i="120" s="1"/>
  <c r="K30" i="17"/>
  <c r="E30" i="17" s="1"/>
  <c r="D31" i="98" s="1"/>
  <c r="D126" i="17"/>
  <c r="C122" i="98" s="1"/>
  <c r="K18" i="17"/>
  <c r="E18" i="17" s="1"/>
  <c r="D19" i="98" s="1"/>
  <c r="M82" i="98"/>
  <c r="AS80" i="120" s="1"/>
  <c r="J72" i="98"/>
  <c r="AF70" i="120" s="1"/>
  <c r="M22" i="98"/>
  <c r="AS19" i="120" s="1"/>
  <c r="V47" i="52"/>
  <c r="W47" i="52" s="1"/>
  <c r="J78" i="98"/>
  <c r="AF76" i="120" s="1"/>
  <c r="K77" i="98"/>
  <c r="AI75" i="120" s="1"/>
  <c r="E48" i="36"/>
  <c r="N19" i="15"/>
  <c r="G19" i="15" s="1"/>
  <c r="D48" i="36"/>
  <c r="O50" i="97" s="1"/>
  <c r="D88" i="17"/>
  <c r="C89" i="98" s="1"/>
  <c r="E17" i="36"/>
  <c r="D17" i="36"/>
  <c r="K79" i="98"/>
  <c r="AI77" i="120" s="1"/>
  <c r="L118" i="98"/>
  <c r="AP121" i="120" s="1"/>
  <c r="M64" i="98"/>
  <c r="AS62" i="120" s="1"/>
  <c r="E122" i="36"/>
  <c r="P124" i="97" s="1"/>
  <c r="C46" i="36"/>
  <c r="N48" i="97" s="1"/>
  <c r="M68" i="98"/>
  <c r="AS66" i="120" s="1"/>
  <c r="K32" i="17"/>
  <c r="E32" i="17" s="1"/>
  <c r="D33" i="98" s="1"/>
  <c r="M118" i="98"/>
  <c r="AS121" i="120" s="1"/>
  <c r="E77" i="36"/>
  <c r="P79" i="97" s="1"/>
  <c r="K18" i="15"/>
  <c r="C18" i="15" s="1"/>
  <c r="E32" i="36"/>
  <c r="D46" i="36"/>
  <c r="O48" i="97" s="1"/>
  <c r="F90" i="82"/>
  <c r="K25" i="17"/>
  <c r="E25" i="17" s="1"/>
  <c r="D26" i="98" s="1"/>
  <c r="M21" i="17"/>
  <c r="H21" i="17" s="1"/>
  <c r="F22" i="98" s="1"/>
  <c r="M39" i="98"/>
  <c r="AS37" i="120" s="1"/>
  <c r="J18" i="98"/>
  <c r="AF15" i="120" s="1"/>
  <c r="D68" i="17"/>
  <c r="C69" i="98" s="1"/>
  <c r="M35" i="98"/>
  <c r="AS33" i="120" s="1"/>
  <c r="E125" i="17"/>
  <c r="D121" i="98" s="1"/>
  <c r="N14" i="15"/>
  <c r="G14" i="15" s="1"/>
  <c r="L13" i="82" s="1"/>
  <c r="R28" i="24"/>
  <c r="K19" i="98"/>
  <c r="AI16" i="120" s="1"/>
  <c r="K19" i="24"/>
  <c r="M25" i="17"/>
  <c r="H25" i="17" s="1"/>
  <c r="F25" i="17" s="1"/>
  <c r="L102" i="98"/>
  <c r="AP100" i="120" s="1"/>
  <c r="D118" i="17"/>
  <c r="C114" i="98" s="1"/>
  <c r="J102" i="82"/>
  <c r="R24" i="46"/>
  <c r="R22" i="24"/>
  <c r="L19" i="24"/>
  <c r="M18" i="24"/>
  <c r="K12" i="24"/>
  <c r="M12" i="24"/>
  <c r="L12" i="24"/>
  <c r="L20" i="24"/>
  <c r="M20" i="24"/>
  <c r="K20" i="24"/>
  <c r="M26" i="24"/>
  <c r="R18" i="24"/>
  <c r="R12" i="24"/>
  <c r="T12" i="24"/>
  <c r="R26" i="24"/>
  <c r="T26" i="24"/>
  <c r="T20" i="24"/>
  <c r="R20" i="24"/>
  <c r="L18" i="24"/>
  <c r="T18" i="24"/>
  <c r="L26" i="24"/>
  <c r="C81" i="36"/>
  <c r="N83" i="97" s="1"/>
  <c r="D59" i="36"/>
  <c r="D31" i="36"/>
  <c r="C62" i="36"/>
  <c r="N64" i="97" s="1"/>
  <c r="D117" i="36"/>
  <c r="O119" i="97" s="1"/>
  <c r="E117" i="36"/>
  <c r="P119" i="97" s="1"/>
  <c r="D32" i="36"/>
  <c r="E81" i="36"/>
  <c r="P83" i="97" s="1"/>
  <c r="E57" i="36"/>
  <c r="E59" i="36"/>
  <c r="D64" i="36"/>
  <c r="O66" i="97" s="1"/>
  <c r="D119" i="36"/>
  <c r="O121" i="97" s="1"/>
  <c r="P94" i="26"/>
  <c r="N94" i="26" s="1"/>
  <c r="L94" i="26" s="1"/>
  <c r="J94" i="26" s="1"/>
  <c r="K94" i="26" s="1"/>
  <c r="C116" i="36"/>
  <c r="N118" i="97" s="1"/>
  <c r="C94" i="36"/>
  <c r="N96" i="97" s="1"/>
  <c r="C122" i="36"/>
  <c r="N124" i="97" s="1"/>
  <c r="E116" i="36"/>
  <c r="P118" i="97" s="1"/>
  <c r="D78" i="36"/>
  <c r="E83" i="36"/>
  <c r="P85" i="97" s="1"/>
  <c r="D21" i="98"/>
  <c r="C9" i="36"/>
  <c r="N10" i="97" s="1"/>
  <c r="D90" i="36"/>
  <c r="C14" i="36"/>
  <c r="D14" i="36"/>
  <c r="O15" i="97" s="1"/>
  <c r="E80" i="36"/>
  <c r="D9" i="36"/>
  <c r="O10" i="97" s="1"/>
  <c r="D80" i="36"/>
  <c r="O82" i="97" s="1"/>
  <c r="D79" i="36"/>
  <c r="H21" i="46"/>
  <c r="D74" i="36"/>
  <c r="AK91" i="26"/>
  <c r="AG91" i="26" s="1"/>
  <c r="AE91" i="26" s="1"/>
  <c r="AK88" i="26"/>
  <c r="AG88" i="26" s="1"/>
  <c r="AE88" i="26" s="1"/>
  <c r="AK22" i="26"/>
  <c r="AG22" i="26" s="1"/>
  <c r="AE22" i="26" s="1"/>
  <c r="AC22" i="26" s="1"/>
  <c r="AD22" i="26" s="1"/>
  <c r="P47" i="52"/>
  <c r="Q47" i="52" s="1"/>
  <c r="P49" i="52"/>
  <c r="H96" i="98"/>
  <c r="O94" i="125" s="1"/>
  <c r="Q94" i="125" s="1"/>
  <c r="J47" i="52"/>
  <c r="P38" i="109" s="1"/>
  <c r="O36" i="109" s="1"/>
  <c r="AK21" i="26"/>
  <c r="AG21" i="26" s="1"/>
  <c r="AE21" i="26" s="1"/>
  <c r="AK113" i="26"/>
  <c r="AG113" i="26" s="1"/>
  <c r="AE113" i="26" s="1"/>
  <c r="BD123" i="26"/>
  <c r="BE123" i="26" s="1"/>
  <c r="BD120" i="26"/>
  <c r="BE120" i="26" s="1"/>
  <c r="BD30" i="26"/>
  <c r="BD103" i="26"/>
  <c r="BD17" i="26"/>
  <c r="BE17" i="26" s="1"/>
  <c r="BD69" i="26"/>
  <c r="BD102" i="26"/>
  <c r="BE102" i="26" s="1"/>
  <c r="BD42" i="26"/>
  <c r="C119" i="36"/>
  <c r="N121" i="97" s="1"/>
  <c r="BD97" i="26"/>
  <c r="BE97" i="26" s="1"/>
  <c r="BD32" i="26"/>
  <c r="BD45" i="26"/>
  <c r="BD65" i="26"/>
  <c r="BD89" i="26"/>
  <c r="BE89" i="26" s="1"/>
  <c r="BD19" i="26"/>
  <c r="BE19" i="26" s="1"/>
  <c r="P7" i="26"/>
  <c r="N7" i="26" s="1"/>
  <c r="BD119" i="26"/>
  <c r="BE119" i="26" s="1"/>
  <c r="BD54" i="26"/>
  <c r="BD98" i="26"/>
  <c r="BE98" i="26" s="1"/>
  <c r="BD46" i="26"/>
  <c r="BD81" i="26"/>
  <c r="BD90" i="26"/>
  <c r="BE90" i="26" s="1"/>
  <c r="BD87" i="26"/>
  <c r="BE87" i="26" s="1"/>
  <c r="BD37" i="26"/>
  <c r="BD9" i="26"/>
  <c r="BE9" i="26" s="1"/>
  <c r="BD122" i="26"/>
  <c r="BE122" i="26" s="1"/>
  <c r="BD16" i="26"/>
  <c r="BE16" i="26" s="1"/>
  <c r="BD33" i="26"/>
  <c r="BD47" i="26"/>
  <c r="BD75" i="26"/>
  <c r="BD48" i="26"/>
  <c r="BD66" i="26"/>
  <c r="BD115" i="26"/>
  <c r="BE115" i="26" s="1"/>
  <c r="BC119" i="26"/>
  <c r="C92" i="17"/>
  <c r="T13" i="24"/>
  <c r="L21" i="24"/>
  <c r="T10" i="24"/>
  <c r="L14" i="24"/>
  <c r="M14" i="24"/>
  <c r="M21" i="24"/>
  <c r="M49" i="52"/>
  <c r="E93" i="98"/>
  <c r="H93" i="98" s="1"/>
  <c r="O91" i="125" s="1"/>
  <c r="Q91" i="125" s="1"/>
  <c r="K96" i="52"/>
  <c r="Y96" i="52" s="1"/>
  <c r="J49" i="52"/>
  <c r="L29" i="24"/>
  <c r="M12" i="17"/>
  <c r="H12" i="17" s="1"/>
  <c r="F13" i="98" s="1"/>
  <c r="L87" i="98"/>
  <c r="AP85" i="120" s="1"/>
  <c r="AR85" i="120" s="1"/>
  <c r="K25" i="15"/>
  <c r="C25" i="15" s="1"/>
  <c r="I24" i="82" s="1"/>
  <c r="L18" i="98"/>
  <c r="AP15" i="120" s="1"/>
  <c r="K22" i="98"/>
  <c r="AI19" i="120" s="1"/>
  <c r="AL19" i="120" s="1"/>
  <c r="AO19" i="120" s="1"/>
  <c r="J99" i="98"/>
  <c r="AF97" i="120" s="1"/>
  <c r="M104" i="98"/>
  <c r="AS107" i="120" s="1"/>
  <c r="AV107" i="120" s="1"/>
  <c r="AY107" i="120" s="1"/>
  <c r="L19" i="98"/>
  <c r="AP16" i="120" s="1"/>
  <c r="L114" i="98"/>
  <c r="AP117" i="120" s="1"/>
  <c r="L14" i="15"/>
  <c r="D14" i="15" s="1"/>
  <c r="J10" i="82" s="1"/>
  <c r="L22" i="15"/>
  <c r="D22" i="15" s="1"/>
  <c r="J41" i="98"/>
  <c r="AF39" i="120" s="1"/>
  <c r="L97" i="82"/>
  <c r="K35" i="98"/>
  <c r="AI33" i="120" s="1"/>
  <c r="M89" i="98"/>
  <c r="AS87" i="120" s="1"/>
  <c r="AU87" i="120" s="1"/>
  <c r="D83" i="17"/>
  <c r="M18" i="15"/>
  <c r="F18" i="15" s="1"/>
  <c r="K84" i="82" s="1"/>
  <c r="G118" i="17"/>
  <c r="E114" i="98" s="1"/>
  <c r="V64" i="46"/>
  <c r="C57" i="17"/>
  <c r="K14" i="98"/>
  <c r="AI11" i="120" s="1"/>
  <c r="K21" i="17"/>
  <c r="E21" i="17" s="1"/>
  <c r="D22" i="98" s="1"/>
  <c r="L72" i="82"/>
  <c r="L102" i="82"/>
  <c r="N13" i="15"/>
  <c r="G13" i="15" s="1"/>
  <c r="L17" i="17"/>
  <c r="G17" i="17" s="1"/>
  <c r="F17" i="17" s="1"/>
  <c r="G86" i="17"/>
  <c r="M28" i="17"/>
  <c r="H28" i="17" s="1"/>
  <c r="F29" i="98" s="1"/>
  <c r="J33" i="82"/>
  <c r="C120" i="15"/>
  <c r="E34" i="17"/>
  <c r="D35" i="98" s="1"/>
  <c r="M22" i="15"/>
  <c r="F22" i="15" s="1"/>
  <c r="M29" i="98"/>
  <c r="AS26" i="120" s="1"/>
  <c r="AV26" i="120" s="1"/>
  <c r="AY26" i="120" s="1"/>
  <c r="L28" i="17"/>
  <c r="G28" i="17" s="1"/>
  <c r="G83" i="17"/>
  <c r="E84" i="98" s="1"/>
  <c r="K72" i="98"/>
  <c r="AI70" i="120" s="1"/>
  <c r="C113" i="15"/>
  <c r="K121" i="98"/>
  <c r="AI124" i="120" s="1"/>
  <c r="M28" i="15"/>
  <c r="F28" i="15" s="1"/>
  <c r="J15" i="98"/>
  <c r="AF12" i="120" s="1"/>
  <c r="L76" i="98"/>
  <c r="AP74" i="120" s="1"/>
  <c r="L83" i="98"/>
  <c r="AP81" i="120" s="1"/>
  <c r="AR81" i="120" s="1"/>
  <c r="H126" i="17"/>
  <c r="F122" i="98" s="1"/>
  <c r="J48" i="52"/>
  <c r="V48" i="52"/>
  <c r="P116" i="26"/>
  <c r="N116" i="26" s="1"/>
  <c r="L116" i="26" s="1"/>
  <c r="J116" i="26" s="1"/>
  <c r="K116" i="26" s="1"/>
  <c r="D71" i="36"/>
  <c r="O73" i="97" s="1"/>
  <c r="M109" i="98"/>
  <c r="AS112" i="120" s="1"/>
  <c r="AK7" i="26"/>
  <c r="AG7" i="26" s="1"/>
  <c r="AE7" i="26" s="1"/>
  <c r="AC7" i="26" s="1"/>
  <c r="AD7" i="26" s="1"/>
  <c r="F66" i="82"/>
  <c r="C65" i="36"/>
  <c r="N67" i="97" s="1"/>
  <c r="C111" i="36"/>
  <c r="N113" i="97" s="1"/>
  <c r="E71" i="36"/>
  <c r="P73" i="97" s="1"/>
  <c r="L19" i="15"/>
  <c r="D19" i="15" s="1"/>
  <c r="E65" i="36"/>
  <c r="P67" i="97" s="1"/>
  <c r="E111" i="36"/>
  <c r="P113" i="97" s="1"/>
  <c r="C18" i="36"/>
  <c r="N19" i="97" s="1"/>
  <c r="E8" i="36"/>
  <c r="P9" i="97" s="1"/>
  <c r="C57" i="36"/>
  <c r="C37" i="36"/>
  <c r="N39" i="97" s="1"/>
  <c r="O36" i="97"/>
  <c r="E64" i="36"/>
  <c r="E31" i="36"/>
  <c r="C8" i="36"/>
  <c r="N9" i="97" s="1"/>
  <c r="D76" i="36"/>
  <c r="O78" i="97" s="1"/>
  <c r="D94" i="36"/>
  <c r="O96" i="97" s="1"/>
  <c r="K71" i="98"/>
  <c r="AI69" i="120" s="1"/>
  <c r="E36" i="36"/>
  <c r="P38" i="97" s="1"/>
  <c r="K98" i="82"/>
  <c r="D83" i="36"/>
  <c r="O85" i="97" s="1"/>
  <c r="E60" i="36"/>
  <c r="H122" i="17"/>
  <c r="F118" i="98" s="1"/>
  <c r="J26" i="98"/>
  <c r="AF23" i="120" s="1"/>
  <c r="AL23" i="120" s="1"/>
  <c r="AO23" i="120" s="1"/>
  <c r="M44" i="98"/>
  <c r="AS42" i="120" s="1"/>
  <c r="M17" i="98"/>
  <c r="AS14" i="120" s="1"/>
  <c r="K117" i="98"/>
  <c r="AI120" i="120" s="1"/>
  <c r="M19" i="15"/>
  <c r="F19" i="15" s="1"/>
  <c r="J93" i="98"/>
  <c r="AF91" i="120" s="1"/>
  <c r="AH91" i="120" s="1"/>
  <c r="D36" i="36"/>
  <c r="M19" i="98"/>
  <c r="AS16" i="120" s="1"/>
  <c r="L122" i="98"/>
  <c r="AP125" i="120" s="1"/>
  <c r="K108" i="98"/>
  <c r="AI111" i="120" s="1"/>
  <c r="AL111" i="120" s="1"/>
  <c r="AO111" i="120" s="1"/>
  <c r="F121" i="15"/>
  <c r="G126" i="17"/>
  <c r="E122" i="98" s="1"/>
  <c r="K107" i="98"/>
  <c r="AI110" i="120" s="1"/>
  <c r="C33" i="36"/>
  <c r="D114" i="36"/>
  <c r="O116" i="97" s="1"/>
  <c r="C114" i="36"/>
  <c r="N116" i="97" s="1"/>
  <c r="M75" i="52" s="1"/>
  <c r="G101" i="17"/>
  <c r="E102" i="98" s="1"/>
  <c r="N17" i="15"/>
  <c r="G17" i="15" s="1"/>
  <c r="L83" i="82" s="1"/>
  <c r="E73" i="36"/>
  <c r="C74" i="36"/>
  <c r="D60" i="36"/>
  <c r="E85" i="36"/>
  <c r="P87" i="97" s="1"/>
  <c r="R54" i="46"/>
  <c r="E52" i="36"/>
  <c r="P54" i="97" s="1"/>
  <c r="D85" i="36"/>
  <c r="O87" i="97" s="1"/>
  <c r="C76" i="36"/>
  <c r="N78" i="97" s="1"/>
  <c r="C52" i="36"/>
  <c r="C73" i="36"/>
  <c r="N75" i="97" s="1"/>
  <c r="M121" i="98"/>
  <c r="AS124" i="120" s="1"/>
  <c r="M72" i="98"/>
  <c r="AS70" i="120" s="1"/>
  <c r="L140" i="82"/>
  <c r="H75" i="17"/>
  <c r="F76" i="98" s="1"/>
  <c r="L47" i="98"/>
  <c r="AP45" i="120" s="1"/>
  <c r="E37" i="36"/>
  <c r="H52" i="17"/>
  <c r="F53" i="98" s="1"/>
  <c r="E112" i="36"/>
  <c r="P114" i="97" s="1"/>
  <c r="E41" i="36"/>
  <c r="C41" i="36"/>
  <c r="N43" i="97" s="1"/>
  <c r="K68" i="98"/>
  <c r="AI66" i="120" s="1"/>
  <c r="C112" i="36"/>
  <c r="N114" i="97" s="1"/>
  <c r="D106" i="36"/>
  <c r="O108" i="97" s="1"/>
  <c r="C70" i="36"/>
  <c r="D70" i="36"/>
  <c r="O72" i="97" s="1"/>
  <c r="E106" i="36"/>
  <c r="P108" i="97" s="1"/>
  <c r="D107" i="15"/>
  <c r="J106" i="82" s="1"/>
  <c r="D106" i="15"/>
  <c r="J105" i="82" s="1"/>
  <c r="E18" i="36"/>
  <c r="P19" i="97" s="1"/>
  <c r="D92" i="36"/>
  <c r="M14" i="98"/>
  <c r="AS11" i="120" s="1"/>
  <c r="J31" i="82"/>
  <c r="K115" i="98"/>
  <c r="AI118" i="120" s="1"/>
  <c r="K74" i="98"/>
  <c r="AI72" i="120" s="1"/>
  <c r="L89" i="98"/>
  <c r="AP87" i="120" s="1"/>
  <c r="M13" i="17"/>
  <c r="H13" i="17" s="1"/>
  <c r="F14" i="98" s="1"/>
  <c r="M26" i="98"/>
  <c r="AS23" i="120" s="1"/>
  <c r="E119" i="17"/>
  <c r="D115" i="98" s="1"/>
  <c r="K76" i="98"/>
  <c r="AI74" i="120" s="1"/>
  <c r="E73" i="17"/>
  <c r="D74" i="98" s="1"/>
  <c r="E33" i="36"/>
  <c r="E96" i="36"/>
  <c r="E47" i="36"/>
  <c r="P49" i="97" s="1"/>
  <c r="E92" i="36"/>
  <c r="P94" i="97" s="1"/>
  <c r="D47" i="36"/>
  <c r="D96" i="36"/>
  <c r="O98" i="97" s="1"/>
  <c r="E120" i="36"/>
  <c r="P122" i="97" s="1"/>
  <c r="J20" i="17"/>
  <c r="D20" i="17" s="1"/>
  <c r="C21" i="98" s="1"/>
  <c r="M53" i="98"/>
  <c r="AS51" i="120" s="1"/>
  <c r="H94" i="17"/>
  <c r="F95" i="98" s="1"/>
  <c r="L22" i="98"/>
  <c r="AP19" i="120" s="1"/>
  <c r="AF45" i="46"/>
  <c r="J21" i="98"/>
  <c r="AF18" i="120" s="1"/>
  <c r="G46" i="17"/>
  <c r="E47" i="98" s="1"/>
  <c r="D67" i="36"/>
  <c r="O69" i="97" s="1"/>
  <c r="C120" i="36"/>
  <c r="N122" i="97" s="1"/>
  <c r="L45" i="82"/>
  <c r="H46" i="17"/>
  <c r="F47" i="98" s="1"/>
  <c r="O101" i="97"/>
  <c r="P101" i="97"/>
  <c r="P16" i="26"/>
  <c r="N16" i="26" s="1"/>
  <c r="L16" i="26" s="1"/>
  <c r="J16" i="26" s="1"/>
  <c r="K16" i="26" s="1"/>
  <c r="D73" i="17"/>
  <c r="C74" i="98" s="1"/>
  <c r="M8" i="98"/>
  <c r="AS5" i="120" s="1"/>
  <c r="D104" i="15"/>
  <c r="E104" i="15" s="1"/>
  <c r="P122" i="26"/>
  <c r="N122" i="26" s="1"/>
  <c r="L122" i="26" s="1"/>
  <c r="J122" i="26" s="1"/>
  <c r="K122" i="26" s="1"/>
  <c r="AK25" i="26"/>
  <c r="AG25" i="26" s="1"/>
  <c r="AE25" i="26" s="1"/>
  <c r="F47" i="82"/>
  <c r="J102" i="98"/>
  <c r="AF100" i="120" s="1"/>
  <c r="AL100" i="120" s="1"/>
  <c r="AO100" i="120" s="1"/>
  <c r="L117" i="98"/>
  <c r="AP120" i="120" s="1"/>
  <c r="G121" i="17"/>
  <c r="AK100" i="26"/>
  <c r="AG100" i="26" s="1"/>
  <c r="AE100" i="26" s="1"/>
  <c r="AK101" i="26"/>
  <c r="AG101" i="26" s="1"/>
  <c r="AE101" i="26" s="1"/>
  <c r="AC101" i="26" s="1"/>
  <c r="AD101" i="26" s="1"/>
  <c r="AK23" i="26"/>
  <c r="AG23" i="26" s="1"/>
  <c r="AE23" i="26" s="1"/>
  <c r="L44" i="46"/>
  <c r="K9" i="24"/>
  <c r="H36" i="17"/>
  <c r="F37" i="98" s="1"/>
  <c r="J17" i="98"/>
  <c r="AF14" i="120" s="1"/>
  <c r="AH14" i="120" s="1"/>
  <c r="H70" i="17"/>
  <c r="F71" i="98" s="1"/>
  <c r="AK99" i="26"/>
  <c r="AG99" i="26" s="1"/>
  <c r="AE99" i="26" s="1"/>
  <c r="AK13" i="26"/>
  <c r="AG13" i="26" s="1"/>
  <c r="AE13" i="26" s="1"/>
  <c r="F42" i="82"/>
  <c r="F64" i="82"/>
  <c r="F60" i="82"/>
  <c r="M10" i="17"/>
  <c r="H10" i="17" s="1"/>
  <c r="F11" i="98" s="1"/>
  <c r="L9" i="98"/>
  <c r="AP6" i="120" s="1"/>
  <c r="AV6" i="120" s="1"/>
  <c r="AY6" i="120" s="1"/>
  <c r="L13" i="24"/>
  <c r="L8" i="17"/>
  <c r="G8" i="17" s="1"/>
  <c r="E9" i="98" s="1"/>
  <c r="M13" i="24"/>
  <c r="M31" i="17"/>
  <c r="H31" i="17" s="1"/>
  <c r="F32" i="98" s="1"/>
  <c r="M29" i="24"/>
  <c r="I100" i="82"/>
  <c r="K23" i="17"/>
  <c r="E23" i="17" s="1"/>
  <c r="D24" i="98" s="1"/>
  <c r="J82" i="98"/>
  <c r="AF80" i="120" s="1"/>
  <c r="AH80" i="120" s="1"/>
  <c r="M124" i="98"/>
  <c r="AS127" i="120" s="1"/>
  <c r="J14" i="98"/>
  <c r="AF11" i="120" s="1"/>
  <c r="J109" i="98"/>
  <c r="AF112" i="120" s="1"/>
  <c r="J48" i="98"/>
  <c r="AF46" i="120" s="1"/>
  <c r="AK94" i="26"/>
  <c r="AG94" i="26" s="1"/>
  <c r="AE94" i="26" s="1"/>
  <c r="F59" i="82"/>
  <c r="P8" i="26"/>
  <c r="N8" i="26" s="1"/>
  <c r="L8" i="26" s="1"/>
  <c r="J25" i="98"/>
  <c r="AF22" i="120" s="1"/>
  <c r="AL22" i="120" s="1"/>
  <c r="AO22" i="120" s="1"/>
  <c r="H119" i="17"/>
  <c r="F115" i="98" s="1"/>
  <c r="L81" i="82"/>
  <c r="K83" i="98"/>
  <c r="AI81" i="120" s="1"/>
  <c r="L35" i="46"/>
  <c r="K90" i="98"/>
  <c r="AI88" i="120" s="1"/>
  <c r="M9" i="17"/>
  <c r="H9" i="17" s="1"/>
  <c r="F10" i="98" s="1"/>
  <c r="AB6" i="46"/>
  <c r="R37" i="46"/>
  <c r="H40" i="46"/>
  <c r="M37" i="98"/>
  <c r="AS35" i="120" s="1"/>
  <c r="J119" i="98"/>
  <c r="AF122" i="120" s="1"/>
  <c r="L23" i="17"/>
  <c r="G23" i="17" s="1"/>
  <c r="E24" i="98" s="1"/>
  <c r="M50" i="98"/>
  <c r="AS48" i="120" s="1"/>
  <c r="M57" i="98"/>
  <c r="AS55" i="120" s="1"/>
  <c r="AB21" i="46"/>
  <c r="D117" i="15"/>
  <c r="K118" i="98"/>
  <c r="AI121" i="120" s="1"/>
  <c r="T29" i="24"/>
  <c r="T25" i="24"/>
  <c r="J123" i="98"/>
  <c r="AF126" i="120" s="1"/>
  <c r="D123" i="17"/>
  <c r="C119" i="98" s="1"/>
  <c r="C122" i="15"/>
  <c r="M107" i="98"/>
  <c r="AS110" i="120" s="1"/>
  <c r="H56" i="17"/>
  <c r="F57" i="98" s="1"/>
  <c r="L9" i="24"/>
  <c r="R62" i="46"/>
  <c r="R29" i="24"/>
  <c r="L17" i="24"/>
  <c r="K34" i="98"/>
  <c r="AI32" i="120" s="1"/>
  <c r="M49" i="98"/>
  <c r="AS47" i="120" s="1"/>
  <c r="M110" i="98"/>
  <c r="AS113" i="120" s="1"/>
  <c r="K105" i="98"/>
  <c r="AI108" i="120" s="1"/>
  <c r="K17" i="24"/>
  <c r="H128" i="17"/>
  <c r="F124" i="98" s="1"/>
  <c r="J13" i="17"/>
  <c r="D13" i="17" s="1"/>
  <c r="C14" i="98" s="1"/>
  <c r="N11" i="15"/>
  <c r="G11" i="15" s="1"/>
  <c r="R21" i="46"/>
  <c r="J14" i="82"/>
  <c r="L43" i="98"/>
  <c r="AP41" i="120" s="1"/>
  <c r="L95" i="98"/>
  <c r="AP93" i="120" s="1"/>
  <c r="AR93" i="120" s="1"/>
  <c r="J55" i="98"/>
  <c r="AF53" i="120" s="1"/>
  <c r="L63" i="98"/>
  <c r="AP61" i="120" s="1"/>
  <c r="AR61" i="120" s="1"/>
  <c r="J126" i="98"/>
  <c r="AF129" i="120" s="1"/>
  <c r="M32" i="98"/>
  <c r="AS29" i="120" s="1"/>
  <c r="K23" i="98"/>
  <c r="AI20" i="120" s="1"/>
  <c r="G66" i="17"/>
  <c r="E67" i="98" s="1"/>
  <c r="L31" i="82"/>
  <c r="R35" i="46"/>
  <c r="D81" i="17"/>
  <c r="C108" i="15"/>
  <c r="AK121" i="26"/>
  <c r="AG121" i="26" s="1"/>
  <c r="AE121" i="26" s="1"/>
  <c r="AK18" i="26"/>
  <c r="AG18" i="26" s="1"/>
  <c r="AE18" i="26" s="1"/>
  <c r="P113" i="26"/>
  <c r="N113" i="26" s="1"/>
  <c r="L113" i="26" s="1"/>
  <c r="J113" i="26" s="1"/>
  <c r="K113" i="26" s="1"/>
  <c r="H101" i="17"/>
  <c r="F102" i="98" s="1"/>
  <c r="M27" i="24"/>
  <c r="F36" i="82"/>
  <c r="K27" i="24"/>
  <c r="L34" i="98"/>
  <c r="AP32" i="120" s="1"/>
  <c r="AB28" i="46"/>
  <c r="M40" i="98"/>
  <c r="AS38" i="120" s="1"/>
  <c r="L31" i="17"/>
  <c r="G31" i="17" s="1"/>
  <c r="L123" i="98"/>
  <c r="AP126" i="120" s="1"/>
  <c r="J24" i="17"/>
  <c r="D24" i="17" s="1"/>
  <c r="C25" i="98" s="1"/>
  <c r="I88" i="82"/>
  <c r="H50" i="46"/>
  <c r="J16" i="98"/>
  <c r="AF13" i="120" s="1"/>
  <c r="AH13" i="120" s="1"/>
  <c r="AF42" i="46"/>
  <c r="L49" i="98"/>
  <c r="AP47" i="120" s="1"/>
  <c r="K86" i="98"/>
  <c r="AI84" i="120" s="1"/>
  <c r="K16" i="98"/>
  <c r="AI13" i="120" s="1"/>
  <c r="L23" i="15"/>
  <c r="D23" i="15" s="1"/>
  <c r="J22" i="82" s="1"/>
  <c r="K86" i="82"/>
  <c r="L17" i="15"/>
  <c r="D17" i="15" s="1"/>
  <c r="T9" i="24"/>
  <c r="AF44" i="46"/>
  <c r="L17" i="26"/>
  <c r="J17" i="26" s="1"/>
  <c r="K17" i="26" s="1"/>
  <c r="G51" i="17"/>
  <c r="E52" i="98" s="1"/>
  <c r="M79" i="98"/>
  <c r="AS77" i="120" s="1"/>
  <c r="M114" i="98"/>
  <c r="AS117" i="120" s="1"/>
  <c r="D122" i="17"/>
  <c r="F114" i="15"/>
  <c r="P91" i="26"/>
  <c r="N91" i="26" s="1"/>
  <c r="L91" i="26" s="1"/>
  <c r="J91" i="26" s="1"/>
  <c r="K91" i="26" s="1"/>
  <c r="R17" i="24"/>
  <c r="K15" i="17"/>
  <c r="E15" i="17" s="1"/>
  <c r="D16" i="98" s="1"/>
  <c r="F108" i="15"/>
  <c r="H108" i="15" s="1"/>
  <c r="AK10" i="26"/>
  <c r="AG10" i="26" s="1"/>
  <c r="AE10" i="26" s="1"/>
  <c r="M32" i="17"/>
  <c r="H32" i="17" s="1"/>
  <c r="F33" i="98" s="1"/>
  <c r="J118" i="98"/>
  <c r="AF121" i="120" s="1"/>
  <c r="J112" i="98"/>
  <c r="AF115" i="120" s="1"/>
  <c r="M115" i="98"/>
  <c r="AS118" i="120" s="1"/>
  <c r="H6" i="46"/>
  <c r="K114" i="98"/>
  <c r="AI117" i="120" s="1"/>
  <c r="J80" i="82"/>
  <c r="J55" i="82"/>
  <c r="K64" i="98"/>
  <c r="AI62" i="120" s="1"/>
  <c r="E96" i="17"/>
  <c r="D97" i="98" s="1"/>
  <c r="L97" i="98"/>
  <c r="AP95" i="120" s="1"/>
  <c r="G73" i="17"/>
  <c r="E74" i="98" s="1"/>
  <c r="F119" i="15"/>
  <c r="K24" i="17"/>
  <c r="E24" i="17" s="1"/>
  <c r="D25" i="98" s="1"/>
  <c r="K73" i="98"/>
  <c r="AI71" i="120" s="1"/>
  <c r="J26" i="17"/>
  <c r="D26" i="17" s="1"/>
  <c r="C27" i="98" s="1"/>
  <c r="L45" i="46"/>
  <c r="I91" i="82"/>
  <c r="K119" i="98"/>
  <c r="AI122" i="120" s="1"/>
  <c r="E118" i="17"/>
  <c r="L90" i="98"/>
  <c r="AP88" i="120" s="1"/>
  <c r="AR88" i="120" s="1"/>
  <c r="M75" i="98"/>
  <c r="AS73" i="120" s="1"/>
  <c r="AU73" i="120" s="1"/>
  <c r="E94" i="17"/>
  <c r="D95" i="98" s="1"/>
  <c r="L22" i="17"/>
  <c r="G22" i="17" s="1"/>
  <c r="E23" i="98" s="1"/>
  <c r="J62" i="82"/>
  <c r="F109" i="15"/>
  <c r="K108" i="82" s="1"/>
  <c r="K29" i="98"/>
  <c r="AI26" i="120" s="1"/>
  <c r="J86" i="98"/>
  <c r="AF84" i="120" s="1"/>
  <c r="AH84" i="120" s="1"/>
  <c r="E123" i="17"/>
  <c r="D119" i="98" s="1"/>
  <c r="K57" i="98"/>
  <c r="AI55" i="120" s="1"/>
  <c r="K50" i="98"/>
  <c r="AI48" i="120" s="1"/>
  <c r="K82" i="98"/>
  <c r="AI80" i="120" s="1"/>
  <c r="L8" i="98"/>
  <c r="AP5" i="120" s="1"/>
  <c r="H59" i="17"/>
  <c r="F60" i="98" s="1"/>
  <c r="K65" i="98"/>
  <c r="AI63" i="120" s="1"/>
  <c r="L91" i="98"/>
  <c r="AP89" i="120" s="1"/>
  <c r="D125" i="15"/>
  <c r="L25" i="24"/>
  <c r="K28" i="17"/>
  <c r="E28" i="17" s="1"/>
  <c r="D29" i="98" s="1"/>
  <c r="L57" i="98"/>
  <c r="AP55" i="120" s="1"/>
  <c r="J76" i="82"/>
  <c r="M8" i="15"/>
  <c r="F8" i="15" s="1"/>
  <c r="M83" i="98"/>
  <c r="AS81" i="120" s="1"/>
  <c r="L112" i="98"/>
  <c r="AP115" i="120" s="1"/>
  <c r="K89" i="82"/>
  <c r="L120" i="98"/>
  <c r="AP123" i="120" s="1"/>
  <c r="H54" i="17"/>
  <c r="F55" i="98" s="1"/>
  <c r="E41" i="17"/>
  <c r="D42" i="98" s="1"/>
  <c r="E77" i="17"/>
  <c r="D78" i="98" s="1"/>
  <c r="M23" i="15"/>
  <c r="F23" i="15" s="1"/>
  <c r="M25" i="24"/>
  <c r="V42" i="46"/>
  <c r="L16" i="17"/>
  <c r="G16" i="17" s="1"/>
  <c r="E17" i="98" s="1"/>
  <c r="V14" i="46"/>
  <c r="F15" i="97" s="1"/>
  <c r="P13" i="120" s="1"/>
  <c r="K53" i="98"/>
  <c r="AI51" i="120" s="1"/>
  <c r="M59" i="98"/>
  <c r="AS57" i="120" s="1"/>
  <c r="AB12" i="46"/>
  <c r="E37" i="17"/>
  <c r="D38" i="98" s="1"/>
  <c r="J66" i="98"/>
  <c r="AF64" i="120" s="1"/>
  <c r="V10" i="46"/>
  <c r="M16" i="24"/>
  <c r="H37" i="46"/>
  <c r="L33" i="98"/>
  <c r="AP30" i="120" s="1"/>
  <c r="L61" i="98"/>
  <c r="AP59" i="120" s="1"/>
  <c r="G36" i="17"/>
  <c r="N16" i="15"/>
  <c r="G16" i="15" s="1"/>
  <c r="J31" i="17"/>
  <c r="D31" i="17" s="1"/>
  <c r="H117" i="17"/>
  <c r="F113" i="98" s="1"/>
  <c r="J51" i="98"/>
  <c r="AF49" i="120" s="1"/>
  <c r="G72" i="17"/>
  <c r="E73" i="98" s="1"/>
  <c r="G63" i="17"/>
  <c r="E64" i="98" s="1"/>
  <c r="J77" i="98"/>
  <c r="AF75" i="120" s="1"/>
  <c r="H124" i="17"/>
  <c r="F120" i="98" s="1"/>
  <c r="L32" i="17"/>
  <c r="G32" i="17" s="1"/>
  <c r="E33" i="98" s="1"/>
  <c r="M111" i="98"/>
  <c r="AS114" i="120" s="1"/>
  <c r="L32" i="98"/>
  <c r="AP29" i="120" s="1"/>
  <c r="AR29" i="120" s="1"/>
  <c r="AF35" i="46"/>
  <c r="G84" i="17"/>
  <c r="E85" i="98" s="1"/>
  <c r="R140" i="46"/>
  <c r="E136" i="97" s="1"/>
  <c r="L29" i="17"/>
  <c r="G29" i="17" s="1"/>
  <c r="E30" i="98" s="1"/>
  <c r="AF34" i="46"/>
  <c r="L70" i="98"/>
  <c r="AP68" i="120" s="1"/>
  <c r="D79" i="17"/>
  <c r="C80" i="98" s="1"/>
  <c r="J83" i="98"/>
  <c r="AF81" i="120" s="1"/>
  <c r="AH81" i="120" s="1"/>
  <c r="V12" i="46"/>
  <c r="R6" i="46"/>
  <c r="AF56" i="46"/>
  <c r="N10" i="15"/>
  <c r="G10" i="15" s="1"/>
  <c r="L7" i="82" s="1"/>
  <c r="K21" i="98"/>
  <c r="AI18" i="120" s="1"/>
  <c r="K124" i="98"/>
  <c r="AI127" i="120" s="1"/>
  <c r="G112" i="15"/>
  <c r="L111" i="82" s="1"/>
  <c r="M23" i="98"/>
  <c r="AS20" i="120" s="1"/>
  <c r="K85" i="98"/>
  <c r="AI83" i="120" s="1"/>
  <c r="J16" i="17"/>
  <c r="D16" i="17" s="1"/>
  <c r="C17" i="98" s="1"/>
  <c r="L54" i="98"/>
  <c r="AP52" i="120" s="1"/>
  <c r="M125" i="98"/>
  <c r="AS128" i="120" s="1"/>
  <c r="M29" i="15"/>
  <c r="F29" i="15" s="1"/>
  <c r="K47" i="98"/>
  <c r="AI45" i="120" s="1"/>
  <c r="L9" i="17"/>
  <c r="G9" i="17" s="1"/>
  <c r="E10" i="98" s="1"/>
  <c r="M16" i="98"/>
  <c r="AS13" i="120" s="1"/>
  <c r="K26" i="15"/>
  <c r="C26" i="15" s="1"/>
  <c r="J32" i="98"/>
  <c r="AF29" i="120" s="1"/>
  <c r="AH29" i="120" s="1"/>
  <c r="M97" i="98"/>
  <c r="AS95" i="120" s="1"/>
  <c r="M22" i="17"/>
  <c r="H22" i="17" s="1"/>
  <c r="F23" i="98" s="1"/>
  <c r="L107" i="98"/>
  <c r="AP110" i="120" s="1"/>
  <c r="D35" i="17"/>
  <c r="C36" i="98" s="1"/>
  <c r="R40" i="46"/>
  <c r="V54" i="46"/>
  <c r="L21" i="15"/>
  <c r="D21" i="15" s="1"/>
  <c r="L55" i="98"/>
  <c r="AP53" i="120" s="1"/>
  <c r="D123" i="15"/>
  <c r="K9" i="17"/>
  <c r="E9" i="17" s="1"/>
  <c r="D10" i="98" s="1"/>
  <c r="L119" i="98"/>
  <c r="AP122" i="120" s="1"/>
  <c r="K10" i="98"/>
  <c r="AI7" i="120" s="1"/>
  <c r="AL7" i="120" s="1"/>
  <c r="AO7" i="120" s="1"/>
  <c r="G119" i="15"/>
  <c r="L79" i="98"/>
  <c r="AP77" i="120" s="1"/>
  <c r="AR77" i="120" s="1"/>
  <c r="I34" i="82"/>
  <c r="AB37" i="46"/>
  <c r="L111" i="26"/>
  <c r="J111" i="26" s="1"/>
  <c r="K111" i="26" s="1"/>
  <c r="P18" i="26"/>
  <c r="N18" i="26" s="1"/>
  <c r="L18" i="26" s="1"/>
  <c r="J18" i="26" s="1"/>
  <c r="K18" i="26" s="1"/>
  <c r="P25" i="26"/>
  <c r="N25" i="26" s="1"/>
  <c r="L25" i="26" s="1"/>
  <c r="J25" i="26" s="1"/>
  <c r="K25" i="26" s="1"/>
  <c r="AK93" i="26"/>
  <c r="AG93" i="26" s="1"/>
  <c r="AE93" i="26" s="1"/>
  <c r="AK14" i="26"/>
  <c r="AG14" i="26" s="1"/>
  <c r="AE14" i="26" s="1"/>
  <c r="P13" i="26"/>
  <c r="N13" i="26" s="1"/>
  <c r="L13" i="26" s="1"/>
  <c r="F87" i="82"/>
  <c r="F52" i="82"/>
  <c r="AB140" i="46"/>
  <c r="G136" i="97" s="1"/>
  <c r="L123" i="26"/>
  <c r="J123" i="26" s="1"/>
  <c r="K123" i="26" s="1"/>
  <c r="E68" i="36"/>
  <c r="P70" i="97" s="1"/>
  <c r="D68" i="36"/>
  <c r="O70" i="97" s="1"/>
  <c r="E46" i="17"/>
  <c r="D47" i="98" s="1"/>
  <c r="M10" i="15"/>
  <c r="F10" i="15" s="1"/>
  <c r="L10" i="98"/>
  <c r="AP7" i="120" s="1"/>
  <c r="AV7" i="120" s="1"/>
  <c r="AY7" i="120" s="1"/>
  <c r="M26" i="17"/>
  <c r="H26" i="17" s="1"/>
  <c r="F27" i="98" s="1"/>
  <c r="N26" i="15"/>
  <c r="G26" i="15" s="1"/>
  <c r="D56" i="17"/>
  <c r="C57" i="98" s="1"/>
  <c r="I58" i="82"/>
  <c r="K32" i="98"/>
  <c r="AI29" i="120" s="1"/>
  <c r="BD6" i="26"/>
  <c r="BE6" i="26" s="1"/>
  <c r="M74" i="98"/>
  <c r="AS72" i="120" s="1"/>
  <c r="H118" i="17"/>
  <c r="F114" i="98" s="1"/>
  <c r="H123" i="17"/>
  <c r="F119" i="98" s="1"/>
  <c r="AB42" i="46"/>
  <c r="J116" i="98"/>
  <c r="AF119" i="120" s="1"/>
  <c r="P23" i="26"/>
  <c r="N23" i="26" s="1"/>
  <c r="L23" i="26" s="1"/>
  <c r="P9" i="26"/>
  <c r="N9" i="26" s="1"/>
  <c r="L9" i="26" s="1"/>
  <c r="V45" i="46"/>
  <c r="H115" i="17"/>
  <c r="F111" i="98" s="1"/>
  <c r="K54" i="98"/>
  <c r="AI52" i="120" s="1"/>
  <c r="N23" i="15"/>
  <c r="G23" i="15" s="1"/>
  <c r="L22" i="82" s="1"/>
  <c r="D72" i="17"/>
  <c r="M77" i="98"/>
  <c r="AS75" i="120" s="1"/>
  <c r="K116" i="98"/>
  <c r="AI119" i="120" s="1"/>
  <c r="H85" i="17"/>
  <c r="F86" i="98" s="1"/>
  <c r="D89" i="17"/>
  <c r="AE141" i="46"/>
  <c r="M61" i="98"/>
  <c r="AS59" i="120" s="1"/>
  <c r="H73" i="17"/>
  <c r="F74" i="98" s="1"/>
  <c r="K16" i="15"/>
  <c r="C16" i="15" s="1"/>
  <c r="G113" i="15"/>
  <c r="J114" i="26"/>
  <c r="K114" i="26" s="1"/>
  <c r="G119" i="17"/>
  <c r="E115" i="98" s="1"/>
  <c r="D120" i="17"/>
  <c r="C116" i="98" s="1"/>
  <c r="K125" i="98"/>
  <c r="AI128" i="120" s="1"/>
  <c r="R68" i="46"/>
  <c r="AK111" i="26"/>
  <c r="AG111" i="26" s="1"/>
  <c r="AE111" i="26" s="1"/>
  <c r="P121" i="26"/>
  <c r="N121" i="26" s="1"/>
  <c r="L121" i="26" s="1"/>
  <c r="P87" i="26"/>
  <c r="N87" i="26" s="1"/>
  <c r="L87" i="26" s="1"/>
  <c r="J87" i="26" s="1"/>
  <c r="K87" i="26" s="1"/>
  <c r="F122" i="15"/>
  <c r="J90" i="98"/>
  <c r="AF88" i="120" s="1"/>
  <c r="AH88" i="120" s="1"/>
  <c r="M24" i="98"/>
  <c r="AS21" i="120" s="1"/>
  <c r="AV21" i="120" s="1"/>
  <c r="AY21" i="120" s="1"/>
  <c r="M119" i="98"/>
  <c r="AS122" i="120" s="1"/>
  <c r="L115" i="98"/>
  <c r="AP118" i="120" s="1"/>
  <c r="E67" i="36"/>
  <c r="P69" i="97" s="1"/>
  <c r="C44" i="36"/>
  <c r="N46" i="97" s="1"/>
  <c r="D44" i="36"/>
  <c r="O46" i="97" s="1"/>
  <c r="E44" i="36"/>
  <c r="P46" i="97" s="1"/>
  <c r="R25" i="46"/>
  <c r="D72" i="36"/>
  <c r="O74" i="97" s="1"/>
  <c r="E72" i="36"/>
  <c r="J47" i="98"/>
  <c r="AF45" i="120" s="1"/>
  <c r="I36" i="82"/>
  <c r="D46" i="17"/>
  <c r="C47" i="98" s="1"/>
  <c r="R58" i="46"/>
  <c r="K31" i="17"/>
  <c r="E31" i="17" s="1"/>
  <c r="D32" i="98" s="1"/>
  <c r="M63" i="98"/>
  <c r="AS61" i="120" s="1"/>
  <c r="H72" i="17"/>
  <c r="F73" i="98" s="1"/>
  <c r="AF54" i="46"/>
  <c r="J29" i="98"/>
  <c r="AF26" i="120" s="1"/>
  <c r="K11" i="98"/>
  <c r="AI8" i="120" s="1"/>
  <c r="I44" i="82"/>
  <c r="K106" i="98"/>
  <c r="AI109" i="120" s="1"/>
  <c r="N9" i="15"/>
  <c r="G9" i="15" s="1"/>
  <c r="K10" i="17"/>
  <c r="E10" i="17" s="1"/>
  <c r="D11" i="98" s="1"/>
  <c r="M91" i="98"/>
  <c r="AS89" i="120" s="1"/>
  <c r="G55" i="17"/>
  <c r="J60" i="98"/>
  <c r="AF58" i="120" s="1"/>
  <c r="L33" i="46"/>
  <c r="H25" i="46"/>
  <c r="M8" i="17"/>
  <c r="H8" i="17" s="1"/>
  <c r="F9" i="98" s="1"/>
  <c r="D105" i="15"/>
  <c r="J104" i="82" s="1"/>
  <c r="L61" i="82"/>
  <c r="D58" i="17"/>
  <c r="C59" i="98" s="1"/>
  <c r="G35" i="17"/>
  <c r="E36" i="98" s="1"/>
  <c r="K120" i="98"/>
  <c r="AI123" i="120" s="1"/>
  <c r="AB40" i="46"/>
  <c r="E101" i="97"/>
  <c r="M100" i="120" s="1"/>
  <c r="L126" i="98"/>
  <c r="AP129" i="120" s="1"/>
  <c r="AV129" i="120" s="1"/>
  <c r="AY129" i="120" s="1"/>
  <c r="L24" i="17"/>
  <c r="G24" i="17" s="1"/>
  <c r="E25" i="98" s="1"/>
  <c r="C114" i="15"/>
  <c r="M24" i="15"/>
  <c r="F24" i="15" s="1"/>
  <c r="K23" i="82" s="1"/>
  <c r="K28" i="15"/>
  <c r="C28" i="15" s="1"/>
  <c r="E28" i="15" s="1"/>
  <c r="M36" i="98"/>
  <c r="AS34" i="120" s="1"/>
  <c r="M85" i="98"/>
  <c r="AS83" i="120" s="1"/>
  <c r="F123" i="15"/>
  <c r="D119" i="15"/>
  <c r="V46" i="46"/>
  <c r="V140" i="46"/>
  <c r="R30" i="24"/>
  <c r="R28" i="46"/>
  <c r="D115" i="15"/>
  <c r="J28" i="17"/>
  <c r="D28" i="17" s="1"/>
  <c r="G38" i="17"/>
  <c r="L18" i="46"/>
  <c r="D19" i="97" s="1"/>
  <c r="F17" i="120" s="1"/>
  <c r="G59" i="17"/>
  <c r="E60" i="98" s="1"/>
  <c r="AB45" i="46"/>
  <c r="K24" i="24"/>
  <c r="M24" i="24"/>
  <c r="D113" i="15"/>
  <c r="K34" i="82"/>
  <c r="M43" i="98"/>
  <c r="AS41" i="120" s="1"/>
  <c r="D112" i="15"/>
  <c r="J111" i="82" s="1"/>
  <c r="K16" i="24"/>
  <c r="L24" i="24"/>
  <c r="AF140" i="46"/>
  <c r="H136" i="97" s="1"/>
  <c r="AF12" i="46"/>
  <c r="M7" i="17"/>
  <c r="H7" i="17" s="1"/>
  <c r="F8" i="98" s="1"/>
  <c r="G52" i="17"/>
  <c r="J95" i="98"/>
  <c r="AF93" i="120" s="1"/>
  <c r="AH93" i="120" s="1"/>
  <c r="K51" i="98"/>
  <c r="AI49" i="120" s="1"/>
  <c r="K17" i="98"/>
  <c r="AI14" i="120" s="1"/>
  <c r="J79" i="98"/>
  <c r="AF77" i="120" s="1"/>
  <c r="AH77" i="120" s="1"/>
  <c r="H42" i="46"/>
  <c r="L140" i="46"/>
  <c r="D136" i="97" s="1"/>
  <c r="V37" i="46"/>
  <c r="AF37" i="46"/>
  <c r="L12" i="46"/>
  <c r="H93" i="17"/>
  <c r="F94" i="98" s="1"/>
  <c r="N12" i="15"/>
  <c r="G12" i="15" s="1"/>
  <c r="E117" i="17"/>
  <c r="D113" i="98" s="1"/>
  <c r="L37" i="46"/>
  <c r="AB55" i="46"/>
  <c r="H28" i="46"/>
  <c r="AF43" i="46"/>
  <c r="H55" i="46"/>
  <c r="L94" i="98"/>
  <c r="AP92" i="120" s="1"/>
  <c r="J24" i="98"/>
  <c r="AF21" i="120" s="1"/>
  <c r="AL21" i="120" s="1"/>
  <c r="AO21" i="120" s="1"/>
  <c r="J38" i="98"/>
  <c r="AF36" i="120" s="1"/>
  <c r="M38" i="98"/>
  <c r="AS36" i="120" s="1"/>
  <c r="K28" i="98"/>
  <c r="AI25" i="120" s="1"/>
  <c r="V58" i="46"/>
  <c r="G37" i="17"/>
  <c r="E38" i="98" s="1"/>
  <c r="AF17" i="46"/>
  <c r="H68" i="46"/>
  <c r="J59" i="98"/>
  <c r="AF57" i="120" s="1"/>
  <c r="M17" i="15"/>
  <c r="F17" i="15" s="1"/>
  <c r="V35" i="46"/>
  <c r="R12" i="46"/>
  <c r="L54" i="46"/>
  <c r="L43" i="46"/>
  <c r="L40" i="98"/>
  <c r="AP38" i="120" s="1"/>
  <c r="J23" i="17"/>
  <c r="D23" i="17" s="1"/>
  <c r="M12" i="98"/>
  <c r="AS9" i="120" s="1"/>
  <c r="K27" i="17"/>
  <c r="E27" i="17" s="1"/>
  <c r="D28" i="98" s="1"/>
  <c r="D78" i="17"/>
  <c r="C79" i="98" s="1"/>
  <c r="AF8" i="46"/>
  <c r="AB58" i="46"/>
  <c r="L29" i="15"/>
  <c r="D29" i="15" s="1"/>
  <c r="K30" i="98"/>
  <c r="AI27" i="120" s="1"/>
  <c r="AL27" i="120" s="1"/>
  <c r="AO27" i="120" s="1"/>
  <c r="L17" i="98"/>
  <c r="AP14" i="120" s="1"/>
  <c r="AR14" i="120" s="1"/>
  <c r="R15" i="24"/>
  <c r="V43" i="46"/>
  <c r="J53" i="98"/>
  <c r="AF51" i="120" s="1"/>
  <c r="H140" i="46"/>
  <c r="C136" i="97" s="1"/>
  <c r="H54" i="46"/>
  <c r="K23" i="15"/>
  <c r="C23" i="15" s="1"/>
  <c r="V8" i="46"/>
  <c r="K29" i="17"/>
  <c r="E29" i="17" s="1"/>
  <c r="H45" i="46"/>
  <c r="AB25" i="46"/>
  <c r="L34" i="46"/>
  <c r="R55" i="46"/>
  <c r="M27" i="15"/>
  <c r="F27" i="15" s="1"/>
  <c r="L27" i="17"/>
  <c r="G27" i="17" s="1"/>
  <c r="E28" i="98" s="1"/>
  <c r="L28" i="98"/>
  <c r="AP25" i="120" s="1"/>
  <c r="G64" i="17"/>
  <c r="E65" i="98" s="1"/>
  <c r="M12" i="15"/>
  <c r="F12" i="15" s="1"/>
  <c r="L11" i="17"/>
  <c r="G11" i="17" s="1"/>
  <c r="M20" i="98"/>
  <c r="AS17" i="120" s="1"/>
  <c r="N20" i="15"/>
  <c r="G20" i="15" s="1"/>
  <c r="J27" i="17"/>
  <c r="D27" i="17" s="1"/>
  <c r="C28" i="98" s="1"/>
  <c r="K27" i="15"/>
  <c r="C27" i="15" s="1"/>
  <c r="J28" i="98"/>
  <c r="AF25" i="120" s="1"/>
  <c r="L23" i="98"/>
  <c r="AP20" i="120" s="1"/>
  <c r="AR20" i="120" s="1"/>
  <c r="J32" i="17"/>
  <c r="D32" i="17" s="1"/>
  <c r="J33" i="98"/>
  <c r="AF30" i="120" s="1"/>
  <c r="L16" i="98"/>
  <c r="AP13" i="120" s="1"/>
  <c r="AR13" i="120" s="1"/>
  <c r="M16" i="15"/>
  <c r="F16" i="15" s="1"/>
  <c r="J115" i="98"/>
  <c r="AF118" i="120" s="1"/>
  <c r="K80" i="98"/>
  <c r="AI78" i="120" s="1"/>
  <c r="D33" i="17"/>
  <c r="C34" i="98" s="1"/>
  <c r="J34" i="98"/>
  <c r="AF32" i="120" s="1"/>
  <c r="D108" i="15"/>
  <c r="J107" i="82" s="1"/>
  <c r="E113" i="17"/>
  <c r="K109" i="98"/>
  <c r="AI112" i="120" s="1"/>
  <c r="L124" i="98"/>
  <c r="AP127" i="120" s="1"/>
  <c r="AR127" i="120" s="1"/>
  <c r="E59" i="17"/>
  <c r="D60" i="98" s="1"/>
  <c r="K60" i="98"/>
  <c r="AI58" i="120" s="1"/>
  <c r="K42" i="82"/>
  <c r="G58" i="17"/>
  <c r="E59" i="98" s="1"/>
  <c r="L59" i="98"/>
  <c r="AP57" i="120" s="1"/>
  <c r="G43" i="17"/>
  <c r="M48" i="98"/>
  <c r="AS46" i="120" s="1"/>
  <c r="H65" i="17"/>
  <c r="F66" i="98" s="1"/>
  <c r="D96" i="17"/>
  <c r="C97" i="98" s="1"/>
  <c r="L71" i="98"/>
  <c r="AP69" i="120" s="1"/>
  <c r="K26" i="17"/>
  <c r="E26" i="17" s="1"/>
  <c r="D27" i="98" s="1"/>
  <c r="K27" i="98"/>
  <c r="R11" i="24"/>
  <c r="K29" i="15"/>
  <c r="C29" i="15" s="1"/>
  <c r="I28" i="82" s="1"/>
  <c r="J29" i="17"/>
  <c r="D29" i="17" s="1"/>
  <c r="C30" i="98" s="1"/>
  <c r="R42" i="46"/>
  <c r="AB68" i="46"/>
  <c r="AF32" i="46"/>
  <c r="H33" i="97" s="1"/>
  <c r="AB50" i="46"/>
  <c r="AB54" i="46"/>
  <c r="L8" i="46"/>
  <c r="R45" i="46"/>
  <c r="K36" i="98"/>
  <c r="AI34" i="120" s="1"/>
  <c r="E35" i="17"/>
  <c r="J26" i="82"/>
  <c r="D64" i="17"/>
  <c r="C65" i="98" s="1"/>
  <c r="J23" i="98"/>
  <c r="AF20" i="120" s="1"/>
  <c r="AH20" i="120" s="1"/>
  <c r="J22" i="17"/>
  <c r="D22" i="17" s="1"/>
  <c r="C22" i="17" s="1"/>
  <c r="I14" i="82"/>
  <c r="K112" i="98"/>
  <c r="AI115" i="120" s="1"/>
  <c r="J67" i="98"/>
  <c r="AF65" i="120" s="1"/>
  <c r="L30" i="24"/>
  <c r="K30" i="24"/>
  <c r="M30" i="24"/>
  <c r="D42" i="17"/>
  <c r="C43" i="98" s="1"/>
  <c r="J44" i="98"/>
  <c r="AF42" i="120" s="1"/>
  <c r="D43" i="17"/>
  <c r="C44" i="98" s="1"/>
  <c r="E66" i="17"/>
  <c r="D67" i="98" s="1"/>
  <c r="J64" i="82"/>
  <c r="K66" i="98"/>
  <c r="AI64" i="120" s="1"/>
  <c r="E55" i="17"/>
  <c r="D56" i="98" s="1"/>
  <c r="L48" i="98"/>
  <c r="AP46" i="120" s="1"/>
  <c r="K77" i="82"/>
  <c r="I54" i="82"/>
  <c r="J56" i="98"/>
  <c r="AF54" i="120" s="1"/>
  <c r="L96" i="82"/>
  <c r="K10" i="15"/>
  <c r="C10" i="15" s="1"/>
  <c r="J9" i="17"/>
  <c r="D9" i="17" s="1"/>
  <c r="C10" i="98" s="1"/>
  <c r="J54" i="98"/>
  <c r="AF52" i="120" s="1"/>
  <c r="M34" i="98"/>
  <c r="AS32" i="120" s="1"/>
  <c r="T14" i="24"/>
  <c r="R14" i="24"/>
  <c r="H41" i="17"/>
  <c r="F42" i="98" s="1"/>
  <c r="L42" i="98"/>
  <c r="AP40" i="120" s="1"/>
  <c r="M67" i="98"/>
  <c r="AS65" i="120" s="1"/>
  <c r="L51" i="46"/>
  <c r="D52" i="97" s="1"/>
  <c r="F51" i="120" s="1"/>
  <c r="L42" i="46"/>
  <c r="R50" i="46"/>
  <c r="T21" i="24"/>
  <c r="R21" i="24"/>
  <c r="H58" i="98"/>
  <c r="O56" i="125" s="1"/>
  <c r="Q56" i="125" s="1"/>
  <c r="V51" i="46"/>
  <c r="F52" i="97" s="1"/>
  <c r="P51" i="120" s="1"/>
  <c r="J113" i="98"/>
  <c r="AF116" i="120" s="1"/>
  <c r="V16" i="46"/>
  <c r="C51" i="36"/>
  <c r="N53" i="97" s="1"/>
  <c r="D51" i="36"/>
  <c r="O53" i="97" s="1"/>
  <c r="E51" i="36"/>
  <c r="P53" i="97" s="1"/>
  <c r="E107" i="36"/>
  <c r="P109" i="97" s="1"/>
  <c r="F63" i="82"/>
  <c r="AC141" i="46"/>
  <c r="I141" i="46"/>
  <c r="S141" i="46"/>
  <c r="R20" i="46"/>
  <c r="L46" i="46"/>
  <c r="R43" i="46"/>
  <c r="H58" i="46"/>
  <c r="T23" i="24"/>
  <c r="R23" i="24"/>
  <c r="T27" i="24"/>
  <c r="R27" i="24"/>
  <c r="T16" i="24"/>
  <c r="R16" i="24"/>
  <c r="K15" i="24"/>
  <c r="L15" i="24"/>
  <c r="M15" i="24"/>
  <c r="P93" i="26"/>
  <c r="N93" i="26" s="1"/>
  <c r="L93" i="26" s="1"/>
  <c r="P88" i="26"/>
  <c r="N88" i="26" s="1"/>
  <c r="L88" i="26" s="1"/>
  <c r="AK117" i="26"/>
  <c r="AG117" i="26" s="1"/>
  <c r="AE117" i="26" s="1"/>
  <c r="H35" i="46"/>
  <c r="AF18" i="46"/>
  <c r="H19" i="97" s="1"/>
  <c r="AB15" i="46"/>
  <c r="L19" i="46"/>
  <c r="AB26" i="46"/>
  <c r="L61" i="46"/>
  <c r="AF7" i="46"/>
  <c r="H8" i="97" s="1"/>
  <c r="V44" i="46"/>
  <c r="V34" i="46"/>
  <c r="V15" i="46"/>
  <c r="H43" i="46"/>
  <c r="H12" i="46"/>
  <c r="AF15" i="46"/>
  <c r="H8" i="46"/>
  <c r="AF46" i="46"/>
  <c r="AF64" i="46"/>
  <c r="L64" i="46"/>
  <c r="AB43" i="46"/>
  <c r="AB35" i="46"/>
  <c r="AB8" i="46"/>
  <c r="AF19" i="46"/>
  <c r="H20" i="97" s="1"/>
  <c r="R15" i="46"/>
  <c r="L142" i="46"/>
  <c r="D138" i="97" s="1"/>
  <c r="V7" i="46"/>
  <c r="F8" i="97" s="1"/>
  <c r="P6" i="120" s="1"/>
  <c r="F124" i="15"/>
  <c r="E120" i="17"/>
  <c r="L24" i="15"/>
  <c r="D24" i="15" s="1"/>
  <c r="I64" i="82"/>
  <c r="M19" i="17"/>
  <c r="H19" i="17" s="1"/>
  <c r="F20" i="98" s="1"/>
  <c r="L105" i="98"/>
  <c r="AP108" i="120" s="1"/>
  <c r="G113" i="17"/>
  <c r="E109" i="98" s="1"/>
  <c r="L125" i="98"/>
  <c r="AP128" i="120" s="1"/>
  <c r="L65" i="98"/>
  <c r="AP63" i="120" s="1"/>
  <c r="M54" i="98"/>
  <c r="AS52" i="120" s="1"/>
  <c r="L88" i="98"/>
  <c r="AP86" i="120" s="1"/>
  <c r="AR86" i="120" s="1"/>
  <c r="K100" i="82"/>
  <c r="L12" i="98"/>
  <c r="AP9" i="120" s="1"/>
  <c r="M24" i="17"/>
  <c r="H24" i="17" s="1"/>
  <c r="F25" i="98" s="1"/>
  <c r="M25" i="98"/>
  <c r="AS22" i="120" s="1"/>
  <c r="N24" i="15"/>
  <c r="G24" i="15" s="1"/>
  <c r="J85" i="98"/>
  <c r="AF83" i="120" s="1"/>
  <c r="AH83" i="120" s="1"/>
  <c r="I69" i="82"/>
  <c r="E62" i="17"/>
  <c r="D63" i="98" s="1"/>
  <c r="L66" i="98"/>
  <c r="AP64" i="120" s="1"/>
  <c r="G117" i="17"/>
  <c r="F112" i="15"/>
  <c r="K111" i="82" s="1"/>
  <c r="L113" i="98"/>
  <c r="AP116" i="120" s="1"/>
  <c r="N27" i="15"/>
  <c r="G27" i="15" s="1"/>
  <c r="M27" i="17"/>
  <c r="H27" i="17" s="1"/>
  <c r="F28" i="98" s="1"/>
  <c r="M28" i="98"/>
  <c r="AS25" i="120" s="1"/>
  <c r="H26" i="46"/>
  <c r="H20" i="46"/>
  <c r="AF51" i="46"/>
  <c r="H52" i="97" s="1"/>
  <c r="L10" i="46"/>
  <c r="L55" i="46"/>
  <c r="AF21" i="46"/>
  <c r="AB20" i="46"/>
  <c r="L58" i="46"/>
  <c r="R51" i="46"/>
  <c r="V55" i="46"/>
  <c r="J57" i="82"/>
  <c r="K53" i="82"/>
  <c r="H15" i="46"/>
  <c r="C16" i="97" s="1"/>
  <c r="C14" i="120" s="1"/>
  <c r="E14" i="120" s="1"/>
  <c r="E58" i="17"/>
  <c r="D59" i="98" s="1"/>
  <c r="L15" i="46"/>
  <c r="L21" i="46"/>
  <c r="AF67" i="46"/>
  <c r="H68" i="97" s="1"/>
  <c r="K59" i="98"/>
  <c r="AI57" i="120" s="1"/>
  <c r="D117" i="17"/>
  <c r="H58" i="17"/>
  <c r="R32" i="46"/>
  <c r="E33" i="97" s="1"/>
  <c r="AB48" i="46"/>
  <c r="AB51" i="46"/>
  <c r="G52" i="97" s="1"/>
  <c r="L32" i="46"/>
  <c r="D33" i="97" s="1"/>
  <c r="C112" i="15"/>
  <c r="H48" i="46"/>
  <c r="V19" i="46"/>
  <c r="AF10" i="46"/>
  <c r="R26" i="46"/>
  <c r="AF58" i="46"/>
  <c r="H51" i="46"/>
  <c r="C52" i="97" s="1"/>
  <c r="C51" i="120" s="1"/>
  <c r="E51" i="120" s="1"/>
  <c r="V21" i="46"/>
  <c r="V32" i="46"/>
  <c r="F33" i="97" s="1"/>
  <c r="L118" i="26"/>
  <c r="J118" i="26" s="1"/>
  <c r="K118" i="26" s="1"/>
  <c r="L120" i="26"/>
  <c r="H32" i="46"/>
  <c r="C33" i="97" s="1"/>
  <c r="F86" i="82"/>
  <c r="K103" i="98"/>
  <c r="AI101" i="120" s="1"/>
  <c r="E102" i="17"/>
  <c r="D103" i="98" s="1"/>
  <c r="L92" i="98"/>
  <c r="AP90" i="120" s="1"/>
  <c r="AR90" i="120" s="1"/>
  <c r="K75" i="82"/>
  <c r="K75" i="98"/>
  <c r="AI73" i="120" s="1"/>
  <c r="J61" i="98"/>
  <c r="AF59" i="120" s="1"/>
  <c r="J49" i="98"/>
  <c r="AF47" i="120" s="1"/>
  <c r="R48" i="46"/>
  <c r="AF55" i="46"/>
  <c r="R8" i="46"/>
  <c r="L12" i="15"/>
  <c r="D12" i="15" s="1"/>
  <c r="J11" i="82" s="1"/>
  <c r="K11" i="17"/>
  <c r="E11" i="17" s="1"/>
  <c r="D12" i="98" s="1"/>
  <c r="K12" i="98"/>
  <c r="AI9" i="120" s="1"/>
  <c r="J79" i="82"/>
  <c r="E80" i="17"/>
  <c r="D81" i="98" s="1"/>
  <c r="K81" i="98"/>
  <c r="AI79" i="120" s="1"/>
  <c r="J63" i="98"/>
  <c r="AF61" i="120" s="1"/>
  <c r="L51" i="98"/>
  <c r="AP49" i="120" s="1"/>
  <c r="K39" i="82"/>
  <c r="L68" i="46"/>
  <c r="AF65" i="46"/>
  <c r="AK15" i="26"/>
  <c r="AG15" i="26" s="1"/>
  <c r="AE15" i="26" s="1"/>
  <c r="K96" i="98"/>
  <c r="AI94" i="120" s="1"/>
  <c r="J88" i="98"/>
  <c r="AF86" i="120" s="1"/>
  <c r="AH86" i="120" s="1"/>
  <c r="D87" i="17"/>
  <c r="K20" i="15"/>
  <c r="C20" i="15" s="1"/>
  <c r="J20" i="98"/>
  <c r="AF17" i="120" s="1"/>
  <c r="J19" i="17"/>
  <c r="D19" i="17" s="1"/>
  <c r="C20" i="98" s="1"/>
  <c r="I49" i="82"/>
  <c r="J62" i="98"/>
  <c r="AF60" i="120" s="1"/>
  <c r="L58" i="98"/>
  <c r="AP56" i="120" s="1"/>
  <c r="AB13" i="46"/>
  <c r="L7" i="46"/>
  <c r="D8" i="97" s="1"/>
  <c r="F6" i="120" s="1"/>
  <c r="F99" i="82"/>
  <c r="F25" i="82"/>
  <c r="K110" i="98"/>
  <c r="AI113" i="120" s="1"/>
  <c r="D109" i="15"/>
  <c r="J108" i="82" s="1"/>
  <c r="J37" i="98"/>
  <c r="AF35" i="120" s="1"/>
  <c r="D36" i="17"/>
  <c r="J39" i="98"/>
  <c r="AF37" i="120" s="1"/>
  <c r="AH37" i="120" s="1"/>
  <c r="H71" i="46"/>
  <c r="J103" i="98"/>
  <c r="AF101" i="120" s="1"/>
  <c r="D102" i="17"/>
  <c r="M92" i="98"/>
  <c r="AS90" i="120" s="1"/>
  <c r="L75" i="98"/>
  <c r="AP73" i="120" s="1"/>
  <c r="R34" i="46"/>
  <c r="K12" i="15"/>
  <c r="C12" i="15" s="1"/>
  <c r="J11" i="17"/>
  <c r="D11" i="17" s="1"/>
  <c r="J12" i="98"/>
  <c r="AF9" i="120" s="1"/>
  <c r="I65" i="82"/>
  <c r="D80" i="17"/>
  <c r="J81" i="98"/>
  <c r="AF79" i="120" s="1"/>
  <c r="K52" i="98"/>
  <c r="AI50" i="120" s="1"/>
  <c r="M51" i="98"/>
  <c r="AS49" i="120" s="1"/>
  <c r="AF68" i="46"/>
  <c r="V66" i="46"/>
  <c r="V65" i="46"/>
  <c r="AB10" i="46"/>
  <c r="F110" i="15"/>
  <c r="L111" i="98"/>
  <c r="AP114" i="120" s="1"/>
  <c r="G115" i="17"/>
  <c r="E111" i="98" s="1"/>
  <c r="G100" i="17"/>
  <c r="L101" i="98"/>
  <c r="AP99" i="120" s="1"/>
  <c r="J96" i="98"/>
  <c r="AF94" i="120" s="1"/>
  <c r="E90" i="17"/>
  <c r="D91" i="98" s="1"/>
  <c r="K91" i="98"/>
  <c r="AI89" i="120" s="1"/>
  <c r="H87" i="17"/>
  <c r="F88" i="98" s="1"/>
  <c r="M88" i="98"/>
  <c r="AS86" i="120" s="1"/>
  <c r="L19" i="17"/>
  <c r="G19" i="17" s="1"/>
  <c r="E20" i="98" s="1"/>
  <c r="M20" i="15"/>
  <c r="F20" i="15" s="1"/>
  <c r="L20" i="98"/>
  <c r="AP17" i="120" s="1"/>
  <c r="L62" i="98"/>
  <c r="AP60" i="120" s="1"/>
  <c r="J58" i="98"/>
  <c r="AF56" i="120" s="1"/>
  <c r="H13" i="46"/>
  <c r="D114" i="17"/>
  <c r="J110" i="98"/>
  <c r="AF113" i="120" s="1"/>
  <c r="K94" i="98"/>
  <c r="AI92" i="120" s="1"/>
  <c r="K40" i="98"/>
  <c r="AI38" i="120" s="1"/>
  <c r="M103" i="98"/>
  <c r="AS101" i="120" s="1"/>
  <c r="H102" i="17"/>
  <c r="F103" i="98" s="1"/>
  <c r="K92" i="98"/>
  <c r="AI90" i="120" s="1"/>
  <c r="H89" i="17"/>
  <c r="F90" i="98" s="1"/>
  <c r="M90" i="98"/>
  <c r="AS88" i="120" s="1"/>
  <c r="M65" i="98"/>
  <c r="AS63" i="120" s="1"/>
  <c r="H34" i="46"/>
  <c r="K9" i="15"/>
  <c r="C9" i="15" s="1"/>
  <c r="J8" i="17"/>
  <c r="D8" i="17" s="1"/>
  <c r="J9" i="98"/>
  <c r="AF6" i="120" s="1"/>
  <c r="L79" i="82"/>
  <c r="H80" i="17"/>
  <c r="F81" i="98" s="1"/>
  <c r="M81" i="98"/>
  <c r="AS79" i="120" s="1"/>
  <c r="I40" i="82"/>
  <c r="J52" i="98"/>
  <c r="AF50" i="120" s="1"/>
  <c r="M11" i="15"/>
  <c r="F11" i="15" s="1"/>
  <c r="K8" i="82" s="1"/>
  <c r="L11" i="98"/>
  <c r="AP8" i="120" s="1"/>
  <c r="AV8" i="120" s="1"/>
  <c r="AY8" i="120" s="1"/>
  <c r="L10" i="17"/>
  <c r="G10" i="17" s="1"/>
  <c r="L66" i="46"/>
  <c r="AB32" i="46"/>
  <c r="G33" i="97" s="1"/>
  <c r="R10" i="46"/>
  <c r="H10" i="46"/>
  <c r="C110" i="15"/>
  <c r="J111" i="98"/>
  <c r="AF114" i="120" s="1"/>
  <c r="D115" i="17"/>
  <c r="C111" i="98" s="1"/>
  <c r="J91" i="98"/>
  <c r="AF89" i="120" s="1"/>
  <c r="D90" i="17"/>
  <c r="K48" i="82"/>
  <c r="L50" i="98"/>
  <c r="AP48" i="120" s="1"/>
  <c r="AR48" i="120" s="1"/>
  <c r="M70" i="98"/>
  <c r="AS68" i="120" s="1"/>
  <c r="M62" i="98"/>
  <c r="AS60" i="120" s="1"/>
  <c r="L60" i="82"/>
  <c r="R13" i="46"/>
  <c r="J94" i="98"/>
  <c r="AF92" i="120" s="1"/>
  <c r="M80" i="98"/>
  <c r="AS78" i="120" s="1"/>
  <c r="I30" i="82"/>
  <c r="J40" i="98"/>
  <c r="AF38" i="120" s="1"/>
  <c r="AB71" i="46"/>
  <c r="G102" i="17"/>
  <c r="L103" i="98"/>
  <c r="AP101" i="120" s="1"/>
  <c r="J92" i="98"/>
  <c r="AF90" i="120" s="1"/>
  <c r="AH90" i="120" s="1"/>
  <c r="I75" i="82"/>
  <c r="J75" i="98"/>
  <c r="AF73" i="120" s="1"/>
  <c r="AH73" i="120" s="1"/>
  <c r="K61" i="98"/>
  <c r="AI59" i="120" s="1"/>
  <c r="K49" i="98"/>
  <c r="AI47" i="120" s="1"/>
  <c r="AB34" i="46"/>
  <c r="L9" i="15"/>
  <c r="D9" i="15" s="1"/>
  <c r="J8" i="82" s="1"/>
  <c r="K8" i="17"/>
  <c r="E8" i="17" s="1"/>
  <c r="D9" i="98" s="1"/>
  <c r="K9" i="98"/>
  <c r="AI6" i="120" s="1"/>
  <c r="G80" i="17"/>
  <c r="L81" i="98"/>
  <c r="AP79" i="120" s="1"/>
  <c r="M52" i="98"/>
  <c r="AS50" i="120" s="1"/>
  <c r="K11" i="15"/>
  <c r="C11" i="15" s="1"/>
  <c r="I10" i="82" s="1"/>
  <c r="J11" i="98"/>
  <c r="AF8" i="120" s="1"/>
  <c r="J10" i="17"/>
  <c r="D10" i="17" s="1"/>
  <c r="V68" i="46"/>
  <c r="AF66" i="46"/>
  <c r="L65" i="46"/>
  <c r="J107" i="98"/>
  <c r="AF110" i="120" s="1"/>
  <c r="D111" i="17"/>
  <c r="K88" i="98"/>
  <c r="AI86" i="120" s="1"/>
  <c r="E87" i="17"/>
  <c r="D88" i="98" s="1"/>
  <c r="J50" i="98"/>
  <c r="AF48" i="120" s="1"/>
  <c r="AH48" i="120" s="1"/>
  <c r="K70" i="98"/>
  <c r="AI68" i="120" s="1"/>
  <c r="K62" i="98"/>
  <c r="AI60" i="120" s="1"/>
  <c r="J60" i="82"/>
  <c r="L80" i="98"/>
  <c r="AP78" i="120" s="1"/>
  <c r="J27" i="82"/>
  <c r="K37" i="98"/>
  <c r="AI35" i="120" s="1"/>
  <c r="E36" i="17"/>
  <c r="D37" i="98" s="1"/>
  <c r="K39" i="98"/>
  <c r="AI37" i="120" s="1"/>
  <c r="R71" i="46"/>
  <c r="F16" i="98"/>
  <c r="F15" i="17"/>
  <c r="L28" i="82"/>
  <c r="K31" i="82"/>
  <c r="I31" i="82"/>
  <c r="I23" i="82"/>
  <c r="AB141" i="46"/>
  <c r="G137" i="97" s="1"/>
  <c r="E8" i="98"/>
  <c r="AC115" i="26" l="1"/>
  <c r="AD115" i="26" s="1"/>
  <c r="V36" i="46"/>
  <c r="R46" i="46"/>
  <c r="AF97" i="46"/>
  <c r="R18" i="46"/>
  <c r="R7" i="46"/>
  <c r="E8" i="97" s="1"/>
  <c r="M6" i="120" s="1"/>
  <c r="S6" i="120" s="1"/>
  <c r="V6" i="120" s="1"/>
  <c r="V48" i="46"/>
  <c r="AB19" i="46"/>
  <c r="R44" i="46"/>
  <c r="T23" i="46"/>
  <c r="V23" i="46" s="1"/>
  <c r="F24" i="97" s="1"/>
  <c r="P23" i="120" s="1"/>
  <c r="P23" i="46"/>
  <c r="R23" i="46" s="1"/>
  <c r="E24" i="97" s="1"/>
  <c r="M23" i="120" s="1"/>
  <c r="Z47" i="46"/>
  <c r="AB47" i="46" s="1"/>
  <c r="G48" i="97" s="1"/>
  <c r="AD47" i="46"/>
  <c r="AF47" i="46" s="1"/>
  <c r="H48" i="97" s="1"/>
  <c r="P22" i="46"/>
  <c r="R22" i="46" s="1"/>
  <c r="E23" i="97" s="1"/>
  <c r="M22" i="120" s="1"/>
  <c r="T22" i="46"/>
  <c r="V22" i="46" s="1"/>
  <c r="F23" i="97" s="1"/>
  <c r="P22" i="120" s="1"/>
  <c r="AD137" i="46"/>
  <c r="AF137" i="46" s="1"/>
  <c r="H133" i="97" s="1"/>
  <c r="Z137" i="46"/>
  <c r="AB137" i="46" s="1"/>
  <c r="G133" i="97" s="1"/>
  <c r="P143" i="46"/>
  <c r="R143" i="46" s="1"/>
  <c r="T143" i="46"/>
  <c r="V143" i="46" s="1"/>
  <c r="AD53" i="46"/>
  <c r="AF53" i="46" s="1"/>
  <c r="H54" i="97" s="1"/>
  <c r="Z53" i="46"/>
  <c r="AB53" i="46" s="1"/>
  <c r="G54" i="97" s="1"/>
  <c r="T59" i="46"/>
  <c r="V59" i="46" s="1"/>
  <c r="F60" i="97" s="1"/>
  <c r="P59" i="120" s="1"/>
  <c r="P59" i="46"/>
  <c r="R59" i="46" s="1"/>
  <c r="E60" i="97" s="1"/>
  <c r="M59" i="120" s="1"/>
  <c r="AD11" i="46"/>
  <c r="AF11" i="46" s="1"/>
  <c r="H12" i="97" s="1"/>
  <c r="Z11" i="46"/>
  <c r="AB11" i="46" s="1"/>
  <c r="G12" i="97" s="1"/>
  <c r="T27" i="46"/>
  <c r="P27" i="46"/>
  <c r="R27" i="46" s="1"/>
  <c r="E28" i="97" s="1"/>
  <c r="M27" i="120" s="1"/>
  <c r="Z59" i="46"/>
  <c r="AB59" i="46" s="1"/>
  <c r="G60" i="97" s="1"/>
  <c r="AD59" i="46"/>
  <c r="AF59" i="46" s="1"/>
  <c r="Z69" i="46"/>
  <c r="AB69" i="46" s="1"/>
  <c r="G70" i="97" s="1"/>
  <c r="AD69" i="46"/>
  <c r="AF69" i="46" s="1"/>
  <c r="H70" i="97" s="1"/>
  <c r="Z78" i="46"/>
  <c r="AB78" i="46" s="1"/>
  <c r="G79" i="97" s="1"/>
  <c r="AD78" i="46"/>
  <c r="AF78" i="46" s="1"/>
  <c r="P78" i="46"/>
  <c r="R78" i="46" s="1"/>
  <c r="T78" i="46"/>
  <c r="V78" i="46" s="1"/>
  <c r="F79" i="97" s="1"/>
  <c r="P78" i="120" s="1"/>
  <c r="AD63" i="46"/>
  <c r="AF63" i="46" s="1"/>
  <c r="H64" i="97" s="1"/>
  <c r="Z63" i="46"/>
  <c r="AB63" i="46" s="1"/>
  <c r="G64" i="97" s="1"/>
  <c r="P63" i="46"/>
  <c r="R63" i="46" s="1"/>
  <c r="E64" i="97" s="1"/>
  <c r="M63" i="120" s="1"/>
  <c r="T63" i="46"/>
  <c r="V63" i="46" s="1"/>
  <c r="F64" i="97" s="1"/>
  <c r="P63" i="120" s="1"/>
  <c r="AD23" i="46"/>
  <c r="AF23" i="46" s="1"/>
  <c r="H24" i="97" s="1"/>
  <c r="Z23" i="46"/>
  <c r="AB23" i="46" s="1"/>
  <c r="G24" i="97" s="1"/>
  <c r="P11" i="46"/>
  <c r="R11" i="46" s="1"/>
  <c r="T11" i="46"/>
  <c r="V11" i="46" s="1"/>
  <c r="F12" i="97" s="1"/>
  <c r="P10" i="120" s="1"/>
  <c r="T53" i="46"/>
  <c r="V53" i="46" s="1"/>
  <c r="F54" i="97" s="1"/>
  <c r="P53" i="120" s="1"/>
  <c r="P53" i="46"/>
  <c r="R53" i="46" s="1"/>
  <c r="E54" i="97" s="1"/>
  <c r="M53" i="120" s="1"/>
  <c r="P137" i="46"/>
  <c r="R137" i="46" s="1"/>
  <c r="T137" i="46"/>
  <c r="V137" i="46" s="1"/>
  <c r="V99" i="46"/>
  <c r="F100" i="97" s="1"/>
  <c r="P99" i="120" s="1"/>
  <c r="Z52" i="46"/>
  <c r="AD52" i="46"/>
  <c r="AF52" i="46" s="1"/>
  <c r="Z27" i="46"/>
  <c r="AB27" i="46" s="1"/>
  <c r="G28" i="97" s="1"/>
  <c r="AD27" i="46"/>
  <c r="AD60" i="46"/>
  <c r="AF60" i="46" s="1"/>
  <c r="H61" i="97" s="1"/>
  <c r="Z60" i="46"/>
  <c r="AB60" i="46" s="1"/>
  <c r="G61" i="97" s="1"/>
  <c r="T47" i="46"/>
  <c r="V47" i="46" s="1"/>
  <c r="P47" i="46"/>
  <c r="R47" i="46" s="1"/>
  <c r="E48" i="97" s="1"/>
  <c r="M47" i="120" s="1"/>
  <c r="AD6" i="46"/>
  <c r="AF6" i="46" s="1"/>
  <c r="V133" i="46"/>
  <c r="F129" i="97" s="1"/>
  <c r="P133" i="120" s="1"/>
  <c r="AD41" i="46"/>
  <c r="AF41" i="46" s="1"/>
  <c r="H42" i="97" s="1"/>
  <c r="Z41" i="46"/>
  <c r="AB41" i="46" s="1"/>
  <c r="G42" i="97" s="1"/>
  <c r="Z38" i="46"/>
  <c r="AB38" i="46" s="1"/>
  <c r="G39" i="97" s="1"/>
  <c r="AD38" i="46"/>
  <c r="AF38" i="46" s="1"/>
  <c r="H39" i="97" s="1"/>
  <c r="T6" i="46"/>
  <c r="V6" i="46" s="1"/>
  <c r="T52" i="46"/>
  <c r="V52" i="46" s="1"/>
  <c r="F53" i="97" s="1"/>
  <c r="P52" i="120" s="1"/>
  <c r="P52" i="46"/>
  <c r="R52" i="46" s="1"/>
  <c r="E53" i="97" s="1"/>
  <c r="M52" i="120" s="1"/>
  <c r="T69" i="46"/>
  <c r="V69" i="46" s="1"/>
  <c r="P69" i="46"/>
  <c r="R69" i="46" s="1"/>
  <c r="E70" i="97" s="1"/>
  <c r="M69" i="120" s="1"/>
  <c r="T60" i="46"/>
  <c r="V60" i="46" s="1"/>
  <c r="F61" i="97" s="1"/>
  <c r="P60" i="120" s="1"/>
  <c r="P60" i="46"/>
  <c r="R60" i="46" s="1"/>
  <c r="T38" i="46"/>
  <c r="V38" i="46" s="1"/>
  <c r="F39" i="97" s="1"/>
  <c r="P38" i="120" s="1"/>
  <c r="P38" i="46"/>
  <c r="R38" i="46" s="1"/>
  <c r="P138" i="46"/>
  <c r="T138" i="46"/>
  <c r="V138" i="46" s="1"/>
  <c r="F134" i="97" s="1"/>
  <c r="T131" i="46"/>
  <c r="V131" i="46" s="1"/>
  <c r="P131" i="46"/>
  <c r="R131" i="46" s="1"/>
  <c r="Z73" i="46"/>
  <c r="AB73" i="46" s="1"/>
  <c r="G74" i="97" s="1"/>
  <c r="AD73" i="46"/>
  <c r="AF73" i="46" s="1"/>
  <c r="AF26" i="46"/>
  <c r="W26" i="46" s="1"/>
  <c r="X26" i="46" s="1"/>
  <c r="Z143" i="46"/>
  <c r="AB143" i="46" s="1"/>
  <c r="G139" i="97" s="1"/>
  <c r="AD143" i="46"/>
  <c r="AF143" i="46" s="1"/>
  <c r="H139" i="97" s="1"/>
  <c r="P39" i="46"/>
  <c r="R39" i="46" s="1"/>
  <c r="E40" i="97" s="1"/>
  <c r="M39" i="120" s="1"/>
  <c r="T39" i="46"/>
  <c r="V39" i="46" s="1"/>
  <c r="F40" i="97" s="1"/>
  <c r="P39" i="120" s="1"/>
  <c r="T73" i="46"/>
  <c r="V73" i="46" s="1"/>
  <c r="F74" i="97" s="1"/>
  <c r="P73" i="120" s="1"/>
  <c r="P73" i="46"/>
  <c r="R73" i="46" s="1"/>
  <c r="E74" i="97" s="1"/>
  <c r="M73" i="120" s="1"/>
  <c r="O73" i="120" s="1"/>
  <c r="AD39" i="46"/>
  <c r="AF39" i="46" s="1"/>
  <c r="H40" i="97" s="1"/>
  <c r="Z39" i="46"/>
  <c r="AB39" i="46" s="1"/>
  <c r="G40" i="97" s="1"/>
  <c r="P92" i="46"/>
  <c r="R92" i="46" s="1"/>
  <c r="E93" i="97" s="1"/>
  <c r="M92" i="120" s="1"/>
  <c r="O92" i="120" s="1"/>
  <c r="T92" i="46"/>
  <c r="V92" i="46" s="1"/>
  <c r="AD138" i="46"/>
  <c r="AF138" i="46" s="1"/>
  <c r="Z138" i="46"/>
  <c r="Z92" i="46"/>
  <c r="AB92" i="46" s="1"/>
  <c r="G93" i="97" s="1"/>
  <c r="AD92" i="46"/>
  <c r="AF92" i="46" s="1"/>
  <c r="H93" i="97" s="1"/>
  <c r="Z22" i="46"/>
  <c r="AB22" i="46" s="1"/>
  <c r="G23" i="97" s="1"/>
  <c r="AD22" i="46"/>
  <c r="AF22" i="46" s="1"/>
  <c r="P41" i="46"/>
  <c r="R41" i="46" s="1"/>
  <c r="E42" i="97" s="1"/>
  <c r="M41" i="120" s="1"/>
  <c r="T41" i="46"/>
  <c r="V41" i="46" s="1"/>
  <c r="F42" i="97" s="1"/>
  <c r="P41" i="120" s="1"/>
  <c r="Z131" i="46"/>
  <c r="AB131" i="46" s="1"/>
  <c r="G127" i="97" s="1"/>
  <c r="AD131" i="46"/>
  <c r="AF131" i="46" s="1"/>
  <c r="H127" i="97" s="1"/>
  <c r="AF28" i="26"/>
  <c r="J102" i="46"/>
  <c r="L102" i="46" s="1"/>
  <c r="I102" i="120" s="1"/>
  <c r="L102" i="120" s="1"/>
  <c r="AF102" i="46"/>
  <c r="W102" i="46" s="1"/>
  <c r="X102" i="46" s="1"/>
  <c r="V102" i="46"/>
  <c r="M102" i="46" s="1"/>
  <c r="N102" i="46" s="1"/>
  <c r="V105" i="46"/>
  <c r="P105" i="120" s="1"/>
  <c r="J105" i="46"/>
  <c r="L105" i="46" s="1"/>
  <c r="C105" i="46" s="1"/>
  <c r="D105" i="46" s="1"/>
  <c r="AF105" i="46"/>
  <c r="W105" i="46" s="1"/>
  <c r="X105" i="46" s="1"/>
  <c r="AF103" i="46"/>
  <c r="W103" i="46" s="1"/>
  <c r="X103" i="46" s="1"/>
  <c r="J103" i="46"/>
  <c r="L103" i="46" s="1"/>
  <c r="I103" i="120" s="1"/>
  <c r="L103" i="120" s="1"/>
  <c r="V103" i="46"/>
  <c r="M103" i="46" s="1"/>
  <c r="N103" i="46" s="1"/>
  <c r="M31" i="46"/>
  <c r="N31" i="46" s="1"/>
  <c r="C55" i="26"/>
  <c r="D55" i="26" s="1"/>
  <c r="AF55" i="26"/>
  <c r="C98" i="26"/>
  <c r="D98" i="26" s="1"/>
  <c r="F103" i="17"/>
  <c r="F104" i="120"/>
  <c r="I104" i="120"/>
  <c r="L104" i="120" s="1"/>
  <c r="P104" i="120"/>
  <c r="S104" i="120"/>
  <c r="V104" i="120" s="1"/>
  <c r="I106" i="120"/>
  <c r="L106" i="120" s="1"/>
  <c r="F106" i="120"/>
  <c r="C31" i="46"/>
  <c r="D31" i="46" s="1"/>
  <c r="S106" i="120"/>
  <c r="V106" i="120" s="1"/>
  <c r="P106" i="120"/>
  <c r="E107" i="24"/>
  <c r="F107" i="24" s="1"/>
  <c r="BE104" i="120"/>
  <c r="W31" i="46"/>
  <c r="X31" i="46" s="1"/>
  <c r="D118" i="24"/>
  <c r="D117" i="24"/>
  <c r="D120" i="24"/>
  <c r="C20" i="26"/>
  <c r="D20" i="26" s="1"/>
  <c r="M20" i="26"/>
  <c r="F21" i="82"/>
  <c r="C113" i="82"/>
  <c r="D121" i="24"/>
  <c r="P128" i="73"/>
  <c r="AS128" i="73" s="1"/>
  <c r="D35" i="24"/>
  <c r="P14" i="73"/>
  <c r="AS14" i="73" s="1"/>
  <c r="BF14" i="73" s="1"/>
  <c r="P32" i="73"/>
  <c r="AS32" i="73" s="1"/>
  <c r="P65" i="73"/>
  <c r="AS65" i="73" s="1"/>
  <c r="BF65" i="73" s="1"/>
  <c r="Q102" i="97"/>
  <c r="R102" i="97" s="1"/>
  <c r="Q114" i="97"/>
  <c r="R114" i="97" s="1"/>
  <c r="P70" i="73"/>
  <c r="AS70" i="73" s="1"/>
  <c r="BF70" i="73" s="1"/>
  <c r="P58" i="73"/>
  <c r="AS58" i="73" s="1"/>
  <c r="BF58" i="73" s="1"/>
  <c r="Q111" i="97"/>
  <c r="R111" i="97" s="1"/>
  <c r="P10" i="73"/>
  <c r="AS10" i="73" s="1"/>
  <c r="E124" i="97"/>
  <c r="M128" i="120" s="1"/>
  <c r="Q104" i="97"/>
  <c r="R104" i="97" s="1"/>
  <c r="F136" i="97"/>
  <c r="P140" i="120" s="1"/>
  <c r="R140" i="120" s="1"/>
  <c r="P37" i="73"/>
  <c r="AS37" i="73" s="1"/>
  <c r="E140" i="97"/>
  <c r="M144" i="120" s="1"/>
  <c r="Q103" i="97"/>
  <c r="R103" i="97" s="1"/>
  <c r="C105" i="97"/>
  <c r="F105" i="97"/>
  <c r="P109" i="120" s="1"/>
  <c r="E129" i="97"/>
  <c r="M133" i="120" s="1"/>
  <c r="O133" i="120" s="1"/>
  <c r="E141" i="97"/>
  <c r="M145" i="120" s="1"/>
  <c r="E137" i="97"/>
  <c r="M141" i="120" s="1"/>
  <c r="O141" i="120" s="1"/>
  <c r="Q107" i="97"/>
  <c r="R107" i="97" s="1"/>
  <c r="R127" i="73"/>
  <c r="Q122" i="97"/>
  <c r="R122" i="97" s="1"/>
  <c r="E105" i="97"/>
  <c r="M109" i="120" s="1"/>
  <c r="D106" i="97"/>
  <c r="F106" i="97"/>
  <c r="P110" i="120" s="1"/>
  <c r="Q138" i="97"/>
  <c r="R138" i="97" s="1"/>
  <c r="Q116" i="97"/>
  <c r="R116" i="97" s="1"/>
  <c r="Q110" i="97"/>
  <c r="R110" i="97" s="1"/>
  <c r="Q112" i="97"/>
  <c r="R112" i="97" s="1"/>
  <c r="F126" i="97"/>
  <c r="P130" i="120" s="1"/>
  <c r="R130" i="120" s="1"/>
  <c r="E128" i="97"/>
  <c r="M132" i="120" s="1"/>
  <c r="F125" i="97"/>
  <c r="P129" i="120" s="1"/>
  <c r="R129" i="120" s="1"/>
  <c r="C132" i="97"/>
  <c r="C136" i="120" s="1"/>
  <c r="E136" i="120" s="1"/>
  <c r="C140" i="97"/>
  <c r="C144" i="120" s="1"/>
  <c r="F141" i="97"/>
  <c r="P145" i="120" s="1"/>
  <c r="D141" i="97"/>
  <c r="F145" i="120" s="1"/>
  <c r="F115" i="97"/>
  <c r="Q115" i="97" s="1"/>
  <c r="R115" i="97" s="1"/>
  <c r="Q108" i="97"/>
  <c r="R108" i="97" s="1"/>
  <c r="Q121" i="97"/>
  <c r="R121" i="97" s="1"/>
  <c r="Q117" i="97"/>
  <c r="R117" i="97" s="1"/>
  <c r="D135" i="97"/>
  <c r="F128" i="97"/>
  <c r="P132" i="120" s="1"/>
  <c r="D105" i="97"/>
  <c r="F109" i="120" s="1"/>
  <c r="D126" i="97"/>
  <c r="F130" i="120" s="1"/>
  <c r="H130" i="120" s="1"/>
  <c r="C129" i="97"/>
  <c r="C141" i="97"/>
  <c r="C137" i="97"/>
  <c r="Q109" i="97"/>
  <c r="R109" i="97" s="1"/>
  <c r="Q113" i="97"/>
  <c r="R113" i="97" s="1"/>
  <c r="E118" i="97"/>
  <c r="M122" i="120" s="1"/>
  <c r="D125" i="97"/>
  <c r="F129" i="120" s="1"/>
  <c r="H129" i="120" s="1"/>
  <c r="I136" i="98"/>
  <c r="P134" i="125" s="1"/>
  <c r="O134" i="125"/>
  <c r="Q134" i="125" s="1"/>
  <c r="I139" i="98"/>
  <c r="P137" i="125" s="1"/>
  <c r="O137" i="125"/>
  <c r="Q137" i="125" s="1"/>
  <c r="I142" i="98"/>
  <c r="P140" i="125" s="1"/>
  <c r="O140" i="125"/>
  <c r="Q140" i="125" s="1"/>
  <c r="I129" i="98"/>
  <c r="P127" i="125" s="1"/>
  <c r="O127" i="125"/>
  <c r="Q127" i="125" s="1"/>
  <c r="I137" i="98"/>
  <c r="P135" i="125" s="1"/>
  <c r="O135" i="125"/>
  <c r="Q135" i="125" s="1"/>
  <c r="I131" i="98"/>
  <c r="P129" i="125" s="1"/>
  <c r="O129" i="125"/>
  <c r="Q129" i="125" s="1"/>
  <c r="S50" i="52"/>
  <c r="T50" i="52" s="1"/>
  <c r="C103" i="17"/>
  <c r="BA32" i="120"/>
  <c r="BP32" i="120"/>
  <c r="AV36" i="120"/>
  <c r="AY36" i="120" s="1"/>
  <c r="W32" i="120"/>
  <c r="AL70" i="120"/>
  <c r="AO70" i="120" s="1"/>
  <c r="D125" i="98"/>
  <c r="H125" i="98" s="1"/>
  <c r="C129" i="17"/>
  <c r="P32" i="97"/>
  <c r="P33" i="97"/>
  <c r="BP31" i="120"/>
  <c r="BA31" i="120"/>
  <c r="W31" i="120"/>
  <c r="O32" i="97"/>
  <c r="O33" i="97"/>
  <c r="AV117" i="120"/>
  <c r="AY117" i="120" s="1"/>
  <c r="AF20" i="26"/>
  <c r="AC20" i="26"/>
  <c r="AD20" i="26" s="1"/>
  <c r="K99" i="17"/>
  <c r="E99" i="17" s="1"/>
  <c r="K101" i="98"/>
  <c r="AI99" i="120" s="1"/>
  <c r="AL99" i="120" s="1"/>
  <c r="AO99" i="120" s="1"/>
  <c r="K100" i="17"/>
  <c r="E100" i="17" s="1"/>
  <c r="D101" i="98" s="1"/>
  <c r="C130" i="17"/>
  <c r="F114" i="17"/>
  <c r="M100" i="17"/>
  <c r="H100" i="17" s="1"/>
  <c r="C104" i="17"/>
  <c r="F96" i="18"/>
  <c r="M97" i="17"/>
  <c r="H97" i="17" s="1"/>
  <c r="F98" i="98" s="1"/>
  <c r="AG83" i="52" s="1"/>
  <c r="C105" i="17"/>
  <c r="C96" i="18"/>
  <c r="K97" i="17"/>
  <c r="E97" i="17" s="1"/>
  <c r="D98" i="98" s="1"/>
  <c r="AG82" i="52" s="1"/>
  <c r="F106" i="17"/>
  <c r="N98" i="15"/>
  <c r="M98" i="17"/>
  <c r="H98" i="17" s="1"/>
  <c r="F104" i="17"/>
  <c r="K99" i="98"/>
  <c r="AI97" i="120" s="1"/>
  <c r="AL97" i="120" s="1"/>
  <c r="AO97" i="120" s="1"/>
  <c r="K98" i="17"/>
  <c r="E98" i="17" s="1"/>
  <c r="D99" i="98" s="1"/>
  <c r="M100" i="98"/>
  <c r="AS98" i="120" s="1"/>
  <c r="AV98" i="120" s="1"/>
  <c r="AY98" i="120" s="1"/>
  <c r="M99" i="17"/>
  <c r="H99" i="17" s="1"/>
  <c r="F100" i="98" s="1"/>
  <c r="F105" i="17"/>
  <c r="C106" i="17"/>
  <c r="AF138" i="26"/>
  <c r="AV124" i="120"/>
  <c r="AY124" i="120" s="1"/>
  <c r="AL68" i="120"/>
  <c r="AO68" i="120" s="1"/>
  <c r="AL108" i="120"/>
  <c r="AO108" i="120" s="1"/>
  <c r="N35" i="24"/>
  <c r="O35" i="24" s="1"/>
  <c r="E35" i="24" s="1"/>
  <c r="D32" i="82" s="1"/>
  <c r="S33" i="73" s="1"/>
  <c r="U35" i="24"/>
  <c r="V35" i="24" s="1"/>
  <c r="G35" i="24" s="1"/>
  <c r="AV112" i="120"/>
  <c r="AY112" i="120" s="1"/>
  <c r="AV34" i="120"/>
  <c r="AY34" i="120" s="1"/>
  <c r="AL34" i="120"/>
  <c r="AO34" i="120" s="1"/>
  <c r="AL63" i="120"/>
  <c r="AO63" i="120" s="1"/>
  <c r="AV51" i="120"/>
  <c r="AY51" i="120" s="1"/>
  <c r="AL123" i="120"/>
  <c r="AO123" i="120" s="1"/>
  <c r="AV134" i="120"/>
  <c r="AY134" i="120" s="1"/>
  <c r="AL143" i="120"/>
  <c r="AO143" i="120" s="1"/>
  <c r="AV75" i="120"/>
  <c r="AY75" i="120" s="1"/>
  <c r="AV79" i="120"/>
  <c r="AY79" i="120" s="1"/>
  <c r="AL138" i="120"/>
  <c r="AO138" i="120" s="1"/>
  <c r="AL124" i="120"/>
  <c r="AO124" i="120" s="1"/>
  <c r="AV62" i="120"/>
  <c r="AY62" i="120" s="1"/>
  <c r="AL144" i="120"/>
  <c r="AO144" i="120" s="1"/>
  <c r="AL128" i="120"/>
  <c r="AO128" i="120" s="1"/>
  <c r="AL16" i="120"/>
  <c r="AO16" i="120" s="1"/>
  <c r="AL9" i="120"/>
  <c r="AO9" i="120" s="1"/>
  <c r="AL69" i="120"/>
  <c r="AO69" i="120" s="1"/>
  <c r="AV119" i="120"/>
  <c r="AY119" i="120" s="1"/>
  <c r="AV52" i="120"/>
  <c r="AY52" i="120" s="1"/>
  <c r="AL109" i="120"/>
  <c r="AO109" i="120" s="1"/>
  <c r="AV94" i="120"/>
  <c r="AY94" i="120" s="1"/>
  <c r="AV135" i="120"/>
  <c r="AY135" i="120" s="1"/>
  <c r="AV144" i="120"/>
  <c r="AY144" i="120" s="1"/>
  <c r="AV70" i="120"/>
  <c r="AY70" i="120" s="1"/>
  <c r="AL33" i="120"/>
  <c r="AO33" i="120" s="1"/>
  <c r="AL95" i="120"/>
  <c r="AO95" i="120" s="1"/>
  <c r="AL78" i="120"/>
  <c r="AO78" i="120" s="1"/>
  <c r="AV35" i="120"/>
  <c r="AY35" i="120" s="1"/>
  <c r="AV41" i="120"/>
  <c r="AY41" i="120" s="1"/>
  <c r="AL145" i="120"/>
  <c r="AO145" i="120" s="1"/>
  <c r="AL131" i="120"/>
  <c r="AO131" i="120" s="1"/>
  <c r="AV12" i="120"/>
  <c r="AY12" i="120" s="1"/>
  <c r="V60" i="52"/>
  <c r="W60" i="52" s="1"/>
  <c r="AV111" i="120"/>
  <c r="AY111" i="120" s="1"/>
  <c r="AL40" i="120"/>
  <c r="AO40" i="120" s="1"/>
  <c r="AL120" i="120"/>
  <c r="AO120" i="120" s="1"/>
  <c r="AV76" i="120"/>
  <c r="AY76" i="120" s="1"/>
  <c r="AV89" i="120"/>
  <c r="AY89" i="120" s="1"/>
  <c r="AL55" i="120"/>
  <c r="AO55" i="120" s="1"/>
  <c r="AV33" i="120"/>
  <c r="AY33" i="120" s="1"/>
  <c r="AL62" i="120"/>
  <c r="AO62" i="120" s="1"/>
  <c r="AL47" i="120"/>
  <c r="AO47" i="120" s="1"/>
  <c r="AL58" i="120"/>
  <c r="AO58" i="120" s="1"/>
  <c r="AL117" i="120"/>
  <c r="AO117" i="120" s="1"/>
  <c r="AL74" i="120"/>
  <c r="AO74" i="120" s="1"/>
  <c r="AV42" i="120"/>
  <c r="AY42" i="120" s="1"/>
  <c r="AV25" i="120"/>
  <c r="AY25" i="120" s="1"/>
  <c r="AL112" i="120"/>
  <c r="AO112" i="120" s="1"/>
  <c r="AV59" i="120"/>
  <c r="AY59" i="120" s="1"/>
  <c r="AV49" i="120"/>
  <c r="AY49" i="120" s="1"/>
  <c r="AV16" i="120"/>
  <c r="AY16" i="120" s="1"/>
  <c r="AL35" i="120"/>
  <c r="AO35" i="120" s="1"/>
  <c r="AL115" i="120"/>
  <c r="AO115" i="120" s="1"/>
  <c r="AV145" i="120"/>
  <c r="AY145" i="120" s="1"/>
  <c r="AV28" i="120"/>
  <c r="AY28" i="120" s="1"/>
  <c r="AL142" i="120"/>
  <c r="AO142" i="120" s="1"/>
  <c r="AL101" i="120"/>
  <c r="AO101" i="120" s="1"/>
  <c r="AV32" i="120"/>
  <c r="AY32" i="120" s="1"/>
  <c r="AL65" i="120"/>
  <c r="AO65" i="120" s="1"/>
  <c r="AL119" i="120"/>
  <c r="AO119" i="120" s="1"/>
  <c r="AL84" i="120"/>
  <c r="AO84" i="120" s="1"/>
  <c r="AL92" i="120"/>
  <c r="AO92" i="120" s="1"/>
  <c r="AL49" i="120"/>
  <c r="AO49" i="120" s="1"/>
  <c r="AV122" i="120"/>
  <c r="AY122" i="120" s="1"/>
  <c r="AL122" i="120"/>
  <c r="AO122" i="120" s="1"/>
  <c r="AV113" i="120"/>
  <c r="AY113" i="120" s="1"/>
  <c r="AV78" i="120"/>
  <c r="AY78" i="120" s="1"/>
  <c r="AV68" i="120"/>
  <c r="AY68" i="120" s="1"/>
  <c r="AV20" i="120"/>
  <c r="AY20" i="120" s="1"/>
  <c r="AL51" i="120"/>
  <c r="AO51" i="120" s="1"/>
  <c r="AV38" i="120"/>
  <c r="AY38" i="120" s="1"/>
  <c r="AV47" i="120"/>
  <c r="AY47" i="120" s="1"/>
  <c r="AV121" i="120"/>
  <c r="AY121" i="120" s="1"/>
  <c r="AL5" i="120"/>
  <c r="AO5" i="120" s="1"/>
  <c r="AL43" i="120"/>
  <c r="AO43" i="120" s="1"/>
  <c r="AV15" i="120"/>
  <c r="AY15" i="120" s="1"/>
  <c r="AV131" i="120"/>
  <c r="AY131" i="120" s="1"/>
  <c r="AL141" i="120"/>
  <c r="AO141" i="120" s="1"/>
  <c r="AV139" i="120"/>
  <c r="AY139" i="120" s="1"/>
  <c r="AV50" i="120"/>
  <c r="AY50" i="120" s="1"/>
  <c r="AL132" i="120"/>
  <c r="AO132" i="120" s="1"/>
  <c r="AV63" i="120"/>
  <c r="AY63" i="120" s="1"/>
  <c r="AL38" i="120"/>
  <c r="AO38" i="120" s="1"/>
  <c r="AL89" i="120"/>
  <c r="AO89" i="120" s="1"/>
  <c r="AV73" i="120"/>
  <c r="AY73" i="120" s="1"/>
  <c r="AR73" i="120"/>
  <c r="AV9" i="120"/>
  <c r="AY9" i="120" s="1"/>
  <c r="AV95" i="120"/>
  <c r="AY95" i="120" s="1"/>
  <c r="AL13" i="120"/>
  <c r="AO13" i="120" s="1"/>
  <c r="AK13" i="120"/>
  <c r="AL88" i="120"/>
  <c r="AO88" i="120" s="1"/>
  <c r="AK88" i="120"/>
  <c r="AV5" i="120"/>
  <c r="AY5" i="120" s="1"/>
  <c r="AL118" i="120"/>
  <c r="AO118" i="120" s="1"/>
  <c r="AK11" i="120"/>
  <c r="AL11" i="120"/>
  <c r="AO11" i="120" s="1"/>
  <c r="AU80" i="120"/>
  <c r="AV80" i="120"/>
  <c r="AY80" i="120" s="1"/>
  <c r="AL10" i="120"/>
  <c r="AO10" i="120" s="1"/>
  <c r="AK10" i="120"/>
  <c r="G104" i="24"/>
  <c r="H104" i="24" s="1"/>
  <c r="BH101" i="120"/>
  <c r="AK93" i="120"/>
  <c r="AL93" i="120"/>
  <c r="AO93" i="120" s="1"/>
  <c r="AV64" i="120"/>
  <c r="AY64" i="120" s="1"/>
  <c r="AU64" i="120"/>
  <c r="AL54" i="120"/>
  <c r="AO54" i="120" s="1"/>
  <c r="AK54" i="120"/>
  <c r="AV43" i="120"/>
  <c r="AY43" i="120" s="1"/>
  <c r="AV30" i="120"/>
  <c r="AY30" i="120" s="1"/>
  <c r="AL36" i="120"/>
  <c r="AO36" i="120" s="1"/>
  <c r="AV133" i="120"/>
  <c r="AY133" i="120" s="1"/>
  <c r="AU133" i="120"/>
  <c r="AK136" i="120"/>
  <c r="AL136" i="120"/>
  <c r="AO136" i="120" s="1"/>
  <c r="AL8" i="120"/>
  <c r="AO8" i="120" s="1"/>
  <c r="AL29" i="120"/>
  <c r="AO29" i="120" s="1"/>
  <c r="AK29" i="120"/>
  <c r="AL110" i="120"/>
  <c r="AO110" i="120" s="1"/>
  <c r="AL15" i="120"/>
  <c r="AO15" i="120" s="1"/>
  <c r="AL125" i="120"/>
  <c r="AO125" i="120" s="1"/>
  <c r="AL53" i="120"/>
  <c r="AO53" i="120" s="1"/>
  <c r="AU82" i="120"/>
  <c r="AV82" i="120"/>
  <c r="AY82" i="120" s="1"/>
  <c r="E142" i="24"/>
  <c r="F142" i="24" s="1"/>
  <c r="BE139" i="120"/>
  <c r="AV71" i="120"/>
  <c r="AY71" i="120" s="1"/>
  <c r="AU71" i="120"/>
  <c r="AV58" i="120"/>
  <c r="AY58" i="120" s="1"/>
  <c r="AK85" i="120"/>
  <c r="AL85" i="120"/>
  <c r="AO85" i="120" s="1"/>
  <c r="AS138" i="120"/>
  <c r="AV138" i="120" s="1"/>
  <c r="AY138" i="120" s="1"/>
  <c r="AV143" i="120"/>
  <c r="AY143" i="120" s="1"/>
  <c r="AL41" i="120"/>
  <c r="AO41" i="120" s="1"/>
  <c r="AU88" i="120"/>
  <c r="AV88" i="120"/>
  <c r="AY88" i="120" s="1"/>
  <c r="AU90" i="120"/>
  <c r="AV90" i="120"/>
  <c r="AY90" i="120" s="1"/>
  <c r="AL14" i="120"/>
  <c r="AO14" i="120" s="1"/>
  <c r="AK14" i="120"/>
  <c r="AV81" i="120"/>
  <c r="AY81" i="120" s="1"/>
  <c r="AU81" i="120"/>
  <c r="AL121" i="120"/>
  <c r="AO121" i="120" s="1"/>
  <c r="AL81" i="120"/>
  <c r="AO81" i="120" s="1"/>
  <c r="AK81" i="120"/>
  <c r="AU11" i="120"/>
  <c r="AV11" i="120"/>
  <c r="AY11" i="120" s="1"/>
  <c r="AU18" i="120"/>
  <c r="AV18" i="120"/>
  <c r="AY18" i="120" s="1"/>
  <c r="AL28" i="120"/>
  <c r="AO28" i="120" s="1"/>
  <c r="AV53" i="120"/>
  <c r="AY53" i="120" s="1"/>
  <c r="AL116" i="120"/>
  <c r="AO116" i="120" s="1"/>
  <c r="AV74" i="120"/>
  <c r="AY74" i="120" s="1"/>
  <c r="AV44" i="120"/>
  <c r="AY44" i="120" s="1"/>
  <c r="AU44" i="120"/>
  <c r="AL134" i="120"/>
  <c r="AO134" i="120" s="1"/>
  <c r="AL129" i="120"/>
  <c r="AO129" i="120" s="1"/>
  <c r="AK129" i="120"/>
  <c r="AV108" i="120"/>
  <c r="AY108" i="120" s="1"/>
  <c r="AL6" i="120"/>
  <c r="AO6" i="120" s="1"/>
  <c r="AK6" i="120"/>
  <c r="AV60" i="120"/>
  <c r="AY60" i="120" s="1"/>
  <c r="AL73" i="120"/>
  <c r="AO73" i="120" s="1"/>
  <c r="AK73" i="120"/>
  <c r="AV46" i="120"/>
  <c r="AY46" i="120" s="1"/>
  <c r="AU46" i="120"/>
  <c r="AU13" i="120"/>
  <c r="AV13" i="120"/>
  <c r="AY13" i="120" s="1"/>
  <c r="AK83" i="120"/>
  <c r="AL83" i="120"/>
  <c r="AO83" i="120" s="1"/>
  <c r="AV57" i="120"/>
  <c r="AY57" i="120" s="1"/>
  <c r="AL26" i="120"/>
  <c r="AO26" i="120" s="1"/>
  <c r="AV118" i="120"/>
  <c r="AY118" i="120" s="1"/>
  <c r="AL20" i="120"/>
  <c r="AO20" i="120" s="1"/>
  <c r="AV110" i="120"/>
  <c r="AY110" i="120" s="1"/>
  <c r="AL12" i="120"/>
  <c r="AO12" i="120" s="1"/>
  <c r="AH12" i="120"/>
  <c r="AL77" i="120"/>
  <c r="AO77" i="120" s="1"/>
  <c r="AK77" i="120"/>
  <c r="AL75" i="120"/>
  <c r="AO75" i="120" s="1"/>
  <c r="AV125" i="120"/>
  <c r="AY125" i="120" s="1"/>
  <c r="AV85" i="120"/>
  <c r="AY85" i="120" s="1"/>
  <c r="AU85" i="120"/>
  <c r="AV67" i="120"/>
  <c r="AY67" i="120" s="1"/>
  <c r="AU67" i="120"/>
  <c r="AV45" i="120"/>
  <c r="AY45" i="120" s="1"/>
  <c r="AL135" i="120"/>
  <c r="AO135" i="120" s="1"/>
  <c r="AK140" i="120"/>
  <c r="AL140" i="120"/>
  <c r="AO140" i="120" s="1"/>
  <c r="AL17" i="120"/>
  <c r="AO17" i="120" s="1"/>
  <c r="AK17" i="120"/>
  <c r="AU65" i="120"/>
  <c r="AV65" i="120"/>
  <c r="AY65" i="120" s="1"/>
  <c r="AL90" i="120"/>
  <c r="AO90" i="120" s="1"/>
  <c r="AK90" i="120"/>
  <c r="AV29" i="120"/>
  <c r="AY29" i="120" s="1"/>
  <c r="AU29" i="120"/>
  <c r="AL66" i="120"/>
  <c r="AO66" i="120" s="1"/>
  <c r="AK66" i="120"/>
  <c r="AV14" i="120"/>
  <c r="AY14" i="120" s="1"/>
  <c r="AU14" i="120"/>
  <c r="AU37" i="120"/>
  <c r="AV37" i="120"/>
  <c r="AY37" i="120" s="1"/>
  <c r="AL87" i="120"/>
  <c r="AO87" i="120" s="1"/>
  <c r="AK87" i="120"/>
  <c r="G63" i="24"/>
  <c r="H63" i="24" s="1"/>
  <c r="BH60" i="120"/>
  <c r="AV56" i="120"/>
  <c r="AY56" i="120" s="1"/>
  <c r="AL76" i="120"/>
  <c r="AO76" i="120" s="1"/>
  <c r="AL130" i="120"/>
  <c r="AO130" i="120" s="1"/>
  <c r="AK130" i="120"/>
  <c r="AV100" i="120"/>
  <c r="AY100" i="120" s="1"/>
  <c r="AV115" i="120"/>
  <c r="AY115" i="120" s="1"/>
  <c r="AL37" i="120"/>
  <c r="AO37" i="120" s="1"/>
  <c r="AK37" i="120"/>
  <c r="AL60" i="120"/>
  <c r="AO60" i="120" s="1"/>
  <c r="AL94" i="120"/>
  <c r="AO94" i="120" s="1"/>
  <c r="AL61" i="120"/>
  <c r="AO61" i="120" s="1"/>
  <c r="AH61" i="120"/>
  <c r="AV17" i="120"/>
  <c r="AY17" i="120" s="1"/>
  <c r="AU17" i="120"/>
  <c r="AV83" i="120"/>
  <c r="AY83" i="120" s="1"/>
  <c r="AU83" i="120"/>
  <c r="AU61" i="120"/>
  <c r="AV61" i="120"/>
  <c r="AY61" i="120" s="1"/>
  <c r="AL52" i="120"/>
  <c r="AO52" i="120" s="1"/>
  <c r="AL45" i="120"/>
  <c r="AO45" i="120" s="1"/>
  <c r="AL32" i="120"/>
  <c r="AO32" i="120" s="1"/>
  <c r="AV55" i="120"/>
  <c r="AY55" i="120" s="1"/>
  <c r="AV87" i="120"/>
  <c r="AY87" i="120" s="1"/>
  <c r="AR87" i="120"/>
  <c r="AL42" i="120"/>
  <c r="AO42" i="120" s="1"/>
  <c r="AL82" i="120"/>
  <c r="AO82" i="120" s="1"/>
  <c r="AK82" i="120"/>
  <c r="AV69" i="120"/>
  <c r="AY69" i="120" s="1"/>
  <c r="AL30" i="120"/>
  <c r="AO30" i="120" s="1"/>
  <c r="AK46" i="120"/>
  <c r="AL46" i="120"/>
  <c r="AO46" i="120" s="1"/>
  <c r="AV116" i="120"/>
  <c r="AY116" i="120" s="1"/>
  <c r="AV40" i="120"/>
  <c r="AY40" i="120" s="1"/>
  <c r="AL137" i="120"/>
  <c r="AO137" i="120" s="1"/>
  <c r="AV137" i="120"/>
  <c r="AY137" i="120" s="1"/>
  <c r="AU136" i="120"/>
  <c r="AV136" i="120"/>
  <c r="AY136" i="120" s="1"/>
  <c r="AL56" i="120"/>
  <c r="AO56" i="120" s="1"/>
  <c r="AK86" i="120"/>
  <c r="AL86" i="120"/>
  <c r="AO86" i="120" s="1"/>
  <c r="AL113" i="120"/>
  <c r="AO113" i="120" s="1"/>
  <c r="AV86" i="120"/>
  <c r="AY86" i="120" s="1"/>
  <c r="AU86" i="120"/>
  <c r="AL79" i="120"/>
  <c r="AO79" i="120" s="1"/>
  <c r="AU22" i="120"/>
  <c r="AV22" i="120"/>
  <c r="AY22" i="120" s="1"/>
  <c r="O27" i="98"/>
  <c r="AI24" i="120"/>
  <c r="AL24" i="120" s="1"/>
  <c r="AO24" i="120" s="1"/>
  <c r="AL25" i="120"/>
  <c r="AO25" i="120" s="1"/>
  <c r="AL127" i="120"/>
  <c r="AO127" i="120" s="1"/>
  <c r="AK127" i="120"/>
  <c r="AV114" i="120"/>
  <c r="AY114" i="120" s="1"/>
  <c r="AL80" i="120"/>
  <c r="AO80" i="120" s="1"/>
  <c r="AK80" i="120"/>
  <c r="AV66" i="120"/>
  <c r="AY66" i="120" s="1"/>
  <c r="AU66" i="120"/>
  <c r="AV19" i="120"/>
  <c r="AY19" i="120" s="1"/>
  <c r="AL39" i="120"/>
  <c r="AO39" i="120" s="1"/>
  <c r="AK39" i="120"/>
  <c r="AV54" i="120"/>
  <c r="AY54" i="120" s="1"/>
  <c r="AU54" i="120"/>
  <c r="AV92" i="120"/>
  <c r="AY92" i="120" s="1"/>
  <c r="AU93" i="120"/>
  <c r="AV93" i="120"/>
  <c r="AY93" i="120" s="1"/>
  <c r="AV130" i="120"/>
  <c r="AY130" i="120" s="1"/>
  <c r="AU130" i="120"/>
  <c r="AV141" i="120"/>
  <c r="AY141" i="120" s="1"/>
  <c r="AV132" i="120"/>
  <c r="AY132" i="120" s="1"/>
  <c r="AK133" i="120"/>
  <c r="AL133" i="120"/>
  <c r="AO133" i="120" s="1"/>
  <c r="AL114" i="120"/>
  <c r="AO114" i="120" s="1"/>
  <c r="AV123" i="120"/>
  <c r="AY123" i="120" s="1"/>
  <c r="AL59" i="120"/>
  <c r="AO59" i="120" s="1"/>
  <c r="AV101" i="120"/>
  <c r="AY101" i="120" s="1"/>
  <c r="AL50" i="120"/>
  <c r="AO50" i="120" s="1"/>
  <c r="AL57" i="120"/>
  <c r="AO57" i="120" s="1"/>
  <c r="AL64" i="120"/>
  <c r="AO64" i="120" s="1"/>
  <c r="AK64" i="120"/>
  <c r="AV72" i="120"/>
  <c r="AY72" i="120" s="1"/>
  <c r="AU72" i="120"/>
  <c r="AV128" i="120"/>
  <c r="AY128" i="120" s="1"/>
  <c r="AK18" i="120"/>
  <c r="AL18" i="120"/>
  <c r="AO18" i="120" s="1"/>
  <c r="AK48" i="120"/>
  <c r="AL48" i="120"/>
  <c r="AO48" i="120" s="1"/>
  <c r="AL71" i="120"/>
  <c r="AO71" i="120" s="1"/>
  <c r="AK71" i="120"/>
  <c r="AU77" i="120"/>
  <c r="AV77" i="120"/>
  <c r="AY77" i="120" s="1"/>
  <c r="AU48" i="120"/>
  <c r="AV48" i="120"/>
  <c r="AY48" i="120" s="1"/>
  <c r="AU127" i="120"/>
  <c r="AV127" i="120"/>
  <c r="AY127" i="120" s="1"/>
  <c r="AL72" i="120"/>
  <c r="AO72" i="120" s="1"/>
  <c r="AK72" i="120"/>
  <c r="AU39" i="120"/>
  <c r="AV39" i="120"/>
  <c r="AY39" i="120" s="1"/>
  <c r="AK44" i="120"/>
  <c r="AL44" i="120"/>
  <c r="AO44" i="120" s="1"/>
  <c r="AL67" i="120"/>
  <c r="AO67" i="120" s="1"/>
  <c r="AK67" i="120"/>
  <c r="AV23" i="120"/>
  <c r="AY23" i="120" s="1"/>
  <c r="AK91" i="120"/>
  <c r="AL91" i="120"/>
  <c r="AO91" i="120" s="1"/>
  <c r="AU140" i="120"/>
  <c r="AV140" i="120"/>
  <c r="AY140" i="120" s="1"/>
  <c r="AL139" i="120"/>
  <c r="AO139" i="120" s="1"/>
  <c r="AV142" i="120"/>
  <c r="AY142" i="120" s="1"/>
  <c r="AU91" i="120"/>
  <c r="AV91" i="120"/>
  <c r="AY91" i="120" s="1"/>
  <c r="AV10" i="120"/>
  <c r="AY10" i="120" s="1"/>
  <c r="AF80" i="26"/>
  <c r="AF27" i="26"/>
  <c r="AF43" i="26"/>
  <c r="AF40" i="26"/>
  <c r="I30" i="120"/>
  <c r="L30" i="120" s="1"/>
  <c r="S30" i="120"/>
  <c r="V30" i="120" s="1"/>
  <c r="I51" i="120"/>
  <c r="L51" i="120" s="1"/>
  <c r="R67" i="120"/>
  <c r="R51" i="120"/>
  <c r="R29" i="120"/>
  <c r="S29" i="120"/>
  <c r="V29" i="120" s="1"/>
  <c r="R17" i="120"/>
  <c r="H67" i="120"/>
  <c r="R13" i="120"/>
  <c r="H17" i="120"/>
  <c r="H29" i="120"/>
  <c r="I29" i="120"/>
  <c r="L29" i="120" s="1"/>
  <c r="R85" i="120"/>
  <c r="R88" i="120"/>
  <c r="AF36" i="26"/>
  <c r="AF51" i="26"/>
  <c r="J71" i="46"/>
  <c r="L71" i="46" s="1"/>
  <c r="J128" i="46"/>
  <c r="L128" i="46" s="1"/>
  <c r="D124" i="97" s="1"/>
  <c r="V128" i="46"/>
  <c r="F124" i="97" s="1"/>
  <c r="AF128" i="46"/>
  <c r="H124" i="97" s="1"/>
  <c r="AF70" i="26"/>
  <c r="AF83" i="26"/>
  <c r="C85" i="26"/>
  <c r="D85" i="26" s="1"/>
  <c r="AF58" i="26"/>
  <c r="C125" i="26"/>
  <c r="D125" i="26" s="1"/>
  <c r="C127" i="26"/>
  <c r="D127" i="26" s="1"/>
  <c r="AF135" i="26"/>
  <c r="AF85" i="26"/>
  <c r="AF133" i="26"/>
  <c r="AF127" i="26"/>
  <c r="AF72" i="26"/>
  <c r="AF57" i="26"/>
  <c r="C133" i="26"/>
  <c r="D133" i="26" s="1"/>
  <c r="C135" i="26"/>
  <c r="D135" i="26" s="1"/>
  <c r="AF86" i="26"/>
  <c r="S60" i="52"/>
  <c r="T60" i="52" s="1"/>
  <c r="V50" i="52"/>
  <c r="W50" i="52" s="1"/>
  <c r="F77" i="17"/>
  <c r="D36" i="24"/>
  <c r="C77" i="26"/>
  <c r="D77" i="26" s="1"/>
  <c r="AF77" i="26"/>
  <c r="AF82" i="26"/>
  <c r="F31" i="82"/>
  <c r="L32" i="73" s="1"/>
  <c r="AF125" i="26"/>
  <c r="F96" i="82"/>
  <c r="L97" i="73" s="1"/>
  <c r="M131" i="26"/>
  <c r="M136" i="26"/>
  <c r="M132" i="26"/>
  <c r="F105" i="82"/>
  <c r="C129" i="26"/>
  <c r="D129" i="26" s="1"/>
  <c r="AF129" i="26"/>
  <c r="K100" i="98"/>
  <c r="N99" i="15"/>
  <c r="C8" i="98"/>
  <c r="H8" i="98" s="1"/>
  <c r="O5" i="125" s="1"/>
  <c r="Q5" i="125" s="1"/>
  <c r="M101" i="98"/>
  <c r="D71" i="24"/>
  <c r="J77" i="52"/>
  <c r="D52" i="24"/>
  <c r="M98" i="98"/>
  <c r="E78" i="15"/>
  <c r="D43" i="24"/>
  <c r="D42" i="24"/>
  <c r="N97" i="15"/>
  <c r="D98" i="24"/>
  <c r="M99" i="98"/>
  <c r="K63" i="82"/>
  <c r="L97" i="15"/>
  <c r="D55" i="24"/>
  <c r="K98" i="98"/>
  <c r="AI96" i="120" s="1"/>
  <c r="AL96" i="120" s="1"/>
  <c r="AO96" i="120" s="1"/>
  <c r="D76" i="24"/>
  <c r="D44" i="24"/>
  <c r="D41" i="24"/>
  <c r="D81" i="24"/>
  <c r="D66" i="24"/>
  <c r="D65" i="24"/>
  <c r="D26" i="24"/>
  <c r="D51" i="24"/>
  <c r="D97" i="24"/>
  <c r="D74" i="24"/>
  <c r="D50" i="24"/>
  <c r="D22" i="24"/>
  <c r="D63" i="24"/>
  <c r="D75" i="24"/>
  <c r="D49" i="24"/>
  <c r="D73" i="24"/>
  <c r="D69" i="24"/>
  <c r="D39" i="24"/>
  <c r="D24" i="24"/>
  <c r="D38" i="24"/>
  <c r="D53" i="24"/>
  <c r="D25" i="24"/>
  <c r="D30" i="24"/>
  <c r="D56" i="24"/>
  <c r="F97" i="18"/>
  <c r="C97" i="18"/>
  <c r="L98" i="15"/>
  <c r="F98" i="18"/>
  <c r="C98" i="18"/>
  <c r="L99" i="15"/>
  <c r="C99" i="18"/>
  <c r="L100" i="15"/>
  <c r="F99" i="18"/>
  <c r="N100" i="15"/>
  <c r="N105" i="24"/>
  <c r="O105" i="24" s="1"/>
  <c r="AF98" i="46"/>
  <c r="H99" i="97" s="1"/>
  <c r="V98" i="46"/>
  <c r="F99" i="97" s="1"/>
  <c r="P98" i="120" s="1"/>
  <c r="U107" i="24"/>
  <c r="V107" i="24" s="1"/>
  <c r="J127" i="46"/>
  <c r="L127" i="46" s="1"/>
  <c r="U106" i="24"/>
  <c r="V106" i="24" s="1"/>
  <c r="AF96" i="46"/>
  <c r="W96" i="46" s="1"/>
  <c r="X96" i="46" s="1"/>
  <c r="U105" i="24"/>
  <c r="V105" i="24" s="1"/>
  <c r="U109" i="24"/>
  <c r="V109" i="24" s="1"/>
  <c r="J133" i="46"/>
  <c r="L133" i="46" s="1"/>
  <c r="V96" i="46"/>
  <c r="F97" i="97" s="1"/>
  <c r="P96" i="120" s="1"/>
  <c r="V141" i="46"/>
  <c r="N106" i="24"/>
  <c r="O106" i="24" s="1"/>
  <c r="U34" i="24"/>
  <c r="V34" i="24" s="1"/>
  <c r="BH31" i="120" s="1"/>
  <c r="N108" i="24"/>
  <c r="O108" i="24" s="1"/>
  <c r="U108" i="24"/>
  <c r="V108" i="24" s="1"/>
  <c r="W104" i="46"/>
  <c r="X104" i="46" s="1"/>
  <c r="V97" i="46"/>
  <c r="F101" i="97" s="1"/>
  <c r="P100" i="120" s="1"/>
  <c r="S100" i="120" s="1"/>
  <c r="V100" i="120" s="1"/>
  <c r="J97" i="46"/>
  <c r="L97" i="46" s="1"/>
  <c r="C97" i="46" s="1"/>
  <c r="D97" i="46" s="1"/>
  <c r="C104" i="46"/>
  <c r="D104" i="46" s="1"/>
  <c r="L75" i="46"/>
  <c r="C75" i="46" s="1"/>
  <c r="D75" i="46" s="1"/>
  <c r="AF99" i="46"/>
  <c r="W99" i="46" s="1"/>
  <c r="X99" i="46" s="1"/>
  <c r="AF75" i="46"/>
  <c r="W75" i="46" s="1"/>
  <c r="X75" i="46" s="1"/>
  <c r="AF141" i="46"/>
  <c r="H137" i="97" s="1"/>
  <c r="AF133" i="46"/>
  <c r="H129" i="97" s="1"/>
  <c r="J99" i="46"/>
  <c r="L99" i="46" s="1"/>
  <c r="D100" i="97" s="1"/>
  <c r="F99" i="120" s="1"/>
  <c r="AB18" i="46"/>
  <c r="G19" i="97" s="1"/>
  <c r="M104" i="46"/>
  <c r="N104" i="46" s="1"/>
  <c r="V26" i="46"/>
  <c r="F27" i="97" s="1"/>
  <c r="P26" i="120" s="1"/>
  <c r="AF50" i="46"/>
  <c r="W50" i="46" s="1"/>
  <c r="X50" i="46" s="1"/>
  <c r="M106" i="46"/>
  <c r="N106" i="46" s="1"/>
  <c r="C106" i="46"/>
  <c r="D106" i="46" s="1"/>
  <c r="N109" i="24"/>
  <c r="O109" i="24" s="1"/>
  <c r="W106" i="46"/>
  <c r="X106" i="46" s="1"/>
  <c r="J53" i="46"/>
  <c r="L53" i="46" s="1"/>
  <c r="D54" i="97" s="1"/>
  <c r="F53" i="120" s="1"/>
  <c r="AF132" i="46"/>
  <c r="F138" i="46"/>
  <c r="H138" i="46" s="1"/>
  <c r="C134" i="97" s="1"/>
  <c r="V75" i="46"/>
  <c r="F76" i="97" s="1"/>
  <c r="P75" i="120" s="1"/>
  <c r="V50" i="46"/>
  <c r="F51" i="97" s="1"/>
  <c r="P50" i="120" s="1"/>
  <c r="F59" i="46"/>
  <c r="H59" i="46" s="1"/>
  <c r="C60" i="97" s="1"/>
  <c r="C59" i="120" s="1"/>
  <c r="J26" i="46"/>
  <c r="L26" i="46" s="1"/>
  <c r="D27" i="97" s="1"/>
  <c r="F26" i="120" s="1"/>
  <c r="V40" i="46"/>
  <c r="F41" i="97" s="1"/>
  <c r="P40" i="120" s="1"/>
  <c r="AF40" i="46"/>
  <c r="W40" i="46" s="1"/>
  <c r="X40" i="46" s="1"/>
  <c r="H137" i="46"/>
  <c r="J143" i="46"/>
  <c r="L143" i="46" s="1"/>
  <c r="H14" i="46"/>
  <c r="C14" i="46" s="1"/>
  <c r="D14" i="46" s="1"/>
  <c r="F22" i="46"/>
  <c r="H22" i="46" s="1"/>
  <c r="C23" i="97" s="1"/>
  <c r="C22" i="120" s="1"/>
  <c r="R130" i="46"/>
  <c r="AF49" i="46"/>
  <c r="W49" i="46" s="1"/>
  <c r="X49" i="46" s="1"/>
  <c r="AB52" i="46"/>
  <c r="G53" i="97" s="1"/>
  <c r="J138" i="46"/>
  <c r="L138" i="46" s="1"/>
  <c r="D134" i="97" s="1"/>
  <c r="F7" i="46"/>
  <c r="H7" i="46" s="1"/>
  <c r="C8" i="97" s="1"/>
  <c r="C6" i="120" s="1"/>
  <c r="I6" i="120" s="1"/>
  <c r="L6" i="120" s="1"/>
  <c r="F52" i="46"/>
  <c r="H52" i="46" s="1"/>
  <c r="J63" i="46"/>
  <c r="L63" i="46" s="1"/>
  <c r="V127" i="46"/>
  <c r="R19" i="46"/>
  <c r="E20" i="97" s="1"/>
  <c r="M18" i="120" s="1"/>
  <c r="V49" i="46"/>
  <c r="F50" i="97" s="1"/>
  <c r="P49" i="120" s="1"/>
  <c r="J59" i="46"/>
  <c r="L59" i="46" s="1"/>
  <c r="D60" i="97" s="1"/>
  <c r="F59" i="120" s="1"/>
  <c r="F53" i="46"/>
  <c r="H53" i="46" s="1"/>
  <c r="C54" i="97" s="1"/>
  <c r="C53" i="120" s="1"/>
  <c r="F78" i="46"/>
  <c r="H78" i="46" s="1"/>
  <c r="C79" i="97" s="1"/>
  <c r="C78" i="120" s="1"/>
  <c r="F63" i="46"/>
  <c r="H63" i="46" s="1"/>
  <c r="C64" i="97" s="1"/>
  <c r="C63" i="120" s="1"/>
  <c r="J22" i="46"/>
  <c r="L22" i="46" s="1"/>
  <c r="AF127" i="46"/>
  <c r="J23" i="46"/>
  <c r="L23" i="46" s="1"/>
  <c r="D24" i="97" s="1"/>
  <c r="F23" i="120" s="1"/>
  <c r="J137" i="46"/>
  <c r="L137" i="46" s="1"/>
  <c r="D133" i="97" s="1"/>
  <c r="L49" i="46"/>
  <c r="C49" i="46" s="1"/>
  <c r="D49" i="46" s="1"/>
  <c r="F19" i="46"/>
  <c r="H19" i="46" s="1"/>
  <c r="C20" i="97" s="1"/>
  <c r="C18" i="120" s="1"/>
  <c r="J52" i="46"/>
  <c r="L52" i="46" s="1"/>
  <c r="D53" i="97" s="1"/>
  <c r="F52" i="120" s="1"/>
  <c r="AB138" i="46"/>
  <c r="G134" i="97" s="1"/>
  <c r="AF28" i="46"/>
  <c r="H29" i="97" s="1"/>
  <c r="AF135" i="46"/>
  <c r="H131" i="97" s="1"/>
  <c r="J78" i="46"/>
  <c r="L78" i="46" s="1"/>
  <c r="D79" i="97" s="1"/>
  <c r="F78" i="120" s="1"/>
  <c r="F73" i="46"/>
  <c r="H73" i="46" s="1"/>
  <c r="C74" i="97" s="1"/>
  <c r="C73" i="120" s="1"/>
  <c r="H124" i="46"/>
  <c r="AF27" i="46"/>
  <c r="H28" i="97" s="1"/>
  <c r="AB130" i="46"/>
  <c r="G126" i="97" s="1"/>
  <c r="F131" i="46"/>
  <c r="H131" i="46" s="1"/>
  <c r="F92" i="46"/>
  <c r="H92" i="46" s="1"/>
  <c r="C93" i="97" s="1"/>
  <c r="C92" i="120" s="1"/>
  <c r="AB7" i="46"/>
  <c r="G8" i="97" s="1"/>
  <c r="F130" i="46"/>
  <c r="H130" i="46" s="1"/>
  <c r="C126" i="97" s="1"/>
  <c r="F129" i="46"/>
  <c r="H129" i="46" s="1"/>
  <c r="C125" i="97" s="1"/>
  <c r="AB129" i="46"/>
  <c r="G125" i="97" s="1"/>
  <c r="H39" i="46"/>
  <c r="C40" i="97" s="1"/>
  <c r="C39" i="120" s="1"/>
  <c r="AB124" i="46"/>
  <c r="G120" i="97" s="1"/>
  <c r="R124" i="46"/>
  <c r="E120" i="97" s="1"/>
  <c r="J27" i="46"/>
  <c r="L27" i="46" s="1"/>
  <c r="D28" i="97" s="1"/>
  <c r="F27" i="120" s="1"/>
  <c r="J60" i="46"/>
  <c r="L60" i="46" s="1"/>
  <c r="D61" i="97" s="1"/>
  <c r="F60" i="120" s="1"/>
  <c r="F11" i="46"/>
  <c r="H11" i="46" s="1"/>
  <c r="C12" i="97" s="1"/>
  <c r="C10" i="120" s="1"/>
  <c r="E10" i="120" s="1"/>
  <c r="J73" i="46"/>
  <c r="L73" i="46" s="1"/>
  <c r="D74" i="97" s="1"/>
  <c r="F73" i="120" s="1"/>
  <c r="H73" i="120" s="1"/>
  <c r="V27" i="46"/>
  <c r="F28" i="97" s="1"/>
  <c r="P27" i="120" s="1"/>
  <c r="J69" i="46"/>
  <c r="L69" i="46" s="1"/>
  <c r="D70" i="97" s="1"/>
  <c r="F69" i="120" s="1"/>
  <c r="F69" i="46"/>
  <c r="H69" i="46" s="1"/>
  <c r="C70" i="97" s="1"/>
  <c r="C69" i="120" s="1"/>
  <c r="AF144" i="46"/>
  <c r="H140" i="97" s="1"/>
  <c r="J144" i="46"/>
  <c r="L144" i="46" s="1"/>
  <c r="D140" i="97" s="1"/>
  <c r="F143" i="46"/>
  <c r="H143" i="46" s="1"/>
  <c r="F27" i="46"/>
  <c r="H27" i="46" s="1"/>
  <c r="C28" i="97" s="1"/>
  <c r="C27" i="120" s="1"/>
  <c r="R129" i="46"/>
  <c r="F41" i="46"/>
  <c r="H41" i="46" s="1"/>
  <c r="C42" i="97" s="1"/>
  <c r="C41" i="120" s="1"/>
  <c r="V136" i="46"/>
  <c r="F132" i="97" s="1"/>
  <c r="J136" i="46"/>
  <c r="L136" i="46" s="1"/>
  <c r="AB44" i="46"/>
  <c r="G45" i="97" s="1"/>
  <c r="R138" i="46"/>
  <c r="E134" i="97" s="1"/>
  <c r="F83" i="46"/>
  <c r="J39" i="46"/>
  <c r="L39" i="46" s="1"/>
  <c r="D40" i="97" s="1"/>
  <c r="F39" i="120" s="1"/>
  <c r="F44" i="46"/>
  <c r="H44" i="46" s="1"/>
  <c r="C45" i="97" s="1"/>
  <c r="C44" i="120" s="1"/>
  <c r="J135" i="46"/>
  <c r="L135" i="46" s="1"/>
  <c r="D131" i="97" s="1"/>
  <c r="V135" i="46"/>
  <c r="F131" i="97" s="1"/>
  <c r="F18" i="46"/>
  <c r="H18" i="46" s="1"/>
  <c r="C19" i="97" s="1"/>
  <c r="C17" i="120" s="1"/>
  <c r="I17" i="120" s="1"/>
  <c r="L17" i="120" s="1"/>
  <c r="V28" i="46"/>
  <c r="M28" i="46" s="1"/>
  <c r="N28" i="46" s="1"/>
  <c r="V25" i="46"/>
  <c r="F26" i="97" s="1"/>
  <c r="P25" i="120" s="1"/>
  <c r="AF25" i="46"/>
  <c r="H26" i="97" s="1"/>
  <c r="J25" i="46"/>
  <c r="L25" i="46" s="1"/>
  <c r="D26" i="97" s="1"/>
  <c r="F25" i="120" s="1"/>
  <c r="AF71" i="46"/>
  <c r="W71" i="46" s="1"/>
  <c r="X71" i="46" s="1"/>
  <c r="V71" i="46"/>
  <c r="M71" i="46" s="1"/>
  <c r="N71" i="46" s="1"/>
  <c r="R66" i="46"/>
  <c r="E67" i="97" s="1"/>
  <c r="M66" i="120" s="1"/>
  <c r="O66" i="120" s="1"/>
  <c r="AB66" i="46"/>
  <c r="G67" i="97" s="1"/>
  <c r="V20" i="46"/>
  <c r="M20" i="46" s="1"/>
  <c r="N20" i="46" s="1"/>
  <c r="AF20" i="46"/>
  <c r="W20" i="46" s="1"/>
  <c r="X20" i="46" s="1"/>
  <c r="J41" i="46"/>
  <c r="L41" i="46" s="1"/>
  <c r="D42" i="97" s="1"/>
  <c r="F41" i="120" s="1"/>
  <c r="F64" i="46"/>
  <c r="H64" i="46" s="1"/>
  <c r="C65" i="97" s="1"/>
  <c r="C64" i="120" s="1"/>
  <c r="R64" i="46"/>
  <c r="E65" i="97" s="1"/>
  <c r="M64" i="120" s="1"/>
  <c r="V74" i="46"/>
  <c r="AF74" i="46"/>
  <c r="F60" i="46"/>
  <c r="H60" i="46" s="1"/>
  <c r="J47" i="46"/>
  <c r="L47" i="46" s="1"/>
  <c r="D48" i="97" s="1"/>
  <c r="F47" i="120" s="1"/>
  <c r="F47" i="46"/>
  <c r="H47" i="46" s="1"/>
  <c r="F46" i="46"/>
  <c r="H46" i="46" s="1"/>
  <c r="C47" i="97" s="1"/>
  <c r="C46" i="120" s="1"/>
  <c r="AB46" i="46"/>
  <c r="G47" i="97" s="1"/>
  <c r="J74" i="46"/>
  <c r="L74" i="46" s="1"/>
  <c r="AB64" i="46"/>
  <c r="W64" i="46" s="1"/>
  <c r="X64" i="46" s="1"/>
  <c r="AB14" i="46"/>
  <c r="R14" i="46"/>
  <c r="V13" i="46"/>
  <c r="F14" i="97" s="1"/>
  <c r="P12" i="120" s="1"/>
  <c r="AF13" i="46"/>
  <c r="W13" i="46" s="1"/>
  <c r="X13" i="46" s="1"/>
  <c r="J13" i="46"/>
  <c r="L13" i="46" s="1"/>
  <c r="C13" i="46" s="1"/>
  <c r="D13" i="46" s="1"/>
  <c r="AB65" i="46"/>
  <c r="W65" i="46" s="1"/>
  <c r="X65" i="46" s="1"/>
  <c r="R65" i="46"/>
  <c r="E66" i="97" s="1"/>
  <c r="M65" i="120" s="1"/>
  <c r="AF36" i="46"/>
  <c r="J36" i="46"/>
  <c r="L36" i="46" s="1"/>
  <c r="AB67" i="46"/>
  <c r="F67" i="46"/>
  <c r="H67" i="46" s="1"/>
  <c r="J48" i="46"/>
  <c r="L48" i="46" s="1"/>
  <c r="C48" i="46" s="1"/>
  <c r="D48" i="46" s="1"/>
  <c r="AF48" i="46"/>
  <c r="H49" i="97" s="1"/>
  <c r="J38" i="46"/>
  <c r="L38" i="46" s="1"/>
  <c r="D39" i="97" s="1"/>
  <c r="F38" i="120" s="1"/>
  <c r="AF136" i="46"/>
  <c r="H132" i="97" s="1"/>
  <c r="R67" i="46"/>
  <c r="E68" i="97" s="1"/>
  <c r="M67" i="120" s="1"/>
  <c r="S67" i="120" s="1"/>
  <c r="V67" i="120" s="1"/>
  <c r="V144" i="46"/>
  <c r="L92" i="46"/>
  <c r="D93" i="97" s="1"/>
  <c r="F92" i="120" s="1"/>
  <c r="U43" i="24"/>
  <c r="V43" i="24" s="1"/>
  <c r="M9" i="46"/>
  <c r="N9" i="46" s="1"/>
  <c r="U99" i="24"/>
  <c r="V99" i="24" s="1"/>
  <c r="N56" i="97"/>
  <c r="L131" i="46"/>
  <c r="U145" i="24"/>
  <c r="V145" i="24" s="1"/>
  <c r="U51" i="24"/>
  <c r="V51" i="24" s="1"/>
  <c r="U56" i="24"/>
  <c r="V56" i="24" s="1"/>
  <c r="I139" i="82"/>
  <c r="Z18" i="109"/>
  <c r="Y16" i="109" s="1"/>
  <c r="U146" i="24"/>
  <c r="V146" i="24" s="1"/>
  <c r="F73" i="97"/>
  <c r="P72" i="120" s="1"/>
  <c r="R72" i="120" s="1"/>
  <c r="T103" i="24"/>
  <c r="S103" i="24"/>
  <c r="E132" i="15"/>
  <c r="E109" i="15"/>
  <c r="I102" i="82"/>
  <c r="E103" i="15"/>
  <c r="I104" i="82"/>
  <c r="E105" i="15"/>
  <c r="I107" i="82"/>
  <c r="E108" i="15"/>
  <c r="E107" i="15"/>
  <c r="E106" i="15"/>
  <c r="I120" i="82"/>
  <c r="E110" i="15"/>
  <c r="M93" i="46"/>
  <c r="N93" i="46" s="1"/>
  <c r="C98" i="46"/>
  <c r="D98" i="46" s="1"/>
  <c r="F129" i="17"/>
  <c r="O104" i="98"/>
  <c r="W82" i="46"/>
  <c r="X82" i="46" s="1"/>
  <c r="K97" i="82"/>
  <c r="H98" i="15"/>
  <c r="K103" i="82"/>
  <c r="H104" i="15"/>
  <c r="I98" i="82"/>
  <c r="P99" i="73" s="1"/>
  <c r="AS99" i="73" s="1"/>
  <c r="BF99" i="73" s="1"/>
  <c r="E99" i="15"/>
  <c r="I99" i="82"/>
  <c r="E100" i="15"/>
  <c r="I97" i="82"/>
  <c r="E98" i="15"/>
  <c r="K96" i="82"/>
  <c r="H97" i="15"/>
  <c r="U132" i="24"/>
  <c r="V132" i="24" s="1"/>
  <c r="U142" i="24"/>
  <c r="V142" i="24" s="1"/>
  <c r="C124" i="17"/>
  <c r="R136" i="24"/>
  <c r="S136" i="24"/>
  <c r="U118" i="24"/>
  <c r="V118" i="24" s="1"/>
  <c r="T135" i="24"/>
  <c r="S135" i="24"/>
  <c r="C101" i="17"/>
  <c r="C102" i="98"/>
  <c r="H102" i="98" s="1"/>
  <c r="O100" i="125" s="1"/>
  <c r="Q100" i="125" s="1"/>
  <c r="N39" i="24"/>
  <c r="O39" i="24" s="1"/>
  <c r="C53" i="17"/>
  <c r="L139" i="82"/>
  <c r="F111" i="17"/>
  <c r="E129" i="15"/>
  <c r="U55" i="24"/>
  <c r="V55" i="24" s="1"/>
  <c r="K138" i="82"/>
  <c r="T136" i="24"/>
  <c r="C101" i="46"/>
  <c r="D101" i="46" s="1"/>
  <c r="N71" i="24"/>
  <c r="O71" i="24" s="1"/>
  <c r="I123" i="82"/>
  <c r="K126" i="82"/>
  <c r="W113" i="46"/>
  <c r="X113" i="46" s="1"/>
  <c r="U143" i="24"/>
  <c r="V143" i="24" s="1"/>
  <c r="L96" i="46"/>
  <c r="D97" i="97" s="1"/>
  <c r="F96" i="120" s="1"/>
  <c r="N104" i="24"/>
  <c r="O104" i="24" s="1"/>
  <c r="N101" i="24"/>
  <c r="O101" i="24" s="1"/>
  <c r="N102" i="24"/>
  <c r="O102" i="24" s="1"/>
  <c r="N100" i="24"/>
  <c r="O100" i="24" s="1"/>
  <c r="G85" i="97"/>
  <c r="E83" i="15"/>
  <c r="H83" i="15"/>
  <c r="E82" i="15"/>
  <c r="U76" i="24"/>
  <c r="V76" i="24" s="1"/>
  <c r="N68" i="24"/>
  <c r="O68" i="24" s="1"/>
  <c r="N132" i="24"/>
  <c r="O132" i="24" s="1"/>
  <c r="N59" i="24"/>
  <c r="O59" i="24" s="1"/>
  <c r="F39" i="17"/>
  <c r="I132" i="82"/>
  <c r="P133" i="73" s="1"/>
  <c r="AS133" i="73" s="1"/>
  <c r="BF133" i="73" s="1"/>
  <c r="J139" i="82"/>
  <c r="N51" i="24"/>
  <c r="O51" i="24" s="1"/>
  <c r="N34" i="24"/>
  <c r="O34" i="24" s="1"/>
  <c r="BE31" i="120" s="1"/>
  <c r="H133" i="15"/>
  <c r="N56" i="24"/>
  <c r="O56" i="24" s="1"/>
  <c r="N22" i="24"/>
  <c r="O22" i="24" s="1"/>
  <c r="C81" i="46"/>
  <c r="D81" i="46" s="1"/>
  <c r="E134" i="15"/>
  <c r="N143" i="24"/>
  <c r="O143" i="24" s="1"/>
  <c r="H127" i="15"/>
  <c r="O133" i="98"/>
  <c r="AB94" i="52"/>
  <c r="I133" i="82"/>
  <c r="M111" i="46"/>
  <c r="N111" i="46" s="1"/>
  <c r="E133" i="15"/>
  <c r="I29" i="82"/>
  <c r="C111" i="120"/>
  <c r="G100" i="97"/>
  <c r="H137" i="15"/>
  <c r="C87" i="46"/>
  <c r="D87" i="46" s="1"/>
  <c r="E126" i="15"/>
  <c r="C144" i="17"/>
  <c r="O140" i="98"/>
  <c r="M115" i="46"/>
  <c r="N115" i="46" s="1"/>
  <c r="O130" i="98"/>
  <c r="H132" i="15"/>
  <c r="H139" i="15"/>
  <c r="H78" i="97"/>
  <c r="O135" i="98"/>
  <c r="C138" i="17"/>
  <c r="C134" i="98"/>
  <c r="O138" i="98"/>
  <c r="E141" i="98"/>
  <c r="F145" i="17"/>
  <c r="N74" i="24"/>
  <c r="O74" i="24" s="1"/>
  <c r="O131" i="98"/>
  <c r="C130" i="98"/>
  <c r="C134" i="17"/>
  <c r="O128" i="98"/>
  <c r="C142" i="17"/>
  <c r="C138" i="98"/>
  <c r="O136" i="98"/>
  <c r="O127" i="98"/>
  <c r="E132" i="98"/>
  <c r="F136" i="17"/>
  <c r="O84" i="98"/>
  <c r="E127" i="15"/>
  <c r="E137" i="15"/>
  <c r="F137" i="17"/>
  <c r="E133" i="98"/>
  <c r="C131" i="17"/>
  <c r="C127" i="98"/>
  <c r="E127" i="98"/>
  <c r="F131" i="17"/>
  <c r="C128" i="98"/>
  <c r="C132" i="17"/>
  <c r="O137" i="98"/>
  <c r="H131" i="15"/>
  <c r="C136" i="17"/>
  <c r="C132" i="98"/>
  <c r="O142" i="98"/>
  <c r="P58" i="52"/>
  <c r="O129" i="98"/>
  <c r="E140" i="98"/>
  <c r="H140" i="98" s="1"/>
  <c r="O138" i="125" s="1"/>
  <c r="Q138" i="125" s="1"/>
  <c r="F144" i="17"/>
  <c r="C133" i="98"/>
  <c r="C137" i="17"/>
  <c r="H126" i="15"/>
  <c r="E140" i="15"/>
  <c r="O139" i="98"/>
  <c r="E131" i="15"/>
  <c r="N61" i="24"/>
  <c r="O61" i="24" s="1"/>
  <c r="F132" i="17"/>
  <c r="E128" i="98"/>
  <c r="H134" i="15"/>
  <c r="E130" i="98"/>
  <c r="F134" i="17"/>
  <c r="C141" i="98"/>
  <c r="C145" i="17"/>
  <c r="O132" i="98"/>
  <c r="E138" i="98"/>
  <c r="F142" i="17"/>
  <c r="F138" i="17"/>
  <c r="E134" i="98"/>
  <c r="O141" i="98"/>
  <c r="O134" i="98"/>
  <c r="F139" i="17"/>
  <c r="E135" i="98"/>
  <c r="H135" i="98" s="1"/>
  <c r="H129" i="15"/>
  <c r="H140" i="15"/>
  <c r="C139" i="17"/>
  <c r="N42" i="24"/>
  <c r="O42" i="24" s="1"/>
  <c r="E92" i="97"/>
  <c r="M91" i="120" s="1"/>
  <c r="O91" i="120" s="1"/>
  <c r="N99" i="24"/>
  <c r="O99" i="24" s="1"/>
  <c r="C77" i="97"/>
  <c r="C76" i="120" s="1"/>
  <c r="C116" i="120"/>
  <c r="M134" i="120"/>
  <c r="O134" i="120" s="1"/>
  <c r="C112" i="120"/>
  <c r="F142" i="120"/>
  <c r="P126" i="120"/>
  <c r="C123" i="120"/>
  <c r="E123" i="120" s="1"/>
  <c r="M139" i="120"/>
  <c r="O139" i="120" s="1"/>
  <c r="K36" i="82"/>
  <c r="C122" i="17"/>
  <c r="C127" i="120"/>
  <c r="E127" i="120" s="1"/>
  <c r="C142" i="120"/>
  <c r="P123" i="120"/>
  <c r="C122" i="120"/>
  <c r="N63" i="24"/>
  <c r="O63" i="24" s="1"/>
  <c r="M108" i="120"/>
  <c r="M101" i="120"/>
  <c r="C134" i="120"/>
  <c r="E134" i="120" s="1"/>
  <c r="C108" i="120"/>
  <c r="C101" i="120"/>
  <c r="F107" i="120"/>
  <c r="C121" i="120"/>
  <c r="C135" i="120"/>
  <c r="E135" i="120" s="1"/>
  <c r="N64" i="24"/>
  <c r="O64" i="24" s="1"/>
  <c r="P120" i="120"/>
  <c r="F125" i="120"/>
  <c r="F140" i="120"/>
  <c r="C125" i="120"/>
  <c r="C140" i="120"/>
  <c r="E140" i="120" s="1"/>
  <c r="M136" i="120"/>
  <c r="O136" i="120" s="1"/>
  <c r="C119" i="120"/>
  <c r="M121" i="120"/>
  <c r="M135" i="120"/>
  <c r="C132" i="120"/>
  <c r="M125" i="120"/>
  <c r="M140" i="120"/>
  <c r="O140" i="120" s="1"/>
  <c r="K67" i="82"/>
  <c r="C128" i="120"/>
  <c r="M119" i="120"/>
  <c r="P124" i="120"/>
  <c r="P139" i="120"/>
  <c r="M127" i="120"/>
  <c r="M142" i="120"/>
  <c r="C139" i="120"/>
  <c r="E139" i="120" s="1"/>
  <c r="M123" i="120"/>
  <c r="O123" i="120" s="1"/>
  <c r="F123" i="120"/>
  <c r="P142" i="120"/>
  <c r="F108" i="120"/>
  <c r="P108" i="120"/>
  <c r="P101" i="120"/>
  <c r="P121" i="120"/>
  <c r="E100" i="97"/>
  <c r="M99" i="120" s="1"/>
  <c r="C107" i="120"/>
  <c r="U54" i="24"/>
  <c r="V54" i="24" s="1"/>
  <c r="K102" i="82"/>
  <c r="C52" i="17"/>
  <c r="F90" i="17"/>
  <c r="C81" i="17"/>
  <c r="C72" i="17"/>
  <c r="H105" i="15"/>
  <c r="J39" i="82"/>
  <c r="P40" i="73" s="1"/>
  <c r="AS40" i="73" s="1"/>
  <c r="BF40" i="73" s="1"/>
  <c r="F60" i="17"/>
  <c r="I66" i="82"/>
  <c r="H40" i="15"/>
  <c r="H86" i="98"/>
  <c r="C89" i="17"/>
  <c r="H78" i="98"/>
  <c r="E37" i="15"/>
  <c r="C82" i="17"/>
  <c r="F91" i="98"/>
  <c r="F81" i="17"/>
  <c r="C54" i="17"/>
  <c r="J46" i="82"/>
  <c r="E54" i="15"/>
  <c r="H106" i="98"/>
  <c r="H45" i="15"/>
  <c r="L69" i="82"/>
  <c r="F33" i="17"/>
  <c r="F88" i="17"/>
  <c r="O42" i="98"/>
  <c r="I53" i="82"/>
  <c r="F110" i="17"/>
  <c r="H39" i="15"/>
  <c r="C110" i="17"/>
  <c r="H115" i="15"/>
  <c r="H42" i="98"/>
  <c r="F30" i="17"/>
  <c r="F96" i="17"/>
  <c r="K114" i="82"/>
  <c r="C85" i="17"/>
  <c r="C63" i="17"/>
  <c r="H64" i="98"/>
  <c r="H72" i="15"/>
  <c r="F34" i="17"/>
  <c r="F67" i="17"/>
  <c r="H41" i="98"/>
  <c r="E94" i="15"/>
  <c r="H67" i="15"/>
  <c r="E68" i="15"/>
  <c r="L132" i="82"/>
  <c r="L117" i="82"/>
  <c r="K128" i="82"/>
  <c r="K115" i="82"/>
  <c r="K129" i="82"/>
  <c r="H94" i="15"/>
  <c r="F43" i="17"/>
  <c r="F40" i="17"/>
  <c r="H89" i="98"/>
  <c r="H121" i="17"/>
  <c r="F117" i="98" s="1"/>
  <c r="AC83" i="52" s="1"/>
  <c r="N116" i="15"/>
  <c r="G116" i="15" s="1"/>
  <c r="H116" i="15" s="1"/>
  <c r="H47" i="15"/>
  <c r="E64" i="15"/>
  <c r="E118" i="15"/>
  <c r="H31" i="98"/>
  <c r="H30" i="15"/>
  <c r="H68" i="98"/>
  <c r="I117" i="82"/>
  <c r="O73" i="98"/>
  <c r="L40" i="82"/>
  <c r="M117" i="98"/>
  <c r="AC94" i="52" s="1"/>
  <c r="E72" i="15"/>
  <c r="J18" i="82"/>
  <c r="H71" i="98"/>
  <c r="F70" i="17"/>
  <c r="C41" i="17"/>
  <c r="C70" i="17"/>
  <c r="F41" i="17"/>
  <c r="C40" i="17"/>
  <c r="O41" i="97"/>
  <c r="O31" i="97"/>
  <c r="N44" i="97"/>
  <c r="J100" i="82"/>
  <c r="J103" i="82"/>
  <c r="I118" i="82"/>
  <c r="I106" i="82"/>
  <c r="L17" i="82"/>
  <c r="J20" i="82"/>
  <c r="K18" i="82"/>
  <c r="E59" i="86"/>
  <c r="E113" i="86"/>
  <c r="P59" i="52"/>
  <c r="U74" i="24"/>
  <c r="V74" i="24" s="1"/>
  <c r="L136" i="24"/>
  <c r="U148" i="24"/>
  <c r="V148" i="24" s="1"/>
  <c r="K136" i="24"/>
  <c r="U72" i="24"/>
  <c r="V72" i="24" s="1"/>
  <c r="U66" i="24"/>
  <c r="V66" i="24" s="1"/>
  <c r="U71" i="24"/>
  <c r="V71" i="24" s="1"/>
  <c r="N69" i="24"/>
  <c r="O69" i="24" s="1"/>
  <c r="C89" i="46"/>
  <c r="D89" i="46" s="1"/>
  <c r="U44" i="24"/>
  <c r="V44" i="24" s="1"/>
  <c r="U141" i="24"/>
  <c r="V141" i="24" s="1"/>
  <c r="U49" i="24"/>
  <c r="V49" i="24" s="1"/>
  <c r="N47" i="24"/>
  <c r="O47" i="24" s="1"/>
  <c r="W118" i="46"/>
  <c r="X118" i="46" s="1"/>
  <c r="U69" i="24"/>
  <c r="V69" i="24" s="1"/>
  <c r="N43" i="24"/>
  <c r="O43" i="24" s="1"/>
  <c r="N146" i="24"/>
  <c r="O146" i="24" s="1"/>
  <c r="N81" i="24"/>
  <c r="O81" i="24" s="1"/>
  <c r="N76" i="24"/>
  <c r="O76" i="24" s="1"/>
  <c r="U67" i="24"/>
  <c r="V67" i="24" s="1"/>
  <c r="N53" i="24"/>
  <c r="O53" i="24" s="1"/>
  <c r="N36" i="24"/>
  <c r="O36" i="24" s="1"/>
  <c r="N62" i="24"/>
  <c r="O62" i="24" s="1"/>
  <c r="W29" i="46"/>
  <c r="X29" i="46" s="1"/>
  <c r="U68" i="24"/>
  <c r="V68" i="24" s="1"/>
  <c r="U41" i="24"/>
  <c r="V41" i="24" s="1"/>
  <c r="N46" i="24"/>
  <c r="O46" i="24" s="1"/>
  <c r="U50" i="24"/>
  <c r="V50" i="24" s="1"/>
  <c r="U47" i="24"/>
  <c r="V47" i="24" s="1"/>
  <c r="N134" i="24"/>
  <c r="O134" i="24" s="1"/>
  <c r="N50" i="24"/>
  <c r="O50" i="24" s="1"/>
  <c r="E18" i="97"/>
  <c r="M16" i="120" s="1"/>
  <c r="C91" i="46"/>
  <c r="D91" i="46" s="1"/>
  <c r="N52" i="24"/>
  <c r="O52" i="24" s="1"/>
  <c r="N48" i="24"/>
  <c r="O48" i="24" s="1"/>
  <c r="C85" i="46"/>
  <c r="D85" i="46" s="1"/>
  <c r="N133" i="24"/>
  <c r="O133" i="24" s="1"/>
  <c r="N138" i="24"/>
  <c r="O138" i="24" s="1"/>
  <c r="N38" i="24"/>
  <c r="O38" i="24" s="1"/>
  <c r="N11" i="24"/>
  <c r="O11" i="24" s="1"/>
  <c r="N45" i="24"/>
  <c r="O45" i="24" s="1"/>
  <c r="N60" i="24"/>
  <c r="O60" i="24" s="1"/>
  <c r="M76" i="46"/>
  <c r="N76" i="46" s="1"/>
  <c r="C18" i="97"/>
  <c r="C16" i="120" s="1"/>
  <c r="N72" i="24"/>
  <c r="O72" i="24" s="1"/>
  <c r="N55" i="24"/>
  <c r="O55" i="24" s="1"/>
  <c r="C86" i="46"/>
  <c r="D86" i="46" s="1"/>
  <c r="C110" i="46"/>
  <c r="D110" i="46" s="1"/>
  <c r="M87" i="46"/>
  <c r="N87" i="46" s="1"/>
  <c r="N65" i="24"/>
  <c r="O65" i="24" s="1"/>
  <c r="C111" i="46"/>
  <c r="D111" i="46" s="1"/>
  <c r="M107" i="120"/>
  <c r="W90" i="46"/>
  <c r="X90" i="46" s="1"/>
  <c r="U46" i="24"/>
  <c r="V46" i="24" s="1"/>
  <c r="M82" i="46"/>
  <c r="N82" i="46" s="1"/>
  <c r="W87" i="46"/>
  <c r="X87" i="46" s="1"/>
  <c r="C115" i="46"/>
  <c r="D115" i="46" s="1"/>
  <c r="W122" i="46"/>
  <c r="X122" i="46" s="1"/>
  <c r="C112" i="46"/>
  <c r="D112" i="46" s="1"/>
  <c r="U115" i="24"/>
  <c r="V115" i="24" s="1"/>
  <c r="N145" i="24"/>
  <c r="O145" i="24" s="1"/>
  <c r="U31" i="24"/>
  <c r="V31" i="24" s="1"/>
  <c r="N66" i="24"/>
  <c r="O66" i="24" s="1"/>
  <c r="M89" i="46"/>
  <c r="N89" i="46" s="1"/>
  <c r="U130" i="24"/>
  <c r="V130" i="24" s="1"/>
  <c r="U61" i="24"/>
  <c r="V61" i="24" s="1"/>
  <c r="W77" i="46"/>
  <c r="X77" i="46" s="1"/>
  <c r="W86" i="46"/>
  <c r="X86" i="46" s="1"/>
  <c r="C122" i="46"/>
  <c r="D122" i="46" s="1"/>
  <c r="C109" i="46"/>
  <c r="D109" i="46" s="1"/>
  <c r="C84" i="46"/>
  <c r="D84" i="46" s="1"/>
  <c r="M109" i="46"/>
  <c r="N109" i="46" s="1"/>
  <c r="C88" i="46"/>
  <c r="D88" i="46" s="1"/>
  <c r="W115" i="46"/>
  <c r="X115" i="46" s="1"/>
  <c r="U140" i="24"/>
  <c r="V140" i="24" s="1"/>
  <c r="M121" i="46"/>
  <c r="N121" i="46" s="1"/>
  <c r="N141" i="24"/>
  <c r="O141" i="24" s="1"/>
  <c r="U64" i="24"/>
  <c r="V64" i="24" s="1"/>
  <c r="N44" i="24"/>
  <c r="O44" i="24" s="1"/>
  <c r="N31" i="24"/>
  <c r="O31" i="24" s="1"/>
  <c r="N49" i="24"/>
  <c r="O49" i="24" s="1"/>
  <c r="E17" i="97"/>
  <c r="M15" i="120" s="1"/>
  <c r="O15" i="120" s="1"/>
  <c r="M84" i="46"/>
  <c r="N84" i="46" s="1"/>
  <c r="M81" i="46"/>
  <c r="N81" i="46" s="1"/>
  <c r="M86" i="46"/>
  <c r="N86" i="46" s="1"/>
  <c r="M108" i="46"/>
  <c r="N108" i="46" s="1"/>
  <c r="C117" i="46"/>
  <c r="D117" i="46" s="1"/>
  <c r="M113" i="46"/>
  <c r="N113" i="46" s="1"/>
  <c r="F20" i="97"/>
  <c r="P18" i="120" s="1"/>
  <c r="W111" i="46"/>
  <c r="X111" i="46" s="1"/>
  <c r="U80" i="24"/>
  <c r="V80" i="24" s="1"/>
  <c r="N58" i="24"/>
  <c r="O58" i="24" s="1"/>
  <c r="M95" i="46"/>
  <c r="N95" i="46" s="1"/>
  <c r="M132" i="46"/>
  <c r="N132" i="46" s="1"/>
  <c r="M85" i="46"/>
  <c r="N85" i="46" s="1"/>
  <c r="M112" i="46"/>
  <c r="N112" i="46" s="1"/>
  <c r="M114" i="46"/>
  <c r="N114" i="46" s="1"/>
  <c r="W91" i="46"/>
  <c r="X91" i="46" s="1"/>
  <c r="C113" i="46"/>
  <c r="D113" i="46" s="1"/>
  <c r="C107" i="46"/>
  <c r="D107" i="46" s="1"/>
  <c r="U37" i="24"/>
  <c r="V37" i="24" s="1"/>
  <c r="D89" i="97"/>
  <c r="F88" i="120" s="1"/>
  <c r="W93" i="46"/>
  <c r="X93" i="46" s="1"/>
  <c r="W116" i="46"/>
  <c r="X116" i="46" s="1"/>
  <c r="W109" i="46"/>
  <c r="X109" i="46" s="1"/>
  <c r="U98" i="24"/>
  <c r="V98" i="24" s="1"/>
  <c r="M110" i="46"/>
  <c r="N110" i="46" s="1"/>
  <c r="W30" i="46"/>
  <c r="X30" i="46" s="1"/>
  <c r="N70" i="24"/>
  <c r="O70" i="24" s="1"/>
  <c r="U79" i="24"/>
  <c r="V79" i="24" s="1"/>
  <c r="W95" i="46"/>
  <c r="X95" i="46" s="1"/>
  <c r="W114" i="46"/>
  <c r="X114" i="46" s="1"/>
  <c r="C108" i="46"/>
  <c r="D108" i="46" s="1"/>
  <c r="N40" i="24"/>
  <c r="O40" i="24" s="1"/>
  <c r="C90" i="46"/>
  <c r="D90" i="46" s="1"/>
  <c r="W112" i="46"/>
  <c r="X112" i="46" s="1"/>
  <c r="U65" i="24"/>
  <c r="V65" i="24" s="1"/>
  <c r="U53" i="24"/>
  <c r="V53" i="24" s="1"/>
  <c r="W117" i="46"/>
  <c r="X117" i="46" s="1"/>
  <c r="U100" i="24"/>
  <c r="V100" i="24" s="1"/>
  <c r="W84" i="46"/>
  <c r="X84" i="46" s="1"/>
  <c r="M116" i="46"/>
  <c r="N116" i="46" s="1"/>
  <c r="W101" i="46"/>
  <c r="X101" i="46" s="1"/>
  <c r="D18" i="97"/>
  <c r="F16" i="120" s="1"/>
  <c r="U126" i="24"/>
  <c r="V126" i="24" s="1"/>
  <c r="U128" i="24"/>
  <c r="V128" i="24" s="1"/>
  <c r="U144" i="24"/>
  <c r="V144" i="24" s="1"/>
  <c r="H18" i="97"/>
  <c r="U38" i="24"/>
  <c r="V38" i="24" s="1"/>
  <c r="M107" i="46"/>
  <c r="N107" i="46" s="1"/>
  <c r="U101" i="24"/>
  <c r="V101" i="24" s="1"/>
  <c r="C114" i="46"/>
  <c r="D114" i="46" s="1"/>
  <c r="W107" i="46"/>
  <c r="X107" i="46" s="1"/>
  <c r="M90" i="46"/>
  <c r="N90" i="46" s="1"/>
  <c r="M94" i="46"/>
  <c r="N94" i="46" s="1"/>
  <c r="U147" i="24"/>
  <c r="V147" i="24" s="1"/>
  <c r="N54" i="24"/>
  <c r="O54" i="24" s="1"/>
  <c r="D20" i="97"/>
  <c r="F18" i="120" s="1"/>
  <c r="C116" i="46"/>
  <c r="D116" i="46" s="1"/>
  <c r="W88" i="46"/>
  <c r="X88" i="46" s="1"/>
  <c r="D16" i="97"/>
  <c r="F14" i="120" s="1"/>
  <c r="D78" i="97"/>
  <c r="F77" i="120" s="1"/>
  <c r="L134" i="46"/>
  <c r="D130" i="97" s="1"/>
  <c r="C95" i="46"/>
  <c r="D95" i="46" s="1"/>
  <c r="C121" i="46"/>
  <c r="D121" i="46" s="1"/>
  <c r="P122" i="120"/>
  <c r="G18" i="97"/>
  <c r="W85" i="46"/>
  <c r="X85" i="46" s="1"/>
  <c r="M101" i="46"/>
  <c r="N101" i="46" s="1"/>
  <c r="W89" i="46"/>
  <c r="X89" i="46" s="1"/>
  <c r="C119" i="46"/>
  <c r="D119" i="46" s="1"/>
  <c r="U111" i="24"/>
  <c r="V111" i="24" s="1"/>
  <c r="N97" i="24"/>
  <c r="O97" i="24" s="1"/>
  <c r="W81" i="46"/>
  <c r="X81" i="46" s="1"/>
  <c r="W108" i="46"/>
  <c r="X108" i="46" s="1"/>
  <c r="U102" i="24"/>
  <c r="V102" i="24" s="1"/>
  <c r="C118" i="46"/>
  <c r="D118" i="46" s="1"/>
  <c r="F122" i="120"/>
  <c r="M122" i="46"/>
  <c r="N122" i="46" s="1"/>
  <c r="M117" i="46"/>
  <c r="N117" i="46" s="1"/>
  <c r="M119" i="46"/>
  <c r="N119" i="46" s="1"/>
  <c r="W110" i="46"/>
  <c r="X110" i="46" s="1"/>
  <c r="W126" i="46"/>
  <c r="X126" i="46" s="1"/>
  <c r="M80" i="46"/>
  <c r="N80" i="46" s="1"/>
  <c r="M88" i="46"/>
  <c r="N88" i="46" s="1"/>
  <c r="C125" i="46"/>
  <c r="D125" i="46" s="1"/>
  <c r="W119" i="46"/>
  <c r="X119" i="46" s="1"/>
  <c r="M79" i="46"/>
  <c r="N79" i="46" s="1"/>
  <c r="C94" i="46"/>
  <c r="D94" i="46" s="1"/>
  <c r="C126" i="46"/>
  <c r="D126" i="46" s="1"/>
  <c r="C82" i="46"/>
  <c r="D82" i="46" s="1"/>
  <c r="W125" i="46"/>
  <c r="X125" i="46" s="1"/>
  <c r="M125" i="46"/>
  <c r="N125" i="46" s="1"/>
  <c r="W123" i="46"/>
  <c r="X123" i="46" s="1"/>
  <c r="C80" i="46"/>
  <c r="D80" i="46" s="1"/>
  <c r="M72" i="46"/>
  <c r="N72" i="46" s="1"/>
  <c r="N41" i="24"/>
  <c r="O41" i="24" s="1"/>
  <c r="W121" i="46"/>
  <c r="X121" i="46" s="1"/>
  <c r="C77" i="46"/>
  <c r="D77" i="46" s="1"/>
  <c r="U77" i="24"/>
  <c r="V77" i="24" s="1"/>
  <c r="F18" i="97"/>
  <c r="P16" i="120" s="1"/>
  <c r="M118" i="46"/>
  <c r="N118" i="46" s="1"/>
  <c r="C120" i="46"/>
  <c r="D120" i="46" s="1"/>
  <c r="W94" i="46"/>
  <c r="X94" i="46" s="1"/>
  <c r="M29" i="46"/>
  <c r="N29" i="46" s="1"/>
  <c r="C72" i="46"/>
  <c r="D72" i="46" s="1"/>
  <c r="W79" i="46"/>
  <c r="X79" i="46" s="1"/>
  <c r="W120" i="46"/>
  <c r="X120" i="46" s="1"/>
  <c r="M145" i="46"/>
  <c r="N145" i="46" s="1"/>
  <c r="W72" i="46"/>
  <c r="X72" i="46" s="1"/>
  <c r="C139" i="46"/>
  <c r="D139" i="46" s="1"/>
  <c r="M30" i="46"/>
  <c r="N30" i="46" s="1"/>
  <c r="C123" i="46"/>
  <c r="D123" i="46" s="1"/>
  <c r="M120" i="46"/>
  <c r="N120" i="46" s="1"/>
  <c r="AF134" i="46"/>
  <c r="H130" i="97" s="1"/>
  <c r="U116" i="24"/>
  <c r="V116" i="24" s="1"/>
  <c r="U48" i="24"/>
  <c r="V48" i="24" s="1"/>
  <c r="W97" i="46"/>
  <c r="X97" i="46" s="1"/>
  <c r="V134" i="46"/>
  <c r="F130" i="97" s="1"/>
  <c r="M123" i="46"/>
  <c r="N123" i="46" s="1"/>
  <c r="M77" i="46"/>
  <c r="N77" i="46" s="1"/>
  <c r="W80" i="46"/>
  <c r="X80" i="46" s="1"/>
  <c r="U57" i="24"/>
  <c r="V57" i="24" s="1"/>
  <c r="C145" i="46"/>
  <c r="D145" i="46" s="1"/>
  <c r="C76" i="46"/>
  <c r="D76" i="46" s="1"/>
  <c r="D92" i="97"/>
  <c r="F91" i="120" s="1"/>
  <c r="U19" i="24"/>
  <c r="V19" i="24" s="1"/>
  <c r="U82" i="24"/>
  <c r="V82" i="24" s="1"/>
  <c r="W145" i="46"/>
  <c r="X145" i="46" s="1"/>
  <c r="U70" i="24"/>
  <c r="V70" i="24" s="1"/>
  <c r="N37" i="24"/>
  <c r="O37" i="24" s="1"/>
  <c r="L132" i="46"/>
  <c r="D128" i="97" s="1"/>
  <c r="U110" i="24"/>
  <c r="V110" i="24" s="1"/>
  <c r="N147" i="24"/>
  <c r="O147" i="24" s="1"/>
  <c r="U59" i="24"/>
  <c r="V59" i="24" s="1"/>
  <c r="N148" i="24"/>
  <c r="O148" i="24" s="1"/>
  <c r="F113" i="120"/>
  <c r="C93" i="46"/>
  <c r="D93" i="46" s="1"/>
  <c r="L144" i="24"/>
  <c r="M144" i="24"/>
  <c r="K144" i="24"/>
  <c r="F119" i="120"/>
  <c r="H96" i="97"/>
  <c r="M126" i="46"/>
  <c r="N126" i="46" s="1"/>
  <c r="P115" i="120"/>
  <c r="C29" i="46"/>
  <c r="D29" i="46" s="1"/>
  <c r="H47" i="97"/>
  <c r="U36" i="24"/>
  <c r="V36" i="24" s="1"/>
  <c r="U134" i="24"/>
  <c r="V134" i="24" s="1"/>
  <c r="U60" i="24"/>
  <c r="V60" i="24" s="1"/>
  <c r="C39" i="97"/>
  <c r="C38" i="120" s="1"/>
  <c r="E38" i="120" s="1"/>
  <c r="W76" i="46"/>
  <c r="X76" i="46" s="1"/>
  <c r="H92" i="97"/>
  <c r="U52" i="24"/>
  <c r="V52" i="24" s="1"/>
  <c r="U113" i="24"/>
  <c r="V113" i="24" s="1"/>
  <c r="U58" i="24"/>
  <c r="V58" i="24" s="1"/>
  <c r="U62" i="24"/>
  <c r="V62" i="24" s="1"/>
  <c r="U45" i="24"/>
  <c r="V45" i="24" s="1"/>
  <c r="U138" i="24"/>
  <c r="V138" i="24" s="1"/>
  <c r="U97" i="24"/>
  <c r="V97" i="24" s="1"/>
  <c r="U32" i="24"/>
  <c r="V32" i="24" s="1"/>
  <c r="U83" i="24"/>
  <c r="V83" i="24" s="1"/>
  <c r="N103" i="24"/>
  <c r="O103" i="24" s="1"/>
  <c r="U39" i="24"/>
  <c r="V39" i="24" s="1"/>
  <c r="U122" i="24"/>
  <c r="V122" i="24" s="1"/>
  <c r="N67" i="24"/>
  <c r="O67" i="24" s="1"/>
  <c r="U40" i="24"/>
  <c r="V40" i="24" s="1"/>
  <c r="F121" i="120"/>
  <c r="U133" i="24"/>
  <c r="V133" i="24" s="1"/>
  <c r="N115" i="24"/>
  <c r="O115" i="24" s="1"/>
  <c r="U42" i="24"/>
  <c r="V42" i="24" s="1"/>
  <c r="N57" i="24"/>
  <c r="O57" i="24" s="1"/>
  <c r="U75" i="24"/>
  <c r="V75" i="24" s="1"/>
  <c r="U129" i="24"/>
  <c r="V129" i="24" s="1"/>
  <c r="M91" i="46"/>
  <c r="N91" i="46" s="1"/>
  <c r="F85" i="97"/>
  <c r="P84" i="120" s="1"/>
  <c r="AF115" i="26"/>
  <c r="F47" i="97"/>
  <c r="P46" i="120" s="1"/>
  <c r="F12" i="82"/>
  <c r="L12" i="73" s="1"/>
  <c r="N140" i="24"/>
  <c r="O140" i="24" s="1"/>
  <c r="C79" i="46"/>
  <c r="D79" i="46" s="1"/>
  <c r="N33" i="24"/>
  <c r="O33" i="24" s="1"/>
  <c r="N80" i="24"/>
  <c r="O80" i="24" s="1"/>
  <c r="U123" i="24"/>
  <c r="V123" i="24" s="1"/>
  <c r="U85" i="24"/>
  <c r="V85" i="24" s="1"/>
  <c r="U114" i="24"/>
  <c r="V114" i="24" s="1"/>
  <c r="N118" i="24"/>
  <c r="O118" i="24" s="1"/>
  <c r="N91" i="24"/>
  <c r="O91" i="24" s="1"/>
  <c r="N116" i="24"/>
  <c r="O116" i="24" s="1"/>
  <c r="N94" i="24"/>
  <c r="O94" i="24" s="1"/>
  <c r="N127" i="24"/>
  <c r="O127" i="24" s="1"/>
  <c r="N90" i="24"/>
  <c r="O90" i="24" s="1"/>
  <c r="N32" i="24"/>
  <c r="O32" i="24" s="1"/>
  <c r="U94" i="24"/>
  <c r="V94" i="24" s="1"/>
  <c r="U139" i="24"/>
  <c r="V139" i="24" s="1"/>
  <c r="U125" i="24"/>
  <c r="V125" i="24" s="1"/>
  <c r="N98" i="24"/>
  <c r="O98" i="24" s="1"/>
  <c r="U96" i="24"/>
  <c r="V96" i="24" s="1"/>
  <c r="U33" i="24"/>
  <c r="V33" i="24" s="1"/>
  <c r="N124" i="24"/>
  <c r="O124" i="24" s="1"/>
  <c r="N73" i="24"/>
  <c r="O73" i="24" s="1"/>
  <c r="N84" i="24"/>
  <c r="O84" i="24" s="1"/>
  <c r="N93" i="24"/>
  <c r="O93" i="24" s="1"/>
  <c r="C30" i="46"/>
  <c r="D30" i="46" s="1"/>
  <c r="N88" i="24"/>
  <c r="O88" i="24" s="1"/>
  <c r="U120" i="24"/>
  <c r="V120" i="24" s="1"/>
  <c r="N112" i="24"/>
  <c r="O112" i="24" s="1"/>
  <c r="U112" i="24"/>
  <c r="V112" i="24" s="1"/>
  <c r="U86" i="24"/>
  <c r="V86" i="24" s="1"/>
  <c r="N96" i="24"/>
  <c r="O96" i="24" s="1"/>
  <c r="N125" i="24"/>
  <c r="O125" i="24" s="1"/>
  <c r="N110" i="24"/>
  <c r="O110" i="24" s="1"/>
  <c r="N126" i="24"/>
  <c r="O126" i="24" s="1"/>
  <c r="N77" i="24"/>
  <c r="O77" i="24" s="1"/>
  <c r="N89" i="24"/>
  <c r="O89" i="24" s="1"/>
  <c r="U93" i="24"/>
  <c r="V93" i="24" s="1"/>
  <c r="N83" i="24"/>
  <c r="O83" i="24" s="1"/>
  <c r="N139" i="24"/>
  <c r="O139" i="24" s="1"/>
  <c r="N75" i="24"/>
  <c r="O75" i="24" s="1"/>
  <c r="U84" i="24"/>
  <c r="V84" i="24" s="1"/>
  <c r="N119" i="24"/>
  <c r="O119" i="24" s="1"/>
  <c r="U121" i="24"/>
  <c r="V121" i="24" s="1"/>
  <c r="U81" i="24"/>
  <c r="V81" i="24" s="1"/>
  <c r="N128" i="24"/>
  <c r="O128" i="24" s="1"/>
  <c r="U78" i="24"/>
  <c r="V78" i="24" s="1"/>
  <c r="N95" i="24"/>
  <c r="O95" i="24" s="1"/>
  <c r="U89" i="24"/>
  <c r="V89" i="24" s="1"/>
  <c r="N122" i="24"/>
  <c r="O122" i="24" s="1"/>
  <c r="N111" i="24"/>
  <c r="O111" i="24" s="1"/>
  <c r="N117" i="24"/>
  <c r="O117" i="24" s="1"/>
  <c r="U90" i="24"/>
  <c r="V90" i="24" s="1"/>
  <c r="N78" i="24"/>
  <c r="O78" i="24" s="1"/>
  <c r="U87" i="24"/>
  <c r="V87" i="24" s="1"/>
  <c r="N114" i="24"/>
  <c r="O114" i="24" s="1"/>
  <c r="N129" i="24"/>
  <c r="O129" i="24" s="1"/>
  <c r="U119" i="24"/>
  <c r="V119" i="24" s="1"/>
  <c r="U127" i="24"/>
  <c r="V127" i="24" s="1"/>
  <c r="N131" i="24"/>
  <c r="O131" i="24" s="1"/>
  <c r="U73" i="24"/>
  <c r="V73" i="24" s="1"/>
  <c r="N121" i="24"/>
  <c r="O121" i="24" s="1"/>
  <c r="K137" i="24"/>
  <c r="M137" i="24"/>
  <c r="L137" i="24"/>
  <c r="N130" i="24"/>
  <c r="O130" i="24" s="1"/>
  <c r="N79" i="24"/>
  <c r="O79" i="24" s="1"/>
  <c r="U88" i="24"/>
  <c r="V88" i="24" s="1"/>
  <c r="N92" i="24"/>
  <c r="O92" i="24" s="1"/>
  <c r="U131" i="24"/>
  <c r="V131" i="24" s="1"/>
  <c r="U92" i="24"/>
  <c r="V92" i="24" s="1"/>
  <c r="U91" i="24"/>
  <c r="V91" i="24" s="1"/>
  <c r="U117" i="24"/>
  <c r="V117" i="24" s="1"/>
  <c r="N113" i="24"/>
  <c r="O113" i="24" s="1"/>
  <c r="N85" i="24"/>
  <c r="O85" i="24" s="1"/>
  <c r="N123" i="24"/>
  <c r="O123" i="24" s="1"/>
  <c r="U124" i="24"/>
  <c r="V124" i="24" s="1"/>
  <c r="U95" i="24"/>
  <c r="V95" i="24" s="1"/>
  <c r="N135" i="24"/>
  <c r="O135" i="24" s="1"/>
  <c r="N87" i="24"/>
  <c r="O87" i="24" s="1"/>
  <c r="N82" i="24"/>
  <c r="O82" i="24" s="1"/>
  <c r="N86" i="24"/>
  <c r="N120" i="24"/>
  <c r="O120" i="24" s="1"/>
  <c r="U137" i="24"/>
  <c r="V137" i="24" s="1"/>
  <c r="F32" i="97"/>
  <c r="O62" i="97"/>
  <c r="P34" i="97"/>
  <c r="O94" i="97"/>
  <c r="P26" i="97"/>
  <c r="O34" i="97"/>
  <c r="N35" i="97"/>
  <c r="P25" i="97"/>
  <c r="N15" i="97"/>
  <c r="O80" i="97"/>
  <c r="P59" i="97"/>
  <c r="P74" i="97"/>
  <c r="P18" i="97"/>
  <c r="O49" i="97"/>
  <c r="N79" i="97"/>
  <c r="O93" i="97"/>
  <c r="O42" i="97"/>
  <c r="N25" i="97"/>
  <c r="P43" i="97"/>
  <c r="P62" i="97"/>
  <c r="N77" i="97"/>
  <c r="P35" i="97"/>
  <c r="N72" i="97"/>
  <c r="P20" i="97"/>
  <c r="N21" i="97"/>
  <c r="O97" i="97"/>
  <c r="S76" i="52" s="1"/>
  <c r="P72" i="97"/>
  <c r="P28" i="97"/>
  <c r="O92" i="97"/>
  <c r="N63" i="97"/>
  <c r="P11" i="97"/>
  <c r="P58" i="97"/>
  <c r="N23" i="97"/>
  <c r="O76" i="97"/>
  <c r="N54" i="97"/>
  <c r="O38" i="97"/>
  <c r="O26" i="97"/>
  <c r="O81" i="97"/>
  <c r="P44" i="97"/>
  <c r="N76" i="97"/>
  <c r="P61" i="97"/>
  <c r="P22" i="97"/>
  <c r="N80" i="97"/>
  <c r="N95" i="97"/>
  <c r="N99" i="97"/>
  <c r="O58" i="97"/>
  <c r="O57" i="97"/>
  <c r="O90" i="97"/>
  <c r="O89" i="97"/>
  <c r="O71" i="97"/>
  <c r="P89" i="97"/>
  <c r="O7" i="97"/>
  <c r="O88" i="97"/>
  <c r="P96" i="97"/>
  <c r="P13" i="97"/>
  <c r="N50" i="97"/>
  <c r="P75" i="52" s="1"/>
  <c r="O44" i="97"/>
  <c r="N87" i="97"/>
  <c r="O11" i="97"/>
  <c r="P66" i="97"/>
  <c r="O22" i="97"/>
  <c r="P36" i="97"/>
  <c r="P98" i="97"/>
  <c r="V77" i="52" s="1"/>
  <c r="P50" i="97"/>
  <c r="N65" i="97"/>
  <c r="O86" i="97"/>
  <c r="P84" i="97"/>
  <c r="O23" i="97"/>
  <c r="O60" i="97"/>
  <c r="P90" i="97"/>
  <c r="N66" i="97"/>
  <c r="N13" i="97"/>
  <c r="O21" i="97"/>
  <c r="N82" i="97"/>
  <c r="P93" i="97"/>
  <c r="P65" i="97"/>
  <c r="P75" i="97"/>
  <c r="N59" i="97"/>
  <c r="O61" i="97"/>
  <c r="P76" i="52" s="1"/>
  <c r="O18" i="97"/>
  <c r="P81" i="97"/>
  <c r="P86" i="97"/>
  <c r="N28" i="97"/>
  <c r="O84" i="97"/>
  <c r="O75" i="97"/>
  <c r="P71" i="97"/>
  <c r="P91" i="97"/>
  <c r="O67" i="97"/>
  <c r="N38" i="97"/>
  <c r="O54" i="97"/>
  <c r="P51" i="97"/>
  <c r="N100" i="97"/>
  <c r="J75" i="52" s="1"/>
  <c r="O39" i="97"/>
  <c r="O14" i="97"/>
  <c r="P39" i="97"/>
  <c r="P82" i="97"/>
  <c r="O65" i="97"/>
  <c r="N14" i="97"/>
  <c r="P42" i="97"/>
  <c r="P95" i="97"/>
  <c r="N16" i="97"/>
  <c r="P99" i="97"/>
  <c r="O43" i="97"/>
  <c r="N94" i="97"/>
  <c r="P16" i="97"/>
  <c r="N24" i="97"/>
  <c r="N91" i="97"/>
  <c r="N92" i="97"/>
  <c r="N55" i="97"/>
  <c r="P57" i="97"/>
  <c r="P17" i="97"/>
  <c r="N45" i="97"/>
  <c r="N41" i="97"/>
  <c r="N60" i="97"/>
  <c r="P15" i="97"/>
  <c r="O17" i="97"/>
  <c r="N58" i="97"/>
  <c r="O35" i="97"/>
  <c r="N27" i="97"/>
  <c r="P27" i="97"/>
  <c r="P45" i="97"/>
  <c r="O79" i="97"/>
  <c r="N88" i="97"/>
  <c r="P55" i="97"/>
  <c r="N97" i="97"/>
  <c r="S75" i="52" s="1"/>
  <c r="O100" i="97"/>
  <c r="J76" i="52" s="1"/>
  <c r="O51" i="97"/>
  <c r="F69" i="97"/>
  <c r="P68" i="120" s="1"/>
  <c r="D32" i="97"/>
  <c r="C9" i="97"/>
  <c r="C7" i="120" s="1"/>
  <c r="D56" i="97"/>
  <c r="F55" i="120" s="1"/>
  <c r="F66" i="97"/>
  <c r="P65" i="120" s="1"/>
  <c r="D38" i="97"/>
  <c r="F37" i="120" s="1"/>
  <c r="D69" i="97"/>
  <c r="F68" i="120" s="1"/>
  <c r="G9" i="97"/>
  <c r="D66" i="97"/>
  <c r="F65" i="120" s="1"/>
  <c r="F22" i="97"/>
  <c r="P20" i="120" s="1"/>
  <c r="H32" i="97"/>
  <c r="G69" i="97"/>
  <c r="I62" i="82"/>
  <c r="P63" i="73" s="1"/>
  <c r="AS63" i="73" s="1"/>
  <c r="BF63" i="73" s="1"/>
  <c r="C82" i="97"/>
  <c r="C81" i="120" s="1"/>
  <c r="E81" i="120" s="1"/>
  <c r="H69" i="97"/>
  <c r="E45" i="97"/>
  <c r="M44" i="120" s="1"/>
  <c r="G59" i="97"/>
  <c r="E27" i="97"/>
  <c r="M26" i="120" s="1"/>
  <c r="G21" i="97"/>
  <c r="F38" i="97"/>
  <c r="P37" i="120" s="1"/>
  <c r="G51" i="97"/>
  <c r="G34" i="97"/>
  <c r="C24" i="97"/>
  <c r="C23" i="120" s="1"/>
  <c r="H22" i="97"/>
  <c r="H66" i="97"/>
  <c r="D25" i="97"/>
  <c r="F24" i="120" s="1"/>
  <c r="E29" i="97"/>
  <c r="M28" i="120" s="1"/>
  <c r="H13" i="97"/>
  <c r="C59" i="97"/>
  <c r="C58" i="120" s="1"/>
  <c r="H73" i="97"/>
  <c r="E32" i="97"/>
  <c r="G76" i="97"/>
  <c r="D35" i="97"/>
  <c r="F34" i="120" s="1"/>
  <c r="G75" i="97"/>
  <c r="D21" i="97"/>
  <c r="F19" i="120" s="1"/>
  <c r="H57" i="97"/>
  <c r="E37" i="97"/>
  <c r="M36" i="120" s="1"/>
  <c r="P118" i="120"/>
  <c r="H44" i="97"/>
  <c r="C69" i="97"/>
  <c r="C68" i="120" s="1"/>
  <c r="C43" i="97"/>
  <c r="C42" i="120" s="1"/>
  <c r="E42" i="120" s="1"/>
  <c r="G29" i="97"/>
  <c r="E51" i="97"/>
  <c r="M50" i="120" s="1"/>
  <c r="D73" i="97"/>
  <c r="F72" i="120" s="1"/>
  <c r="H16" i="97"/>
  <c r="M112" i="120"/>
  <c r="C34" i="97"/>
  <c r="C33" i="120" s="1"/>
  <c r="D51" i="97"/>
  <c r="F50" i="120" s="1"/>
  <c r="E82" i="97"/>
  <c r="M81" i="120" s="1"/>
  <c r="O81" i="120" s="1"/>
  <c r="C51" i="97"/>
  <c r="C50" i="120" s="1"/>
  <c r="F35" i="97"/>
  <c r="P34" i="120" s="1"/>
  <c r="C75" i="97"/>
  <c r="C74" i="120" s="1"/>
  <c r="D80" i="97"/>
  <c r="F79" i="120" s="1"/>
  <c r="D11" i="97"/>
  <c r="F9" i="120" s="1"/>
  <c r="E75" i="97"/>
  <c r="M74" i="120" s="1"/>
  <c r="C36" i="97"/>
  <c r="C35" i="120" s="1"/>
  <c r="H91" i="97"/>
  <c r="F95" i="97"/>
  <c r="P94" i="120" s="1"/>
  <c r="C95" i="97"/>
  <c r="C94" i="120" s="1"/>
  <c r="P116" i="120"/>
  <c r="D85" i="97"/>
  <c r="F84" i="120" s="1"/>
  <c r="G20" i="97"/>
  <c r="F96" i="97"/>
  <c r="P95" i="120" s="1"/>
  <c r="D59" i="97"/>
  <c r="F58" i="120" s="1"/>
  <c r="F34" i="97"/>
  <c r="P33" i="120" s="1"/>
  <c r="H34" i="97"/>
  <c r="G56" i="97"/>
  <c r="G81" i="97"/>
  <c r="H83" i="97"/>
  <c r="F114" i="120"/>
  <c r="C90" i="97"/>
  <c r="C89" i="120" s="1"/>
  <c r="E89" i="120" s="1"/>
  <c r="C94" i="97"/>
  <c r="C93" i="120" s="1"/>
  <c r="E93" i="120" s="1"/>
  <c r="C49" i="97"/>
  <c r="C48" i="120" s="1"/>
  <c r="E48" i="120" s="1"/>
  <c r="F81" i="97"/>
  <c r="P80" i="120" s="1"/>
  <c r="F94" i="97"/>
  <c r="P93" i="120" s="1"/>
  <c r="H59" i="97"/>
  <c r="F59" i="97"/>
  <c r="P58" i="120" s="1"/>
  <c r="C81" i="97"/>
  <c r="C80" i="120" s="1"/>
  <c r="E80" i="120" s="1"/>
  <c r="F80" i="97"/>
  <c r="P79" i="120" s="1"/>
  <c r="E69" i="97"/>
  <c r="M68" i="120" s="1"/>
  <c r="G82" i="97"/>
  <c r="F63" i="97"/>
  <c r="P62" i="120" s="1"/>
  <c r="C56" i="97"/>
  <c r="C55" i="120" s="1"/>
  <c r="E55" i="120" s="1"/>
  <c r="F112" i="120"/>
  <c r="D65" i="97"/>
  <c r="F64" i="120" s="1"/>
  <c r="G78" i="97"/>
  <c r="D87" i="97"/>
  <c r="F86" i="120" s="1"/>
  <c r="H55" i="97"/>
  <c r="H36" i="97"/>
  <c r="D34" i="97"/>
  <c r="F33" i="120" s="1"/>
  <c r="G38" i="97"/>
  <c r="D94" i="97"/>
  <c r="F93" i="120" s="1"/>
  <c r="D13" i="97"/>
  <c r="F11" i="120" s="1"/>
  <c r="G25" i="97"/>
  <c r="D44" i="97"/>
  <c r="F43" i="120" s="1"/>
  <c r="F117" i="120"/>
  <c r="C80" i="97"/>
  <c r="C79" i="120" s="1"/>
  <c r="D63" i="97"/>
  <c r="F62" i="120" s="1"/>
  <c r="G26" i="97"/>
  <c r="C89" i="97"/>
  <c r="C88" i="120" s="1"/>
  <c r="E88" i="120" s="1"/>
  <c r="H77" i="97"/>
  <c r="G83" i="97"/>
  <c r="H43" i="97"/>
  <c r="D15" i="97"/>
  <c r="F13" i="120" s="1"/>
  <c r="D57" i="97"/>
  <c r="F56" i="120" s="1"/>
  <c r="D29" i="97"/>
  <c r="F28" i="120" s="1"/>
  <c r="G37" i="97"/>
  <c r="C38" i="97"/>
  <c r="C37" i="120" s="1"/>
  <c r="E37" i="120" s="1"/>
  <c r="E95" i="97"/>
  <c r="M94" i="120" s="1"/>
  <c r="O94" i="120" s="1"/>
  <c r="C83" i="97"/>
  <c r="C82" i="120" s="1"/>
  <c r="E82" i="120" s="1"/>
  <c r="G95" i="97"/>
  <c r="D10" i="97"/>
  <c r="F8" i="120" s="1"/>
  <c r="D67" i="97"/>
  <c r="F66" i="120" s="1"/>
  <c r="H11" i="97"/>
  <c r="F37" i="97"/>
  <c r="P36" i="120" s="1"/>
  <c r="F118" i="120"/>
  <c r="C55" i="97"/>
  <c r="C54" i="120" s="1"/>
  <c r="F62" i="97"/>
  <c r="P61" i="120" s="1"/>
  <c r="C87" i="97"/>
  <c r="C86" i="120" s="1"/>
  <c r="E86" i="120" s="1"/>
  <c r="E63" i="97"/>
  <c r="M62" i="120" s="1"/>
  <c r="O62" i="120" s="1"/>
  <c r="E38" i="97"/>
  <c r="M37" i="120" s="1"/>
  <c r="O37" i="120" s="1"/>
  <c r="F111" i="120"/>
  <c r="P114" i="120"/>
  <c r="F77" i="97"/>
  <c r="P76" i="120" s="1"/>
  <c r="E81" i="97"/>
  <c r="M80" i="120" s="1"/>
  <c r="O80" i="120" s="1"/>
  <c r="F36" i="97"/>
  <c r="P35" i="120" s="1"/>
  <c r="E80" i="97"/>
  <c r="M79" i="120" s="1"/>
  <c r="G88" i="97"/>
  <c r="G58" i="97"/>
  <c r="E90" i="97"/>
  <c r="M89" i="120" s="1"/>
  <c r="O89" i="120" s="1"/>
  <c r="D7" i="97"/>
  <c r="F5" i="120" s="1"/>
  <c r="D83" i="97"/>
  <c r="F82" i="120" s="1"/>
  <c r="C25" i="97"/>
  <c r="C24" i="120" s="1"/>
  <c r="D95" i="97"/>
  <c r="F94" i="120" s="1"/>
  <c r="D17" i="97"/>
  <c r="F15" i="120" s="1"/>
  <c r="E58" i="97"/>
  <c r="M57" i="120" s="1"/>
  <c r="F67" i="97"/>
  <c r="P66" i="120" s="1"/>
  <c r="H80" i="97"/>
  <c r="D101" i="97"/>
  <c r="F100" i="120" s="1"/>
  <c r="F88" i="97"/>
  <c r="P87" i="120" s="1"/>
  <c r="D88" i="97"/>
  <c r="F87" i="120" s="1"/>
  <c r="E44" i="97"/>
  <c r="M43" i="120" s="1"/>
  <c r="O43" i="120" s="1"/>
  <c r="G90" i="97"/>
  <c r="F49" i="97"/>
  <c r="P48" i="120" s="1"/>
  <c r="C10" i="97"/>
  <c r="C8" i="120" s="1"/>
  <c r="E8" i="120" s="1"/>
  <c r="C98" i="97"/>
  <c r="C97" i="120" s="1"/>
  <c r="C100" i="120"/>
  <c r="C58" i="97"/>
  <c r="C57" i="120" s="1"/>
  <c r="P107" i="120"/>
  <c r="F9" i="97"/>
  <c r="P7" i="120" s="1"/>
  <c r="H95" i="97"/>
  <c r="G98" i="97"/>
  <c r="AA33" i="104" s="1"/>
  <c r="G101" i="97"/>
  <c r="F46" i="97"/>
  <c r="P45" i="120" s="1"/>
  <c r="E76" i="97"/>
  <c r="M75" i="120" s="1"/>
  <c r="F45" i="97"/>
  <c r="P44" i="120" s="1"/>
  <c r="D47" i="97"/>
  <c r="F46" i="120" s="1"/>
  <c r="C97" i="97"/>
  <c r="C96" i="120" s="1"/>
  <c r="C100" i="97"/>
  <c r="C99" i="120" s="1"/>
  <c r="H85" i="97"/>
  <c r="G99" i="97"/>
  <c r="C27" i="97"/>
  <c r="C26" i="120" s="1"/>
  <c r="C114" i="120"/>
  <c r="G43" i="97"/>
  <c r="C91" i="97"/>
  <c r="C90" i="120" s="1"/>
  <c r="E90" i="120" s="1"/>
  <c r="C113" i="120"/>
  <c r="E91" i="97"/>
  <c r="M90" i="120" s="1"/>
  <c r="F58" i="97"/>
  <c r="P57" i="120" s="1"/>
  <c r="R57" i="120" s="1"/>
  <c r="C7" i="97"/>
  <c r="C5" i="120" s="1"/>
  <c r="H46" i="97"/>
  <c r="E55" i="97"/>
  <c r="M54" i="120" s="1"/>
  <c r="O54" i="120" s="1"/>
  <c r="F25" i="97"/>
  <c r="P24" i="120" s="1"/>
  <c r="R24" i="120" s="1"/>
  <c r="F91" i="97"/>
  <c r="P90" i="120" s="1"/>
  <c r="R90" i="120" s="1"/>
  <c r="E46" i="97"/>
  <c r="M45" i="120" s="1"/>
  <c r="E56" i="97"/>
  <c r="M55" i="120" s="1"/>
  <c r="O55" i="120" s="1"/>
  <c r="G77" i="97"/>
  <c r="F83" i="97"/>
  <c r="P82" i="120" s="1"/>
  <c r="G63" i="97"/>
  <c r="C118" i="120"/>
  <c r="D84" i="97"/>
  <c r="F83" i="120" s="1"/>
  <c r="M111" i="120"/>
  <c r="C78" i="97"/>
  <c r="C77" i="120" s="1"/>
  <c r="E77" i="120" s="1"/>
  <c r="H89" i="97"/>
  <c r="D58" i="97"/>
  <c r="F57" i="120" s="1"/>
  <c r="D41" i="97"/>
  <c r="F40" i="120" s="1"/>
  <c r="E88" i="97"/>
  <c r="M87" i="120" s="1"/>
  <c r="O87" i="120" s="1"/>
  <c r="F57" i="97"/>
  <c r="P56" i="120" s="1"/>
  <c r="H67" i="97"/>
  <c r="P117" i="120"/>
  <c r="H17" i="97"/>
  <c r="G16" i="97"/>
  <c r="C115" i="120"/>
  <c r="F17" i="97"/>
  <c r="P15" i="120" s="1"/>
  <c r="H25" i="97"/>
  <c r="D43" i="97"/>
  <c r="F42" i="120" s="1"/>
  <c r="D81" i="97"/>
  <c r="F80" i="120" s="1"/>
  <c r="H90" i="97"/>
  <c r="H38" i="97"/>
  <c r="F78" i="97"/>
  <c r="P77" i="120" s="1"/>
  <c r="H10" i="97"/>
  <c r="C26" i="97"/>
  <c r="C25" i="120" s="1"/>
  <c r="E26" i="97"/>
  <c r="M25" i="120" s="1"/>
  <c r="F55" i="97"/>
  <c r="P54" i="120" s="1"/>
  <c r="H35" i="97"/>
  <c r="D46" i="97"/>
  <c r="F45" i="120" s="1"/>
  <c r="H45" i="97"/>
  <c r="M113" i="120"/>
  <c r="D36" i="97"/>
  <c r="F35" i="120" s="1"/>
  <c r="D45" i="97"/>
  <c r="F44" i="120" s="1"/>
  <c r="D91" i="97"/>
  <c r="F90" i="120" s="1"/>
  <c r="M114" i="120"/>
  <c r="G80" i="97"/>
  <c r="E94" i="97"/>
  <c r="M93" i="120" s="1"/>
  <c r="O93" i="120" s="1"/>
  <c r="H94" i="97"/>
  <c r="F65" i="97"/>
  <c r="P64" i="120" s="1"/>
  <c r="F43" i="97"/>
  <c r="P42" i="120" s="1"/>
  <c r="G57" i="97"/>
  <c r="E36" i="97"/>
  <c r="M35" i="120" s="1"/>
  <c r="E83" i="97"/>
  <c r="M82" i="120" s="1"/>
  <c r="O82" i="120" s="1"/>
  <c r="M116" i="120"/>
  <c r="E25" i="97"/>
  <c r="M24" i="120" s="1"/>
  <c r="E34" i="97"/>
  <c r="M33" i="120" s="1"/>
  <c r="H62" i="97"/>
  <c r="E16" i="97"/>
  <c r="M14" i="120" s="1"/>
  <c r="O14" i="120" s="1"/>
  <c r="H15" i="97"/>
  <c r="H65" i="97"/>
  <c r="D96" i="97"/>
  <c r="F95" i="120" s="1"/>
  <c r="P113" i="120"/>
  <c r="D62" i="97"/>
  <c r="F61" i="120" s="1"/>
  <c r="C92" i="97"/>
  <c r="C91" i="120" s="1"/>
  <c r="E91" i="120" s="1"/>
  <c r="C66" i="97"/>
  <c r="C65" i="120" s="1"/>
  <c r="F84" i="97"/>
  <c r="P83" i="120" s="1"/>
  <c r="H98" i="97"/>
  <c r="AI56" i="52" s="1"/>
  <c r="D9" i="97"/>
  <c r="F7" i="120" s="1"/>
  <c r="C46" i="97"/>
  <c r="C45" i="120" s="1"/>
  <c r="D12" i="97"/>
  <c r="F10" i="120" s="1"/>
  <c r="F44" i="97"/>
  <c r="P43" i="120" s="1"/>
  <c r="H88" i="97"/>
  <c r="E85" i="97"/>
  <c r="M84" i="120" s="1"/>
  <c r="O84" i="120" s="1"/>
  <c r="E98" i="97"/>
  <c r="E59" i="97"/>
  <c r="M58" i="120" s="1"/>
  <c r="O58" i="120" s="1"/>
  <c r="F116" i="120"/>
  <c r="E7" i="97"/>
  <c r="M5" i="120" s="1"/>
  <c r="F92" i="97"/>
  <c r="P91" i="120" s="1"/>
  <c r="H63" i="97"/>
  <c r="C71" i="97"/>
  <c r="C70" i="120" s="1"/>
  <c r="E70" i="120" s="1"/>
  <c r="G97" i="97"/>
  <c r="P112" i="120"/>
  <c r="E96" i="97"/>
  <c r="M95" i="120" s="1"/>
  <c r="G17" i="97"/>
  <c r="F82" i="97"/>
  <c r="P81" i="120" s="1"/>
  <c r="F16" i="97"/>
  <c r="P14" i="120" s="1"/>
  <c r="G27" i="97"/>
  <c r="E97" i="97"/>
  <c r="C67" i="97"/>
  <c r="C66" i="120" s="1"/>
  <c r="E66" i="120" s="1"/>
  <c r="G71" i="97"/>
  <c r="E71" i="97"/>
  <c r="M70" i="120" s="1"/>
  <c r="O70" i="120" s="1"/>
  <c r="H9" i="97"/>
  <c r="D55" i="97"/>
  <c r="F54" i="120" s="1"/>
  <c r="E78" i="97"/>
  <c r="M77" i="120" s="1"/>
  <c r="O77" i="120" s="1"/>
  <c r="F10" i="97"/>
  <c r="P8" i="120" s="1"/>
  <c r="G41" i="97"/>
  <c r="E57" i="97"/>
  <c r="M56" i="120" s="1"/>
  <c r="O56" i="120" s="1"/>
  <c r="D99" i="97"/>
  <c r="F98" i="120" s="1"/>
  <c r="F90" i="97"/>
  <c r="P89" i="120" s="1"/>
  <c r="D77" i="97"/>
  <c r="F76" i="120" s="1"/>
  <c r="F13" i="97"/>
  <c r="P11" i="120" s="1"/>
  <c r="F11" i="97"/>
  <c r="P9" i="120" s="1"/>
  <c r="G13" i="97"/>
  <c r="H84" i="97"/>
  <c r="H87" i="97"/>
  <c r="F87" i="97"/>
  <c r="P86" i="120" s="1"/>
  <c r="E22" i="97"/>
  <c r="M20" i="120" s="1"/>
  <c r="O20" i="120" s="1"/>
  <c r="G22" i="97"/>
  <c r="P111" i="120"/>
  <c r="G7" i="97"/>
  <c r="C63" i="97"/>
  <c r="C62" i="120" s="1"/>
  <c r="E62" i="120" s="1"/>
  <c r="C17" i="97"/>
  <c r="C15" i="120" s="1"/>
  <c r="C41" i="97"/>
  <c r="C40" i="120" s="1"/>
  <c r="C88" i="97"/>
  <c r="C87" i="120" s="1"/>
  <c r="E87" i="120" s="1"/>
  <c r="C22" i="97"/>
  <c r="C20" i="120" s="1"/>
  <c r="E20" i="120" s="1"/>
  <c r="G92" i="97"/>
  <c r="M118" i="120"/>
  <c r="H101" i="97"/>
  <c r="M11" i="26"/>
  <c r="F103" i="82"/>
  <c r="AF134" i="26"/>
  <c r="AC134" i="26"/>
  <c r="AD134" i="26" s="1"/>
  <c r="J105" i="26"/>
  <c r="K105" i="26" s="1"/>
  <c r="AC11" i="26"/>
  <c r="AD11" i="26" s="1"/>
  <c r="C92" i="26"/>
  <c r="D92" i="26" s="1"/>
  <c r="J92" i="26"/>
  <c r="K92" i="26" s="1"/>
  <c r="AF131" i="26"/>
  <c r="AC131" i="26"/>
  <c r="AD131" i="26" s="1"/>
  <c r="AF126" i="26"/>
  <c r="AC126" i="26"/>
  <c r="AD126" i="26" s="1"/>
  <c r="AF117" i="26"/>
  <c r="AC117" i="26"/>
  <c r="AD117" i="26" s="1"/>
  <c r="AF15" i="26"/>
  <c r="AC15" i="26"/>
  <c r="AD15" i="26" s="1"/>
  <c r="F136" i="82"/>
  <c r="L137" i="73" s="1"/>
  <c r="J120" i="26"/>
  <c r="K120" i="26" s="1"/>
  <c r="J88" i="26"/>
  <c r="K88" i="26" s="1"/>
  <c r="J9" i="26"/>
  <c r="K9" i="26" s="1"/>
  <c r="J8" i="26"/>
  <c r="K8" i="26" s="1"/>
  <c r="AF13" i="26"/>
  <c r="AC13" i="26"/>
  <c r="AD13" i="26" s="1"/>
  <c r="AF18" i="26"/>
  <c r="AC18" i="26"/>
  <c r="AD18" i="26" s="1"/>
  <c r="AF99" i="26"/>
  <c r="AC99" i="26"/>
  <c r="AD99" i="26" s="1"/>
  <c r="AF23" i="26"/>
  <c r="AC23" i="26"/>
  <c r="AD23" i="26" s="1"/>
  <c r="AF88" i="26"/>
  <c r="AC88" i="26"/>
  <c r="AD88" i="26" s="1"/>
  <c r="M97" i="26"/>
  <c r="J97" i="26"/>
  <c r="K97" i="26" s="1"/>
  <c r="C102" i="26"/>
  <c r="D102" i="26" s="1"/>
  <c r="AC102" i="26"/>
  <c r="AD102" i="26" s="1"/>
  <c r="F140" i="82"/>
  <c r="L141" i="73" s="1"/>
  <c r="J124" i="26"/>
  <c r="K124" i="26" s="1"/>
  <c r="C31" i="26"/>
  <c r="D31" i="26" s="1"/>
  <c r="AC31" i="26"/>
  <c r="M138" i="26"/>
  <c r="J138" i="26"/>
  <c r="K138" i="26" s="1"/>
  <c r="AF130" i="26"/>
  <c r="AC130" i="26"/>
  <c r="AD130" i="26" s="1"/>
  <c r="C75" i="26"/>
  <c r="D75" i="26" s="1"/>
  <c r="AC75" i="26"/>
  <c r="AD75" i="26" s="1"/>
  <c r="C30" i="26"/>
  <c r="D30" i="26" s="1"/>
  <c r="AC30" i="26"/>
  <c r="AD30" i="26" s="1"/>
  <c r="J48" i="26"/>
  <c r="K48" i="26" s="1"/>
  <c r="AF12" i="26"/>
  <c r="AC12" i="26"/>
  <c r="AD12" i="26" s="1"/>
  <c r="AF132" i="26"/>
  <c r="AC132" i="26"/>
  <c r="AD132" i="26" s="1"/>
  <c r="M84" i="26"/>
  <c r="J84" i="26"/>
  <c r="K84" i="26" s="1"/>
  <c r="AF137" i="26"/>
  <c r="AC137" i="26"/>
  <c r="AD137" i="26" s="1"/>
  <c r="J90" i="26"/>
  <c r="K90" i="26" s="1"/>
  <c r="AF111" i="26"/>
  <c r="AC111" i="26"/>
  <c r="AD111" i="26" s="1"/>
  <c r="AF93" i="26"/>
  <c r="AC93" i="26"/>
  <c r="AD93" i="26" s="1"/>
  <c r="M37" i="26"/>
  <c r="J37" i="26"/>
  <c r="K37" i="26" s="1"/>
  <c r="AF136" i="26"/>
  <c r="AC136" i="26"/>
  <c r="AD136" i="26" s="1"/>
  <c r="AF76" i="26"/>
  <c r="AC76" i="26"/>
  <c r="AD76" i="26" s="1"/>
  <c r="AF114" i="26"/>
  <c r="AC114" i="26"/>
  <c r="AD114" i="26" s="1"/>
  <c r="AF10" i="26"/>
  <c r="AC10" i="26"/>
  <c r="AD10" i="26" s="1"/>
  <c r="AF21" i="26"/>
  <c r="AC21" i="26"/>
  <c r="AD21" i="26" s="1"/>
  <c r="C96" i="26"/>
  <c r="D96" i="26" s="1"/>
  <c r="AC96" i="26"/>
  <c r="AD96" i="26" s="1"/>
  <c r="C19" i="26"/>
  <c r="D19" i="26" s="1"/>
  <c r="J19" i="26"/>
  <c r="K19" i="26" s="1"/>
  <c r="J101" i="26"/>
  <c r="K101" i="26" s="1"/>
  <c r="F79" i="82"/>
  <c r="J93" i="26"/>
  <c r="K93" i="26" s="1"/>
  <c r="J23" i="26"/>
  <c r="K23" i="26" s="1"/>
  <c r="M13" i="26"/>
  <c r="J13" i="26"/>
  <c r="K13" i="26" s="1"/>
  <c r="AF121" i="26"/>
  <c r="AC121" i="26"/>
  <c r="AD121" i="26" s="1"/>
  <c r="AF94" i="26"/>
  <c r="AC94" i="26"/>
  <c r="AD94" i="26" s="1"/>
  <c r="AF91" i="26"/>
  <c r="AC91" i="26"/>
  <c r="AD91" i="26" s="1"/>
  <c r="AF8" i="26"/>
  <c r="AC8" i="26"/>
  <c r="AD8" i="26" s="1"/>
  <c r="F120" i="82"/>
  <c r="L121" i="73" s="1"/>
  <c r="C115" i="26"/>
  <c r="D115" i="26" s="1"/>
  <c r="F137" i="82"/>
  <c r="L138" i="73" s="1"/>
  <c r="J121" i="26"/>
  <c r="K121" i="26" s="1"/>
  <c r="AF14" i="26"/>
  <c r="AC14" i="26"/>
  <c r="AD14" i="26" s="1"/>
  <c r="AF100" i="26"/>
  <c r="AC100" i="26"/>
  <c r="AD100" i="26" s="1"/>
  <c r="AF25" i="26"/>
  <c r="AC25" i="26"/>
  <c r="AD25" i="26" s="1"/>
  <c r="AF7" i="26"/>
  <c r="AF113" i="26"/>
  <c r="AC113" i="26"/>
  <c r="AD113" i="26" s="1"/>
  <c r="J15" i="26"/>
  <c r="K15" i="26" s="1"/>
  <c r="C73" i="26"/>
  <c r="D73" i="26" s="1"/>
  <c r="AC73" i="26"/>
  <c r="AD73" i="26" s="1"/>
  <c r="M26" i="26"/>
  <c r="J26" i="26"/>
  <c r="K26" i="26" s="1"/>
  <c r="C108" i="26"/>
  <c r="D108" i="26" s="1"/>
  <c r="AC108" i="26"/>
  <c r="AD108" i="26" s="1"/>
  <c r="M18" i="26"/>
  <c r="M99" i="26"/>
  <c r="M83" i="26"/>
  <c r="AF108" i="26"/>
  <c r="AF107" i="26"/>
  <c r="AF104" i="26"/>
  <c r="M96" i="26"/>
  <c r="M107" i="26"/>
  <c r="M101" i="26"/>
  <c r="BE82" i="26"/>
  <c r="AF62" i="26"/>
  <c r="M104" i="26"/>
  <c r="M110" i="26"/>
  <c r="M85" i="26"/>
  <c r="C106" i="26"/>
  <c r="D106" i="26" s="1"/>
  <c r="F107" i="82"/>
  <c r="M106" i="26"/>
  <c r="AF110" i="26"/>
  <c r="C95" i="26"/>
  <c r="D95" i="26" s="1"/>
  <c r="AF109" i="26"/>
  <c r="AF67" i="26"/>
  <c r="AF84" i="26"/>
  <c r="AF105" i="26"/>
  <c r="C137" i="26"/>
  <c r="D137" i="26" s="1"/>
  <c r="C131" i="26"/>
  <c r="D131" i="26" s="1"/>
  <c r="M103" i="26"/>
  <c r="M108" i="26"/>
  <c r="M86" i="26"/>
  <c r="C130" i="26"/>
  <c r="D130" i="26" s="1"/>
  <c r="AF92" i="26"/>
  <c r="M92" i="26"/>
  <c r="AF52" i="26"/>
  <c r="AF56" i="26"/>
  <c r="M124" i="26"/>
  <c r="AF29" i="26"/>
  <c r="M48" i="26"/>
  <c r="AF39" i="26"/>
  <c r="AF49" i="26"/>
  <c r="C126" i="26"/>
  <c r="D126" i="26" s="1"/>
  <c r="C136" i="26"/>
  <c r="D136" i="26" s="1"/>
  <c r="C138" i="26"/>
  <c r="D138" i="26" s="1"/>
  <c r="C132" i="26"/>
  <c r="D132" i="26" s="1"/>
  <c r="C134" i="26"/>
  <c r="D134" i="26" s="1"/>
  <c r="AF68" i="26"/>
  <c r="BC80" i="26"/>
  <c r="M80" i="26" s="1"/>
  <c r="C67" i="26"/>
  <c r="D67" i="26" s="1"/>
  <c r="M109" i="26"/>
  <c r="BC105" i="26"/>
  <c r="M105" i="26" s="1"/>
  <c r="AF50" i="26"/>
  <c r="AF59" i="26"/>
  <c r="AF74" i="26"/>
  <c r="C124" i="26"/>
  <c r="D124" i="26" s="1"/>
  <c r="AF26" i="26"/>
  <c r="M28" i="26"/>
  <c r="AF71" i="26"/>
  <c r="AF73" i="26"/>
  <c r="AF124" i="26"/>
  <c r="AF38" i="26"/>
  <c r="L33" i="73"/>
  <c r="C11" i="26"/>
  <c r="D11" i="26" s="1"/>
  <c r="AF41" i="26"/>
  <c r="AF78" i="26"/>
  <c r="L64" i="73"/>
  <c r="L46" i="73"/>
  <c r="L61" i="73"/>
  <c r="L24" i="73"/>
  <c r="I52" i="82"/>
  <c r="C12" i="26"/>
  <c r="D12" i="26" s="1"/>
  <c r="AF123" i="26"/>
  <c r="M12" i="26"/>
  <c r="L87" i="73"/>
  <c r="M17" i="26"/>
  <c r="M21" i="26"/>
  <c r="C21" i="26"/>
  <c r="D21" i="26" s="1"/>
  <c r="BC41" i="26"/>
  <c r="M41" i="26" s="1"/>
  <c r="BC70" i="26"/>
  <c r="M70" i="26"/>
  <c r="BC50" i="26"/>
  <c r="M50" i="26" s="1"/>
  <c r="BC30" i="26"/>
  <c r="M30" i="26" s="1"/>
  <c r="BE30" i="26"/>
  <c r="AF30" i="26" s="1"/>
  <c r="BC62" i="26"/>
  <c r="M62" i="26" s="1"/>
  <c r="BE75" i="26"/>
  <c r="AF75" i="26" s="1"/>
  <c r="BC61" i="26"/>
  <c r="M61" i="26" s="1"/>
  <c r="BE81" i="26"/>
  <c r="AF81" i="26" s="1"/>
  <c r="BE65" i="26"/>
  <c r="AF65" i="26" s="1"/>
  <c r="BE42" i="26"/>
  <c r="AF42" i="26" s="1"/>
  <c r="BC29" i="26"/>
  <c r="M29" i="26"/>
  <c r="BE31" i="26"/>
  <c r="AF31" i="26"/>
  <c r="BE47" i="26"/>
  <c r="AF47" i="26"/>
  <c r="BE45" i="26"/>
  <c r="AF45" i="26" s="1"/>
  <c r="BC75" i="26"/>
  <c r="M75" i="26" s="1"/>
  <c r="BE66" i="26"/>
  <c r="AF66" i="26"/>
  <c r="BE46" i="26"/>
  <c r="AF46" i="26"/>
  <c r="BE48" i="26"/>
  <c r="AF48" i="26"/>
  <c r="BE37" i="26"/>
  <c r="AF37" i="26" s="1"/>
  <c r="BC57" i="26"/>
  <c r="M57" i="26" s="1"/>
  <c r="BC43" i="26"/>
  <c r="M43" i="26" s="1"/>
  <c r="BE54" i="26"/>
  <c r="AF54" i="26" s="1"/>
  <c r="BE32" i="26"/>
  <c r="AF32" i="26" s="1"/>
  <c r="BC59" i="26"/>
  <c r="M59" i="26" s="1"/>
  <c r="BE33" i="26"/>
  <c r="AF33" i="26" s="1"/>
  <c r="BC32" i="26"/>
  <c r="M32" i="26" s="1"/>
  <c r="BC49" i="26"/>
  <c r="M49" i="26" s="1"/>
  <c r="BE69" i="26"/>
  <c r="AF69" i="26" s="1"/>
  <c r="BC36" i="26"/>
  <c r="M36" i="26"/>
  <c r="BC44" i="26"/>
  <c r="M44" i="26" s="1"/>
  <c r="BE103" i="26"/>
  <c r="AF103" i="26" s="1"/>
  <c r="BE106" i="26"/>
  <c r="AF106" i="26" s="1"/>
  <c r="F113" i="82"/>
  <c r="F104" i="82"/>
  <c r="F18" i="82"/>
  <c r="L26" i="73" s="1"/>
  <c r="F15" i="82"/>
  <c r="L15" i="73" s="1"/>
  <c r="F61" i="82"/>
  <c r="F83" i="82"/>
  <c r="F54" i="82"/>
  <c r="F92" i="82"/>
  <c r="F70" i="82"/>
  <c r="F11" i="82"/>
  <c r="L11" i="73" s="1"/>
  <c r="F46" i="82"/>
  <c r="M112" i="26"/>
  <c r="F97" i="82"/>
  <c r="L98" i="73" s="1"/>
  <c r="F28" i="82"/>
  <c r="L37" i="73" s="1"/>
  <c r="F43" i="82"/>
  <c r="F34" i="82"/>
  <c r="F41" i="82"/>
  <c r="L53" i="73" s="1"/>
  <c r="F57" i="82"/>
  <c r="F50" i="82"/>
  <c r="F39" i="82"/>
  <c r="I51" i="82"/>
  <c r="L34" i="82"/>
  <c r="K71" i="82"/>
  <c r="L57" i="73"/>
  <c r="I48" i="82"/>
  <c r="K17" i="82"/>
  <c r="J95" i="82"/>
  <c r="K58" i="82"/>
  <c r="I9" i="82"/>
  <c r="K9" i="82"/>
  <c r="J88" i="82"/>
  <c r="P89" i="73" s="1"/>
  <c r="AS89" i="73" s="1"/>
  <c r="BF89" i="73" s="1"/>
  <c r="K26" i="82"/>
  <c r="J48" i="82"/>
  <c r="L95" i="82"/>
  <c r="I81" i="82"/>
  <c r="L84" i="82"/>
  <c r="K80" i="82"/>
  <c r="J17" i="82"/>
  <c r="L66" i="82"/>
  <c r="L19" i="82"/>
  <c r="K72" i="82"/>
  <c r="I71" i="82"/>
  <c r="I15" i="82"/>
  <c r="J81" i="82"/>
  <c r="I17" i="82"/>
  <c r="J58" i="82"/>
  <c r="P59" i="73" s="1"/>
  <c r="AS59" i="73" s="1"/>
  <c r="BF59" i="73" s="1"/>
  <c r="K11" i="82"/>
  <c r="I25" i="82"/>
  <c r="J63" i="82"/>
  <c r="P64" i="73" s="1"/>
  <c r="AS64" i="73" s="1"/>
  <c r="BF64" i="73" s="1"/>
  <c r="L70" i="82"/>
  <c r="L11" i="82"/>
  <c r="J21" i="82"/>
  <c r="K82" i="82"/>
  <c r="J89" i="82"/>
  <c r="J86" i="82"/>
  <c r="L58" i="82"/>
  <c r="I72" i="82"/>
  <c r="P73" i="73" s="1"/>
  <c r="AS73" i="73" s="1"/>
  <c r="BF73" i="73" s="1"/>
  <c r="J90" i="82"/>
  <c r="K47" i="82"/>
  <c r="K22" i="82"/>
  <c r="K65" i="82"/>
  <c r="J15" i="82"/>
  <c r="L8" i="82"/>
  <c r="J38" i="82"/>
  <c r="L23" i="82"/>
  <c r="J23" i="82"/>
  <c r="P24" i="73" s="1"/>
  <c r="AS24" i="73" s="1"/>
  <c r="BF24" i="73" s="1"/>
  <c r="K46" i="82"/>
  <c r="L64" i="82"/>
  <c r="I26" i="82"/>
  <c r="P27" i="73" s="1"/>
  <c r="AS27" i="73" s="1"/>
  <c r="BF27" i="73" s="1"/>
  <c r="L65" i="82"/>
  <c r="K7" i="82"/>
  <c r="L25" i="82"/>
  <c r="I82" i="82"/>
  <c r="J119" i="82"/>
  <c r="K93" i="82"/>
  <c r="K59" i="82"/>
  <c r="L92" i="82"/>
  <c r="J93" i="82"/>
  <c r="L59" i="82"/>
  <c r="K38" i="82"/>
  <c r="L10" i="82"/>
  <c r="J70" i="82"/>
  <c r="J42" i="82"/>
  <c r="L62" i="82"/>
  <c r="I80" i="82"/>
  <c r="P81" i="73" s="1"/>
  <c r="AS81" i="73" s="1"/>
  <c r="K62" i="82"/>
  <c r="J71" i="82"/>
  <c r="L93" i="82"/>
  <c r="K19" i="82"/>
  <c r="J73" i="82"/>
  <c r="K66" i="82"/>
  <c r="L88" i="82"/>
  <c r="L52" i="82"/>
  <c r="K21" i="82"/>
  <c r="K43" i="82"/>
  <c r="I33" i="82"/>
  <c r="P34" i="73" s="1"/>
  <c r="AS34" i="73" s="1"/>
  <c r="K52" i="82"/>
  <c r="F58" i="82"/>
  <c r="L35" i="82"/>
  <c r="K83" i="82"/>
  <c r="K69" i="82"/>
  <c r="K50" i="82"/>
  <c r="K40" i="82"/>
  <c r="J122" i="82"/>
  <c r="J137" i="82"/>
  <c r="L15" i="82"/>
  <c r="L33" i="82"/>
  <c r="L85" i="82"/>
  <c r="F44" i="82"/>
  <c r="K70" i="82"/>
  <c r="J53" i="82"/>
  <c r="K12" i="82"/>
  <c r="L55" i="82"/>
  <c r="L51" i="82"/>
  <c r="I43" i="82"/>
  <c r="K37" i="82"/>
  <c r="K29" i="82"/>
  <c r="L118" i="82"/>
  <c r="L133" i="82"/>
  <c r="J120" i="82"/>
  <c r="J135" i="82"/>
  <c r="P136" i="73" s="1"/>
  <c r="K24" i="82"/>
  <c r="K25" i="82"/>
  <c r="J30" i="82"/>
  <c r="P31" i="73" s="1"/>
  <c r="AS31" i="73" s="1"/>
  <c r="BF31" i="73" s="1"/>
  <c r="J49" i="82"/>
  <c r="I68" i="82"/>
  <c r="L18" i="82"/>
  <c r="L122" i="82"/>
  <c r="F74" i="82"/>
  <c r="L42" i="82"/>
  <c r="J52" i="82"/>
  <c r="K64" i="82"/>
  <c r="K121" i="82"/>
  <c r="K136" i="82"/>
  <c r="F127" i="82"/>
  <c r="L128" i="73" s="1"/>
  <c r="K88" i="82"/>
  <c r="L12" i="82"/>
  <c r="H117" i="15"/>
  <c r="K130" i="82"/>
  <c r="F13" i="82"/>
  <c r="L13" i="73" s="1"/>
  <c r="J37" i="82"/>
  <c r="J29" i="82"/>
  <c r="L131" i="82"/>
  <c r="L41" i="82"/>
  <c r="K122" i="82"/>
  <c r="K137" i="82"/>
  <c r="C114" i="26"/>
  <c r="D114" i="26" s="1"/>
  <c r="F128" i="82"/>
  <c r="L129" i="73" s="1"/>
  <c r="J129" i="82"/>
  <c r="P130" i="73" s="1"/>
  <c r="AS130" i="73" s="1"/>
  <c r="BF130" i="73" s="1"/>
  <c r="L100" i="82"/>
  <c r="L123" i="82"/>
  <c r="L138" i="82"/>
  <c r="J51" i="82"/>
  <c r="L89" i="82"/>
  <c r="I131" i="82"/>
  <c r="P132" i="73" s="1"/>
  <c r="AS132" i="73" s="1"/>
  <c r="BF132" i="73" s="1"/>
  <c r="K113" i="82"/>
  <c r="K125" i="82"/>
  <c r="J84" i="82"/>
  <c r="J91" i="82"/>
  <c r="P92" i="73" s="1"/>
  <c r="AS92" i="73" s="1"/>
  <c r="BF92" i="73" s="1"/>
  <c r="K30" i="82"/>
  <c r="L128" i="82"/>
  <c r="J97" i="82"/>
  <c r="AE34" i="104" s="1"/>
  <c r="J94" i="82"/>
  <c r="J13" i="82"/>
  <c r="P13" i="73" s="1"/>
  <c r="AS13" i="73" s="1"/>
  <c r="G104" i="82"/>
  <c r="G105" i="82"/>
  <c r="G106" i="82"/>
  <c r="G128" i="82"/>
  <c r="M129" i="73" s="1"/>
  <c r="G124" i="82"/>
  <c r="G126" i="82"/>
  <c r="M127" i="73" s="1"/>
  <c r="G140" i="82"/>
  <c r="G134" i="82"/>
  <c r="M135" i="73" s="1"/>
  <c r="G125" i="82"/>
  <c r="M126" i="73" s="1"/>
  <c r="G136" i="82"/>
  <c r="M137" i="73" s="1"/>
  <c r="G130" i="82"/>
  <c r="M131" i="73" s="1"/>
  <c r="G139" i="82"/>
  <c r="G129" i="82"/>
  <c r="M130" i="73" s="1"/>
  <c r="G29" i="82"/>
  <c r="M30" i="73" s="1"/>
  <c r="L78" i="82"/>
  <c r="K73" i="82"/>
  <c r="J61" i="82"/>
  <c r="J54" i="82"/>
  <c r="P55" i="73" s="1"/>
  <c r="AS55" i="73" s="1"/>
  <c r="BF55" i="73" s="1"/>
  <c r="J114" i="82"/>
  <c r="J126" i="82"/>
  <c r="AA44" i="52" s="1"/>
  <c r="E114" i="15"/>
  <c r="I125" i="82"/>
  <c r="P126" i="73" s="1"/>
  <c r="AS126" i="73" s="1"/>
  <c r="BF126" i="73" s="1"/>
  <c r="F88" i="82"/>
  <c r="L112" i="82"/>
  <c r="L124" i="82"/>
  <c r="F37" i="82"/>
  <c r="F29" i="82"/>
  <c r="L30" i="73" s="1"/>
  <c r="I93" i="82"/>
  <c r="I121" i="82"/>
  <c r="I136" i="82"/>
  <c r="F53" i="82"/>
  <c r="L54" i="73" s="1"/>
  <c r="J47" i="82"/>
  <c r="J92" i="82"/>
  <c r="L49" i="82"/>
  <c r="L90" i="82"/>
  <c r="I19" i="82"/>
  <c r="P19" i="73" s="1"/>
  <c r="AS19" i="73" s="1"/>
  <c r="BF19" i="73" s="1"/>
  <c r="J112" i="82"/>
  <c r="J124" i="82"/>
  <c r="L75" i="82"/>
  <c r="F112" i="82"/>
  <c r="F124" i="82"/>
  <c r="K28" i="82"/>
  <c r="K55" i="82"/>
  <c r="F55" i="82"/>
  <c r="L67" i="73" s="1"/>
  <c r="K117" i="82"/>
  <c r="K132" i="82"/>
  <c r="L74" i="82"/>
  <c r="I112" i="82"/>
  <c r="I124" i="82"/>
  <c r="I18" i="82"/>
  <c r="L87" i="82"/>
  <c r="K85" i="82"/>
  <c r="K127" i="82"/>
  <c r="I122" i="82"/>
  <c r="I137" i="82"/>
  <c r="K119" i="82"/>
  <c r="K134" i="82"/>
  <c r="L81" i="73"/>
  <c r="J78" i="82"/>
  <c r="F51" i="82"/>
  <c r="L52" i="73" s="1"/>
  <c r="K13" i="82"/>
  <c r="L26" i="82"/>
  <c r="I41" i="82"/>
  <c r="P42" i="73" s="1"/>
  <c r="AS42" i="73" s="1"/>
  <c r="BF42" i="73" s="1"/>
  <c r="K16" i="82"/>
  <c r="C123" i="26"/>
  <c r="D123" i="26" s="1"/>
  <c r="F84" i="82"/>
  <c r="L85" i="73" s="1"/>
  <c r="K95" i="82"/>
  <c r="F114" i="82"/>
  <c r="F126" i="82"/>
  <c r="L77" i="82"/>
  <c r="J116" i="82"/>
  <c r="J130" i="82"/>
  <c r="P131" i="73" s="1"/>
  <c r="F123" i="82"/>
  <c r="F138" i="82"/>
  <c r="L139" i="73" s="1"/>
  <c r="F117" i="82"/>
  <c r="F132" i="82"/>
  <c r="L133" i="73" s="1"/>
  <c r="I20" i="82"/>
  <c r="L67" i="82"/>
  <c r="J75" i="82"/>
  <c r="P76" i="73" s="1"/>
  <c r="AS76" i="73" s="1"/>
  <c r="BF76" i="73" s="1"/>
  <c r="F118" i="82"/>
  <c r="F133" i="82"/>
  <c r="L134" i="73" s="1"/>
  <c r="F30" i="82"/>
  <c r="F129" i="82"/>
  <c r="L130" i="73" s="1"/>
  <c r="J87" i="82"/>
  <c r="L82" i="82"/>
  <c r="I74" i="82"/>
  <c r="I21" i="82"/>
  <c r="F22" i="82"/>
  <c r="L23" i="73" s="1"/>
  <c r="K68" i="82"/>
  <c r="L91" i="82"/>
  <c r="F68" i="82"/>
  <c r="L83" i="73" s="1"/>
  <c r="L47" i="82"/>
  <c r="F33" i="82"/>
  <c r="L34" i="73" s="1"/>
  <c r="L94" i="82"/>
  <c r="J16" i="82"/>
  <c r="P16" i="73" s="1"/>
  <c r="AS16" i="73" s="1"/>
  <c r="BF16" i="73" s="1"/>
  <c r="J115" i="82"/>
  <c r="J128" i="82"/>
  <c r="K120" i="82"/>
  <c r="K135" i="82"/>
  <c r="I70" i="82"/>
  <c r="J43" i="82"/>
  <c r="J9" i="82"/>
  <c r="I42" i="82"/>
  <c r="L54" i="82"/>
  <c r="J66" i="82"/>
  <c r="J74" i="82"/>
  <c r="L73" i="82"/>
  <c r="J35" i="82"/>
  <c r="L48" i="82"/>
  <c r="J28" i="82"/>
  <c r="P29" i="73" s="1"/>
  <c r="AS29" i="73" s="1"/>
  <c r="BF29" i="73" s="1"/>
  <c r="E124" i="15"/>
  <c r="J138" i="82"/>
  <c r="P139" i="73" s="1"/>
  <c r="AS139" i="73" s="1"/>
  <c r="BF139" i="73" s="1"/>
  <c r="L9" i="82"/>
  <c r="K118" i="82"/>
  <c r="K133" i="82"/>
  <c r="K27" i="82"/>
  <c r="K20" i="82"/>
  <c r="F95" i="82"/>
  <c r="L96" i="73" s="1"/>
  <c r="J67" i="82"/>
  <c r="F77" i="82"/>
  <c r="L78" i="73" s="1"/>
  <c r="L80" i="82"/>
  <c r="K44" i="82"/>
  <c r="J59" i="82"/>
  <c r="J50" i="82"/>
  <c r="F119" i="82"/>
  <c r="F134" i="82"/>
  <c r="L135" i="73" s="1"/>
  <c r="I78" i="82"/>
  <c r="J118" i="82"/>
  <c r="J133" i="82"/>
  <c r="L71" i="82"/>
  <c r="F81" i="82"/>
  <c r="F72" i="82"/>
  <c r="L73" i="73" s="1"/>
  <c r="K61" i="82"/>
  <c r="K87" i="82"/>
  <c r="L16" i="82"/>
  <c r="I119" i="82"/>
  <c r="I134" i="82"/>
  <c r="P135" i="73" s="1"/>
  <c r="AS135" i="73" s="1"/>
  <c r="BF135" i="73" s="1"/>
  <c r="L119" i="82"/>
  <c r="L134" i="82"/>
  <c r="I94" i="82"/>
  <c r="J77" i="82"/>
  <c r="P78" i="73" s="1"/>
  <c r="AS78" i="73" s="1"/>
  <c r="BF78" i="73" s="1"/>
  <c r="I115" i="82"/>
  <c r="I128" i="82"/>
  <c r="J85" i="82"/>
  <c r="P86" i="73" s="1"/>
  <c r="AS86" i="73" s="1"/>
  <c r="BF86" i="73" s="1"/>
  <c r="I12" i="82"/>
  <c r="P12" i="73" s="1"/>
  <c r="AS12" i="73" s="1"/>
  <c r="BF12" i="73" s="1"/>
  <c r="J82" i="82"/>
  <c r="J68" i="82"/>
  <c r="L127" i="82"/>
  <c r="L68" i="82"/>
  <c r="J25" i="82"/>
  <c r="L30" i="82"/>
  <c r="L36" i="82"/>
  <c r="J83" i="82"/>
  <c r="L24" i="82"/>
  <c r="J40" i="82"/>
  <c r="P41" i="73" s="1"/>
  <c r="AS41" i="73" s="1"/>
  <c r="BF41" i="73" s="1"/>
  <c r="K81" i="82"/>
  <c r="L100" i="73"/>
  <c r="L77" i="73"/>
  <c r="L79" i="73"/>
  <c r="L43" i="73"/>
  <c r="L72" i="73"/>
  <c r="E94" i="86"/>
  <c r="E97" i="86"/>
  <c r="F71" i="17"/>
  <c r="G119" i="82"/>
  <c r="AF95" i="26"/>
  <c r="AF118" i="26"/>
  <c r="F7" i="82"/>
  <c r="C44" i="26"/>
  <c r="D44" i="26" s="1"/>
  <c r="C78" i="26"/>
  <c r="D78" i="26" s="1"/>
  <c r="C29" i="26"/>
  <c r="D29" i="26" s="1"/>
  <c r="H25" i="15"/>
  <c r="M95" i="26"/>
  <c r="C84" i="26"/>
  <c r="D84" i="26" s="1"/>
  <c r="F73" i="82"/>
  <c r="AF96" i="26"/>
  <c r="C77" i="17"/>
  <c r="I76" i="82"/>
  <c r="P77" i="73" s="1"/>
  <c r="AS77" i="73" s="1"/>
  <c r="H72" i="98"/>
  <c r="O70" i="125" s="1"/>
  <c r="Q70" i="125" s="1"/>
  <c r="O56" i="98"/>
  <c r="T54" i="125" s="1"/>
  <c r="V54" i="125" s="1"/>
  <c r="F65" i="82"/>
  <c r="H43" i="98"/>
  <c r="O41" i="125" s="1"/>
  <c r="Q41" i="125" s="1"/>
  <c r="C71" i="17"/>
  <c r="C83" i="17"/>
  <c r="H15" i="98"/>
  <c r="O12" i="125" s="1"/>
  <c r="Q12" i="125" s="1"/>
  <c r="H45" i="98"/>
  <c r="O43" i="125" s="1"/>
  <c r="Q43" i="125" s="1"/>
  <c r="F21" i="17"/>
  <c r="H22" i="98"/>
  <c r="E14" i="15"/>
  <c r="M110" i="120"/>
  <c r="C14" i="17"/>
  <c r="H14" i="98"/>
  <c r="O11" i="125" s="1"/>
  <c r="Q11" i="125" s="1"/>
  <c r="F14" i="17"/>
  <c r="C88" i="17"/>
  <c r="F83" i="17"/>
  <c r="F55" i="17"/>
  <c r="F13" i="17"/>
  <c r="F40" i="82"/>
  <c r="E13" i="15"/>
  <c r="O69" i="98"/>
  <c r="T67" i="125" s="1"/>
  <c r="V67" i="125" s="1"/>
  <c r="H14" i="15"/>
  <c r="C43" i="26"/>
  <c r="D43" i="26" s="1"/>
  <c r="H20" i="98"/>
  <c r="H19" i="98"/>
  <c r="O16" i="125" s="1"/>
  <c r="Q16" i="125" s="1"/>
  <c r="C84" i="98"/>
  <c r="H84" i="98" s="1"/>
  <c r="H19" i="15"/>
  <c r="C13" i="17"/>
  <c r="F42" i="17"/>
  <c r="H20" i="15"/>
  <c r="E44" i="98"/>
  <c r="H44" i="98" s="1"/>
  <c r="O42" i="125" s="1"/>
  <c r="Q42" i="125" s="1"/>
  <c r="L53" i="82"/>
  <c r="H35" i="98"/>
  <c r="O33" i="125" s="1"/>
  <c r="Q33" i="125" s="1"/>
  <c r="C13" i="98"/>
  <c r="H13" i="98" s="1"/>
  <c r="O10" i="125" s="1"/>
  <c r="Q10" i="125" s="1"/>
  <c r="C12" i="17"/>
  <c r="H13" i="15"/>
  <c r="E20" i="15"/>
  <c r="C43" i="17"/>
  <c r="C19" i="17"/>
  <c r="F12" i="17"/>
  <c r="E19" i="15"/>
  <c r="H15" i="15"/>
  <c r="F85" i="17"/>
  <c r="F19" i="17"/>
  <c r="C18" i="17"/>
  <c r="C42" i="17"/>
  <c r="I84" i="82"/>
  <c r="I96" i="82"/>
  <c r="I87" i="82"/>
  <c r="H55" i="98"/>
  <c r="O53" i="125" s="1"/>
  <c r="Q53" i="125" s="1"/>
  <c r="F54" i="17"/>
  <c r="C34" i="17"/>
  <c r="C110" i="120"/>
  <c r="C109" i="17"/>
  <c r="C75" i="17"/>
  <c r="H69" i="98"/>
  <c r="C44" i="17"/>
  <c r="H48" i="98"/>
  <c r="O46" i="125" s="1"/>
  <c r="Q46" i="125" s="1"/>
  <c r="F63" i="17"/>
  <c r="F45" i="17"/>
  <c r="H105" i="98"/>
  <c r="O103" i="125" s="1"/>
  <c r="Q103" i="125" s="1"/>
  <c r="F109" i="17"/>
  <c r="F75" i="17"/>
  <c r="J44" i="82"/>
  <c r="P45" i="73" s="1"/>
  <c r="AS45" i="73" s="1"/>
  <c r="BF45" i="73" s="1"/>
  <c r="E76" i="98"/>
  <c r="H76" i="98" s="1"/>
  <c r="O74" i="125" s="1"/>
  <c r="Q74" i="125" s="1"/>
  <c r="E21" i="15"/>
  <c r="V76" i="52"/>
  <c r="C21" i="17"/>
  <c r="C40" i="26"/>
  <c r="D40" i="26" s="1"/>
  <c r="H26" i="15"/>
  <c r="H22" i="15"/>
  <c r="E22" i="15"/>
  <c r="F44" i="17"/>
  <c r="E25" i="15"/>
  <c r="E56" i="98"/>
  <c r="H56" i="98" s="1"/>
  <c r="O54" i="125" s="1"/>
  <c r="Q54" i="125" s="1"/>
  <c r="C68" i="17"/>
  <c r="K74" i="82"/>
  <c r="F47" i="17"/>
  <c r="E26" i="15"/>
  <c r="C30" i="17"/>
  <c r="C47" i="17"/>
  <c r="C67" i="17"/>
  <c r="C45" i="17"/>
  <c r="E32" i="98"/>
  <c r="F31" i="17"/>
  <c r="C26" i="17"/>
  <c r="J24" i="82"/>
  <c r="P25" i="73" s="1"/>
  <c r="AS25" i="73" s="1"/>
  <c r="BF25" i="73" s="1"/>
  <c r="E18" i="98"/>
  <c r="H18" i="98" s="1"/>
  <c r="O15" i="125" s="1"/>
  <c r="Q15" i="125" s="1"/>
  <c r="E18" i="15"/>
  <c r="H27" i="98"/>
  <c r="O24" i="125" s="1"/>
  <c r="Q24" i="125" s="1"/>
  <c r="F26" i="98"/>
  <c r="H26" i="98" s="1"/>
  <c r="O23" i="125" s="1"/>
  <c r="Q23" i="125" s="1"/>
  <c r="K54" i="82"/>
  <c r="I67" i="82"/>
  <c r="F68" i="17"/>
  <c r="C32" i="98"/>
  <c r="C31" i="17"/>
  <c r="C72" i="26"/>
  <c r="D72" i="26" s="1"/>
  <c r="F26" i="17"/>
  <c r="E87" i="98"/>
  <c r="F86" i="17"/>
  <c r="C20" i="17"/>
  <c r="D87" i="98"/>
  <c r="C86" i="17"/>
  <c r="C25" i="17"/>
  <c r="H18" i="15"/>
  <c r="C55" i="17"/>
  <c r="I46" i="82"/>
  <c r="F20" i="17"/>
  <c r="M18" i="46"/>
  <c r="N18" i="46" s="1"/>
  <c r="AA45" i="52"/>
  <c r="E26" i="109"/>
  <c r="D24" i="109" s="1"/>
  <c r="C128" i="17"/>
  <c r="F125" i="17"/>
  <c r="K116" i="82"/>
  <c r="E121" i="15"/>
  <c r="O13" i="98"/>
  <c r="T10" i="125" s="1"/>
  <c r="V10" i="125" s="1"/>
  <c r="N10" i="24"/>
  <c r="O10" i="24" s="1"/>
  <c r="E143" i="86"/>
  <c r="C126" i="17"/>
  <c r="H121" i="98"/>
  <c r="O119" i="125" s="1"/>
  <c r="Q119" i="125" s="1"/>
  <c r="C112" i="17"/>
  <c r="H122" i="98"/>
  <c r="O120" i="125" s="1"/>
  <c r="Q120" i="125" s="1"/>
  <c r="F126" i="17"/>
  <c r="H111" i="98"/>
  <c r="C125" i="17"/>
  <c r="E120" i="15"/>
  <c r="H120" i="15"/>
  <c r="C115" i="17"/>
  <c r="H107" i="15"/>
  <c r="H108" i="98"/>
  <c r="F128" i="17"/>
  <c r="D124" i="98"/>
  <c r="H124" i="98" s="1"/>
  <c r="F112" i="17"/>
  <c r="H123" i="15"/>
  <c r="K109" i="82"/>
  <c r="H110" i="15"/>
  <c r="H121" i="15"/>
  <c r="I109" i="82"/>
  <c r="F115" i="17"/>
  <c r="E123" i="15"/>
  <c r="C104" i="26"/>
  <c r="D104" i="26" s="1"/>
  <c r="O78" i="98"/>
  <c r="T76" i="125" s="1"/>
  <c r="V76" i="125" s="1"/>
  <c r="AA94" i="52"/>
  <c r="C21" i="46"/>
  <c r="D21" i="46" s="1"/>
  <c r="O122" i="98"/>
  <c r="T120" i="125" s="1"/>
  <c r="V120" i="125" s="1"/>
  <c r="M94" i="26"/>
  <c r="O46" i="98"/>
  <c r="T44" i="125" s="1"/>
  <c r="V44" i="125" s="1"/>
  <c r="I112" i="98"/>
  <c r="P110" i="125" s="1"/>
  <c r="O31" i="98"/>
  <c r="T28" i="125" s="1"/>
  <c r="V28" i="125" s="1"/>
  <c r="O45" i="98"/>
  <c r="T43" i="125" s="1"/>
  <c r="V43" i="125" s="1"/>
  <c r="E82" i="98"/>
  <c r="E8" i="15"/>
  <c r="I7" i="82"/>
  <c r="P7" i="73" s="1"/>
  <c r="AS7" i="73" s="1"/>
  <c r="BF7" i="73" s="1"/>
  <c r="O93" i="98"/>
  <c r="T91" i="125" s="1"/>
  <c r="V91" i="125" s="1"/>
  <c r="O108" i="98"/>
  <c r="F38" i="17"/>
  <c r="O102" i="98"/>
  <c r="T100" i="125" s="1"/>
  <c r="V100" i="125" s="1"/>
  <c r="O68" i="98"/>
  <c r="T66" i="125" s="1"/>
  <c r="V66" i="125" s="1"/>
  <c r="O35" i="98"/>
  <c r="T33" i="125" s="1"/>
  <c r="V33" i="125" s="1"/>
  <c r="O87" i="98"/>
  <c r="T85" i="125" s="1"/>
  <c r="V85" i="125" s="1"/>
  <c r="U24" i="24"/>
  <c r="V24" i="24" s="1"/>
  <c r="O15" i="98"/>
  <c r="T12" i="125" s="1"/>
  <c r="V12" i="125" s="1"/>
  <c r="O106" i="98"/>
  <c r="T104" i="125" s="1"/>
  <c r="V104" i="125" s="1"/>
  <c r="O64" i="98"/>
  <c r="T62" i="125" s="1"/>
  <c r="V62" i="125" s="1"/>
  <c r="C32" i="17"/>
  <c r="AJ26" i="104"/>
  <c r="U18" i="24"/>
  <c r="V18" i="24" s="1"/>
  <c r="N23" i="24"/>
  <c r="O23" i="24" s="1"/>
  <c r="F94" i="17"/>
  <c r="AA83" i="52"/>
  <c r="F120" i="17"/>
  <c r="O30" i="98"/>
  <c r="T27" i="125" s="1"/>
  <c r="V27" i="125" s="1"/>
  <c r="N28" i="24"/>
  <c r="O28" i="24" s="1"/>
  <c r="U28" i="24"/>
  <c r="V28" i="24" s="1"/>
  <c r="H46" i="98"/>
  <c r="O44" i="125" s="1"/>
  <c r="Q44" i="125" s="1"/>
  <c r="C121" i="17"/>
  <c r="O18" i="98"/>
  <c r="T15" i="125" s="1"/>
  <c r="V15" i="125" s="1"/>
  <c r="O41" i="98"/>
  <c r="T39" i="125" s="1"/>
  <c r="V39" i="125" s="1"/>
  <c r="Y89" i="52"/>
  <c r="U22" i="24"/>
  <c r="V22" i="24" s="1"/>
  <c r="C28" i="26"/>
  <c r="D28" i="26" s="1"/>
  <c r="M50" i="52"/>
  <c r="N50" i="52" s="1"/>
  <c r="C69" i="26"/>
  <c r="D69" i="26" s="1"/>
  <c r="F100" i="82"/>
  <c r="P50" i="52"/>
  <c r="Q50" i="52" s="1"/>
  <c r="Y74" i="52"/>
  <c r="AJ30" i="104"/>
  <c r="AB93" i="52"/>
  <c r="M77" i="52"/>
  <c r="M76" i="52"/>
  <c r="S77" i="52"/>
  <c r="J50" i="52"/>
  <c r="K50" i="52" s="1"/>
  <c r="N19" i="24"/>
  <c r="O19" i="24" s="1"/>
  <c r="AF122" i="26"/>
  <c r="AF120" i="26"/>
  <c r="M19" i="26"/>
  <c r="F28" i="17"/>
  <c r="M116" i="26"/>
  <c r="O44" i="98"/>
  <c r="T42" i="125" s="1"/>
  <c r="V42" i="125" s="1"/>
  <c r="C45" i="26"/>
  <c r="D45" i="26" s="1"/>
  <c r="M90" i="26"/>
  <c r="C118" i="17"/>
  <c r="C59" i="26"/>
  <c r="D59" i="26" s="1"/>
  <c r="W45" i="46"/>
  <c r="X45" i="46" s="1"/>
  <c r="U26" i="24"/>
  <c r="V26" i="24" s="1"/>
  <c r="N18" i="24"/>
  <c r="O18" i="24" s="1"/>
  <c r="H28" i="15"/>
  <c r="M24" i="26"/>
  <c r="M22" i="26"/>
  <c r="M120" i="26"/>
  <c r="N26" i="24"/>
  <c r="O26" i="24" s="1"/>
  <c r="N20" i="24"/>
  <c r="O20" i="24" s="1"/>
  <c r="U20" i="24"/>
  <c r="V20" i="24" s="1"/>
  <c r="U12" i="24"/>
  <c r="V12" i="24" s="1"/>
  <c r="N12" i="24"/>
  <c r="O12" i="24" s="1"/>
  <c r="U13" i="24"/>
  <c r="V13" i="24" s="1"/>
  <c r="N21" i="24"/>
  <c r="O21" i="24" s="1"/>
  <c r="U10" i="24"/>
  <c r="V10" i="24" s="1"/>
  <c r="N14" i="24"/>
  <c r="O14" i="24" s="1"/>
  <c r="H21" i="98"/>
  <c r="O18" i="125" s="1"/>
  <c r="Q18" i="125" s="1"/>
  <c r="F46" i="17"/>
  <c r="F108" i="17"/>
  <c r="I96" i="98"/>
  <c r="P94" i="125" s="1"/>
  <c r="F122" i="17"/>
  <c r="E29" i="98"/>
  <c r="K47" i="52"/>
  <c r="Y47" i="52" s="1"/>
  <c r="C33" i="26"/>
  <c r="D33" i="26" s="1"/>
  <c r="C100" i="26"/>
  <c r="D100" i="26" s="1"/>
  <c r="AF90" i="26"/>
  <c r="O89" i="98"/>
  <c r="T87" i="125" s="1"/>
  <c r="V87" i="125" s="1"/>
  <c r="M122" i="26"/>
  <c r="C16" i="26"/>
  <c r="D16" i="26" s="1"/>
  <c r="C65" i="26"/>
  <c r="D65" i="26" s="1"/>
  <c r="M16" i="26"/>
  <c r="M100" i="26"/>
  <c r="C80" i="26"/>
  <c r="D80" i="26" s="1"/>
  <c r="AF102" i="26"/>
  <c r="AF119" i="26"/>
  <c r="M15" i="26"/>
  <c r="AF9" i="26"/>
  <c r="AF17" i="26"/>
  <c r="C99" i="26"/>
  <c r="D99" i="26" s="1"/>
  <c r="O22" i="98"/>
  <c r="O72" i="98"/>
  <c r="T70" i="125" s="1"/>
  <c r="V70" i="125" s="1"/>
  <c r="O19" i="98"/>
  <c r="M60" i="52"/>
  <c r="N60" i="52" s="1"/>
  <c r="M98" i="26"/>
  <c r="M121" i="26"/>
  <c r="C60" i="26"/>
  <c r="D60" i="26" s="1"/>
  <c r="C116" i="26"/>
  <c r="D116" i="26" s="1"/>
  <c r="AF116" i="26"/>
  <c r="C81" i="26"/>
  <c r="D81" i="26" s="1"/>
  <c r="C97" i="26"/>
  <c r="D97" i="26" s="1"/>
  <c r="AF97" i="26"/>
  <c r="C89" i="26"/>
  <c r="D89" i="26" s="1"/>
  <c r="AF89" i="26"/>
  <c r="C22" i="26"/>
  <c r="D22" i="26" s="1"/>
  <c r="AF22" i="26"/>
  <c r="M93" i="26"/>
  <c r="C32" i="26"/>
  <c r="D32" i="26" s="1"/>
  <c r="C112" i="26"/>
  <c r="D112" i="26" s="1"/>
  <c r="AF112" i="26"/>
  <c r="C24" i="26"/>
  <c r="D24" i="26" s="1"/>
  <c r="AF24" i="26"/>
  <c r="C101" i="26"/>
  <c r="D101" i="26" s="1"/>
  <c r="AF101" i="26"/>
  <c r="AF98" i="26"/>
  <c r="M119" i="26"/>
  <c r="M6" i="26"/>
  <c r="AF19" i="26"/>
  <c r="C61" i="26"/>
  <c r="D61" i="26" s="1"/>
  <c r="C76" i="26"/>
  <c r="D76" i="26" s="1"/>
  <c r="G71" i="82"/>
  <c r="AF87" i="26"/>
  <c r="AF16" i="26"/>
  <c r="I93" i="98"/>
  <c r="P91" i="125" s="1"/>
  <c r="N29" i="24"/>
  <c r="O29" i="24" s="1"/>
  <c r="O74" i="98"/>
  <c r="T72" i="125" s="1"/>
  <c r="V72" i="125" s="1"/>
  <c r="F36" i="17"/>
  <c r="U17" i="24"/>
  <c r="V17" i="24" s="1"/>
  <c r="O14" i="98"/>
  <c r="T11" i="125" s="1"/>
  <c r="V11" i="125" s="1"/>
  <c r="C73" i="17"/>
  <c r="O71" i="98"/>
  <c r="T69" i="125" s="1"/>
  <c r="V69" i="125" s="1"/>
  <c r="O121" i="98"/>
  <c r="T119" i="125" s="1"/>
  <c r="V119" i="125" s="1"/>
  <c r="O26" i="98"/>
  <c r="T23" i="125" s="1"/>
  <c r="V23" i="125" s="1"/>
  <c r="AJ27" i="104"/>
  <c r="H104" i="98"/>
  <c r="G8" i="82"/>
  <c r="M8" i="73" s="1"/>
  <c r="G66" i="82"/>
  <c r="M8" i="26"/>
  <c r="G116" i="82"/>
  <c r="G56" i="82"/>
  <c r="C94" i="26"/>
  <c r="D94" i="26" s="1"/>
  <c r="G46" i="82"/>
  <c r="C52" i="26"/>
  <c r="D52" i="26" s="1"/>
  <c r="C38" i="26"/>
  <c r="D38" i="26" s="1"/>
  <c r="G18" i="82"/>
  <c r="G107" i="82"/>
  <c r="C71" i="26"/>
  <c r="D71" i="26" s="1"/>
  <c r="G34" i="82"/>
  <c r="G49" i="82"/>
  <c r="M10" i="26"/>
  <c r="G39" i="82"/>
  <c r="G84" i="82"/>
  <c r="G52" i="82"/>
  <c r="O8" i="98"/>
  <c r="T5" i="125" s="1"/>
  <c r="V5" i="125" s="1"/>
  <c r="O82" i="98"/>
  <c r="T80" i="125" s="1"/>
  <c r="V80" i="125" s="1"/>
  <c r="O76" i="98"/>
  <c r="T74" i="125" s="1"/>
  <c r="V74" i="125" s="1"/>
  <c r="J60" i="52"/>
  <c r="AF34" i="104"/>
  <c r="AE94" i="52"/>
  <c r="AI28" i="104"/>
  <c r="AI29" i="104"/>
  <c r="AD93" i="52"/>
  <c r="AE93" i="52"/>
  <c r="AA93" i="52"/>
  <c r="AE83" i="52"/>
  <c r="AJ29" i="104"/>
  <c r="AI25" i="104"/>
  <c r="AH93" i="52"/>
  <c r="AI33" i="104"/>
  <c r="G87" i="97"/>
  <c r="G86" i="97"/>
  <c r="C85" i="97"/>
  <c r="C84" i="120" s="1"/>
  <c r="E84" i="120" s="1"/>
  <c r="C86" i="97"/>
  <c r="C85" i="120" s="1"/>
  <c r="E87" i="97"/>
  <c r="M86" i="120" s="1"/>
  <c r="O86" i="120" s="1"/>
  <c r="E86" i="97"/>
  <c r="M85" i="120" s="1"/>
  <c r="O85" i="120" s="1"/>
  <c r="F82" i="17"/>
  <c r="F52" i="17"/>
  <c r="H17" i="98"/>
  <c r="O14" i="125" s="1"/>
  <c r="Q14" i="125" s="1"/>
  <c r="C108" i="17"/>
  <c r="C118" i="98"/>
  <c r="H118" i="98" s="1"/>
  <c r="H16" i="98"/>
  <c r="O13" i="125" s="1"/>
  <c r="Q13" i="125" s="1"/>
  <c r="C119" i="17"/>
  <c r="C28" i="46"/>
  <c r="D28" i="46" s="1"/>
  <c r="J123" i="82"/>
  <c r="E116" i="15"/>
  <c r="O21" i="98"/>
  <c r="T18" i="125" s="1"/>
  <c r="V18" i="125" s="1"/>
  <c r="G102" i="82"/>
  <c r="E117" i="98"/>
  <c r="C35" i="26"/>
  <c r="D35" i="26" s="1"/>
  <c r="C70" i="26"/>
  <c r="D70" i="26" s="1"/>
  <c r="C25" i="26"/>
  <c r="D25" i="26" s="1"/>
  <c r="M115" i="26"/>
  <c r="E117" i="15"/>
  <c r="C90" i="98"/>
  <c r="H90" i="98" s="1"/>
  <c r="O88" i="125" s="1"/>
  <c r="Q88" i="125" s="1"/>
  <c r="C15" i="17"/>
  <c r="E23" i="15"/>
  <c r="C36" i="26"/>
  <c r="D36" i="26" s="1"/>
  <c r="C8" i="26"/>
  <c r="D8" i="26" s="1"/>
  <c r="G86" i="82"/>
  <c r="G81" i="82"/>
  <c r="G88" i="82"/>
  <c r="G41" i="82"/>
  <c r="G85" i="82"/>
  <c r="G17" i="82"/>
  <c r="G37" i="82"/>
  <c r="G108" i="82"/>
  <c r="G110" i="82"/>
  <c r="G65" i="82"/>
  <c r="G60" i="82"/>
  <c r="G67" i="82"/>
  <c r="M68" i="73" s="1"/>
  <c r="G20" i="82"/>
  <c r="G87" i="82"/>
  <c r="G25" i="82"/>
  <c r="G68" i="82"/>
  <c r="G99" i="82"/>
  <c r="G28" i="82"/>
  <c r="G55" i="82"/>
  <c r="G36" i="82"/>
  <c r="G30" i="82"/>
  <c r="M31" i="73" s="1"/>
  <c r="G45" i="82"/>
  <c r="G79" i="82"/>
  <c r="G73" i="82"/>
  <c r="L7" i="26"/>
  <c r="G44" i="82"/>
  <c r="G72" i="82"/>
  <c r="G93" i="82"/>
  <c r="G47" i="82"/>
  <c r="G78" i="82"/>
  <c r="G80" i="82"/>
  <c r="G53" i="82"/>
  <c r="G70" i="82"/>
  <c r="G96" i="82"/>
  <c r="M91" i="26"/>
  <c r="G57" i="82"/>
  <c r="G27" i="82"/>
  <c r="N9" i="24"/>
  <c r="O9" i="24" s="1"/>
  <c r="H8" i="15"/>
  <c r="H106" i="15"/>
  <c r="E125" i="15"/>
  <c r="F16" i="17"/>
  <c r="F32" i="17"/>
  <c r="H120" i="98"/>
  <c r="O118" i="125" s="1"/>
  <c r="Q118" i="125" s="1"/>
  <c r="D126" i="98"/>
  <c r="H126" i="98" s="1"/>
  <c r="O124" i="125" s="1"/>
  <c r="Q124" i="125" s="1"/>
  <c r="O109" i="98"/>
  <c r="H79" i="98"/>
  <c r="O77" i="125" s="1"/>
  <c r="Q77" i="125" s="1"/>
  <c r="F117" i="17"/>
  <c r="N16" i="24"/>
  <c r="O16" i="24" s="1"/>
  <c r="C28" i="17"/>
  <c r="O29" i="98"/>
  <c r="T26" i="125" s="1"/>
  <c r="V26" i="125" s="1"/>
  <c r="F48" i="17"/>
  <c r="C16" i="17"/>
  <c r="F53" i="17"/>
  <c r="F78" i="17"/>
  <c r="F124" i="17"/>
  <c r="F56" i="17"/>
  <c r="C56" i="17"/>
  <c r="C10" i="26"/>
  <c r="D10" i="26" s="1"/>
  <c r="G54" i="82"/>
  <c r="F17" i="82"/>
  <c r="F23" i="17"/>
  <c r="C17" i="26"/>
  <c r="D17" i="26" s="1"/>
  <c r="N13" i="24"/>
  <c r="O13" i="24" s="1"/>
  <c r="U29" i="24"/>
  <c r="V29" i="24" s="1"/>
  <c r="C23" i="17"/>
  <c r="O25" i="98"/>
  <c r="C24" i="17"/>
  <c r="AD94" i="52"/>
  <c r="N17" i="24"/>
  <c r="O17" i="24" s="1"/>
  <c r="O10" i="98"/>
  <c r="T7" i="125" s="1"/>
  <c r="V7" i="125" s="1"/>
  <c r="O107" i="98"/>
  <c r="T105" i="125" s="1"/>
  <c r="V105" i="125" s="1"/>
  <c r="F101" i="17"/>
  <c r="O118" i="98"/>
  <c r="D114" i="98"/>
  <c r="H114" i="98" s="1"/>
  <c r="O112" i="125" s="1"/>
  <c r="Q112" i="125" s="1"/>
  <c r="F22" i="17"/>
  <c r="O105" i="98"/>
  <c r="T103" i="125" s="1"/>
  <c r="V103" i="125" s="1"/>
  <c r="H118" i="15"/>
  <c r="M37" i="46"/>
  <c r="N37" i="46" s="1"/>
  <c r="U25" i="24"/>
  <c r="V25" i="24" s="1"/>
  <c r="O43" i="98"/>
  <c r="T41" i="125" s="1"/>
  <c r="V41" i="125" s="1"/>
  <c r="Z93" i="52"/>
  <c r="H97" i="98"/>
  <c r="O95" i="125" s="1"/>
  <c r="Q95" i="125" s="1"/>
  <c r="C82" i="98"/>
  <c r="O126" i="98"/>
  <c r="T124" i="125" s="1"/>
  <c r="V124" i="125" s="1"/>
  <c r="O55" i="98"/>
  <c r="T53" i="125" s="1"/>
  <c r="V53" i="125" s="1"/>
  <c r="F8" i="17"/>
  <c r="W54" i="46"/>
  <c r="X54" i="46" s="1"/>
  <c r="U9" i="24"/>
  <c r="V9" i="24" s="1"/>
  <c r="N27" i="24"/>
  <c r="O27" i="24" s="1"/>
  <c r="O95" i="98"/>
  <c r="T93" i="125" s="1"/>
  <c r="V93" i="125" s="1"/>
  <c r="O16" i="98"/>
  <c r="T13" i="125" s="1"/>
  <c r="V13" i="125" s="1"/>
  <c r="G94" i="97"/>
  <c r="M54" i="46"/>
  <c r="N54" i="46" s="1"/>
  <c r="AI27" i="104"/>
  <c r="O86" i="98"/>
  <c r="T84" i="125" s="1"/>
  <c r="V84" i="125" s="1"/>
  <c r="O112" i="98"/>
  <c r="O116" i="98"/>
  <c r="AC93" i="52"/>
  <c r="H23" i="15"/>
  <c r="H114" i="15"/>
  <c r="O97" i="98"/>
  <c r="T95" i="125" s="1"/>
  <c r="V95" i="125" s="1"/>
  <c r="C113" i="26"/>
  <c r="D113" i="26" s="1"/>
  <c r="M113" i="26"/>
  <c r="O120" i="98"/>
  <c r="T118" i="125" s="1"/>
  <c r="V118" i="125" s="1"/>
  <c r="D54" i="98"/>
  <c r="H54" i="98" s="1"/>
  <c r="O52" i="125" s="1"/>
  <c r="Q52" i="125" s="1"/>
  <c r="K35" i="82"/>
  <c r="H109" i="15"/>
  <c r="AI45" i="52"/>
  <c r="O77" i="98"/>
  <c r="T75" i="125" s="1"/>
  <c r="V75" i="125" s="1"/>
  <c r="E113" i="15"/>
  <c r="E17" i="15"/>
  <c r="H113" i="15"/>
  <c r="O53" i="98"/>
  <c r="O57" i="98"/>
  <c r="T55" i="125" s="1"/>
  <c r="V55" i="125" s="1"/>
  <c r="N25" i="24"/>
  <c r="O25" i="24" s="1"/>
  <c r="O114" i="98"/>
  <c r="F118" i="17"/>
  <c r="C54" i="26"/>
  <c r="D54" i="26" s="1"/>
  <c r="F29" i="17"/>
  <c r="E37" i="98"/>
  <c r="E110" i="98"/>
  <c r="G83" i="82"/>
  <c r="M42" i="46"/>
  <c r="N42" i="46" s="1"/>
  <c r="O124" i="98"/>
  <c r="T122" i="125" s="1"/>
  <c r="V122" i="125" s="1"/>
  <c r="O33" i="98"/>
  <c r="T30" i="125" s="1"/>
  <c r="V30" i="125" s="1"/>
  <c r="C37" i="17"/>
  <c r="K107" i="82"/>
  <c r="F73" i="17"/>
  <c r="W56" i="46"/>
  <c r="X56" i="46" s="1"/>
  <c r="M140" i="46"/>
  <c r="N140" i="46" s="1"/>
  <c r="C24" i="46"/>
  <c r="D24" i="46" s="1"/>
  <c r="O83" i="98"/>
  <c r="T81" i="125" s="1"/>
  <c r="V81" i="125" s="1"/>
  <c r="W9" i="46"/>
  <c r="X9" i="46" s="1"/>
  <c r="H74" i="98"/>
  <c r="C96" i="17"/>
  <c r="F9" i="17"/>
  <c r="C123" i="17"/>
  <c r="I22" i="82"/>
  <c r="P23" i="73" s="1"/>
  <c r="M139" i="46"/>
  <c r="N139" i="46" s="1"/>
  <c r="E16" i="15"/>
  <c r="C94" i="17"/>
  <c r="H47" i="98"/>
  <c r="I27" i="82"/>
  <c r="P28" i="73" s="1"/>
  <c r="AS28" i="73" s="1"/>
  <c r="BF28" i="73" s="1"/>
  <c r="E61" i="98"/>
  <c r="C73" i="98"/>
  <c r="H73" i="98" s="1"/>
  <c r="O71" i="125" s="1"/>
  <c r="Q71" i="125" s="1"/>
  <c r="H119" i="98"/>
  <c r="I55" i="82"/>
  <c r="P56" i="73" s="1"/>
  <c r="AS56" i="73" s="1"/>
  <c r="BF56" i="73" s="1"/>
  <c r="C64" i="17"/>
  <c r="O119" i="98"/>
  <c r="C37" i="46"/>
  <c r="D37" i="46" s="1"/>
  <c r="O110" i="98"/>
  <c r="O115" i="98"/>
  <c r="H10" i="15"/>
  <c r="O90" i="98"/>
  <c r="T88" i="125" s="1"/>
  <c r="V88" i="125" s="1"/>
  <c r="E10" i="97"/>
  <c r="M8" i="120" s="1"/>
  <c r="O8" i="120" s="1"/>
  <c r="W43" i="46"/>
  <c r="X43" i="46" s="1"/>
  <c r="G46" i="97"/>
  <c r="O36" i="98"/>
  <c r="T34" i="125" s="1"/>
  <c r="V34" i="125" s="1"/>
  <c r="AI30" i="104"/>
  <c r="F119" i="17"/>
  <c r="E19" i="97"/>
  <c r="M17" i="120" s="1"/>
  <c r="S17" i="120" s="1"/>
  <c r="V17" i="120" s="1"/>
  <c r="E41" i="97"/>
  <c r="M40" i="120" s="1"/>
  <c r="C40" i="46"/>
  <c r="D40" i="46" s="1"/>
  <c r="H119" i="15"/>
  <c r="O32" i="98"/>
  <c r="T29" i="125" s="1"/>
  <c r="V29" i="125" s="1"/>
  <c r="C142" i="46"/>
  <c r="D142" i="46" s="1"/>
  <c r="H17" i="15"/>
  <c r="U30" i="24"/>
  <c r="V30" i="24" s="1"/>
  <c r="O47" i="98"/>
  <c r="T45" i="125" s="1"/>
  <c r="V45" i="125" s="1"/>
  <c r="O60" i="98"/>
  <c r="T58" i="125" s="1"/>
  <c r="V58" i="125" s="1"/>
  <c r="H24" i="15"/>
  <c r="F72" i="17"/>
  <c r="AI26" i="104"/>
  <c r="C76" i="17"/>
  <c r="F93" i="17"/>
  <c r="W62" i="46"/>
  <c r="X62" i="46" s="1"/>
  <c r="C33" i="46"/>
  <c r="D33" i="46" s="1"/>
  <c r="W17" i="46"/>
  <c r="X17" i="46" s="1"/>
  <c r="O24" i="98"/>
  <c r="O79" i="98"/>
  <c r="T77" i="125" s="1"/>
  <c r="V77" i="125" s="1"/>
  <c r="H9" i="15"/>
  <c r="H29" i="15"/>
  <c r="G75" i="82"/>
  <c r="C57" i="26"/>
  <c r="D57" i="26" s="1"/>
  <c r="C87" i="26"/>
  <c r="D87" i="26" s="1"/>
  <c r="C105" i="26"/>
  <c r="D105" i="26" s="1"/>
  <c r="M111" i="26"/>
  <c r="G58" i="82"/>
  <c r="G111" i="82"/>
  <c r="M87" i="26"/>
  <c r="G113" i="82"/>
  <c r="C46" i="26"/>
  <c r="D46" i="26" s="1"/>
  <c r="M9" i="26"/>
  <c r="C83" i="26"/>
  <c r="D83" i="26" s="1"/>
  <c r="G117" i="82"/>
  <c r="M123" i="26"/>
  <c r="C56" i="26"/>
  <c r="D56" i="26" s="1"/>
  <c r="C42" i="26"/>
  <c r="D42" i="26" s="1"/>
  <c r="G61" i="82"/>
  <c r="G33" i="82"/>
  <c r="C39" i="26"/>
  <c r="D39" i="26" s="1"/>
  <c r="G40" i="82"/>
  <c r="C9" i="26"/>
  <c r="D9" i="26" s="1"/>
  <c r="C41" i="26"/>
  <c r="D41" i="26" s="1"/>
  <c r="G42" i="82"/>
  <c r="M117" i="26"/>
  <c r="F19" i="82"/>
  <c r="L19" i="73" s="1"/>
  <c r="C18" i="26"/>
  <c r="D18" i="26" s="1"/>
  <c r="M89" i="26"/>
  <c r="C86" i="26"/>
  <c r="D86" i="26" s="1"/>
  <c r="C91" i="26"/>
  <c r="D91" i="26" s="1"/>
  <c r="G38" i="82"/>
  <c r="M25" i="26"/>
  <c r="C68" i="26"/>
  <c r="D68" i="26" s="1"/>
  <c r="F26" i="82"/>
  <c r="C37" i="26"/>
  <c r="D37" i="26" s="1"/>
  <c r="C82" i="26"/>
  <c r="D82" i="26" s="1"/>
  <c r="G43" i="82"/>
  <c r="C14" i="26"/>
  <c r="D14" i="26" s="1"/>
  <c r="M102" i="26"/>
  <c r="M114" i="26"/>
  <c r="G91" i="82"/>
  <c r="C90" i="26"/>
  <c r="D90" i="26" s="1"/>
  <c r="G62" i="82"/>
  <c r="F115" i="82"/>
  <c r="G48" i="82"/>
  <c r="C13" i="26"/>
  <c r="D13" i="26" s="1"/>
  <c r="C47" i="26"/>
  <c r="D47" i="26" s="1"/>
  <c r="C51" i="26"/>
  <c r="D51" i="26" s="1"/>
  <c r="G50" i="82"/>
  <c r="C118" i="26"/>
  <c r="D118" i="26" s="1"/>
  <c r="C121" i="26"/>
  <c r="D121" i="26" s="1"/>
  <c r="H77" i="98"/>
  <c r="O75" i="125" s="1"/>
  <c r="Q75" i="125" s="1"/>
  <c r="C50" i="17"/>
  <c r="E39" i="98"/>
  <c r="K92" i="82"/>
  <c r="E113" i="98"/>
  <c r="C46" i="17"/>
  <c r="O38" i="98"/>
  <c r="T36" i="125" s="1"/>
  <c r="V36" i="125" s="1"/>
  <c r="W42" i="46"/>
  <c r="X42" i="46" s="1"/>
  <c r="K51" i="82"/>
  <c r="C24" i="98"/>
  <c r="H24" i="98" s="1"/>
  <c r="F59" i="17"/>
  <c r="F37" i="17"/>
  <c r="C26" i="26"/>
  <c r="D26" i="26" s="1"/>
  <c r="E27" i="15"/>
  <c r="M51" i="46"/>
  <c r="N51" i="46" s="1"/>
  <c r="U15" i="24"/>
  <c r="V15" i="24" s="1"/>
  <c r="C58" i="26"/>
  <c r="D58" i="26" s="1"/>
  <c r="G59" i="82"/>
  <c r="C29" i="98"/>
  <c r="M43" i="46"/>
  <c r="N43" i="46" s="1"/>
  <c r="C48" i="26"/>
  <c r="D48" i="26" s="1"/>
  <c r="F124" i="120"/>
  <c r="G10" i="82"/>
  <c r="O85" i="98"/>
  <c r="T83" i="125" s="1"/>
  <c r="V83" i="125" s="1"/>
  <c r="L141" i="46"/>
  <c r="D137" i="97" s="1"/>
  <c r="C62" i="46"/>
  <c r="D62" i="46" s="1"/>
  <c r="M23" i="26"/>
  <c r="F62" i="17"/>
  <c r="O59" i="98"/>
  <c r="T57" i="125" s="1"/>
  <c r="V57" i="125" s="1"/>
  <c r="C51" i="98"/>
  <c r="C120" i="17"/>
  <c r="W37" i="46"/>
  <c r="X37" i="46" s="1"/>
  <c r="F123" i="17"/>
  <c r="O48" i="98"/>
  <c r="T46" i="125" s="1"/>
  <c r="V46" i="125" s="1"/>
  <c r="E119" i="15"/>
  <c r="C23" i="26"/>
  <c r="D23" i="26" s="1"/>
  <c r="F108" i="82"/>
  <c r="C107" i="26"/>
  <c r="D107" i="26" s="1"/>
  <c r="M14" i="26"/>
  <c r="M55" i="46"/>
  <c r="N55" i="46" s="1"/>
  <c r="H10" i="98"/>
  <c r="O7" i="125" s="1"/>
  <c r="Q7" i="125" s="1"/>
  <c r="C79" i="17"/>
  <c r="O63" i="98"/>
  <c r="T61" i="125" s="1"/>
  <c r="V61" i="125" s="1"/>
  <c r="C53" i="26"/>
  <c r="D53" i="26" s="1"/>
  <c r="M56" i="46"/>
  <c r="N56" i="46" s="1"/>
  <c r="F76" i="17"/>
  <c r="C27" i="26"/>
  <c r="D27" i="26" s="1"/>
  <c r="E89" i="97"/>
  <c r="M88" i="120" s="1"/>
  <c r="O88" i="120" s="1"/>
  <c r="W57" i="46"/>
  <c r="X57" i="46" s="1"/>
  <c r="C6" i="46"/>
  <c r="D6" i="46" s="1"/>
  <c r="F69" i="82"/>
  <c r="E52" i="97"/>
  <c r="M51" i="120" s="1"/>
  <c r="O51" i="120" s="1"/>
  <c r="H58" i="97"/>
  <c r="O23" i="98"/>
  <c r="C29" i="97"/>
  <c r="C28" i="120" s="1"/>
  <c r="I45" i="82"/>
  <c r="P46" i="73" s="1"/>
  <c r="AS46" i="73" s="1"/>
  <c r="BF46" i="73" s="1"/>
  <c r="G69" i="82"/>
  <c r="C29" i="17"/>
  <c r="M15" i="46"/>
  <c r="N15" i="46" s="1"/>
  <c r="C45" i="46"/>
  <c r="D45" i="46" s="1"/>
  <c r="O67" i="98"/>
  <c r="T65" i="125" s="1"/>
  <c r="V65" i="125" s="1"/>
  <c r="E94" i="98"/>
  <c r="C57" i="46"/>
  <c r="D57" i="46" s="1"/>
  <c r="P125" i="120"/>
  <c r="C54" i="46"/>
  <c r="D54" i="46" s="1"/>
  <c r="O17" i="98"/>
  <c r="T14" i="125" s="1"/>
  <c r="V14" i="125" s="1"/>
  <c r="F7" i="17"/>
  <c r="I113" i="82"/>
  <c r="E43" i="97"/>
  <c r="M42" i="120" s="1"/>
  <c r="O42" i="120" s="1"/>
  <c r="O34" i="98"/>
  <c r="D30" i="98"/>
  <c r="H30" i="98" s="1"/>
  <c r="O27" i="125" s="1"/>
  <c r="Q27" i="125" s="1"/>
  <c r="C9" i="17"/>
  <c r="O28" i="98"/>
  <c r="T25" i="125" s="1"/>
  <c r="V25" i="125" s="1"/>
  <c r="F35" i="17"/>
  <c r="C17" i="46"/>
  <c r="D17" i="46" s="1"/>
  <c r="E53" i="98"/>
  <c r="H53" i="98" s="1"/>
  <c r="O50" i="98"/>
  <c r="T48" i="125" s="1"/>
  <c r="V48" i="125" s="1"/>
  <c r="W24" i="46"/>
  <c r="X24" i="46" s="1"/>
  <c r="C16" i="46"/>
  <c r="D16" i="46" s="1"/>
  <c r="M17" i="46"/>
  <c r="N17" i="46" s="1"/>
  <c r="C20" i="46"/>
  <c r="D20" i="46" s="1"/>
  <c r="E115" i="15"/>
  <c r="O37" i="98"/>
  <c r="T35" i="125" s="1"/>
  <c r="V35" i="125" s="1"/>
  <c r="W33" i="46"/>
  <c r="X33" i="46" s="1"/>
  <c r="C99" i="97"/>
  <c r="C98" i="120" s="1"/>
  <c r="C9" i="46"/>
  <c r="D9" i="46" s="1"/>
  <c r="W140" i="46"/>
  <c r="X140" i="46" s="1"/>
  <c r="M58" i="46"/>
  <c r="N58" i="46" s="1"/>
  <c r="N24" i="24"/>
  <c r="O24" i="24" s="1"/>
  <c r="H12" i="15"/>
  <c r="G55" i="97"/>
  <c r="C8" i="46"/>
  <c r="D8" i="46" s="1"/>
  <c r="C49" i="17"/>
  <c r="I95" i="82"/>
  <c r="O91" i="98"/>
  <c r="T89" i="125" s="1"/>
  <c r="V89" i="125" s="1"/>
  <c r="M33" i="46"/>
  <c r="N33" i="46" s="1"/>
  <c r="O54" i="98"/>
  <c r="T52" i="125" s="1"/>
  <c r="V52" i="125" s="1"/>
  <c r="C140" i="46"/>
  <c r="D140" i="46" s="1"/>
  <c r="W12" i="46"/>
  <c r="X12" i="46" s="1"/>
  <c r="U11" i="24"/>
  <c r="V11" i="24" s="1"/>
  <c r="BH7" i="120" s="1"/>
  <c r="H38" i="98"/>
  <c r="O36" i="125" s="1"/>
  <c r="Q36" i="125" s="1"/>
  <c r="F66" i="17"/>
  <c r="E10" i="15"/>
  <c r="C12" i="46"/>
  <c r="D12" i="46" s="1"/>
  <c r="C43" i="46"/>
  <c r="D43" i="46" s="1"/>
  <c r="E77" i="97"/>
  <c r="M76" i="120" s="1"/>
  <c r="C33" i="17"/>
  <c r="C59" i="17"/>
  <c r="C27" i="17"/>
  <c r="C57" i="97"/>
  <c r="C56" i="120" s="1"/>
  <c r="E56" i="120" s="1"/>
  <c r="C56" i="46"/>
  <c r="D56" i="46" s="1"/>
  <c r="F24" i="17"/>
  <c r="H34" i="98"/>
  <c r="H125" i="15"/>
  <c r="F84" i="17"/>
  <c r="C58" i="17"/>
  <c r="M35" i="46"/>
  <c r="N35" i="46" s="1"/>
  <c r="E13" i="97"/>
  <c r="M11" i="120" s="1"/>
  <c r="M12" i="46"/>
  <c r="N12" i="46" s="1"/>
  <c r="M62" i="46"/>
  <c r="N62" i="46" s="1"/>
  <c r="C78" i="17"/>
  <c r="O66" i="98"/>
  <c r="T64" i="125" s="1"/>
  <c r="V64" i="125" s="1"/>
  <c r="D36" i="98"/>
  <c r="H36" i="98" s="1"/>
  <c r="O34" i="125" s="1"/>
  <c r="Q34" i="125" s="1"/>
  <c r="C35" i="17"/>
  <c r="F65" i="17"/>
  <c r="W19" i="46"/>
  <c r="X19" i="46" s="1"/>
  <c r="C15" i="46"/>
  <c r="D15" i="46" s="1"/>
  <c r="H28" i="98"/>
  <c r="O25" i="125" s="1"/>
  <c r="Q25" i="125" s="1"/>
  <c r="W139" i="46"/>
  <c r="X139" i="46" s="1"/>
  <c r="M57" i="46"/>
  <c r="N57" i="46" s="1"/>
  <c r="M44" i="46"/>
  <c r="N44" i="46" s="1"/>
  <c r="E29" i="15"/>
  <c r="O113" i="98"/>
  <c r="T111" i="125" s="1"/>
  <c r="V111" i="125" s="1"/>
  <c r="H16" i="15"/>
  <c r="K15" i="82"/>
  <c r="E12" i="98"/>
  <c r="F11" i="17"/>
  <c r="C33" i="98"/>
  <c r="H33" i="98" s="1"/>
  <c r="O30" i="125" s="1"/>
  <c r="Q30" i="125" s="1"/>
  <c r="AF26" i="104"/>
  <c r="F113" i="17"/>
  <c r="C23" i="98"/>
  <c r="H23" i="98" s="1"/>
  <c r="C76" i="97"/>
  <c r="C75" i="120" s="1"/>
  <c r="M45" i="46"/>
  <c r="N45" i="46" s="1"/>
  <c r="F130" i="17"/>
  <c r="C50" i="46"/>
  <c r="D50" i="46" s="1"/>
  <c r="N30" i="24"/>
  <c r="O30" i="24" s="1"/>
  <c r="H67" i="98"/>
  <c r="O65" i="125" s="1"/>
  <c r="Q65" i="125" s="1"/>
  <c r="J34" i="82"/>
  <c r="P35" i="73" s="1"/>
  <c r="AS35" i="73" s="1"/>
  <c r="K57" i="82"/>
  <c r="D109" i="98"/>
  <c r="H109" i="98" s="1"/>
  <c r="O107" i="125" s="1"/>
  <c r="Q107" i="125" s="1"/>
  <c r="C113" i="17"/>
  <c r="F89" i="17"/>
  <c r="O80" i="98"/>
  <c r="T78" i="125" s="1"/>
  <c r="V78" i="125" s="1"/>
  <c r="O111" i="98"/>
  <c r="T109" i="125" s="1"/>
  <c r="V109" i="125" s="1"/>
  <c r="M21" i="46"/>
  <c r="N21" i="46" s="1"/>
  <c r="O40" i="98"/>
  <c r="T38" i="125" s="1"/>
  <c r="V38" i="125" s="1"/>
  <c r="F56" i="97"/>
  <c r="P55" i="120" s="1"/>
  <c r="M16" i="46"/>
  <c r="N16" i="46" s="1"/>
  <c r="H66" i="98"/>
  <c r="O64" i="125" s="1"/>
  <c r="Q64" i="125" s="1"/>
  <c r="W142" i="46"/>
  <c r="X142" i="46" s="1"/>
  <c r="I58" i="98"/>
  <c r="P56" i="125" s="1"/>
  <c r="H115" i="98"/>
  <c r="O75" i="98"/>
  <c r="T73" i="125" s="1"/>
  <c r="V73" i="125" s="1"/>
  <c r="C51" i="46"/>
  <c r="D51" i="46" s="1"/>
  <c r="G10" i="97"/>
  <c r="C96" i="97"/>
  <c r="C95" i="120" s="1"/>
  <c r="C65" i="17"/>
  <c r="U21" i="24"/>
  <c r="V21" i="24" s="1"/>
  <c r="G91" i="97"/>
  <c r="E24" i="15"/>
  <c r="O49" i="98"/>
  <c r="T47" i="125" s="1"/>
  <c r="V47" i="125" s="1"/>
  <c r="C42" i="46"/>
  <c r="D42" i="46" s="1"/>
  <c r="G49" i="97"/>
  <c r="W15" i="46"/>
  <c r="X15" i="46" s="1"/>
  <c r="C66" i="17"/>
  <c r="E21" i="97"/>
  <c r="M19" i="120" s="1"/>
  <c r="D90" i="97"/>
  <c r="F89" i="120" s="1"/>
  <c r="U14" i="24"/>
  <c r="V14" i="24" s="1"/>
  <c r="J65" i="82"/>
  <c r="P66" i="73" s="1"/>
  <c r="AS66" i="73" s="1"/>
  <c r="BF66" i="73" s="1"/>
  <c r="F64" i="17"/>
  <c r="F27" i="17"/>
  <c r="D22" i="97"/>
  <c r="F20" i="120" s="1"/>
  <c r="M36" i="46"/>
  <c r="N36" i="46" s="1"/>
  <c r="O88" i="98"/>
  <c r="T86" i="125" s="1"/>
  <c r="V86" i="125" s="1"/>
  <c r="O94" i="98"/>
  <c r="T92" i="125" s="1"/>
  <c r="V92" i="125" s="1"/>
  <c r="C35" i="46"/>
  <c r="D35" i="46" s="1"/>
  <c r="H65" i="98"/>
  <c r="O63" i="125" s="1"/>
  <c r="Q63" i="125" s="1"/>
  <c r="H50" i="98"/>
  <c r="O48" i="125" s="1"/>
  <c r="Q48" i="125" s="1"/>
  <c r="F74" i="17"/>
  <c r="W68" i="46"/>
  <c r="X68" i="46" s="1"/>
  <c r="O96" i="98"/>
  <c r="T94" i="125" s="1"/>
  <c r="V94" i="125" s="1"/>
  <c r="O51" i="98"/>
  <c r="T49" i="125" s="1"/>
  <c r="V49" i="125" s="1"/>
  <c r="H112" i="15"/>
  <c r="W8" i="46"/>
  <c r="X8" i="46" s="1"/>
  <c r="H57" i="98"/>
  <c r="F51" i="17"/>
  <c r="F49" i="17"/>
  <c r="C37" i="97"/>
  <c r="C36" i="120" s="1"/>
  <c r="M24" i="46"/>
  <c r="N24" i="46" s="1"/>
  <c r="C44" i="97"/>
  <c r="C43" i="120" s="1"/>
  <c r="F75" i="82"/>
  <c r="C74" i="26"/>
  <c r="D74" i="26" s="1"/>
  <c r="C13" i="97"/>
  <c r="C11" i="120" s="1"/>
  <c r="F48" i="82"/>
  <c r="H60" i="98"/>
  <c r="O58" i="125" s="1"/>
  <c r="Q58" i="125" s="1"/>
  <c r="M118" i="26"/>
  <c r="N15" i="24"/>
  <c r="O15" i="24" s="1"/>
  <c r="U27" i="24"/>
  <c r="V27" i="24" s="1"/>
  <c r="U23" i="24"/>
  <c r="V23" i="24" s="1"/>
  <c r="H83" i="98"/>
  <c r="O81" i="125" s="1"/>
  <c r="Q81" i="125" s="1"/>
  <c r="O70" i="98"/>
  <c r="O92" i="98"/>
  <c r="T90" i="125" s="1"/>
  <c r="V90" i="125" s="1"/>
  <c r="U16" i="24"/>
  <c r="V16" i="24" s="1"/>
  <c r="O52" i="98"/>
  <c r="T50" i="125" s="1"/>
  <c r="V50" i="125" s="1"/>
  <c r="C66" i="26"/>
  <c r="D66" i="26" s="1"/>
  <c r="F67" i="82"/>
  <c r="M88" i="26"/>
  <c r="C109" i="26"/>
  <c r="D109" i="26" s="1"/>
  <c r="C49" i="26"/>
  <c r="D49" i="26" s="1"/>
  <c r="C88" i="26"/>
  <c r="D88" i="26" s="1"/>
  <c r="C93" i="26"/>
  <c r="D93" i="26" s="1"/>
  <c r="C120" i="26"/>
  <c r="D120" i="26" s="1"/>
  <c r="C117" i="26"/>
  <c r="D117" i="26" s="1"/>
  <c r="G121" i="82"/>
  <c r="G23" i="82"/>
  <c r="C110" i="26"/>
  <c r="D110" i="26" s="1"/>
  <c r="F111" i="82"/>
  <c r="C103" i="26"/>
  <c r="D103" i="26" s="1"/>
  <c r="E11" i="15"/>
  <c r="H27" i="15"/>
  <c r="C55" i="46"/>
  <c r="D55" i="46" s="1"/>
  <c r="W16" i="46"/>
  <c r="X16" i="46" s="1"/>
  <c r="M7" i="46"/>
  <c r="N7" i="46" s="1"/>
  <c r="M32" i="46"/>
  <c r="N32" i="46" s="1"/>
  <c r="W51" i="46"/>
  <c r="X51" i="46" s="1"/>
  <c r="G44" i="97"/>
  <c r="G96" i="97"/>
  <c r="M142" i="46"/>
  <c r="N142" i="46" s="1"/>
  <c r="G36" i="97"/>
  <c r="W35" i="46"/>
  <c r="X35" i="46" s="1"/>
  <c r="C58" i="46"/>
  <c r="D58" i="46" s="1"/>
  <c r="W21" i="46"/>
  <c r="X21" i="46" s="1"/>
  <c r="W58" i="46"/>
  <c r="X58" i="46" s="1"/>
  <c r="C21" i="97"/>
  <c r="C19" i="120" s="1"/>
  <c r="O65" i="98"/>
  <c r="T63" i="125" s="1"/>
  <c r="V63" i="125" s="1"/>
  <c r="O58" i="98"/>
  <c r="T56" i="125" s="1"/>
  <c r="V56" i="125" s="1"/>
  <c r="F87" i="17"/>
  <c r="O11" i="98"/>
  <c r="T8" i="125" s="1"/>
  <c r="V8" i="125" s="1"/>
  <c r="O12" i="98"/>
  <c r="T9" i="125" s="1"/>
  <c r="V9" i="125" s="1"/>
  <c r="K123" i="82"/>
  <c r="H124" i="15"/>
  <c r="Z94" i="52"/>
  <c r="AJ25" i="104"/>
  <c r="AH94" i="52"/>
  <c r="AJ33" i="104"/>
  <c r="D116" i="98"/>
  <c r="AC82" i="52" s="1"/>
  <c r="O61" i="98"/>
  <c r="T59" i="125" s="1"/>
  <c r="V59" i="125" s="1"/>
  <c r="O20" i="98"/>
  <c r="O125" i="98"/>
  <c r="T123" i="125" s="1"/>
  <c r="V123" i="125" s="1"/>
  <c r="C66" i="46"/>
  <c r="D66" i="46" s="1"/>
  <c r="C85" i="98"/>
  <c r="H85" i="98" s="1"/>
  <c r="O83" i="125" s="1"/>
  <c r="Q83" i="125" s="1"/>
  <c r="C84" i="17"/>
  <c r="I83" i="82"/>
  <c r="C68" i="46"/>
  <c r="D68" i="46" s="1"/>
  <c r="D82" i="97"/>
  <c r="F81" i="120" s="1"/>
  <c r="O9" i="98"/>
  <c r="I111" i="82"/>
  <c r="E112" i="15"/>
  <c r="F59" i="98"/>
  <c r="H59" i="98" s="1"/>
  <c r="O57" i="125" s="1"/>
  <c r="Q57" i="125" s="1"/>
  <c r="F58" i="17"/>
  <c r="C117" i="17"/>
  <c r="C113" i="98"/>
  <c r="O39" i="98"/>
  <c r="T37" i="125" s="1"/>
  <c r="V37" i="125" s="1"/>
  <c r="G120" i="82"/>
  <c r="C119" i="26"/>
  <c r="D119" i="26" s="1"/>
  <c r="G90" i="82"/>
  <c r="C111" i="26"/>
  <c r="D111" i="26" s="1"/>
  <c r="G82" i="82"/>
  <c r="G98" i="82"/>
  <c r="C63" i="26"/>
  <c r="D63" i="26" s="1"/>
  <c r="G64" i="82"/>
  <c r="G63" i="82"/>
  <c r="C62" i="26"/>
  <c r="D62" i="26" s="1"/>
  <c r="H95" i="98"/>
  <c r="O93" i="125" s="1"/>
  <c r="Q93" i="125" s="1"/>
  <c r="E72" i="97"/>
  <c r="M71" i="120" s="1"/>
  <c r="O71" i="120" s="1"/>
  <c r="E80" i="98"/>
  <c r="H80" i="98" s="1"/>
  <c r="O78" i="125" s="1"/>
  <c r="Q78" i="125" s="1"/>
  <c r="F79" i="17"/>
  <c r="G72" i="97"/>
  <c r="I38" i="82"/>
  <c r="C90" i="17"/>
  <c r="C91" i="98"/>
  <c r="C11" i="97"/>
  <c r="C9" i="120" s="1"/>
  <c r="C10" i="46"/>
  <c r="D10" i="46" s="1"/>
  <c r="G32" i="97"/>
  <c r="W32" i="46"/>
  <c r="X32" i="46" s="1"/>
  <c r="K10" i="82"/>
  <c r="H11" i="15"/>
  <c r="L63" i="82"/>
  <c r="I108" i="82"/>
  <c r="E62" i="97"/>
  <c r="M61" i="120" s="1"/>
  <c r="O61" i="120" s="1"/>
  <c r="M61" i="46"/>
  <c r="N61" i="46" s="1"/>
  <c r="F61" i="17"/>
  <c r="E62" i="98"/>
  <c r="I79" i="82"/>
  <c r="P80" i="73" s="1"/>
  <c r="AS80" i="73" s="1"/>
  <c r="I11" i="82"/>
  <c r="P11" i="73" s="1"/>
  <c r="AS11" i="73" s="1"/>
  <c r="E12" i="15"/>
  <c r="E35" i="97"/>
  <c r="M34" i="120" s="1"/>
  <c r="M34" i="46"/>
  <c r="N34" i="46" s="1"/>
  <c r="C102" i="17"/>
  <c r="C103" i="98"/>
  <c r="C72" i="97"/>
  <c r="C71" i="120" s="1"/>
  <c r="E71" i="120" s="1"/>
  <c r="I37" i="82"/>
  <c r="I35" i="82"/>
  <c r="G62" i="97"/>
  <c r="W61" i="46"/>
  <c r="X61" i="46" s="1"/>
  <c r="AF93" i="52"/>
  <c r="AI31" i="104"/>
  <c r="O62" i="98"/>
  <c r="T60" i="125" s="1"/>
  <c r="V60" i="125" s="1"/>
  <c r="G35" i="82"/>
  <c r="E49" i="97"/>
  <c r="M48" i="120" s="1"/>
  <c r="O48" i="120" s="1"/>
  <c r="M48" i="46"/>
  <c r="N48" i="46" s="1"/>
  <c r="E92" i="98"/>
  <c r="F91" i="17"/>
  <c r="C50" i="97"/>
  <c r="C49" i="120" s="1"/>
  <c r="M117" i="120"/>
  <c r="E73" i="97"/>
  <c r="M72" i="120" s="1"/>
  <c r="K78" i="82"/>
  <c r="C107" i="98"/>
  <c r="H107" i="98" s="1"/>
  <c r="C111" i="17"/>
  <c r="E81" i="98"/>
  <c r="F80" i="17"/>
  <c r="C75" i="98"/>
  <c r="H75" i="98" s="1"/>
  <c r="O73" i="125" s="1"/>
  <c r="Q73" i="125" s="1"/>
  <c r="C74" i="17"/>
  <c r="E103" i="98"/>
  <c r="F102" i="17"/>
  <c r="H81" i="97"/>
  <c r="I92" i="82"/>
  <c r="E11" i="97"/>
  <c r="M9" i="120" s="1"/>
  <c r="M10" i="46"/>
  <c r="N10" i="46" s="1"/>
  <c r="C120" i="120"/>
  <c r="C51" i="17"/>
  <c r="C52" i="98"/>
  <c r="H52" i="98" s="1"/>
  <c r="O50" i="125" s="1"/>
  <c r="Q50" i="125" s="1"/>
  <c r="K60" i="82"/>
  <c r="E101" i="98"/>
  <c r="O103" i="98"/>
  <c r="T101" i="125" s="1"/>
  <c r="V101" i="125" s="1"/>
  <c r="C117" i="120"/>
  <c r="C73" i="97"/>
  <c r="C72" i="120" s="1"/>
  <c r="E72" i="120" s="1"/>
  <c r="C37" i="98"/>
  <c r="C36" i="17"/>
  <c r="I60" i="82"/>
  <c r="P61" i="73" s="1"/>
  <c r="AS61" i="73" s="1"/>
  <c r="BF61" i="73" s="1"/>
  <c r="I86" i="82"/>
  <c r="M120" i="120"/>
  <c r="K49" i="82"/>
  <c r="C63" i="98"/>
  <c r="H63" i="98" s="1"/>
  <c r="O61" i="125" s="1"/>
  <c r="Q61" i="125" s="1"/>
  <c r="C62" i="17"/>
  <c r="C48" i="17"/>
  <c r="C49" i="98"/>
  <c r="H49" i="98" s="1"/>
  <c r="O47" i="125" s="1"/>
  <c r="Q47" i="125" s="1"/>
  <c r="C61" i="98"/>
  <c r="C60" i="17"/>
  <c r="M123" i="98"/>
  <c r="AS126" i="120" s="1"/>
  <c r="AV126" i="120" s="1"/>
  <c r="AY126" i="120" s="1"/>
  <c r="H127" i="17"/>
  <c r="G122" i="15"/>
  <c r="L136" i="82" s="1"/>
  <c r="H82" i="97"/>
  <c r="C65" i="46"/>
  <c r="D65" i="46" s="1"/>
  <c r="E50" i="97"/>
  <c r="M49" i="120" s="1"/>
  <c r="C62" i="97"/>
  <c r="C61" i="120" s="1"/>
  <c r="E61" i="120" s="1"/>
  <c r="C61" i="46"/>
  <c r="D61" i="46" s="1"/>
  <c r="M115" i="120"/>
  <c r="C11" i="98"/>
  <c r="C10" i="17"/>
  <c r="K79" i="82"/>
  <c r="G35" i="97"/>
  <c r="W34" i="46"/>
  <c r="X34" i="46" s="1"/>
  <c r="I73" i="82"/>
  <c r="C91" i="17"/>
  <c r="C92" i="98"/>
  <c r="G50" i="97"/>
  <c r="C93" i="17"/>
  <c r="C94" i="98"/>
  <c r="E14" i="97"/>
  <c r="M12" i="120" s="1"/>
  <c r="O12" i="120" s="1"/>
  <c r="E99" i="97"/>
  <c r="M98" i="120" s="1"/>
  <c r="H71" i="97"/>
  <c r="F10" i="17"/>
  <c r="E11" i="98"/>
  <c r="C9" i="98"/>
  <c r="H9" i="98" s="1"/>
  <c r="O6" i="125" s="1"/>
  <c r="Q6" i="125" s="1"/>
  <c r="C8" i="17"/>
  <c r="C14" i="97"/>
  <c r="C12" i="120" s="1"/>
  <c r="E12" i="120" s="1"/>
  <c r="AJ31" i="104"/>
  <c r="AF94" i="52"/>
  <c r="L86" i="82"/>
  <c r="K99" i="82"/>
  <c r="O81" i="98"/>
  <c r="T79" i="125" s="1"/>
  <c r="V79" i="125" s="1"/>
  <c r="G51" i="82"/>
  <c r="M52" i="73" s="1"/>
  <c r="C50" i="26"/>
  <c r="D50" i="26" s="1"/>
  <c r="C62" i="98"/>
  <c r="C61" i="17"/>
  <c r="E9" i="97"/>
  <c r="M7" i="120" s="1"/>
  <c r="M8" i="46"/>
  <c r="N8" i="46" s="1"/>
  <c r="I47" i="82"/>
  <c r="I59" i="82"/>
  <c r="K90" i="82"/>
  <c r="E127" i="17"/>
  <c r="K123" i="98"/>
  <c r="AI126" i="120" s="1"/>
  <c r="AL126" i="120" s="1"/>
  <c r="AO126" i="120" s="1"/>
  <c r="D122" i="15"/>
  <c r="J136" i="82" s="1"/>
  <c r="C32" i="46"/>
  <c r="D32" i="46" s="1"/>
  <c r="C32" i="97"/>
  <c r="L50" i="82"/>
  <c r="I90" i="82"/>
  <c r="C40" i="98"/>
  <c r="H40" i="98" s="1"/>
  <c r="O38" i="125" s="1"/>
  <c r="Q38" i="125" s="1"/>
  <c r="C39" i="17"/>
  <c r="M68" i="46"/>
  <c r="N68" i="46" s="1"/>
  <c r="I89" i="82"/>
  <c r="C122" i="26"/>
  <c r="D122" i="26" s="1"/>
  <c r="G123" i="82"/>
  <c r="I50" i="82"/>
  <c r="I8" i="82"/>
  <c r="P8" i="73" s="1"/>
  <c r="AS8" i="73" s="1"/>
  <c r="BF8" i="73" s="1"/>
  <c r="E9" i="15"/>
  <c r="C35" i="97"/>
  <c r="C34" i="120" s="1"/>
  <c r="C34" i="46"/>
  <c r="D34" i="46" s="1"/>
  <c r="G73" i="97"/>
  <c r="C110" i="98"/>
  <c r="AB82" i="52" s="1"/>
  <c r="C114" i="17"/>
  <c r="M46" i="46"/>
  <c r="N46" i="46" s="1"/>
  <c r="E47" i="97"/>
  <c r="M46" i="120" s="1"/>
  <c r="G11" i="97"/>
  <c r="W10" i="46"/>
  <c r="X10" i="46" s="1"/>
  <c r="D71" i="97"/>
  <c r="F70" i="120" s="1"/>
  <c r="C80" i="17"/>
  <c r="C81" i="98"/>
  <c r="C12" i="98"/>
  <c r="C11" i="17"/>
  <c r="C39" i="98"/>
  <c r="C38" i="17"/>
  <c r="G14" i="97"/>
  <c r="C88" i="98"/>
  <c r="H88" i="98" s="1"/>
  <c r="O86" i="125" s="1"/>
  <c r="Q86" i="125" s="1"/>
  <c r="C87" i="17"/>
  <c r="C15" i="26"/>
  <c r="D15" i="26" s="1"/>
  <c r="F71" i="97"/>
  <c r="P70" i="120" s="1"/>
  <c r="E51" i="98"/>
  <c r="F50" i="17"/>
  <c r="I61" i="82"/>
  <c r="F35" i="82"/>
  <c r="C34" i="26"/>
  <c r="D34" i="26" s="1"/>
  <c r="H56" i="97"/>
  <c r="W55" i="46"/>
  <c r="X55" i="46" s="1"/>
  <c r="I70" i="98"/>
  <c r="P68" i="125" s="1"/>
  <c r="C126" i="120"/>
  <c r="M126" i="120"/>
  <c r="H25" i="98"/>
  <c r="H27" i="97" l="1"/>
  <c r="M99" i="46"/>
  <c r="N99" i="46" s="1"/>
  <c r="I105" i="120"/>
  <c r="L105" i="120" s="1"/>
  <c r="M105" i="46"/>
  <c r="N105" i="46" s="1"/>
  <c r="F105" i="120"/>
  <c r="S105" i="120"/>
  <c r="V105" i="120" s="1"/>
  <c r="W22" i="46"/>
  <c r="X22" i="46" s="1"/>
  <c r="W6" i="46"/>
  <c r="X6" i="46" s="1"/>
  <c r="H7" i="97"/>
  <c r="C102" i="46"/>
  <c r="D102" i="46" s="1"/>
  <c r="F102" i="120"/>
  <c r="F7" i="97"/>
  <c r="P5" i="120" s="1"/>
  <c r="S5" i="120" s="1"/>
  <c r="V5" i="120" s="1"/>
  <c r="M6" i="46"/>
  <c r="N6" i="46" s="1"/>
  <c r="S102" i="120"/>
  <c r="V102" i="120" s="1"/>
  <c r="M133" i="46"/>
  <c r="N133" i="46" s="1"/>
  <c r="M69" i="46"/>
  <c r="N69" i="46" s="1"/>
  <c r="S103" i="120"/>
  <c r="V103" i="120" s="1"/>
  <c r="P103" i="120"/>
  <c r="F103" i="120"/>
  <c r="P102" i="120"/>
  <c r="C103" i="46"/>
  <c r="D103" i="46" s="1"/>
  <c r="P74" i="73"/>
  <c r="AS74" i="73" s="1"/>
  <c r="BF74" i="73" s="1"/>
  <c r="P88" i="73"/>
  <c r="AS88" i="73" s="1"/>
  <c r="BF88" i="73" s="1"/>
  <c r="P93" i="73"/>
  <c r="AS93" i="73" s="1"/>
  <c r="BF93" i="73" s="1"/>
  <c r="P18" i="73"/>
  <c r="AS18" i="73" s="1"/>
  <c r="P51" i="73"/>
  <c r="AS51" i="73" s="1"/>
  <c r="BF51" i="73" s="1"/>
  <c r="P36" i="73"/>
  <c r="AS36" i="73" s="1"/>
  <c r="P39" i="73"/>
  <c r="AS39" i="73" s="1"/>
  <c r="BF39" i="73" s="1"/>
  <c r="AF32" i="104"/>
  <c r="AB45" i="52"/>
  <c r="P75" i="73"/>
  <c r="AS75" i="73" s="1"/>
  <c r="BF75" i="73" s="1"/>
  <c r="P20" i="73"/>
  <c r="AS20" i="73" s="1"/>
  <c r="BF20" i="73" s="1"/>
  <c r="G105" i="24"/>
  <c r="H105" i="24" s="1"/>
  <c r="BH102" i="120"/>
  <c r="E105" i="24"/>
  <c r="F105" i="24" s="1"/>
  <c r="BE102" i="120"/>
  <c r="P90" i="73"/>
  <c r="AS90" i="73" s="1"/>
  <c r="BF90" i="73" s="1"/>
  <c r="G108" i="24"/>
  <c r="H108" i="24" s="1"/>
  <c r="BH105" i="120"/>
  <c r="G106" i="24"/>
  <c r="H106" i="24" s="1"/>
  <c r="BH103" i="120"/>
  <c r="E106" i="24"/>
  <c r="F106" i="24" s="1"/>
  <c r="BE103" i="120"/>
  <c r="G107" i="24"/>
  <c r="H107" i="24" s="1"/>
  <c r="BH104" i="120"/>
  <c r="BK104" i="120" s="1"/>
  <c r="BN104" i="120" s="1"/>
  <c r="P60" i="73"/>
  <c r="AS60" i="73" s="1"/>
  <c r="BF60" i="73" s="1"/>
  <c r="P38" i="73"/>
  <c r="AS38" i="73" s="1"/>
  <c r="BF38" i="73" s="1"/>
  <c r="P48" i="73"/>
  <c r="AS48" i="73" s="1"/>
  <c r="BF48" i="73" s="1"/>
  <c r="P87" i="73"/>
  <c r="AS87" i="73" s="1"/>
  <c r="BF87" i="73" s="1"/>
  <c r="P84" i="73"/>
  <c r="AS84" i="73" s="1"/>
  <c r="BF84" i="73" s="1"/>
  <c r="E109" i="24"/>
  <c r="F109" i="24" s="1"/>
  <c r="BE106" i="120"/>
  <c r="E108" i="24"/>
  <c r="F108" i="24" s="1"/>
  <c r="BE105" i="120"/>
  <c r="G109" i="24"/>
  <c r="H109" i="24" s="1"/>
  <c r="BH106" i="120"/>
  <c r="P62" i="73"/>
  <c r="AS62" i="73" s="1"/>
  <c r="BF62" i="73" s="1"/>
  <c r="P85" i="73"/>
  <c r="AS85" i="73" s="1"/>
  <c r="BF85" i="73" s="1"/>
  <c r="P79" i="73"/>
  <c r="AS79" i="73" s="1"/>
  <c r="BF79" i="73" s="1"/>
  <c r="AJ28" i="104"/>
  <c r="AK28" i="104" s="1"/>
  <c r="AH28" i="104" s="1"/>
  <c r="P47" i="73"/>
  <c r="AS47" i="73" s="1"/>
  <c r="BF47" i="73" s="1"/>
  <c r="P43" i="73"/>
  <c r="AS43" i="73" s="1"/>
  <c r="BF43" i="73" s="1"/>
  <c r="P129" i="73"/>
  <c r="AS129" i="73" s="1"/>
  <c r="BF129" i="73" s="1"/>
  <c r="AE82" i="52"/>
  <c r="AE86" i="52" s="1"/>
  <c r="P72" i="73"/>
  <c r="AS72" i="73" s="1"/>
  <c r="AE28" i="104"/>
  <c r="P123" i="73"/>
  <c r="AS123" i="73" s="1"/>
  <c r="BF123" i="73" s="1"/>
  <c r="AE44" i="52"/>
  <c r="J40" i="52"/>
  <c r="P94" i="73"/>
  <c r="AS94" i="73" s="1"/>
  <c r="BF94" i="73" s="1"/>
  <c r="P138" i="73"/>
  <c r="AS138" i="73" s="1"/>
  <c r="P68" i="73"/>
  <c r="AS68" i="73" s="1"/>
  <c r="BF68" i="73" s="1"/>
  <c r="P120" i="73"/>
  <c r="AS120" i="73" s="1"/>
  <c r="BF120" i="73" s="1"/>
  <c r="I35" i="120"/>
  <c r="L35" i="120" s="1"/>
  <c r="P95" i="73"/>
  <c r="AS95" i="73" s="1"/>
  <c r="BF95" i="73" s="1"/>
  <c r="P71" i="73"/>
  <c r="AS71" i="73" s="1"/>
  <c r="P96" i="73"/>
  <c r="AS96" i="73" s="1"/>
  <c r="BF96" i="73" s="1"/>
  <c r="P91" i="73"/>
  <c r="AS91" i="73" s="1"/>
  <c r="BF91" i="73" s="1"/>
  <c r="S132" i="120"/>
  <c r="V132" i="120" s="1"/>
  <c r="Q106" i="97"/>
  <c r="R106" i="97" s="1"/>
  <c r="P21" i="73"/>
  <c r="AS21" i="73" s="1"/>
  <c r="BF21" i="73" s="1"/>
  <c r="P15" i="73"/>
  <c r="AS15" i="73" s="1"/>
  <c r="BF15" i="73" s="1"/>
  <c r="Q141" i="97"/>
  <c r="R141" i="97" s="1"/>
  <c r="K140" i="125" s="1"/>
  <c r="P140" i="73"/>
  <c r="AS140" i="73" s="1"/>
  <c r="BF140" i="73" s="1"/>
  <c r="S145" i="120"/>
  <c r="V145" i="120" s="1"/>
  <c r="AS131" i="73"/>
  <c r="BF131" i="73" s="1"/>
  <c r="AO131" i="73"/>
  <c r="BD131" i="73" s="1"/>
  <c r="AS136" i="73"/>
  <c r="BF136" i="73" s="1"/>
  <c r="AO136" i="73"/>
  <c r="BD136" i="73" s="1"/>
  <c r="S109" i="120"/>
  <c r="V109" i="120" s="1"/>
  <c r="AO23" i="73"/>
  <c r="P22" i="73"/>
  <c r="AS23" i="73"/>
  <c r="P83" i="73"/>
  <c r="AS83" i="73" s="1"/>
  <c r="BF83" i="73" s="1"/>
  <c r="P49" i="73"/>
  <c r="AS49" i="73" s="1"/>
  <c r="BF49" i="73" s="1"/>
  <c r="D132" i="97"/>
  <c r="F136" i="120" s="1"/>
  <c r="E127" i="97"/>
  <c r="M131" i="120" s="1"/>
  <c r="O131" i="120" s="1"/>
  <c r="F133" i="97"/>
  <c r="P137" i="120" s="1"/>
  <c r="C145" i="120"/>
  <c r="I145" i="120" s="1"/>
  <c r="L145" i="120" s="1"/>
  <c r="F139" i="120"/>
  <c r="I139" i="120" s="1"/>
  <c r="L139" i="120" s="1"/>
  <c r="F110" i="120"/>
  <c r="I110" i="120" s="1"/>
  <c r="L110" i="120" s="1"/>
  <c r="Q118" i="97"/>
  <c r="R118" i="97" s="1"/>
  <c r="P26" i="73"/>
  <c r="AS26" i="73" s="1"/>
  <c r="BF26" i="73" s="1"/>
  <c r="P53" i="73"/>
  <c r="AS53" i="73" s="1"/>
  <c r="BF53" i="73" s="1"/>
  <c r="Z44" i="52"/>
  <c r="J44" i="52" s="1"/>
  <c r="P100" i="73"/>
  <c r="AS100" i="73" s="1"/>
  <c r="BF100" i="73" s="1"/>
  <c r="D139" i="97"/>
  <c r="F143" i="120" s="1"/>
  <c r="C133" i="46"/>
  <c r="D133" i="46" s="1"/>
  <c r="D129" i="97"/>
  <c r="F133" i="120" s="1"/>
  <c r="Q105" i="97"/>
  <c r="R105" i="97" s="1"/>
  <c r="AF44" i="52"/>
  <c r="P97" i="73"/>
  <c r="AS97" i="73" s="1"/>
  <c r="BF97" i="73" s="1"/>
  <c r="J130" i="73"/>
  <c r="K130" i="73" s="1"/>
  <c r="P54" i="73"/>
  <c r="AS54" i="73" s="1"/>
  <c r="BF54" i="73" s="1"/>
  <c r="F139" i="97"/>
  <c r="P143" i="120" s="1"/>
  <c r="F127" i="97"/>
  <c r="P131" i="120" s="1"/>
  <c r="W127" i="46"/>
  <c r="X127" i="46" s="1"/>
  <c r="H123" i="97"/>
  <c r="C133" i="97"/>
  <c r="C137" i="120" s="1"/>
  <c r="C133" i="120"/>
  <c r="E133" i="120" s="1"/>
  <c r="P119" i="120"/>
  <c r="S119" i="120" s="1"/>
  <c r="V119" i="120" s="1"/>
  <c r="C109" i="120"/>
  <c r="I109" i="120" s="1"/>
  <c r="L109" i="120" s="1"/>
  <c r="T32" i="125"/>
  <c r="V32" i="125" s="1"/>
  <c r="T31" i="125"/>
  <c r="V31" i="125" s="1"/>
  <c r="P69" i="73"/>
  <c r="AS69" i="73" s="1"/>
  <c r="BF69" i="73" s="1"/>
  <c r="S133" i="120"/>
  <c r="V133" i="120" s="1"/>
  <c r="P30" i="73"/>
  <c r="AS30" i="73" s="1"/>
  <c r="BF30" i="73" s="1"/>
  <c r="D127" i="97"/>
  <c r="F131" i="120" s="1"/>
  <c r="F140" i="97"/>
  <c r="E126" i="97"/>
  <c r="M130" i="120" s="1"/>
  <c r="S130" i="120" s="1"/>
  <c r="V130" i="120" s="1"/>
  <c r="E133" i="97"/>
  <c r="M137" i="120" s="1"/>
  <c r="AO132" i="73"/>
  <c r="BD132" i="73" s="1"/>
  <c r="P125" i="73"/>
  <c r="AS125" i="73" s="1"/>
  <c r="BF125" i="73" s="1"/>
  <c r="P17" i="73"/>
  <c r="AS17" i="73" s="1"/>
  <c r="BF17" i="73" s="1"/>
  <c r="P9" i="73"/>
  <c r="AS9" i="73" s="1"/>
  <c r="P52" i="73"/>
  <c r="AS52" i="73" s="1"/>
  <c r="BF52" i="73" s="1"/>
  <c r="S122" i="120"/>
  <c r="V122" i="120" s="1"/>
  <c r="P67" i="73"/>
  <c r="AS67" i="73" s="1"/>
  <c r="BF67" i="73" s="1"/>
  <c r="E125" i="97"/>
  <c r="P119" i="73"/>
  <c r="AS119" i="73" s="1"/>
  <c r="BF119" i="73" s="1"/>
  <c r="H134" i="97"/>
  <c r="AC56" i="52" s="1"/>
  <c r="C120" i="97"/>
  <c r="C124" i="120" s="1"/>
  <c r="W132" i="46"/>
  <c r="X132" i="46" s="1"/>
  <c r="H128" i="97"/>
  <c r="Q128" i="97" s="1"/>
  <c r="R128" i="97" s="1"/>
  <c r="P50" i="73"/>
  <c r="AS50" i="73" s="1"/>
  <c r="BF50" i="73" s="1"/>
  <c r="P44" i="73"/>
  <c r="AS44" i="73" s="1"/>
  <c r="BF44" i="73" s="1"/>
  <c r="P82" i="73"/>
  <c r="AS82" i="73" s="1"/>
  <c r="BF82" i="73" s="1"/>
  <c r="P134" i="73"/>
  <c r="AS134" i="73" s="1"/>
  <c r="BF134" i="73" s="1"/>
  <c r="P124" i="73"/>
  <c r="AS124" i="73" s="1"/>
  <c r="BF124" i="73" s="1"/>
  <c r="E139" i="97"/>
  <c r="AF55" i="52" s="1"/>
  <c r="C127" i="97"/>
  <c r="Y25" i="104" s="1"/>
  <c r="C141" i="120"/>
  <c r="E141" i="120" s="1"/>
  <c r="O32" i="125"/>
  <c r="Q32" i="125" s="1"/>
  <c r="O31" i="125"/>
  <c r="Q31" i="125" s="1"/>
  <c r="S110" i="120"/>
  <c r="V110" i="120" s="1"/>
  <c r="P137" i="73"/>
  <c r="AS137" i="73" s="1"/>
  <c r="BF137" i="73" s="1"/>
  <c r="P98" i="73"/>
  <c r="AS98" i="73" s="1"/>
  <c r="BF98" i="73" s="1"/>
  <c r="P121" i="73"/>
  <c r="AS121" i="73" s="1"/>
  <c r="C139" i="97"/>
  <c r="Y31" i="104" s="1"/>
  <c r="F123" i="97"/>
  <c r="P127" i="120" s="1"/>
  <c r="F137" i="97"/>
  <c r="P141" i="120" s="1"/>
  <c r="S141" i="120" s="1"/>
  <c r="V141" i="120" s="1"/>
  <c r="C127" i="46"/>
  <c r="D127" i="46" s="1"/>
  <c r="D123" i="97"/>
  <c r="F127" i="120" s="1"/>
  <c r="P127" i="73"/>
  <c r="AS127" i="73" s="1"/>
  <c r="BF127" i="73" s="1"/>
  <c r="J72" i="52" s="1"/>
  <c r="J135" i="73"/>
  <c r="K135" i="73" s="1"/>
  <c r="J131" i="73"/>
  <c r="K131" i="73" s="1"/>
  <c r="AO81" i="73"/>
  <c r="AO77" i="73"/>
  <c r="AM135" i="73"/>
  <c r="AQ135" i="73"/>
  <c r="AO13" i="73"/>
  <c r="AO64" i="73"/>
  <c r="AO106" i="73"/>
  <c r="AO135" i="73"/>
  <c r="AO109" i="73"/>
  <c r="AM31" i="73"/>
  <c r="AO61" i="73"/>
  <c r="AM8" i="73"/>
  <c r="AO110" i="73"/>
  <c r="AO34" i="73"/>
  <c r="AO117" i="73"/>
  <c r="AO11" i="73"/>
  <c r="AO105" i="73"/>
  <c r="AO141" i="73"/>
  <c r="AM106" i="73"/>
  <c r="AQ106" i="73"/>
  <c r="AO19" i="73"/>
  <c r="AO73" i="73"/>
  <c r="AO133" i="73"/>
  <c r="AM130" i="73"/>
  <c r="AQ130" i="73"/>
  <c r="AO114" i="73"/>
  <c r="AO130" i="73"/>
  <c r="AO57" i="73"/>
  <c r="AO33" i="73"/>
  <c r="AO104" i="73"/>
  <c r="AO12" i="73"/>
  <c r="AO139" i="73"/>
  <c r="AM131" i="73"/>
  <c r="AQ131" i="73"/>
  <c r="AM107" i="73"/>
  <c r="AO128" i="73"/>
  <c r="AO24" i="73"/>
  <c r="AO32" i="73"/>
  <c r="AO37" i="73"/>
  <c r="AO78" i="73"/>
  <c r="L22" i="73"/>
  <c r="AM126" i="73"/>
  <c r="AQ105" i="73"/>
  <c r="AM105" i="73"/>
  <c r="AO46" i="73"/>
  <c r="F26" i="86"/>
  <c r="T22" i="125"/>
  <c r="V22" i="125" s="1"/>
  <c r="P129" i="98"/>
  <c r="U127" i="125" s="1"/>
  <c r="T127" i="125"/>
  <c r="V127" i="125" s="1"/>
  <c r="P128" i="98"/>
  <c r="U126" i="125" s="1"/>
  <c r="T126" i="125"/>
  <c r="V126" i="125" s="1"/>
  <c r="P140" i="98"/>
  <c r="U138" i="125" s="1"/>
  <c r="T138" i="125"/>
  <c r="V138" i="125" s="1"/>
  <c r="P20" i="98"/>
  <c r="U17" i="125" s="1"/>
  <c r="T17" i="125"/>
  <c r="V17" i="125" s="1"/>
  <c r="F71" i="86"/>
  <c r="T68" i="125"/>
  <c r="V68" i="125" s="1"/>
  <c r="P53" i="98"/>
  <c r="U51" i="125" s="1"/>
  <c r="T51" i="125"/>
  <c r="V51" i="125" s="1"/>
  <c r="F117" i="86"/>
  <c r="T114" i="125"/>
  <c r="V114" i="125" s="1"/>
  <c r="F119" i="86"/>
  <c r="T116" i="125"/>
  <c r="V116" i="125" s="1"/>
  <c r="P134" i="98"/>
  <c r="U132" i="125" s="1"/>
  <c r="T132" i="125"/>
  <c r="V132" i="125" s="1"/>
  <c r="P139" i="98"/>
  <c r="U137" i="125" s="1"/>
  <c r="T137" i="125"/>
  <c r="V137" i="125" s="1"/>
  <c r="P84" i="98"/>
  <c r="U82" i="125" s="1"/>
  <c r="T82" i="125"/>
  <c r="V82" i="125" s="1"/>
  <c r="P9" i="98"/>
  <c r="U6" i="125" s="1"/>
  <c r="T6" i="125"/>
  <c r="V6" i="125" s="1"/>
  <c r="F116" i="86"/>
  <c r="T113" i="125"/>
  <c r="V113" i="125" s="1"/>
  <c r="F113" i="86"/>
  <c r="T110" i="125"/>
  <c r="V110" i="125" s="1"/>
  <c r="P141" i="98"/>
  <c r="U139" i="125" s="1"/>
  <c r="T139" i="125"/>
  <c r="V139" i="125" s="1"/>
  <c r="P142" i="98"/>
  <c r="U140" i="125" s="1"/>
  <c r="T140" i="125"/>
  <c r="V140" i="125" s="1"/>
  <c r="P135" i="98"/>
  <c r="U133" i="125" s="1"/>
  <c r="T133" i="125"/>
  <c r="V133" i="125" s="1"/>
  <c r="F35" i="86"/>
  <c r="F24" i="86"/>
  <c r="T20" i="125"/>
  <c r="V20" i="125" s="1"/>
  <c r="F111" i="86"/>
  <c r="T108" i="125"/>
  <c r="V108" i="125" s="1"/>
  <c r="P42" i="98"/>
  <c r="U40" i="125" s="1"/>
  <c r="T40" i="125"/>
  <c r="V40" i="125" s="1"/>
  <c r="P131" i="98"/>
  <c r="U129" i="125" s="1"/>
  <c r="T129" i="125"/>
  <c r="V129" i="125" s="1"/>
  <c r="P127" i="98"/>
  <c r="U125" i="125" s="1"/>
  <c r="T125" i="125"/>
  <c r="V125" i="125" s="1"/>
  <c r="P133" i="98"/>
  <c r="U131" i="125" s="1"/>
  <c r="T131" i="125"/>
  <c r="V131" i="125" s="1"/>
  <c r="P27" i="98"/>
  <c r="U24" i="125" s="1"/>
  <c r="T24" i="125"/>
  <c r="V24" i="125" s="1"/>
  <c r="F120" i="86"/>
  <c r="T117" i="125"/>
  <c r="V117" i="125" s="1"/>
  <c r="F110" i="86"/>
  <c r="T107" i="125"/>
  <c r="V107" i="125" s="1"/>
  <c r="F20" i="86"/>
  <c r="T16" i="125"/>
  <c r="V16" i="125" s="1"/>
  <c r="P73" i="98"/>
  <c r="U71" i="125" s="1"/>
  <c r="T71" i="125"/>
  <c r="V71" i="125" s="1"/>
  <c r="P136" i="98"/>
  <c r="U134" i="125" s="1"/>
  <c r="T134" i="125"/>
  <c r="V134" i="125" s="1"/>
  <c r="F115" i="86"/>
  <c r="T112" i="125"/>
  <c r="V112" i="125" s="1"/>
  <c r="P137" i="98"/>
  <c r="U135" i="125" s="1"/>
  <c r="T135" i="125"/>
  <c r="V135" i="125" s="1"/>
  <c r="P130" i="98"/>
  <c r="U128" i="125" s="1"/>
  <c r="T128" i="125"/>
  <c r="V128" i="125" s="1"/>
  <c r="F105" i="86"/>
  <c r="T102" i="125"/>
  <c r="V102" i="125" s="1"/>
  <c r="F25" i="86"/>
  <c r="T21" i="125"/>
  <c r="V21" i="125" s="1"/>
  <c r="F23" i="86"/>
  <c r="T19" i="125"/>
  <c r="V19" i="125" s="1"/>
  <c r="F109" i="86"/>
  <c r="T106" i="125"/>
  <c r="V106" i="125" s="1"/>
  <c r="P132" i="98"/>
  <c r="U130" i="125" s="1"/>
  <c r="T130" i="125"/>
  <c r="V130" i="125" s="1"/>
  <c r="P138" i="98"/>
  <c r="U136" i="125" s="1"/>
  <c r="T136" i="125"/>
  <c r="V136" i="125" s="1"/>
  <c r="E25" i="86"/>
  <c r="O21" i="125"/>
  <c r="Q21" i="125" s="1"/>
  <c r="E120" i="86"/>
  <c r="O117" i="125"/>
  <c r="Q117" i="125" s="1"/>
  <c r="E109" i="86"/>
  <c r="O106" i="125"/>
  <c r="Q106" i="125" s="1"/>
  <c r="E71" i="86"/>
  <c r="O82" i="125"/>
  <c r="Q82" i="125" s="1"/>
  <c r="I71" i="98"/>
  <c r="P69" i="125" s="1"/>
  <c r="O69" i="125"/>
  <c r="Q69" i="125" s="1"/>
  <c r="E107" i="86"/>
  <c r="O104" i="125"/>
  <c r="Q104" i="125" s="1"/>
  <c r="E79" i="86"/>
  <c r="O76" i="125"/>
  <c r="Q76" i="125" s="1"/>
  <c r="E108" i="86"/>
  <c r="O105" i="125"/>
  <c r="Q105" i="125" s="1"/>
  <c r="I69" i="98"/>
  <c r="P67" i="125" s="1"/>
  <c r="O67" i="125"/>
  <c r="Q67" i="125" s="1"/>
  <c r="I20" i="98"/>
  <c r="P17" i="125" s="1"/>
  <c r="O17" i="125"/>
  <c r="Q17" i="125" s="1"/>
  <c r="I86" i="98"/>
  <c r="P84" i="125" s="1"/>
  <c r="O84" i="125"/>
  <c r="Q84" i="125" s="1"/>
  <c r="E24" i="86"/>
  <c r="O20" i="125"/>
  <c r="Q20" i="125" s="1"/>
  <c r="E58" i="86"/>
  <c r="O55" i="125"/>
  <c r="Q55" i="125" s="1"/>
  <c r="E105" i="86"/>
  <c r="O102" i="125"/>
  <c r="Q102" i="125" s="1"/>
  <c r="I41" i="98"/>
  <c r="P39" i="125" s="1"/>
  <c r="O39" i="125"/>
  <c r="Q39" i="125" s="1"/>
  <c r="I125" i="98"/>
  <c r="P123" i="125" s="1"/>
  <c r="O123" i="125"/>
  <c r="Q123" i="125" s="1"/>
  <c r="E23" i="86"/>
  <c r="O19" i="125"/>
  <c r="Q19" i="125" s="1"/>
  <c r="I31" i="98"/>
  <c r="P28" i="125" s="1"/>
  <c r="O28" i="125"/>
  <c r="Q28" i="125" s="1"/>
  <c r="E116" i="86"/>
  <c r="O113" i="125"/>
  <c r="Q113" i="125" s="1"/>
  <c r="E48" i="86"/>
  <c r="O45" i="125"/>
  <c r="Q45" i="125" s="1"/>
  <c r="E75" i="86"/>
  <c r="O72" i="125"/>
  <c r="Q72" i="125" s="1"/>
  <c r="I53" i="98"/>
  <c r="P51" i="125" s="1"/>
  <c r="O51" i="125"/>
  <c r="Q51" i="125" s="1"/>
  <c r="E119" i="86"/>
  <c r="O116" i="125"/>
  <c r="Q116" i="125" s="1"/>
  <c r="I42" i="98"/>
  <c r="P40" i="125" s="1"/>
  <c r="O40" i="125"/>
  <c r="Q40" i="125" s="1"/>
  <c r="E26" i="86"/>
  <c r="O22" i="125"/>
  <c r="Q22" i="125" s="1"/>
  <c r="E35" i="86"/>
  <c r="E140" i="86"/>
  <c r="O122" i="125"/>
  <c r="Q122" i="125" s="1"/>
  <c r="E112" i="86"/>
  <c r="O109" i="125"/>
  <c r="Q109" i="125" s="1"/>
  <c r="I68" i="98"/>
  <c r="P66" i="125" s="1"/>
  <c r="O66" i="125"/>
  <c r="Q66" i="125" s="1"/>
  <c r="I89" i="98"/>
  <c r="P87" i="125" s="1"/>
  <c r="O87" i="125"/>
  <c r="Q87" i="125" s="1"/>
  <c r="I64" i="98"/>
  <c r="P62" i="125" s="1"/>
  <c r="O62" i="125"/>
  <c r="Q62" i="125" s="1"/>
  <c r="I135" i="98"/>
  <c r="P133" i="125" s="1"/>
  <c r="O133" i="125"/>
  <c r="Q133" i="125" s="1"/>
  <c r="Q33" i="97"/>
  <c r="AI34" i="104"/>
  <c r="AI93" i="52"/>
  <c r="V93" i="52" s="1"/>
  <c r="D100" i="98"/>
  <c r="H100" i="98" s="1"/>
  <c r="C99" i="17"/>
  <c r="C32" i="120"/>
  <c r="C31" i="120"/>
  <c r="P32" i="120"/>
  <c r="P31" i="120"/>
  <c r="BK31" i="120"/>
  <c r="BN31" i="120" s="1"/>
  <c r="M32" i="120"/>
  <c r="M31" i="120"/>
  <c r="F32" i="120"/>
  <c r="F31" i="120"/>
  <c r="F101" i="98"/>
  <c r="H101" i="98" s="1"/>
  <c r="F100" i="17"/>
  <c r="H35" i="24"/>
  <c r="E32" i="82"/>
  <c r="T33" i="73" s="1"/>
  <c r="AK33" i="73" s="1"/>
  <c r="AL33" i="73" s="1"/>
  <c r="AD31" i="26"/>
  <c r="G32" i="82"/>
  <c r="M33" i="73" s="1"/>
  <c r="J33" i="73" s="1"/>
  <c r="K33" i="73" s="1"/>
  <c r="F35" i="24"/>
  <c r="S53" i="120"/>
  <c r="V53" i="120" s="1"/>
  <c r="M94" i="52"/>
  <c r="S99" i="120"/>
  <c r="V99" i="120" s="1"/>
  <c r="S108" i="120"/>
  <c r="V108" i="120" s="1"/>
  <c r="S125" i="120"/>
  <c r="V125" i="120" s="1"/>
  <c r="S16" i="120"/>
  <c r="V16" i="120" s="1"/>
  <c r="I93" i="120"/>
  <c r="L93" i="120" s="1"/>
  <c r="S98" i="120"/>
  <c r="V98" i="120" s="1"/>
  <c r="I90" i="120"/>
  <c r="L90" i="120" s="1"/>
  <c r="I76" i="120"/>
  <c r="L76" i="120" s="1"/>
  <c r="I82" i="120"/>
  <c r="L82" i="120" s="1"/>
  <c r="G27" i="24"/>
  <c r="E25" i="82" s="1"/>
  <c r="T26" i="73" s="1"/>
  <c r="BH24" i="120"/>
  <c r="G14" i="24"/>
  <c r="E12" i="82" s="1"/>
  <c r="T12" i="73" s="1"/>
  <c r="BH10" i="120"/>
  <c r="E30" i="24"/>
  <c r="D28" i="82" s="1"/>
  <c r="S29" i="73" s="1"/>
  <c r="BE27" i="120"/>
  <c r="G25" i="24"/>
  <c r="E23" i="82" s="1"/>
  <c r="T24" i="73" s="1"/>
  <c r="BH22" i="120"/>
  <c r="E13" i="24"/>
  <c r="D11" i="82" s="1"/>
  <c r="S11" i="73" s="1"/>
  <c r="BE9" i="120"/>
  <c r="E14" i="24"/>
  <c r="D12" i="82" s="1"/>
  <c r="S12" i="73" s="1"/>
  <c r="BE10" i="120"/>
  <c r="BG10" i="120" s="1"/>
  <c r="E26" i="24"/>
  <c r="D24" i="82" s="1"/>
  <c r="S25" i="73" s="1"/>
  <c r="BE23" i="120"/>
  <c r="G28" i="24"/>
  <c r="H28" i="24" s="1"/>
  <c r="BH25" i="120"/>
  <c r="G137" i="24"/>
  <c r="H137" i="24" s="1"/>
  <c r="AA137" i="24" s="1"/>
  <c r="D137" i="24" s="1"/>
  <c r="BH134" i="120"/>
  <c r="E123" i="24"/>
  <c r="F123" i="24" s="1"/>
  <c r="BE120" i="120"/>
  <c r="G88" i="24"/>
  <c r="H88" i="24" s="1"/>
  <c r="AA88" i="24" s="1"/>
  <c r="BH85" i="120"/>
  <c r="E131" i="24"/>
  <c r="F131" i="24" s="1"/>
  <c r="BE128" i="120"/>
  <c r="E117" i="24"/>
  <c r="F117" i="24" s="1"/>
  <c r="BE114" i="120"/>
  <c r="G121" i="24"/>
  <c r="H121" i="24" s="1"/>
  <c r="BH118" i="120"/>
  <c r="E77" i="24"/>
  <c r="F77" i="24" s="1"/>
  <c r="BE74" i="120"/>
  <c r="G120" i="24"/>
  <c r="H120" i="24" s="1"/>
  <c r="BH117" i="120"/>
  <c r="G96" i="24"/>
  <c r="H96" i="24" s="1"/>
  <c r="BH93" i="120"/>
  <c r="E94" i="24"/>
  <c r="D91" i="82" s="1"/>
  <c r="S92" i="73" s="1"/>
  <c r="BE91" i="120"/>
  <c r="E33" i="24"/>
  <c r="F33" i="24" s="1"/>
  <c r="BE30" i="120"/>
  <c r="G129" i="24"/>
  <c r="H129" i="24" s="1"/>
  <c r="AA129" i="24" s="1"/>
  <c r="D129" i="24" s="1"/>
  <c r="BH126" i="120"/>
  <c r="G40" i="24"/>
  <c r="H40" i="24" s="1"/>
  <c r="AA40" i="24" s="1"/>
  <c r="D40" i="24" s="1"/>
  <c r="BH37" i="120"/>
  <c r="G138" i="24"/>
  <c r="H138" i="24" s="1"/>
  <c r="AA138" i="24" s="1"/>
  <c r="D138" i="24" s="1"/>
  <c r="BH135" i="120"/>
  <c r="G59" i="24"/>
  <c r="H59" i="24" s="1"/>
  <c r="BH56" i="120"/>
  <c r="G19" i="24"/>
  <c r="H19" i="24" s="1"/>
  <c r="AA19" i="24" s="1"/>
  <c r="D19" i="24" s="1"/>
  <c r="BH15" i="120"/>
  <c r="E97" i="24"/>
  <c r="F97" i="24" s="1"/>
  <c r="BE94" i="120"/>
  <c r="E54" i="24"/>
  <c r="F54" i="24" s="1"/>
  <c r="BE51" i="120"/>
  <c r="G38" i="24"/>
  <c r="E35" i="82" s="1"/>
  <c r="T36" i="73" s="1"/>
  <c r="BH35" i="120"/>
  <c r="G80" i="24"/>
  <c r="H80" i="24" s="1"/>
  <c r="BH77" i="120"/>
  <c r="G140" i="24"/>
  <c r="H140" i="24" s="1"/>
  <c r="AA140" i="24" s="1"/>
  <c r="D140" i="24" s="1"/>
  <c r="BH137" i="120"/>
  <c r="E48" i="24"/>
  <c r="F48" i="24" s="1"/>
  <c r="BE45" i="120"/>
  <c r="E46" i="24"/>
  <c r="F46" i="24" s="1"/>
  <c r="BE43" i="120"/>
  <c r="E76" i="24"/>
  <c r="F76" i="24" s="1"/>
  <c r="BE73" i="120"/>
  <c r="BG73" i="120" s="1"/>
  <c r="G141" i="24"/>
  <c r="H141" i="24" s="1"/>
  <c r="AA141" i="24" s="1"/>
  <c r="D141" i="24" s="1"/>
  <c r="BH138" i="120"/>
  <c r="G148" i="24"/>
  <c r="H148" i="24" s="1"/>
  <c r="AA148" i="24" s="1"/>
  <c r="D148" i="24" s="1"/>
  <c r="BH145" i="120"/>
  <c r="E64" i="24"/>
  <c r="F64" i="24" s="1"/>
  <c r="BE61" i="120"/>
  <c r="BG61" i="120" s="1"/>
  <c r="E56" i="24"/>
  <c r="F56" i="24" s="1"/>
  <c r="BE53" i="120"/>
  <c r="E132" i="24"/>
  <c r="F132" i="24" s="1"/>
  <c r="BE129" i="120"/>
  <c r="E102" i="24"/>
  <c r="D99" i="82" s="1"/>
  <c r="S100" i="73" s="1"/>
  <c r="BE99" i="120"/>
  <c r="E15" i="24"/>
  <c r="D13" i="82" s="1"/>
  <c r="S13" i="73" s="1"/>
  <c r="BE11" i="120"/>
  <c r="BG11" i="120" s="1"/>
  <c r="G17" i="24"/>
  <c r="H17" i="24" s="1"/>
  <c r="AA17" i="24" s="1"/>
  <c r="BH13" i="120"/>
  <c r="G10" i="24"/>
  <c r="H10" i="24" s="1"/>
  <c r="AA10" i="24" s="1"/>
  <c r="BH6" i="120"/>
  <c r="E28" i="24"/>
  <c r="F28" i="24" s="1"/>
  <c r="BE25" i="120"/>
  <c r="E10" i="24"/>
  <c r="F10" i="24" s="1"/>
  <c r="BE6" i="120"/>
  <c r="E120" i="24"/>
  <c r="F120" i="24" s="1"/>
  <c r="BE117" i="120"/>
  <c r="E85" i="24"/>
  <c r="F85" i="24" s="1"/>
  <c r="BE82" i="120"/>
  <c r="BG82" i="120" s="1"/>
  <c r="E79" i="24"/>
  <c r="F79" i="24" s="1"/>
  <c r="BE76" i="120"/>
  <c r="G127" i="24"/>
  <c r="H127" i="24" s="1"/>
  <c r="AA127" i="24" s="1"/>
  <c r="D127" i="24" s="1"/>
  <c r="BH124" i="120"/>
  <c r="E111" i="24"/>
  <c r="D103" i="82" s="1"/>
  <c r="S104" i="73" s="1"/>
  <c r="BE108" i="120"/>
  <c r="E119" i="24"/>
  <c r="F119" i="24" s="1"/>
  <c r="BE116" i="120"/>
  <c r="E126" i="24"/>
  <c r="F126" i="24" s="1"/>
  <c r="BE123" i="120"/>
  <c r="E88" i="24"/>
  <c r="F88" i="24" s="1"/>
  <c r="BE85" i="120"/>
  <c r="E98" i="24"/>
  <c r="F98" i="24" s="1"/>
  <c r="BE95" i="120"/>
  <c r="E116" i="24"/>
  <c r="F116" i="24" s="1"/>
  <c r="BE113" i="120"/>
  <c r="G75" i="24"/>
  <c r="E72" i="82" s="1"/>
  <c r="T73" i="73" s="1"/>
  <c r="BH72" i="120"/>
  <c r="E67" i="24"/>
  <c r="F67" i="24" s="1"/>
  <c r="BE64" i="120"/>
  <c r="G45" i="24"/>
  <c r="H45" i="24" s="1"/>
  <c r="BH42" i="120"/>
  <c r="G60" i="24"/>
  <c r="H60" i="24" s="1"/>
  <c r="BH57" i="120"/>
  <c r="E147" i="24"/>
  <c r="F147" i="24" s="1"/>
  <c r="BE144" i="120"/>
  <c r="G111" i="24"/>
  <c r="H111" i="24" s="1"/>
  <c r="AA111" i="24" s="1"/>
  <c r="BH108" i="120"/>
  <c r="G147" i="24"/>
  <c r="H147" i="24" s="1"/>
  <c r="AA147" i="24" s="1"/>
  <c r="D147" i="24" s="1"/>
  <c r="BH144" i="120"/>
  <c r="G100" i="24"/>
  <c r="H100" i="24" s="1"/>
  <c r="BH97" i="120"/>
  <c r="G61" i="24"/>
  <c r="H61" i="24" s="1"/>
  <c r="BH58" i="120"/>
  <c r="E65" i="24"/>
  <c r="F65" i="24" s="1"/>
  <c r="BE62" i="120"/>
  <c r="E60" i="24"/>
  <c r="F60" i="24" s="1"/>
  <c r="BE57" i="120"/>
  <c r="E52" i="24"/>
  <c r="F52" i="24" s="1"/>
  <c r="BE49" i="120"/>
  <c r="G41" i="24"/>
  <c r="H41" i="24" s="1"/>
  <c r="BH38" i="120"/>
  <c r="E81" i="24"/>
  <c r="F81" i="24" s="1"/>
  <c r="BE78" i="120"/>
  <c r="G44" i="24"/>
  <c r="H44" i="24" s="1"/>
  <c r="BH41" i="120"/>
  <c r="O117" i="98"/>
  <c r="AS120" i="120"/>
  <c r="AV120" i="120" s="1"/>
  <c r="AY120" i="120" s="1"/>
  <c r="E42" i="24"/>
  <c r="F42" i="24" s="1"/>
  <c r="BE39" i="120"/>
  <c r="E68" i="24"/>
  <c r="F68" i="24" s="1"/>
  <c r="BE65" i="120"/>
  <c r="E101" i="24"/>
  <c r="F101" i="24" s="1"/>
  <c r="BE98" i="120"/>
  <c r="G118" i="24"/>
  <c r="H118" i="24" s="1"/>
  <c r="BH115" i="120"/>
  <c r="G146" i="24"/>
  <c r="H146" i="24" s="1"/>
  <c r="AA146" i="24" s="1"/>
  <c r="D146" i="24" s="1"/>
  <c r="BH143" i="120"/>
  <c r="G99" i="24"/>
  <c r="H99" i="24" s="1"/>
  <c r="BH96" i="120"/>
  <c r="G34" i="24"/>
  <c r="H34" i="24" s="1"/>
  <c r="BH32" i="120"/>
  <c r="G21" i="24"/>
  <c r="H21" i="24" s="1"/>
  <c r="AA21" i="24" s="1"/>
  <c r="D21" i="24" s="1"/>
  <c r="BH17" i="120"/>
  <c r="E17" i="24"/>
  <c r="D15" i="82" s="1"/>
  <c r="S15" i="73" s="1"/>
  <c r="BE13" i="120"/>
  <c r="BG13" i="120" s="1"/>
  <c r="E9" i="24"/>
  <c r="F9" i="24" s="1"/>
  <c r="BE5" i="120"/>
  <c r="E21" i="24"/>
  <c r="F21" i="24" s="1"/>
  <c r="BE17" i="120"/>
  <c r="G22" i="24"/>
  <c r="E20" i="82" s="1"/>
  <c r="T20" i="73" s="1"/>
  <c r="BH18" i="120"/>
  <c r="E113" i="24"/>
  <c r="F113" i="24" s="1"/>
  <c r="BE110" i="120"/>
  <c r="E130" i="24"/>
  <c r="F130" i="24" s="1"/>
  <c r="BE127" i="120"/>
  <c r="BG127" i="120" s="1"/>
  <c r="G119" i="24"/>
  <c r="H119" i="24" s="1"/>
  <c r="BH116" i="120"/>
  <c r="E122" i="24"/>
  <c r="F122" i="24" s="1"/>
  <c r="BE119" i="120"/>
  <c r="G84" i="24"/>
  <c r="H84" i="24" s="1"/>
  <c r="BH81" i="120"/>
  <c r="E110" i="24"/>
  <c r="F110" i="24" s="1"/>
  <c r="BE107" i="120"/>
  <c r="G125" i="24"/>
  <c r="H125" i="24" s="1"/>
  <c r="D125" i="24" s="1"/>
  <c r="BH122" i="120"/>
  <c r="E91" i="24"/>
  <c r="F91" i="24" s="1"/>
  <c r="BE88" i="120"/>
  <c r="BG88" i="120" s="1"/>
  <c r="E140" i="24"/>
  <c r="D132" i="82" s="1"/>
  <c r="S133" i="73" s="1"/>
  <c r="BE137" i="120"/>
  <c r="E57" i="24"/>
  <c r="F57" i="24" s="1"/>
  <c r="BE54" i="120"/>
  <c r="BG54" i="120" s="1"/>
  <c r="G122" i="24"/>
  <c r="H122" i="24" s="1"/>
  <c r="D122" i="24" s="1"/>
  <c r="BH119" i="120"/>
  <c r="G62" i="24"/>
  <c r="H62" i="24" s="1"/>
  <c r="BH59" i="120"/>
  <c r="G134" i="24"/>
  <c r="H134" i="24" s="1"/>
  <c r="AA134" i="24" s="1"/>
  <c r="D134" i="24" s="1"/>
  <c r="BH131" i="120"/>
  <c r="G110" i="24"/>
  <c r="H110" i="24" s="1"/>
  <c r="AA110" i="24" s="1"/>
  <c r="BH107" i="120"/>
  <c r="G144" i="24"/>
  <c r="H144" i="24" s="1"/>
  <c r="AA144" i="24" s="1"/>
  <c r="D144" i="24" s="1"/>
  <c r="BH141" i="120"/>
  <c r="E49" i="24"/>
  <c r="F49" i="24" s="1"/>
  <c r="BE46" i="120"/>
  <c r="G130" i="24"/>
  <c r="H130" i="24" s="1"/>
  <c r="AA130" i="24" s="1"/>
  <c r="D130" i="24" s="1"/>
  <c r="BH127" i="120"/>
  <c r="E45" i="24"/>
  <c r="F45" i="24" s="1"/>
  <c r="BE42" i="120"/>
  <c r="BG42" i="120" s="1"/>
  <c r="G68" i="24"/>
  <c r="H68" i="24" s="1"/>
  <c r="AA68" i="24" s="1"/>
  <c r="D68" i="24" s="1"/>
  <c r="BH65" i="120"/>
  <c r="G74" i="24"/>
  <c r="H74" i="24" s="1"/>
  <c r="BH71" i="120"/>
  <c r="E74" i="24"/>
  <c r="F74" i="24" s="1"/>
  <c r="BE71" i="120"/>
  <c r="BG71" i="120" s="1"/>
  <c r="E34" i="24"/>
  <c r="F34" i="24" s="1"/>
  <c r="BE32" i="120"/>
  <c r="G76" i="24"/>
  <c r="H76" i="24" s="1"/>
  <c r="BH73" i="120"/>
  <c r="E104" i="24"/>
  <c r="F104" i="24" s="1"/>
  <c r="BE101" i="120"/>
  <c r="BK101" i="120" s="1"/>
  <c r="BN101" i="120" s="1"/>
  <c r="E71" i="24"/>
  <c r="F71" i="24" s="1"/>
  <c r="BE68" i="120"/>
  <c r="AJ32" i="104"/>
  <c r="AS96" i="120"/>
  <c r="AV96" i="120" s="1"/>
  <c r="AY96" i="120" s="1"/>
  <c r="O100" i="98"/>
  <c r="AI98" i="120"/>
  <c r="AL98" i="120" s="1"/>
  <c r="AO98" i="120" s="1"/>
  <c r="G16" i="24"/>
  <c r="E14" i="82" s="1"/>
  <c r="T14" i="73" s="1"/>
  <c r="BH12" i="120"/>
  <c r="G13" i="24"/>
  <c r="E11" i="82" s="1"/>
  <c r="T11" i="73" s="1"/>
  <c r="BH9" i="120"/>
  <c r="E19" i="24"/>
  <c r="D17" i="82" s="1"/>
  <c r="S17" i="73" s="1"/>
  <c r="BE15" i="120"/>
  <c r="E82" i="24"/>
  <c r="F82" i="24" s="1"/>
  <c r="BE79" i="120"/>
  <c r="G117" i="24"/>
  <c r="H117" i="24" s="1"/>
  <c r="BH114" i="120"/>
  <c r="E129" i="24"/>
  <c r="F129" i="24" s="1"/>
  <c r="BE126" i="120"/>
  <c r="G89" i="24"/>
  <c r="H89" i="24" s="1"/>
  <c r="BH86" i="120"/>
  <c r="E75" i="24"/>
  <c r="F75" i="24" s="1"/>
  <c r="BE72" i="120"/>
  <c r="BG72" i="120" s="1"/>
  <c r="E125" i="24"/>
  <c r="D117" i="82" s="1"/>
  <c r="BE122" i="120"/>
  <c r="E93" i="24"/>
  <c r="F93" i="24" s="1"/>
  <c r="BE90" i="120"/>
  <c r="BG90" i="120" s="1"/>
  <c r="G139" i="24"/>
  <c r="H139" i="24" s="1"/>
  <c r="AA139" i="24" s="1"/>
  <c r="D139" i="24" s="1"/>
  <c r="BH136" i="120"/>
  <c r="E118" i="24"/>
  <c r="F118" i="24" s="1"/>
  <c r="BE115" i="120"/>
  <c r="G42" i="24"/>
  <c r="H42" i="24" s="1"/>
  <c r="BH39" i="120"/>
  <c r="G39" i="24"/>
  <c r="E36" i="82" s="1"/>
  <c r="T37" i="73" s="1"/>
  <c r="BH36" i="120"/>
  <c r="G58" i="24"/>
  <c r="H58" i="24" s="1"/>
  <c r="BH55" i="120"/>
  <c r="G36" i="24"/>
  <c r="H36" i="24" s="1"/>
  <c r="BH33" i="120"/>
  <c r="G48" i="24"/>
  <c r="H48" i="24" s="1"/>
  <c r="BH45" i="120"/>
  <c r="G128" i="24"/>
  <c r="E120" i="82" s="1"/>
  <c r="T121" i="73" s="1"/>
  <c r="BH125" i="120"/>
  <c r="G53" i="24"/>
  <c r="H53" i="24" s="1"/>
  <c r="BH50" i="120"/>
  <c r="G79" i="24"/>
  <c r="H79" i="24" s="1"/>
  <c r="BH76" i="120"/>
  <c r="E31" i="24"/>
  <c r="F31" i="24" s="1"/>
  <c r="BE28" i="120"/>
  <c r="E11" i="24"/>
  <c r="F11" i="24" s="1"/>
  <c r="BE7" i="120"/>
  <c r="BK7" i="120" s="1"/>
  <c r="BN7" i="120" s="1"/>
  <c r="E43" i="24"/>
  <c r="F43" i="24" s="1"/>
  <c r="BE40" i="120"/>
  <c r="E69" i="24"/>
  <c r="F69" i="24" s="1"/>
  <c r="BE66" i="120"/>
  <c r="BG66" i="120" s="1"/>
  <c r="G54" i="24"/>
  <c r="H54" i="24" s="1"/>
  <c r="BH51" i="120"/>
  <c r="E63" i="24"/>
  <c r="F63" i="24" s="1"/>
  <c r="BE60" i="120"/>
  <c r="BK60" i="120" s="1"/>
  <c r="BN60" i="120" s="1"/>
  <c r="E51" i="24"/>
  <c r="F51" i="24" s="1"/>
  <c r="BE48" i="120"/>
  <c r="BG48" i="120" s="1"/>
  <c r="E24" i="24"/>
  <c r="D22" i="82" s="1"/>
  <c r="BE21" i="120"/>
  <c r="BG21" i="120" s="1"/>
  <c r="E25" i="24"/>
  <c r="D23" i="82" s="1"/>
  <c r="S24" i="73" s="1"/>
  <c r="BE22" i="120"/>
  <c r="E29" i="24"/>
  <c r="F29" i="24" s="1"/>
  <c r="BE26" i="120"/>
  <c r="E12" i="24"/>
  <c r="F12" i="24" s="1"/>
  <c r="BE8" i="120"/>
  <c r="BG8" i="120" s="1"/>
  <c r="E87" i="24"/>
  <c r="F87" i="24" s="1"/>
  <c r="BE84" i="120"/>
  <c r="G91" i="24"/>
  <c r="H91" i="24" s="1"/>
  <c r="AA91" i="24" s="1"/>
  <c r="BH88" i="120"/>
  <c r="E114" i="24"/>
  <c r="F114" i="24" s="1"/>
  <c r="BE111" i="120"/>
  <c r="E95" i="24"/>
  <c r="F95" i="24" s="1"/>
  <c r="BE92" i="120"/>
  <c r="E139" i="24"/>
  <c r="F139" i="24" s="1"/>
  <c r="BE136" i="120"/>
  <c r="BG136" i="120" s="1"/>
  <c r="E96" i="24"/>
  <c r="F96" i="24" s="1"/>
  <c r="BE93" i="120"/>
  <c r="BG93" i="120" s="1"/>
  <c r="E84" i="24"/>
  <c r="F84" i="24" s="1"/>
  <c r="BE81" i="120"/>
  <c r="BG81" i="120" s="1"/>
  <c r="G94" i="24"/>
  <c r="H94" i="24" s="1"/>
  <c r="AA94" i="24" s="1"/>
  <c r="BH91" i="120"/>
  <c r="G114" i="24"/>
  <c r="H114" i="24" s="1"/>
  <c r="AA114" i="24" s="1"/>
  <c r="BH111" i="120"/>
  <c r="E115" i="24"/>
  <c r="D107" i="82" s="1"/>
  <c r="S108" i="73" s="1"/>
  <c r="BE112" i="120"/>
  <c r="E103" i="24"/>
  <c r="F103" i="24" s="1"/>
  <c r="BE100" i="120"/>
  <c r="G113" i="24"/>
  <c r="H113" i="24" s="1"/>
  <c r="AA113" i="24" s="1"/>
  <c r="BH110" i="120"/>
  <c r="E37" i="24"/>
  <c r="F37" i="24" s="1"/>
  <c r="BE34" i="120"/>
  <c r="G116" i="24"/>
  <c r="H116" i="24" s="1"/>
  <c r="D116" i="24" s="1"/>
  <c r="BH113" i="120"/>
  <c r="G77" i="24"/>
  <c r="H77" i="24" s="1"/>
  <c r="BH74" i="120"/>
  <c r="G126" i="24"/>
  <c r="H126" i="24" s="1"/>
  <c r="AA126" i="24" s="1"/>
  <c r="BH123" i="120"/>
  <c r="G65" i="24"/>
  <c r="E62" i="82" s="1"/>
  <c r="T63" i="73" s="1"/>
  <c r="BH62" i="120"/>
  <c r="E70" i="24"/>
  <c r="F70" i="24" s="1"/>
  <c r="BE67" i="120"/>
  <c r="E44" i="24"/>
  <c r="F44" i="24" s="1"/>
  <c r="BE41" i="120"/>
  <c r="E66" i="24"/>
  <c r="F66" i="24" s="1"/>
  <c r="BE63" i="120"/>
  <c r="E38" i="24"/>
  <c r="F38" i="24" s="1"/>
  <c r="BE35" i="120"/>
  <c r="E50" i="24"/>
  <c r="F50" i="24" s="1"/>
  <c r="BE47" i="120"/>
  <c r="E62" i="24"/>
  <c r="F62" i="24" s="1"/>
  <c r="BE59" i="120"/>
  <c r="G69" i="24"/>
  <c r="H69" i="24" s="1"/>
  <c r="BH66" i="120"/>
  <c r="G71" i="24"/>
  <c r="H71" i="24" s="1"/>
  <c r="BH68" i="120"/>
  <c r="E143" i="24"/>
  <c r="F143" i="24" s="1"/>
  <c r="BE140" i="120"/>
  <c r="BG140" i="120" s="1"/>
  <c r="G143" i="24"/>
  <c r="H143" i="24" s="1"/>
  <c r="AA143" i="24" s="1"/>
  <c r="BH140" i="120"/>
  <c r="E39" i="24"/>
  <c r="F39" i="24" s="1"/>
  <c r="BE36" i="120"/>
  <c r="G56" i="24"/>
  <c r="H56" i="24" s="1"/>
  <c r="BH53" i="120"/>
  <c r="G43" i="24"/>
  <c r="H43" i="24" s="1"/>
  <c r="BH40" i="120"/>
  <c r="O99" i="98"/>
  <c r="AS97" i="120"/>
  <c r="AV97" i="120" s="1"/>
  <c r="AY97" i="120" s="1"/>
  <c r="G12" i="24"/>
  <c r="H12" i="24" s="1"/>
  <c r="AA12" i="24" s="1"/>
  <c r="D12" i="24" s="1"/>
  <c r="BH8" i="120"/>
  <c r="E18" i="24"/>
  <c r="D16" i="82" s="1"/>
  <c r="S16" i="73" s="1"/>
  <c r="BE14" i="120"/>
  <c r="BG14" i="120" s="1"/>
  <c r="G24" i="24"/>
  <c r="H24" i="24" s="1"/>
  <c r="BH21" i="120"/>
  <c r="E135" i="24"/>
  <c r="F135" i="24" s="1"/>
  <c r="BE132" i="120"/>
  <c r="G92" i="24"/>
  <c r="H92" i="24" s="1"/>
  <c r="AA92" i="24" s="1"/>
  <c r="BH89" i="120"/>
  <c r="G87" i="24"/>
  <c r="H87" i="24" s="1"/>
  <c r="AA87" i="24" s="1"/>
  <c r="D87" i="24" s="1"/>
  <c r="BH84" i="120"/>
  <c r="G78" i="24"/>
  <c r="H78" i="24" s="1"/>
  <c r="BH75" i="120"/>
  <c r="E83" i="24"/>
  <c r="F83" i="24" s="1"/>
  <c r="BE80" i="120"/>
  <c r="BG80" i="120" s="1"/>
  <c r="G86" i="24"/>
  <c r="H86" i="24" s="1"/>
  <c r="AA86" i="24" s="1"/>
  <c r="BH83" i="120"/>
  <c r="E73" i="24"/>
  <c r="D70" i="82" s="1"/>
  <c r="S71" i="73" s="1"/>
  <c r="BE70" i="120"/>
  <c r="E32" i="24"/>
  <c r="F32" i="24" s="1"/>
  <c r="BE29" i="120"/>
  <c r="BG29" i="120" s="1"/>
  <c r="G85" i="24"/>
  <c r="H85" i="24" s="1"/>
  <c r="BH82" i="120"/>
  <c r="G133" i="24"/>
  <c r="H133" i="24" s="1"/>
  <c r="AA133" i="24" s="1"/>
  <c r="D133" i="24" s="1"/>
  <c r="BH130" i="120"/>
  <c r="G83" i="24"/>
  <c r="H83" i="24" s="1"/>
  <c r="AA83" i="24" s="1"/>
  <c r="D83" i="24" s="1"/>
  <c r="BH80" i="120"/>
  <c r="G52" i="24"/>
  <c r="E49" i="82" s="1"/>
  <c r="T50" i="73" s="1"/>
  <c r="BH49" i="120"/>
  <c r="G70" i="24"/>
  <c r="H70" i="24" s="1"/>
  <c r="BH67" i="120"/>
  <c r="G57" i="24"/>
  <c r="H57" i="24" s="1"/>
  <c r="BH54" i="120"/>
  <c r="G102" i="24"/>
  <c r="H102" i="24" s="1"/>
  <c r="BH99" i="120"/>
  <c r="G64" i="24"/>
  <c r="H64" i="24" s="1"/>
  <c r="BH61" i="120"/>
  <c r="G31" i="24"/>
  <c r="H31" i="24" s="1"/>
  <c r="BH28" i="120"/>
  <c r="G46" i="24"/>
  <c r="H46" i="24" s="1"/>
  <c r="BH43" i="120"/>
  <c r="E55" i="24"/>
  <c r="F55" i="24" s="1"/>
  <c r="BE52" i="120"/>
  <c r="E138" i="24"/>
  <c r="F138" i="24" s="1"/>
  <c r="BE135" i="120"/>
  <c r="BG135" i="120" s="1"/>
  <c r="E134" i="24"/>
  <c r="F134" i="24" s="1"/>
  <c r="BE131" i="120"/>
  <c r="BG131" i="120" s="1"/>
  <c r="E36" i="24"/>
  <c r="F36" i="24" s="1"/>
  <c r="BE33" i="120"/>
  <c r="G66" i="24"/>
  <c r="H66" i="24" s="1"/>
  <c r="BH63" i="120"/>
  <c r="E61" i="24"/>
  <c r="F61" i="24" s="1"/>
  <c r="BE58" i="120"/>
  <c r="G142" i="24"/>
  <c r="H142" i="24" s="1"/>
  <c r="AA142" i="24" s="1"/>
  <c r="BH139" i="120"/>
  <c r="BK139" i="120" s="1"/>
  <c r="BN139" i="120" s="1"/>
  <c r="G51" i="24"/>
  <c r="H51" i="24" s="1"/>
  <c r="BH48" i="120"/>
  <c r="G15" i="24"/>
  <c r="H15" i="24" s="1"/>
  <c r="AA15" i="24" s="1"/>
  <c r="D15" i="24" s="1"/>
  <c r="BH11" i="120"/>
  <c r="G30" i="24"/>
  <c r="H30" i="24" s="1"/>
  <c r="BH27" i="120"/>
  <c r="E27" i="24"/>
  <c r="F27" i="24" s="1"/>
  <c r="BE24" i="120"/>
  <c r="G20" i="24"/>
  <c r="E18" i="82" s="1"/>
  <c r="T18" i="73" s="1"/>
  <c r="BH16" i="120"/>
  <c r="G26" i="24"/>
  <c r="H26" i="24" s="1"/>
  <c r="BH23" i="120"/>
  <c r="E23" i="24"/>
  <c r="D21" i="82" s="1"/>
  <c r="S21" i="73" s="1"/>
  <c r="BE19" i="120"/>
  <c r="G95" i="24"/>
  <c r="H95" i="24" s="1"/>
  <c r="AA95" i="24" s="1"/>
  <c r="BH92" i="120"/>
  <c r="G131" i="24"/>
  <c r="H131" i="24" s="1"/>
  <c r="AA131" i="24" s="1"/>
  <c r="BH128" i="120"/>
  <c r="E121" i="24"/>
  <c r="F121" i="24" s="1"/>
  <c r="BE118" i="120"/>
  <c r="E78" i="24"/>
  <c r="D75" i="82" s="1"/>
  <c r="S76" i="73" s="1"/>
  <c r="BE75" i="120"/>
  <c r="E128" i="24"/>
  <c r="F128" i="24" s="1"/>
  <c r="BE125" i="120"/>
  <c r="G93" i="24"/>
  <c r="H93" i="24" s="1"/>
  <c r="BH90" i="120"/>
  <c r="G112" i="24"/>
  <c r="E104" i="82" s="1"/>
  <c r="T105" i="73" s="1"/>
  <c r="BH109" i="120"/>
  <c r="E124" i="24"/>
  <c r="D116" i="82" s="1"/>
  <c r="BE121" i="120"/>
  <c r="E90" i="24"/>
  <c r="F90" i="24" s="1"/>
  <c r="BE87" i="120"/>
  <c r="G123" i="24"/>
  <c r="H123" i="24" s="1"/>
  <c r="D123" i="24" s="1"/>
  <c r="BH120" i="120"/>
  <c r="G32" i="24"/>
  <c r="H32" i="24" s="1"/>
  <c r="BH29" i="120"/>
  <c r="G101" i="24"/>
  <c r="H101" i="24" s="1"/>
  <c r="BH98" i="120"/>
  <c r="G37" i="24"/>
  <c r="H37" i="24" s="1"/>
  <c r="AA37" i="24" s="1"/>
  <c r="BH34" i="120"/>
  <c r="E145" i="24"/>
  <c r="F145" i="24" s="1"/>
  <c r="BE142" i="120"/>
  <c r="E72" i="24"/>
  <c r="F72" i="24" s="1"/>
  <c r="BE69" i="120"/>
  <c r="E133" i="24"/>
  <c r="F133" i="24" s="1"/>
  <c r="BE130" i="120"/>
  <c r="G47" i="24"/>
  <c r="H47" i="24" s="1"/>
  <c r="BH44" i="120"/>
  <c r="E53" i="24"/>
  <c r="F53" i="24" s="1"/>
  <c r="BE50" i="120"/>
  <c r="E47" i="24"/>
  <c r="F47" i="24" s="1"/>
  <c r="BE44" i="120"/>
  <c r="G72" i="24"/>
  <c r="H72" i="24" s="1"/>
  <c r="BH69" i="120"/>
  <c r="G55" i="24"/>
  <c r="H55" i="24" s="1"/>
  <c r="BH52" i="120"/>
  <c r="G132" i="24"/>
  <c r="H132" i="24" s="1"/>
  <c r="AA132" i="24" s="1"/>
  <c r="BH129" i="120"/>
  <c r="G145" i="24"/>
  <c r="H145" i="24" s="1"/>
  <c r="AA145" i="24" s="1"/>
  <c r="BH142" i="120"/>
  <c r="O101" i="98"/>
  <c r="AS99" i="120"/>
  <c r="AV99" i="120" s="1"/>
  <c r="AY99" i="120" s="1"/>
  <c r="G23" i="24"/>
  <c r="E21" i="82" s="1"/>
  <c r="T21" i="73" s="1"/>
  <c r="BH19" i="120"/>
  <c r="G9" i="24"/>
  <c r="E7" i="82" s="1"/>
  <c r="T7" i="73" s="1"/>
  <c r="BH5" i="120"/>
  <c r="G29" i="24"/>
  <c r="H29" i="24" s="1"/>
  <c r="BH26" i="120"/>
  <c r="E16" i="24"/>
  <c r="F16" i="24" s="1"/>
  <c r="BE12" i="120"/>
  <c r="BG12" i="120" s="1"/>
  <c r="E20" i="24"/>
  <c r="D18" i="82" s="1"/>
  <c r="S18" i="73" s="1"/>
  <c r="BE16" i="120"/>
  <c r="G18" i="24"/>
  <c r="E16" i="82" s="1"/>
  <c r="T16" i="73" s="1"/>
  <c r="BH14" i="120"/>
  <c r="G124" i="24"/>
  <c r="H124" i="24" s="1"/>
  <c r="D124" i="24" s="1"/>
  <c r="BH121" i="120"/>
  <c r="E92" i="24"/>
  <c r="D89" i="82" s="1"/>
  <c r="S90" i="73" s="1"/>
  <c r="BE89" i="120"/>
  <c r="G73" i="24"/>
  <c r="H73" i="24" s="1"/>
  <c r="BH70" i="120"/>
  <c r="G90" i="24"/>
  <c r="H90" i="24" s="1"/>
  <c r="AA90" i="24" s="1"/>
  <c r="BH87" i="120"/>
  <c r="G81" i="24"/>
  <c r="H81" i="24" s="1"/>
  <c r="BH78" i="120"/>
  <c r="E89" i="24"/>
  <c r="F89" i="24" s="1"/>
  <c r="BE86" i="120"/>
  <c r="E112" i="24"/>
  <c r="F112" i="24" s="1"/>
  <c r="BE109" i="120"/>
  <c r="G33" i="24"/>
  <c r="H33" i="24" s="1"/>
  <c r="BH30" i="120"/>
  <c r="E127" i="24"/>
  <c r="F127" i="24" s="1"/>
  <c r="BE124" i="120"/>
  <c r="E80" i="24"/>
  <c r="F80" i="24" s="1"/>
  <c r="BE77" i="120"/>
  <c r="BG77" i="120" s="1"/>
  <c r="G97" i="24"/>
  <c r="H97" i="24" s="1"/>
  <c r="BH94" i="120"/>
  <c r="E148" i="24"/>
  <c r="F148" i="24" s="1"/>
  <c r="BE145" i="120"/>
  <c r="G82" i="24"/>
  <c r="H82" i="24" s="1"/>
  <c r="BH79" i="120"/>
  <c r="E41" i="24"/>
  <c r="F41" i="24" s="1"/>
  <c r="BE38" i="120"/>
  <c r="E40" i="24"/>
  <c r="F40" i="24" s="1"/>
  <c r="BE37" i="120"/>
  <c r="BG37" i="120" s="1"/>
  <c r="G98" i="24"/>
  <c r="H98" i="24" s="1"/>
  <c r="BH95" i="120"/>
  <c r="E58" i="24"/>
  <c r="F58" i="24" s="1"/>
  <c r="BE55" i="120"/>
  <c r="G115" i="24"/>
  <c r="H115" i="24" s="1"/>
  <c r="AA115" i="24" s="1"/>
  <c r="D115" i="24" s="1"/>
  <c r="BH112" i="120"/>
  <c r="G50" i="24"/>
  <c r="H50" i="24" s="1"/>
  <c r="BH47" i="120"/>
  <c r="G67" i="24"/>
  <c r="H67" i="24" s="1"/>
  <c r="AA67" i="24" s="1"/>
  <c r="D67" i="24" s="1"/>
  <c r="BH64" i="120"/>
  <c r="G49" i="24"/>
  <c r="H49" i="24" s="1"/>
  <c r="BH46" i="120"/>
  <c r="E99" i="24"/>
  <c r="F99" i="24" s="1"/>
  <c r="BE96" i="120"/>
  <c r="E22" i="24"/>
  <c r="F22" i="24" s="1"/>
  <c r="BE18" i="120"/>
  <c r="E59" i="24"/>
  <c r="F59" i="24" s="1"/>
  <c r="BE56" i="120"/>
  <c r="E100" i="24"/>
  <c r="F100" i="24" s="1"/>
  <c r="BE97" i="120"/>
  <c r="S101" i="120"/>
  <c r="V101" i="120" s="1"/>
  <c r="E146" i="24"/>
  <c r="C138" i="82" s="1"/>
  <c r="S36" i="52" s="1"/>
  <c r="BE143" i="120"/>
  <c r="E141" i="24"/>
  <c r="D133" i="82" s="1"/>
  <c r="BE138" i="120"/>
  <c r="I81" i="120"/>
  <c r="L81" i="120" s="1"/>
  <c r="I84" i="120"/>
  <c r="L84" i="120" s="1"/>
  <c r="S112" i="120"/>
  <c r="V112" i="120" s="1"/>
  <c r="S66" i="120"/>
  <c r="V66" i="120" s="1"/>
  <c r="I7" i="120"/>
  <c r="L7" i="120" s="1"/>
  <c r="I111" i="120"/>
  <c r="L111" i="120" s="1"/>
  <c r="I122" i="120"/>
  <c r="L122" i="120" s="1"/>
  <c r="I101" i="120"/>
  <c r="L101" i="120" s="1"/>
  <c r="I24" i="120"/>
  <c r="L24" i="120" s="1"/>
  <c r="I112" i="120"/>
  <c r="L112" i="120" s="1"/>
  <c r="S121" i="120"/>
  <c r="V121" i="120" s="1"/>
  <c r="S64" i="120"/>
  <c r="V64" i="120" s="1"/>
  <c r="I89" i="120"/>
  <c r="L89" i="120" s="1"/>
  <c r="I119" i="120"/>
  <c r="L119" i="120" s="1"/>
  <c r="I108" i="120"/>
  <c r="L108" i="120" s="1"/>
  <c r="S9" i="120"/>
  <c r="V9" i="120" s="1"/>
  <c r="I61" i="120"/>
  <c r="L61" i="120" s="1"/>
  <c r="I45" i="120"/>
  <c r="L45" i="120" s="1"/>
  <c r="I118" i="120"/>
  <c r="L118" i="120" s="1"/>
  <c r="I50" i="120"/>
  <c r="L50" i="120" s="1"/>
  <c r="S35" i="120"/>
  <c r="V35" i="120" s="1"/>
  <c r="S68" i="120"/>
  <c r="V68" i="120" s="1"/>
  <c r="S27" i="120"/>
  <c r="V27" i="120" s="1"/>
  <c r="I95" i="120"/>
  <c r="L95" i="120" s="1"/>
  <c r="I44" i="120"/>
  <c r="L44" i="120" s="1"/>
  <c r="I40" i="120"/>
  <c r="L40" i="120" s="1"/>
  <c r="S45" i="120"/>
  <c r="V45" i="120" s="1"/>
  <c r="I114" i="120"/>
  <c r="L114" i="120" s="1"/>
  <c r="S95" i="120"/>
  <c r="V95" i="120" s="1"/>
  <c r="S115" i="120"/>
  <c r="V115" i="120" s="1"/>
  <c r="S76" i="120"/>
  <c r="V76" i="120" s="1"/>
  <c r="I116" i="120"/>
  <c r="L116" i="120" s="1"/>
  <c r="S52" i="120"/>
  <c r="V52" i="120" s="1"/>
  <c r="I69" i="120"/>
  <c r="L69" i="120" s="1"/>
  <c r="S40" i="120"/>
  <c r="V40" i="120" s="1"/>
  <c r="I125" i="120"/>
  <c r="L125" i="120" s="1"/>
  <c r="I94" i="120"/>
  <c r="L94" i="120" s="1"/>
  <c r="S142" i="120"/>
  <c r="V142" i="120" s="1"/>
  <c r="I92" i="120"/>
  <c r="L92" i="120" s="1"/>
  <c r="S23" i="120"/>
  <c r="V23" i="120" s="1"/>
  <c r="S75" i="120"/>
  <c r="V75" i="120" s="1"/>
  <c r="I99" i="120"/>
  <c r="L99" i="120" s="1"/>
  <c r="I113" i="120"/>
  <c r="L113" i="120" s="1"/>
  <c r="S120" i="120"/>
  <c r="V120" i="120" s="1"/>
  <c r="S126" i="120"/>
  <c r="V126" i="120" s="1"/>
  <c r="I117" i="120"/>
  <c r="L117" i="120" s="1"/>
  <c r="I121" i="120"/>
  <c r="L121" i="120" s="1"/>
  <c r="I142" i="120"/>
  <c r="L142" i="120" s="1"/>
  <c r="S41" i="120"/>
  <c r="V41" i="120" s="1"/>
  <c r="I41" i="120"/>
  <c r="L41" i="120" s="1"/>
  <c r="I68" i="120"/>
  <c r="L68" i="120" s="1"/>
  <c r="Z27" i="104"/>
  <c r="M138" i="120"/>
  <c r="S59" i="120"/>
  <c r="V59" i="120" s="1"/>
  <c r="R22" i="120"/>
  <c r="S22" i="120"/>
  <c r="V22" i="120" s="1"/>
  <c r="I57" i="120"/>
  <c r="L57" i="120" s="1"/>
  <c r="E57" i="120"/>
  <c r="I33" i="120"/>
  <c r="L33" i="120" s="1"/>
  <c r="E33" i="120"/>
  <c r="I65" i="120"/>
  <c r="L65" i="120" s="1"/>
  <c r="S139" i="120"/>
  <c r="V139" i="120" s="1"/>
  <c r="R139" i="120"/>
  <c r="M96" i="120"/>
  <c r="S96" i="120" s="1"/>
  <c r="V96" i="120" s="1"/>
  <c r="R77" i="120"/>
  <c r="S77" i="120"/>
  <c r="V77" i="120" s="1"/>
  <c r="I100" i="120"/>
  <c r="L100" i="120" s="1"/>
  <c r="R61" i="120"/>
  <c r="S61" i="120"/>
  <c r="V61" i="120" s="1"/>
  <c r="I9" i="120"/>
  <c r="L9" i="120" s="1"/>
  <c r="S118" i="120"/>
  <c r="V118" i="120" s="1"/>
  <c r="I18" i="120"/>
  <c r="L18" i="120" s="1"/>
  <c r="H18" i="120"/>
  <c r="R124" i="120"/>
  <c r="I25" i="120"/>
  <c r="L25" i="120" s="1"/>
  <c r="R10" i="120"/>
  <c r="I79" i="120"/>
  <c r="L79" i="120" s="1"/>
  <c r="S12" i="120"/>
  <c r="V12" i="120" s="1"/>
  <c r="R39" i="120"/>
  <c r="S39" i="120"/>
  <c r="V39" i="120" s="1"/>
  <c r="Y27" i="104"/>
  <c r="C138" i="120"/>
  <c r="I70" i="120"/>
  <c r="L70" i="120" s="1"/>
  <c r="H70" i="120"/>
  <c r="S72" i="120"/>
  <c r="V72" i="120" s="1"/>
  <c r="O72" i="120"/>
  <c r="I5" i="120"/>
  <c r="L5" i="120" s="1"/>
  <c r="R14" i="120"/>
  <c r="S14" i="120"/>
  <c r="V14" i="120" s="1"/>
  <c r="S91" i="120"/>
  <c r="V91" i="120" s="1"/>
  <c r="R91" i="120"/>
  <c r="I10" i="120"/>
  <c r="L10" i="120" s="1"/>
  <c r="H10" i="120"/>
  <c r="S113" i="120"/>
  <c r="V113" i="120" s="1"/>
  <c r="S90" i="120"/>
  <c r="V90" i="120" s="1"/>
  <c r="O90" i="120"/>
  <c r="S93" i="120"/>
  <c r="V93" i="120" s="1"/>
  <c r="R93" i="120"/>
  <c r="S116" i="120"/>
  <c r="V116" i="120" s="1"/>
  <c r="I72" i="120"/>
  <c r="L72" i="120" s="1"/>
  <c r="I37" i="120"/>
  <c r="L37" i="120" s="1"/>
  <c r="H37" i="120"/>
  <c r="S25" i="120"/>
  <c r="V25" i="120" s="1"/>
  <c r="I59" i="120"/>
  <c r="L59" i="120" s="1"/>
  <c r="S85" i="120"/>
  <c r="V85" i="120" s="1"/>
  <c r="S58" i="120"/>
  <c r="V58" i="120" s="1"/>
  <c r="R58" i="120"/>
  <c r="I80" i="120"/>
  <c r="L80" i="120" s="1"/>
  <c r="H80" i="120"/>
  <c r="S117" i="120"/>
  <c r="V117" i="120" s="1"/>
  <c r="S111" i="120"/>
  <c r="V111" i="120" s="1"/>
  <c r="S7" i="120"/>
  <c r="V7" i="120" s="1"/>
  <c r="R48" i="120"/>
  <c r="S48" i="120"/>
  <c r="V48" i="120" s="1"/>
  <c r="S114" i="120"/>
  <c r="V114" i="120" s="1"/>
  <c r="S36" i="120"/>
  <c r="V36" i="120" s="1"/>
  <c r="I86" i="120"/>
  <c r="L86" i="120" s="1"/>
  <c r="H86" i="120"/>
  <c r="S80" i="120"/>
  <c r="V80" i="120" s="1"/>
  <c r="R80" i="120"/>
  <c r="S34" i="120"/>
  <c r="V34" i="120" s="1"/>
  <c r="I19" i="120"/>
  <c r="L19" i="120" s="1"/>
  <c r="H91" i="120"/>
  <c r="I91" i="120"/>
  <c r="L91" i="120" s="1"/>
  <c r="R18" i="120"/>
  <c r="S18" i="120"/>
  <c r="V18" i="120" s="1"/>
  <c r="H39" i="120"/>
  <c r="I39" i="120"/>
  <c r="L39" i="120" s="1"/>
  <c r="S49" i="120"/>
  <c r="V49" i="120" s="1"/>
  <c r="S51" i="120"/>
  <c r="V51" i="120" s="1"/>
  <c r="R87" i="120"/>
  <c r="S87" i="120"/>
  <c r="V87" i="120" s="1"/>
  <c r="H123" i="120"/>
  <c r="I123" i="120"/>
  <c r="L123" i="120" s="1"/>
  <c r="S123" i="120"/>
  <c r="V123" i="120" s="1"/>
  <c r="R123" i="120"/>
  <c r="S33" i="120"/>
  <c r="V33" i="120" s="1"/>
  <c r="O33" i="120"/>
  <c r="S54" i="120"/>
  <c r="V54" i="120" s="1"/>
  <c r="R54" i="120"/>
  <c r="I42" i="120"/>
  <c r="L42" i="120" s="1"/>
  <c r="H42" i="120"/>
  <c r="H83" i="120"/>
  <c r="H46" i="120"/>
  <c r="I46" i="120"/>
  <c r="L46" i="120" s="1"/>
  <c r="S57" i="120"/>
  <c r="V57" i="120" s="1"/>
  <c r="O57" i="120"/>
  <c r="I28" i="120"/>
  <c r="L28" i="120" s="1"/>
  <c r="I11" i="120"/>
  <c r="L11" i="120" s="1"/>
  <c r="H11" i="120"/>
  <c r="S94" i="120"/>
  <c r="V94" i="120" s="1"/>
  <c r="R94" i="120"/>
  <c r="S37" i="120"/>
  <c r="V37" i="120" s="1"/>
  <c r="R37" i="120"/>
  <c r="I55" i="120"/>
  <c r="L55" i="120" s="1"/>
  <c r="H77" i="120"/>
  <c r="I77" i="120"/>
  <c r="L77" i="120" s="1"/>
  <c r="O135" i="120"/>
  <c r="I140" i="120"/>
  <c r="L140" i="120" s="1"/>
  <c r="I107" i="120"/>
  <c r="L107" i="120" s="1"/>
  <c r="I96" i="120"/>
  <c r="L96" i="120" s="1"/>
  <c r="I27" i="120"/>
  <c r="L27" i="120" s="1"/>
  <c r="I73" i="120"/>
  <c r="L73" i="120" s="1"/>
  <c r="E73" i="120"/>
  <c r="I23" i="120"/>
  <c r="L23" i="120" s="1"/>
  <c r="I26" i="120"/>
  <c r="L26" i="120" s="1"/>
  <c r="I53" i="120"/>
  <c r="L53" i="120" s="1"/>
  <c r="S26" i="120"/>
  <c r="V26" i="120" s="1"/>
  <c r="H124" i="120"/>
  <c r="R8" i="120"/>
  <c r="S8" i="120"/>
  <c r="V8" i="120" s="1"/>
  <c r="R43" i="120"/>
  <c r="S43" i="120"/>
  <c r="V43" i="120" s="1"/>
  <c r="S24" i="120"/>
  <c r="V24" i="120" s="1"/>
  <c r="O24" i="120"/>
  <c r="I54" i="120"/>
  <c r="L54" i="120" s="1"/>
  <c r="R70" i="120"/>
  <c r="S70" i="120"/>
  <c r="V70" i="120" s="1"/>
  <c r="I20" i="120"/>
  <c r="L20" i="120" s="1"/>
  <c r="R86" i="120"/>
  <c r="S86" i="120"/>
  <c r="V86" i="120" s="1"/>
  <c r="R89" i="120"/>
  <c r="S89" i="120"/>
  <c r="V89" i="120" s="1"/>
  <c r="R56" i="120"/>
  <c r="S56" i="120"/>
  <c r="V56" i="120" s="1"/>
  <c r="S73" i="120"/>
  <c r="V73" i="120" s="1"/>
  <c r="R73" i="120"/>
  <c r="S44" i="120"/>
  <c r="V44" i="120" s="1"/>
  <c r="S107" i="120"/>
  <c r="V107" i="120" s="1"/>
  <c r="I15" i="120"/>
  <c r="L15" i="120" s="1"/>
  <c r="I66" i="120"/>
  <c r="L66" i="120" s="1"/>
  <c r="I56" i="120"/>
  <c r="L56" i="120" s="1"/>
  <c r="S79" i="120"/>
  <c r="V79" i="120" s="1"/>
  <c r="I34" i="120"/>
  <c r="L34" i="120" s="1"/>
  <c r="S46" i="120"/>
  <c r="V46" i="120" s="1"/>
  <c r="R46" i="120"/>
  <c r="I14" i="120"/>
  <c r="L14" i="120" s="1"/>
  <c r="H14" i="120"/>
  <c r="H88" i="120"/>
  <c r="I88" i="120"/>
  <c r="L88" i="120" s="1"/>
  <c r="S65" i="120"/>
  <c r="V65" i="120" s="1"/>
  <c r="I78" i="120"/>
  <c r="L78" i="120" s="1"/>
  <c r="Y28" i="104"/>
  <c r="F138" i="120"/>
  <c r="S140" i="120"/>
  <c r="V140" i="120" s="1"/>
  <c r="I43" i="120"/>
  <c r="L43" i="120" s="1"/>
  <c r="R62" i="120"/>
  <c r="S62" i="120"/>
  <c r="V62" i="120" s="1"/>
  <c r="I85" i="120"/>
  <c r="L85" i="120" s="1"/>
  <c r="E85" i="120"/>
  <c r="R11" i="120"/>
  <c r="S11" i="120"/>
  <c r="V11" i="120" s="1"/>
  <c r="S55" i="120"/>
  <c r="V55" i="120" s="1"/>
  <c r="R55" i="120"/>
  <c r="I98" i="120"/>
  <c r="L98" i="120" s="1"/>
  <c r="AH55" i="52"/>
  <c r="M97" i="120"/>
  <c r="R83" i="120"/>
  <c r="S42" i="120"/>
  <c r="V42" i="120" s="1"/>
  <c r="R42" i="120"/>
  <c r="S15" i="120"/>
  <c r="V15" i="120" s="1"/>
  <c r="R15" i="120"/>
  <c r="I87" i="120"/>
  <c r="L87" i="120" s="1"/>
  <c r="H87" i="120"/>
  <c r="H8" i="120"/>
  <c r="I8" i="120"/>
  <c r="L8" i="120" s="1"/>
  <c r="H13" i="120"/>
  <c r="I62" i="120"/>
  <c r="L62" i="120" s="1"/>
  <c r="I64" i="120"/>
  <c r="L64" i="120" s="1"/>
  <c r="I58" i="120"/>
  <c r="L58" i="120" s="1"/>
  <c r="S20" i="120"/>
  <c r="V20" i="120" s="1"/>
  <c r="I16" i="120"/>
  <c r="L16" i="120" s="1"/>
  <c r="O127" i="120"/>
  <c r="I38" i="120"/>
  <c r="L38" i="120" s="1"/>
  <c r="S63" i="120"/>
  <c r="V63" i="120" s="1"/>
  <c r="S50" i="120"/>
  <c r="V50" i="120" s="1"/>
  <c r="S88" i="120"/>
  <c r="V88" i="120" s="1"/>
  <c r="R84" i="120"/>
  <c r="S84" i="120"/>
  <c r="V84" i="120" s="1"/>
  <c r="R82" i="120"/>
  <c r="S82" i="120"/>
  <c r="V82" i="120" s="1"/>
  <c r="S81" i="120"/>
  <c r="V81" i="120" s="1"/>
  <c r="R81" i="120"/>
  <c r="C15" i="97"/>
  <c r="C13" i="120" s="1"/>
  <c r="E13" i="120" s="1"/>
  <c r="AG45" i="52"/>
  <c r="D72" i="97"/>
  <c r="F71" i="120" s="1"/>
  <c r="C71" i="46"/>
  <c r="D71" i="46" s="1"/>
  <c r="C100" i="17"/>
  <c r="C9" i="82"/>
  <c r="R9" i="73" s="1"/>
  <c r="G11" i="24"/>
  <c r="E9" i="82" s="1"/>
  <c r="T9" i="73" s="1"/>
  <c r="W128" i="46"/>
  <c r="X128" i="46" s="1"/>
  <c r="P128" i="120"/>
  <c r="S128" i="120" s="1"/>
  <c r="V128" i="120" s="1"/>
  <c r="M128" i="46"/>
  <c r="N128" i="46" s="1"/>
  <c r="F128" i="120"/>
  <c r="I128" i="120" s="1"/>
  <c r="L128" i="120" s="1"/>
  <c r="C128" i="46"/>
  <c r="D128" i="46" s="1"/>
  <c r="AF56" i="52"/>
  <c r="AA46" i="52"/>
  <c r="P60" i="52"/>
  <c r="Q60" i="52" s="1"/>
  <c r="AI94" i="52"/>
  <c r="AJ34" i="104"/>
  <c r="AG94" i="52"/>
  <c r="S94" i="52" s="1"/>
  <c r="C98" i="17"/>
  <c r="C97" i="17"/>
  <c r="H98" i="98"/>
  <c r="J78" i="52"/>
  <c r="E22" i="109" s="1"/>
  <c r="D20" i="109" s="1"/>
  <c r="F99" i="17"/>
  <c r="F97" i="17"/>
  <c r="AE25" i="104"/>
  <c r="AF25" i="104"/>
  <c r="Z83" i="52"/>
  <c r="J83" i="52" s="1"/>
  <c r="O98" i="98"/>
  <c r="AA25" i="104"/>
  <c r="AG93" i="52"/>
  <c r="AI32" i="104"/>
  <c r="W98" i="46"/>
  <c r="X98" i="46" s="1"/>
  <c r="M98" i="46"/>
  <c r="N98" i="46" s="1"/>
  <c r="F99" i="98"/>
  <c r="F98" i="17"/>
  <c r="F98" i="97"/>
  <c r="M97" i="46"/>
  <c r="N97" i="46" s="1"/>
  <c r="W18" i="46"/>
  <c r="X18" i="46" s="1"/>
  <c r="C26" i="46"/>
  <c r="D26" i="46" s="1"/>
  <c r="W11" i="46"/>
  <c r="X11" i="46" s="1"/>
  <c r="D98" i="97"/>
  <c r="H51" i="97"/>
  <c r="W38" i="46"/>
  <c r="X38" i="46" s="1"/>
  <c r="M19" i="46"/>
  <c r="N19" i="46" s="1"/>
  <c r="M49" i="46"/>
  <c r="N49" i="46" s="1"/>
  <c r="C99" i="46"/>
  <c r="D99" i="46" s="1"/>
  <c r="M50" i="46"/>
  <c r="N50" i="46" s="1"/>
  <c r="M64" i="46"/>
  <c r="N64" i="46" s="1"/>
  <c r="G65" i="97"/>
  <c r="D14" i="97"/>
  <c r="F12" i="120" s="1"/>
  <c r="I12" i="120" s="1"/>
  <c r="L12" i="120" s="1"/>
  <c r="D76" i="97"/>
  <c r="F75" i="120" s="1"/>
  <c r="I75" i="120" s="1"/>
  <c r="L75" i="120" s="1"/>
  <c r="F72" i="97"/>
  <c r="P71" i="120" s="1"/>
  <c r="C38" i="46"/>
  <c r="D38" i="46" s="1"/>
  <c r="G66" i="97"/>
  <c r="C64" i="46"/>
  <c r="D64" i="46" s="1"/>
  <c r="W52" i="46"/>
  <c r="X52" i="46" s="1"/>
  <c r="H53" i="97"/>
  <c r="M65" i="46"/>
  <c r="N65" i="46" s="1"/>
  <c r="M26" i="46"/>
  <c r="N26" i="46" s="1"/>
  <c r="H100" i="97"/>
  <c r="AA26" i="104" s="1"/>
  <c r="M127" i="46"/>
  <c r="N127" i="46" s="1"/>
  <c r="M66" i="46"/>
  <c r="N66" i="46" s="1"/>
  <c r="H23" i="97"/>
  <c r="M60" i="46"/>
  <c r="N60" i="46" s="1"/>
  <c r="M78" i="46"/>
  <c r="N78" i="46" s="1"/>
  <c r="M40" i="46"/>
  <c r="N40" i="46" s="1"/>
  <c r="C52" i="46"/>
  <c r="D52" i="46" s="1"/>
  <c r="C53" i="97"/>
  <c r="C52" i="120" s="1"/>
  <c r="I52" i="120" s="1"/>
  <c r="L52" i="120" s="1"/>
  <c r="W63" i="46"/>
  <c r="X63" i="46" s="1"/>
  <c r="D50" i="97"/>
  <c r="C53" i="46"/>
  <c r="D53" i="46" s="1"/>
  <c r="W46" i="46"/>
  <c r="X46" i="46" s="1"/>
  <c r="M53" i="46"/>
  <c r="N53" i="46" s="1"/>
  <c r="H41" i="97"/>
  <c r="W60" i="46"/>
  <c r="X60" i="46" s="1"/>
  <c r="C138" i="46"/>
  <c r="D138" i="46" s="1"/>
  <c r="M52" i="46"/>
  <c r="N52" i="46" s="1"/>
  <c r="W28" i="46"/>
  <c r="X28" i="46" s="1"/>
  <c r="C59" i="46"/>
  <c r="D59" i="46" s="1"/>
  <c r="W66" i="46"/>
  <c r="X66" i="46" s="1"/>
  <c r="W136" i="46"/>
  <c r="X136" i="46" s="1"/>
  <c r="C18" i="46"/>
  <c r="D18" i="46" s="1"/>
  <c r="C124" i="46"/>
  <c r="D124" i="46" s="1"/>
  <c r="W41" i="46"/>
  <c r="X41" i="46" s="1"/>
  <c r="M67" i="46"/>
  <c r="N67" i="46" s="1"/>
  <c r="M130" i="46"/>
  <c r="N130" i="46" s="1"/>
  <c r="C63" i="46"/>
  <c r="D63" i="46" s="1"/>
  <c r="C11" i="46"/>
  <c r="D11" i="46" s="1"/>
  <c r="W23" i="46"/>
  <c r="X23" i="46" s="1"/>
  <c r="C19" i="46"/>
  <c r="D19" i="46" s="1"/>
  <c r="M13" i="46"/>
  <c r="N13" i="46" s="1"/>
  <c r="M59" i="46"/>
  <c r="N59" i="46" s="1"/>
  <c r="M11" i="46"/>
  <c r="N11" i="46" s="1"/>
  <c r="W59" i="46"/>
  <c r="X59" i="46" s="1"/>
  <c r="M22" i="46"/>
  <c r="N22" i="46" s="1"/>
  <c r="H14" i="97"/>
  <c r="M25" i="46"/>
  <c r="N25" i="46" s="1"/>
  <c r="M129" i="46"/>
  <c r="N129" i="46" s="1"/>
  <c r="E12" i="97"/>
  <c r="M10" i="120" s="1"/>
  <c r="O10" i="120" s="1"/>
  <c r="M38" i="46"/>
  <c r="N38" i="46" s="1"/>
  <c r="W44" i="46"/>
  <c r="X44" i="46" s="1"/>
  <c r="H21" i="97"/>
  <c r="C22" i="46"/>
  <c r="D22" i="46" s="1"/>
  <c r="D64" i="97"/>
  <c r="F63" i="120" s="1"/>
  <c r="I63" i="120" s="1"/>
  <c r="L63" i="120" s="1"/>
  <c r="W69" i="46"/>
  <c r="X69" i="46" s="1"/>
  <c r="M23" i="46"/>
  <c r="N23" i="46" s="1"/>
  <c r="C60" i="46"/>
  <c r="D60" i="46" s="1"/>
  <c r="W137" i="46"/>
  <c r="X137" i="46" s="1"/>
  <c r="AA27" i="104"/>
  <c r="W138" i="46"/>
  <c r="X138" i="46" s="1"/>
  <c r="F137" i="120"/>
  <c r="C137" i="46"/>
  <c r="D137" i="46" s="1"/>
  <c r="E61" i="97"/>
  <c r="M60" i="120" s="1"/>
  <c r="S60" i="120" s="1"/>
  <c r="V60" i="120" s="1"/>
  <c r="H72" i="97"/>
  <c r="W144" i="46"/>
  <c r="X144" i="46" s="1"/>
  <c r="M41" i="46"/>
  <c r="N41" i="46" s="1"/>
  <c r="W73" i="46"/>
  <c r="X73" i="46" s="1"/>
  <c r="W53" i="46"/>
  <c r="X53" i="46" s="1"/>
  <c r="H60" i="97"/>
  <c r="C25" i="46"/>
  <c r="D25" i="46" s="1"/>
  <c r="D23" i="97"/>
  <c r="F22" i="120" s="1"/>
  <c r="C23" i="46"/>
  <c r="D23" i="46" s="1"/>
  <c r="W48" i="46"/>
  <c r="X48" i="46" s="1"/>
  <c r="D49" i="97"/>
  <c r="F48" i="120" s="1"/>
  <c r="W135" i="46"/>
  <c r="X135" i="46" s="1"/>
  <c r="C7" i="46"/>
  <c r="D7" i="46" s="1"/>
  <c r="M63" i="46"/>
  <c r="N63" i="46" s="1"/>
  <c r="C41" i="46"/>
  <c r="D41" i="46" s="1"/>
  <c r="C73" i="46"/>
  <c r="D73" i="46" s="1"/>
  <c r="W78" i="46"/>
  <c r="X78" i="46" s="1"/>
  <c r="H79" i="97"/>
  <c r="F93" i="97"/>
  <c r="P92" i="120" s="1"/>
  <c r="S92" i="120" s="1"/>
  <c r="V92" i="120" s="1"/>
  <c r="M92" i="46"/>
  <c r="N92" i="46" s="1"/>
  <c r="C129" i="120"/>
  <c r="I129" i="120" s="1"/>
  <c r="L129" i="120" s="1"/>
  <c r="C129" i="46"/>
  <c r="D129" i="46" s="1"/>
  <c r="M124" i="46"/>
  <c r="N124" i="46" s="1"/>
  <c r="M124" i="120"/>
  <c r="O124" i="120" s="1"/>
  <c r="C46" i="46"/>
  <c r="D46" i="46" s="1"/>
  <c r="H74" i="97"/>
  <c r="E39" i="97"/>
  <c r="M38" i="120" s="1"/>
  <c r="F29" i="97"/>
  <c r="P28" i="120" s="1"/>
  <c r="S28" i="120" s="1"/>
  <c r="V28" i="120" s="1"/>
  <c r="W124" i="46"/>
  <c r="X124" i="46" s="1"/>
  <c r="M73" i="46"/>
  <c r="N73" i="46" s="1"/>
  <c r="F70" i="97"/>
  <c r="P69" i="120" s="1"/>
  <c r="S69" i="120" s="1"/>
  <c r="V69" i="120" s="1"/>
  <c r="F21" i="97"/>
  <c r="P19" i="120" s="1"/>
  <c r="S19" i="120" s="1"/>
  <c r="V19" i="120" s="1"/>
  <c r="P136" i="120"/>
  <c r="M136" i="46"/>
  <c r="N136" i="46" s="1"/>
  <c r="W130" i="46"/>
  <c r="X130" i="46" s="1"/>
  <c r="C130" i="120"/>
  <c r="I130" i="120" s="1"/>
  <c r="L130" i="120" s="1"/>
  <c r="C130" i="46"/>
  <c r="D130" i="46" s="1"/>
  <c r="C44" i="46"/>
  <c r="D44" i="46" s="1"/>
  <c r="C69" i="46"/>
  <c r="D69" i="46" s="1"/>
  <c r="W25" i="46"/>
  <c r="X25" i="46" s="1"/>
  <c r="C61" i="97"/>
  <c r="C60" i="120" s="1"/>
  <c r="I60" i="120" s="1"/>
  <c r="L60" i="120" s="1"/>
  <c r="W7" i="46"/>
  <c r="X7" i="46" s="1"/>
  <c r="C136" i="46"/>
  <c r="D136" i="46" s="1"/>
  <c r="M131" i="46"/>
  <c r="N131" i="46" s="1"/>
  <c r="W14" i="46"/>
  <c r="X14" i="46" s="1"/>
  <c r="G15" i="97"/>
  <c r="M74" i="46"/>
  <c r="N74" i="46" s="1"/>
  <c r="F75" i="97"/>
  <c r="P74" i="120" s="1"/>
  <c r="S74" i="120" s="1"/>
  <c r="V74" i="120" s="1"/>
  <c r="F144" i="120"/>
  <c r="I144" i="120" s="1"/>
  <c r="L144" i="120" s="1"/>
  <c r="C144" i="46"/>
  <c r="D144" i="46" s="1"/>
  <c r="P135" i="120"/>
  <c r="S135" i="120" s="1"/>
  <c r="V135" i="120" s="1"/>
  <c r="M135" i="46"/>
  <c r="N135" i="46" s="1"/>
  <c r="F135" i="120"/>
  <c r="I135" i="120" s="1"/>
  <c r="L135" i="120" s="1"/>
  <c r="C135" i="46"/>
  <c r="D135" i="46" s="1"/>
  <c r="M138" i="46"/>
  <c r="N138" i="46" s="1"/>
  <c r="W129" i="46"/>
  <c r="X129" i="46" s="1"/>
  <c r="W143" i="46"/>
  <c r="X143" i="46" s="1"/>
  <c r="C68" i="97"/>
  <c r="C67" i="120" s="1"/>
  <c r="I67" i="120" s="1"/>
  <c r="L67" i="120" s="1"/>
  <c r="C67" i="46"/>
  <c r="D67" i="46" s="1"/>
  <c r="G68" i="97"/>
  <c r="W67" i="46"/>
  <c r="X67" i="46" s="1"/>
  <c r="D75" i="97"/>
  <c r="F74" i="120" s="1"/>
  <c r="I74" i="120" s="1"/>
  <c r="L74" i="120" s="1"/>
  <c r="C74" i="46"/>
  <c r="D74" i="46" s="1"/>
  <c r="D37" i="97"/>
  <c r="F36" i="120" s="1"/>
  <c r="I36" i="120" s="1"/>
  <c r="L36" i="120" s="1"/>
  <c r="C36" i="46"/>
  <c r="D36" i="46" s="1"/>
  <c r="H37" i="97"/>
  <c r="W36" i="46"/>
  <c r="X36" i="46" s="1"/>
  <c r="M14" i="46"/>
  <c r="N14" i="46" s="1"/>
  <c r="E15" i="97"/>
  <c r="M13" i="120" s="1"/>
  <c r="M47" i="46"/>
  <c r="N47" i="46" s="1"/>
  <c r="F48" i="97"/>
  <c r="P47" i="120" s="1"/>
  <c r="S47" i="120" s="1"/>
  <c r="V47" i="120" s="1"/>
  <c r="W74" i="46"/>
  <c r="X74" i="46" s="1"/>
  <c r="H75" i="97"/>
  <c r="C48" i="97"/>
  <c r="C47" i="120" s="1"/>
  <c r="I47" i="120" s="1"/>
  <c r="L47" i="120" s="1"/>
  <c r="C47" i="46"/>
  <c r="D47" i="46" s="1"/>
  <c r="M143" i="46"/>
  <c r="N143" i="46" s="1"/>
  <c r="W27" i="46"/>
  <c r="X27" i="46" s="1"/>
  <c r="M137" i="46"/>
  <c r="N137" i="46" s="1"/>
  <c r="H50" i="97"/>
  <c r="AA30" i="104" s="1"/>
  <c r="C39" i="46"/>
  <c r="D39" i="46" s="1"/>
  <c r="M144" i="46"/>
  <c r="N144" i="46" s="1"/>
  <c r="M39" i="46"/>
  <c r="N39" i="46" s="1"/>
  <c r="M75" i="46"/>
  <c r="N75" i="46" s="1"/>
  <c r="C78" i="46"/>
  <c r="D78" i="46" s="1"/>
  <c r="E79" i="97"/>
  <c r="M78" i="120" s="1"/>
  <c r="S78" i="120" s="1"/>
  <c r="V78" i="120" s="1"/>
  <c r="W39" i="46"/>
  <c r="X39" i="46" s="1"/>
  <c r="M27" i="46"/>
  <c r="N27" i="46" s="1"/>
  <c r="W47" i="46"/>
  <c r="X47" i="46" s="1"/>
  <c r="W131" i="46"/>
  <c r="X131" i="46" s="1"/>
  <c r="W92" i="46"/>
  <c r="X92" i="46" s="1"/>
  <c r="C92" i="46"/>
  <c r="D92" i="46" s="1"/>
  <c r="C143" i="46"/>
  <c r="D143" i="46" s="1"/>
  <c r="C131" i="46"/>
  <c r="D131" i="46" s="1"/>
  <c r="C27" i="46"/>
  <c r="D27" i="46" s="1"/>
  <c r="H76" i="97"/>
  <c r="AG86" i="52"/>
  <c r="Z45" i="52"/>
  <c r="J45" i="52" s="1"/>
  <c r="AA34" i="104"/>
  <c r="AI44" i="52"/>
  <c r="AI46" i="52" s="1"/>
  <c r="V40" i="52"/>
  <c r="U103" i="24"/>
  <c r="V103" i="24" s="1"/>
  <c r="H133" i="98"/>
  <c r="Z33" i="104"/>
  <c r="Z56" i="52"/>
  <c r="AH56" i="52"/>
  <c r="V56" i="52" s="1"/>
  <c r="AE26" i="104"/>
  <c r="AG26" i="104" s="1"/>
  <c r="H132" i="98"/>
  <c r="AA31" i="104"/>
  <c r="P104" i="98"/>
  <c r="U102" i="125" s="1"/>
  <c r="H97" i="97"/>
  <c r="M96" i="46"/>
  <c r="N96" i="46" s="1"/>
  <c r="AB83" i="52"/>
  <c r="M83" i="52" s="1"/>
  <c r="U136" i="24"/>
  <c r="V136" i="24" s="1"/>
  <c r="M141" i="46"/>
  <c r="N141" i="46" s="1"/>
  <c r="E43" i="86"/>
  <c r="U135" i="24"/>
  <c r="V135" i="24" s="1"/>
  <c r="AH54" i="52"/>
  <c r="C96" i="46"/>
  <c r="D96" i="46" s="1"/>
  <c r="F136" i="86"/>
  <c r="AB95" i="52"/>
  <c r="C107" i="82"/>
  <c r="R108" i="73" s="1"/>
  <c r="C102" i="82"/>
  <c r="R103" i="73" s="1"/>
  <c r="C104" i="82"/>
  <c r="R105" i="73" s="1"/>
  <c r="AC54" i="52"/>
  <c r="AB54" i="52"/>
  <c r="H91" i="98"/>
  <c r="H141" i="98"/>
  <c r="I140" i="98"/>
  <c r="P138" i="125" s="1"/>
  <c r="E141" i="86"/>
  <c r="H127" i="98"/>
  <c r="H138" i="98"/>
  <c r="H128" i="98"/>
  <c r="H134" i="98"/>
  <c r="H130" i="98"/>
  <c r="N136" i="24"/>
  <c r="O136" i="24" s="1"/>
  <c r="AB55" i="52"/>
  <c r="M134" i="46"/>
  <c r="N134" i="46" s="1"/>
  <c r="P134" i="120"/>
  <c r="W133" i="46"/>
  <c r="X133" i="46" s="1"/>
  <c r="W134" i="46"/>
  <c r="X134" i="46" s="1"/>
  <c r="F132" i="120"/>
  <c r="I132" i="120" s="1"/>
  <c r="L132" i="120" s="1"/>
  <c r="F126" i="120"/>
  <c r="I126" i="120" s="1"/>
  <c r="L126" i="120" s="1"/>
  <c r="F141" i="120"/>
  <c r="C134" i="46"/>
  <c r="D134" i="46" s="1"/>
  <c r="F134" i="120"/>
  <c r="I134" i="120" s="1"/>
  <c r="L134" i="120" s="1"/>
  <c r="F120" i="120"/>
  <c r="I120" i="120" s="1"/>
  <c r="L120" i="120" s="1"/>
  <c r="L115" i="82"/>
  <c r="AF30" i="104" s="1"/>
  <c r="I78" i="98"/>
  <c r="P76" i="125" s="1"/>
  <c r="I106" i="98"/>
  <c r="P104" i="125" s="1"/>
  <c r="H117" i="98"/>
  <c r="F121" i="17"/>
  <c r="F57" i="86"/>
  <c r="F72" i="86"/>
  <c r="F51" i="86"/>
  <c r="F83" i="86"/>
  <c r="F91" i="86"/>
  <c r="F47" i="86"/>
  <c r="F9" i="86"/>
  <c r="E70" i="86"/>
  <c r="E16" i="86"/>
  <c r="F56" i="86"/>
  <c r="F22" i="86"/>
  <c r="E49" i="86"/>
  <c r="E53" i="86"/>
  <c r="E17" i="86"/>
  <c r="P77" i="52"/>
  <c r="E28" i="86"/>
  <c r="F82" i="86"/>
  <c r="F69" i="86"/>
  <c r="F94" i="86"/>
  <c r="F19" i="86"/>
  <c r="F66" i="86"/>
  <c r="E76" i="86"/>
  <c r="F40" i="86"/>
  <c r="F95" i="86"/>
  <c r="F39" i="86"/>
  <c r="E50" i="86"/>
  <c r="F15" i="86"/>
  <c r="F84" i="86"/>
  <c r="F73" i="86"/>
  <c r="F11" i="86"/>
  <c r="E127" i="86"/>
  <c r="E115" i="86"/>
  <c r="E11" i="86"/>
  <c r="F49" i="86"/>
  <c r="F89" i="86"/>
  <c r="E122" i="86"/>
  <c r="E110" i="86"/>
  <c r="P107" i="98"/>
  <c r="U105" i="125" s="1"/>
  <c r="F108" i="86"/>
  <c r="F123" i="86"/>
  <c r="F112" i="86"/>
  <c r="F98" i="86"/>
  <c r="E74" i="86"/>
  <c r="F32" i="86"/>
  <c r="F103" i="86"/>
  <c r="F106" i="86"/>
  <c r="E29" i="86"/>
  <c r="E84" i="86"/>
  <c r="F48" i="86"/>
  <c r="F93" i="86"/>
  <c r="E18" i="86"/>
  <c r="E81" i="86"/>
  <c r="F125" i="86"/>
  <c r="F114" i="86"/>
  <c r="F50" i="86"/>
  <c r="E54" i="86"/>
  <c r="F62" i="86"/>
  <c r="E91" i="86"/>
  <c r="F12" i="86"/>
  <c r="E60" i="86"/>
  <c r="F104" i="86"/>
  <c r="F107" i="86"/>
  <c r="E34" i="86"/>
  <c r="F97" i="86"/>
  <c r="E103" i="86"/>
  <c r="E106" i="86"/>
  <c r="E61" i="86"/>
  <c r="AA29" i="104"/>
  <c r="AD55" i="52"/>
  <c r="Y29" i="104"/>
  <c r="G16" i="82"/>
  <c r="M16" i="73" s="1"/>
  <c r="C132" i="46"/>
  <c r="D132" i="46" s="1"/>
  <c r="N144" i="24"/>
  <c r="O144" i="24" s="1"/>
  <c r="G94" i="82"/>
  <c r="M95" i="73" s="1"/>
  <c r="G14" i="82"/>
  <c r="M14" i="73" s="1"/>
  <c r="G118" i="82"/>
  <c r="M119" i="73" s="1"/>
  <c r="G11" i="82"/>
  <c r="M11" i="73" s="1"/>
  <c r="G135" i="82"/>
  <c r="M136" i="73" s="1"/>
  <c r="J136" i="73" s="1"/>
  <c r="K136" i="73" s="1"/>
  <c r="G19" i="82"/>
  <c r="M19" i="73" s="1"/>
  <c r="G115" i="82"/>
  <c r="G26" i="82"/>
  <c r="M27" i="73" s="1"/>
  <c r="F121" i="82"/>
  <c r="L122" i="73" s="1"/>
  <c r="G133" i="82"/>
  <c r="M134" i="73" s="1"/>
  <c r="F94" i="82"/>
  <c r="L95" i="73" s="1"/>
  <c r="G122" i="82"/>
  <c r="M123" i="73" s="1"/>
  <c r="G76" i="82"/>
  <c r="M77" i="73" s="1"/>
  <c r="J77" i="73" s="1"/>
  <c r="K77" i="73" s="1"/>
  <c r="G74" i="82"/>
  <c r="M75" i="73" s="1"/>
  <c r="G89" i="82"/>
  <c r="M90" i="73" s="1"/>
  <c r="F20" i="82"/>
  <c r="L20" i="73" s="1"/>
  <c r="G114" i="82"/>
  <c r="P41" i="52" s="1"/>
  <c r="G31" i="82"/>
  <c r="M32" i="73" s="1"/>
  <c r="F139" i="82"/>
  <c r="L140" i="73" s="1"/>
  <c r="F85" i="82"/>
  <c r="L86" i="73" s="1"/>
  <c r="G132" i="82"/>
  <c r="M133" i="73" s="1"/>
  <c r="F122" i="82"/>
  <c r="L123" i="73" s="1"/>
  <c r="N137" i="24"/>
  <c r="O137" i="24" s="1"/>
  <c r="G127" i="82"/>
  <c r="M128" i="73" s="1"/>
  <c r="J128" i="73" s="1"/>
  <c r="K128" i="73" s="1"/>
  <c r="G138" i="82"/>
  <c r="M139" i="73" s="1"/>
  <c r="J139" i="73" s="1"/>
  <c r="K139" i="73" s="1"/>
  <c r="C52" i="82"/>
  <c r="R53" i="73" s="1"/>
  <c r="Z29" i="104"/>
  <c r="AD56" i="52"/>
  <c r="AD54" i="52"/>
  <c r="AE55" i="52"/>
  <c r="F115" i="120"/>
  <c r="I115" i="120" s="1"/>
  <c r="L115" i="120" s="1"/>
  <c r="F14" i="82"/>
  <c r="L14" i="73" s="1"/>
  <c r="G77" i="82"/>
  <c r="M78" i="73" s="1"/>
  <c r="G24" i="82"/>
  <c r="M25" i="73" s="1"/>
  <c r="G9" i="82"/>
  <c r="M9" i="73" s="1"/>
  <c r="G112" i="82"/>
  <c r="G97" i="82"/>
  <c r="M98" i="73" s="1"/>
  <c r="F125" i="82"/>
  <c r="L126" i="73" s="1"/>
  <c r="J126" i="73" s="1"/>
  <c r="K126" i="73" s="1"/>
  <c r="F98" i="82"/>
  <c r="L99" i="73" s="1"/>
  <c r="F10" i="82"/>
  <c r="G109" i="82"/>
  <c r="F27" i="82"/>
  <c r="L28" i="73" s="1"/>
  <c r="G13" i="82"/>
  <c r="M13" i="73" s="1"/>
  <c r="G12" i="82"/>
  <c r="M12" i="73" s="1"/>
  <c r="J12" i="73" s="1"/>
  <c r="K12" i="73" s="1"/>
  <c r="G21" i="82"/>
  <c r="M21" i="73" s="1"/>
  <c r="G95" i="82"/>
  <c r="M96" i="73" s="1"/>
  <c r="G100" i="82"/>
  <c r="G103" i="82"/>
  <c r="G131" i="82"/>
  <c r="M132" i="73" s="1"/>
  <c r="G15" i="82"/>
  <c r="M15" i="73" s="1"/>
  <c r="G137" i="82"/>
  <c r="M138" i="73" s="1"/>
  <c r="G22" i="82"/>
  <c r="M23" i="73" s="1"/>
  <c r="AQ23" i="73" s="1"/>
  <c r="G92" i="82"/>
  <c r="M93" i="73" s="1"/>
  <c r="F49" i="82"/>
  <c r="L50" i="73" s="1"/>
  <c r="F38" i="82"/>
  <c r="L39" i="73" s="1"/>
  <c r="F16" i="82"/>
  <c r="L16" i="73" s="1"/>
  <c r="F102" i="82"/>
  <c r="F24" i="82"/>
  <c r="L25" i="73" s="1"/>
  <c r="F89" i="82"/>
  <c r="L90" i="73" s="1"/>
  <c r="F91" i="82"/>
  <c r="L92" i="73" s="1"/>
  <c r="F9" i="82"/>
  <c r="L9" i="73" s="1"/>
  <c r="F106" i="82"/>
  <c r="F93" i="82"/>
  <c r="L94" i="73" s="1"/>
  <c r="M7" i="26"/>
  <c r="J7" i="26"/>
  <c r="K7" i="26" s="1"/>
  <c r="L71" i="73"/>
  <c r="L62" i="73"/>
  <c r="L55" i="73"/>
  <c r="L40" i="73"/>
  <c r="L75" i="73"/>
  <c r="L58" i="73"/>
  <c r="L44" i="73"/>
  <c r="M141" i="73"/>
  <c r="J141" i="73" s="1"/>
  <c r="K141" i="73" s="1"/>
  <c r="L42" i="73"/>
  <c r="L56" i="73"/>
  <c r="L127" i="73"/>
  <c r="L69" i="73"/>
  <c r="L59" i="73"/>
  <c r="M125" i="73"/>
  <c r="M140" i="73"/>
  <c r="L47" i="73"/>
  <c r="L82" i="73"/>
  <c r="L31" i="73"/>
  <c r="M102" i="73"/>
  <c r="M99" i="73"/>
  <c r="L125" i="73"/>
  <c r="L36" i="73"/>
  <c r="L49" i="73"/>
  <c r="L74" i="73"/>
  <c r="M121" i="73"/>
  <c r="L70" i="73"/>
  <c r="AE30" i="104"/>
  <c r="L63" i="73"/>
  <c r="L18" i="73"/>
  <c r="M39" i="73"/>
  <c r="M10" i="73"/>
  <c r="M34" i="73"/>
  <c r="J34" i="73" s="1"/>
  <c r="K34" i="73" s="1"/>
  <c r="AC44" i="52"/>
  <c r="AC46" i="52" s="1"/>
  <c r="AF27" i="104"/>
  <c r="M38" i="73"/>
  <c r="M17" i="73"/>
  <c r="M87" i="73"/>
  <c r="L93" i="73"/>
  <c r="M91" i="73"/>
  <c r="M62" i="73"/>
  <c r="M70" i="73"/>
  <c r="M60" i="73"/>
  <c r="L65" i="73"/>
  <c r="M94" i="73"/>
  <c r="L120" i="73"/>
  <c r="L124" i="73"/>
  <c r="L38" i="73"/>
  <c r="M26" i="73"/>
  <c r="M120" i="73"/>
  <c r="M51" i="73"/>
  <c r="M43" i="73"/>
  <c r="M56" i="73"/>
  <c r="L119" i="73"/>
  <c r="M63" i="73"/>
  <c r="M122" i="73"/>
  <c r="I48" i="98"/>
  <c r="P46" i="125" s="1"/>
  <c r="AE45" i="52"/>
  <c r="L48" i="73"/>
  <c r="L21" i="73"/>
  <c r="L27" i="73"/>
  <c r="M29" i="73"/>
  <c r="M18" i="73"/>
  <c r="M89" i="73"/>
  <c r="M72" i="73"/>
  <c r="L7" i="73"/>
  <c r="L88" i="73"/>
  <c r="L29" i="73"/>
  <c r="M41" i="73"/>
  <c r="M55" i="73"/>
  <c r="M28" i="73"/>
  <c r="M46" i="73"/>
  <c r="J46" i="73" s="1"/>
  <c r="K46" i="73" s="1"/>
  <c r="M67" i="73"/>
  <c r="M36" i="73"/>
  <c r="M64" i="73"/>
  <c r="J64" i="73" s="1"/>
  <c r="K64" i="73" s="1"/>
  <c r="M76" i="73"/>
  <c r="M61" i="73"/>
  <c r="D134" i="82"/>
  <c r="S135" i="73" s="1"/>
  <c r="M65" i="73"/>
  <c r="M44" i="73"/>
  <c r="M66" i="73"/>
  <c r="L60" i="73"/>
  <c r="C133" i="82"/>
  <c r="M36" i="52" s="1"/>
  <c r="M97" i="73"/>
  <c r="M69" i="73"/>
  <c r="M40" i="73"/>
  <c r="L89" i="73"/>
  <c r="L17" i="73"/>
  <c r="M84" i="73"/>
  <c r="M71" i="73"/>
  <c r="M85" i="73"/>
  <c r="M83" i="73"/>
  <c r="L66" i="73"/>
  <c r="L80" i="73"/>
  <c r="L84" i="73"/>
  <c r="M92" i="73"/>
  <c r="M73" i="73"/>
  <c r="M74" i="73"/>
  <c r="M37" i="73"/>
  <c r="J37" i="73" s="1"/>
  <c r="K37" i="73" s="1"/>
  <c r="M47" i="73"/>
  <c r="M24" i="73"/>
  <c r="M49" i="73"/>
  <c r="M54" i="73"/>
  <c r="M88" i="73"/>
  <c r="M42" i="73"/>
  <c r="L41" i="73"/>
  <c r="L51" i="73"/>
  <c r="M100" i="73"/>
  <c r="L76" i="73"/>
  <c r="L91" i="73"/>
  <c r="M81" i="73"/>
  <c r="M80" i="73"/>
  <c r="M50" i="73"/>
  <c r="M20" i="73"/>
  <c r="M57" i="73"/>
  <c r="L45" i="73"/>
  <c r="M53" i="73"/>
  <c r="M35" i="73"/>
  <c r="L102" i="73"/>
  <c r="L35" i="73"/>
  <c r="M59" i="73"/>
  <c r="M58" i="73"/>
  <c r="M79" i="73"/>
  <c r="M45" i="73"/>
  <c r="M86" i="73"/>
  <c r="M82" i="73"/>
  <c r="M48" i="73"/>
  <c r="I119" i="98"/>
  <c r="P117" i="125" s="1"/>
  <c r="P114" i="98"/>
  <c r="U112" i="125" s="1"/>
  <c r="F127" i="86"/>
  <c r="P95" i="98"/>
  <c r="U93" i="125" s="1"/>
  <c r="F81" i="86"/>
  <c r="P43" i="98"/>
  <c r="U41" i="125" s="1"/>
  <c r="F36" i="86"/>
  <c r="I75" i="98"/>
  <c r="P73" i="125" s="1"/>
  <c r="E64" i="86"/>
  <c r="P125" i="98"/>
  <c r="U123" i="125" s="1"/>
  <c r="F141" i="86"/>
  <c r="P92" i="98"/>
  <c r="U90" i="125" s="1"/>
  <c r="F78" i="86"/>
  <c r="P91" i="98"/>
  <c r="U89" i="125" s="1"/>
  <c r="F77" i="86"/>
  <c r="P63" i="98"/>
  <c r="U61" i="125" s="1"/>
  <c r="F53" i="86"/>
  <c r="P32" i="98"/>
  <c r="U29" i="125" s="1"/>
  <c r="P90" i="98"/>
  <c r="U88" i="125" s="1"/>
  <c r="F76" i="86"/>
  <c r="P83" i="98"/>
  <c r="U81" i="125" s="1"/>
  <c r="F70" i="86"/>
  <c r="I54" i="98"/>
  <c r="P52" i="125" s="1"/>
  <c r="E44" i="86"/>
  <c r="I120" i="98"/>
  <c r="P118" i="125" s="1"/>
  <c r="E136" i="86"/>
  <c r="F131" i="86"/>
  <c r="P76" i="98"/>
  <c r="U74" i="125" s="1"/>
  <c r="F65" i="86"/>
  <c r="I18" i="98"/>
  <c r="P15" i="125" s="1"/>
  <c r="E87" i="86"/>
  <c r="I22" i="98"/>
  <c r="P19" i="125" s="1"/>
  <c r="E15" i="86"/>
  <c r="P56" i="98"/>
  <c r="U54" i="125" s="1"/>
  <c r="F46" i="86"/>
  <c r="P51" i="98"/>
  <c r="U49" i="125" s="1"/>
  <c r="F42" i="86"/>
  <c r="P40" i="98"/>
  <c r="U38" i="125" s="1"/>
  <c r="F33" i="86"/>
  <c r="P37" i="98"/>
  <c r="U35" i="125" s="1"/>
  <c r="F30" i="86"/>
  <c r="P36" i="98"/>
  <c r="U34" i="125" s="1"/>
  <c r="F29" i="86"/>
  <c r="P110" i="98"/>
  <c r="U108" i="125" s="1"/>
  <c r="F96" i="86"/>
  <c r="I47" i="98"/>
  <c r="P45" i="125" s="1"/>
  <c r="E39" i="86"/>
  <c r="P65" i="98"/>
  <c r="U63" i="125" s="1"/>
  <c r="F55" i="86"/>
  <c r="P52" i="98"/>
  <c r="U50" i="125" s="1"/>
  <c r="F43" i="86"/>
  <c r="P70" i="98"/>
  <c r="U68" i="125" s="1"/>
  <c r="F59" i="86"/>
  <c r="P94" i="98"/>
  <c r="U92" i="125" s="1"/>
  <c r="F80" i="86"/>
  <c r="I66" i="98"/>
  <c r="P64" i="125" s="1"/>
  <c r="E56" i="86"/>
  <c r="I67" i="98"/>
  <c r="P65" i="125" s="1"/>
  <c r="E57" i="86"/>
  <c r="P119" i="98"/>
  <c r="U117" i="125" s="1"/>
  <c r="F135" i="86"/>
  <c r="P116" i="98"/>
  <c r="U114" i="125" s="1"/>
  <c r="F129" i="86"/>
  <c r="I104" i="98"/>
  <c r="P102" i="125" s="1"/>
  <c r="P19" i="98"/>
  <c r="U16" i="125" s="1"/>
  <c r="F88" i="86"/>
  <c r="I46" i="98"/>
  <c r="P44" i="125" s="1"/>
  <c r="P35" i="98"/>
  <c r="U33" i="125" s="1"/>
  <c r="F28" i="86"/>
  <c r="P45" i="98"/>
  <c r="U43" i="125" s="1"/>
  <c r="F37" i="86"/>
  <c r="I108" i="98"/>
  <c r="P106" i="125" s="1"/>
  <c r="E121" i="86"/>
  <c r="I122" i="98"/>
  <c r="P120" i="125" s="1"/>
  <c r="E138" i="86"/>
  <c r="I44" i="98"/>
  <c r="P42" i="125" s="1"/>
  <c r="E90" i="86"/>
  <c r="I19" i="98"/>
  <c r="P16" i="125" s="1"/>
  <c r="P30" i="98"/>
  <c r="U27" i="125" s="1"/>
  <c r="P68" i="98"/>
  <c r="U66" i="125" s="1"/>
  <c r="F58" i="86"/>
  <c r="F143" i="86"/>
  <c r="P122" i="98"/>
  <c r="U120" i="125" s="1"/>
  <c r="F138" i="86"/>
  <c r="P88" i="98"/>
  <c r="U86" i="125" s="1"/>
  <c r="F74" i="86"/>
  <c r="P112" i="98"/>
  <c r="U110" i="125" s="1"/>
  <c r="P81" i="98"/>
  <c r="U79" i="125" s="1"/>
  <c r="F68" i="86"/>
  <c r="E77" i="86"/>
  <c r="I85" i="98"/>
  <c r="P83" i="125" s="1"/>
  <c r="E72" i="86"/>
  <c r="I102" i="98"/>
  <c r="P100" i="125" s="1"/>
  <c r="P12" i="98"/>
  <c r="U9" i="125" s="1"/>
  <c r="F85" i="86"/>
  <c r="P75" i="98"/>
  <c r="U73" i="125" s="1"/>
  <c r="F64" i="86"/>
  <c r="P80" i="98"/>
  <c r="U78" i="125" s="1"/>
  <c r="F67" i="86"/>
  <c r="I38" i="98"/>
  <c r="P36" i="125" s="1"/>
  <c r="E31" i="86"/>
  <c r="P50" i="98"/>
  <c r="U48" i="125" s="1"/>
  <c r="F41" i="86"/>
  <c r="P24" i="98"/>
  <c r="U21" i="125" s="1"/>
  <c r="F17" i="86"/>
  <c r="I73" i="98"/>
  <c r="P71" i="125" s="1"/>
  <c r="P124" i="98"/>
  <c r="U122" i="125" s="1"/>
  <c r="F140" i="86"/>
  <c r="P25" i="98"/>
  <c r="U22" i="125" s="1"/>
  <c r="F18" i="86"/>
  <c r="I17" i="98"/>
  <c r="P14" i="125" s="1"/>
  <c r="E86" i="86"/>
  <c r="P72" i="98"/>
  <c r="U70" i="125" s="1"/>
  <c r="F61" i="86"/>
  <c r="P102" i="98"/>
  <c r="U100" i="125" s="1"/>
  <c r="P31" i="98"/>
  <c r="U28" i="125" s="1"/>
  <c r="I111" i="98"/>
  <c r="P109" i="125" s="1"/>
  <c r="E123" i="86"/>
  <c r="I121" i="98"/>
  <c r="P119" i="125" s="1"/>
  <c r="E137" i="86"/>
  <c r="P33" i="98"/>
  <c r="U30" i="125" s="1"/>
  <c r="P103" i="98"/>
  <c r="U101" i="125" s="1"/>
  <c r="P62" i="98"/>
  <c r="U60" i="125" s="1"/>
  <c r="F52" i="86"/>
  <c r="P11" i="98"/>
  <c r="U8" i="125" s="1"/>
  <c r="F10" i="86"/>
  <c r="I57" i="98"/>
  <c r="P55" i="125" s="1"/>
  <c r="E47" i="86"/>
  <c r="I50" i="98"/>
  <c r="P48" i="125" s="1"/>
  <c r="E41" i="86"/>
  <c r="I28" i="98"/>
  <c r="P25" i="125" s="1"/>
  <c r="E21" i="86"/>
  <c r="P28" i="98"/>
  <c r="U25" i="125" s="1"/>
  <c r="F21" i="86"/>
  <c r="I77" i="98"/>
  <c r="P75" i="125" s="1"/>
  <c r="E66" i="86"/>
  <c r="F132" i="86"/>
  <c r="P55" i="98"/>
  <c r="U53" i="125" s="1"/>
  <c r="F45" i="86"/>
  <c r="I16" i="98"/>
  <c r="P13" i="125" s="1"/>
  <c r="E14" i="86"/>
  <c r="P41" i="98"/>
  <c r="U39" i="125" s="1"/>
  <c r="F34" i="86"/>
  <c r="I26" i="98"/>
  <c r="P23" i="125" s="1"/>
  <c r="E19" i="86"/>
  <c r="I45" i="98"/>
  <c r="P43" i="125" s="1"/>
  <c r="E37" i="86"/>
  <c r="I43" i="98"/>
  <c r="P41" i="125" s="1"/>
  <c r="E36" i="86"/>
  <c r="F126" i="86"/>
  <c r="P34" i="98"/>
  <c r="F27" i="86"/>
  <c r="P23" i="98"/>
  <c r="U20" i="125" s="1"/>
  <c r="F16" i="86"/>
  <c r="I65" i="98"/>
  <c r="P63" i="125" s="1"/>
  <c r="E55" i="86"/>
  <c r="I115" i="98"/>
  <c r="P113" i="125" s="1"/>
  <c r="P17" i="98"/>
  <c r="U14" i="125" s="1"/>
  <c r="F86" i="86"/>
  <c r="I74" i="98"/>
  <c r="P72" i="125" s="1"/>
  <c r="P16" i="98"/>
  <c r="U13" i="125" s="1"/>
  <c r="F14" i="86"/>
  <c r="P126" i="98"/>
  <c r="U124" i="125" s="1"/>
  <c r="F142" i="86"/>
  <c r="P109" i="98"/>
  <c r="U107" i="125" s="1"/>
  <c r="F122" i="86"/>
  <c r="P121" i="98"/>
  <c r="U119" i="125" s="1"/>
  <c r="F137" i="86"/>
  <c r="P18" i="98"/>
  <c r="U15" i="125" s="1"/>
  <c r="F87" i="86"/>
  <c r="P15" i="98"/>
  <c r="U12" i="125" s="1"/>
  <c r="F13" i="86"/>
  <c r="P108" i="98"/>
  <c r="U106" i="125" s="1"/>
  <c r="F121" i="86"/>
  <c r="E130" i="86"/>
  <c r="I27" i="98"/>
  <c r="P24" i="125" s="1"/>
  <c r="E20" i="86"/>
  <c r="I55" i="98"/>
  <c r="P53" i="125" s="1"/>
  <c r="E45" i="86"/>
  <c r="I15" i="98"/>
  <c r="P12" i="125" s="1"/>
  <c r="I10" i="98"/>
  <c r="P7" i="125" s="1"/>
  <c r="E9" i="86"/>
  <c r="P118" i="98"/>
  <c r="U116" i="125" s="1"/>
  <c r="F133" i="86"/>
  <c r="I80" i="98"/>
  <c r="P78" i="125" s="1"/>
  <c r="E67" i="86"/>
  <c r="I34" i="98"/>
  <c r="E27" i="86"/>
  <c r="P54" i="98"/>
  <c r="U52" i="125" s="1"/>
  <c r="F44" i="86"/>
  <c r="P38" i="98"/>
  <c r="U36" i="125" s="1"/>
  <c r="F31" i="86"/>
  <c r="P115" i="98"/>
  <c r="U113" i="125" s="1"/>
  <c r="F128" i="86"/>
  <c r="F134" i="86"/>
  <c r="I126" i="98"/>
  <c r="P124" i="125" s="1"/>
  <c r="P74" i="98"/>
  <c r="U72" i="125" s="1"/>
  <c r="F63" i="86"/>
  <c r="I21" i="98"/>
  <c r="P18" i="125" s="1"/>
  <c r="E89" i="86"/>
  <c r="P44" i="98"/>
  <c r="U42" i="125" s="1"/>
  <c r="F90" i="86"/>
  <c r="P78" i="98"/>
  <c r="U76" i="125" s="1"/>
  <c r="F92" i="86"/>
  <c r="I56" i="98"/>
  <c r="P54" i="125" s="1"/>
  <c r="E46" i="86"/>
  <c r="I118" i="98"/>
  <c r="P116" i="125" s="1"/>
  <c r="P71" i="98"/>
  <c r="U69" i="125" s="1"/>
  <c r="F60" i="86"/>
  <c r="P89" i="98"/>
  <c r="U87" i="125" s="1"/>
  <c r="F75" i="86"/>
  <c r="P64" i="98"/>
  <c r="U62" i="125" s="1"/>
  <c r="F54" i="86"/>
  <c r="P93" i="98"/>
  <c r="U91" i="125" s="1"/>
  <c r="F79" i="86"/>
  <c r="F130" i="86"/>
  <c r="P46" i="98"/>
  <c r="U44" i="125" s="1"/>
  <c r="F38" i="86"/>
  <c r="I76" i="98"/>
  <c r="P74" i="125" s="1"/>
  <c r="E65" i="86"/>
  <c r="E98" i="86"/>
  <c r="I72" i="98"/>
  <c r="P70" i="125" s="1"/>
  <c r="I35" i="98"/>
  <c r="P33" i="125" s="1"/>
  <c r="I105" i="98"/>
  <c r="P103" i="125" s="1"/>
  <c r="P69" i="98"/>
  <c r="U67" i="125" s="1"/>
  <c r="I14" i="98"/>
  <c r="P11" i="125" s="1"/>
  <c r="V78" i="52"/>
  <c r="W78" i="52" s="1"/>
  <c r="I84" i="98"/>
  <c r="P82" i="125" s="1"/>
  <c r="C72" i="82"/>
  <c r="R73" i="73" s="1"/>
  <c r="AI82" i="52"/>
  <c r="L68" i="73"/>
  <c r="I13" i="98"/>
  <c r="P10" i="125" s="1"/>
  <c r="AD82" i="52"/>
  <c r="H32" i="98"/>
  <c r="O29" i="125" s="1"/>
  <c r="Q29" i="125" s="1"/>
  <c r="H87" i="98"/>
  <c r="C139" i="82"/>
  <c r="R140" i="73" s="1"/>
  <c r="Z82" i="52"/>
  <c r="P13" i="98"/>
  <c r="U10" i="125" s="1"/>
  <c r="AK26" i="104"/>
  <c r="I124" i="98"/>
  <c r="P122" i="125" s="1"/>
  <c r="AA95" i="52"/>
  <c r="J94" i="52"/>
  <c r="H82" i="98"/>
  <c r="P106" i="98"/>
  <c r="U104" i="125" s="1"/>
  <c r="P87" i="98"/>
  <c r="U85" i="125" s="1"/>
  <c r="S40" i="52"/>
  <c r="M93" i="52"/>
  <c r="AK29" i="104"/>
  <c r="AH29" i="104" s="1"/>
  <c r="AH83" i="52"/>
  <c r="Y50" i="52"/>
  <c r="E38" i="109"/>
  <c r="D36" i="109" s="1"/>
  <c r="AK30" i="104"/>
  <c r="AH30" i="104" s="1"/>
  <c r="M78" i="52"/>
  <c r="N78" i="52" s="1"/>
  <c r="P61" i="98"/>
  <c r="U59" i="125" s="1"/>
  <c r="P58" i="98"/>
  <c r="U56" i="125" s="1"/>
  <c r="Z30" i="104"/>
  <c r="P60" i="98"/>
  <c r="U58" i="125" s="1"/>
  <c r="P57" i="98"/>
  <c r="U55" i="125" s="1"/>
  <c r="P86" i="98"/>
  <c r="U84" i="125" s="1"/>
  <c r="P96" i="98"/>
  <c r="U94" i="125" s="1"/>
  <c r="P111" i="98"/>
  <c r="U109" i="125" s="1"/>
  <c r="P113" i="98"/>
  <c r="U111" i="125" s="1"/>
  <c r="P59" i="98"/>
  <c r="U57" i="125" s="1"/>
  <c r="P79" i="98"/>
  <c r="U77" i="125" s="1"/>
  <c r="P120" i="98"/>
  <c r="U118" i="125" s="1"/>
  <c r="P10" i="98"/>
  <c r="U7" i="125" s="1"/>
  <c r="P82" i="98"/>
  <c r="U80" i="125" s="1"/>
  <c r="P22" i="98"/>
  <c r="U19" i="125" s="1"/>
  <c r="AF29" i="104"/>
  <c r="AB44" i="52"/>
  <c r="AE27" i="104"/>
  <c r="P39" i="98"/>
  <c r="U37" i="125" s="1"/>
  <c r="P49" i="98"/>
  <c r="U47" i="125" s="1"/>
  <c r="P66" i="98"/>
  <c r="U64" i="125" s="1"/>
  <c r="P48" i="98"/>
  <c r="U46" i="125" s="1"/>
  <c r="P77" i="98"/>
  <c r="U75" i="125" s="1"/>
  <c r="P105" i="98"/>
  <c r="U103" i="125" s="1"/>
  <c r="P29" i="98"/>
  <c r="U26" i="125" s="1"/>
  <c r="AH44" i="52"/>
  <c r="P8" i="98"/>
  <c r="U5" i="125" s="1"/>
  <c r="P26" i="98"/>
  <c r="U23" i="125" s="1"/>
  <c r="AE33" i="104"/>
  <c r="M82" i="52"/>
  <c r="P67" i="98"/>
  <c r="U65" i="125" s="1"/>
  <c r="P85" i="98"/>
  <c r="U83" i="125" s="1"/>
  <c r="P47" i="98"/>
  <c r="U45" i="125" s="1"/>
  <c r="P97" i="98"/>
  <c r="U95" i="125" s="1"/>
  <c r="P21" i="98"/>
  <c r="U18" i="125" s="1"/>
  <c r="P14" i="98"/>
  <c r="U11" i="125" s="1"/>
  <c r="AH82" i="52"/>
  <c r="M40" i="52"/>
  <c r="S78" i="52"/>
  <c r="T78" i="52" s="1"/>
  <c r="E60" i="82"/>
  <c r="T61" i="73" s="1"/>
  <c r="C10" i="82"/>
  <c r="R10" i="73" s="1"/>
  <c r="J93" i="52"/>
  <c r="H29" i="98"/>
  <c r="O26" i="125" s="1"/>
  <c r="Q26" i="125" s="1"/>
  <c r="AE32" i="104"/>
  <c r="C7" i="26"/>
  <c r="D7" i="26" s="1"/>
  <c r="Y33" i="104"/>
  <c r="AK27" i="104"/>
  <c r="J41" i="52"/>
  <c r="AG34" i="104"/>
  <c r="AK25" i="104"/>
  <c r="AH25" i="104" s="1"/>
  <c r="P93" i="52"/>
  <c r="AK33" i="104"/>
  <c r="AH33" i="104" s="1"/>
  <c r="AE95" i="52"/>
  <c r="K60" i="52"/>
  <c r="L17" i="109"/>
  <c r="K15" i="109" s="1"/>
  <c r="AH95" i="52"/>
  <c r="AD95" i="52"/>
  <c r="AE29" i="104"/>
  <c r="AD44" i="52"/>
  <c r="AD45" i="52"/>
  <c r="AG44" i="52"/>
  <c r="AF83" i="52"/>
  <c r="S83" i="52" s="1"/>
  <c r="AD83" i="52"/>
  <c r="P83" i="52" s="1"/>
  <c r="AA82" i="52"/>
  <c r="AC86" i="52"/>
  <c r="I79" i="98"/>
  <c r="P77" i="125" s="1"/>
  <c r="I97" i="98"/>
  <c r="P95" i="125" s="1"/>
  <c r="AC95" i="52"/>
  <c r="P94" i="52"/>
  <c r="I30" i="98"/>
  <c r="P27" i="125" s="1"/>
  <c r="H61" i="98"/>
  <c r="H110" i="98"/>
  <c r="O108" i="125" s="1"/>
  <c r="Q108" i="125" s="1"/>
  <c r="H51" i="98"/>
  <c r="I114" i="98"/>
  <c r="P112" i="125" s="1"/>
  <c r="H37" i="98"/>
  <c r="H113" i="98"/>
  <c r="W141" i="46"/>
  <c r="X141" i="46" s="1"/>
  <c r="I83" i="98"/>
  <c r="P81" i="125" s="1"/>
  <c r="Z95" i="52"/>
  <c r="I60" i="98"/>
  <c r="P58" i="125" s="1"/>
  <c r="H39" i="98"/>
  <c r="H12" i="98"/>
  <c r="C141" i="46"/>
  <c r="D141" i="46" s="1"/>
  <c r="H116" i="98"/>
  <c r="O114" i="125" s="1"/>
  <c r="Q114" i="125" s="1"/>
  <c r="H94" i="98"/>
  <c r="I95" i="98"/>
  <c r="P93" i="125" s="1"/>
  <c r="C95" i="82"/>
  <c r="R96" i="73" s="1"/>
  <c r="H92" i="98"/>
  <c r="I23" i="98"/>
  <c r="P20" i="125" s="1"/>
  <c r="I109" i="98"/>
  <c r="P107" i="125" s="1"/>
  <c r="I36" i="98"/>
  <c r="P34" i="125" s="1"/>
  <c r="H81" i="98"/>
  <c r="AK31" i="104"/>
  <c r="I9" i="98"/>
  <c r="P6" i="125" s="1"/>
  <c r="I49" i="98"/>
  <c r="P47" i="125" s="1"/>
  <c r="O123" i="98"/>
  <c r="AF33" i="104"/>
  <c r="AH45" i="52"/>
  <c r="I59" i="98"/>
  <c r="P57" i="125" s="1"/>
  <c r="I52" i="98"/>
  <c r="P50" i="125" s="1"/>
  <c r="AF82" i="52"/>
  <c r="S82" i="52" s="1"/>
  <c r="H62" i="98"/>
  <c r="O60" i="125" s="1"/>
  <c r="Q60" i="125" s="1"/>
  <c r="M124" i="73"/>
  <c r="I40" i="98"/>
  <c r="P38" i="125" s="1"/>
  <c r="D123" i="98"/>
  <c r="C127" i="17"/>
  <c r="H11" i="98"/>
  <c r="I107" i="98"/>
  <c r="P105" i="125" s="1"/>
  <c r="AF95" i="52"/>
  <c r="I88" i="98"/>
  <c r="P86" i="125" s="1"/>
  <c r="J121" i="82"/>
  <c r="P122" i="73" s="1"/>
  <c r="AS122" i="73" s="1"/>
  <c r="E122" i="15"/>
  <c r="L121" i="82"/>
  <c r="H122" i="15"/>
  <c r="I63" i="98"/>
  <c r="P61" i="125" s="1"/>
  <c r="AE31" i="104"/>
  <c r="H103" i="98"/>
  <c r="O101" i="125" s="1"/>
  <c r="Q101" i="125" s="1"/>
  <c r="F123" i="98"/>
  <c r="F127" i="17"/>
  <c r="AF31" i="104"/>
  <c r="AF45" i="52"/>
  <c r="I24" i="98"/>
  <c r="P21" i="125" s="1"/>
  <c r="I25" i="98"/>
  <c r="P22" i="125" s="1"/>
  <c r="I90" i="98"/>
  <c r="P88" i="125" s="1"/>
  <c r="I33" i="98"/>
  <c r="P30" i="125" s="1"/>
  <c r="I8" i="98"/>
  <c r="P5" i="125" s="1"/>
  <c r="J43" i="52" l="1"/>
  <c r="Z38" i="109" s="1"/>
  <c r="Y36" i="109" s="1"/>
  <c r="AF54" i="52"/>
  <c r="AF57" i="52" s="1"/>
  <c r="Z25" i="104"/>
  <c r="Z55" i="52"/>
  <c r="Y26" i="104"/>
  <c r="Z54" i="52"/>
  <c r="AA54" i="52"/>
  <c r="AG102" i="73"/>
  <c r="AH102" i="73" s="1"/>
  <c r="AA102" i="73"/>
  <c r="AB102" i="73" s="1"/>
  <c r="Y102" i="73"/>
  <c r="Z102" i="73" s="1"/>
  <c r="AO102" i="73"/>
  <c r="AP102" i="73" s="1"/>
  <c r="AE102" i="73"/>
  <c r="AF102" i="73" s="1"/>
  <c r="AI102" i="73"/>
  <c r="AJ102" i="73" s="1"/>
  <c r="W102" i="73"/>
  <c r="X102" i="73" s="1"/>
  <c r="AQ102" i="73"/>
  <c r="AR102" i="73" s="1"/>
  <c r="AM102" i="73"/>
  <c r="AN102" i="73" s="1"/>
  <c r="AG32" i="104"/>
  <c r="BK49" i="120"/>
  <c r="BN49" i="120" s="1"/>
  <c r="J25" i="73"/>
  <c r="K25" i="73" s="1"/>
  <c r="AM68" i="73"/>
  <c r="BC68" i="73" s="1"/>
  <c r="J87" i="73"/>
  <c r="K87" i="73" s="1"/>
  <c r="J26" i="73"/>
  <c r="K26" i="73" s="1"/>
  <c r="J129" i="73"/>
  <c r="K129" i="73" s="1"/>
  <c r="AO129" i="73"/>
  <c r="BD129" i="73" s="1"/>
  <c r="AO85" i="73"/>
  <c r="BD85" i="73" s="1"/>
  <c r="J85" i="73"/>
  <c r="K85" i="73" s="1"/>
  <c r="J72" i="73"/>
  <c r="K72" i="73" s="1"/>
  <c r="AO72" i="73"/>
  <c r="AO79" i="73"/>
  <c r="BD79" i="73" s="1"/>
  <c r="AO87" i="73"/>
  <c r="BD87" i="73" s="1"/>
  <c r="BK106" i="120"/>
  <c r="BN106" i="120" s="1"/>
  <c r="AO43" i="73"/>
  <c r="BD43" i="73" s="1"/>
  <c r="BK102" i="120"/>
  <c r="BN102" i="120" s="1"/>
  <c r="BK103" i="120"/>
  <c r="BN103" i="120" s="1"/>
  <c r="BK105" i="120"/>
  <c r="BN105" i="120" s="1"/>
  <c r="AE46" i="52"/>
  <c r="I141" i="120"/>
  <c r="L141" i="120" s="1"/>
  <c r="AM129" i="73"/>
  <c r="BC129" i="73" s="1"/>
  <c r="AQ129" i="73"/>
  <c r="BE129" i="73" s="1"/>
  <c r="P82" i="52"/>
  <c r="P86" i="52" s="1"/>
  <c r="P90" i="52" s="1"/>
  <c r="J97" i="73"/>
  <c r="K97" i="73" s="1"/>
  <c r="AC45" i="52"/>
  <c r="M45" i="52" s="1"/>
  <c r="J60" i="73"/>
  <c r="K60" i="73" s="1"/>
  <c r="AF28" i="104"/>
  <c r="AG28" i="104" s="1"/>
  <c r="G52" i="104" s="1"/>
  <c r="G53" i="104" s="1"/>
  <c r="AO53" i="73"/>
  <c r="BD53" i="73" s="1"/>
  <c r="AG30" i="104"/>
  <c r="I46" i="104" s="1"/>
  <c r="AO97" i="73"/>
  <c r="BD97" i="73" s="1"/>
  <c r="J46" i="52"/>
  <c r="K46" i="52" s="1"/>
  <c r="BK99" i="120"/>
  <c r="BN99" i="120" s="1"/>
  <c r="S117" i="73"/>
  <c r="S118" i="73"/>
  <c r="AG55" i="52"/>
  <c r="S55" i="52" s="1"/>
  <c r="Z32" i="104"/>
  <c r="AO26" i="73"/>
  <c r="BD26" i="73" s="1"/>
  <c r="AO30" i="73"/>
  <c r="BD30" i="73" s="1"/>
  <c r="AQ30" i="73"/>
  <c r="BE30" i="73" s="1"/>
  <c r="J15" i="73"/>
  <c r="K15" i="73" s="1"/>
  <c r="AM30" i="73"/>
  <c r="BC30" i="73" s="1"/>
  <c r="AO138" i="73"/>
  <c r="AO15" i="73"/>
  <c r="BD15" i="73" s="1"/>
  <c r="AO96" i="73"/>
  <c r="BD96" i="73" s="1"/>
  <c r="J96" i="73"/>
  <c r="J98" i="73"/>
  <c r="K98" i="73" s="1"/>
  <c r="AO83" i="73"/>
  <c r="BD83" i="73" s="1"/>
  <c r="AO100" i="73"/>
  <c r="BD100" i="73" s="1"/>
  <c r="Z26" i="104"/>
  <c r="AA55" i="52"/>
  <c r="J27" i="73"/>
  <c r="K27" i="73" s="1"/>
  <c r="AO52" i="73"/>
  <c r="BD52" i="73" s="1"/>
  <c r="AM23" i="73"/>
  <c r="AO137" i="73"/>
  <c r="BD137" i="73" s="1"/>
  <c r="AO54" i="73"/>
  <c r="BD54" i="73" s="1"/>
  <c r="AO98" i="73"/>
  <c r="BD98" i="73" s="1"/>
  <c r="AO67" i="73"/>
  <c r="BD67" i="73" s="1"/>
  <c r="AQ137" i="73"/>
  <c r="BE137" i="73" s="1"/>
  <c r="C131" i="120"/>
  <c r="E131" i="120" s="1"/>
  <c r="AA28" i="104"/>
  <c r="J140" i="125"/>
  <c r="L140" i="125" s="1"/>
  <c r="S131" i="120"/>
  <c r="V131" i="120" s="1"/>
  <c r="M143" i="120"/>
  <c r="O143" i="120" s="1"/>
  <c r="Z31" i="104"/>
  <c r="AB31" i="104" s="1"/>
  <c r="K25" i="104" s="1"/>
  <c r="Y32" i="104"/>
  <c r="AG54" i="52"/>
  <c r="R127" i="120"/>
  <c r="S127" i="120"/>
  <c r="V127" i="120" s="1"/>
  <c r="E124" i="120"/>
  <c r="I124" i="120"/>
  <c r="L124" i="120" s="1"/>
  <c r="H136" i="120"/>
  <c r="I136" i="120"/>
  <c r="L136" i="120" s="1"/>
  <c r="J119" i="73"/>
  <c r="K119" i="73" s="1"/>
  <c r="I137" i="120"/>
  <c r="L137" i="120" s="1"/>
  <c r="AM52" i="73"/>
  <c r="BC52" i="73" s="1"/>
  <c r="AO134" i="73"/>
  <c r="BD134" i="73" s="1"/>
  <c r="AO121" i="73"/>
  <c r="J52" i="73"/>
  <c r="K52" i="73" s="1"/>
  <c r="S137" i="120"/>
  <c r="V137" i="120" s="1"/>
  <c r="P31" i="125"/>
  <c r="P32" i="125"/>
  <c r="S23" i="73"/>
  <c r="S22" i="73" s="1"/>
  <c r="AM127" i="73"/>
  <c r="BC127" i="73" s="1"/>
  <c r="AM137" i="73"/>
  <c r="BC137" i="73" s="1"/>
  <c r="J137" i="73"/>
  <c r="K137" i="73" s="1"/>
  <c r="P144" i="120"/>
  <c r="S144" i="120" s="1"/>
  <c r="V144" i="120" s="1"/>
  <c r="M129" i="120"/>
  <c r="S129" i="120" s="1"/>
  <c r="V129" i="120" s="1"/>
  <c r="AS22" i="73"/>
  <c r="R139" i="73"/>
  <c r="U32" i="125"/>
  <c r="U31" i="125"/>
  <c r="AQ52" i="73"/>
  <c r="BE52" i="73" s="1"/>
  <c r="J30" i="73"/>
  <c r="K30" i="73" s="1"/>
  <c r="C143" i="120"/>
  <c r="R134" i="73"/>
  <c r="J75" i="73"/>
  <c r="K75" i="73" s="1"/>
  <c r="J102" i="73"/>
  <c r="K102" i="73" s="1"/>
  <c r="J9" i="73"/>
  <c r="K9" i="73" s="1"/>
  <c r="J123" i="73"/>
  <c r="K123" i="73" s="1"/>
  <c r="J125" i="73"/>
  <c r="K125" i="73" s="1"/>
  <c r="J29" i="73"/>
  <c r="K29" i="73" s="1"/>
  <c r="J14" i="73"/>
  <c r="K14" i="73" s="1"/>
  <c r="J84" i="73"/>
  <c r="K84" i="73" s="1"/>
  <c r="J21" i="73"/>
  <c r="K21" i="73" s="1"/>
  <c r="D131" i="73"/>
  <c r="L131" i="97" s="1"/>
  <c r="AK16" i="73"/>
  <c r="BB16" i="73" s="1"/>
  <c r="J93" i="73"/>
  <c r="K93" i="73" s="1"/>
  <c r="J41" i="73"/>
  <c r="K41" i="73" s="1"/>
  <c r="J17" i="73"/>
  <c r="K17" i="73" s="1"/>
  <c r="J89" i="73"/>
  <c r="K89" i="73" s="1"/>
  <c r="AK21" i="73"/>
  <c r="BB21" i="73" s="1"/>
  <c r="AK11" i="73"/>
  <c r="J91" i="73"/>
  <c r="K91" i="73" s="1"/>
  <c r="J70" i="73"/>
  <c r="K70" i="73" s="1"/>
  <c r="AK24" i="73"/>
  <c r="AG33" i="73"/>
  <c r="AH33" i="73" s="1"/>
  <c r="J90" i="73"/>
  <c r="K90" i="73" s="1"/>
  <c r="AK18" i="73"/>
  <c r="S134" i="73"/>
  <c r="AG11" i="73"/>
  <c r="U12" i="73"/>
  <c r="W12" i="73" s="1"/>
  <c r="AT12" i="73"/>
  <c r="AK12" i="73"/>
  <c r="AG12" i="73"/>
  <c r="AZ12" i="73" s="1"/>
  <c r="AG24" i="73"/>
  <c r="AZ24" i="73" s="1"/>
  <c r="U33" i="73"/>
  <c r="W33" i="73" s="1"/>
  <c r="X33" i="73" s="1"/>
  <c r="J120" i="73"/>
  <c r="K120" i="73" s="1"/>
  <c r="J69" i="73"/>
  <c r="K69" i="73" s="1"/>
  <c r="J94" i="73"/>
  <c r="K94" i="73" s="1"/>
  <c r="J39" i="73"/>
  <c r="K39" i="73" s="1"/>
  <c r="J82" i="73"/>
  <c r="K82" i="73" s="1"/>
  <c r="J62" i="73"/>
  <c r="K62" i="73" s="1"/>
  <c r="J65" i="73"/>
  <c r="K65" i="73" s="1"/>
  <c r="J31" i="73"/>
  <c r="K31" i="73" s="1"/>
  <c r="J55" i="73"/>
  <c r="K55" i="73" s="1"/>
  <c r="J81" i="73"/>
  <c r="K81" i="73" s="1"/>
  <c r="J57" i="73"/>
  <c r="K57" i="73" s="1"/>
  <c r="J19" i="73"/>
  <c r="K19" i="73" s="1"/>
  <c r="J78" i="73"/>
  <c r="K78" i="73" s="1"/>
  <c r="J134" i="73"/>
  <c r="K134" i="73" s="1"/>
  <c r="J67" i="73"/>
  <c r="K67" i="73" s="1"/>
  <c r="J56" i="73"/>
  <c r="K56" i="73" s="1"/>
  <c r="J80" i="73"/>
  <c r="K80" i="73" s="1"/>
  <c r="J18" i="73"/>
  <c r="K18" i="73" s="1"/>
  <c r="J74" i="73"/>
  <c r="K74" i="73" s="1"/>
  <c r="J47" i="73"/>
  <c r="K47" i="73" s="1"/>
  <c r="J42" i="73"/>
  <c r="K42" i="73" s="1"/>
  <c r="J71" i="73"/>
  <c r="K71" i="73" s="1"/>
  <c r="J86" i="73"/>
  <c r="K86" i="73" s="1"/>
  <c r="J79" i="73"/>
  <c r="K79" i="73" s="1"/>
  <c r="J43" i="73"/>
  <c r="K43" i="73" s="1"/>
  <c r="J121" i="73"/>
  <c r="K121" i="73" s="1"/>
  <c r="J138" i="73"/>
  <c r="K138" i="73" s="1"/>
  <c r="J66" i="73"/>
  <c r="K66" i="73" s="1"/>
  <c r="J49" i="73"/>
  <c r="K49" i="73" s="1"/>
  <c r="J28" i="73"/>
  <c r="K28" i="73" s="1"/>
  <c r="J140" i="73"/>
  <c r="K140" i="73" s="1"/>
  <c r="J95" i="73"/>
  <c r="K95" i="73" s="1"/>
  <c r="J100" i="73"/>
  <c r="K100" i="73" s="1"/>
  <c r="J54" i="73"/>
  <c r="K54" i="73" s="1"/>
  <c r="J83" i="73"/>
  <c r="K83" i="73" s="1"/>
  <c r="AQ68" i="73"/>
  <c r="BE68" i="73" s="1"/>
  <c r="J68" i="73"/>
  <c r="K68" i="73" s="1"/>
  <c r="J45" i="73"/>
  <c r="K45" i="73" s="1"/>
  <c r="J92" i="73"/>
  <c r="K92" i="73" s="1"/>
  <c r="J51" i="73"/>
  <c r="K51" i="73" s="1"/>
  <c r="J38" i="73"/>
  <c r="K38" i="73" s="1"/>
  <c r="J36" i="73"/>
  <c r="K36" i="73" s="1"/>
  <c r="J44" i="73"/>
  <c r="K44" i="73" s="1"/>
  <c r="J132" i="73"/>
  <c r="K132" i="73" s="1"/>
  <c r="J11" i="73"/>
  <c r="K11" i="73" s="1"/>
  <c r="J76" i="73"/>
  <c r="K76" i="73" s="1"/>
  <c r="J35" i="73"/>
  <c r="K35" i="73" s="1"/>
  <c r="J124" i="73"/>
  <c r="K124" i="73" s="1"/>
  <c r="J63" i="73"/>
  <c r="K63" i="73" s="1"/>
  <c r="J59" i="73"/>
  <c r="K59" i="73" s="1"/>
  <c r="J58" i="73"/>
  <c r="K58" i="73" s="1"/>
  <c r="J16" i="73"/>
  <c r="K16" i="73" s="1"/>
  <c r="J122" i="73"/>
  <c r="K122" i="73" s="1"/>
  <c r="J32" i="73"/>
  <c r="K32" i="73" s="1"/>
  <c r="J24" i="73"/>
  <c r="K24" i="73" s="1"/>
  <c r="J53" i="73"/>
  <c r="K53" i="73" s="1"/>
  <c r="J20" i="73"/>
  <c r="K20" i="73" s="1"/>
  <c r="J61" i="73"/>
  <c r="K61" i="73" s="1"/>
  <c r="J133" i="73"/>
  <c r="K133" i="73" s="1"/>
  <c r="J13" i="73"/>
  <c r="K13" i="73" s="1"/>
  <c r="J99" i="73"/>
  <c r="K99" i="73" s="1"/>
  <c r="J88" i="73"/>
  <c r="K88" i="73" s="1"/>
  <c r="J48" i="73"/>
  <c r="K48" i="73" s="1"/>
  <c r="J127" i="73"/>
  <c r="K127" i="73" s="1"/>
  <c r="J40" i="73"/>
  <c r="K40" i="73" s="1"/>
  <c r="J50" i="73"/>
  <c r="K50" i="73" s="1"/>
  <c r="J73" i="73"/>
  <c r="K73" i="73" s="1"/>
  <c r="AM59" i="73"/>
  <c r="AQ59" i="73"/>
  <c r="AQ29" i="73"/>
  <c r="AM29" i="73"/>
  <c r="AO103" i="73"/>
  <c r="BD46" i="73"/>
  <c r="BC130" i="73"/>
  <c r="BC8" i="73"/>
  <c r="AM111" i="73"/>
  <c r="AQ111" i="73"/>
  <c r="AO38" i="73"/>
  <c r="AO44" i="73"/>
  <c r="AQ14" i="73"/>
  <c r="AM14" i="73"/>
  <c r="AQ85" i="73"/>
  <c r="AM85" i="73"/>
  <c r="AQ91" i="73"/>
  <c r="AM91" i="73"/>
  <c r="AO59" i="73"/>
  <c r="AO14" i="73"/>
  <c r="BD78" i="73"/>
  <c r="AQ124" i="73"/>
  <c r="AM124" i="73"/>
  <c r="AO68" i="73"/>
  <c r="AQ48" i="73"/>
  <c r="AM48" i="73"/>
  <c r="AM80" i="73"/>
  <c r="AQ80" i="73"/>
  <c r="AQ42" i="73"/>
  <c r="AM42" i="73"/>
  <c r="AM74" i="73"/>
  <c r="AQ74" i="73"/>
  <c r="AQ71" i="73"/>
  <c r="AM71" i="73"/>
  <c r="AM97" i="73"/>
  <c r="AQ97" i="73"/>
  <c r="AQ76" i="73"/>
  <c r="AM76" i="73"/>
  <c r="AO29" i="73"/>
  <c r="AG21" i="73"/>
  <c r="AO21" i="73"/>
  <c r="AM56" i="73"/>
  <c r="AQ56" i="73"/>
  <c r="AO120" i="73"/>
  <c r="AO93" i="73"/>
  <c r="AM10" i="73"/>
  <c r="AQ99" i="73"/>
  <c r="AM99" i="73"/>
  <c r="AO69" i="73"/>
  <c r="AO75" i="73"/>
  <c r="AO94" i="73"/>
  <c r="AO39" i="73"/>
  <c r="AO99" i="73"/>
  <c r="AQ128" i="73"/>
  <c r="AM128" i="73"/>
  <c r="AO20" i="73"/>
  <c r="AM27" i="73"/>
  <c r="AQ27" i="73"/>
  <c r="AM95" i="73"/>
  <c r="AQ95" i="73"/>
  <c r="BD139" i="73"/>
  <c r="S69" i="52" s="1"/>
  <c r="BD57" i="73"/>
  <c r="AQ31" i="73"/>
  <c r="AQ55" i="73"/>
  <c r="AM55" i="73"/>
  <c r="AO36" i="73"/>
  <c r="AQ78" i="73"/>
  <c r="AM78" i="73"/>
  <c r="AM103" i="73"/>
  <c r="AQ103" i="73"/>
  <c r="AO119" i="73"/>
  <c r="AO58" i="73"/>
  <c r="BD135" i="73"/>
  <c r="AM82" i="73"/>
  <c r="AQ82" i="73"/>
  <c r="AM35" i="73"/>
  <c r="AQ35" i="73"/>
  <c r="AM81" i="73"/>
  <c r="AQ81" i="73"/>
  <c r="AM109" i="73"/>
  <c r="AQ109" i="73"/>
  <c r="AQ73" i="73"/>
  <c r="AM73" i="73"/>
  <c r="AM84" i="73"/>
  <c r="AQ84" i="73"/>
  <c r="AM64" i="73"/>
  <c r="AQ64" i="73"/>
  <c r="AO88" i="73"/>
  <c r="AO48" i="73"/>
  <c r="AM43" i="73"/>
  <c r="AQ43" i="73"/>
  <c r="AQ94" i="73"/>
  <c r="AM94" i="73"/>
  <c r="AQ87" i="73"/>
  <c r="AM87" i="73"/>
  <c r="AM39" i="73"/>
  <c r="AQ39" i="73"/>
  <c r="AM118" i="73"/>
  <c r="AQ118" i="73"/>
  <c r="AO127" i="73"/>
  <c r="AO40" i="73"/>
  <c r="AO107" i="73"/>
  <c r="AO50" i="73"/>
  <c r="AQ96" i="73"/>
  <c r="BE96" i="73" s="1"/>
  <c r="AM96" i="73"/>
  <c r="BC96" i="73" s="1"/>
  <c r="AO126" i="73"/>
  <c r="AQ90" i="73"/>
  <c r="AM90" i="73"/>
  <c r="AM116" i="73"/>
  <c r="AQ116" i="73"/>
  <c r="AQ107" i="73"/>
  <c r="AQ50" i="73"/>
  <c r="AM50" i="73"/>
  <c r="AQ114" i="73"/>
  <c r="AM114" i="73"/>
  <c r="AM110" i="73"/>
  <c r="AQ110" i="73"/>
  <c r="AO113" i="73"/>
  <c r="AQ69" i="73"/>
  <c r="AM69" i="73"/>
  <c r="AO27" i="73"/>
  <c r="AO63" i="73"/>
  <c r="AM139" i="73"/>
  <c r="AQ139" i="73"/>
  <c r="AM86" i="73"/>
  <c r="AQ86" i="73"/>
  <c r="AQ53" i="73"/>
  <c r="AM53" i="73"/>
  <c r="AO91" i="73"/>
  <c r="AM88" i="73"/>
  <c r="AQ88" i="73"/>
  <c r="AQ92" i="73"/>
  <c r="AM92" i="73"/>
  <c r="AO17" i="73"/>
  <c r="AO60" i="73"/>
  <c r="AQ36" i="73"/>
  <c r="AM36" i="73"/>
  <c r="AO7" i="73"/>
  <c r="AM51" i="73"/>
  <c r="AQ51" i="73"/>
  <c r="AO65" i="73"/>
  <c r="AM17" i="73"/>
  <c r="AQ17" i="73"/>
  <c r="AM108" i="73"/>
  <c r="AQ108" i="73"/>
  <c r="AO70" i="73"/>
  <c r="AO31" i="73"/>
  <c r="AO115" i="73"/>
  <c r="AO55" i="73"/>
  <c r="AO9" i="73"/>
  <c r="AQ93" i="73"/>
  <c r="AM93" i="73"/>
  <c r="AE21" i="73"/>
  <c r="AQ21" i="73"/>
  <c r="AM21" i="73"/>
  <c r="AI21" i="73"/>
  <c r="AQ98" i="73"/>
  <c r="AM98" i="73"/>
  <c r="AO123" i="73"/>
  <c r="AM75" i="73"/>
  <c r="AQ75" i="73"/>
  <c r="AM19" i="73"/>
  <c r="AQ19" i="73"/>
  <c r="BE131" i="73"/>
  <c r="BD61" i="73"/>
  <c r="BE135" i="73"/>
  <c r="AQ83" i="73"/>
  <c r="AM83" i="73"/>
  <c r="AM125" i="73"/>
  <c r="AQ125" i="73"/>
  <c r="AM32" i="73"/>
  <c r="AQ32" i="73"/>
  <c r="AM37" i="73"/>
  <c r="AQ37" i="73"/>
  <c r="AM41" i="73"/>
  <c r="AQ41" i="73"/>
  <c r="AM34" i="73"/>
  <c r="AQ34" i="73"/>
  <c r="AM104" i="73"/>
  <c r="AQ104" i="73"/>
  <c r="AT33" i="73"/>
  <c r="AE33" i="73"/>
  <c r="AF33" i="73" s="1"/>
  <c r="AQ33" i="73"/>
  <c r="AR33" i="73" s="1"/>
  <c r="AM33" i="73"/>
  <c r="AN33" i="73" s="1"/>
  <c r="AI33" i="73"/>
  <c r="AJ33" i="73" s="1"/>
  <c r="BD64" i="73"/>
  <c r="AO45" i="73"/>
  <c r="AQ54" i="73"/>
  <c r="AM54" i="73"/>
  <c r="AO84" i="73"/>
  <c r="AQ66" i="73"/>
  <c r="AM66" i="73"/>
  <c r="AM67" i="73"/>
  <c r="AQ67" i="73"/>
  <c r="AQ72" i="73"/>
  <c r="AM72" i="73"/>
  <c r="AQ120" i="73"/>
  <c r="AM120" i="73"/>
  <c r="AO118" i="73"/>
  <c r="AO112" i="73"/>
  <c r="AM117" i="73"/>
  <c r="AQ117" i="73"/>
  <c r="AQ121" i="73"/>
  <c r="AM121" i="73"/>
  <c r="AO82" i="73"/>
  <c r="AO56" i="73"/>
  <c r="AO62" i="73"/>
  <c r="AO92" i="73"/>
  <c r="M22" i="73"/>
  <c r="J22" i="73" s="1"/>
  <c r="K22" i="73" s="1"/>
  <c r="AI12" i="73"/>
  <c r="AE12" i="73"/>
  <c r="AQ12" i="73"/>
  <c r="AM12" i="73"/>
  <c r="AQ113" i="73"/>
  <c r="AM113" i="73"/>
  <c r="AM133" i="73"/>
  <c r="AQ133" i="73"/>
  <c r="AM77" i="73"/>
  <c r="AQ77" i="73"/>
  <c r="AM136" i="73"/>
  <c r="AQ136" i="73"/>
  <c r="AM16" i="73"/>
  <c r="AE16" i="73"/>
  <c r="AI16" i="73"/>
  <c r="AQ16" i="73"/>
  <c r="AQ126" i="73"/>
  <c r="AO22" i="73"/>
  <c r="BD24" i="73"/>
  <c r="BD130" i="73"/>
  <c r="BD133" i="73"/>
  <c r="BD19" i="73"/>
  <c r="BC31" i="73"/>
  <c r="AO51" i="73"/>
  <c r="AQ63" i="73"/>
  <c r="AM63" i="73"/>
  <c r="AQ134" i="73"/>
  <c r="AM134" i="73"/>
  <c r="AO35" i="73"/>
  <c r="AQ61" i="73"/>
  <c r="AM61" i="73"/>
  <c r="AO125" i="73"/>
  <c r="AO122" i="73"/>
  <c r="AO76" i="73"/>
  <c r="AO108" i="73"/>
  <c r="AM79" i="73"/>
  <c r="AQ79" i="73"/>
  <c r="AQ57" i="73"/>
  <c r="AM57" i="73"/>
  <c r="AQ100" i="73"/>
  <c r="AM100" i="73"/>
  <c r="AQ49" i="73"/>
  <c r="AM49" i="73"/>
  <c r="AO80" i="73"/>
  <c r="AO89" i="73"/>
  <c r="AM44" i="73"/>
  <c r="AQ44" i="73"/>
  <c r="AQ46" i="73"/>
  <c r="AM46" i="73"/>
  <c r="AM89" i="73"/>
  <c r="AQ89" i="73"/>
  <c r="AQ26" i="73"/>
  <c r="AM26" i="73"/>
  <c r="AM60" i="73"/>
  <c r="AQ60" i="73"/>
  <c r="AQ38" i="73"/>
  <c r="AM38" i="73"/>
  <c r="AG18" i="73"/>
  <c r="AO18" i="73"/>
  <c r="AO74" i="73"/>
  <c r="AO47" i="73"/>
  <c r="AO42" i="73"/>
  <c r="AO71" i="73"/>
  <c r="AO90" i="73"/>
  <c r="AM138" i="73"/>
  <c r="AQ138" i="73"/>
  <c r="AQ13" i="73"/>
  <c r="AM13" i="73"/>
  <c r="AM9" i="73"/>
  <c r="AQ9" i="73"/>
  <c r="AO86" i="73"/>
  <c r="AM123" i="73"/>
  <c r="AQ123" i="73"/>
  <c r="AQ11" i="73"/>
  <c r="AM11" i="73"/>
  <c r="AE11" i="73"/>
  <c r="AI11" i="73"/>
  <c r="BC131" i="73"/>
  <c r="AP33" i="73"/>
  <c r="BE130" i="73"/>
  <c r="BD73" i="73"/>
  <c r="AQ127" i="73"/>
  <c r="BC135" i="73"/>
  <c r="AQ47" i="73"/>
  <c r="AM47" i="73"/>
  <c r="AQ62" i="73"/>
  <c r="AM62" i="73"/>
  <c r="AQ132" i="73"/>
  <c r="AM132" i="73"/>
  <c r="AO41" i="73"/>
  <c r="AO124" i="73"/>
  <c r="AO16" i="73"/>
  <c r="AG16" i="73"/>
  <c r="AM45" i="73"/>
  <c r="AQ45" i="73"/>
  <c r="AM58" i="73"/>
  <c r="AQ58" i="73"/>
  <c r="AQ20" i="73"/>
  <c r="AM20" i="73"/>
  <c r="AO111" i="73"/>
  <c r="AE24" i="73"/>
  <c r="AM24" i="73"/>
  <c r="AI24" i="73"/>
  <c r="AQ24" i="73"/>
  <c r="AO66" i="73"/>
  <c r="AM40" i="73"/>
  <c r="AQ40" i="73"/>
  <c r="AM65" i="73"/>
  <c r="AQ65" i="73"/>
  <c r="AQ28" i="73"/>
  <c r="AM28" i="73"/>
  <c r="AE18" i="73"/>
  <c r="AM18" i="73"/>
  <c r="AI18" i="73"/>
  <c r="AQ18" i="73"/>
  <c r="AM122" i="73"/>
  <c r="AQ122" i="73"/>
  <c r="AM112" i="73"/>
  <c r="AQ112" i="73"/>
  <c r="AM70" i="73"/>
  <c r="AQ70" i="73"/>
  <c r="AO116" i="73"/>
  <c r="AO49" i="73"/>
  <c r="AM140" i="73"/>
  <c r="AQ140" i="73"/>
  <c r="AM141" i="73"/>
  <c r="AQ141" i="73"/>
  <c r="AO25" i="73"/>
  <c r="AM15" i="73"/>
  <c r="AQ15" i="73"/>
  <c r="AO28" i="73"/>
  <c r="AQ25" i="73"/>
  <c r="AM25" i="73"/>
  <c r="AO140" i="73"/>
  <c r="AO95" i="73"/>
  <c r="AM119" i="73"/>
  <c r="AQ119" i="73"/>
  <c r="BC126" i="73"/>
  <c r="AP12" i="73"/>
  <c r="BD12" i="73"/>
  <c r="R33" i="97"/>
  <c r="K32" i="125" s="1"/>
  <c r="J32" i="125"/>
  <c r="L32" i="125" s="1"/>
  <c r="K137" i="125"/>
  <c r="J137" i="125"/>
  <c r="L137" i="125" s="1"/>
  <c r="F100" i="86"/>
  <c r="T97" i="125"/>
  <c r="V97" i="125" s="1"/>
  <c r="F102" i="86"/>
  <c r="T99" i="125"/>
  <c r="V99" i="125" s="1"/>
  <c r="F118" i="86"/>
  <c r="T115" i="125"/>
  <c r="V115" i="125" s="1"/>
  <c r="P98" i="98"/>
  <c r="U96" i="125" s="1"/>
  <c r="T96" i="125"/>
  <c r="V96" i="125" s="1"/>
  <c r="F101" i="86"/>
  <c r="T98" i="125"/>
  <c r="V98" i="125" s="1"/>
  <c r="F124" i="86"/>
  <c r="T121" i="125"/>
  <c r="V121" i="125" s="1"/>
  <c r="E10" i="86"/>
  <c r="O8" i="125"/>
  <c r="Q8" i="125" s="1"/>
  <c r="I128" i="98"/>
  <c r="P126" i="125" s="1"/>
  <c r="O126" i="125"/>
  <c r="Q126" i="125" s="1"/>
  <c r="E118" i="86"/>
  <c r="O115" i="125"/>
  <c r="Q115" i="125" s="1"/>
  <c r="I127" i="98"/>
  <c r="P125" i="125" s="1"/>
  <c r="O125" i="125"/>
  <c r="Q125" i="125" s="1"/>
  <c r="E95" i="86"/>
  <c r="O92" i="125"/>
  <c r="Q92" i="125" s="1"/>
  <c r="E102" i="86"/>
  <c r="O99" i="125"/>
  <c r="Q99" i="125" s="1"/>
  <c r="I138" i="98"/>
  <c r="P136" i="125" s="1"/>
  <c r="O136" i="125"/>
  <c r="Q136" i="125" s="1"/>
  <c r="E82" i="86"/>
  <c r="O79" i="125"/>
  <c r="Q79" i="125" s="1"/>
  <c r="E38" i="86"/>
  <c r="O35" i="125"/>
  <c r="Q35" i="125" s="1"/>
  <c r="I141" i="98"/>
  <c r="P139" i="125" s="1"/>
  <c r="O139" i="125"/>
  <c r="Q139" i="125" s="1"/>
  <c r="I133" i="98"/>
  <c r="P131" i="125" s="1"/>
  <c r="O131" i="125"/>
  <c r="Q131" i="125" s="1"/>
  <c r="I98" i="98"/>
  <c r="P96" i="125" s="1"/>
  <c r="O96" i="125"/>
  <c r="Q96" i="125" s="1"/>
  <c r="E114" i="86"/>
  <c r="O111" i="125"/>
  <c r="Q111" i="125" s="1"/>
  <c r="E85" i="86"/>
  <c r="O9" i="125"/>
  <c r="Q9" i="125" s="1"/>
  <c r="E69" i="86"/>
  <c r="O80" i="125"/>
  <c r="Q80" i="125" s="1"/>
  <c r="I130" i="98"/>
  <c r="P128" i="125" s="1"/>
  <c r="O128" i="125"/>
  <c r="Q128" i="125" s="1"/>
  <c r="E92" i="86"/>
  <c r="O89" i="125"/>
  <c r="Q89" i="125" s="1"/>
  <c r="E62" i="86"/>
  <c r="O59" i="125"/>
  <c r="Q59" i="125" s="1"/>
  <c r="E93" i="86"/>
  <c r="O90" i="125"/>
  <c r="Q90" i="125" s="1"/>
  <c r="E32" i="86"/>
  <c r="O37" i="125"/>
  <c r="Q37" i="125" s="1"/>
  <c r="E42" i="86"/>
  <c r="O49" i="125"/>
  <c r="Q49" i="125" s="1"/>
  <c r="E73" i="86"/>
  <c r="O85" i="125"/>
  <c r="Q85" i="125" s="1"/>
  <c r="I134" i="98"/>
  <c r="P132" i="125" s="1"/>
  <c r="O132" i="125"/>
  <c r="Q132" i="125" s="1"/>
  <c r="I132" i="98"/>
  <c r="P130" i="125" s="1"/>
  <c r="O130" i="125"/>
  <c r="Q130" i="125" s="1"/>
  <c r="I100" i="98"/>
  <c r="P98" i="125" s="1"/>
  <c r="O98" i="125"/>
  <c r="Q98" i="125" s="1"/>
  <c r="D126" i="73"/>
  <c r="L126" i="97" s="1"/>
  <c r="AI95" i="52"/>
  <c r="I32" i="120"/>
  <c r="L32" i="120" s="1"/>
  <c r="AK34" i="104"/>
  <c r="AH34" i="104" s="1"/>
  <c r="M52" i="104" s="1"/>
  <c r="S32" i="120"/>
  <c r="V32" i="120" s="1"/>
  <c r="I31" i="120"/>
  <c r="L31" i="120" s="1"/>
  <c r="S31" i="120"/>
  <c r="V31" i="120" s="1"/>
  <c r="P32" i="82"/>
  <c r="BK27" i="120"/>
  <c r="BN27" i="120" s="1"/>
  <c r="BK84" i="120"/>
  <c r="BN84" i="120" s="1"/>
  <c r="D138" i="82"/>
  <c r="S139" i="73" s="1"/>
  <c r="F146" i="24"/>
  <c r="F141" i="24"/>
  <c r="BK34" i="120"/>
  <c r="BN34" i="120" s="1"/>
  <c r="D26" i="82"/>
  <c r="S27" i="73" s="1"/>
  <c r="D92" i="82"/>
  <c r="S93" i="73" s="1"/>
  <c r="E118" i="82"/>
  <c r="T119" i="73" s="1"/>
  <c r="F25" i="24"/>
  <c r="D36" i="82"/>
  <c r="S37" i="73" s="1"/>
  <c r="D77" i="82"/>
  <c r="S78" i="73" s="1"/>
  <c r="E22" i="82"/>
  <c r="T23" i="73" s="1"/>
  <c r="D47" i="82"/>
  <c r="S48" i="73" s="1"/>
  <c r="E124" i="82"/>
  <c r="T125" i="73" s="1"/>
  <c r="E95" i="82"/>
  <c r="T96" i="73" s="1"/>
  <c r="D58" i="82"/>
  <c r="S59" i="73" s="1"/>
  <c r="D14" i="82"/>
  <c r="S14" i="73" s="1"/>
  <c r="M95" i="52"/>
  <c r="M97" i="52" s="1"/>
  <c r="N29" i="52" s="1"/>
  <c r="F24" i="24"/>
  <c r="E30" i="82"/>
  <c r="T31" i="73" s="1"/>
  <c r="F94" i="24"/>
  <c r="E83" i="82"/>
  <c r="T84" i="73" s="1"/>
  <c r="H27" i="24"/>
  <c r="D8" i="82"/>
  <c r="S8" i="73" s="1"/>
  <c r="H18" i="24"/>
  <c r="AA18" i="24" s="1"/>
  <c r="E110" i="82"/>
  <c r="T111" i="73" s="1"/>
  <c r="D67" i="82"/>
  <c r="S68" i="73" s="1"/>
  <c r="F17" i="24"/>
  <c r="D78" i="82"/>
  <c r="S79" i="73" s="1"/>
  <c r="E39" i="82"/>
  <c r="T40" i="73" s="1"/>
  <c r="D140" i="82"/>
  <c r="S141" i="73" s="1"/>
  <c r="E97" i="82"/>
  <c r="T98" i="73" s="1"/>
  <c r="D111" i="82"/>
  <c r="S112" i="73" s="1"/>
  <c r="F26" i="24"/>
  <c r="D30" i="82"/>
  <c r="S31" i="73" s="1"/>
  <c r="E24" i="82"/>
  <c r="T25" i="73" s="1"/>
  <c r="AK25" i="73" s="1"/>
  <c r="E89" i="82"/>
  <c r="T90" i="73" s="1"/>
  <c r="AG90" i="73" s="1"/>
  <c r="F23" i="24"/>
  <c r="E38" i="82"/>
  <c r="T39" i="73" s="1"/>
  <c r="E94" i="82"/>
  <c r="T95" i="73" s="1"/>
  <c r="D93" i="82"/>
  <c r="S94" i="73" s="1"/>
  <c r="H16" i="24"/>
  <c r="AA16" i="24" s="1"/>
  <c r="E44" i="82"/>
  <c r="T45" i="73" s="1"/>
  <c r="D59" i="82"/>
  <c r="S60" i="73" s="1"/>
  <c r="D10" i="82"/>
  <c r="S10" i="73" s="1"/>
  <c r="D113" i="82"/>
  <c r="S114" i="73" s="1"/>
  <c r="D115" i="82"/>
  <c r="D25" i="82"/>
  <c r="S26" i="73" s="1"/>
  <c r="AI26" i="73" s="1"/>
  <c r="D39" i="82"/>
  <c r="S40" i="73" s="1"/>
  <c r="D37" i="82"/>
  <c r="S38" i="73" s="1"/>
  <c r="H13" i="24"/>
  <c r="AA13" i="24" s="1"/>
  <c r="D13" i="24" s="1"/>
  <c r="BK112" i="120"/>
  <c r="BN112" i="120" s="1"/>
  <c r="D84" i="82"/>
  <c r="S85" i="73" s="1"/>
  <c r="E47" i="82"/>
  <c r="T48" i="73" s="1"/>
  <c r="BK45" i="120"/>
  <c r="BN45" i="120" s="1"/>
  <c r="D126" i="82"/>
  <c r="S127" i="73" s="1"/>
  <c r="BK128" i="120"/>
  <c r="BN128" i="120" s="1"/>
  <c r="BK47" i="120"/>
  <c r="BN47" i="120" s="1"/>
  <c r="BK95" i="120"/>
  <c r="BN95" i="120" s="1"/>
  <c r="BK120" i="120"/>
  <c r="BN120" i="120" s="1"/>
  <c r="E80" i="82"/>
  <c r="T81" i="73" s="1"/>
  <c r="E67" i="82"/>
  <c r="T68" i="73" s="1"/>
  <c r="E92" i="82"/>
  <c r="T93" i="73" s="1"/>
  <c r="D81" i="82"/>
  <c r="S82" i="73" s="1"/>
  <c r="D52" i="82"/>
  <c r="S53" i="73" s="1"/>
  <c r="H39" i="24"/>
  <c r="D45" i="82"/>
  <c r="S46" i="73" s="1"/>
  <c r="P99" i="98"/>
  <c r="U97" i="125" s="1"/>
  <c r="D27" i="82"/>
  <c r="S28" i="73" s="1"/>
  <c r="E53" i="82"/>
  <c r="T54" i="73" s="1"/>
  <c r="D121" i="82"/>
  <c r="S122" i="73" s="1"/>
  <c r="H65" i="24"/>
  <c r="BK66" i="120"/>
  <c r="BN66" i="120" s="1"/>
  <c r="F30" i="24"/>
  <c r="F73" i="24"/>
  <c r="D127" i="82"/>
  <c r="S128" i="73" s="1"/>
  <c r="D106" i="82"/>
  <c r="S107" i="73" s="1"/>
  <c r="E64" i="82"/>
  <c r="T65" i="73" s="1"/>
  <c r="E135" i="82"/>
  <c r="T136" i="73" s="1"/>
  <c r="F125" i="24"/>
  <c r="E13" i="82"/>
  <c r="T13" i="73" s="1"/>
  <c r="AE13" i="73" s="1"/>
  <c r="E82" i="82"/>
  <c r="T83" i="73" s="1"/>
  <c r="D34" i="82"/>
  <c r="S35" i="73" s="1"/>
  <c r="E84" i="82"/>
  <c r="T85" i="73" s="1"/>
  <c r="D60" i="82"/>
  <c r="S61" i="73" s="1"/>
  <c r="AI61" i="73" s="1"/>
  <c r="E50" i="82"/>
  <c r="T51" i="73" s="1"/>
  <c r="D51" i="82"/>
  <c r="S52" i="73" s="1"/>
  <c r="E86" i="82"/>
  <c r="T87" i="73" s="1"/>
  <c r="E40" i="82"/>
  <c r="T41" i="73" s="1"/>
  <c r="E116" i="82"/>
  <c r="T117" i="73" s="1"/>
  <c r="D86" i="82"/>
  <c r="S87" i="73" s="1"/>
  <c r="P101" i="98"/>
  <c r="U99" i="125" s="1"/>
  <c r="E79" i="82"/>
  <c r="T80" i="73" s="1"/>
  <c r="D54" i="82"/>
  <c r="S55" i="73" s="1"/>
  <c r="F124" i="24"/>
  <c r="D46" i="82"/>
  <c r="S47" i="73" s="1"/>
  <c r="E99" i="82"/>
  <c r="T100" i="73" s="1"/>
  <c r="D130" i="82"/>
  <c r="S131" i="73" s="1"/>
  <c r="D104" i="82"/>
  <c r="S105" i="73" s="1"/>
  <c r="H22" i="24"/>
  <c r="D109" i="82"/>
  <c r="S110" i="73" s="1"/>
  <c r="E55" i="82"/>
  <c r="T56" i="73" s="1"/>
  <c r="H112" i="24"/>
  <c r="AA112" i="24" s="1"/>
  <c r="H38" i="24"/>
  <c r="D97" i="82"/>
  <c r="S98" i="73" s="1"/>
  <c r="H9" i="24"/>
  <c r="AA9" i="24" s="1"/>
  <c r="D64" i="82"/>
  <c r="S65" i="73" s="1"/>
  <c r="D31" i="82"/>
  <c r="S32" i="73" s="1"/>
  <c r="E90" i="82"/>
  <c r="T91" i="73" s="1"/>
  <c r="E59" i="82"/>
  <c r="T60" i="73" s="1"/>
  <c r="E96" i="82"/>
  <c r="T97" i="73" s="1"/>
  <c r="D44" i="82"/>
  <c r="S45" i="73" s="1"/>
  <c r="H23" i="24"/>
  <c r="D43" i="82"/>
  <c r="S44" i="73" s="1"/>
  <c r="H14" i="24"/>
  <c r="AA14" i="24" s="1"/>
  <c r="D14" i="24" s="1"/>
  <c r="E68" i="82"/>
  <c r="T69" i="73" s="1"/>
  <c r="E51" i="82"/>
  <c r="T52" i="73" s="1"/>
  <c r="E34" i="82"/>
  <c r="T35" i="73" s="1"/>
  <c r="E113" i="82"/>
  <c r="T114" i="73" s="1"/>
  <c r="D50" i="82"/>
  <c r="S51" i="73" s="1"/>
  <c r="D85" i="82"/>
  <c r="S86" i="73" s="1"/>
  <c r="E66" i="82"/>
  <c r="T67" i="73" s="1"/>
  <c r="D41" i="82"/>
  <c r="S42" i="73" s="1"/>
  <c r="BK113" i="120"/>
  <c r="BN113" i="120" s="1"/>
  <c r="BK91" i="120"/>
  <c r="BN91" i="120" s="1"/>
  <c r="AG46" i="52"/>
  <c r="E37" i="82"/>
  <c r="T38" i="73" s="1"/>
  <c r="E129" i="82"/>
  <c r="T130" i="73" s="1"/>
  <c r="E88" i="82"/>
  <c r="T89" i="73" s="1"/>
  <c r="H75" i="24"/>
  <c r="D55" i="82"/>
  <c r="S56" i="73" s="1"/>
  <c r="D38" i="82"/>
  <c r="S39" i="73" s="1"/>
  <c r="F19" i="24"/>
  <c r="D135" i="82"/>
  <c r="S136" i="73" s="1"/>
  <c r="E31" i="82"/>
  <c r="T32" i="73" s="1"/>
  <c r="F140" i="24"/>
  <c r="BK51" i="120"/>
  <c r="BN51" i="120" s="1"/>
  <c r="E69" i="82"/>
  <c r="T70" i="73" s="1"/>
  <c r="D48" i="82"/>
  <c r="S49" i="73" s="1"/>
  <c r="D82" i="82"/>
  <c r="S83" i="73" s="1"/>
  <c r="P117" i="98"/>
  <c r="U115" i="125" s="1"/>
  <c r="D120" i="82"/>
  <c r="S121" i="73" s="1"/>
  <c r="E134" i="82"/>
  <c r="T135" i="73" s="1"/>
  <c r="D102" i="82"/>
  <c r="S103" i="73" s="1"/>
  <c r="E139" i="82"/>
  <c r="T140" i="73" s="1"/>
  <c r="D42" i="82"/>
  <c r="S43" i="73" s="1"/>
  <c r="E91" i="82"/>
  <c r="T92" i="73" s="1"/>
  <c r="E137" i="82"/>
  <c r="T138" i="73" s="1"/>
  <c r="D53" i="82"/>
  <c r="S54" i="73" s="1"/>
  <c r="E28" i="82"/>
  <c r="T29" i="73" s="1"/>
  <c r="D100" i="82"/>
  <c r="E10" i="82"/>
  <c r="T10" i="73" s="1"/>
  <c r="F20" i="24"/>
  <c r="D74" i="82"/>
  <c r="S75" i="73" s="1"/>
  <c r="D29" i="82"/>
  <c r="S30" i="73" s="1"/>
  <c r="F92" i="24"/>
  <c r="D131" i="82"/>
  <c r="S132" i="73" s="1"/>
  <c r="BK123" i="120"/>
  <c r="BN123" i="120" s="1"/>
  <c r="BK107" i="120"/>
  <c r="BN107" i="120" s="1"/>
  <c r="E75" i="82"/>
  <c r="T76" i="73" s="1"/>
  <c r="F15" i="24"/>
  <c r="E123" i="82"/>
  <c r="T124" i="73" s="1"/>
  <c r="E78" i="82"/>
  <c r="T79" i="73" s="1"/>
  <c r="D137" i="82"/>
  <c r="S138" i="73" s="1"/>
  <c r="E57" i="82"/>
  <c r="T58" i="73" s="1"/>
  <c r="D62" i="82"/>
  <c r="S63" i="73" s="1"/>
  <c r="AI63" i="73" s="1"/>
  <c r="E125" i="82"/>
  <c r="T126" i="73" s="1"/>
  <c r="D20" i="82"/>
  <c r="S20" i="73" s="1"/>
  <c r="AE20" i="73" s="1"/>
  <c r="H128" i="24"/>
  <c r="AA128" i="24" s="1"/>
  <c r="D128" i="24" s="1"/>
  <c r="BK138" i="120"/>
  <c r="BN138" i="120" s="1"/>
  <c r="D63" i="82"/>
  <c r="S64" i="73" s="1"/>
  <c r="E61" i="82"/>
  <c r="T62" i="73" s="1"/>
  <c r="F14" i="24"/>
  <c r="D33" i="82"/>
  <c r="S34" i="73" s="1"/>
  <c r="D71" i="82"/>
  <c r="S72" i="73" s="1"/>
  <c r="E133" i="82"/>
  <c r="T134" i="73" s="1"/>
  <c r="BK26" i="120"/>
  <c r="BN26" i="120" s="1"/>
  <c r="BK74" i="120"/>
  <c r="BN74" i="120" s="1"/>
  <c r="E108" i="82"/>
  <c r="T109" i="73" s="1"/>
  <c r="E63" i="82"/>
  <c r="T64" i="73" s="1"/>
  <c r="E46" i="82"/>
  <c r="T47" i="73" s="1"/>
  <c r="E43" i="82"/>
  <c r="T44" i="73" s="1"/>
  <c r="E54" i="82"/>
  <c r="T55" i="73" s="1"/>
  <c r="BK64" i="120"/>
  <c r="BN64" i="120" s="1"/>
  <c r="BK30" i="120"/>
  <c r="BN30" i="120" s="1"/>
  <c r="BK5" i="120"/>
  <c r="BN5" i="120" s="1"/>
  <c r="F18" i="24"/>
  <c r="D56" i="82"/>
  <c r="S57" i="73" s="1"/>
  <c r="D35" i="82"/>
  <c r="S36" i="73" s="1"/>
  <c r="AE36" i="73" s="1"/>
  <c r="F78" i="24"/>
  <c r="E107" i="82"/>
  <c r="T108" i="73" s="1"/>
  <c r="E98" i="82"/>
  <c r="T99" i="73" s="1"/>
  <c r="E27" i="82"/>
  <c r="T28" i="73" s="1"/>
  <c r="D87" i="82"/>
  <c r="S88" i="73" s="1"/>
  <c r="H52" i="24"/>
  <c r="D125" i="82"/>
  <c r="S126" i="73" s="1"/>
  <c r="BK119" i="120"/>
  <c r="BN119" i="120" s="1"/>
  <c r="E52" i="82"/>
  <c r="T53" i="73" s="1"/>
  <c r="E74" i="82"/>
  <c r="T75" i="73" s="1"/>
  <c r="E87" i="82"/>
  <c r="T88" i="73" s="1"/>
  <c r="E70" i="82"/>
  <c r="T71" i="73" s="1"/>
  <c r="E140" i="82"/>
  <c r="T141" i="73" s="1"/>
  <c r="E48" i="82"/>
  <c r="T49" i="73" s="1"/>
  <c r="H20" i="24"/>
  <c r="AA20" i="24" s="1"/>
  <c r="D96" i="82"/>
  <c r="S97" i="73" s="1"/>
  <c r="E115" i="82"/>
  <c r="T116" i="73" s="1"/>
  <c r="F115" i="24"/>
  <c r="BK94" i="120"/>
  <c r="BN94" i="120" s="1"/>
  <c r="BK78" i="120"/>
  <c r="BN78" i="120" s="1"/>
  <c r="BK23" i="120"/>
  <c r="BN23" i="120" s="1"/>
  <c r="BK116" i="120"/>
  <c r="BN116" i="120" s="1"/>
  <c r="D90" i="82"/>
  <c r="S91" i="73" s="1"/>
  <c r="D80" i="82"/>
  <c r="S81" i="73" s="1"/>
  <c r="E105" i="82"/>
  <c r="T106" i="73" s="1"/>
  <c r="E29" i="82"/>
  <c r="T30" i="73" s="1"/>
  <c r="D76" i="82"/>
  <c r="S77" i="73" s="1"/>
  <c r="E106" i="82"/>
  <c r="T107" i="73" s="1"/>
  <c r="AG56" i="52"/>
  <c r="BK43" i="120"/>
  <c r="BN43" i="120" s="1"/>
  <c r="BK114" i="120"/>
  <c r="BN114" i="120" s="1"/>
  <c r="D7" i="82"/>
  <c r="S7" i="73" s="1"/>
  <c r="D119" i="82"/>
  <c r="S120" i="73" s="1"/>
  <c r="D69" i="82"/>
  <c r="S70" i="73" s="1"/>
  <c r="D114" i="82"/>
  <c r="D124" i="82"/>
  <c r="S125" i="73" s="1"/>
  <c r="D94" i="82"/>
  <c r="S95" i="73" s="1"/>
  <c r="BK70" i="120"/>
  <c r="BN70" i="120" s="1"/>
  <c r="BK52" i="120"/>
  <c r="BN52" i="120" s="1"/>
  <c r="BK28" i="120"/>
  <c r="BN28" i="120" s="1"/>
  <c r="BK32" i="120"/>
  <c r="BN32" i="120" s="1"/>
  <c r="BK122" i="120"/>
  <c r="BN122" i="120" s="1"/>
  <c r="E122" i="82"/>
  <c r="T123" i="73" s="1"/>
  <c r="F102" i="24"/>
  <c r="E81" i="82"/>
  <c r="T82" i="73" s="1"/>
  <c r="D118" i="82"/>
  <c r="S119" i="73" s="1"/>
  <c r="BK19" i="120"/>
  <c r="BN19" i="120" s="1"/>
  <c r="E58" i="82"/>
  <c r="T59" i="73" s="1"/>
  <c r="E138" i="82"/>
  <c r="T139" i="73" s="1"/>
  <c r="BK62" i="120"/>
  <c r="BN62" i="120" s="1"/>
  <c r="E109" i="82"/>
  <c r="T110" i="73" s="1"/>
  <c r="D79" i="82"/>
  <c r="S80" i="73" s="1"/>
  <c r="BK69" i="120"/>
  <c r="BN69" i="120" s="1"/>
  <c r="E19" i="82"/>
  <c r="T19" i="73" s="1"/>
  <c r="D88" i="82"/>
  <c r="S89" i="73" s="1"/>
  <c r="E56" i="82"/>
  <c r="T57" i="73" s="1"/>
  <c r="E126" i="82"/>
  <c r="E132" i="82"/>
  <c r="T133" i="73" s="1"/>
  <c r="E130" i="82"/>
  <c r="T131" i="73" s="1"/>
  <c r="BK121" i="120"/>
  <c r="BN121" i="120" s="1"/>
  <c r="D49" i="82"/>
  <c r="D122" i="82"/>
  <c r="S123" i="73" s="1"/>
  <c r="D9" i="82"/>
  <c r="S9" i="73" s="1"/>
  <c r="AI9" i="73" s="1"/>
  <c r="AJ9" i="73" s="1"/>
  <c r="AK32" i="104"/>
  <c r="AH32" i="104" s="1"/>
  <c r="K52" i="104" s="1"/>
  <c r="K53" i="104" s="1"/>
  <c r="BK76" i="120"/>
  <c r="BN76" i="120" s="1"/>
  <c r="BK9" i="120"/>
  <c r="BN9" i="120" s="1"/>
  <c r="D61" i="82"/>
  <c r="S62" i="73" s="1"/>
  <c r="E85" i="82"/>
  <c r="T86" i="73" s="1"/>
  <c r="BK40" i="120"/>
  <c r="BN40" i="120" s="1"/>
  <c r="BK110" i="120"/>
  <c r="BN110" i="120" s="1"/>
  <c r="E45" i="82"/>
  <c r="T46" i="73" s="1"/>
  <c r="D108" i="82"/>
  <c r="S109" i="73" s="1"/>
  <c r="D40" i="82"/>
  <c r="S41" i="73" s="1"/>
  <c r="E131" i="82"/>
  <c r="T132" i="73" s="1"/>
  <c r="D68" i="82"/>
  <c r="S69" i="73" s="1"/>
  <c r="E8" i="82"/>
  <c r="T8" i="73" s="1"/>
  <c r="D139" i="82"/>
  <c r="S140" i="73" s="1"/>
  <c r="E71" i="82"/>
  <c r="T72" i="73" s="1"/>
  <c r="F13" i="24"/>
  <c r="D65" i="82"/>
  <c r="S66" i="73" s="1"/>
  <c r="E65" i="82"/>
  <c r="T66" i="73" s="1"/>
  <c r="E15" i="82"/>
  <c r="T15" i="73" s="1"/>
  <c r="AI15" i="73" s="1"/>
  <c r="BK144" i="120"/>
  <c r="BN144" i="120" s="1"/>
  <c r="BK111" i="120"/>
  <c r="BN111" i="120" s="1"/>
  <c r="E102" i="82"/>
  <c r="T103" i="73" s="1"/>
  <c r="E103" i="82"/>
  <c r="T104" i="73" s="1"/>
  <c r="AE104" i="73" s="1"/>
  <c r="BK87" i="120"/>
  <c r="BN87" i="120" s="1"/>
  <c r="E119" i="82"/>
  <c r="T120" i="73" s="1"/>
  <c r="E93" i="82"/>
  <c r="T94" i="73" s="1"/>
  <c r="D105" i="82"/>
  <c r="S106" i="73" s="1"/>
  <c r="E17" i="82"/>
  <c r="T17" i="73" s="1"/>
  <c r="E42" i="82"/>
  <c r="T43" i="73" s="1"/>
  <c r="D66" i="82"/>
  <c r="S67" i="73" s="1"/>
  <c r="E112" i="82"/>
  <c r="T113" i="73" s="1"/>
  <c r="E33" i="82"/>
  <c r="T34" i="73" s="1"/>
  <c r="BK108" i="120"/>
  <c r="BN108" i="120" s="1"/>
  <c r="E41" i="82"/>
  <c r="T42" i="73" s="1"/>
  <c r="E114" i="82"/>
  <c r="T115" i="73" s="1"/>
  <c r="E117" i="82"/>
  <c r="T118" i="73" s="1"/>
  <c r="BK92" i="120"/>
  <c r="BN92" i="120" s="1"/>
  <c r="D19" i="82"/>
  <c r="S19" i="73" s="1"/>
  <c r="P100" i="98"/>
  <c r="U98" i="125" s="1"/>
  <c r="D112" i="82"/>
  <c r="S113" i="73" s="1"/>
  <c r="E77" i="82"/>
  <c r="T78" i="73" s="1"/>
  <c r="E136" i="82"/>
  <c r="T137" i="73" s="1"/>
  <c r="E26" i="82"/>
  <c r="T27" i="73" s="1"/>
  <c r="F111" i="24"/>
  <c r="D98" i="82"/>
  <c r="S99" i="73" s="1"/>
  <c r="D95" i="82"/>
  <c r="S96" i="73" s="1"/>
  <c r="H25" i="24"/>
  <c r="D72" i="82"/>
  <c r="S73" i="73" s="1"/>
  <c r="AP73" i="73" s="1"/>
  <c r="D57" i="82"/>
  <c r="S58" i="73" s="1"/>
  <c r="E121" i="82"/>
  <c r="T122" i="73" s="1"/>
  <c r="E73" i="82"/>
  <c r="T74" i="73" s="1"/>
  <c r="D123" i="82"/>
  <c r="S124" i="73" s="1"/>
  <c r="BK98" i="120"/>
  <c r="BN98" i="120" s="1"/>
  <c r="D110" i="82"/>
  <c r="S111" i="73" s="1"/>
  <c r="D73" i="82"/>
  <c r="S74" i="73" s="1"/>
  <c r="E76" i="82"/>
  <c r="T77" i="73" s="1"/>
  <c r="E111" i="82"/>
  <c r="T112" i="73" s="1"/>
  <c r="BK79" i="120"/>
  <c r="BN79" i="120" s="1"/>
  <c r="BK142" i="120"/>
  <c r="BN142" i="120" s="1"/>
  <c r="BK63" i="120"/>
  <c r="BN63" i="120" s="1"/>
  <c r="BK53" i="120"/>
  <c r="BN53" i="120" s="1"/>
  <c r="BK68" i="120"/>
  <c r="BN68" i="120" s="1"/>
  <c r="BK50" i="120"/>
  <c r="BN50" i="120" s="1"/>
  <c r="BK55" i="120"/>
  <c r="BN55" i="120" s="1"/>
  <c r="BJ136" i="120"/>
  <c r="BK136" i="120"/>
  <c r="BN136" i="120" s="1"/>
  <c r="BK86" i="120"/>
  <c r="BN86" i="120" s="1"/>
  <c r="BJ77" i="120"/>
  <c r="BK77" i="120"/>
  <c r="BN77" i="120" s="1"/>
  <c r="BK15" i="120"/>
  <c r="BN15" i="120" s="1"/>
  <c r="BK126" i="120"/>
  <c r="BN126" i="120" s="1"/>
  <c r="BK117" i="120"/>
  <c r="BN117" i="120" s="1"/>
  <c r="BK25" i="120"/>
  <c r="BN25" i="120" s="1"/>
  <c r="BJ22" i="120"/>
  <c r="BK22" i="120"/>
  <c r="BN22" i="120" s="1"/>
  <c r="G103" i="24"/>
  <c r="H103" i="24" s="1"/>
  <c r="BH100" i="120"/>
  <c r="BK100" i="120" s="1"/>
  <c r="BN100" i="120" s="1"/>
  <c r="BJ44" i="120"/>
  <c r="BK44" i="120"/>
  <c r="BN44" i="120" s="1"/>
  <c r="BJ67" i="120"/>
  <c r="BK67" i="120"/>
  <c r="BN67" i="120" s="1"/>
  <c r="BJ82" i="120"/>
  <c r="BK82" i="120"/>
  <c r="BN82" i="120" s="1"/>
  <c r="BK140" i="120"/>
  <c r="BN140" i="120" s="1"/>
  <c r="BK96" i="120"/>
  <c r="BN96" i="120" s="1"/>
  <c r="BK124" i="120"/>
  <c r="BN124" i="120" s="1"/>
  <c r="E136" i="24"/>
  <c r="F136" i="24" s="1"/>
  <c r="BE133" i="120"/>
  <c r="BG133" i="120" s="1"/>
  <c r="G136" i="24"/>
  <c r="H136" i="24" s="1"/>
  <c r="AA136" i="24" s="1"/>
  <c r="D136" i="24" s="1"/>
  <c r="BH133" i="120"/>
  <c r="BK125" i="120"/>
  <c r="BN125" i="120" s="1"/>
  <c r="BK36" i="120"/>
  <c r="BN36" i="120" s="1"/>
  <c r="BJ127" i="120"/>
  <c r="BK127" i="120"/>
  <c r="BN127" i="120" s="1"/>
  <c r="BK131" i="120"/>
  <c r="BN131" i="120" s="1"/>
  <c r="BK81" i="120"/>
  <c r="BN81" i="120" s="1"/>
  <c r="BJ81" i="120"/>
  <c r="BK35" i="120"/>
  <c r="BN35" i="120" s="1"/>
  <c r="BK56" i="120"/>
  <c r="BN56" i="120" s="1"/>
  <c r="BK85" i="120"/>
  <c r="BN85" i="120" s="1"/>
  <c r="BK61" i="120"/>
  <c r="BN61" i="120" s="1"/>
  <c r="BJ61" i="120"/>
  <c r="BK75" i="120"/>
  <c r="BN75" i="120" s="1"/>
  <c r="BK21" i="120"/>
  <c r="BN21" i="120" s="1"/>
  <c r="BJ21" i="120"/>
  <c r="BK88" i="120"/>
  <c r="BN88" i="120" s="1"/>
  <c r="BJ88" i="120"/>
  <c r="BK38" i="120"/>
  <c r="BN38" i="120" s="1"/>
  <c r="BK58" i="120"/>
  <c r="BN58" i="120" s="1"/>
  <c r="BJ72" i="120"/>
  <c r="BK72" i="120"/>
  <c r="BN72" i="120" s="1"/>
  <c r="E137" i="24"/>
  <c r="D129" i="82" s="1"/>
  <c r="S130" i="73" s="1"/>
  <c r="BE134" i="120"/>
  <c r="BG134" i="120" s="1"/>
  <c r="BK39" i="120"/>
  <c r="BN39" i="120" s="1"/>
  <c r="BJ39" i="120"/>
  <c r="BK12" i="120"/>
  <c r="BN12" i="120" s="1"/>
  <c r="BJ71" i="120"/>
  <c r="BK71" i="120"/>
  <c r="BN71" i="120" s="1"/>
  <c r="BK59" i="120"/>
  <c r="BN59" i="120" s="1"/>
  <c r="BJ18" i="120"/>
  <c r="BK18" i="120"/>
  <c r="BN18" i="120" s="1"/>
  <c r="BK17" i="120"/>
  <c r="BN17" i="120" s="1"/>
  <c r="BJ17" i="120"/>
  <c r="BK145" i="120"/>
  <c r="BN145" i="120" s="1"/>
  <c r="BK135" i="120"/>
  <c r="BN135" i="120" s="1"/>
  <c r="BK118" i="120"/>
  <c r="BN118" i="120" s="1"/>
  <c r="BJ10" i="120"/>
  <c r="BK10" i="120"/>
  <c r="BN10" i="120" s="1"/>
  <c r="E144" i="24"/>
  <c r="D136" i="82" s="1"/>
  <c r="S137" i="73" s="1"/>
  <c r="BE141" i="120"/>
  <c r="BG141" i="120" s="1"/>
  <c r="BJ46" i="120"/>
  <c r="BK46" i="120"/>
  <c r="BN46" i="120" s="1"/>
  <c r="BJ29" i="120"/>
  <c r="BK29" i="120"/>
  <c r="BN29" i="120" s="1"/>
  <c r="BK109" i="120"/>
  <c r="BN109" i="120" s="1"/>
  <c r="BK11" i="120"/>
  <c r="BN11" i="120" s="1"/>
  <c r="BJ11" i="120"/>
  <c r="BJ80" i="120"/>
  <c r="BK80" i="120"/>
  <c r="BN80" i="120" s="1"/>
  <c r="BK115" i="120"/>
  <c r="BN115" i="120" s="1"/>
  <c r="BK97" i="120"/>
  <c r="BN97" i="120" s="1"/>
  <c r="BK57" i="120"/>
  <c r="BN57" i="120" s="1"/>
  <c r="BJ6" i="120"/>
  <c r="BK6" i="120"/>
  <c r="BN6" i="120" s="1"/>
  <c r="BK33" i="120"/>
  <c r="BN33" i="120" s="1"/>
  <c r="BJ73" i="120"/>
  <c r="BK73" i="120"/>
  <c r="BN73" i="120" s="1"/>
  <c r="BJ65" i="120"/>
  <c r="BK65" i="120"/>
  <c r="BN65" i="120" s="1"/>
  <c r="BK137" i="120"/>
  <c r="BN137" i="120" s="1"/>
  <c r="BJ37" i="120"/>
  <c r="BK37" i="120"/>
  <c r="BN37" i="120" s="1"/>
  <c r="BK93" i="120"/>
  <c r="BN93" i="120" s="1"/>
  <c r="BJ93" i="120"/>
  <c r="BK24" i="120"/>
  <c r="BN24" i="120" s="1"/>
  <c r="G135" i="24"/>
  <c r="H135" i="24" s="1"/>
  <c r="AA135" i="24" s="1"/>
  <c r="D135" i="24" s="1"/>
  <c r="BH132" i="120"/>
  <c r="BK132" i="120" s="1"/>
  <c r="BN132" i="120" s="1"/>
  <c r="BK14" i="120"/>
  <c r="BN14" i="120" s="1"/>
  <c r="BJ14" i="120"/>
  <c r="BK129" i="120"/>
  <c r="BN129" i="120" s="1"/>
  <c r="BJ129" i="120"/>
  <c r="BK90" i="120"/>
  <c r="BN90" i="120" s="1"/>
  <c r="BJ90" i="120"/>
  <c r="BK16" i="120"/>
  <c r="BN16" i="120" s="1"/>
  <c r="BJ48" i="120"/>
  <c r="BK48" i="120"/>
  <c r="BN48" i="120" s="1"/>
  <c r="BK54" i="120"/>
  <c r="BN54" i="120" s="1"/>
  <c r="BJ54" i="120"/>
  <c r="BJ130" i="120"/>
  <c r="BK130" i="120"/>
  <c r="BN130" i="120" s="1"/>
  <c r="BJ83" i="120"/>
  <c r="BK89" i="120"/>
  <c r="BN89" i="120" s="1"/>
  <c r="BK8" i="120"/>
  <c r="BN8" i="120" s="1"/>
  <c r="BJ8" i="120"/>
  <c r="BK41" i="120"/>
  <c r="BN41" i="120" s="1"/>
  <c r="BJ42" i="120"/>
  <c r="BK42" i="120"/>
  <c r="BN42" i="120" s="1"/>
  <c r="BJ13" i="120"/>
  <c r="BK13" i="120"/>
  <c r="BN13" i="120" s="1"/>
  <c r="BK143" i="120"/>
  <c r="BN143" i="120" s="1"/>
  <c r="BG143" i="120"/>
  <c r="AB27" i="104"/>
  <c r="G25" i="104" s="1"/>
  <c r="Y34" i="104"/>
  <c r="F97" i="120"/>
  <c r="I97" i="120" s="1"/>
  <c r="L97" i="120" s="1"/>
  <c r="I13" i="120"/>
  <c r="L13" i="120" s="1"/>
  <c r="S38" i="120"/>
  <c r="V38" i="120" s="1"/>
  <c r="O38" i="120"/>
  <c r="I48" i="120"/>
  <c r="L48" i="120" s="1"/>
  <c r="H48" i="120"/>
  <c r="I138" i="120"/>
  <c r="L138" i="120" s="1"/>
  <c r="S10" i="120"/>
  <c r="V10" i="120" s="1"/>
  <c r="H127" i="120"/>
  <c r="I127" i="120"/>
  <c r="L127" i="120" s="1"/>
  <c r="AE54" i="52"/>
  <c r="P54" i="52" s="1"/>
  <c r="F49" i="120"/>
  <c r="I49" i="120" s="1"/>
  <c r="L49" i="120" s="1"/>
  <c r="I71" i="120"/>
  <c r="L71" i="120" s="1"/>
  <c r="H71" i="120"/>
  <c r="O13" i="120"/>
  <c r="S13" i="120"/>
  <c r="V13" i="120" s="1"/>
  <c r="R136" i="120"/>
  <c r="S136" i="120"/>
  <c r="V136" i="120" s="1"/>
  <c r="I133" i="120"/>
  <c r="L133" i="120" s="1"/>
  <c r="H133" i="120"/>
  <c r="R134" i="120"/>
  <c r="S134" i="120"/>
  <c r="V134" i="120" s="1"/>
  <c r="Z28" i="104"/>
  <c r="P138" i="120"/>
  <c r="S138" i="120" s="1"/>
  <c r="V138" i="120" s="1"/>
  <c r="I22" i="120"/>
  <c r="L22" i="120" s="1"/>
  <c r="H22" i="120"/>
  <c r="S124" i="120"/>
  <c r="V124" i="120" s="1"/>
  <c r="R71" i="120"/>
  <c r="S71" i="120"/>
  <c r="V71" i="120" s="1"/>
  <c r="AI55" i="52"/>
  <c r="V55" i="52" s="1"/>
  <c r="P97" i="120"/>
  <c r="S97" i="120" s="1"/>
  <c r="V97" i="120" s="1"/>
  <c r="I101" i="98"/>
  <c r="P99" i="125" s="1"/>
  <c r="H11" i="24"/>
  <c r="AA11" i="24" s="1"/>
  <c r="D11" i="24" s="1"/>
  <c r="S41" i="52"/>
  <c r="S43" i="52" s="1"/>
  <c r="T43" i="52" s="1"/>
  <c r="Z86" i="52"/>
  <c r="F99" i="86"/>
  <c r="M86" i="52"/>
  <c r="N86" i="52" s="1"/>
  <c r="AB86" i="52"/>
  <c r="V94" i="52"/>
  <c r="V95" i="52" s="1"/>
  <c r="S72" i="52"/>
  <c r="Y60" i="52"/>
  <c r="K78" i="52"/>
  <c r="Z46" i="52"/>
  <c r="AH27" i="104"/>
  <c r="AG95" i="52"/>
  <c r="E99" i="86"/>
  <c r="S93" i="52"/>
  <c r="S95" i="52" s="1"/>
  <c r="S97" i="52" s="1"/>
  <c r="T29" i="52" s="1"/>
  <c r="AG25" i="104"/>
  <c r="E35" i="104" s="1"/>
  <c r="D136" i="73"/>
  <c r="L136" i="97" s="1"/>
  <c r="D139" i="73"/>
  <c r="L139" i="97" s="1"/>
  <c r="D135" i="73"/>
  <c r="L135" i="97" s="1"/>
  <c r="AA56" i="52"/>
  <c r="J56" i="52" s="1"/>
  <c r="AB25" i="104"/>
  <c r="E25" i="104" s="1"/>
  <c r="P12" i="82"/>
  <c r="H99" i="98"/>
  <c r="O97" i="125" s="1"/>
  <c r="Q97" i="125" s="1"/>
  <c r="AI83" i="52"/>
  <c r="Z34" i="104"/>
  <c r="AI54" i="52"/>
  <c r="Y30" i="104"/>
  <c r="AB30" i="104" s="1"/>
  <c r="I42" i="104" s="1"/>
  <c r="AB56" i="52"/>
  <c r="M56" i="52" s="1"/>
  <c r="AC55" i="52"/>
  <c r="AC57" i="52" s="1"/>
  <c r="AE56" i="52"/>
  <c r="E133" i="86"/>
  <c r="V44" i="52"/>
  <c r="E134" i="86"/>
  <c r="V41" i="52"/>
  <c r="V43" i="52" s="1"/>
  <c r="W43" i="52" s="1"/>
  <c r="AH57" i="52"/>
  <c r="AA32" i="104"/>
  <c r="AB33" i="104"/>
  <c r="M25" i="104" s="1"/>
  <c r="E142" i="86"/>
  <c r="C103" i="82"/>
  <c r="R104" i="73" s="1"/>
  <c r="I91" i="98"/>
  <c r="P89" i="125" s="1"/>
  <c r="I117" i="98"/>
  <c r="P115" i="125" s="1"/>
  <c r="E135" i="86"/>
  <c r="C96" i="82"/>
  <c r="R97" i="73" s="1"/>
  <c r="R111" i="73"/>
  <c r="C99" i="82"/>
  <c r="R100" i="73" s="1"/>
  <c r="R110" i="73"/>
  <c r="M54" i="52"/>
  <c r="C97" i="82"/>
  <c r="V36" i="52" s="1"/>
  <c r="E131" i="86"/>
  <c r="E128" i="86"/>
  <c r="E52" i="86"/>
  <c r="P78" i="52"/>
  <c r="Q78" i="52" s="1"/>
  <c r="P55" i="52"/>
  <c r="AB29" i="104"/>
  <c r="I25" i="104" s="1"/>
  <c r="E63" i="86"/>
  <c r="E13" i="86"/>
  <c r="E88" i="86"/>
  <c r="E101" i="86"/>
  <c r="E104" i="86"/>
  <c r="E96" i="86"/>
  <c r="E111" i="86"/>
  <c r="E33" i="86"/>
  <c r="E83" i="86"/>
  <c r="E12" i="86"/>
  <c r="E129" i="86"/>
  <c r="E117" i="86"/>
  <c r="E30" i="86"/>
  <c r="E126" i="86"/>
  <c r="E132" i="86"/>
  <c r="E40" i="86"/>
  <c r="C98" i="82"/>
  <c r="R99" i="73" s="1"/>
  <c r="P40" i="52"/>
  <c r="P43" i="52" s="1"/>
  <c r="Q43" i="52" s="1"/>
  <c r="C86" i="82"/>
  <c r="R87" i="73" s="1"/>
  <c r="R112" i="73"/>
  <c r="M41" i="52"/>
  <c r="M43" i="52" s="1"/>
  <c r="N43" i="52" s="1"/>
  <c r="AD57" i="52"/>
  <c r="F8" i="82"/>
  <c r="L8" i="73" s="1"/>
  <c r="J8" i="73" s="1"/>
  <c r="K8" i="73" s="1"/>
  <c r="C105" i="82"/>
  <c r="R106" i="73" s="1"/>
  <c r="R119" i="73"/>
  <c r="C106" i="82"/>
  <c r="R107" i="73" s="1"/>
  <c r="AG27" i="104"/>
  <c r="P45" i="52"/>
  <c r="M44" i="52"/>
  <c r="M46" i="52" s="1"/>
  <c r="N46" i="52" s="1"/>
  <c r="C48" i="82"/>
  <c r="R49" i="73" s="1"/>
  <c r="C62" i="82"/>
  <c r="R63" i="73" s="1"/>
  <c r="C17" i="82"/>
  <c r="R17" i="73" s="1"/>
  <c r="C79" i="82"/>
  <c r="R80" i="73" s="1"/>
  <c r="C23" i="82"/>
  <c r="R24" i="73" s="1"/>
  <c r="C90" i="82"/>
  <c r="R91" i="73" s="1"/>
  <c r="C28" i="82"/>
  <c r="R29" i="73" s="1"/>
  <c r="C43" i="82"/>
  <c r="R44" i="73" s="1"/>
  <c r="C25" i="82"/>
  <c r="R26" i="73" s="1"/>
  <c r="C42" i="82"/>
  <c r="R43" i="73" s="1"/>
  <c r="C55" i="82"/>
  <c r="R56" i="73" s="1"/>
  <c r="C35" i="82"/>
  <c r="R36" i="73" s="1"/>
  <c r="C16" i="82"/>
  <c r="R16" i="73" s="1"/>
  <c r="AT16" i="73" s="1"/>
  <c r="C51" i="82"/>
  <c r="R52" i="73" s="1"/>
  <c r="C60" i="82"/>
  <c r="R61" i="73" s="1"/>
  <c r="C45" i="82"/>
  <c r="R46" i="73" s="1"/>
  <c r="C93" i="82"/>
  <c r="R94" i="73" s="1"/>
  <c r="C64" i="82"/>
  <c r="R65" i="73" s="1"/>
  <c r="C26" i="82"/>
  <c r="R27" i="73" s="1"/>
  <c r="C80" i="82"/>
  <c r="R81" i="73" s="1"/>
  <c r="C58" i="82"/>
  <c r="R59" i="73" s="1"/>
  <c r="C49" i="82"/>
  <c r="P36" i="52" s="1"/>
  <c r="C92" i="82"/>
  <c r="R93" i="73" s="1"/>
  <c r="C127" i="82"/>
  <c r="R128" i="73" s="1"/>
  <c r="C75" i="82"/>
  <c r="R76" i="73" s="1"/>
  <c r="C63" i="82"/>
  <c r="R64" i="73" s="1"/>
  <c r="C119" i="82"/>
  <c r="R120" i="73" s="1"/>
  <c r="C134" i="82"/>
  <c r="R135" i="73" s="1"/>
  <c r="C77" i="82"/>
  <c r="R78" i="73" s="1"/>
  <c r="C123" i="82"/>
  <c r="R124" i="73" s="1"/>
  <c r="C131" i="82"/>
  <c r="R132" i="73" s="1"/>
  <c r="C44" i="82"/>
  <c r="R45" i="73" s="1"/>
  <c r="C30" i="82"/>
  <c r="R31" i="73" s="1"/>
  <c r="C87" i="82"/>
  <c r="R88" i="73" s="1"/>
  <c r="C122" i="82"/>
  <c r="R123" i="73" s="1"/>
  <c r="C137" i="82"/>
  <c r="R138" i="73" s="1"/>
  <c r="C21" i="82"/>
  <c r="R21" i="73" s="1"/>
  <c r="C13" i="82"/>
  <c r="R13" i="73" s="1"/>
  <c r="C34" i="82"/>
  <c r="R35" i="73" s="1"/>
  <c r="C82" i="82"/>
  <c r="R83" i="73" s="1"/>
  <c r="C29" i="82"/>
  <c r="R30" i="73" s="1"/>
  <c r="C76" i="82"/>
  <c r="R77" i="73" s="1"/>
  <c r="C88" i="82"/>
  <c r="R89" i="73" s="1"/>
  <c r="C22" i="82"/>
  <c r="R23" i="73" s="1"/>
  <c r="C15" i="82"/>
  <c r="R15" i="73" s="1"/>
  <c r="C50" i="82"/>
  <c r="R51" i="73" s="1"/>
  <c r="C78" i="82"/>
  <c r="R79" i="73" s="1"/>
  <c r="C59" i="82"/>
  <c r="R60" i="73" s="1"/>
  <c r="C24" i="82"/>
  <c r="R25" i="73" s="1"/>
  <c r="C66" i="82"/>
  <c r="R67" i="73" s="1"/>
  <c r="R117" i="73"/>
  <c r="C130" i="82"/>
  <c r="C47" i="82"/>
  <c r="R48" i="73" s="1"/>
  <c r="C14" i="82"/>
  <c r="R14" i="73" s="1"/>
  <c r="C36" i="82"/>
  <c r="R37" i="73" s="1"/>
  <c r="C61" i="82"/>
  <c r="R62" i="73" s="1"/>
  <c r="C85" i="82"/>
  <c r="R86" i="73" s="1"/>
  <c r="C18" i="82"/>
  <c r="R18" i="73" s="1"/>
  <c r="U18" i="73" s="1"/>
  <c r="AC18" i="73" s="1"/>
  <c r="AD18" i="73" s="1"/>
  <c r="C31" i="82"/>
  <c r="R32" i="73" s="1"/>
  <c r="C27" i="82"/>
  <c r="R28" i="73" s="1"/>
  <c r="C20" i="82"/>
  <c r="R20" i="73" s="1"/>
  <c r="C74" i="82"/>
  <c r="R75" i="73" s="1"/>
  <c r="C124" i="82"/>
  <c r="R125" i="73" s="1"/>
  <c r="C129" i="82"/>
  <c r="R130" i="73" s="1"/>
  <c r="R116" i="73"/>
  <c r="C128" i="82"/>
  <c r="R129" i="73" s="1"/>
  <c r="R118" i="73"/>
  <c r="C132" i="82"/>
  <c r="R133" i="73" s="1"/>
  <c r="C39" i="82"/>
  <c r="R40" i="73" s="1"/>
  <c r="C81" i="82"/>
  <c r="R82" i="73" s="1"/>
  <c r="C57" i="82"/>
  <c r="R58" i="73" s="1"/>
  <c r="R114" i="73"/>
  <c r="C125" i="82"/>
  <c r="R126" i="73" s="1"/>
  <c r="C121" i="82"/>
  <c r="R122" i="73" s="1"/>
  <c r="C136" i="82"/>
  <c r="R137" i="73" s="1"/>
  <c r="C120" i="82"/>
  <c r="R121" i="73" s="1"/>
  <c r="C135" i="82"/>
  <c r="R136" i="73" s="1"/>
  <c r="L10" i="73"/>
  <c r="C104" i="86"/>
  <c r="I113" i="98"/>
  <c r="P111" i="125" s="1"/>
  <c r="E125" i="86"/>
  <c r="I29" i="98"/>
  <c r="P26" i="125" s="1"/>
  <c r="E22" i="86"/>
  <c r="I92" i="98"/>
  <c r="P90" i="125" s="1"/>
  <c r="E78" i="86"/>
  <c r="P123" i="98"/>
  <c r="U121" i="125" s="1"/>
  <c r="F139" i="86"/>
  <c r="I61" i="98"/>
  <c r="P59" i="125" s="1"/>
  <c r="E51" i="86"/>
  <c r="I81" i="98"/>
  <c r="P79" i="125" s="1"/>
  <c r="E68" i="86"/>
  <c r="I94" i="98"/>
  <c r="P92" i="125" s="1"/>
  <c r="E80" i="86"/>
  <c r="I39" i="98"/>
  <c r="P37" i="125" s="1"/>
  <c r="I82" i="98"/>
  <c r="P80" i="125" s="1"/>
  <c r="V82" i="52"/>
  <c r="I32" i="98"/>
  <c r="P29" i="125" s="1"/>
  <c r="I87" i="98"/>
  <c r="P85" i="125" s="1"/>
  <c r="AH26" i="104"/>
  <c r="E52" i="104" s="1"/>
  <c r="J95" i="52"/>
  <c r="J97" i="52" s="1"/>
  <c r="K29" i="52" s="1"/>
  <c r="C8" i="82"/>
  <c r="R8" i="73" s="1"/>
  <c r="R113" i="73"/>
  <c r="C108" i="82"/>
  <c r="C56" i="82"/>
  <c r="R57" i="73" s="1"/>
  <c r="C91" i="82"/>
  <c r="R92" i="73" s="1"/>
  <c r="C73" i="82"/>
  <c r="R74" i="73" s="1"/>
  <c r="C40" i="82"/>
  <c r="R41" i="73" s="1"/>
  <c r="C46" i="82"/>
  <c r="R47" i="73" s="1"/>
  <c r="AG33" i="104"/>
  <c r="M35" i="104" s="1"/>
  <c r="AB46" i="52"/>
  <c r="AH86" i="52"/>
  <c r="AG29" i="104"/>
  <c r="I29" i="104" s="1"/>
  <c r="I30" i="104" s="1"/>
  <c r="C94" i="82"/>
  <c r="R95" i="73" s="1"/>
  <c r="C37" i="82"/>
  <c r="R38" i="73" s="1"/>
  <c r="AD86" i="52"/>
  <c r="C84" i="82"/>
  <c r="R85" i="73" s="1"/>
  <c r="C65" i="82"/>
  <c r="R66" i="73" s="1"/>
  <c r="C71" i="82"/>
  <c r="R72" i="73" s="1"/>
  <c r="C54" i="82"/>
  <c r="R55" i="73" s="1"/>
  <c r="C69" i="82"/>
  <c r="R70" i="73" s="1"/>
  <c r="C67" i="82"/>
  <c r="R68" i="73" s="1"/>
  <c r="C89" i="82"/>
  <c r="R90" i="73" s="1"/>
  <c r="C33" i="82"/>
  <c r="R34" i="73" s="1"/>
  <c r="P95" i="52"/>
  <c r="P97" i="52" s="1"/>
  <c r="P29" i="52" s="1"/>
  <c r="C68" i="82"/>
  <c r="R69" i="73" s="1"/>
  <c r="AF86" i="52"/>
  <c r="S44" i="52"/>
  <c r="K43" i="52"/>
  <c r="S86" i="52"/>
  <c r="T86" i="52" s="1"/>
  <c r="J82" i="52"/>
  <c r="J86" i="52" s="1"/>
  <c r="AA86" i="52"/>
  <c r="P44" i="52"/>
  <c r="AD46" i="52"/>
  <c r="AH31" i="104"/>
  <c r="L31" i="97"/>
  <c r="C11" i="82"/>
  <c r="R11" i="73" s="1"/>
  <c r="C38" i="82"/>
  <c r="R39" i="73" s="1"/>
  <c r="I37" i="98"/>
  <c r="P35" i="125" s="1"/>
  <c r="I110" i="98"/>
  <c r="P108" i="125" s="1"/>
  <c r="I51" i="98"/>
  <c r="P49" i="125" s="1"/>
  <c r="I12" i="98"/>
  <c r="P9" i="125" s="1"/>
  <c r="C53" i="82"/>
  <c r="R54" i="73" s="1"/>
  <c r="I116" i="98"/>
  <c r="P114" i="125" s="1"/>
  <c r="C41" i="82"/>
  <c r="R42" i="73" s="1"/>
  <c r="C19" i="82"/>
  <c r="R19" i="73" s="1"/>
  <c r="C70" i="82"/>
  <c r="R71" i="73" s="1"/>
  <c r="V45" i="52"/>
  <c r="AH46" i="52"/>
  <c r="AG31" i="104"/>
  <c r="I103" i="98"/>
  <c r="P101" i="125" s="1"/>
  <c r="I11" i="98"/>
  <c r="P8" i="125" s="1"/>
  <c r="H123" i="98"/>
  <c r="O121" i="125" s="1"/>
  <c r="Q121" i="125" s="1"/>
  <c r="S45" i="52"/>
  <c r="AF46" i="52"/>
  <c r="I102" i="73"/>
  <c r="I62" i="98"/>
  <c r="P60" i="125" s="1"/>
  <c r="K96" i="73" l="1"/>
  <c r="D96" i="73"/>
  <c r="J55" i="52"/>
  <c r="S54" i="52"/>
  <c r="Z57" i="52"/>
  <c r="J54" i="52"/>
  <c r="AB26" i="104"/>
  <c r="E42" i="104" s="1"/>
  <c r="I52" i="104"/>
  <c r="I53" i="104" s="1"/>
  <c r="I55" i="104" s="1"/>
  <c r="D129" i="73"/>
  <c r="L129" i="97" s="1"/>
  <c r="G29" i="104"/>
  <c r="G30" i="104" s="1"/>
  <c r="G33" i="104" s="1"/>
  <c r="AK122" i="73"/>
  <c r="AL122" i="73" s="1"/>
  <c r="AE117" i="73"/>
  <c r="AF117" i="73" s="1"/>
  <c r="D133" i="73"/>
  <c r="L133" i="97" s="1"/>
  <c r="G46" i="104"/>
  <c r="G47" i="104" s="1"/>
  <c r="G48" i="104" s="1"/>
  <c r="E29" i="104"/>
  <c r="E30" i="104" s="1"/>
  <c r="E33" i="104" s="1"/>
  <c r="U29" i="109"/>
  <c r="T27" i="109" s="1"/>
  <c r="G55" i="104"/>
  <c r="G54" i="104"/>
  <c r="AK49" i="73"/>
  <c r="BB49" i="73" s="1"/>
  <c r="T127" i="73"/>
  <c r="U127" i="73" s="1"/>
  <c r="AC26" i="104"/>
  <c r="E44" i="104" s="1"/>
  <c r="Y78" i="52"/>
  <c r="M36" i="104"/>
  <c r="M38" i="104" s="1"/>
  <c r="M53" i="104"/>
  <c r="M55" i="104" s="1"/>
  <c r="E53" i="104"/>
  <c r="E54" i="104" s="1"/>
  <c r="E36" i="104"/>
  <c r="E37" i="104" s="1"/>
  <c r="G35" i="104"/>
  <c r="I47" i="104"/>
  <c r="I48" i="104" s="1"/>
  <c r="M29" i="104"/>
  <c r="R109" i="73"/>
  <c r="U109" i="73" s="1"/>
  <c r="P108" i="82"/>
  <c r="S115" i="73"/>
  <c r="AG115" i="73" s="1"/>
  <c r="AH115" i="73" s="1"/>
  <c r="P114" i="82"/>
  <c r="AT13" i="73"/>
  <c r="AB32" i="104"/>
  <c r="K42" i="104" s="1"/>
  <c r="AI120" i="73"/>
  <c r="AJ120" i="73" s="1"/>
  <c r="M46" i="104"/>
  <c r="AC27" i="104"/>
  <c r="G27" i="104" s="1"/>
  <c r="S116" i="73"/>
  <c r="AG116" i="73" s="1"/>
  <c r="AH116" i="73" s="1"/>
  <c r="P116" i="82"/>
  <c r="AB28" i="104"/>
  <c r="G42" i="104" s="1"/>
  <c r="D19" i="73"/>
  <c r="L19" i="97" s="1"/>
  <c r="AE37" i="52"/>
  <c r="D57" i="73"/>
  <c r="L57" i="97" s="1"/>
  <c r="AC30" i="104"/>
  <c r="I44" i="104" s="1"/>
  <c r="AB37" i="52"/>
  <c r="U100" i="73"/>
  <c r="W100" i="73" s="1"/>
  <c r="X100" i="73" s="1"/>
  <c r="AK112" i="73"/>
  <c r="AL112" i="73" s="1"/>
  <c r="I131" i="120"/>
  <c r="L131" i="120" s="1"/>
  <c r="AG42" i="73"/>
  <c r="AZ42" i="73" s="1"/>
  <c r="AP19" i="73"/>
  <c r="U23" i="73"/>
  <c r="W23" i="73" s="1"/>
  <c r="X23" i="73" s="1"/>
  <c r="AI46" i="73"/>
  <c r="AJ46" i="73" s="1"/>
  <c r="AG57" i="52"/>
  <c r="S143" i="120"/>
  <c r="V143" i="120" s="1"/>
  <c r="R98" i="73"/>
  <c r="AR98" i="73" s="1"/>
  <c r="AR23" i="73"/>
  <c r="AG23" i="73"/>
  <c r="AH23" i="73" s="1"/>
  <c r="AK23" i="73"/>
  <c r="AL23" i="73" s="1"/>
  <c r="AE23" i="73"/>
  <c r="AF23" i="73" s="1"/>
  <c r="AI23" i="73"/>
  <c r="R50" i="73"/>
  <c r="E143" i="120"/>
  <c r="I143" i="120"/>
  <c r="L143" i="120" s="1"/>
  <c r="AN23" i="73"/>
  <c r="AP23" i="73"/>
  <c r="AT23" i="73"/>
  <c r="U122" i="73"/>
  <c r="AC122" i="73" s="1"/>
  <c r="AD122" i="73" s="1"/>
  <c r="U38" i="73"/>
  <c r="AA38" i="73" s="1"/>
  <c r="AB38" i="73" s="1"/>
  <c r="AG35" i="73"/>
  <c r="AH35" i="73" s="1"/>
  <c r="AE40" i="73"/>
  <c r="AY40" i="73" s="1"/>
  <c r="U75" i="73"/>
  <c r="Y75" i="73" s="1"/>
  <c r="Z75" i="73" s="1"/>
  <c r="AP133" i="73"/>
  <c r="AR135" i="73"/>
  <c r="AE57" i="73"/>
  <c r="AY57" i="73" s="1"/>
  <c r="AA33" i="73"/>
  <c r="AB33" i="73" s="1"/>
  <c r="AH12" i="73"/>
  <c r="D31" i="73"/>
  <c r="L30" i="97" s="1"/>
  <c r="AI123" i="73"/>
  <c r="AJ123" i="73" s="1"/>
  <c r="AI72" i="73"/>
  <c r="AJ72" i="73" s="1"/>
  <c r="AA12" i="73"/>
  <c r="AB12" i="73" s="1"/>
  <c r="U44" i="73"/>
  <c r="W44" i="73" s="1"/>
  <c r="AU44" i="73" s="1"/>
  <c r="AE34" i="73"/>
  <c r="AF34" i="73" s="1"/>
  <c r="U121" i="73"/>
  <c r="W121" i="73" s="1"/>
  <c r="X121" i="73" s="1"/>
  <c r="U63" i="73"/>
  <c r="W63" i="73" s="1"/>
  <c r="X63" i="73" s="1"/>
  <c r="AE38" i="73"/>
  <c r="AY38" i="73" s="1"/>
  <c r="U112" i="73"/>
  <c r="AC112" i="73" s="1"/>
  <c r="AD112" i="73" s="1"/>
  <c r="AG56" i="73"/>
  <c r="AZ56" i="73" s="1"/>
  <c r="AE65" i="73"/>
  <c r="AF65" i="73" s="1"/>
  <c r="AI77" i="73"/>
  <c r="AJ77" i="73" s="1"/>
  <c r="AF36" i="73"/>
  <c r="AK47" i="73"/>
  <c r="AL47" i="73" s="1"/>
  <c r="AI58" i="73"/>
  <c r="AJ58" i="73" s="1"/>
  <c r="AG80" i="73"/>
  <c r="AH80" i="73" s="1"/>
  <c r="AI62" i="73"/>
  <c r="BA62" i="73" s="1"/>
  <c r="AI69" i="73"/>
  <c r="AJ69" i="73" s="1"/>
  <c r="AG31" i="73"/>
  <c r="AZ31" i="73" s="1"/>
  <c r="U123" i="73"/>
  <c r="AC123" i="73" s="1"/>
  <c r="U119" i="73"/>
  <c r="AC119" i="73" s="1"/>
  <c r="AE113" i="73"/>
  <c r="AF113" i="73" s="1"/>
  <c r="U28" i="73"/>
  <c r="AC28" i="73" s="1"/>
  <c r="AX28" i="73" s="1"/>
  <c r="U138" i="73"/>
  <c r="W138" i="73" s="1"/>
  <c r="X138" i="73" s="1"/>
  <c r="AP81" i="73"/>
  <c r="U89" i="73"/>
  <c r="AC89" i="73" s="1"/>
  <c r="AD89" i="73" s="1"/>
  <c r="AI67" i="73"/>
  <c r="AJ67" i="73" s="1"/>
  <c r="U34" i="73"/>
  <c r="AC34" i="73" s="1"/>
  <c r="AD34" i="73" s="1"/>
  <c r="AT77" i="73"/>
  <c r="AK28" i="73"/>
  <c r="AL28" i="73" s="1"/>
  <c r="AI140" i="73"/>
  <c r="BA140" i="73" s="1"/>
  <c r="AI89" i="73"/>
  <c r="BA89" i="73" s="1"/>
  <c r="AI41" i="73"/>
  <c r="BA41" i="73" s="1"/>
  <c r="AF13" i="73"/>
  <c r="AI132" i="73"/>
  <c r="AJ132" i="73" s="1"/>
  <c r="AI119" i="73"/>
  <c r="AJ119" i="73" s="1"/>
  <c r="U62" i="73"/>
  <c r="AC62" i="73" s="1"/>
  <c r="AD62" i="73" s="1"/>
  <c r="U83" i="73"/>
  <c r="AC83" i="73" s="1"/>
  <c r="AT104" i="73"/>
  <c r="AK66" i="73"/>
  <c r="AL66" i="73" s="1"/>
  <c r="AE32" i="73"/>
  <c r="AF32" i="73" s="1"/>
  <c r="AE136" i="73"/>
  <c r="AF136" i="73" s="1"/>
  <c r="AT141" i="73"/>
  <c r="AI138" i="73"/>
  <c r="AJ138" i="73" s="1"/>
  <c r="AP61" i="73"/>
  <c r="AE60" i="73"/>
  <c r="AF60" i="73" s="1"/>
  <c r="AI54" i="73"/>
  <c r="BA54" i="73" s="1"/>
  <c r="AE125" i="73"/>
  <c r="AY125" i="73" s="1"/>
  <c r="U95" i="73"/>
  <c r="AT95" i="73"/>
  <c r="U113" i="73"/>
  <c r="AT113" i="73"/>
  <c r="U114" i="73"/>
  <c r="AT114" i="73"/>
  <c r="AP114" i="73"/>
  <c r="U58" i="73"/>
  <c r="AT58" i="73"/>
  <c r="U70" i="73"/>
  <c r="AT70" i="73"/>
  <c r="U71" i="73"/>
  <c r="AT71" i="73"/>
  <c r="U55" i="73"/>
  <c r="AT55" i="73"/>
  <c r="U68" i="73"/>
  <c r="AT68" i="73"/>
  <c r="AR68" i="73"/>
  <c r="AN68" i="73"/>
  <c r="U8" i="73"/>
  <c r="AA8" i="73" s="1"/>
  <c r="AT8" i="73"/>
  <c r="AN8" i="73"/>
  <c r="U69" i="73"/>
  <c r="AT69" i="73"/>
  <c r="U42" i="73"/>
  <c r="AT42" i="73"/>
  <c r="U66" i="73"/>
  <c r="AT66" i="73"/>
  <c r="U85" i="73"/>
  <c r="AT85" i="73"/>
  <c r="AP85" i="73"/>
  <c r="U11" i="73"/>
  <c r="AL11" i="73"/>
  <c r="AT11" i="73"/>
  <c r="AP11" i="73"/>
  <c r="U74" i="73"/>
  <c r="AT74" i="73"/>
  <c r="AT54" i="73"/>
  <c r="U54" i="73"/>
  <c r="AP54" i="73"/>
  <c r="U92" i="73"/>
  <c r="AT92" i="73"/>
  <c r="AT137" i="73"/>
  <c r="U137" i="73"/>
  <c r="AN137" i="73"/>
  <c r="AP137" i="73"/>
  <c r="U118" i="73"/>
  <c r="AT118" i="73"/>
  <c r="U32" i="73"/>
  <c r="AP32" i="73"/>
  <c r="U117" i="73"/>
  <c r="AP117" i="73"/>
  <c r="U120" i="73"/>
  <c r="AT120" i="73"/>
  <c r="U27" i="73"/>
  <c r="AT27" i="73"/>
  <c r="U56" i="73"/>
  <c r="AT56" i="73"/>
  <c r="U17" i="73"/>
  <c r="AT17" i="73"/>
  <c r="U97" i="73"/>
  <c r="AT97" i="73"/>
  <c r="AP97" i="73"/>
  <c r="U96" i="73"/>
  <c r="AP96" i="73"/>
  <c r="AT96" i="73"/>
  <c r="AK103" i="73"/>
  <c r="AG103" i="73"/>
  <c r="AH103" i="73" s="1"/>
  <c r="AE103" i="73"/>
  <c r="AF103" i="73" s="1"/>
  <c r="AI103" i="73"/>
  <c r="AJ103" i="73" s="1"/>
  <c r="U140" i="73"/>
  <c r="AT140" i="73"/>
  <c r="AK19" i="73"/>
  <c r="AG19" i="73"/>
  <c r="AE19" i="73"/>
  <c r="AY19" i="73" s="1"/>
  <c r="AI19" i="73"/>
  <c r="AJ19" i="73" s="1"/>
  <c r="AK109" i="73"/>
  <c r="AG109" i="73"/>
  <c r="AI109" i="73"/>
  <c r="AE109" i="73"/>
  <c r="AK79" i="73"/>
  <c r="AG79" i="73"/>
  <c r="AK92" i="73"/>
  <c r="AE92" i="73"/>
  <c r="AY92" i="73" s="1"/>
  <c r="AE105" i="73"/>
  <c r="AI105" i="73"/>
  <c r="AT105" i="73"/>
  <c r="AP105" i="73"/>
  <c r="AR105" i="73"/>
  <c r="AG105" i="73"/>
  <c r="AN105" i="73"/>
  <c r="AK105" i="73"/>
  <c r="U105" i="73"/>
  <c r="AK45" i="73"/>
  <c r="AE25" i="73"/>
  <c r="AF25" i="73" s="1"/>
  <c r="AE140" i="73"/>
  <c r="AY140" i="73" s="1"/>
  <c r="AI112" i="73"/>
  <c r="AJ112" i="73" s="1"/>
  <c r="AT122" i="73"/>
  <c r="AF18" i="73"/>
  <c r="AJ11" i="73"/>
  <c r="AE9" i="73"/>
  <c r="AF9" i="73" s="1"/>
  <c r="AT38" i="73"/>
  <c r="AE46" i="73"/>
  <c r="AF46" i="73" s="1"/>
  <c r="AT100" i="73"/>
  <c r="AI136" i="73"/>
  <c r="AJ136" i="73" s="1"/>
  <c r="AG112" i="73"/>
  <c r="AH112" i="73" s="1"/>
  <c r="AR34" i="73"/>
  <c r="U57" i="73"/>
  <c r="AP57" i="73"/>
  <c r="U67" i="73"/>
  <c r="AT67" i="73"/>
  <c r="U77" i="73"/>
  <c r="AP77" i="73"/>
  <c r="U88" i="73"/>
  <c r="AT88" i="73"/>
  <c r="U64" i="73"/>
  <c r="AT64" i="73"/>
  <c r="U65" i="73"/>
  <c r="AT65" i="73"/>
  <c r="U43" i="73"/>
  <c r="AT43" i="73"/>
  <c r="U106" i="73"/>
  <c r="AT106" i="73"/>
  <c r="AP106" i="73"/>
  <c r="AN106" i="73"/>
  <c r="AK43" i="73"/>
  <c r="AG43" i="73"/>
  <c r="AI43" i="73"/>
  <c r="AJ43" i="73" s="1"/>
  <c r="AE43" i="73"/>
  <c r="AF43" i="73" s="1"/>
  <c r="AK8" i="73"/>
  <c r="AE8" i="73"/>
  <c r="AK86" i="73"/>
  <c r="AI86" i="73"/>
  <c r="AJ86" i="73" s="1"/>
  <c r="AD37" i="52"/>
  <c r="S50" i="73"/>
  <c r="AK82" i="73"/>
  <c r="AE82" i="73"/>
  <c r="AF82" i="73" s="1"/>
  <c r="AI82" i="73"/>
  <c r="BA82" i="73" s="1"/>
  <c r="AK141" i="73"/>
  <c r="AL141" i="73" s="1"/>
  <c r="AG141" i="73"/>
  <c r="AH141" i="73" s="1"/>
  <c r="AK124" i="73"/>
  <c r="AI124" i="73"/>
  <c r="AJ124" i="73" s="1"/>
  <c r="AE124" i="73"/>
  <c r="AF124" i="73" s="1"/>
  <c r="AK70" i="73"/>
  <c r="AG70" i="73"/>
  <c r="AH70" i="73" s="1"/>
  <c r="AK67" i="73"/>
  <c r="AG67" i="73"/>
  <c r="AK117" i="73"/>
  <c r="AG117" i="73"/>
  <c r="AK83" i="73"/>
  <c r="AG83" i="73"/>
  <c r="AK111" i="73"/>
  <c r="AI111" i="73"/>
  <c r="AJ111" i="73" s="1"/>
  <c r="AE111" i="73"/>
  <c r="AF111" i="73" s="1"/>
  <c r="AG37" i="73"/>
  <c r="AH37" i="73" s="1"/>
  <c r="AK37" i="73"/>
  <c r="AL37" i="73" s="1"/>
  <c r="U139" i="73"/>
  <c r="AT139" i="73"/>
  <c r="AP139" i="73"/>
  <c r="AI141" i="73"/>
  <c r="AJ141" i="73" s="1"/>
  <c r="AE122" i="73"/>
  <c r="AF122" i="73" s="1"/>
  <c r="AT28" i="73"/>
  <c r="AG66" i="73"/>
  <c r="AH66" i="73" s="1"/>
  <c r="AN135" i="73"/>
  <c r="AP43" i="73"/>
  <c r="AF11" i="73"/>
  <c r="AI38" i="73"/>
  <c r="BA38" i="73" s="1"/>
  <c r="AP80" i="73"/>
  <c r="AP35" i="73"/>
  <c r="AI117" i="73"/>
  <c r="AJ117" i="73" s="1"/>
  <c r="AE67" i="73"/>
  <c r="AY67" i="73" s="1"/>
  <c r="AI34" i="73"/>
  <c r="AJ34" i="73" s="1"/>
  <c r="AE37" i="73"/>
  <c r="AF37" i="73" s="1"/>
  <c r="AR32" i="73"/>
  <c r="AE83" i="73"/>
  <c r="AY83" i="73" s="1"/>
  <c r="U90" i="73"/>
  <c r="AT90" i="73"/>
  <c r="U126" i="73"/>
  <c r="AT126" i="73"/>
  <c r="U86" i="73"/>
  <c r="AT86" i="73"/>
  <c r="U25" i="73"/>
  <c r="AT25" i="73"/>
  <c r="U30" i="73"/>
  <c r="AT30" i="73"/>
  <c r="AR30" i="73"/>
  <c r="AP30" i="73"/>
  <c r="U31" i="73"/>
  <c r="AT31" i="73"/>
  <c r="U76" i="73"/>
  <c r="AT76" i="73"/>
  <c r="U94" i="73"/>
  <c r="AT94" i="73"/>
  <c r="U26" i="73"/>
  <c r="AP26" i="73"/>
  <c r="U87" i="73"/>
  <c r="AT87" i="73"/>
  <c r="AP87" i="73"/>
  <c r="AK118" i="73"/>
  <c r="AI118" i="73"/>
  <c r="AJ118" i="73" s="1"/>
  <c r="AE118" i="73"/>
  <c r="AF118" i="73" s="1"/>
  <c r="AK17" i="73"/>
  <c r="AE17" i="73"/>
  <c r="AF17" i="73" s="1"/>
  <c r="AI17" i="73"/>
  <c r="AJ17" i="73" s="1"/>
  <c r="AG17" i="73"/>
  <c r="AH17" i="73" s="1"/>
  <c r="AK107" i="73"/>
  <c r="AE107" i="73"/>
  <c r="AI107" i="73"/>
  <c r="AJ107" i="73" s="1"/>
  <c r="AG107" i="73"/>
  <c r="AH107" i="73" s="1"/>
  <c r="AK71" i="73"/>
  <c r="AL71" i="73" s="1"/>
  <c r="AI71" i="73"/>
  <c r="AJ71" i="73" s="1"/>
  <c r="AE71" i="73"/>
  <c r="AF71" i="73" s="1"/>
  <c r="AK140" i="73"/>
  <c r="AK89" i="73"/>
  <c r="AK100" i="73"/>
  <c r="AG100" i="73"/>
  <c r="AK41" i="73"/>
  <c r="AK13" i="73"/>
  <c r="AL13" i="73" s="1"/>
  <c r="AG13" i="73"/>
  <c r="AH13" i="73" s="1"/>
  <c r="AT53" i="73"/>
  <c r="AP53" i="73"/>
  <c r="U53" i="73"/>
  <c r="AK14" i="73"/>
  <c r="AG14" i="73"/>
  <c r="AZ14" i="73" s="1"/>
  <c r="AI14" i="73"/>
  <c r="AJ14" i="73" s="1"/>
  <c r="AE14" i="73"/>
  <c r="AY14" i="73" s="1"/>
  <c r="AG28" i="73"/>
  <c r="AZ28" i="73" s="1"/>
  <c r="AE141" i="73"/>
  <c r="AF141" i="73" s="1"/>
  <c r="AN122" i="73"/>
  <c r="AI28" i="73"/>
  <c r="AJ28" i="73" s="1"/>
  <c r="AI65" i="73"/>
  <c r="BA65" i="73" s="1"/>
  <c r="AE45" i="73"/>
  <c r="AY45" i="73" s="1"/>
  <c r="AG124" i="73"/>
  <c r="AH124" i="73" s="1"/>
  <c r="AN11" i="73"/>
  <c r="AR9" i="73"/>
  <c r="AT138" i="73"/>
  <c r="AT89" i="73"/>
  <c r="AI100" i="73"/>
  <c r="AJ100" i="73" s="1"/>
  <c r="AE61" i="73"/>
  <c r="AF61" i="73" s="1"/>
  <c r="AE63" i="73"/>
  <c r="AF63" i="73" s="1"/>
  <c r="AI113" i="73"/>
  <c r="AJ113" i="73" s="1"/>
  <c r="AT121" i="73"/>
  <c r="AE72" i="73"/>
  <c r="AF72" i="73" s="1"/>
  <c r="AI104" i="73"/>
  <c r="AJ104" i="73" s="1"/>
  <c r="AN32" i="73"/>
  <c r="AT83" i="73"/>
  <c r="AR137" i="73"/>
  <c r="U130" i="73"/>
  <c r="AT130" i="73"/>
  <c r="AN130" i="73"/>
  <c r="U60" i="73"/>
  <c r="AT60" i="73"/>
  <c r="U45" i="73"/>
  <c r="AT45" i="73"/>
  <c r="U46" i="73"/>
  <c r="AP46" i="73"/>
  <c r="U49" i="73"/>
  <c r="AT49" i="73"/>
  <c r="AK74" i="73"/>
  <c r="AI74" i="73"/>
  <c r="AJ74" i="73" s="1"/>
  <c r="AE74" i="73"/>
  <c r="AF74" i="73" s="1"/>
  <c r="AK27" i="73"/>
  <c r="AE27" i="73"/>
  <c r="AF27" i="73" s="1"/>
  <c r="AI27" i="73"/>
  <c r="AJ27" i="73" s="1"/>
  <c r="AG27" i="73"/>
  <c r="AZ27" i="73" s="1"/>
  <c r="AK15" i="73"/>
  <c r="AG15" i="73"/>
  <c r="AK132" i="73"/>
  <c r="AG132" i="73"/>
  <c r="AK131" i="73"/>
  <c r="AG131" i="73"/>
  <c r="AI131" i="73"/>
  <c r="AE131" i="73"/>
  <c r="AK110" i="73"/>
  <c r="AG110" i="73"/>
  <c r="AE110" i="73"/>
  <c r="AF110" i="73" s="1"/>
  <c r="AI110" i="73"/>
  <c r="AJ110" i="73" s="1"/>
  <c r="AK123" i="73"/>
  <c r="AG123" i="73"/>
  <c r="AH123" i="73" s="1"/>
  <c r="AK88" i="73"/>
  <c r="AG88" i="73"/>
  <c r="AH88" i="73" s="1"/>
  <c r="AE88" i="73"/>
  <c r="AY88" i="73" s="1"/>
  <c r="AI88" i="73"/>
  <c r="BA88" i="73" s="1"/>
  <c r="AK99" i="73"/>
  <c r="AG99" i="73"/>
  <c r="AZ99" i="73" s="1"/>
  <c r="AI99" i="73"/>
  <c r="AJ99" i="73" s="1"/>
  <c r="AE99" i="73"/>
  <c r="AY99" i="73" s="1"/>
  <c r="AK134" i="73"/>
  <c r="AG134" i="73"/>
  <c r="AP134" i="73"/>
  <c r="AK20" i="73"/>
  <c r="AG20" i="73"/>
  <c r="AZ20" i="73" s="1"/>
  <c r="AK76" i="73"/>
  <c r="AE76" i="73"/>
  <c r="AF76" i="73" s="1"/>
  <c r="AI76" i="73"/>
  <c r="AJ76" i="73" s="1"/>
  <c r="AK10" i="73"/>
  <c r="AL10" i="73" s="1"/>
  <c r="AE10" i="73"/>
  <c r="AF10" i="73" s="1"/>
  <c r="U103" i="73"/>
  <c r="AT103" i="73"/>
  <c r="AK130" i="73"/>
  <c r="AE130" i="73"/>
  <c r="AG130" i="73"/>
  <c r="AI130" i="73"/>
  <c r="AK87" i="73"/>
  <c r="AG87" i="73"/>
  <c r="AI87" i="73"/>
  <c r="BA87" i="73" s="1"/>
  <c r="AE87" i="73"/>
  <c r="AF87" i="73" s="1"/>
  <c r="AG26" i="73"/>
  <c r="AK26" i="73"/>
  <c r="AK95" i="73"/>
  <c r="AE95" i="73"/>
  <c r="AY95" i="73" s="1"/>
  <c r="AI95" i="73"/>
  <c r="BA95" i="73" s="1"/>
  <c r="AK98" i="73"/>
  <c r="AG98" i="73"/>
  <c r="AI98" i="73"/>
  <c r="AE98" i="73"/>
  <c r="AK119" i="73"/>
  <c r="AG119" i="73"/>
  <c r="AH119" i="73" s="1"/>
  <c r="AR141" i="73"/>
  <c r="AI70" i="73"/>
  <c r="AJ70" i="73" s="1"/>
  <c r="AE112" i="73"/>
  <c r="AF112" i="73" s="1"/>
  <c r="AT18" i="73"/>
  <c r="AI45" i="73"/>
  <c r="AJ45" i="73" s="1"/>
  <c r="AP100" i="73"/>
  <c r="AR11" i="73"/>
  <c r="AG86" i="73"/>
  <c r="AZ86" i="73" s="1"/>
  <c r="AN9" i="73"/>
  <c r="AE138" i="73"/>
  <c r="AF138" i="73" s="1"/>
  <c r="AG74" i="73"/>
  <c r="AH74" i="73" s="1"/>
  <c r="AE26" i="73"/>
  <c r="AF26" i="73" s="1"/>
  <c r="AG89" i="73"/>
  <c r="AH89" i="73" s="1"/>
  <c r="AG122" i="73"/>
  <c r="AH122" i="73" s="1"/>
  <c r="AG92" i="73"/>
  <c r="AZ92" i="73" s="1"/>
  <c r="AN121" i="73"/>
  <c r="AN34" i="73"/>
  <c r="AR37" i="73"/>
  <c r="AT32" i="73"/>
  <c r="AT75" i="73"/>
  <c r="U125" i="73"/>
  <c r="AT125" i="73"/>
  <c r="U37" i="73"/>
  <c r="AT37" i="73"/>
  <c r="AP37" i="73"/>
  <c r="U79" i="73"/>
  <c r="AT79" i="73"/>
  <c r="U35" i="73"/>
  <c r="AT35" i="73"/>
  <c r="U132" i="73"/>
  <c r="AT132" i="73"/>
  <c r="AP132" i="73"/>
  <c r="U93" i="73"/>
  <c r="AT93" i="73"/>
  <c r="U61" i="73"/>
  <c r="AT61" i="73"/>
  <c r="U29" i="73"/>
  <c r="AT29" i="73"/>
  <c r="U99" i="73"/>
  <c r="AT99" i="73"/>
  <c r="U104" i="73"/>
  <c r="AP104" i="73"/>
  <c r="AK137" i="73"/>
  <c r="AE137" i="73"/>
  <c r="AI137" i="73"/>
  <c r="AG137" i="73"/>
  <c r="AK42" i="73"/>
  <c r="AE42" i="73"/>
  <c r="AY42" i="73" s="1"/>
  <c r="AI42" i="73"/>
  <c r="AJ42" i="73" s="1"/>
  <c r="AK94" i="73"/>
  <c r="AG94" i="73"/>
  <c r="AH94" i="73" s="1"/>
  <c r="AE94" i="73"/>
  <c r="AF94" i="73" s="1"/>
  <c r="AI94" i="73"/>
  <c r="AJ94" i="73" s="1"/>
  <c r="AK133" i="73"/>
  <c r="AG133" i="73"/>
  <c r="AK30" i="73"/>
  <c r="AG30" i="73"/>
  <c r="AE30" i="73"/>
  <c r="AI30" i="73"/>
  <c r="AK75" i="73"/>
  <c r="AG75" i="73"/>
  <c r="AH75" i="73" s="1"/>
  <c r="AE75" i="73"/>
  <c r="AF75" i="73" s="1"/>
  <c r="AI75" i="73"/>
  <c r="AJ75" i="73" s="1"/>
  <c r="AK108" i="73"/>
  <c r="AT108" i="73"/>
  <c r="U108" i="73"/>
  <c r="AE108" i="73"/>
  <c r="AF108" i="73" s="1"/>
  <c r="AK55" i="73"/>
  <c r="AG55" i="73"/>
  <c r="AH55" i="73" s="1"/>
  <c r="AE55" i="73"/>
  <c r="AY55" i="73" s="1"/>
  <c r="AI55" i="73"/>
  <c r="AJ55" i="73" s="1"/>
  <c r="AK126" i="73"/>
  <c r="AE126" i="73"/>
  <c r="AG126" i="73"/>
  <c r="AH126" i="73" s="1"/>
  <c r="AI126" i="73"/>
  <c r="AK135" i="73"/>
  <c r="AE135" i="73"/>
  <c r="AG135" i="73"/>
  <c r="AI135" i="73"/>
  <c r="AK32" i="73"/>
  <c r="AL32" i="73" s="1"/>
  <c r="AG32" i="73"/>
  <c r="AH32" i="73" s="1"/>
  <c r="AK38" i="73"/>
  <c r="AG38" i="73"/>
  <c r="AH38" i="73" s="1"/>
  <c r="AK114" i="73"/>
  <c r="AG114" i="73"/>
  <c r="AI114" i="73"/>
  <c r="AJ114" i="73" s="1"/>
  <c r="AE114" i="73"/>
  <c r="AF114" i="73" s="1"/>
  <c r="AK97" i="73"/>
  <c r="AG97" i="73"/>
  <c r="AI97" i="73"/>
  <c r="AJ97" i="73" s="1"/>
  <c r="AE97" i="73"/>
  <c r="AY97" i="73" s="1"/>
  <c r="AK136" i="73"/>
  <c r="AG136" i="73"/>
  <c r="AK93" i="73"/>
  <c r="AE93" i="73"/>
  <c r="AF93" i="73" s="1"/>
  <c r="AI93" i="73"/>
  <c r="BA93" i="73" s="1"/>
  <c r="AG93" i="73"/>
  <c r="AZ93" i="73" s="1"/>
  <c r="AK39" i="73"/>
  <c r="AE39" i="73"/>
  <c r="AY39" i="73" s="1"/>
  <c r="AG39" i="73"/>
  <c r="AZ39" i="73" s="1"/>
  <c r="AI39" i="73"/>
  <c r="AJ39" i="73" s="1"/>
  <c r="U141" i="73"/>
  <c r="AP141" i="73"/>
  <c r="AK96" i="73"/>
  <c r="BB96" i="73" s="1"/>
  <c r="AG96" i="73"/>
  <c r="AZ96" i="73" s="1"/>
  <c r="AE96" i="73"/>
  <c r="AI96" i="73"/>
  <c r="E32" i="125"/>
  <c r="G32" i="125" s="1"/>
  <c r="E31" i="125"/>
  <c r="G31" i="125" s="1"/>
  <c r="AE119" i="73"/>
  <c r="AF119" i="73" s="1"/>
  <c r="AG140" i="73"/>
  <c r="AH140" i="73" s="1"/>
  <c r="AG25" i="73"/>
  <c r="AH25" i="73" s="1"/>
  <c r="AN141" i="73"/>
  <c r="AG49" i="73"/>
  <c r="AZ49" i="73" s="1"/>
  <c r="AE70" i="73"/>
  <c r="AF70" i="73" s="1"/>
  <c r="AT112" i="73"/>
  <c r="AR18" i="73"/>
  <c r="AG111" i="73"/>
  <c r="AH111" i="73" s="1"/>
  <c r="AE132" i="73"/>
  <c r="AY132" i="73" s="1"/>
  <c r="AT123" i="73"/>
  <c r="AP71" i="73"/>
  <c r="AP18" i="73"/>
  <c r="AT46" i="73"/>
  <c r="AE100" i="73"/>
  <c r="AF100" i="73" s="1"/>
  <c r="AG108" i="73"/>
  <c r="AH108" i="73" s="1"/>
  <c r="AP122" i="73"/>
  <c r="AI133" i="73"/>
  <c r="BA133" i="73" s="1"/>
  <c r="AR121" i="73"/>
  <c r="AG118" i="73"/>
  <c r="AH118" i="73" s="1"/>
  <c r="AG45" i="73"/>
  <c r="AH45" i="73" s="1"/>
  <c r="AN37" i="73"/>
  <c r="AI32" i="73"/>
  <c r="AJ32" i="73" s="1"/>
  <c r="U47" i="73"/>
  <c r="AT47" i="73"/>
  <c r="U82" i="73"/>
  <c r="AT82" i="73"/>
  <c r="U14" i="73"/>
  <c r="AT14" i="73"/>
  <c r="U51" i="73"/>
  <c r="AT51" i="73"/>
  <c r="U13" i="73"/>
  <c r="AP13" i="73"/>
  <c r="U124" i="73"/>
  <c r="AT124" i="73"/>
  <c r="U52" i="73"/>
  <c r="AT52" i="73"/>
  <c r="AR52" i="73"/>
  <c r="AN52" i="73"/>
  <c r="AP52" i="73"/>
  <c r="U91" i="73"/>
  <c r="AT91" i="73"/>
  <c r="U110" i="73"/>
  <c r="AP110" i="73"/>
  <c r="AT110" i="73"/>
  <c r="AK78" i="73"/>
  <c r="AG78" i="73"/>
  <c r="AI78" i="73"/>
  <c r="AJ78" i="73" s="1"/>
  <c r="AE78" i="73"/>
  <c r="AY78" i="73" s="1"/>
  <c r="AK120" i="73"/>
  <c r="AG120" i="73"/>
  <c r="AH120" i="73" s="1"/>
  <c r="AK139" i="73"/>
  <c r="AG139" i="73"/>
  <c r="AE139" i="73"/>
  <c r="AY139" i="73" s="1"/>
  <c r="AI139" i="73"/>
  <c r="BA139" i="73" s="1"/>
  <c r="S67" i="52" s="1"/>
  <c r="AK106" i="73"/>
  <c r="AG106" i="73"/>
  <c r="AI106" i="73"/>
  <c r="AE106" i="73"/>
  <c r="AK53" i="73"/>
  <c r="AG53" i="73"/>
  <c r="AI53" i="73"/>
  <c r="AJ53" i="73" s="1"/>
  <c r="AE53" i="73"/>
  <c r="AY53" i="73" s="1"/>
  <c r="AK44" i="73"/>
  <c r="AG44" i="73"/>
  <c r="AH44" i="73" s="1"/>
  <c r="AK63" i="73"/>
  <c r="AG63" i="73"/>
  <c r="AH63" i="73" s="1"/>
  <c r="AK29" i="73"/>
  <c r="AI29" i="73"/>
  <c r="AJ29" i="73" s="1"/>
  <c r="AE29" i="73"/>
  <c r="AF29" i="73" s="1"/>
  <c r="AG29" i="73"/>
  <c r="AZ29" i="73" s="1"/>
  <c r="AG121" i="73"/>
  <c r="AH121" i="73" s="1"/>
  <c r="AK121" i="73"/>
  <c r="AL121" i="73" s="1"/>
  <c r="AK35" i="73"/>
  <c r="AL35" i="73" s="1"/>
  <c r="AE35" i="73"/>
  <c r="AF35" i="73" s="1"/>
  <c r="AI35" i="73"/>
  <c r="AJ35" i="73" s="1"/>
  <c r="AK60" i="73"/>
  <c r="AG60" i="73"/>
  <c r="AH60" i="73" s="1"/>
  <c r="AK56" i="73"/>
  <c r="AE56" i="73"/>
  <c r="AY56" i="73" s="1"/>
  <c r="AI56" i="73"/>
  <c r="AJ56" i="73" s="1"/>
  <c r="AK51" i="73"/>
  <c r="AI51" i="73"/>
  <c r="AJ51" i="73" s="1"/>
  <c r="AE51" i="73"/>
  <c r="AF51" i="73" s="1"/>
  <c r="AK65" i="73"/>
  <c r="AG65" i="73"/>
  <c r="AH65" i="73" s="1"/>
  <c r="AK54" i="73"/>
  <c r="AG54" i="73"/>
  <c r="AK68" i="73"/>
  <c r="AE68" i="73"/>
  <c r="AI68" i="73"/>
  <c r="AJ68" i="73" s="1"/>
  <c r="AG68" i="73"/>
  <c r="AZ68" i="73" s="1"/>
  <c r="AK48" i="73"/>
  <c r="AE48" i="73"/>
  <c r="AY48" i="73" s="1"/>
  <c r="AG48" i="73"/>
  <c r="AH48" i="73" s="1"/>
  <c r="AI48" i="73"/>
  <c r="AJ48" i="73" s="1"/>
  <c r="AK40" i="73"/>
  <c r="AG40" i="73"/>
  <c r="AH40" i="73" s="1"/>
  <c r="AK125" i="73"/>
  <c r="AN126" i="73"/>
  <c r="AI25" i="73"/>
  <c r="AJ25" i="73" s="1"/>
  <c r="AJ18" i="73"/>
  <c r="AE28" i="73"/>
  <c r="AF28" i="73" s="1"/>
  <c r="AG41" i="73"/>
  <c r="AZ41" i="73" s="1"/>
  <c r="AT62" i="73"/>
  <c r="AI47" i="73"/>
  <c r="AJ47" i="73" s="1"/>
  <c r="AN30" i="73"/>
  <c r="AP67" i="73"/>
  <c r="AN13" i="73"/>
  <c r="AR138" i="73"/>
  <c r="AH18" i="73"/>
  <c r="AT44" i="73"/>
  <c r="AE49" i="73"/>
  <c r="AF49" i="73" s="1"/>
  <c r="AE134" i="73"/>
  <c r="AF134" i="73" s="1"/>
  <c r="AG51" i="73"/>
  <c r="AZ51" i="73" s="1"/>
  <c r="AR77" i="73"/>
  <c r="AG62" i="73"/>
  <c r="AH62" i="73" s="1"/>
  <c r="AG82" i="73"/>
  <c r="AZ82" i="73" s="1"/>
  <c r="AI121" i="73"/>
  <c r="AJ121" i="73" s="1"/>
  <c r="AE120" i="73"/>
  <c r="AF120" i="73" s="1"/>
  <c r="AN72" i="73"/>
  <c r="AE66" i="73"/>
  <c r="AF66" i="73" s="1"/>
  <c r="AI37" i="73"/>
  <c r="AJ37" i="73" s="1"/>
  <c r="AP121" i="73"/>
  <c r="U19" i="73"/>
  <c r="AT19" i="73"/>
  <c r="U39" i="73"/>
  <c r="AT39" i="73"/>
  <c r="U72" i="73"/>
  <c r="AT72" i="73"/>
  <c r="AP72" i="73"/>
  <c r="U41" i="73"/>
  <c r="AT41" i="73"/>
  <c r="U136" i="73"/>
  <c r="AP136" i="73"/>
  <c r="AT40" i="73"/>
  <c r="U40" i="73"/>
  <c r="U20" i="73"/>
  <c r="AT20" i="73"/>
  <c r="U48" i="73"/>
  <c r="AT48" i="73"/>
  <c r="AT15" i="73"/>
  <c r="U15" i="73"/>
  <c r="U21" i="73"/>
  <c r="AT21" i="73"/>
  <c r="AL21" i="73"/>
  <c r="U78" i="73"/>
  <c r="AT78" i="73"/>
  <c r="AP78" i="73"/>
  <c r="U59" i="73"/>
  <c r="AT59" i="73"/>
  <c r="U16" i="73"/>
  <c r="AL16" i="73"/>
  <c r="U24" i="73"/>
  <c r="AT24" i="73"/>
  <c r="AK77" i="73"/>
  <c r="AL77" i="73" s="1"/>
  <c r="AG77" i="73"/>
  <c r="AH77" i="73" s="1"/>
  <c r="AK73" i="73"/>
  <c r="AT73" i="73"/>
  <c r="U73" i="73"/>
  <c r="AE73" i="73"/>
  <c r="AY73" i="73" s="1"/>
  <c r="AI73" i="73"/>
  <c r="AJ73" i="73" s="1"/>
  <c r="AG73" i="73"/>
  <c r="AK34" i="73"/>
  <c r="AL34" i="73" s="1"/>
  <c r="AG34" i="73"/>
  <c r="AH34" i="73" s="1"/>
  <c r="AK46" i="73"/>
  <c r="AG46" i="73"/>
  <c r="AK57" i="73"/>
  <c r="AG57" i="73"/>
  <c r="AK59" i="73"/>
  <c r="AI59" i="73"/>
  <c r="BA59" i="73" s="1"/>
  <c r="AE59" i="73"/>
  <c r="AF59" i="73" s="1"/>
  <c r="AG59" i="73"/>
  <c r="AH59" i="73" s="1"/>
  <c r="U7" i="73"/>
  <c r="AK7" i="73"/>
  <c r="AG7" i="73"/>
  <c r="AZ7" i="73" s="1"/>
  <c r="AK36" i="73"/>
  <c r="AL36" i="73" s="1"/>
  <c r="AG36" i="73"/>
  <c r="AH36" i="73" s="1"/>
  <c r="AI36" i="73"/>
  <c r="AJ36" i="73" s="1"/>
  <c r="AK58" i="73"/>
  <c r="AG58" i="73"/>
  <c r="AH58" i="73" s="1"/>
  <c r="AK52" i="73"/>
  <c r="AE52" i="73"/>
  <c r="AI52" i="73"/>
  <c r="AG52" i="73"/>
  <c r="AK91" i="73"/>
  <c r="AG91" i="73"/>
  <c r="AH91" i="73" s="1"/>
  <c r="AI91" i="73"/>
  <c r="AJ91" i="73" s="1"/>
  <c r="AE91" i="73"/>
  <c r="AY91" i="73" s="1"/>
  <c r="AK80" i="73"/>
  <c r="AL80" i="73" s="1"/>
  <c r="AE80" i="73"/>
  <c r="AF80" i="73" s="1"/>
  <c r="AI80" i="73"/>
  <c r="AJ80" i="73" s="1"/>
  <c r="AK61" i="73"/>
  <c r="AG61" i="73"/>
  <c r="AK81" i="73"/>
  <c r="AL81" i="73" s="1"/>
  <c r="AG81" i="73"/>
  <c r="AH81" i="73" s="1"/>
  <c r="AI81" i="73"/>
  <c r="AJ81" i="73" s="1"/>
  <c r="AE81" i="73"/>
  <c r="AF81" i="73" s="1"/>
  <c r="U10" i="73"/>
  <c r="Y10" i="73" s="1"/>
  <c r="Z10" i="73" s="1"/>
  <c r="AK90" i="73"/>
  <c r="AE90" i="73"/>
  <c r="AY90" i="73" s="1"/>
  <c r="AI90" i="73"/>
  <c r="AJ90" i="73" s="1"/>
  <c r="AP34" i="73"/>
  <c r="AH24" i="73"/>
  <c r="AR122" i="73"/>
  <c r="W18" i="73"/>
  <c r="X18" i="73" s="1"/>
  <c r="AI40" i="73"/>
  <c r="BA40" i="73" s="1"/>
  <c r="AI20" i="73"/>
  <c r="AJ20" i="73" s="1"/>
  <c r="AE58" i="73"/>
  <c r="AY58" i="73" s="1"/>
  <c r="AR13" i="73"/>
  <c r="AG47" i="73"/>
  <c r="AZ47" i="73" s="1"/>
  <c r="Y18" i="73"/>
  <c r="Z18" i="73" s="1"/>
  <c r="AT26" i="73"/>
  <c r="AE89" i="73"/>
  <c r="AY89" i="73" s="1"/>
  <c r="AE44" i="73"/>
  <c r="AF44" i="73" s="1"/>
  <c r="AI49" i="73"/>
  <c r="AJ49" i="73" s="1"/>
  <c r="AT57" i="73"/>
  <c r="AI79" i="73"/>
  <c r="AJ79" i="73" s="1"/>
  <c r="AI134" i="73"/>
  <c r="AJ134" i="73" s="1"/>
  <c r="AP24" i="73"/>
  <c r="AN77" i="73"/>
  <c r="AE133" i="73"/>
  <c r="AF133" i="73" s="1"/>
  <c r="AE121" i="73"/>
  <c r="AF121" i="73" s="1"/>
  <c r="AR72" i="73"/>
  <c r="AP64" i="73"/>
  <c r="AI83" i="73"/>
  <c r="AJ83" i="73" s="1"/>
  <c r="AP79" i="73"/>
  <c r="AI92" i="73"/>
  <c r="BA92" i="73" s="1"/>
  <c r="U133" i="73"/>
  <c r="AT133" i="73"/>
  <c r="R131" i="73"/>
  <c r="P130" i="82"/>
  <c r="I131" i="73" s="1"/>
  <c r="R22" i="73"/>
  <c r="U135" i="73"/>
  <c r="AT135" i="73"/>
  <c r="AP135" i="73"/>
  <c r="U81" i="73"/>
  <c r="AT81" i="73"/>
  <c r="U36" i="73"/>
  <c r="AT36" i="73"/>
  <c r="U80" i="73"/>
  <c r="AT80" i="73"/>
  <c r="U107" i="73"/>
  <c r="AN107" i="73"/>
  <c r="AT107" i="73"/>
  <c r="U111" i="73"/>
  <c r="AT111" i="73"/>
  <c r="AK113" i="73"/>
  <c r="AG113" i="73"/>
  <c r="AH113" i="73" s="1"/>
  <c r="AK104" i="73"/>
  <c r="AG104" i="73"/>
  <c r="AK72" i="73"/>
  <c r="AL72" i="73" s="1"/>
  <c r="AG72" i="73"/>
  <c r="AH72" i="73" s="1"/>
  <c r="AG9" i="73"/>
  <c r="AH9" i="73" s="1"/>
  <c r="AK9" i="73"/>
  <c r="AL9" i="73" s="1"/>
  <c r="U9" i="73"/>
  <c r="AK64" i="73"/>
  <c r="AG64" i="73"/>
  <c r="AE64" i="73"/>
  <c r="AY64" i="73" s="1"/>
  <c r="AI64" i="73"/>
  <c r="AJ64" i="73" s="1"/>
  <c r="AK62" i="73"/>
  <c r="AK138" i="73"/>
  <c r="AL138" i="73" s="1"/>
  <c r="AG138" i="73"/>
  <c r="AH138" i="73" s="1"/>
  <c r="AK69" i="73"/>
  <c r="AE69" i="73"/>
  <c r="AF69" i="73" s="1"/>
  <c r="AG69" i="73"/>
  <c r="AH69" i="73" s="1"/>
  <c r="AK85" i="73"/>
  <c r="AG85" i="73"/>
  <c r="AI85" i="73"/>
  <c r="BA85" i="73" s="1"/>
  <c r="AE85" i="73"/>
  <c r="AF85" i="73" s="1"/>
  <c r="AL25" i="73"/>
  <c r="BB25" i="73"/>
  <c r="AK31" i="73"/>
  <c r="AE31" i="73"/>
  <c r="AI31" i="73"/>
  <c r="T22" i="73"/>
  <c r="AR106" i="73"/>
  <c r="AP83" i="73"/>
  <c r="AT119" i="73"/>
  <c r="AG95" i="73"/>
  <c r="AZ95" i="73" s="1"/>
  <c r="AE15" i="73"/>
  <c r="AY15" i="73" s="1"/>
  <c r="AI122" i="73"/>
  <c r="AJ122" i="73" s="1"/>
  <c r="AN18" i="73"/>
  <c r="AP15" i="73"/>
  <c r="AE62" i="73"/>
  <c r="AF62" i="73" s="1"/>
  <c r="AE47" i="73"/>
  <c r="AY47" i="73" s="1"/>
  <c r="AR130" i="73"/>
  <c r="AE123" i="73"/>
  <c r="AF123" i="73" s="1"/>
  <c r="AT9" i="73"/>
  <c r="AI13" i="73"/>
  <c r="AJ13" i="73" s="1"/>
  <c r="AN138" i="73"/>
  <c r="AG71" i="73"/>
  <c r="AH71" i="73" s="1"/>
  <c r="AA18" i="73"/>
  <c r="AB18" i="73" s="1"/>
  <c r="AI60" i="73"/>
  <c r="BA60" i="73" s="1"/>
  <c r="AI44" i="73"/>
  <c r="AJ44" i="73" s="1"/>
  <c r="AI57" i="73"/>
  <c r="AJ57" i="73" s="1"/>
  <c r="AE79" i="73"/>
  <c r="AF79" i="73" s="1"/>
  <c r="AG76" i="73"/>
  <c r="AZ76" i="73" s="1"/>
  <c r="AG125" i="73"/>
  <c r="AH125" i="73" s="1"/>
  <c r="AT63" i="73"/>
  <c r="AP138" i="73"/>
  <c r="AN31" i="73"/>
  <c r="AP130" i="73"/>
  <c r="AT136" i="73"/>
  <c r="AE77" i="73"/>
  <c r="AF77" i="73" s="1"/>
  <c r="AT117" i="73"/>
  <c r="AI66" i="73"/>
  <c r="AJ66" i="73" s="1"/>
  <c r="AE54" i="73"/>
  <c r="AF54" i="73" s="1"/>
  <c r="AT34" i="73"/>
  <c r="AE41" i="73"/>
  <c r="AF41" i="73" s="1"/>
  <c r="AI125" i="73"/>
  <c r="AJ125" i="73" s="1"/>
  <c r="AI108" i="73"/>
  <c r="AJ108" i="73" s="1"/>
  <c r="AE86" i="73"/>
  <c r="AY86" i="73" s="1"/>
  <c r="U134" i="73"/>
  <c r="AN35" i="73"/>
  <c r="AT134" i="73"/>
  <c r="AR36" i="73"/>
  <c r="AR81" i="73"/>
  <c r="AN81" i="73"/>
  <c r="AN71" i="73"/>
  <c r="AC33" i="73"/>
  <c r="AD33" i="73" s="1"/>
  <c r="Y33" i="73"/>
  <c r="Z33" i="73" s="1"/>
  <c r="AL12" i="73"/>
  <c r="BB12" i="73"/>
  <c r="AP36" i="73"/>
  <c r="AN10" i="73"/>
  <c r="AR80" i="73"/>
  <c r="AC12" i="73"/>
  <c r="Y12" i="73"/>
  <c r="AP9" i="73"/>
  <c r="AH11" i="73"/>
  <c r="AL18" i="73"/>
  <c r="AL24" i="73"/>
  <c r="BB24" i="73"/>
  <c r="AN36" i="73"/>
  <c r="AR35" i="73"/>
  <c r="AR71" i="73"/>
  <c r="AN80" i="73"/>
  <c r="AT10" i="73"/>
  <c r="J10" i="73"/>
  <c r="K10" i="73" s="1"/>
  <c r="AM115" i="73"/>
  <c r="AQ115" i="73"/>
  <c r="AN40" i="73"/>
  <c r="BC40" i="73"/>
  <c r="AN25" i="73"/>
  <c r="BC25" i="73"/>
  <c r="AR15" i="73"/>
  <c r="BE15" i="73"/>
  <c r="AR140" i="73"/>
  <c r="BE140" i="73"/>
  <c r="BC70" i="73"/>
  <c r="AN70" i="73"/>
  <c r="AR28" i="73"/>
  <c r="BE28" i="73"/>
  <c r="AN47" i="73"/>
  <c r="BC47" i="73"/>
  <c r="AP42" i="73"/>
  <c r="BD42" i="73"/>
  <c r="AN46" i="73"/>
  <c r="BC46" i="73"/>
  <c r="AN44" i="73"/>
  <c r="BC44" i="73"/>
  <c r="AJ16" i="73"/>
  <c r="BA16" i="73"/>
  <c r="AR12" i="73"/>
  <c r="BE12" i="73"/>
  <c r="AP112" i="73"/>
  <c r="AN120" i="73"/>
  <c r="BC120" i="73"/>
  <c r="AR67" i="73"/>
  <c r="BE67" i="73"/>
  <c r="AN41" i="73"/>
  <c r="BC41" i="73"/>
  <c r="AJ21" i="73"/>
  <c r="BA21" i="73"/>
  <c r="AR93" i="73"/>
  <c r="BE93" i="73"/>
  <c r="AP55" i="73"/>
  <c r="BD55" i="73"/>
  <c r="AP31" i="73"/>
  <c r="BD31" i="73"/>
  <c r="AR17" i="73"/>
  <c r="BE17" i="73"/>
  <c r="AP60" i="73"/>
  <c r="BD60" i="73"/>
  <c r="AP91" i="73"/>
  <c r="BD91" i="73"/>
  <c r="AP113" i="73"/>
  <c r="AP107" i="73"/>
  <c r="AR64" i="73"/>
  <c r="BE64" i="73"/>
  <c r="AN103" i="73"/>
  <c r="AR55" i="73"/>
  <c r="BE55" i="73"/>
  <c r="AN95" i="73"/>
  <c r="BC95" i="73"/>
  <c r="AP75" i="73"/>
  <c r="BD75" i="73"/>
  <c r="AR99" i="73"/>
  <c r="BE99" i="73"/>
  <c r="AI10" i="73"/>
  <c r="AJ10" i="73" s="1"/>
  <c r="AP120" i="73"/>
  <c r="BD120" i="73"/>
  <c r="AP21" i="73"/>
  <c r="BD21" i="73"/>
  <c r="AN76" i="73"/>
  <c r="BC76" i="73"/>
  <c r="AN42" i="73"/>
  <c r="BC42" i="73"/>
  <c r="AP68" i="73"/>
  <c r="BD68" i="73"/>
  <c r="AR91" i="73"/>
  <c r="BE91" i="73"/>
  <c r="AN21" i="73"/>
  <c r="BC21" i="73"/>
  <c r="AR86" i="73"/>
  <c r="BE86" i="73"/>
  <c r="BC50" i="73"/>
  <c r="P70" i="52" s="1"/>
  <c r="AN14" i="73"/>
  <c r="BC14" i="73"/>
  <c r="AR119" i="73"/>
  <c r="BE119" i="73"/>
  <c r="AP95" i="73"/>
  <c r="BD95" i="73"/>
  <c r="AN24" i="73"/>
  <c r="BC24" i="73"/>
  <c r="AP16" i="73"/>
  <c r="BD16" i="73"/>
  <c r="AR47" i="73"/>
  <c r="BE47" i="73"/>
  <c r="BE127" i="73"/>
  <c r="J71" i="52" s="1"/>
  <c r="AR123" i="73"/>
  <c r="BE123" i="73"/>
  <c r="AN38" i="73"/>
  <c r="BC38" i="73"/>
  <c r="AN26" i="73"/>
  <c r="BC26" i="73"/>
  <c r="AN49" i="73"/>
  <c r="BC49" i="73"/>
  <c r="AP108" i="73"/>
  <c r="AN61" i="73"/>
  <c r="BC61" i="73"/>
  <c r="AR63" i="73"/>
  <c r="BE63" i="73"/>
  <c r="AF16" i="73"/>
  <c r="AY16" i="73"/>
  <c r="BC136" i="73"/>
  <c r="AN136" i="73"/>
  <c r="AN113" i="73"/>
  <c r="AJ12" i="73"/>
  <c r="BA12" i="73"/>
  <c r="AP118" i="73"/>
  <c r="AN83" i="73"/>
  <c r="BC83" i="73"/>
  <c r="BC98" i="73"/>
  <c r="V70" i="52" s="1"/>
  <c r="AR51" i="73"/>
  <c r="BE51" i="73"/>
  <c r="AN92" i="73"/>
  <c r="BC92" i="73"/>
  <c r="AN86" i="73"/>
  <c r="BC86" i="73"/>
  <c r="AN69" i="73"/>
  <c r="BC69" i="73"/>
  <c r="BE50" i="73"/>
  <c r="P71" i="52" s="1"/>
  <c r="AN90" i="73"/>
  <c r="BC90" i="73"/>
  <c r="BD127" i="73"/>
  <c r="J69" i="52" s="1"/>
  <c r="BC43" i="73"/>
  <c r="AN43" i="73"/>
  <c r="AP88" i="73"/>
  <c r="BD88" i="73"/>
  <c r="AN73" i="73"/>
  <c r="BC73" i="73"/>
  <c r="AN78" i="73"/>
  <c r="BC78" i="73"/>
  <c r="AR56" i="73"/>
  <c r="BE56" i="73"/>
  <c r="BC97" i="73"/>
  <c r="AN97" i="73"/>
  <c r="AR74" i="73"/>
  <c r="BE74" i="73"/>
  <c r="AR48" i="73"/>
  <c r="BE48" i="73"/>
  <c r="AN111" i="73"/>
  <c r="AN29" i="73"/>
  <c r="BC29" i="73"/>
  <c r="BC59" i="73"/>
  <c r="AN59" i="73"/>
  <c r="AH16" i="73"/>
  <c r="AZ16" i="73"/>
  <c r="AH90" i="73"/>
  <c r="AZ90" i="73"/>
  <c r="AF12" i="73"/>
  <c r="AY12" i="73"/>
  <c r="AN17" i="73"/>
  <c r="BC17" i="73"/>
  <c r="AR88" i="73"/>
  <c r="BE88" i="73"/>
  <c r="AR96" i="73"/>
  <c r="AR43" i="73"/>
  <c r="BE43" i="73"/>
  <c r="AR25" i="73"/>
  <c r="BE25" i="73"/>
  <c r="AJ15" i="73"/>
  <c r="BA15" i="73"/>
  <c r="AR112" i="73"/>
  <c r="AN65" i="73"/>
  <c r="BC65" i="73"/>
  <c r="AF24" i="73"/>
  <c r="AY24" i="73"/>
  <c r="AF20" i="73"/>
  <c r="AY20" i="73"/>
  <c r="AR38" i="73"/>
  <c r="BE38" i="73"/>
  <c r="AR26" i="73"/>
  <c r="BE26" i="73"/>
  <c r="AN89" i="73"/>
  <c r="BC89" i="73"/>
  <c r="BE100" i="73"/>
  <c r="AR100" i="73"/>
  <c r="AR79" i="73"/>
  <c r="BE79" i="73"/>
  <c r="AJ61" i="73"/>
  <c r="BA61" i="73"/>
  <c r="AR134" i="73"/>
  <c r="BE134" i="73"/>
  <c r="M71" i="52" s="1"/>
  <c r="AJ63" i="73"/>
  <c r="BA63" i="73"/>
  <c r="AR126" i="73"/>
  <c r="BE126" i="73"/>
  <c r="AN16" i="73"/>
  <c r="BC16" i="73"/>
  <c r="AR133" i="73"/>
  <c r="BE133" i="73"/>
  <c r="AP92" i="73"/>
  <c r="BD92" i="73"/>
  <c r="AP56" i="73"/>
  <c r="BD56" i="73"/>
  <c r="AR117" i="73"/>
  <c r="AN67" i="73"/>
  <c r="BC67" i="73"/>
  <c r="BC125" i="73"/>
  <c r="AN125" i="73"/>
  <c r="AR83" i="73"/>
  <c r="BE83" i="73"/>
  <c r="AR19" i="73"/>
  <c r="BE19" i="73"/>
  <c r="AR21" i="73"/>
  <c r="BE21" i="73"/>
  <c r="AN108" i="73"/>
  <c r="AN51" i="73"/>
  <c r="BC51" i="73"/>
  <c r="AP17" i="73"/>
  <c r="BD17" i="73"/>
  <c r="AN88" i="73"/>
  <c r="BC88" i="73"/>
  <c r="AN53" i="73"/>
  <c r="BC53" i="73"/>
  <c r="AN139" i="73"/>
  <c r="BC139" i="73"/>
  <c r="S70" i="52" s="1"/>
  <c r="AR69" i="73"/>
  <c r="BE69" i="73"/>
  <c r="AR90" i="73"/>
  <c r="BE90" i="73"/>
  <c r="AR39" i="73"/>
  <c r="BE39" i="73"/>
  <c r="AN87" i="73"/>
  <c r="BC87" i="73"/>
  <c r="AN94" i="73"/>
  <c r="BC94" i="73"/>
  <c r="AN27" i="73"/>
  <c r="BC27" i="73"/>
  <c r="AP99" i="73"/>
  <c r="BD99" i="73"/>
  <c r="AP93" i="73"/>
  <c r="BD93" i="73"/>
  <c r="AN74" i="73"/>
  <c r="BC74" i="73"/>
  <c r="AP59" i="73"/>
  <c r="BD59" i="73"/>
  <c r="AJ24" i="73"/>
  <c r="BA24" i="73"/>
  <c r="AR46" i="73"/>
  <c r="BE46" i="73"/>
  <c r="AN134" i="73"/>
  <c r="BC134" i="73"/>
  <c r="M70" i="52" s="1"/>
  <c r="AR120" i="73"/>
  <c r="BE120" i="73"/>
  <c r="AR139" i="73"/>
  <c r="BE139" i="73"/>
  <c r="S71" i="52" s="1"/>
  <c r="AP119" i="73"/>
  <c r="BD119" i="73"/>
  <c r="AN15" i="73"/>
  <c r="BC15" i="73"/>
  <c r="AN112" i="73"/>
  <c r="AR20" i="73"/>
  <c r="BE20" i="73"/>
  <c r="AR60" i="73"/>
  <c r="BE60" i="73"/>
  <c r="AP89" i="73"/>
  <c r="BD89" i="73"/>
  <c r="AN79" i="73"/>
  <c r="BC79" i="73"/>
  <c r="AR61" i="73"/>
  <c r="BE61" i="73"/>
  <c r="AN117" i="73"/>
  <c r="AR104" i="73"/>
  <c r="AN19" i="73"/>
  <c r="BC19" i="73"/>
  <c r="AR75" i="73"/>
  <c r="BE75" i="73"/>
  <c r="AF21" i="73"/>
  <c r="AY21" i="73"/>
  <c r="AR110" i="73"/>
  <c r="AN114" i="73"/>
  <c r="AR107" i="73"/>
  <c r="BD50" i="73"/>
  <c r="P69" i="52" s="1"/>
  <c r="AN39" i="73"/>
  <c r="BC39" i="73"/>
  <c r="BE84" i="73"/>
  <c r="AR82" i="73"/>
  <c r="BE82" i="73"/>
  <c r="AR95" i="73"/>
  <c r="BE95" i="73"/>
  <c r="AP94" i="73"/>
  <c r="BD94" i="73"/>
  <c r="AP69" i="73"/>
  <c r="BD69" i="73"/>
  <c r="AR76" i="73"/>
  <c r="BE76" i="73"/>
  <c r="AP38" i="73"/>
  <c r="BD38" i="73"/>
  <c r="AR29" i="73"/>
  <c r="BE29" i="73"/>
  <c r="AN20" i="73"/>
  <c r="BC20" i="73"/>
  <c r="AR89" i="73"/>
  <c r="BE89" i="73"/>
  <c r="AP62" i="73"/>
  <c r="BD62" i="73"/>
  <c r="BE66" i="73"/>
  <c r="AR66" i="73"/>
  <c r="AR125" i="73"/>
  <c r="BE125" i="73"/>
  <c r="AP63" i="73"/>
  <c r="BD63" i="73"/>
  <c r="AH21" i="73"/>
  <c r="AZ21" i="73"/>
  <c r="AR42" i="73"/>
  <c r="BE42" i="73"/>
  <c r="AG8" i="73"/>
  <c r="AO8" i="73"/>
  <c r="AI8" i="73"/>
  <c r="AQ8" i="73"/>
  <c r="AN119" i="73"/>
  <c r="BC119" i="73"/>
  <c r="AP140" i="73"/>
  <c r="BD140" i="73"/>
  <c r="AN28" i="73"/>
  <c r="BC28" i="73"/>
  <c r="AP124" i="73"/>
  <c r="BD124" i="73"/>
  <c r="AN132" i="73"/>
  <c r="BC132" i="73"/>
  <c r="BC62" i="73"/>
  <c r="AN62" i="73"/>
  <c r="AN123" i="73"/>
  <c r="BC123" i="73"/>
  <c r="AP47" i="73"/>
  <c r="BD47" i="73"/>
  <c r="AR49" i="73"/>
  <c r="BE49" i="73"/>
  <c r="BC133" i="73"/>
  <c r="AN133" i="73"/>
  <c r="AR113" i="73"/>
  <c r="BD84" i="73"/>
  <c r="AF104" i="73"/>
  <c r="AN75" i="73"/>
  <c r="BC75" i="73"/>
  <c r="AP65" i="73"/>
  <c r="BD65" i="73"/>
  <c r="AR92" i="73"/>
  <c r="BE92" i="73"/>
  <c r="AR53" i="73"/>
  <c r="BE53" i="73"/>
  <c r="AR118" i="73"/>
  <c r="AR73" i="73"/>
  <c r="BE73" i="73"/>
  <c r="AR78" i="73"/>
  <c r="BE78" i="73"/>
  <c r="AN56" i="73"/>
  <c r="BC56" i="73"/>
  <c r="AP29" i="73"/>
  <c r="BD29" i="73"/>
  <c r="AR14" i="73"/>
  <c r="BE14" i="73"/>
  <c r="AP82" i="73"/>
  <c r="BD82" i="73"/>
  <c r="AR54" i="73"/>
  <c r="BE54" i="73"/>
  <c r="AR27" i="73"/>
  <c r="BE27" i="73"/>
  <c r="AG10" i="73"/>
  <c r="AH10" i="73" s="1"/>
  <c r="AO10" i="73"/>
  <c r="AP10" i="73" s="1"/>
  <c r="AP66" i="73"/>
  <c r="BD66" i="73"/>
  <c r="AR58" i="73"/>
  <c r="BE58" i="73"/>
  <c r="AR45" i="73"/>
  <c r="BE45" i="73"/>
  <c r="AR62" i="73"/>
  <c r="BE62" i="73"/>
  <c r="AP86" i="73"/>
  <c r="BD86" i="73"/>
  <c r="AP90" i="73"/>
  <c r="BD90" i="73"/>
  <c r="AP74" i="73"/>
  <c r="BD74" i="73"/>
  <c r="AJ26" i="73"/>
  <c r="BA26" i="73"/>
  <c r="AR44" i="73"/>
  <c r="BE44" i="73"/>
  <c r="AN57" i="73"/>
  <c r="BC57" i="73"/>
  <c r="X12" i="73"/>
  <c r="AU12" i="73"/>
  <c r="AM22" i="73"/>
  <c r="AP45" i="73"/>
  <c r="BD45" i="73"/>
  <c r="AN104" i="73"/>
  <c r="AR41" i="73"/>
  <c r="BE41" i="73"/>
  <c r="BD70" i="73"/>
  <c r="AP70" i="73"/>
  <c r="AP27" i="73"/>
  <c r="BD27" i="73"/>
  <c r="AN110" i="73"/>
  <c r="AR114" i="73"/>
  <c r="BD40" i="73"/>
  <c r="AP40" i="73"/>
  <c r="AN118" i="73"/>
  <c r="AR87" i="73"/>
  <c r="BE87" i="73"/>
  <c r="AR94" i="73"/>
  <c r="BE94" i="73"/>
  <c r="AP48" i="73"/>
  <c r="BD48" i="73"/>
  <c r="AN82" i="73"/>
  <c r="BC82" i="73"/>
  <c r="AP58" i="73"/>
  <c r="BD58" i="73"/>
  <c r="AR31" i="73"/>
  <c r="BE31" i="73"/>
  <c r="AP20" i="73"/>
  <c r="BD20" i="73"/>
  <c r="AP39" i="73"/>
  <c r="BD39" i="73"/>
  <c r="AN99" i="73"/>
  <c r="BC99" i="73"/>
  <c r="AN124" i="73"/>
  <c r="BC124" i="73"/>
  <c r="AP14" i="73"/>
  <c r="BD14" i="73"/>
  <c r="AN85" i="73"/>
  <c r="BC85" i="73"/>
  <c r="AN140" i="73"/>
  <c r="BC140" i="73"/>
  <c r="AR65" i="73"/>
  <c r="BE65" i="73"/>
  <c r="AR136" i="73"/>
  <c r="BE136" i="73"/>
  <c r="AP123" i="73"/>
  <c r="BD123" i="73"/>
  <c r="AR108" i="73"/>
  <c r="AN64" i="73"/>
  <c r="BC64" i="73"/>
  <c r="AR97" i="73"/>
  <c r="BE97" i="73"/>
  <c r="AN48" i="73"/>
  <c r="BC48" i="73"/>
  <c r="AR111" i="73"/>
  <c r="AP28" i="73"/>
  <c r="BD28" i="73"/>
  <c r="AP25" i="73"/>
  <c r="BD25" i="73"/>
  <c r="BD49" i="73"/>
  <c r="AP49" i="73"/>
  <c r="AR70" i="73"/>
  <c r="BE70" i="73"/>
  <c r="AR40" i="73"/>
  <c r="BE40" i="73"/>
  <c r="AR24" i="73"/>
  <c r="BE24" i="73"/>
  <c r="AP111" i="73"/>
  <c r="AN58" i="73"/>
  <c r="BC58" i="73"/>
  <c r="AN45" i="73"/>
  <c r="BC45" i="73"/>
  <c r="AP41" i="73"/>
  <c r="BD41" i="73"/>
  <c r="AR132" i="73"/>
  <c r="BE132" i="73"/>
  <c r="AN60" i="73"/>
  <c r="BC60" i="73"/>
  <c r="AN100" i="73"/>
  <c r="BC100" i="73"/>
  <c r="AR57" i="73"/>
  <c r="BE57" i="73"/>
  <c r="AP76" i="73"/>
  <c r="BD76" i="73"/>
  <c r="BD125" i="73"/>
  <c r="AP125" i="73"/>
  <c r="AN63" i="73"/>
  <c r="BC63" i="73"/>
  <c r="AP51" i="73"/>
  <c r="BD51" i="73"/>
  <c r="AR16" i="73"/>
  <c r="BE16" i="73"/>
  <c r="AN12" i="73"/>
  <c r="BC12" i="73"/>
  <c r="AQ22" i="73"/>
  <c r="AN66" i="73"/>
  <c r="BC66" i="73"/>
  <c r="AN54" i="73"/>
  <c r="BC54" i="73"/>
  <c r="BE98" i="73"/>
  <c r="V71" i="52" s="1"/>
  <c r="AN93" i="73"/>
  <c r="BC93" i="73"/>
  <c r="BD7" i="73"/>
  <c r="AP126" i="73"/>
  <c r="BD126" i="73"/>
  <c r="AN96" i="73"/>
  <c r="BC84" i="73"/>
  <c r="AR103" i="73"/>
  <c r="BC55" i="73"/>
  <c r="AN55" i="73"/>
  <c r="AQ10" i="73"/>
  <c r="AR10" i="73" s="1"/>
  <c r="AR124" i="73"/>
  <c r="BE124" i="73"/>
  <c r="AN91" i="73"/>
  <c r="BC91" i="73"/>
  <c r="AR85" i="73"/>
  <c r="BE85" i="73"/>
  <c r="AP44" i="73"/>
  <c r="BD44" i="73"/>
  <c r="AP103" i="73"/>
  <c r="AR59" i="73"/>
  <c r="BE59" i="73"/>
  <c r="D130" i="73"/>
  <c r="L130" i="97" s="1"/>
  <c r="K127" i="125"/>
  <c r="J127" i="125"/>
  <c r="L127" i="125" s="1"/>
  <c r="D52" i="73"/>
  <c r="L52" i="97" s="1"/>
  <c r="AC31" i="104"/>
  <c r="K27" i="104" s="1"/>
  <c r="Q32" i="82"/>
  <c r="Q12" i="82"/>
  <c r="F10" i="125" s="1"/>
  <c r="E10" i="125"/>
  <c r="G10" i="125" s="1"/>
  <c r="L96" i="97"/>
  <c r="D137" i="73"/>
  <c r="L137" i="97" s="1"/>
  <c r="D47" i="73"/>
  <c r="D99" i="73"/>
  <c r="D42" i="73"/>
  <c r="AF37" i="52"/>
  <c r="M29" i="52"/>
  <c r="AH37" i="52"/>
  <c r="AI37" i="52"/>
  <c r="AC34" i="104"/>
  <c r="M44" i="104" s="1"/>
  <c r="AC37" i="52"/>
  <c r="AC25" i="104"/>
  <c r="E27" i="104" s="1"/>
  <c r="Z37" i="52"/>
  <c r="P104" i="82"/>
  <c r="S56" i="52"/>
  <c r="P133" i="82"/>
  <c r="AC28" i="104"/>
  <c r="G44" i="104" s="1"/>
  <c r="P10" i="82"/>
  <c r="F137" i="24"/>
  <c r="P126" i="82"/>
  <c r="AC33" i="104"/>
  <c r="M27" i="104" s="1"/>
  <c r="P138" i="82"/>
  <c r="P139" i="82"/>
  <c r="D128" i="82"/>
  <c r="S129" i="73" s="1"/>
  <c r="P52" i="82"/>
  <c r="P72" i="82"/>
  <c r="E127" i="82"/>
  <c r="T128" i="73" s="1"/>
  <c r="U128" i="73" s="1"/>
  <c r="F144" i="24"/>
  <c r="AA37" i="52"/>
  <c r="AG37" i="52"/>
  <c r="E100" i="82"/>
  <c r="P140" i="82"/>
  <c r="P107" i="82"/>
  <c r="AC32" i="104"/>
  <c r="K44" i="104" s="1"/>
  <c r="P95" i="82"/>
  <c r="P102" i="82"/>
  <c r="P9" i="82"/>
  <c r="AC29" i="104"/>
  <c r="I27" i="104" s="1"/>
  <c r="E128" i="82"/>
  <c r="T129" i="73" s="1"/>
  <c r="BK134" i="120"/>
  <c r="BN134" i="120" s="1"/>
  <c r="BK141" i="120"/>
  <c r="BN141" i="120" s="1"/>
  <c r="BJ133" i="120"/>
  <c r="BK133" i="120"/>
  <c r="BN133" i="120" s="1"/>
  <c r="M90" i="52"/>
  <c r="M27" i="52" s="1"/>
  <c r="AE57" i="52"/>
  <c r="AI57" i="52"/>
  <c r="AB34" i="104"/>
  <c r="M42" i="104" s="1"/>
  <c r="P50" i="82"/>
  <c r="P96" i="82"/>
  <c r="P68" i="82"/>
  <c r="P71" i="82"/>
  <c r="P40" i="82"/>
  <c r="P120" i="82"/>
  <c r="P39" i="82"/>
  <c r="P20" i="82"/>
  <c r="P47" i="82"/>
  <c r="P15" i="82"/>
  <c r="P21" i="82"/>
  <c r="E19" i="125" s="1"/>
  <c r="G19" i="125" s="1"/>
  <c r="P77" i="82"/>
  <c r="P58" i="82"/>
  <c r="P16" i="82"/>
  <c r="P23" i="82"/>
  <c r="E22" i="125" s="1"/>
  <c r="G22" i="125" s="1"/>
  <c r="P86" i="82"/>
  <c r="P90" i="82"/>
  <c r="P65" i="82"/>
  <c r="P132" i="82"/>
  <c r="P27" i="82"/>
  <c r="P22" i="82"/>
  <c r="I23" i="73" s="1"/>
  <c r="P137" i="82"/>
  <c r="P134" i="82"/>
  <c r="P80" i="82"/>
  <c r="P35" i="82"/>
  <c r="P79" i="82"/>
  <c r="P106" i="82"/>
  <c r="P97" i="82"/>
  <c r="P74" i="82"/>
  <c r="P13" i="82"/>
  <c r="P38" i="82"/>
  <c r="P41" i="82"/>
  <c r="P11" i="82"/>
  <c r="P33" i="82"/>
  <c r="P84" i="82"/>
  <c r="P73" i="82"/>
  <c r="P31" i="82"/>
  <c r="P88" i="82"/>
  <c r="P122" i="82"/>
  <c r="P119" i="82"/>
  <c r="I120" i="73" s="1"/>
  <c r="P26" i="82"/>
  <c r="P55" i="82"/>
  <c r="P17" i="82"/>
  <c r="P118" i="82"/>
  <c r="I119" i="73" s="1"/>
  <c r="P135" i="82"/>
  <c r="P51" i="82"/>
  <c r="P89" i="82"/>
  <c r="P91" i="82"/>
  <c r="P66" i="82"/>
  <c r="P76" i="82"/>
  <c r="P87" i="82"/>
  <c r="P63" i="82"/>
  <c r="P64" i="82"/>
  <c r="P42" i="82"/>
  <c r="P105" i="82"/>
  <c r="P103" i="82"/>
  <c r="P14" i="82"/>
  <c r="P121" i="82"/>
  <c r="P18" i="82"/>
  <c r="P53" i="82"/>
  <c r="P67" i="82"/>
  <c r="P37" i="82"/>
  <c r="P56" i="82"/>
  <c r="P125" i="82"/>
  <c r="P85" i="82"/>
  <c r="P24" i="82"/>
  <c r="P29" i="82"/>
  <c r="P30" i="82"/>
  <c r="P75" i="82"/>
  <c r="P93" i="82"/>
  <c r="P25" i="82"/>
  <c r="P62" i="82"/>
  <c r="P98" i="82"/>
  <c r="P109" i="82"/>
  <c r="P19" i="82"/>
  <c r="P46" i="82"/>
  <c r="P123" i="82"/>
  <c r="P94" i="82"/>
  <c r="P61" i="82"/>
  <c r="P59" i="82"/>
  <c r="P82" i="82"/>
  <c r="P44" i="82"/>
  <c r="P45" i="82"/>
  <c r="P43" i="82"/>
  <c r="P48" i="82"/>
  <c r="P99" i="82"/>
  <c r="P72" i="52"/>
  <c r="P54" i="82"/>
  <c r="P81" i="82"/>
  <c r="P49" i="82"/>
  <c r="P113" i="82"/>
  <c r="P70" i="82"/>
  <c r="P46" i="52"/>
  <c r="Q46" i="52" s="1"/>
  <c r="P69" i="82"/>
  <c r="P112" i="82"/>
  <c r="P57" i="82"/>
  <c r="P124" i="82"/>
  <c r="P36" i="82"/>
  <c r="P78" i="82"/>
  <c r="P34" i="82"/>
  <c r="P131" i="82"/>
  <c r="P92" i="82"/>
  <c r="P60" i="82"/>
  <c r="P28" i="82"/>
  <c r="P111" i="82"/>
  <c r="P110" i="82"/>
  <c r="V83" i="52"/>
  <c r="V86" i="52" s="1"/>
  <c r="AI86" i="52"/>
  <c r="M72" i="52"/>
  <c r="M69" i="52"/>
  <c r="V69" i="52"/>
  <c r="V72" i="52"/>
  <c r="Y43" i="52"/>
  <c r="D30" i="73"/>
  <c r="P136" i="82"/>
  <c r="P129" i="82"/>
  <c r="D120" i="73"/>
  <c r="L120" i="97" s="1"/>
  <c r="D49" i="73"/>
  <c r="D40" i="73"/>
  <c r="L40" i="97" s="1"/>
  <c r="D94" i="73"/>
  <c r="L94" i="97" s="1"/>
  <c r="D73" i="73"/>
  <c r="D66" i="73"/>
  <c r="D46" i="73"/>
  <c r="D45" i="73"/>
  <c r="L45" i="97" s="1"/>
  <c r="D76" i="73"/>
  <c r="D55" i="73"/>
  <c r="D62" i="73"/>
  <c r="D89" i="73"/>
  <c r="D88" i="73"/>
  <c r="D84" i="73"/>
  <c r="D78" i="73"/>
  <c r="D54" i="73"/>
  <c r="D125" i="73"/>
  <c r="L125" i="97" s="1"/>
  <c r="D64" i="73"/>
  <c r="D91" i="73"/>
  <c r="D83" i="73"/>
  <c r="D15" i="73"/>
  <c r="D79" i="73"/>
  <c r="D43" i="73"/>
  <c r="D87" i="73"/>
  <c r="D74" i="73"/>
  <c r="D44" i="73"/>
  <c r="D58" i="73"/>
  <c r="D20" i="73"/>
  <c r="D85" i="73"/>
  <c r="D95" i="73"/>
  <c r="D51" i="73"/>
  <c r="D75" i="73"/>
  <c r="D124" i="73"/>
  <c r="L124" i="97" s="1"/>
  <c r="D61" i="73"/>
  <c r="D16" i="73"/>
  <c r="D48" i="73"/>
  <c r="D60" i="73"/>
  <c r="D140" i="73"/>
  <c r="L140" i="97" s="1"/>
  <c r="D86" i="73"/>
  <c r="L86" i="97" s="1"/>
  <c r="D50" i="73"/>
  <c r="D132" i="73"/>
  <c r="L132" i="97" s="1"/>
  <c r="D21" i="73"/>
  <c r="L21" i="97" s="1"/>
  <c r="D56" i="73"/>
  <c r="D67" i="73"/>
  <c r="D27" i="73"/>
  <c r="L26" i="97" s="1"/>
  <c r="D119" i="73"/>
  <c r="L119" i="97" s="1"/>
  <c r="D82" i="73"/>
  <c r="D90" i="73"/>
  <c r="D127" i="73"/>
  <c r="L127" i="97" s="1"/>
  <c r="D24" i="73"/>
  <c r="D98" i="73"/>
  <c r="L98" i="97" s="1"/>
  <c r="D38" i="73"/>
  <c r="L38" i="97" s="1"/>
  <c r="D25" i="73"/>
  <c r="D17" i="73"/>
  <c r="D69" i="73"/>
  <c r="D59" i="73"/>
  <c r="D14" i="73"/>
  <c r="L14" i="97" s="1"/>
  <c r="D123" i="73"/>
  <c r="L123" i="97" s="1"/>
  <c r="D41" i="73"/>
  <c r="D92" i="73"/>
  <c r="D97" i="73"/>
  <c r="L97" i="97" s="1"/>
  <c r="D68" i="73"/>
  <c r="L68" i="97" s="1"/>
  <c r="D53" i="73"/>
  <c r="D134" i="73"/>
  <c r="L134" i="97" s="1"/>
  <c r="D63" i="73"/>
  <c r="D70" i="73"/>
  <c r="D39" i="73"/>
  <c r="L39" i="97" s="1"/>
  <c r="D28" i="73"/>
  <c r="D65" i="73"/>
  <c r="D29" i="73"/>
  <c r="D12" i="73"/>
  <c r="D93" i="73"/>
  <c r="D100" i="73"/>
  <c r="D26" i="73"/>
  <c r="AA57" i="52"/>
  <c r="P8" i="82"/>
  <c r="I12" i="73"/>
  <c r="C12" i="73" s="1"/>
  <c r="V54" i="52"/>
  <c r="V57" i="52" s="1"/>
  <c r="I99" i="98"/>
  <c r="P97" i="125" s="1"/>
  <c r="E100" i="86"/>
  <c r="AB57" i="52"/>
  <c r="P56" i="52"/>
  <c r="P57" i="52" s="1"/>
  <c r="M55" i="52"/>
  <c r="M57" i="52" s="1"/>
  <c r="C100" i="82"/>
  <c r="R101" i="73" s="1"/>
  <c r="V46" i="52"/>
  <c r="W46" i="52" s="1"/>
  <c r="P25" i="104"/>
  <c r="E139" i="86"/>
  <c r="E124" i="86"/>
  <c r="C14" i="86"/>
  <c r="L11" i="97"/>
  <c r="L36" i="97"/>
  <c r="L37" i="97"/>
  <c r="L81" i="97"/>
  <c r="L71" i="97"/>
  <c r="L101" i="97"/>
  <c r="L72" i="97"/>
  <c r="K29" i="104"/>
  <c r="I35" i="104"/>
  <c r="I36" i="104" s="1"/>
  <c r="I31" i="104"/>
  <c r="I33" i="104"/>
  <c r="E46" i="104"/>
  <c r="I32" i="104"/>
  <c r="L12" i="109"/>
  <c r="K10" i="109" s="1"/>
  <c r="J29" i="52"/>
  <c r="E9" i="109"/>
  <c r="D7" i="109" s="1"/>
  <c r="V97" i="52"/>
  <c r="W29" i="52" s="1"/>
  <c r="Q29" i="52"/>
  <c r="S46" i="52"/>
  <c r="S90" i="52"/>
  <c r="S27" i="52" s="1"/>
  <c r="Q86" i="52"/>
  <c r="S29" i="52"/>
  <c r="J90" i="52"/>
  <c r="S18" i="109"/>
  <c r="R16" i="109" s="1"/>
  <c r="K86" i="52"/>
  <c r="K55" i="104"/>
  <c r="K54" i="104"/>
  <c r="K46" i="104"/>
  <c r="K35" i="104"/>
  <c r="I123" i="98"/>
  <c r="P121" i="125" s="1"/>
  <c r="AF96" i="73" l="1"/>
  <c r="AY96" i="73"/>
  <c r="AJ96" i="73"/>
  <c r="BA96" i="73"/>
  <c r="J57" i="52"/>
  <c r="E17" i="109" s="1"/>
  <c r="D15" i="109" s="1"/>
  <c r="S57" i="52"/>
  <c r="I54" i="104"/>
  <c r="AT116" i="73"/>
  <c r="N72" i="52" s="1"/>
  <c r="G31" i="104"/>
  <c r="G32" i="104"/>
  <c r="E31" i="104"/>
  <c r="E32" i="104"/>
  <c r="AN116" i="73"/>
  <c r="U115" i="73"/>
  <c r="AA115" i="73" s="1"/>
  <c r="AB115" i="73" s="1"/>
  <c r="U116" i="73"/>
  <c r="Y116" i="73" s="1"/>
  <c r="AP116" i="73"/>
  <c r="N69" i="52" s="1"/>
  <c r="AI116" i="73"/>
  <c r="AJ116" i="73" s="1"/>
  <c r="AR116" i="73"/>
  <c r="AE116" i="73"/>
  <c r="AF116" i="73" s="1"/>
  <c r="AK116" i="73"/>
  <c r="AL116" i="73" s="1"/>
  <c r="AT115" i="73"/>
  <c r="AP115" i="73"/>
  <c r="AE115" i="73"/>
  <c r="AF115" i="73" s="1"/>
  <c r="AH42" i="73"/>
  <c r="AL49" i="73"/>
  <c r="AI127" i="73"/>
  <c r="AJ127" i="73" s="1"/>
  <c r="AP127" i="73"/>
  <c r="AK127" i="73"/>
  <c r="AL127" i="73" s="1"/>
  <c r="AR127" i="73"/>
  <c r="AT127" i="73"/>
  <c r="AG127" i="73"/>
  <c r="AZ127" i="73" s="1"/>
  <c r="J65" i="52" s="1"/>
  <c r="AR109" i="73"/>
  <c r="AN109" i="73"/>
  <c r="AT109" i="73"/>
  <c r="AP109" i="73"/>
  <c r="AH28" i="73"/>
  <c r="AE127" i="73"/>
  <c r="AF127" i="73" s="1"/>
  <c r="AF109" i="73"/>
  <c r="AI115" i="73"/>
  <c r="AJ115" i="73" s="1"/>
  <c r="AK115" i="73"/>
  <c r="AL115" i="73" s="1"/>
  <c r="AJ109" i="73"/>
  <c r="AN127" i="73"/>
  <c r="AC38" i="73"/>
  <c r="AD38" i="73" s="1"/>
  <c r="E38" i="104"/>
  <c r="AF64" i="73"/>
  <c r="AJ82" i="73"/>
  <c r="BA120" i="73"/>
  <c r="BA91" i="73"/>
  <c r="W122" i="73"/>
  <c r="X122" i="73" s="1"/>
  <c r="P53" i="104"/>
  <c r="I50" i="104"/>
  <c r="K36" i="104"/>
  <c r="K37" i="104" s="1"/>
  <c r="M47" i="104"/>
  <c r="M30" i="104"/>
  <c r="G49" i="104"/>
  <c r="K47" i="104"/>
  <c r="K48" i="104" s="1"/>
  <c r="E47" i="104"/>
  <c r="E49" i="104" s="1"/>
  <c r="I49" i="104"/>
  <c r="E55" i="104"/>
  <c r="P55" i="104" s="1"/>
  <c r="G36" i="104"/>
  <c r="G38" i="104" s="1"/>
  <c r="G50" i="104"/>
  <c r="M54" i="104"/>
  <c r="K30" i="104"/>
  <c r="K32" i="104" s="1"/>
  <c r="M37" i="104"/>
  <c r="AF57" i="73"/>
  <c r="Y8" i="73"/>
  <c r="Z8" i="73" s="1"/>
  <c r="AF45" i="73"/>
  <c r="M37" i="52"/>
  <c r="M39" i="52" s="1"/>
  <c r="M51" i="52" s="1"/>
  <c r="N23" i="52" s="1"/>
  <c r="AA123" i="73"/>
  <c r="AB123" i="73" s="1"/>
  <c r="W123" i="73"/>
  <c r="X123" i="73" s="1"/>
  <c r="W89" i="73"/>
  <c r="X89" i="73" s="1"/>
  <c r="Y100" i="73"/>
  <c r="Z100" i="73" s="1"/>
  <c r="AC100" i="73"/>
  <c r="AX100" i="73" s="1"/>
  <c r="AU100" i="73"/>
  <c r="AY61" i="73"/>
  <c r="AF38" i="73"/>
  <c r="AA100" i="73"/>
  <c r="AB100" i="73" s="1"/>
  <c r="P42" i="104"/>
  <c r="AA75" i="73"/>
  <c r="AB75" i="73" s="1"/>
  <c r="AY124" i="73"/>
  <c r="W75" i="73"/>
  <c r="AU75" i="73" s="1"/>
  <c r="P37" i="52"/>
  <c r="P39" i="52" s="1"/>
  <c r="P51" i="52" s="1"/>
  <c r="Q23" i="52" s="1"/>
  <c r="AH56" i="73"/>
  <c r="AY49" i="73"/>
  <c r="AZ63" i="73"/>
  <c r="AC75" i="73"/>
  <c r="AD75" i="73" s="1"/>
  <c r="BA51" i="73"/>
  <c r="BA68" i="73"/>
  <c r="AJ41" i="73"/>
  <c r="AF139" i="73"/>
  <c r="AA28" i="73"/>
  <c r="AB28" i="73" s="1"/>
  <c r="AJ88" i="73"/>
  <c r="AY87" i="73"/>
  <c r="AJ95" i="73"/>
  <c r="AN98" i="73"/>
  <c r="U98" i="73"/>
  <c r="AC98" i="73" s="1"/>
  <c r="AV75" i="73"/>
  <c r="AY100" i="73"/>
  <c r="Y122" i="73"/>
  <c r="Z122" i="73" s="1"/>
  <c r="AY60" i="73"/>
  <c r="AZ75" i="73"/>
  <c r="AA122" i="73"/>
  <c r="AB122" i="73" s="1"/>
  <c r="AF92" i="73"/>
  <c r="AF125" i="73"/>
  <c r="AH82" i="73"/>
  <c r="BB47" i="73"/>
  <c r="AF98" i="73"/>
  <c r="AP98" i="73"/>
  <c r="AJ98" i="73"/>
  <c r="AT98" i="73"/>
  <c r="AF58" i="73"/>
  <c r="Y63" i="73"/>
  <c r="AV63" i="73" s="1"/>
  <c r="W83" i="73"/>
  <c r="AU83" i="73" s="1"/>
  <c r="BA46" i="73"/>
  <c r="AJ89" i="73"/>
  <c r="BA57" i="73"/>
  <c r="AC138" i="73"/>
  <c r="AD138" i="73" s="1"/>
  <c r="AJ87" i="73"/>
  <c r="AH14" i="73"/>
  <c r="AH51" i="73"/>
  <c r="AD28" i="73"/>
  <c r="AA23" i="73"/>
  <c r="AB23" i="73" s="1"/>
  <c r="AY66" i="73"/>
  <c r="AH47" i="73"/>
  <c r="AH93" i="73"/>
  <c r="AF73" i="73"/>
  <c r="AH92" i="73"/>
  <c r="AJ139" i="73"/>
  <c r="AY51" i="73"/>
  <c r="AH86" i="73"/>
  <c r="AF95" i="73"/>
  <c r="W38" i="73"/>
  <c r="AN50" i="73"/>
  <c r="AJ92" i="73"/>
  <c r="AA121" i="73"/>
  <c r="AB121" i="73" s="1"/>
  <c r="Y121" i="73"/>
  <c r="Z121" i="73" s="1"/>
  <c r="Y38" i="73"/>
  <c r="Z38" i="73" s="1"/>
  <c r="AZ120" i="73"/>
  <c r="AF88" i="73"/>
  <c r="AH68" i="73"/>
  <c r="AC121" i="73"/>
  <c r="AD121" i="73" s="1"/>
  <c r="AY43" i="73"/>
  <c r="AY82" i="73"/>
  <c r="AJ85" i="73"/>
  <c r="AY94" i="73"/>
  <c r="AZ40" i="73"/>
  <c r="AF78" i="73"/>
  <c r="AJ65" i="73"/>
  <c r="AZ89" i="73"/>
  <c r="AZ70" i="73"/>
  <c r="Y23" i="73"/>
  <c r="Z23" i="73" s="1"/>
  <c r="AH39" i="73"/>
  <c r="AC23" i="73"/>
  <c r="AD23" i="73" s="1"/>
  <c r="AF40" i="73"/>
  <c r="AE22" i="73"/>
  <c r="AF22" i="73" s="1"/>
  <c r="AZ25" i="73"/>
  <c r="AJ40" i="73"/>
  <c r="AY123" i="73"/>
  <c r="AA10" i="73"/>
  <c r="AB10" i="73" s="1"/>
  <c r="AH31" i="73"/>
  <c r="AJ133" i="73"/>
  <c r="AY44" i="73"/>
  <c r="AJ23" i="73"/>
  <c r="AI22" i="73"/>
  <c r="AJ22" i="73" s="1"/>
  <c r="BA78" i="73"/>
  <c r="AH27" i="73"/>
  <c r="W112" i="73"/>
  <c r="X112" i="73" s="1"/>
  <c r="AF90" i="73"/>
  <c r="BA56" i="73"/>
  <c r="AJ59" i="73"/>
  <c r="AY98" i="73"/>
  <c r="V66" i="52" s="1"/>
  <c r="AZ44" i="73"/>
  <c r="BA73" i="73"/>
  <c r="AJ38" i="73"/>
  <c r="AY17" i="73"/>
  <c r="AH76" i="73"/>
  <c r="AH41" i="73"/>
  <c r="AJ93" i="73"/>
  <c r="AY76" i="73"/>
  <c r="AZ126" i="73"/>
  <c r="AF99" i="73"/>
  <c r="X44" i="73"/>
  <c r="BA53" i="73"/>
  <c r="AZ123" i="73"/>
  <c r="AZ60" i="73"/>
  <c r="AF48" i="73"/>
  <c r="AY29" i="73"/>
  <c r="BA100" i="73"/>
  <c r="BA98" i="73"/>
  <c r="V67" i="52" s="1"/>
  <c r="AA89" i="73"/>
  <c r="AT50" i="73"/>
  <c r="BA67" i="73"/>
  <c r="AZ65" i="73"/>
  <c r="BA29" i="73"/>
  <c r="AP50" i="73"/>
  <c r="AY41" i="73"/>
  <c r="AF39" i="73"/>
  <c r="AR50" i="73"/>
  <c r="BA97" i="73"/>
  <c r="U50" i="73"/>
  <c r="AC50" i="73" s="1"/>
  <c r="BA45" i="73"/>
  <c r="BA99" i="73"/>
  <c r="AY25" i="73"/>
  <c r="AZ17" i="73"/>
  <c r="BA134" i="73"/>
  <c r="M67" i="52" s="1"/>
  <c r="AY65" i="73"/>
  <c r="BA47" i="73"/>
  <c r="Y89" i="73"/>
  <c r="Z89" i="73" s="1"/>
  <c r="AC7" i="73"/>
  <c r="Y7" i="73"/>
  <c r="AV7" i="73" s="1"/>
  <c r="BA25" i="73"/>
  <c r="Y138" i="73"/>
  <c r="Z138" i="73" s="1"/>
  <c r="AX89" i="73"/>
  <c r="AJ54" i="73"/>
  <c r="AZ55" i="73"/>
  <c r="BA69" i="73"/>
  <c r="AW12" i="73"/>
  <c r="BA14" i="73"/>
  <c r="BA39" i="73"/>
  <c r="AA138" i="73"/>
  <c r="AB138" i="73" s="1"/>
  <c r="AZ59" i="73"/>
  <c r="AA62" i="73"/>
  <c r="Y28" i="73"/>
  <c r="BB28" i="73"/>
  <c r="W28" i="73"/>
  <c r="AU28" i="73" s="1"/>
  <c r="W119" i="73"/>
  <c r="AY79" i="73"/>
  <c r="AF132" i="73"/>
  <c r="AY26" i="73"/>
  <c r="BA49" i="73"/>
  <c r="AF140" i="73"/>
  <c r="BB66" i="73"/>
  <c r="AA63" i="73"/>
  <c r="BA76" i="73"/>
  <c r="AA44" i="73"/>
  <c r="AZ91" i="73"/>
  <c r="AF55" i="73"/>
  <c r="BA64" i="73"/>
  <c r="AN22" i="73"/>
  <c r="AY70" i="73"/>
  <c r="BA124" i="73"/>
  <c r="AY74" i="73"/>
  <c r="AY134" i="73"/>
  <c r="M66" i="52" s="1"/>
  <c r="BA123" i="73"/>
  <c r="AZ94" i="73"/>
  <c r="AU63" i="73"/>
  <c r="Y62" i="73"/>
  <c r="Z62" i="73" s="1"/>
  <c r="Y44" i="73"/>
  <c r="Z44" i="73" s="1"/>
  <c r="AX62" i="73"/>
  <c r="AC63" i="73"/>
  <c r="AD63" i="73" s="1"/>
  <c r="AA112" i="73"/>
  <c r="AB112" i="73" s="1"/>
  <c r="Y112" i="73"/>
  <c r="Z112" i="73" s="1"/>
  <c r="AC44" i="73"/>
  <c r="AX44" i="73" s="1"/>
  <c r="AF86" i="73"/>
  <c r="AF15" i="73"/>
  <c r="Y119" i="73"/>
  <c r="Z119" i="73" s="1"/>
  <c r="AA119" i="73"/>
  <c r="AB119" i="73" s="1"/>
  <c r="AH29" i="73"/>
  <c r="AF91" i="73"/>
  <c r="AJ62" i="73"/>
  <c r="AH20" i="73"/>
  <c r="AH95" i="73"/>
  <c r="BA44" i="73"/>
  <c r="AJ140" i="73"/>
  <c r="AA83" i="73"/>
  <c r="AB83" i="73" s="1"/>
  <c r="W62" i="73"/>
  <c r="AF42" i="73"/>
  <c r="AF53" i="73"/>
  <c r="AZ66" i="73"/>
  <c r="Y83" i="73"/>
  <c r="Z83" i="73" s="1"/>
  <c r="BA55" i="73"/>
  <c r="AJ60" i="73"/>
  <c r="AZ69" i="73"/>
  <c r="AH99" i="73"/>
  <c r="AF67" i="73"/>
  <c r="AY27" i="73"/>
  <c r="AT22" i="73"/>
  <c r="Y123" i="73"/>
  <c r="BA20" i="73"/>
  <c r="BA125" i="73"/>
  <c r="AP22" i="73"/>
  <c r="AF97" i="73"/>
  <c r="AH49" i="73"/>
  <c r="AF83" i="73"/>
  <c r="AF14" i="73"/>
  <c r="BA136" i="73"/>
  <c r="BA19" i="73"/>
  <c r="AY63" i="73"/>
  <c r="AY120" i="73"/>
  <c r="AZ38" i="73"/>
  <c r="AZ88" i="73"/>
  <c r="AZ119" i="73"/>
  <c r="AZ125" i="73"/>
  <c r="AZ124" i="73"/>
  <c r="BA17" i="73"/>
  <c r="AY85" i="73"/>
  <c r="BA58" i="73"/>
  <c r="BA74" i="73"/>
  <c r="BA79" i="73"/>
  <c r="BA43" i="73"/>
  <c r="BA90" i="73"/>
  <c r="AY59" i="73"/>
  <c r="BA119" i="73"/>
  <c r="AR22" i="73"/>
  <c r="BA94" i="73"/>
  <c r="AF56" i="73"/>
  <c r="AY133" i="73"/>
  <c r="AF19" i="73"/>
  <c r="BA70" i="73"/>
  <c r="AF47" i="73"/>
  <c r="BA42" i="73"/>
  <c r="AY136" i="73"/>
  <c r="W34" i="73"/>
  <c r="X34" i="73" s="1"/>
  <c r="AZ140" i="73"/>
  <c r="AY75" i="73"/>
  <c r="AY62" i="73"/>
  <c r="AY54" i="73"/>
  <c r="Y34" i="73"/>
  <c r="Z34" i="73" s="1"/>
  <c r="U129" i="73"/>
  <c r="AC129" i="73" s="1"/>
  <c r="AZ62" i="73"/>
  <c r="BA83" i="73"/>
  <c r="BA27" i="73"/>
  <c r="AZ45" i="73"/>
  <c r="AW38" i="73"/>
  <c r="BA48" i="73"/>
  <c r="AZ58" i="73"/>
  <c r="AA34" i="73"/>
  <c r="AB34" i="73" s="1"/>
  <c r="AZ74" i="73"/>
  <c r="AY119" i="73"/>
  <c r="AY93" i="73"/>
  <c r="BA86" i="73"/>
  <c r="BA75" i="73"/>
  <c r="AZ48" i="73"/>
  <c r="BA66" i="73"/>
  <c r="AY28" i="73"/>
  <c r="AY46" i="73"/>
  <c r="BA132" i="73"/>
  <c r="AY69" i="73"/>
  <c r="AF89" i="73"/>
  <c r="BA28" i="73"/>
  <c r="AC128" i="73"/>
  <c r="AD128" i="73" s="1"/>
  <c r="Y128" i="73"/>
  <c r="Z128" i="73" s="1"/>
  <c r="W128" i="73"/>
  <c r="X128" i="73" s="1"/>
  <c r="AA128" i="73"/>
  <c r="AB128" i="73" s="1"/>
  <c r="AK129" i="73"/>
  <c r="AG129" i="73"/>
  <c r="AI129" i="73"/>
  <c r="AE129" i="73"/>
  <c r="AN128" i="73"/>
  <c r="AL31" i="73"/>
  <c r="BB31" i="73"/>
  <c r="AL64" i="73"/>
  <c r="BB64" i="73"/>
  <c r="AC80" i="73"/>
  <c r="AD80" i="73" s="1"/>
  <c r="W80" i="73"/>
  <c r="X80" i="73" s="1"/>
  <c r="AA80" i="73"/>
  <c r="AB80" i="73" s="1"/>
  <c r="Y80" i="73"/>
  <c r="Z80" i="73" s="1"/>
  <c r="AL52" i="73"/>
  <c r="BB52" i="73"/>
  <c r="AL57" i="73"/>
  <c r="BB57" i="73"/>
  <c r="AC73" i="73"/>
  <c r="Y73" i="73"/>
  <c r="W73" i="73"/>
  <c r="AA73" i="73"/>
  <c r="AC78" i="73"/>
  <c r="Y78" i="73"/>
  <c r="W78" i="73"/>
  <c r="AA78" i="73"/>
  <c r="AL120" i="73"/>
  <c r="BB120" i="73"/>
  <c r="AC52" i="73"/>
  <c r="Y52" i="73"/>
  <c r="W52" i="73"/>
  <c r="AA52" i="73"/>
  <c r="AC51" i="73"/>
  <c r="W51" i="73"/>
  <c r="AA51" i="73"/>
  <c r="Y51" i="73"/>
  <c r="AC82" i="73"/>
  <c r="W82" i="73"/>
  <c r="AA82" i="73"/>
  <c r="Y82" i="73"/>
  <c r="AJ126" i="73"/>
  <c r="BA126" i="73"/>
  <c r="AJ30" i="73"/>
  <c r="BA30" i="73"/>
  <c r="AJ137" i="73"/>
  <c r="BA137" i="73"/>
  <c r="AC132" i="73"/>
  <c r="Y132" i="73"/>
  <c r="AA132" i="73"/>
  <c r="W132" i="73"/>
  <c r="AL95" i="73"/>
  <c r="BB95" i="73"/>
  <c r="AZ87" i="73"/>
  <c r="AH87" i="73"/>
  <c r="AH134" i="73"/>
  <c r="AZ134" i="73"/>
  <c r="M65" i="52" s="1"/>
  <c r="AL110" i="73"/>
  <c r="AL15" i="73"/>
  <c r="BB15" i="73"/>
  <c r="AC45" i="73"/>
  <c r="Y45" i="73"/>
  <c r="AA45" i="73"/>
  <c r="W45" i="73"/>
  <c r="AC53" i="73"/>
  <c r="Y53" i="73"/>
  <c r="AA53" i="73"/>
  <c r="W53" i="73"/>
  <c r="AL89" i="73"/>
  <c r="BB89" i="73"/>
  <c r="AL117" i="73"/>
  <c r="AL86" i="73"/>
  <c r="BB86" i="73"/>
  <c r="AC65" i="73"/>
  <c r="AA65" i="73"/>
  <c r="Y65" i="73"/>
  <c r="W65" i="73"/>
  <c r="AC67" i="73"/>
  <c r="Y67" i="73"/>
  <c r="AA67" i="73"/>
  <c r="W67" i="73"/>
  <c r="AL45" i="73"/>
  <c r="BB45" i="73"/>
  <c r="AJ105" i="73"/>
  <c r="AH109" i="73"/>
  <c r="AC96" i="73"/>
  <c r="AX96" i="73" s="1"/>
  <c r="Y96" i="73"/>
  <c r="AV96" i="73" s="1"/>
  <c r="W96" i="73"/>
  <c r="AU96" i="73" s="1"/>
  <c r="AA96" i="73"/>
  <c r="AW96" i="73" s="1"/>
  <c r="AC17" i="73"/>
  <c r="Y17" i="73"/>
  <c r="AA17" i="73"/>
  <c r="W17" i="73"/>
  <c r="AD123" i="73"/>
  <c r="AX123" i="73"/>
  <c r="AC118" i="73"/>
  <c r="W118" i="73"/>
  <c r="AA118" i="73"/>
  <c r="Y118" i="73"/>
  <c r="AC54" i="73"/>
  <c r="Y54" i="73"/>
  <c r="AA54" i="73"/>
  <c r="W54" i="73"/>
  <c r="AC69" i="73"/>
  <c r="Y69" i="73"/>
  <c r="W69" i="73"/>
  <c r="AA69" i="73"/>
  <c r="AC58" i="73"/>
  <c r="Y58" i="73"/>
  <c r="AA58" i="73"/>
  <c r="W58" i="73"/>
  <c r="AV12" i="73"/>
  <c r="Z12" i="73"/>
  <c r="AL69" i="73"/>
  <c r="BB69" i="73"/>
  <c r="AC9" i="73"/>
  <c r="AD9" i="73" s="1"/>
  <c r="AA9" i="73"/>
  <c r="AB9" i="73" s="1"/>
  <c r="Y9" i="73"/>
  <c r="Z9" i="73" s="1"/>
  <c r="W9" i="73"/>
  <c r="X9" i="73" s="1"/>
  <c r="AL113" i="73"/>
  <c r="AL7" i="73"/>
  <c r="BB7" i="73"/>
  <c r="AH46" i="73"/>
  <c r="AZ46" i="73"/>
  <c r="AC24" i="73"/>
  <c r="Y24" i="73"/>
  <c r="AA24" i="73"/>
  <c r="W24" i="73"/>
  <c r="AC20" i="73"/>
  <c r="AA20" i="73"/>
  <c r="Y20" i="73"/>
  <c r="W20" i="73"/>
  <c r="AY68" i="73"/>
  <c r="AF68" i="73"/>
  <c r="AL51" i="73"/>
  <c r="BB51" i="73"/>
  <c r="AL63" i="73"/>
  <c r="BB63" i="73"/>
  <c r="AZ139" i="73"/>
  <c r="S65" i="52" s="1"/>
  <c r="AH139" i="73"/>
  <c r="AC110" i="73"/>
  <c r="Y110" i="73"/>
  <c r="W110" i="73"/>
  <c r="AA110" i="73"/>
  <c r="AL39" i="73"/>
  <c r="BB39" i="73"/>
  <c r="AL38" i="73"/>
  <c r="BB38" i="73"/>
  <c r="AC108" i="73"/>
  <c r="W108" i="73"/>
  <c r="Y108" i="73"/>
  <c r="AA108" i="73"/>
  <c r="AF30" i="73"/>
  <c r="AY30" i="73"/>
  <c r="AF137" i="73"/>
  <c r="AY137" i="73"/>
  <c r="AC29" i="73"/>
  <c r="AA29" i="73"/>
  <c r="Y29" i="73"/>
  <c r="W29" i="73"/>
  <c r="AC125" i="73"/>
  <c r="AA125" i="73"/>
  <c r="W125" i="73"/>
  <c r="Y125" i="73"/>
  <c r="AL119" i="73"/>
  <c r="BB119" i="73"/>
  <c r="AL26" i="73"/>
  <c r="BB26" i="73"/>
  <c r="BB87" i="73"/>
  <c r="AL87" i="73"/>
  <c r="AL134" i="73"/>
  <c r="BB134" i="73"/>
  <c r="M68" i="52" s="1"/>
  <c r="BB88" i="73"/>
  <c r="AL88" i="73"/>
  <c r="AF131" i="73"/>
  <c r="AY131" i="73"/>
  <c r="AL74" i="73"/>
  <c r="BB74" i="73"/>
  <c r="AL140" i="73"/>
  <c r="BB140" i="73"/>
  <c r="AF107" i="73"/>
  <c r="AL118" i="73"/>
  <c r="AC26" i="73"/>
  <c r="Y26" i="73"/>
  <c r="W26" i="73"/>
  <c r="AA26" i="73"/>
  <c r="AH67" i="73"/>
  <c r="AZ67" i="73"/>
  <c r="AF8" i="73"/>
  <c r="AY8" i="73"/>
  <c r="AN129" i="73"/>
  <c r="AC105" i="73"/>
  <c r="Y105" i="73"/>
  <c r="W105" i="73"/>
  <c r="AA105" i="73"/>
  <c r="AF105" i="73"/>
  <c r="AL109" i="73"/>
  <c r="AC140" i="73"/>
  <c r="W140" i="73"/>
  <c r="Y140" i="73"/>
  <c r="AA140" i="73"/>
  <c r="AD12" i="73"/>
  <c r="AX12" i="73"/>
  <c r="AC134" i="73"/>
  <c r="Y134" i="73"/>
  <c r="AA134" i="73"/>
  <c r="W134" i="73"/>
  <c r="AC36" i="73"/>
  <c r="AD36" i="73" s="1"/>
  <c r="Y36" i="73"/>
  <c r="Z36" i="73" s="1"/>
  <c r="AA36" i="73"/>
  <c r="AB36" i="73" s="1"/>
  <c r="W36" i="73"/>
  <c r="X36" i="73" s="1"/>
  <c r="AC133" i="73"/>
  <c r="Y133" i="73"/>
  <c r="AA133" i="73"/>
  <c r="W133" i="73"/>
  <c r="AL58" i="73"/>
  <c r="BB58" i="73"/>
  <c r="AL46" i="73"/>
  <c r="BB46" i="73"/>
  <c r="AL73" i="73"/>
  <c r="BB73" i="73"/>
  <c r="AC40" i="73"/>
  <c r="AA40" i="73"/>
  <c r="Y40" i="73"/>
  <c r="W40" i="73"/>
  <c r="AC72" i="73"/>
  <c r="AD72" i="73" s="1"/>
  <c r="Y72" i="73"/>
  <c r="Z72" i="73" s="1"/>
  <c r="W72" i="73"/>
  <c r="X72" i="73" s="1"/>
  <c r="AA72" i="73"/>
  <c r="AB72" i="73" s="1"/>
  <c r="AL40" i="73"/>
  <c r="BB40" i="73"/>
  <c r="AL68" i="73"/>
  <c r="BB68" i="73"/>
  <c r="AL139" i="73"/>
  <c r="BB139" i="73"/>
  <c r="S68" i="52" s="1"/>
  <c r="AC14" i="73"/>
  <c r="Y14" i="73"/>
  <c r="AA14" i="73"/>
  <c r="W14" i="73"/>
  <c r="AC47" i="73"/>
  <c r="AA47" i="73"/>
  <c r="Y47" i="73"/>
  <c r="W47" i="73"/>
  <c r="AH96" i="73"/>
  <c r="AH97" i="73"/>
  <c r="AZ97" i="73"/>
  <c r="AF126" i="73"/>
  <c r="AY126" i="73"/>
  <c r="AH30" i="73"/>
  <c r="AZ30" i="73"/>
  <c r="AL137" i="73"/>
  <c r="BB137" i="73"/>
  <c r="AC35" i="73"/>
  <c r="AD35" i="73" s="1"/>
  <c r="W35" i="73"/>
  <c r="X35" i="73" s="1"/>
  <c r="Y35" i="73"/>
  <c r="Z35" i="73" s="1"/>
  <c r="AA35" i="73"/>
  <c r="AB35" i="73" s="1"/>
  <c r="AH26" i="73"/>
  <c r="AZ26" i="73"/>
  <c r="BA130" i="73"/>
  <c r="AJ130" i="73"/>
  <c r="AJ131" i="73"/>
  <c r="BA131" i="73"/>
  <c r="AC130" i="73"/>
  <c r="AA130" i="73"/>
  <c r="Y130" i="73"/>
  <c r="W130" i="73"/>
  <c r="AL107" i="73"/>
  <c r="AL67" i="73"/>
  <c r="BB67" i="73"/>
  <c r="AL8" i="73"/>
  <c r="BB8" i="73"/>
  <c r="AC64" i="73"/>
  <c r="Y64" i="73"/>
  <c r="W64" i="73"/>
  <c r="AA64" i="73"/>
  <c r="AR129" i="73"/>
  <c r="AL105" i="73"/>
  <c r="AC56" i="73"/>
  <c r="W56" i="73"/>
  <c r="AA56" i="73"/>
  <c r="Y56" i="73"/>
  <c r="AC85" i="73"/>
  <c r="Y85" i="73"/>
  <c r="W85" i="73"/>
  <c r="AA85" i="73"/>
  <c r="AC55" i="73"/>
  <c r="Y55" i="73"/>
  <c r="W55" i="73"/>
  <c r="AA55" i="73"/>
  <c r="AG22" i="73"/>
  <c r="AH22" i="73" s="1"/>
  <c r="AC111" i="73"/>
  <c r="W111" i="73"/>
  <c r="AA111" i="73"/>
  <c r="Y111" i="73"/>
  <c r="AC16" i="73"/>
  <c r="W16" i="73"/>
  <c r="AA16" i="73"/>
  <c r="Y16" i="73"/>
  <c r="AC21" i="73"/>
  <c r="AA21" i="73"/>
  <c r="W21" i="73"/>
  <c r="Y21" i="73"/>
  <c r="AZ54" i="73"/>
  <c r="AH54" i="73"/>
  <c r="AL44" i="73"/>
  <c r="BB44" i="73"/>
  <c r="AF106" i="73"/>
  <c r="AH78" i="73"/>
  <c r="AZ78" i="73"/>
  <c r="AC91" i="73"/>
  <c r="AA91" i="73"/>
  <c r="Y91" i="73"/>
  <c r="W91" i="73"/>
  <c r="AL96" i="73"/>
  <c r="AL97" i="73"/>
  <c r="BB97" i="73"/>
  <c r="AL126" i="73"/>
  <c r="BB126" i="73"/>
  <c r="AL108" i="73"/>
  <c r="AL30" i="73"/>
  <c r="BB30" i="73"/>
  <c r="BB94" i="73"/>
  <c r="AL94" i="73"/>
  <c r="AC61" i="73"/>
  <c r="Y61" i="73"/>
  <c r="AA61" i="73"/>
  <c r="W61" i="73"/>
  <c r="AH130" i="73"/>
  <c r="AZ130" i="73"/>
  <c r="AH131" i="73"/>
  <c r="AZ131" i="73"/>
  <c r="AC46" i="73"/>
  <c r="Y46" i="73"/>
  <c r="W46" i="73"/>
  <c r="AA46" i="73"/>
  <c r="AX83" i="73"/>
  <c r="AD83" i="73"/>
  <c r="AC94" i="73"/>
  <c r="Y94" i="73"/>
  <c r="W94" i="73"/>
  <c r="AA94" i="73"/>
  <c r="AC30" i="73"/>
  <c r="Y30" i="73"/>
  <c r="W30" i="73"/>
  <c r="AA30" i="73"/>
  <c r="AC126" i="73"/>
  <c r="W126" i="73"/>
  <c r="AA126" i="73"/>
  <c r="Y126" i="73"/>
  <c r="AC90" i="73"/>
  <c r="W90" i="73"/>
  <c r="AA90" i="73"/>
  <c r="Y90" i="73"/>
  <c r="AP129" i="73"/>
  <c r="BB92" i="73"/>
  <c r="AL92" i="73"/>
  <c r="AC97" i="73"/>
  <c r="Y97" i="73"/>
  <c r="W97" i="73"/>
  <c r="AA97" i="73"/>
  <c r="AC137" i="73"/>
  <c r="AA137" i="73"/>
  <c r="Y137" i="73"/>
  <c r="W137" i="73"/>
  <c r="AC74" i="73"/>
  <c r="W74" i="73"/>
  <c r="AA74" i="73"/>
  <c r="Y74" i="73"/>
  <c r="AC8" i="73"/>
  <c r="W8" i="73"/>
  <c r="AC114" i="73"/>
  <c r="Y114" i="73"/>
  <c r="W114" i="73"/>
  <c r="AA114" i="73"/>
  <c r="AR128" i="73"/>
  <c r="AK22" i="73"/>
  <c r="AL22" i="73" s="1"/>
  <c r="AL62" i="73"/>
  <c r="BB62" i="73"/>
  <c r="AC81" i="73"/>
  <c r="AD81" i="73" s="1"/>
  <c r="Y81" i="73"/>
  <c r="Z81" i="73" s="1"/>
  <c r="AA81" i="73"/>
  <c r="AB81" i="73" s="1"/>
  <c r="W81" i="73"/>
  <c r="X81" i="73" s="1"/>
  <c r="U22" i="73"/>
  <c r="AH61" i="73"/>
  <c r="AZ61" i="73"/>
  <c r="AL91" i="73"/>
  <c r="BB91" i="73"/>
  <c r="AC15" i="73"/>
  <c r="Y15" i="73"/>
  <c r="AA15" i="73"/>
  <c r="W15" i="73"/>
  <c r="AC39" i="73"/>
  <c r="Y39" i="73"/>
  <c r="AA39" i="73"/>
  <c r="W39" i="73"/>
  <c r="AL54" i="73"/>
  <c r="BB54" i="73"/>
  <c r="AL56" i="73"/>
  <c r="BB56" i="73"/>
  <c r="AJ106" i="73"/>
  <c r="AL78" i="73"/>
  <c r="BB78" i="73"/>
  <c r="AC124" i="73"/>
  <c r="W124" i="73"/>
  <c r="AA124" i="73"/>
  <c r="Y124" i="73"/>
  <c r="AJ135" i="73"/>
  <c r="BA135" i="73"/>
  <c r="AH133" i="73"/>
  <c r="AZ133" i="73"/>
  <c r="AC79" i="73"/>
  <c r="Y79" i="73"/>
  <c r="AA79" i="73"/>
  <c r="W79" i="73"/>
  <c r="AZ98" i="73"/>
  <c r="V65" i="52" s="1"/>
  <c r="AH98" i="73"/>
  <c r="AC127" i="73"/>
  <c r="W127" i="73"/>
  <c r="AA127" i="73"/>
  <c r="Y127" i="73"/>
  <c r="AF130" i="73"/>
  <c r="AY130" i="73"/>
  <c r="AL76" i="73"/>
  <c r="BB76" i="73"/>
  <c r="AL123" i="73"/>
  <c r="BB123" i="73"/>
  <c r="AL131" i="73"/>
  <c r="BB131" i="73"/>
  <c r="AT128" i="73"/>
  <c r="AC87" i="73"/>
  <c r="Y87" i="73"/>
  <c r="W87" i="73"/>
  <c r="AA87" i="73"/>
  <c r="AL111" i="73"/>
  <c r="AL70" i="73"/>
  <c r="BB70" i="73"/>
  <c r="AL82" i="73"/>
  <c r="BB82" i="73"/>
  <c r="AC106" i="73"/>
  <c r="Y106" i="73"/>
  <c r="AA106" i="73"/>
  <c r="W106" i="73"/>
  <c r="AC88" i="73"/>
  <c r="Y88" i="73"/>
  <c r="AA88" i="73"/>
  <c r="W88" i="73"/>
  <c r="AT129" i="73"/>
  <c r="AH105" i="73"/>
  <c r="AH79" i="73"/>
  <c r="AZ79" i="73"/>
  <c r="AC27" i="73"/>
  <c r="W27" i="73"/>
  <c r="AA27" i="73"/>
  <c r="Y27" i="73"/>
  <c r="AC117" i="73"/>
  <c r="Y117" i="73"/>
  <c r="AA117" i="73"/>
  <c r="W117" i="73"/>
  <c r="AC66" i="73"/>
  <c r="W66" i="73"/>
  <c r="AA66" i="73"/>
  <c r="Y66" i="73"/>
  <c r="AC71" i="73"/>
  <c r="AD71" i="73" s="1"/>
  <c r="W71" i="73"/>
  <c r="X71" i="73" s="1"/>
  <c r="AA71" i="73"/>
  <c r="AB71" i="73" s="1"/>
  <c r="Y71" i="73"/>
  <c r="Z71" i="73" s="1"/>
  <c r="F31" i="125"/>
  <c r="F32" i="125"/>
  <c r="AH85" i="73"/>
  <c r="AZ85" i="73"/>
  <c r="AL61" i="73"/>
  <c r="BB61" i="73"/>
  <c r="AH52" i="73"/>
  <c r="AZ52" i="73"/>
  <c r="AH73" i="73"/>
  <c r="AZ73" i="73"/>
  <c r="AC59" i="73"/>
  <c r="AA59" i="73"/>
  <c r="W59" i="73"/>
  <c r="Y59" i="73"/>
  <c r="AC136" i="73"/>
  <c r="Y136" i="73"/>
  <c r="W136" i="73"/>
  <c r="AA136" i="73"/>
  <c r="AL125" i="73"/>
  <c r="BB125" i="73"/>
  <c r="AH106" i="73"/>
  <c r="AC141" i="73"/>
  <c r="AD141" i="73" s="1"/>
  <c r="Y141" i="73"/>
  <c r="Z141" i="73" s="1"/>
  <c r="W141" i="73"/>
  <c r="X141" i="73" s="1"/>
  <c r="AA141" i="73"/>
  <c r="AB141" i="73" s="1"/>
  <c r="AL93" i="73"/>
  <c r="BB93" i="73"/>
  <c r="AH135" i="73"/>
  <c r="AZ135" i="73"/>
  <c r="AL133" i="73"/>
  <c r="BB133" i="73"/>
  <c r="AC104" i="73"/>
  <c r="Y104" i="73"/>
  <c r="AA104" i="73"/>
  <c r="W104" i="73"/>
  <c r="AC93" i="73"/>
  <c r="W93" i="73"/>
  <c r="AA93" i="73"/>
  <c r="Y93" i="73"/>
  <c r="AL98" i="73"/>
  <c r="BB98" i="73"/>
  <c r="V68" i="52" s="1"/>
  <c r="AL130" i="73"/>
  <c r="BB130" i="73"/>
  <c r="AL99" i="73"/>
  <c r="BB99" i="73"/>
  <c r="AZ132" i="73"/>
  <c r="AH132" i="73"/>
  <c r="AP128" i="73"/>
  <c r="AC60" i="73"/>
  <c r="AA60" i="73"/>
  <c r="Y60" i="73"/>
  <c r="W60" i="73"/>
  <c r="AL41" i="73"/>
  <c r="BB41" i="73"/>
  <c r="AC76" i="73"/>
  <c r="W76" i="73"/>
  <c r="AA76" i="73"/>
  <c r="Y76" i="73"/>
  <c r="AC25" i="73"/>
  <c r="W25" i="73"/>
  <c r="AA25" i="73"/>
  <c r="Y25" i="73"/>
  <c r="AH83" i="73"/>
  <c r="AZ83" i="73"/>
  <c r="AK50" i="73"/>
  <c r="AI50" i="73"/>
  <c r="AG50" i="73"/>
  <c r="AE50" i="73"/>
  <c r="AH43" i="73"/>
  <c r="AZ43" i="73"/>
  <c r="AL79" i="73"/>
  <c r="BB79" i="73"/>
  <c r="AL103" i="73"/>
  <c r="AC113" i="73"/>
  <c r="AA113" i="73"/>
  <c r="Y113" i="73"/>
  <c r="W113" i="73"/>
  <c r="BA31" i="73"/>
  <c r="AJ31" i="73"/>
  <c r="AL85" i="73"/>
  <c r="BB85" i="73"/>
  <c r="AH104" i="73"/>
  <c r="AC107" i="73"/>
  <c r="W107" i="73"/>
  <c r="AA107" i="73"/>
  <c r="Y107" i="73"/>
  <c r="U131" i="73"/>
  <c r="AT131" i="73"/>
  <c r="AP131" i="73"/>
  <c r="AN131" i="73"/>
  <c r="AR131" i="73"/>
  <c r="BB90" i="73"/>
  <c r="AL90" i="73"/>
  <c r="AJ52" i="73"/>
  <c r="BA52" i="73"/>
  <c r="AL59" i="73"/>
  <c r="BB59" i="73"/>
  <c r="AC19" i="73"/>
  <c r="Y19" i="73"/>
  <c r="W19" i="73"/>
  <c r="AA19" i="73"/>
  <c r="AL48" i="73"/>
  <c r="BB48" i="73"/>
  <c r="AL65" i="73"/>
  <c r="BB65" i="73"/>
  <c r="AL60" i="73"/>
  <c r="BB60" i="73"/>
  <c r="AH53" i="73"/>
  <c r="AZ53" i="73"/>
  <c r="AL106" i="73"/>
  <c r="AC13" i="73"/>
  <c r="AD13" i="73" s="1"/>
  <c r="Y13" i="73"/>
  <c r="Z13" i="73" s="1"/>
  <c r="AA13" i="73"/>
  <c r="AB13" i="73" s="1"/>
  <c r="W13" i="73"/>
  <c r="X13" i="73" s="1"/>
  <c r="AH136" i="73"/>
  <c r="AZ136" i="73"/>
  <c r="AH114" i="73"/>
  <c r="AF135" i="73"/>
  <c r="AY135" i="73"/>
  <c r="AL42" i="73"/>
  <c r="BB42" i="73"/>
  <c r="AL20" i="73"/>
  <c r="BB20" i="73"/>
  <c r="AL132" i="73"/>
  <c r="BB132" i="73"/>
  <c r="AL27" i="73"/>
  <c r="BB27" i="73"/>
  <c r="AC49" i="73"/>
  <c r="W49" i="73"/>
  <c r="AA49" i="73"/>
  <c r="Y49" i="73"/>
  <c r="AH100" i="73"/>
  <c r="AZ100" i="73"/>
  <c r="AL17" i="73"/>
  <c r="BB17" i="73"/>
  <c r="AC109" i="73"/>
  <c r="Y109" i="73"/>
  <c r="AA109" i="73"/>
  <c r="W109" i="73"/>
  <c r="BB83" i="73"/>
  <c r="AL83" i="73"/>
  <c r="AL43" i="73"/>
  <c r="BB43" i="73"/>
  <c r="AC43" i="73"/>
  <c r="Y43" i="73"/>
  <c r="W43" i="73"/>
  <c r="AA43" i="73"/>
  <c r="AC77" i="73"/>
  <c r="AD77" i="73" s="1"/>
  <c r="Y77" i="73"/>
  <c r="Z77" i="73" s="1"/>
  <c r="AA77" i="73"/>
  <c r="AB77" i="73" s="1"/>
  <c r="W77" i="73"/>
  <c r="X77" i="73" s="1"/>
  <c r="AH19" i="73"/>
  <c r="AZ19" i="73"/>
  <c r="AD119" i="73"/>
  <c r="AX119" i="73"/>
  <c r="AC120" i="73"/>
  <c r="AA120" i="73"/>
  <c r="Y120" i="73"/>
  <c r="W120" i="73"/>
  <c r="AC32" i="73"/>
  <c r="AD32" i="73" s="1"/>
  <c r="Y32" i="73"/>
  <c r="Z32" i="73" s="1"/>
  <c r="AA32" i="73"/>
  <c r="AB32" i="73" s="1"/>
  <c r="W32" i="73"/>
  <c r="X32" i="73" s="1"/>
  <c r="AC92" i="73"/>
  <c r="W92" i="73"/>
  <c r="Y92" i="73"/>
  <c r="AA92" i="73"/>
  <c r="AC42" i="73"/>
  <c r="W42" i="73"/>
  <c r="AA42" i="73"/>
  <c r="Y42" i="73"/>
  <c r="AC70" i="73"/>
  <c r="Y70" i="73"/>
  <c r="AA70" i="73"/>
  <c r="W70" i="73"/>
  <c r="AK128" i="73"/>
  <c r="AL128" i="73" s="1"/>
  <c r="AG128" i="73"/>
  <c r="AH128" i="73" s="1"/>
  <c r="AI128" i="73"/>
  <c r="AJ128" i="73" s="1"/>
  <c r="AE128" i="73"/>
  <c r="AF128" i="73" s="1"/>
  <c r="AF31" i="73"/>
  <c r="AY31" i="73"/>
  <c r="AH64" i="73"/>
  <c r="AZ64" i="73"/>
  <c r="AL104" i="73"/>
  <c r="AC135" i="73"/>
  <c r="W135" i="73"/>
  <c r="AA135" i="73"/>
  <c r="Y135" i="73"/>
  <c r="AC10" i="73"/>
  <c r="AD10" i="73" s="1"/>
  <c r="W10" i="73"/>
  <c r="X10" i="73" s="1"/>
  <c r="AF52" i="73"/>
  <c r="AY52" i="73"/>
  <c r="AH57" i="73"/>
  <c r="AZ57" i="73"/>
  <c r="AC48" i="73"/>
  <c r="W48" i="73"/>
  <c r="Y48" i="73"/>
  <c r="AA48" i="73"/>
  <c r="AC41" i="73"/>
  <c r="AA41" i="73"/>
  <c r="W41" i="73"/>
  <c r="Y41" i="73"/>
  <c r="AL29" i="73"/>
  <c r="BB29" i="73"/>
  <c r="AL53" i="73"/>
  <c r="BB53" i="73"/>
  <c r="AL136" i="73"/>
  <c r="BB136" i="73"/>
  <c r="AL114" i="73"/>
  <c r="AL135" i="73"/>
  <c r="BB135" i="73"/>
  <c r="AL55" i="73"/>
  <c r="BB55" i="73"/>
  <c r="AL75" i="73"/>
  <c r="BB75" i="73"/>
  <c r="AH137" i="73"/>
  <c r="AZ137" i="73"/>
  <c r="AC99" i="73"/>
  <c r="W99" i="73"/>
  <c r="Y99" i="73"/>
  <c r="AA99" i="73"/>
  <c r="AC37" i="73"/>
  <c r="AD37" i="73" s="1"/>
  <c r="Y37" i="73"/>
  <c r="Z37" i="73" s="1"/>
  <c r="AA37" i="73"/>
  <c r="AB37" i="73" s="1"/>
  <c r="W37" i="73"/>
  <c r="X37" i="73" s="1"/>
  <c r="AC103" i="73"/>
  <c r="W103" i="73"/>
  <c r="Y103" i="73"/>
  <c r="AA103" i="73"/>
  <c r="AH110" i="73"/>
  <c r="AH15" i="73"/>
  <c r="AZ15" i="73"/>
  <c r="AL14" i="73"/>
  <c r="BB14" i="73"/>
  <c r="AL100" i="73"/>
  <c r="BB100" i="73"/>
  <c r="AC31" i="73"/>
  <c r="W31" i="73"/>
  <c r="Y31" i="73"/>
  <c r="AA31" i="73"/>
  <c r="AC86" i="73"/>
  <c r="W86" i="73"/>
  <c r="Y86" i="73"/>
  <c r="AA86" i="73"/>
  <c r="AC139" i="73"/>
  <c r="Y139" i="73"/>
  <c r="W139" i="73"/>
  <c r="AA139" i="73"/>
  <c r="AH117" i="73"/>
  <c r="AL124" i="73"/>
  <c r="BB124" i="73"/>
  <c r="AC57" i="73"/>
  <c r="Y57" i="73"/>
  <c r="AA57" i="73"/>
  <c r="W57" i="73"/>
  <c r="AL19" i="73"/>
  <c r="BB19" i="73"/>
  <c r="AC11" i="73"/>
  <c r="AD11" i="73" s="1"/>
  <c r="Y11" i="73"/>
  <c r="Z11" i="73" s="1"/>
  <c r="AA11" i="73"/>
  <c r="AB11" i="73" s="1"/>
  <c r="W11" i="73"/>
  <c r="X11" i="73" s="1"/>
  <c r="AC68" i="73"/>
  <c r="W68" i="73"/>
  <c r="AA68" i="73"/>
  <c r="Y68" i="73"/>
  <c r="AC95" i="73"/>
  <c r="W95" i="73"/>
  <c r="AA95" i="73"/>
  <c r="Y95" i="73"/>
  <c r="AR8" i="73"/>
  <c r="BE8" i="73"/>
  <c r="AJ8" i="73"/>
  <c r="BA8" i="73"/>
  <c r="AR115" i="73"/>
  <c r="AP8" i="73"/>
  <c r="BD8" i="73"/>
  <c r="AN115" i="73"/>
  <c r="AH8" i="73"/>
  <c r="AZ8" i="73"/>
  <c r="AB8" i="73"/>
  <c r="AW8" i="73"/>
  <c r="K101" i="125"/>
  <c r="J101" i="125"/>
  <c r="L101" i="125" s="1"/>
  <c r="S37" i="52"/>
  <c r="Q112" i="82"/>
  <c r="F112" i="125" s="1"/>
  <c r="E112" i="125"/>
  <c r="G112" i="125" s="1"/>
  <c r="Q86" i="82"/>
  <c r="F86" i="125" s="1"/>
  <c r="E86" i="125"/>
  <c r="G86" i="125" s="1"/>
  <c r="Q108" i="82"/>
  <c r="F108" i="125" s="1"/>
  <c r="E108" i="125"/>
  <c r="G108" i="125" s="1"/>
  <c r="Q54" i="82"/>
  <c r="F54" i="125" s="1"/>
  <c r="E54" i="125"/>
  <c r="G54" i="125" s="1"/>
  <c r="Q98" i="82"/>
  <c r="F98" i="125" s="1"/>
  <c r="E98" i="125"/>
  <c r="G98" i="125" s="1"/>
  <c r="Q75" i="82"/>
  <c r="F75" i="125" s="1"/>
  <c r="E75" i="125"/>
  <c r="G75" i="125" s="1"/>
  <c r="Q85" i="82"/>
  <c r="F85" i="125" s="1"/>
  <c r="E85" i="125"/>
  <c r="G85" i="125" s="1"/>
  <c r="Q37" i="82"/>
  <c r="F37" i="125" s="1"/>
  <c r="E37" i="125"/>
  <c r="G37" i="125" s="1"/>
  <c r="Q121" i="82"/>
  <c r="F121" i="125" s="1"/>
  <c r="E121" i="125"/>
  <c r="G121" i="125" s="1"/>
  <c r="Q103" i="82"/>
  <c r="F103" i="125" s="1"/>
  <c r="E103" i="125"/>
  <c r="G103" i="125" s="1"/>
  <c r="Q63" i="82"/>
  <c r="F63" i="125" s="1"/>
  <c r="E63" i="125"/>
  <c r="G63" i="125" s="1"/>
  <c r="Q91" i="82"/>
  <c r="F91" i="125" s="1"/>
  <c r="E91" i="125"/>
  <c r="G91" i="125" s="1"/>
  <c r="Q55" i="82"/>
  <c r="F55" i="125" s="1"/>
  <c r="E55" i="125"/>
  <c r="G55" i="125" s="1"/>
  <c r="Q88" i="82"/>
  <c r="F88" i="125" s="1"/>
  <c r="E88" i="125"/>
  <c r="G88" i="125" s="1"/>
  <c r="Q73" i="82"/>
  <c r="F73" i="125" s="1"/>
  <c r="E73" i="125"/>
  <c r="G73" i="125" s="1"/>
  <c r="Q41" i="82"/>
  <c r="F41" i="125" s="1"/>
  <c r="E41" i="125"/>
  <c r="G41" i="125" s="1"/>
  <c r="Q35" i="82"/>
  <c r="F35" i="125" s="1"/>
  <c r="E35" i="125"/>
  <c r="G35" i="125" s="1"/>
  <c r="I22" i="73"/>
  <c r="E21" i="125"/>
  <c r="G21" i="125" s="1"/>
  <c r="Q104" i="82"/>
  <c r="F104" i="125" s="1"/>
  <c r="E104" i="125"/>
  <c r="G104" i="125" s="1"/>
  <c r="Q71" i="82"/>
  <c r="F71" i="125" s="1"/>
  <c r="E71" i="125"/>
  <c r="G71" i="125" s="1"/>
  <c r="Q133" i="82"/>
  <c r="F133" i="125" s="1"/>
  <c r="E133" i="125"/>
  <c r="G133" i="125" s="1"/>
  <c r="Q8" i="82"/>
  <c r="F6" i="125" s="1"/>
  <c r="E6" i="125"/>
  <c r="G6" i="125" s="1"/>
  <c r="Q110" i="82"/>
  <c r="F110" i="125" s="1"/>
  <c r="E110" i="125"/>
  <c r="G110" i="125" s="1"/>
  <c r="Q92" i="82"/>
  <c r="F92" i="125" s="1"/>
  <c r="E92" i="125"/>
  <c r="G92" i="125" s="1"/>
  <c r="Q36" i="82"/>
  <c r="F36" i="125" s="1"/>
  <c r="E36" i="125"/>
  <c r="G36" i="125" s="1"/>
  <c r="Q69" i="82"/>
  <c r="F69" i="125" s="1"/>
  <c r="E69" i="125"/>
  <c r="G69" i="125" s="1"/>
  <c r="Q45" i="82"/>
  <c r="F45" i="125" s="1"/>
  <c r="E45" i="125"/>
  <c r="G45" i="125" s="1"/>
  <c r="Q61" i="82"/>
  <c r="F61" i="125" s="1"/>
  <c r="E61" i="125"/>
  <c r="G61" i="125" s="1"/>
  <c r="Q19" i="82"/>
  <c r="F17" i="125" s="1"/>
  <c r="E17" i="125"/>
  <c r="G17" i="125" s="1"/>
  <c r="Q65" i="82"/>
  <c r="F65" i="125" s="1"/>
  <c r="E65" i="125"/>
  <c r="G65" i="125" s="1"/>
  <c r="Q39" i="82"/>
  <c r="F39" i="125" s="1"/>
  <c r="E39" i="125"/>
  <c r="G39" i="125" s="1"/>
  <c r="Q68" i="82"/>
  <c r="F68" i="125" s="1"/>
  <c r="E68" i="125"/>
  <c r="G68" i="125" s="1"/>
  <c r="Q102" i="82"/>
  <c r="F102" i="125" s="1"/>
  <c r="E102" i="125"/>
  <c r="G102" i="125" s="1"/>
  <c r="Q136" i="82"/>
  <c r="F136" i="125" s="1"/>
  <c r="E136" i="125"/>
  <c r="G136" i="125" s="1"/>
  <c r="Q46" i="82"/>
  <c r="F46" i="125" s="1"/>
  <c r="E46" i="125"/>
  <c r="G46" i="125" s="1"/>
  <c r="Q62" i="82"/>
  <c r="F62" i="125" s="1"/>
  <c r="E62" i="125"/>
  <c r="G62" i="125" s="1"/>
  <c r="Q30" i="82"/>
  <c r="F29" i="125" s="1"/>
  <c r="E29" i="125"/>
  <c r="G29" i="125" s="1"/>
  <c r="Q115" i="82"/>
  <c r="F115" i="125" s="1"/>
  <c r="E115" i="125"/>
  <c r="G115" i="125" s="1"/>
  <c r="Q67" i="82"/>
  <c r="F67" i="125" s="1"/>
  <c r="E67" i="125"/>
  <c r="G67" i="125" s="1"/>
  <c r="Q14" i="82"/>
  <c r="F12" i="125" s="1"/>
  <c r="E12" i="125"/>
  <c r="G12" i="125" s="1"/>
  <c r="Q105" i="82"/>
  <c r="F105" i="125" s="1"/>
  <c r="E105" i="125"/>
  <c r="G105" i="125" s="1"/>
  <c r="Q87" i="82"/>
  <c r="F87" i="125" s="1"/>
  <c r="E87" i="125"/>
  <c r="G87" i="125" s="1"/>
  <c r="Q89" i="82"/>
  <c r="F89" i="125" s="1"/>
  <c r="E89" i="125"/>
  <c r="G89" i="125" s="1"/>
  <c r="Q26" i="82"/>
  <c r="F25" i="125" s="1"/>
  <c r="E25" i="125"/>
  <c r="G25" i="125" s="1"/>
  <c r="Q116" i="82"/>
  <c r="F116" i="125" s="1"/>
  <c r="E116" i="125"/>
  <c r="G116" i="125" s="1"/>
  <c r="Q84" i="82"/>
  <c r="F84" i="125" s="1"/>
  <c r="E84" i="125"/>
  <c r="G84" i="125" s="1"/>
  <c r="Q38" i="82"/>
  <c r="F38" i="125" s="1"/>
  <c r="E38" i="125"/>
  <c r="G38" i="125" s="1"/>
  <c r="Q97" i="82"/>
  <c r="F97" i="125" s="1"/>
  <c r="E97" i="125"/>
  <c r="G97" i="125" s="1"/>
  <c r="Q80" i="82"/>
  <c r="F80" i="125" s="1"/>
  <c r="E80" i="125"/>
  <c r="G80" i="125" s="1"/>
  <c r="Q130" i="82"/>
  <c r="F130" i="125" s="1"/>
  <c r="E130" i="125"/>
  <c r="G130" i="125" s="1"/>
  <c r="Q140" i="82"/>
  <c r="F140" i="125" s="1"/>
  <c r="E140" i="125"/>
  <c r="G140" i="125" s="1"/>
  <c r="Q72" i="82"/>
  <c r="F72" i="125" s="1"/>
  <c r="E72" i="125"/>
  <c r="G72" i="125" s="1"/>
  <c r="Q20" i="82"/>
  <c r="F18" i="125" s="1"/>
  <c r="E18" i="125"/>
  <c r="G18" i="125" s="1"/>
  <c r="Q111" i="82"/>
  <c r="F111" i="125" s="1"/>
  <c r="E111" i="125"/>
  <c r="G111" i="125" s="1"/>
  <c r="Q131" i="82"/>
  <c r="F131" i="125" s="1"/>
  <c r="E131" i="125"/>
  <c r="G131" i="125" s="1"/>
  <c r="Q124" i="82"/>
  <c r="F124" i="125" s="1"/>
  <c r="E124" i="125"/>
  <c r="G124" i="125" s="1"/>
  <c r="Q99" i="82"/>
  <c r="F99" i="125" s="1"/>
  <c r="E99" i="125"/>
  <c r="G99" i="125" s="1"/>
  <c r="Q44" i="82"/>
  <c r="F44" i="125" s="1"/>
  <c r="E44" i="125"/>
  <c r="G44" i="125" s="1"/>
  <c r="Q94" i="82"/>
  <c r="F94" i="125" s="1"/>
  <c r="E94" i="125"/>
  <c r="G94" i="125" s="1"/>
  <c r="Q90" i="82"/>
  <c r="F90" i="125" s="1"/>
  <c r="E90" i="125"/>
  <c r="G90" i="125" s="1"/>
  <c r="Q16" i="82"/>
  <c r="F14" i="125" s="1"/>
  <c r="E14" i="125"/>
  <c r="G14" i="125" s="1"/>
  <c r="Q15" i="82"/>
  <c r="F13" i="125" s="1"/>
  <c r="E13" i="125"/>
  <c r="G13" i="125" s="1"/>
  <c r="Q120" i="82"/>
  <c r="F120" i="125" s="1"/>
  <c r="E120" i="125"/>
  <c r="G120" i="125" s="1"/>
  <c r="Q139" i="82"/>
  <c r="F139" i="125" s="1"/>
  <c r="E139" i="125"/>
  <c r="G139" i="125" s="1"/>
  <c r="Q10" i="82"/>
  <c r="F8" i="125" s="1"/>
  <c r="E8" i="125"/>
  <c r="G8" i="125" s="1"/>
  <c r="Q78" i="82"/>
  <c r="F78" i="125" s="1"/>
  <c r="E78" i="125"/>
  <c r="G78" i="125" s="1"/>
  <c r="Q59" i="82"/>
  <c r="F59" i="125" s="1"/>
  <c r="E59" i="125"/>
  <c r="G59" i="125" s="1"/>
  <c r="Q135" i="82"/>
  <c r="F135" i="125" s="1"/>
  <c r="E135" i="125"/>
  <c r="G135" i="125" s="1"/>
  <c r="Q70" i="82"/>
  <c r="F70" i="125" s="1"/>
  <c r="E70" i="125"/>
  <c r="G70" i="125" s="1"/>
  <c r="Q49" i="82"/>
  <c r="F49" i="125" s="1"/>
  <c r="E49" i="125"/>
  <c r="G49" i="125" s="1"/>
  <c r="Q25" i="82"/>
  <c r="F24" i="125" s="1"/>
  <c r="E24" i="125"/>
  <c r="G24" i="125" s="1"/>
  <c r="Q29" i="82"/>
  <c r="F28" i="125" s="1"/>
  <c r="E28" i="125"/>
  <c r="G28" i="125" s="1"/>
  <c r="Q125" i="82"/>
  <c r="F125" i="125" s="1"/>
  <c r="E125" i="125"/>
  <c r="G125" i="125" s="1"/>
  <c r="Q53" i="82"/>
  <c r="F53" i="125" s="1"/>
  <c r="E53" i="125"/>
  <c r="G53" i="125" s="1"/>
  <c r="Q42" i="82"/>
  <c r="F42" i="125" s="1"/>
  <c r="E42" i="125"/>
  <c r="G42" i="125" s="1"/>
  <c r="Q76" i="82"/>
  <c r="F76" i="125" s="1"/>
  <c r="E76" i="125"/>
  <c r="G76" i="125" s="1"/>
  <c r="Q118" i="82"/>
  <c r="F118" i="125" s="1"/>
  <c r="E118" i="125"/>
  <c r="G118" i="125" s="1"/>
  <c r="Q119" i="82"/>
  <c r="F119" i="125" s="1"/>
  <c r="E119" i="125"/>
  <c r="G119" i="125" s="1"/>
  <c r="Q31" i="82"/>
  <c r="F30" i="125" s="1"/>
  <c r="E30" i="125"/>
  <c r="G30" i="125" s="1"/>
  <c r="Q33" i="82"/>
  <c r="F33" i="125" s="1"/>
  <c r="E33" i="125"/>
  <c r="G33" i="125" s="1"/>
  <c r="Q13" i="82"/>
  <c r="F11" i="125" s="1"/>
  <c r="E11" i="125"/>
  <c r="G11" i="125" s="1"/>
  <c r="Q106" i="82"/>
  <c r="F106" i="125" s="1"/>
  <c r="E106" i="125"/>
  <c r="G106" i="125" s="1"/>
  <c r="Q134" i="82"/>
  <c r="F134" i="125" s="1"/>
  <c r="E134" i="125"/>
  <c r="G134" i="125" s="1"/>
  <c r="Q27" i="82"/>
  <c r="F26" i="125" s="1"/>
  <c r="E26" i="125"/>
  <c r="G26" i="125" s="1"/>
  <c r="Q96" i="82"/>
  <c r="F96" i="125" s="1"/>
  <c r="E96" i="125"/>
  <c r="G96" i="125" s="1"/>
  <c r="Q138" i="82"/>
  <c r="F138" i="125" s="1"/>
  <c r="E138" i="125"/>
  <c r="G138" i="125" s="1"/>
  <c r="Q126" i="82"/>
  <c r="F126" i="125" s="1"/>
  <c r="E126" i="125"/>
  <c r="G126" i="125" s="1"/>
  <c r="Q60" i="82"/>
  <c r="F60" i="125" s="1"/>
  <c r="E60" i="125"/>
  <c r="G60" i="125" s="1"/>
  <c r="Q43" i="82"/>
  <c r="F43" i="125" s="1"/>
  <c r="E43" i="125"/>
  <c r="G43" i="125" s="1"/>
  <c r="Q77" i="82"/>
  <c r="F77" i="125" s="1"/>
  <c r="E77" i="125"/>
  <c r="G77" i="125" s="1"/>
  <c r="Q28" i="82"/>
  <c r="F27" i="125" s="1"/>
  <c r="E27" i="125"/>
  <c r="G27" i="125" s="1"/>
  <c r="Q34" i="82"/>
  <c r="F34" i="125" s="1"/>
  <c r="E34" i="125"/>
  <c r="G34" i="125" s="1"/>
  <c r="Q57" i="82"/>
  <c r="F57" i="125" s="1"/>
  <c r="E57" i="125"/>
  <c r="G57" i="125" s="1"/>
  <c r="Q48" i="82"/>
  <c r="F48" i="125" s="1"/>
  <c r="E48" i="125"/>
  <c r="G48" i="125" s="1"/>
  <c r="Q82" i="82"/>
  <c r="F82" i="125" s="1"/>
  <c r="E82" i="125"/>
  <c r="G82" i="125" s="1"/>
  <c r="Q123" i="82"/>
  <c r="F123" i="125" s="1"/>
  <c r="E123" i="125"/>
  <c r="G123" i="125" s="1"/>
  <c r="Q51" i="82"/>
  <c r="F51" i="125" s="1"/>
  <c r="E51" i="125"/>
  <c r="G51" i="125" s="1"/>
  <c r="Q58" i="82"/>
  <c r="F58" i="125" s="1"/>
  <c r="E58" i="125"/>
  <c r="G58" i="125" s="1"/>
  <c r="Q47" i="82"/>
  <c r="F47" i="125" s="1"/>
  <c r="E47" i="125"/>
  <c r="G47" i="125" s="1"/>
  <c r="Q40" i="82"/>
  <c r="F40" i="125" s="1"/>
  <c r="E40" i="125"/>
  <c r="G40" i="125" s="1"/>
  <c r="Q95" i="82"/>
  <c r="F95" i="125" s="1"/>
  <c r="E95" i="125"/>
  <c r="G95" i="125" s="1"/>
  <c r="Q52" i="82"/>
  <c r="F52" i="125" s="1"/>
  <c r="E52" i="125"/>
  <c r="G52" i="125" s="1"/>
  <c r="Q129" i="82"/>
  <c r="F129" i="125" s="1"/>
  <c r="E129" i="125"/>
  <c r="G129" i="125" s="1"/>
  <c r="Q113" i="82"/>
  <c r="F113" i="125" s="1"/>
  <c r="E113" i="125"/>
  <c r="G113" i="125" s="1"/>
  <c r="Q81" i="82"/>
  <c r="F81" i="125" s="1"/>
  <c r="E81" i="125"/>
  <c r="G81" i="125" s="1"/>
  <c r="Q109" i="82"/>
  <c r="F109" i="125" s="1"/>
  <c r="E109" i="125"/>
  <c r="G109" i="125" s="1"/>
  <c r="Q93" i="82"/>
  <c r="F93" i="125" s="1"/>
  <c r="E93" i="125"/>
  <c r="G93" i="125" s="1"/>
  <c r="Q24" i="82"/>
  <c r="F23" i="125" s="1"/>
  <c r="E23" i="125"/>
  <c r="G23" i="125" s="1"/>
  <c r="Q56" i="82"/>
  <c r="F56" i="125" s="1"/>
  <c r="E56" i="125"/>
  <c r="G56" i="125" s="1"/>
  <c r="Q18" i="82"/>
  <c r="F16" i="125" s="1"/>
  <c r="E16" i="125"/>
  <c r="G16" i="125" s="1"/>
  <c r="Q64" i="82"/>
  <c r="F64" i="125" s="1"/>
  <c r="E64" i="125"/>
  <c r="G64" i="125" s="1"/>
  <c r="Q66" i="82"/>
  <c r="F66" i="125" s="1"/>
  <c r="E66" i="125"/>
  <c r="G66" i="125" s="1"/>
  <c r="Q17" i="82"/>
  <c r="F15" i="125" s="1"/>
  <c r="E15" i="125"/>
  <c r="G15" i="125" s="1"/>
  <c r="Q122" i="82"/>
  <c r="F122" i="125" s="1"/>
  <c r="E122" i="125"/>
  <c r="G122" i="125" s="1"/>
  <c r="Q117" i="82"/>
  <c r="F117" i="125" s="1"/>
  <c r="E117" i="125"/>
  <c r="G117" i="125" s="1"/>
  <c r="Q11" i="82"/>
  <c r="F9" i="125" s="1"/>
  <c r="E9" i="125"/>
  <c r="G9" i="125" s="1"/>
  <c r="Q74" i="82"/>
  <c r="F74" i="125" s="1"/>
  <c r="E74" i="125"/>
  <c r="G74" i="125" s="1"/>
  <c r="Q79" i="82"/>
  <c r="F79" i="125" s="1"/>
  <c r="E79" i="125"/>
  <c r="G79" i="125" s="1"/>
  <c r="Q137" i="82"/>
  <c r="F137" i="125" s="1"/>
  <c r="E137" i="125"/>
  <c r="G137" i="125" s="1"/>
  <c r="Q132" i="82"/>
  <c r="F132" i="125" s="1"/>
  <c r="E132" i="125"/>
  <c r="G132" i="125" s="1"/>
  <c r="Q50" i="82"/>
  <c r="F50" i="125" s="1"/>
  <c r="E50" i="125"/>
  <c r="G50" i="125" s="1"/>
  <c r="Q9" i="82"/>
  <c r="F7" i="125" s="1"/>
  <c r="E7" i="125"/>
  <c r="G7" i="125" s="1"/>
  <c r="Q114" i="82"/>
  <c r="F114" i="125" s="1"/>
  <c r="E114" i="125"/>
  <c r="G114" i="125" s="1"/>
  <c r="Q107" i="82"/>
  <c r="F107" i="125" s="1"/>
  <c r="E107" i="125"/>
  <c r="G107" i="125" s="1"/>
  <c r="S66" i="52"/>
  <c r="Q22" i="82"/>
  <c r="F21" i="125" s="1"/>
  <c r="C25" i="86"/>
  <c r="Q23" i="82"/>
  <c r="F22" i="125" s="1"/>
  <c r="C26" i="86"/>
  <c r="Q21" i="82"/>
  <c r="F19" i="125" s="1"/>
  <c r="C23" i="86"/>
  <c r="C107" i="86"/>
  <c r="V37" i="52"/>
  <c r="V39" i="52" s="1"/>
  <c r="V51" i="52" s="1"/>
  <c r="W23" i="52" s="1"/>
  <c r="C75" i="86"/>
  <c r="I139" i="73"/>
  <c r="C139" i="73" s="1"/>
  <c r="C141" i="86"/>
  <c r="J37" i="52"/>
  <c r="J39" i="52" s="1"/>
  <c r="E32" i="109" s="1"/>
  <c r="D30" i="109" s="1"/>
  <c r="C136" i="86"/>
  <c r="I134" i="73"/>
  <c r="C134" i="73" s="1"/>
  <c r="K134" i="97" s="1"/>
  <c r="Q134" i="97" s="1"/>
  <c r="R134" i="97" s="1"/>
  <c r="I10" i="73"/>
  <c r="C12" i="86"/>
  <c r="I127" i="73"/>
  <c r="C127" i="73" s="1"/>
  <c r="C129" i="86"/>
  <c r="C55" i="86"/>
  <c r="P27" i="104"/>
  <c r="I73" i="73"/>
  <c r="C73" i="73" s="1"/>
  <c r="K73" i="97" s="1"/>
  <c r="P127" i="82"/>
  <c r="C142" i="86"/>
  <c r="I140" i="73"/>
  <c r="C140" i="73" s="1"/>
  <c r="K140" i="97" s="1"/>
  <c r="Q140" i="97" s="1"/>
  <c r="R140" i="97" s="1"/>
  <c r="C11" i="86"/>
  <c r="I96" i="73"/>
  <c r="I53" i="73"/>
  <c r="C53" i="73" s="1"/>
  <c r="K53" i="97" s="1"/>
  <c r="C117" i="86"/>
  <c r="I9" i="73"/>
  <c r="C98" i="86"/>
  <c r="P44" i="104"/>
  <c r="C105" i="86"/>
  <c r="C143" i="86"/>
  <c r="I141" i="73"/>
  <c r="P128" i="82"/>
  <c r="N27" i="52"/>
  <c r="C110" i="86"/>
  <c r="I69" i="73"/>
  <c r="C69" i="73" s="1"/>
  <c r="K69" i="97" s="1"/>
  <c r="C15" i="86"/>
  <c r="I34" i="73"/>
  <c r="C42" i="86"/>
  <c r="I21" i="73"/>
  <c r="C21" i="73" s="1"/>
  <c r="K21" i="97" s="1"/>
  <c r="Q21" i="97" s="1"/>
  <c r="C109" i="86"/>
  <c r="C93" i="86"/>
  <c r="C36" i="86"/>
  <c r="C137" i="86"/>
  <c r="I13" i="73"/>
  <c r="C121" i="86"/>
  <c r="C34" i="86"/>
  <c r="I40" i="73"/>
  <c r="C40" i="73" s="1"/>
  <c r="K40" i="97" s="1"/>
  <c r="Q40" i="97" s="1"/>
  <c r="J39" i="125" s="1"/>
  <c r="L39" i="125" s="1"/>
  <c r="I135" i="73"/>
  <c r="C135" i="73" s="1"/>
  <c r="K135" i="97" s="1"/>
  <c r="Q135" i="97" s="1"/>
  <c r="R135" i="97" s="1"/>
  <c r="I28" i="73"/>
  <c r="C28" i="73" s="1"/>
  <c r="K27" i="97" s="1"/>
  <c r="C71" i="86"/>
  <c r="C40" i="86"/>
  <c r="C124" i="86"/>
  <c r="C115" i="86"/>
  <c r="I38" i="73"/>
  <c r="C38" i="73" s="1"/>
  <c r="K38" i="97" s="1"/>
  <c r="Q38" i="97" s="1"/>
  <c r="J37" i="125" s="1"/>
  <c r="L37" i="125" s="1"/>
  <c r="C88" i="86"/>
  <c r="I86" i="73"/>
  <c r="C86" i="73" s="1"/>
  <c r="K86" i="97" s="1"/>
  <c r="Q86" i="97" s="1"/>
  <c r="J85" i="125" s="1"/>
  <c r="L85" i="125" s="1"/>
  <c r="I122" i="73"/>
  <c r="C81" i="86"/>
  <c r="C78" i="86"/>
  <c r="C122" i="86"/>
  <c r="C90" i="86"/>
  <c r="C114" i="86"/>
  <c r="I132" i="73"/>
  <c r="C132" i="73" s="1"/>
  <c r="K132" i="97" s="1"/>
  <c r="Q132" i="97" s="1"/>
  <c r="R132" i="97" s="1"/>
  <c r="C134" i="86"/>
  <c r="C140" i="86"/>
  <c r="I11" i="73"/>
  <c r="C118" i="86"/>
  <c r="I92" i="73"/>
  <c r="C92" i="73" s="1"/>
  <c r="K92" i="97" s="1"/>
  <c r="I123" i="73"/>
  <c r="C123" i="73" s="1"/>
  <c r="K123" i="97" s="1"/>
  <c r="Q123" i="97" s="1"/>
  <c r="R123" i="97" s="1"/>
  <c r="I31" i="73"/>
  <c r="C31" i="73" s="1"/>
  <c r="K30" i="97" s="1"/>
  <c r="Q30" i="97" s="1"/>
  <c r="C135" i="86"/>
  <c r="C94" i="86"/>
  <c r="C33" i="86"/>
  <c r="C13" i="86"/>
  <c r="C113" i="86"/>
  <c r="I136" i="73"/>
  <c r="C136" i="73" s="1"/>
  <c r="K136" i="97" s="1"/>
  <c r="Q136" i="97" s="1"/>
  <c r="R136" i="97" s="1"/>
  <c r="S39" i="52"/>
  <c r="S51" i="52" s="1"/>
  <c r="T23" i="52" s="1"/>
  <c r="C138" i="86"/>
  <c r="I55" i="73"/>
  <c r="C55" i="73" s="1"/>
  <c r="K55" i="97" s="1"/>
  <c r="C111" i="86"/>
  <c r="C49" i="86"/>
  <c r="C57" i="86"/>
  <c r="C67" i="86"/>
  <c r="I44" i="73"/>
  <c r="C44" i="73" s="1"/>
  <c r="K44" i="97" s="1"/>
  <c r="C74" i="86"/>
  <c r="I51" i="73"/>
  <c r="C51" i="73" s="1"/>
  <c r="K51" i="97" s="1"/>
  <c r="C22" i="86"/>
  <c r="C112" i="86"/>
  <c r="C53" i="86"/>
  <c r="I95" i="73"/>
  <c r="C95" i="73" s="1"/>
  <c r="K95" i="97" s="1"/>
  <c r="I57" i="73"/>
  <c r="C57" i="73" s="1"/>
  <c r="K57" i="97" s="1"/>
  <c r="Q57" i="97" s="1"/>
  <c r="J56" i="125" s="1"/>
  <c r="L56" i="125" s="1"/>
  <c r="C80" i="86"/>
  <c r="I72" i="73"/>
  <c r="C97" i="86"/>
  <c r="C31" i="86"/>
  <c r="C51" i="86"/>
  <c r="I88" i="73"/>
  <c r="C88" i="73" s="1"/>
  <c r="K88" i="97" s="1"/>
  <c r="C116" i="86"/>
  <c r="C99" i="86"/>
  <c r="I45" i="73"/>
  <c r="C45" i="73" s="1"/>
  <c r="K45" i="97" s="1"/>
  <c r="Q45" i="97" s="1"/>
  <c r="J44" i="125" s="1"/>
  <c r="L44" i="125" s="1"/>
  <c r="C139" i="86"/>
  <c r="I97" i="73"/>
  <c r="C97" i="73" s="1"/>
  <c r="K97" i="97" s="1"/>
  <c r="C47" i="86"/>
  <c r="C21" i="86"/>
  <c r="C27" i="86"/>
  <c r="C29" i="86"/>
  <c r="I25" i="73"/>
  <c r="C25" i="73" s="1"/>
  <c r="K24" i="97" s="1"/>
  <c r="C68" i="86"/>
  <c r="C131" i="73"/>
  <c r="K131" i="97" s="1"/>
  <c r="Q131" i="97" s="1"/>
  <c r="R131" i="97" s="1"/>
  <c r="I27" i="73"/>
  <c r="C27" i="73" s="1"/>
  <c r="K26" i="97" s="1"/>
  <c r="Q26" i="97" s="1"/>
  <c r="I124" i="73"/>
  <c r="C124" i="73" s="1"/>
  <c r="K124" i="97" s="1"/>
  <c r="Q124" i="97" s="1"/>
  <c r="R124" i="97" s="1"/>
  <c r="C41" i="86"/>
  <c r="C133" i="86"/>
  <c r="C87" i="86"/>
  <c r="C59" i="86"/>
  <c r="C119" i="86"/>
  <c r="I90" i="73"/>
  <c r="C90" i="73" s="1"/>
  <c r="K90" i="97" s="1"/>
  <c r="I30" i="73"/>
  <c r="C30" i="73" s="1"/>
  <c r="K29" i="97" s="1"/>
  <c r="C32" i="86"/>
  <c r="C44" i="86"/>
  <c r="C72" i="86"/>
  <c r="C95" i="86"/>
  <c r="C39" i="86"/>
  <c r="I137" i="73"/>
  <c r="C137" i="73" s="1"/>
  <c r="K137" i="97" s="1"/>
  <c r="Q137" i="97" s="1"/>
  <c r="R137" i="97" s="1"/>
  <c r="I42" i="73"/>
  <c r="C42" i="73" s="1"/>
  <c r="K42" i="97" s="1"/>
  <c r="I48" i="73"/>
  <c r="C48" i="73" s="1"/>
  <c r="K48" i="97" s="1"/>
  <c r="I43" i="73"/>
  <c r="C43" i="73" s="1"/>
  <c r="K43" i="97" s="1"/>
  <c r="C50" i="86"/>
  <c r="C52" i="86"/>
  <c r="C38" i="86"/>
  <c r="C73" i="86"/>
  <c r="I33" i="73"/>
  <c r="C76" i="86"/>
  <c r="I71" i="73"/>
  <c r="C92" i="86"/>
  <c r="C43" i="86"/>
  <c r="C58" i="86"/>
  <c r="I17" i="73"/>
  <c r="C17" i="73" s="1"/>
  <c r="K17" i="97" s="1"/>
  <c r="C19" i="86"/>
  <c r="C106" i="86"/>
  <c r="C120" i="86"/>
  <c r="C102" i="86"/>
  <c r="I126" i="73"/>
  <c r="C126" i="73" s="1"/>
  <c r="K126" i="97" s="1"/>
  <c r="Q126" i="97" s="1"/>
  <c r="R126" i="97" s="1"/>
  <c r="I54" i="73"/>
  <c r="C54" i="73" s="1"/>
  <c r="K54" i="97" s="1"/>
  <c r="C56" i="86"/>
  <c r="I133" i="73"/>
  <c r="C133" i="73" s="1"/>
  <c r="K133" i="97" s="1"/>
  <c r="Q133" i="97" s="1"/>
  <c r="R133" i="97" s="1"/>
  <c r="I15" i="73"/>
  <c r="C15" i="73" s="1"/>
  <c r="K15" i="97" s="1"/>
  <c r="C125" i="86"/>
  <c r="C128" i="86"/>
  <c r="I138" i="73"/>
  <c r="I52" i="73"/>
  <c r="C52" i="73" s="1"/>
  <c r="K52" i="97" s="1"/>
  <c r="Q52" i="97" s="1"/>
  <c r="I64" i="73"/>
  <c r="C64" i="73" s="1"/>
  <c r="K64" i="97" s="1"/>
  <c r="C126" i="86"/>
  <c r="C17" i="86"/>
  <c r="C18" i="86"/>
  <c r="P100" i="82"/>
  <c r="V90" i="52"/>
  <c r="W86" i="52"/>
  <c r="Y86" i="52" s="1"/>
  <c r="J70" i="52"/>
  <c r="I38" i="104"/>
  <c r="I37" i="104"/>
  <c r="D8" i="73"/>
  <c r="L8" i="97" s="1"/>
  <c r="K12" i="97"/>
  <c r="C132" i="86"/>
  <c r="I130" i="73"/>
  <c r="C130" i="73" s="1"/>
  <c r="K130" i="97" s="1"/>
  <c r="Q130" i="97" s="1"/>
  <c r="R130" i="97" s="1"/>
  <c r="I100" i="73"/>
  <c r="I98" i="73"/>
  <c r="C10" i="86"/>
  <c r="I8" i="73"/>
  <c r="C91" i="86"/>
  <c r="C79" i="86"/>
  <c r="I81" i="73"/>
  <c r="K81" i="97" s="1"/>
  <c r="Q81" i="97" s="1"/>
  <c r="C83" i="86"/>
  <c r="I70" i="73"/>
  <c r="I20" i="73"/>
  <c r="C46" i="86"/>
  <c r="I93" i="73"/>
  <c r="I76" i="73"/>
  <c r="C82" i="86"/>
  <c r="C84" i="86"/>
  <c r="I58" i="73"/>
  <c r="I80" i="73"/>
  <c r="K80" i="97" s="1"/>
  <c r="C54" i="86"/>
  <c r="I41" i="73"/>
  <c r="C60" i="86"/>
  <c r="C35" i="86"/>
  <c r="I16" i="73"/>
  <c r="C16" i="86"/>
  <c r="I75" i="73"/>
  <c r="I77" i="73"/>
  <c r="K77" i="97" s="1"/>
  <c r="C77" i="86"/>
  <c r="C61" i="86"/>
  <c r="I66" i="73"/>
  <c r="I39" i="73"/>
  <c r="I91" i="73"/>
  <c r="C127" i="86"/>
  <c r="I65" i="73"/>
  <c r="I125" i="73"/>
  <c r="C66" i="86"/>
  <c r="I61" i="73"/>
  <c r="I37" i="73"/>
  <c r="K37" i="97" s="1"/>
  <c r="Q37" i="97" s="1"/>
  <c r="J36" i="125" s="1"/>
  <c r="L36" i="125" s="1"/>
  <c r="I14" i="73"/>
  <c r="C100" i="86"/>
  <c r="C62" i="86"/>
  <c r="I94" i="73"/>
  <c r="C64" i="86"/>
  <c r="I79" i="73"/>
  <c r="I62" i="73"/>
  <c r="C123" i="86"/>
  <c r="C63" i="86"/>
  <c r="I26" i="73"/>
  <c r="I56" i="73"/>
  <c r="C96" i="86"/>
  <c r="I49" i="73"/>
  <c r="C45" i="86"/>
  <c r="I60" i="73"/>
  <c r="I85" i="73"/>
  <c r="C85" i="86"/>
  <c r="C28" i="86"/>
  <c r="I121" i="73"/>
  <c r="J120" i="125" s="1"/>
  <c r="L120" i="125" s="1"/>
  <c r="I18" i="73"/>
  <c r="K18" i="97" s="1"/>
  <c r="C65" i="86"/>
  <c r="C20" i="86"/>
  <c r="I63" i="73"/>
  <c r="C120" i="73"/>
  <c r="K120" i="97" s="1"/>
  <c r="Q120" i="97" s="1"/>
  <c r="R120" i="97" s="1"/>
  <c r="C48" i="86"/>
  <c r="I78" i="73"/>
  <c r="I46" i="73"/>
  <c r="I47" i="73"/>
  <c r="I35" i="73"/>
  <c r="K35" i="97" s="1"/>
  <c r="I89" i="73"/>
  <c r="C89" i="73" s="1"/>
  <c r="I74" i="73"/>
  <c r="C69" i="86"/>
  <c r="I67" i="73"/>
  <c r="C89" i="86"/>
  <c r="C101" i="86"/>
  <c r="I32" i="73"/>
  <c r="K31" i="97" s="1"/>
  <c r="Q31" i="97" s="1"/>
  <c r="I36" i="73"/>
  <c r="K36" i="97" s="1"/>
  <c r="Q36" i="97" s="1"/>
  <c r="I29" i="73"/>
  <c r="C30" i="86"/>
  <c r="I24" i="73"/>
  <c r="I19" i="73"/>
  <c r="C37" i="86"/>
  <c r="I50" i="73"/>
  <c r="I99" i="73"/>
  <c r="C108" i="86"/>
  <c r="I87" i="73"/>
  <c r="I59" i="73"/>
  <c r="I83" i="73"/>
  <c r="L46" i="97"/>
  <c r="L83" i="97"/>
  <c r="L53" i="97"/>
  <c r="L23" i="97"/>
  <c r="L15" i="97"/>
  <c r="L78" i="97"/>
  <c r="L62" i="97"/>
  <c r="L88" i="97"/>
  <c r="L20" i="97"/>
  <c r="L66" i="97"/>
  <c r="L64" i="97"/>
  <c r="L85" i="97"/>
  <c r="L51" i="97"/>
  <c r="L69" i="97"/>
  <c r="L55" i="97"/>
  <c r="L90" i="97"/>
  <c r="L50" i="97"/>
  <c r="L27" i="97"/>
  <c r="L93" i="97"/>
  <c r="L87" i="97"/>
  <c r="L17" i="97"/>
  <c r="D143" i="86"/>
  <c r="L82" i="97"/>
  <c r="D140" i="86"/>
  <c r="L61" i="97"/>
  <c r="L43" i="97"/>
  <c r="L74" i="97"/>
  <c r="L48" i="97"/>
  <c r="K11" i="97"/>
  <c r="Q11" i="97" s="1"/>
  <c r="J9" i="125" s="1"/>
  <c r="L9" i="125" s="1"/>
  <c r="L24" i="97"/>
  <c r="K71" i="97"/>
  <c r="Q71" i="97" s="1"/>
  <c r="K72" i="97"/>
  <c r="Q72" i="97" s="1"/>
  <c r="J71" i="125" s="1"/>
  <c r="L71" i="125" s="1"/>
  <c r="L80" i="97"/>
  <c r="K34" i="97"/>
  <c r="L76" i="97"/>
  <c r="L58" i="97"/>
  <c r="L49" i="97"/>
  <c r="L73" i="97"/>
  <c r="L28" i="97"/>
  <c r="L54" i="97"/>
  <c r="L65" i="97"/>
  <c r="L100" i="97"/>
  <c r="L56" i="97"/>
  <c r="L91" i="97"/>
  <c r="K10" i="97"/>
  <c r="L89" i="97"/>
  <c r="L47" i="97"/>
  <c r="L79" i="97"/>
  <c r="L59" i="97"/>
  <c r="L67" i="97"/>
  <c r="L95" i="97"/>
  <c r="L22" i="97"/>
  <c r="L29" i="97"/>
  <c r="L18" i="97"/>
  <c r="L25" i="97"/>
  <c r="K9" i="97"/>
  <c r="L9" i="97"/>
  <c r="L12" i="97"/>
  <c r="L34" i="97"/>
  <c r="L42" i="97"/>
  <c r="L77" i="97"/>
  <c r="L92" i="97"/>
  <c r="L99" i="97"/>
  <c r="K101" i="97"/>
  <c r="Q101" i="97" s="1"/>
  <c r="L84" i="97"/>
  <c r="L16" i="97"/>
  <c r="L35" i="97"/>
  <c r="L44" i="97"/>
  <c r="L63" i="97"/>
  <c r="L75" i="97"/>
  <c r="L41" i="97"/>
  <c r="L70" i="97"/>
  <c r="K22" i="97"/>
  <c r="L10" i="97"/>
  <c r="L13" i="97"/>
  <c r="J110" i="125"/>
  <c r="L110" i="125" s="1"/>
  <c r="K13" i="97"/>
  <c r="L60" i="97"/>
  <c r="C70" i="86"/>
  <c r="I82" i="73"/>
  <c r="C82" i="73" s="1"/>
  <c r="I68" i="73"/>
  <c r="V29" i="52"/>
  <c r="T27" i="52"/>
  <c r="T46" i="52"/>
  <c r="Y46" i="52" s="1"/>
  <c r="Q27" i="52"/>
  <c r="P27" i="52"/>
  <c r="J27" i="52"/>
  <c r="V23" i="109"/>
  <c r="T22" i="109" s="1"/>
  <c r="K27" i="52"/>
  <c r="C96" i="73" l="1"/>
  <c r="K96" i="97" s="1"/>
  <c r="Q96" i="97" s="1"/>
  <c r="K71" i="52"/>
  <c r="Q69" i="52"/>
  <c r="K69" i="52"/>
  <c r="K72" i="52"/>
  <c r="K70" i="52"/>
  <c r="W116" i="73"/>
  <c r="X116" i="73" s="1"/>
  <c r="P54" i="104"/>
  <c r="BA127" i="73"/>
  <c r="J67" i="52" s="1"/>
  <c r="Y115" i="73"/>
  <c r="Z115" i="73" s="1"/>
  <c r="AC116" i="73"/>
  <c r="AD116" i="73" s="1"/>
  <c r="W115" i="73"/>
  <c r="X115" i="73" s="1"/>
  <c r="N70" i="52"/>
  <c r="AA116" i="73"/>
  <c r="AB116" i="73" s="1"/>
  <c r="N67" i="52"/>
  <c r="N71" i="52"/>
  <c r="AC115" i="73"/>
  <c r="AD115" i="73" s="1"/>
  <c r="N66" i="52"/>
  <c r="Q72" i="52"/>
  <c r="Q70" i="52"/>
  <c r="BB127" i="73"/>
  <c r="J68" i="52" s="1"/>
  <c r="K38" i="104"/>
  <c r="P38" i="104" s="1"/>
  <c r="AH127" i="73"/>
  <c r="K65" i="52" s="1"/>
  <c r="AY127" i="73"/>
  <c r="J66" i="52" s="1"/>
  <c r="K66" i="52"/>
  <c r="AX38" i="73"/>
  <c r="AV8" i="73"/>
  <c r="Q71" i="52"/>
  <c r="M23" i="52"/>
  <c r="E50" i="104"/>
  <c r="K33" i="104"/>
  <c r="K31" i="104"/>
  <c r="K49" i="104"/>
  <c r="G37" i="104"/>
  <c r="P37" i="104" s="1"/>
  <c r="K50" i="104"/>
  <c r="P47" i="104"/>
  <c r="M31" i="104"/>
  <c r="M32" i="104"/>
  <c r="P32" i="104" s="1"/>
  <c r="M33" i="104"/>
  <c r="P30" i="104"/>
  <c r="M50" i="104"/>
  <c r="M48" i="104"/>
  <c r="M49" i="104"/>
  <c r="E48" i="104"/>
  <c r="P36" i="104"/>
  <c r="AW123" i="73"/>
  <c r="AV100" i="73"/>
  <c r="AU89" i="73"/>
  <c r="AU123" i="73"/>
  <c r="W98" i="73"/>
  <c r="X98" i="73" s="1"/>
  <c r="AD100" i="73"/>
  <c r="AA98" i="73"/>
  <c r="AB98" i="73" s="1"/>
  <c r="Y98" i="73"/>
  <c r="Z98" i="73" s="1"/>
  <c r="X75" i="73"/>
  <c r="AX75" i="73"/>
  <c r="AW100" i="73"/>
  <c r="AW75" i="73"/>
  <c r="AW28" i="73"/>
  <c r="AD44" i="73"/>
  <c r="AV38" i="73"/>
  <c r="X83" i="73"/>
  <c r="Z63" i="73"/>
  <c r="X38" i="73"/>
  <c r="AU38" i="73"/>
  <c r="AV89" i="73"/>
  <c r="AW83" i="73"/>
  <c r="AW119" i="73"/>
  <c r="X28" i="73"/>
  <c r="AV44" i="73"/>
  <c r="N68" i="52"/>
  <c r="K139" i="97"/>
  <c r="Q139" i="97" s="1"/>
  <c r="R139" i="97" s="1"/>
  <c r="K138" i="125" s="1"/>
  <c r="K127" i="97"/>
  <c r="Q127" i="97" s="1"/>
  <c r="R127" i="97" s="1"/>
  <c r="K126" i="125" s="1"/>
  <c r="P23" i="52"/>
  <c r="AV83" i="73"/>
  <c r="W50" i="73"/>
  <c r="AU50" i="73" s="1"/>
  <c r="Y50" i="73"/>
  <c r="AV50" i="73" s="1"/>
  <c r="P61" i="52" s="1"/>
  <c r="AA50" i="73"/>
  <c r="AW50" i="73" s="1"/>
  <c r="N65" i="52"/>
  <c r="AB89" i="73"/>
  <c r="AW89" i="73"/>
  <c r="K68" i="52"/>
  <c r="AA129" i="73"/>
  <c r="AB129" i="73" s="1"/>
  <c r="K67" i="52"/>
  <c r="AV62" i="73"/>
  <c r="AB44" i="73"/>
  <c r="AW44" i="73"/>
  <c r="X119" i="73"/>
  <c r="AU119" i="73"/>
  <c r="AW63" i="73"/>
  <c r="AB63" i="73"/>
  <c r="AX63" i="73"/>
  <c r="Z28" i="73"/>
  <c r="AV28" i="73"/>
  <c r="AB62" i="73"/>
  <c r="AW62" i="73"/>
  <c r="AV119" i="73"/>
  <c r="W129" i="73"/>
  <c r="X129" i="73" s="1"/>
  <c r="Y129" i="73"/>
  <c r="Z129" i="73" s="1"/>
  <c r="X62" i="73"/>
  <c r="AU62" i="73"/>
  <c r="Z123" i="73"/>
  <c r="AV123" i="73"/>
  <c r="X68" i="73"/>
  <c r="AU68" i="73"/>
  <c r="X57" i="73"/>
  <c r="AU57" i="73"/>
  <c r="AW139" i="73"/>
  <c r="S63" i="52" s="1"/>
  <c r="S73" i="52" s="1"/>
  <c r="AB139" i="73"/>
  <c r="AB31" i="73"/>
  <c r="AW31" i="73"/>
  <c r="X103" i="73"/>
  <c r="X99" i="73"/>
  <c r="AU99" i="73"/>
  <c r="X48" i="73"/>
  <c r="AU48" i="73"/>
  <c r="X70" i="73"/>
  <c r="AU70" i="73"/>
  <c r="AB92" i="73"/>
  <c r="AW92" i="73"/>
  <c r="X120" i="73"/>
  <c r="AU120" i="73"/>
  <c r="AB19" i="73"/>
  <c r="AW19" i="73"/>
  <c r="AC131" i="73"/>
  <c r="Y131" i="73"/>
  <c r="AA131" i="73"/>
  <c r="W131" i="73"/>
  <c r="AL50" i="73"/>
  <c r="Q68" i="52" s="1"/>
  <c r="BB50" i="73"/>
  <c r="P68" i="52" s="1"/>
  <c r="AB76" i="73"/>
  <c r="AW76" i="73"/>
  <c r="AD60" i="73"/>
  <c r="AX60" i="73"/>
  <c r="Z104" i="73"/>
  <c r="AB59" i="73"/>
  <c r="AW59" i="73"/>
  <c r="Z117" i="73"/>
  <c r="AB106" i="73"/>
  <c r="X79" i="73"/>
  <c r="AU79" i="73"/>
  <c r="Z124" i="73"/>
  <c r="AV124" i="73"/>
  <c r="Z39" i="73"/>
  <c r="AV39" i="73"/>
  <c r="X8" i="73"/>
  <c r="AU8" i="73"/>
  <c r="AB137" i="73"/>
  <c r="AW137" i="73"/>
  <c r="AD126" i="73"/>
  <c r="AX126" i="73"/>
  <c r="AX94" i="73"/>
  <c r="AD94" i="73"/>
  <c r="X21" i="73"/>
  <c r="AU21" i="73"/>
  <c r="AB111" i="73"/>
  <c r="AD55" i="73"/>
  <c r="AX55" i="73"/>
  <c r="AD56" i="73"/>
  <c r="AX56" i="73"/>
  <c r="AB130" i="73"/>
  <c r="AW130" i="73"/>
  <c r="X14" i="73"/>
  <c r="AU14" i="73"/>
  <c r="X133" i="73"/>
  <c r="AU133" i="73"/>
  <c r="AU134" i="73"/>
  <c r="M62" i="52" s="1"/>
  <c r="X134" i="73"/>
  <c r="X140" i="73"/>
  <c r="AU140" i="73"/>
  <c r="Z105" i="73"/>
  <c r="AD26" i="73"/>
  <c r="AX26" i="73"/>
  <c r="AD29" i="73"/>
  <c r="AX29" i="73"/>
  <c r="AD108" i="73"/>
  <c r="AD110" i="73"/>
  <c r="AD24" i="73"/>
  <c r="AX24" i="73"/>
  <c r="AB58" i="73"/>
  <c r="AW58" i="73"/>
  <c r="AB54" i="73"/>
  <c r="AW54" i="73"/>
  <c r="AD96" i="73"/>
  <c r="AB67" i="73"/>
  <c r="AW67" i="73"/>
  <c r="AD53" i="73"/>
  <c r="AX53" i="73"/>
  <c r="AB132" i="73"/>
  <c r="AW132" i="73"/>
  <c r="AD51" i="73"/>
  <c r="AX51" i="73"/>
  <c r="AU78" i="73"/>
  <c r="X78" i="73"/>
  <c r="AD68" i="73"/>
  <c r="AX68" i="73"/>
  <c r="AB57" i="73"/>
  <c r="AW57" i="73"/>
  <c r="X139" i="73"/>
  <c r="AU139" i="73"/>
  <c r="Z31" i="73"/>
  <c r="AV31" i="73"/>
  <c r="AD103" i="73"/>
  <c r="AD99" i="73"/>
  <c r="AX99" i="73"/>
  <c r="AD48" i="73"/>
  <c r="AX48" i="73"/>
  <c r="AB70" i="73"/>
  <c r="AW70" i="73"/>
  <c r="Z92" i="73"/>
  <c r="AV92" i="73"/>
  <c r="Z120" i="73"/>
  <c r="AV120" i="73"/>
  <c r="X19" i="73"/>
  <c r="AU19" i="73"/>
  <c r="Z107" i="73"/>
  <c r="X76" i="73"/>
  <c r="AU76" i="73"/>
  <c r="AD104" i="73"/>
  <c r="AD59" i="73"/>
  <c r="AX59" i="73"/>
  <c r="AD117" i="73"/>
  <c r="Z106" i="73"/>
  <c r="AB87" i="73"/>
  <c r="AW87" i="73"/>
  <c r="AD98" i="73"/>
  <c r="AX98" i="73"/>
  <c r="V64" i="52" s="1"/>
  <c r="AB79" i="73"/>
  <c r="AW79" i="73"/>
  <c r="AB124" i="73"/>
  <c r="AW124" i="73"/>
  <c r="AD39" i="73"/>
  <c r="AX39" i="73"/>
  <c r="AD8" i="73"/>
  <c r="AX8" i="73"/>
  <c r="AD137" i="73"/>
  <c r="AX137" i="73"/>
  <c r="Z90" i="73"/>
  <c r="AV90" i="73"/>
  <c r="AB30" i="73"/>
  <c r="AW30" i="73"/>
  <c r="AB21" i="73"/>
  <c r="AW21" i="73"/>
  <c r="X111" i="73"/>
  <c r="AB85" i="73"/>
  <c r="AW85" i="73"/>
  <c r="AD130" i="73"/>
  <c r="AX130" i="73"/>
  <c r="AB14" i="73"/>
  <c r="AW14" i="73"/>
  <c r="AB133" i="73"/>
  <c r="AW133" i="73"/>
  <c r="AB134" i="73"/>
  <c r="AW134" i="73"/>
  <c r="M63" i="52" s="1"/>
  <c r="M73" i="52" s="1"/>
  <c r="AD140" i="73"/>
  <c r="AX140" i="73"/>
  <c r="AD105" i="73"/>
  <c r="Z116" i="73"/>
  <c r="Z125" i="73"/>
  <c r="AV125" i="73"/>
  <c r="X20" i="73"/>
  <c r="AU20" i="73"/>
  <c r="Z58" i="73"/>
  <c r="AV58" i="73"/>
  <c r="Z54" i="73"/>
  <c r="AV54" i="73"/>
  <c r="AU17" i="73"/>
  <c r="X17" i="73"/>
  <c r="Z67" i="73"/>
  <c r="AV67" i="73"/>
  <c r="X45" i="73"/>
  <c r="AU45" i="73"/>
  <c r="AV132" i="73"/>
  <c r="Z132" i="73"/>
  <c r="Z82" i="73"/>
  <c r="AV82" i="73"/>
  <c r="AB52" i="73"/>
  <c r="AW52" i="73"/>
  <c r="Z78" i="73"/>
  <c r="AV78" i="73"/>
  <c r="Z95" i="73"/>
  <c r="AV95" i="73"/>
  <c r="Z57" i="73"/>
  <c r="AV57" i="73"/>
  <c r="AV139" i="73"/>
  <c r="Z139" i="73"/>
  <c r="AU31" i="73"/>
  <c r="X31" i="73"/>
  <c r="Z41" i="73"/>
  <c r="AV41" i="73"/>
  <c r="Z135" i="73"/>
  <c r="AV135" i="73"/>
  <c r="Z70" i="73"/>
  <c r="AV70" i="73"/>
  <c r="X92" i="73"/>
  <c r="AU92" i="73"/>
  <c r="AB120" i="73"/>
  <c r="AW120" i="73"/>
  <c r="Z19" i="73"/>
  <c r="AV19" i="73"/>
  <c r="AB107" i="73"/>
  <c r="AD76" i="73"/>
  <c r="AX76" i="73"/>
  <c r="Z93" i="73"/>
  <c r="AV93" i="73"/>
  <c r="AB136" i="73"/>
  <c r="AW136" i="73"/>
  <c r="Z66" i="73"/>
  <c r="AV66" i="73"/>
  <c r="Z27" i="73"/>
  <c r="AV27" i="73"/>
  <c r="AD106" i="73"/>
  <c r="X87" i="73"/>
  <c r="AU87" i="73"/>
  <c r="Z127" i="73"/>
  <c r="AV127" i="73"/>
  <c r="Z79" i="73"/>
  <c r="AV79" i="73"/>
  <c r="X124" i="73"/>
  <c r="AU124" i="73"/>
  <c r="X15" i="73"/>
  <c r="AU15" i="73"/>
  <c r="W22" i="73"/>
  <c r="X22" i="73" s="1"/>
  <c r="Z74" i="73"/>
  <c r="AV74" i="73"/>
  <c r="AB97" i="73"/>
  <c r="AW97" i="73"/>
  <c r="AB90" i="73"/>
  <c r="AW90" i="73"/>
  <c r="AU30" i="73"/>
  <c r="X30" i="73"/>
  <c r="AD21" i="73"/>
  <c r="AX21" i="73"/>
  <c r="AD111" i="73"/>
  <c r="X85" i="73"/>
  <c r="AU85" i="73"/>
  <c r="AV14" i="73"/>
  <c r="Z14" i="73"/>
  <c r="Z133" i="73"/>
  <c r="AV133" i="73"/>
  <c r="Z134" i="73"/>
  <c r="AV134" i="73"/>
  <c r="M61" i="52" s="1"/>
  <c r="X125" i="73"/>
  <c r="AU125" i="73"/>
  <c r="Z20" i="73"/>
  <c r="AV20" i="73"/>
  <c r="AD58" i="73"/>
  <c r="AX58" i="73"/>
  <c r="AD54" i="73"/>
  <c r="AX54" i="73"/>
  <c r="AB17" i="73"/>
  <c r="AW17" i="73"/>
  <c r="AD67" i="73"/>
  <c r="AX67" i="73"/>
  <c r="AB45" i="73"/>
  <c r="AW45" i="73"/>
  <c r="AD132" i="73"/>
  <c r="AX132" i="73"/>
  <c r="AB82" i="73"/>
  <c r="AW82" i="73"/>
  <c r="X52" i="73"/>
  <c r="AU52" i="73"/>
  <c r="AD78" i="73"/>
  <c r="AX78" i="73"/>
  <c r="AB95" i="73"/>
  <c r="AW95" i="73"/>
  <c r="AD57" i="73"/>
  <c r="AX57" i="73"/>
  <c r="AD139" i="73"/>
  <c r="AX139" i="73"/>
  <c r="S64" i="52" s="1"/>
  <c r="AD31" i="73"/>
  <c r="AX31" i="73"/>
  <c r="AU41" i="73"/>
  <c r="X41" i="73"/>
  <c r="AB135" i="73"/>
  <c r="AW135" i="73"/>
  <c r="AD70" i="73"/>
  <c r="AX70" i="73"/>
  <c r="AX92" i="73"/>
  <c r="AD92" i="73"/>
  <c r="AD120" i="73"/>
  <c r="AX120" i="73"/>
  <c r="AD19" i="73"/>
  <c r="AX19" i="73"/>
  <c r="X107" i="73"/>
  <c r="X113" i="73"/>
  <c r="Z25" i="73"/>
  <c r="AV25" i="73"/>
  <c r="AB93" i="73"/>
  <c r="AW93" i="73"/>
  <c r="X136" i="73"/>
  <c r="AU136" i="73"/>
  <c r="AB66" i="73"/>
  <c r="AW66" i="73"/>
  <c r="AB27" i="73"/>
  <c r="AW27" i="73"/>
  <c r="X88" i="73"/>
  <c r="AU88" i="73"/>
  <c r="Z87" i="73"/>
  <c r="AV87" i="73"/>
  <c r="AB127" i="73"/>
  <c r="AW127" i="73"/>
  <c r="J63" i="52" s="1"/>
  <c r="J73" i="52" s="1"/>
  <c r="AD79" i="73"/>
  <c r="AX79" i="73"/>
  <c r="AD124" i="73"/>
  <c r="AX124" i="73"/>
  <c r="AB15" i="73"/>
  <c r="AW15" i="73"/>
  <c r="AA22" i="73"/>
  <c r="AB22" i="73" s="1"/>
  <c r="AB74" i="73"/>
  <c r="AW74" i="73"/>
  <c r="X97" i="73"/>
  <c r="AU97" i="73"/>
  <c r="X90" i="73"/>
  <c r="AU90" i="73"/>
  <c r="AV30" i="73"/>
  <c r="Z30" i="73"/>
  <c r="AW46" i="73"/>
  <c r="AB46" i="73"/>
  <c r="X61" i="73"/>
  <c r="AU61" i="73"/>
  <c r="X91" i="73"/>
  <c r="AU91" i="73"/>
  <c r="Z16" i="73"/>
  <c r="AV16" i="73"/>
  <c r="AV85" i="73"/>
  <c r="Z85" i="73"/>
  <c r="AD14" i="73"/>
  <c r="AX14" i="73"/>
  <c r="AD133" i="73"/>
  <c r="AX133" i="73"/>
  <c r="AD134" i="73"/>
  <c r="AX134" i="73"/>
  <c r="M64" i="52" s="1"/>
  <c r="AB125" i="73"/>
  <c r="AW125" i="73"/>
  <c r="AB20" i="73"/>
  <c r="AW20" i="73"/>
  <c r="AB69" i="73"/>
  <c r="AW69" i="73"/>
  <c r="Z118" i="73"/>
  <c r="Z17" i="73"/>
  <c r="AV17" i="73"/>
  <c r="X65" i="73"/>
  <c r="AU65" i="73"/>
  <c r="AV45" i="73"/>
  <c r="Z45" i="73"/>
  <c r="X82" i="73"/>
  <c r="AU82" i="73"/>
  <c r="Z52" i="73"/>
  <c r="AV52" i="73"/>
  <c r="AB73" i="73"/>
  <c r="AW73" i="73"/>
  <c r="X95" i="73"/>
  <c r="AU95" i="73"/>
  <c r="AB86" i="73"/>
  <c r="AW86" i="73"/>
  <c r="AB41" i="73"/>
  <c r="AW41" i="73"/>
  <c r="X135" i="73"/>
  <c r="AU135" i="73"/>
  <c r="AV42" i="73"/>
  <c r="Z42" i="73"/>
  <c r="AB43" i="73"/>
  <c r="AW43" i="73"/>
  <c r="X109" i="73"/>
  <c r="AV49" i="73"/>
  <c r="Z49" i="73"/>
  <c r="AD107" i="73"/>
  <c r="Z113" i="73"/>
  <c r="AB25" i="73"/>
  <c r="AW25" i="73"/>
  <c r="X93" i="73"/>
  <c r="AU93" i="73"/>
  <c r="Z136" i="73"/>
  <c r="AV136" i="73"/>
  <c r="X66" i="73"/>
  <c r="AU66" i="73"/>
  <c r="AU27" i="73"/>
  <c r="X27" i="73"/>
  <c r="AB88" i="73"/>
  <c r="AW88" i="73"/>
  <c r="AX87" i="73"/>
  <c r="AD87" i="73"/>
  <c r="X127" i="73"/>
  <c r="AU127" i="73"/>
  <c r="Z15" i="73"/>
  <c r="AV15" i="73"/>
  <c r="Y22" i="73"/>
  <c r="Z22" i="73" s="1"/>
  <c r="AB114" i="73"/>
  <c r="X74" i="73"/>
  <c r="AU74" i="73"/>
  <c r="Z97" i="73"/>
  <c r="AV97" i="73"/>
  <c r="AX90" i="73"/>
  <c r="AD90" i="73"/>
  <c r="AD30" i="73"/>
  <c r="AX30" i="73"/>
  <c r="X46" i="73"/>
  <c r="AU46" i="73"/>
  <c r="AB61" i="73"/>
  <c r="AW61" i="73"/>
  <c r="Z91" i="73"/>
  <c r="AV91" i="73"/>
  <c r="AB16" i="73"/>
  <c r="AW16" i="73"/>
  <c r="AD85" i="73"/>
  <c r="AX85" i="73"/>
  <c r="AB64" i="73"/>
  <c r="AW64" i="73"/>
  <c r="X47" i="73"/>
  <c r="AU47" i="73"/>
  <c r="X40" i="73"/>
  <c r="AU40" i="73"/>
  <c r="AD125" i="73"/>
  <c r="AX125" i="73"/>
  <c r="AD20" i="73"/>
  <c r="AX20" i="73"/>
  <c r="X69" i="73"/>
  <c r="AU69" i="73"/>
  <c r="AB118" i="73"/>
  <c r="AD17" i="73"/>
  <c r="AX17" i="73"/>
  <c r="Z65" i="73"/>
  <c r="AV65" i="73"/>
  <c r="AD45" i="73"/>
  <c r="AX45" i="73"/>
  <c r="AD82" i="73"/>
  <c r="AX82" i="73"/>
  <c r="AD52" i="73"/>
  <c r="AX52" i="73"/>
  <c r="X73" i="73"/>
  <c r="AU73" i="73"/>
  <c r="AF129" i="73"/>
  <c r="AY129" i="73"/>
  <c r="AD95" i="73"/>
  <c r="AX95" i="73"/>
  <c r="Z86" i="73"/>
  <c r="AV86" i="73"/>
  <c r="AD41" i="73"/>
  <c r="AX41" i="73"/>
  <c r="AD135" i="73"/>
  <c r="AX135" i="73"/>
  <c r="AB42" i="73"/>
  <c r="AW42" i="73"/>
  <c r="X43" i="73"/>
  <c r="AU43" i="73"/>
  <c r="AB109" i="73"/>
  <c r="AB49" i="73"/>
  <c r="AW49" i="73"/>
  <c r="AB113" i="73"/>
  <c r="AF50" i="73"/>
  <c r="Q66" i="52" s="1"/>
  <c r="AY50" i="73"/>
  <c r="P66" i="52" s="1"/>
  <c r="X25" i="73"/>
  <c r="AU25" i="73"/>
  <c r="X60" i="73"/>
  <c r="AU60" i="73"/>
  <c r="AD93" i="73"/>
  <c r="AX93" i="73"/>
  <c r="AD136" i="73"/>
  <c r="AX136" i="73"/>
  <c r="AD66" i="73"/>
  <c r="AX66" i="73"/>
  <c r="AD27" i="73"/>
  <c r="AX27" i="73"/>
  <c r="Z88" i="73"/>
  <c r="AV88" i="73"/>
  <c r="AD127" i="73"/>
  <c r="AX127" i="73"/>
  <c r="J64" i="52" s="1"/>
  <c r="AD15" i="73"/>
  <c r="AX15" i="73"/>
  <c r="X114" i="73"/>
  <c r="AD74" i="73"/>
  <c r="AX74" i="73"/>
  <c r="AD97" i="73"/>
  <c r="AX97" i="73"/>
  <c r="Z126" i="73"/>
  <c r="AV126" i="73"/>
  <c r="AB94" i="73"/>
  <c r="AW94" i="73"/>
  <c r="Z46" i="73"/>
  <c r="AV46" i="73"/>
  <c r="Z61" i="73"/>
  <c r="AV61" i="73"/>
  <c r="AB91" i="73"/>
  <c r="AW91" i="73"/>
  <c r="X16" i="73"/>
  <c r="AU16" i="73"/>
  <c r="AW55" i="73"/>
  <c r="AB55" i="73"/>
  <c r="Z56" i="73"/>
  <c r="AV56" i="73"/>
  <c r="X64" i="73"/>
  <c r="AU64" i="73"/>
  <c r="Z47" i="73"/>
  <c r="AV47" i="73"/>
  <c r="Z40" i="73"/>
  <c r="AV40" i="73"/>
  <c r="AD7" i="73"/>
  <c r="AX7" i="73"/>
  <c r="AB26" i="73"/>
  <c r="AW26" i="73"/>
  <c r="X29" i="73"/>
  <c r="AU29" i="73"/>
  <c r="AB108" i="73"/>
  <c r="AB110" i="73"/>
  <c r="X24" i="73"/>
  <c r="AU24" i="73"/>
  <c r="Z69" i="73"/>
  <c r="AV69" i="73"/>
  <c r="X118" i="73"/>
  <c r="AB96" i="73"/>
  <c r="AB65" i="73"/>
  <c r="AW65" i="73"/>
  <c r="X53" i="73"/>
  <c r="AU53" i="73"/>
  <c r="Z51" i="73"/>
  <c r="AV51" i="73"/>
  <c r="Z73" i="73"/>
  <c r="AV73" i="73"/>
  <c r="BA129" i="73"/>
  <c r="AJ129" i="73"/>
  <c r="Z68" i="73"/>
  <c r="AV68" i="73"/>
  <c r="X86" i="73"/>
  <c r="AU86" i="73"/>
  <c r="AB103" i="73"/>
  <c r="AW99" i="73"/>
  <c r="AB99" i="73"/>
  <c r="AB48" i="73"/>
  <c r="AW48" i="73"/>
  <c r="X42" i="73"/>
  <c r="AU42" i="73"/>
  <c r="Z43" i="73"/>
  <c r="AV43" i="73"/>
  <c r="Z109" i="73"/>
  <c r="X49" i="73"/>
  <c r="AU49" i="73"/>
  <c r="AD113" i="73"/>
  <c r="AZ50" i="73"/>
  <c r="P65" i="52" s="1"/>
  <c r="AH50" i="73"/>
  <c r="Q65" i="52" s="1"/>
  <c r="AD25" i="73"/>
  <c r="AX25" i="73"/>
  <c r="Z60" i="73"/>
  <c r="AV60" i="73"/>
  <c r="X104" i="73"/>
  <c r="Z59" i="73"/>
  <c r="AV59" i="73"/>
  <c r="X117" i="73"/>
  <c r="AX88" i="73"/>
  <c r="AD88" i="73"/>
  <c r="X39" i="73"/>
  <c r="AU39" i="73"/>
  <c r="AC22" i="73"/>
  <c r="AD22" i="73" s="1"/>
  <c r="Z114" i="73"/>
  <c r="X137" i="73"/>
  <c r="AU137" i="73"/>
  <c r="AB126" i="73"/>
  <c r="AW126" i="73"/>
  <c r="X94" i="73"/>
  <c r="AU94" i="73"/>
  <c r="AD46" i="73"/>
  <c r="AX46" i="73"/>
  <c r="AD61" i="73"/>
  <c r="AX61" i="73"/>
  <c r="AD91" i="73"/>
  <c r="AX91" i="73"/>
  <c r="AD16" i="73"/>
  <c r="AX16" i="73"/>
  <c r="X55" i="73"/>
  <c r="AU55" i="73"/>
  <c r="AB56" i="73"/>
  <c r="AW56" i="73"/>
  <c r="Z64" i="73"/>
  <c r="AV64" i="73"/>
  <c r="X130" i="73"/>
  <c r="AU130" i="73"/>
  <c r="AB47" i="73"/>
  <c r="AW47" i="73"/>
  <c r="AB40" i="73"/>
  <c r="AW40" i="73"/>
  <c r="AB140" i="73"/>
  <c r="AW140" i="73"/>
  <c r="AB105" i="73"/>
  <c r="X26" i="73"/>
  <c r="AU26" i="73"/>
  <c r="Z29" i="73"/>
  <c r="AV29" i="73"/>
  <c r="Z108" i="73"/>
  <c r="X110" i="73"/>
  <c r="AB24" i="73"/>
  <c r="AW24" i="73"/>
  <c r="AD69" i="73"/>
  <c r="AX69" i="73"/>
  <c r="AD118" i="73"/>
  <c r="X96" i="73"/>
  <c r="AD65" i="73"/>
  <c r="AX65" i="73"/>
  <c r="AB53" i="73"/>
  <c r="AW53" i="73"/>
  <c r="AB51" i="73"/>
  <c r="AW51" i="73"/>
  <c r="AD73" i="73"/>
  <c r="AX73" i="73"/>
  <c r="AZ129" i="73"/>
  <c r="AH129" i="73"/>
  <c r="AB68" i="73"/>
  <c r="AW68" i="73"/>
  <c r="AD86" i="73"/>
  <c r="AX86" i="73"/>
  <c r="Z103" i="73"/>
  <c r="Z99" i="73"/>
  <c r="AV99" i="73"/>
  <c r="Z48" i="73"/>
  <c r="AV48" i="73"/>
  <c r="AD42" i="73"/>
  <c r="AX42" i="73"/>
  <c r="AD43" i="73"/>
  <c r="AX43" i="73"/>
  <c r="AD109" i="73"/>
  <c r="AD49" i="73"/>
  <c r="AX49" i="73"/>
  <c r="AJ50" i="73"/>
  <c r="Q67" i="52" s="1"/>
  <c r="BA50" i="73"/>
  <c r="P67" i="52" s="1"/>
  <c r="AV76" i="73"/>
  <c r="Z76" i="73"/>
  <c r="AB60" i="73"/>
  <c r="AW60" i="73"/>
  <c r="AB104" i="73"/>
  <c r="X59" i="73"/>
  <c r="AU59" i="73"/>
  <c r="AB117" i="73"/>
  <c r="X106" i="73"/>
  <c r="AB39" i="73"/>
  <c r="AW39" i="73"/>
  <c r="AD114" i="73"/>
  <c r="Z137" i="73"/>
  <c r="AV137" i="73"/>
  <c r="X126" i="73"/>
  <c r="AU126" i="73"/>
  <c r="Z94" i="73"/>
  <c r="AV94" i="73"/>
  <c r="Z21" i="73"/>
  <c r="AV21" i="73"/>
  <c r="Z111" i="73"/>
  <c r="Z55" i="73"/>
  <c r="AV55" i="73"/>
  <c r="X56" i="73"/>
  <c r="AU56" i="73"/>
  <c r="AD64" i="73"/>
  <c r="AX64" i="73"/>
  <c r="AV130" i="73"/>
  <c r="Z130" i="73"/>
  <c r="AD47" i="73"/>
  <c r="AX47" i="73"/>
  <c r="AD50" i="73"/>
  <c r="AX50" i="73"/>
  <c r="AD40" i="73"/>
  <c r="AX40" i="73"/>
  <c r="Z140" i="73"/>
  <c r="AV140" i="73"/>
  <c r="X105" i="73"/>
  <c r="Z26" i="73"/>
  <c r="AV26" i="73"/>
  <c r="AB29" i="73"/>
  <c r="AW29" i="73"/>
  <c r="X108" i="73"/>
  <c r="Z110" i="73"/>
  <c r="Z24" i="73"/>
  <c r="AV24" i="73"/>
  <c r="X58" i="73"/>
  <c r="AU58" i="73"/>
  <c r="X54" i="73"/>
  <c r="AU54" i="73"/>
  <c r="Z96" i="73"/>
  <c r="X67" i="73"/>
  <c r="AU67" i="73"/>
  <c r="Z53" i="73"/>
  <c r="AV53" i="73"/>
  <c r="X132" i="73"/>
  <c r="AU132" i="73"/>
  <c r="X51" i="73"/>
  <c r="AU51" i="73"/>
  <c r="AB78" i="73"/>
  <c r="AW78" i="73"/>
  <c r="AL129" i="73"/>
  <c r="BB129" i="73"/>
  <c r="AD129" i="73"/>
  <c r="AX129" i="73"/>
  <c r="D106" i="86"/>
  <c r="J103" i="125"/>
  <c r="L103" i="125" s="1"/>
  <c r="K123" i="125"/>
  <c r="J123" i="125"/>
  <c r="L123" i="125" s="1"/>
  <c r="R101" i="97"/>
  <c r="K100" i="125" s="1"/>
  <c r="J100" i="125"/>
  <c r="L100" i="125" s="1"/>
  <c r="R81" i="97"/>
  <c r="K80" i="125" s="1"/>
  <c r="J80" i="125"/>
  <c r="L80" i="125" s="1"/>
  <c r="K129" i="125"/>
  <c r="J129" i="125"/>
  <c r="L129" i="125" s="1"/>
  <c r="K132" i="125"/>
  <c r="J132" i="125"/>
  <c r="L132" i="125" s="1"/>
  <c r="R26" i="97"/>
  <c r="K25" i="125" s="1"/>
  <c r="J25" i="125"/>
  <c r="L25" i="125" s="1"/>
  <c r="K106" i="125"/>
  <c r="J106" i="125"/>
  <c r="L106" i="125" s="1"/>
  <c r="R36" i="97"/>
  <c r="K35" i="125" s="1"/>
  <c r="J35" i="125"/>
  <c r="L35" i="125" s="1"/>
  <c r="K114" i="125"/>
  <c r="J114" i="125"/>
  <c r="L114" i="125" s="1"/>
  <c r="K136" i="125"/>
  <c r="J136" i="125"/>
  <c r="L136" i="125" s="1"/>
  <c r="K130" i="125"/>
  <c r="J130" i="125"/>
  <c r="L130" i="125" s="1"/>
  <c r="D23" i="86"/>
  <c r="J19" i="125"/>
  <c r="L19" i="125" s="1"/>
  <c r="K133" i="125"/>
  <c r="J133" i="125"/>
  <c r="L133" i="125" s="1"/>
  <c r="R52" i="97"/>
  <c r="K51" i="125" s="1"/>
  <c r="J51" i="125"/>
  <c r="L51" i="125" s="1"/>
  <c r="R31" i="97"/>
  <c r="K30" i="125" s="1"/>
  <c r="J30" i="125"/>
  <c r="L30" i="125" s="1"/>
  <c r="R71" i="97"/>
  <c r="K70" i="125" s="1"/>
  <c r="J70" i="125"/>
  <c r="L70" i="125" s="1"/>
  <c r="K139" i="125"/>
  <c r="J139" i="125"/>
  <c r="L139" i="125" s="1"/>
  <c r="K125" i="125"/>
  <c r="J125" i="125"/>
  <c r="L125" i="125" s="1"/>
  <c r="R30" i="97"/>
  <c r="K29" i="125" s="1"/>
  <c r="J29" i="125"/>
  <c r="L29" i="125" s="1"/>
  <c r="K131" i="125"/>
  <c r="J131" i="125"/>
  <c r="L131" i="125" s="1"/>
  <c r="K107" i="125"/>
  <c r="J107" i="125"/>
  <c r="L107" i="125" s="1"/>
  <c r="K102" i="125"/>
  <c r="J102" i="125"/>
  <c r="L102" i="125" s="1"/>
  <c r="K104" i="125"/>
  <c r="J104" i="125"/>
  <c r="L104" i="125" s="1"/>
  <c r="K122" i="125"/>
  <c r="J122" i="125"/>
  <c r="L122" i="125" s="1"/>
  <c r="K134" i="125"/>
  <c r="J134" i="125"/>
  <c r="L134" i="125" s="1"/>
  <c r="K135" i="125"/>
  <c r="J135" i="125"/>
  <c r="L135" i="125" s="1"/>
  <c r="Q100" i="82"/>
  <c r="F100" i="125" s="1"/>
  <c r="E100" i="125"/>
  <c r="G100" i="125" s="1"/>
  <c r="Q127" i="82"/>
  <c r="F127" i="125" s="1"/>
  <c r="E127" i="125"/>
  <c r="G127" i="125" s="1"/>
  <c r="Q128" i="82"/>
  <c r="F128" i="125" s="1"/>
  <c r="E128" i="125"/>
  <c r="G128" i="125" s="1"/>
  <c r="D107" i="86"/>
  <c r="J61" i="52"/>
  <c r="I128" i="73"/>
  <c r="C130" i="86"/>
  <c r="C131" i="86"/>
  <c r="I129" i="73"/>
  <c r="C129" i="73" s="1"/>
  <c r="K129" i="97" s="1"/>
  <c r="Q129" i="97" s="1"/>
  <c r="R129" i="97" s="1"/>
  <c r="C103" i="86"/>
  <c r="V27" i="52"/>
  <c r="W27" i="52"/>
  <c r="Q12" i="97"/>
  <c r="J51" i="52"/>
  <c r="K23" i="52" s="1"/>
  <c r="Q15" i="97"/>
  <c r="C83" i="73"/>
  <c r="K83" i="97" s="1"/>
  <c r="Q83" i="97" s="1"/>
  <c r="C78" i="73"/>
  <c r="K78" i="97" s="1"/>
  <c r="Q78" i="97" s="1"/>
  <c r="C41" i="73"/>
  <c r="K41" i="97" s="1"/>
  <c r="Q41" i="97" s="1"/>
  <c r="J40" i="125" s="1"/>
  <c r="L40" i="125" s="1"/>
  <c r="C59" i="73"/>
  <c r="K59" i="97" s="1"/>
  <c r="Q59" i="97" s="1"/>
  <c r="C19" i="73"/>
  <c r="K19" i="97" s="1"/>
  <c r="Q19" i="97" s="1"/>
  <c r="J17" i="125" s="1"/>
  <c r="L17" i="125" s="1"/>
  <c r="C67" i="73"/>
  <c r="K67" i="97" s="1"/>
  <c r="Q67" i="97" s="1"/>
  <c r="C56" i="73"/>
  <c r="K56" i="97" s="1"/>
  <c r="Q56" i="97" s="1"/>
  <c r="C125" i="73"/>
  <c r="K125" i="97" s="1"/>
  <c r="Q125" i="97" s="1"/>
  <c r="R125" i="97" s="1"/>
  <c r="C20" i="73"/>
  <c r="K20" i="97" s="1"/>
  <c r="Q20" i="97" s="1"/>
  <c r="C87" i="73"/>
  <c r="K87" i="97" s="1"/>
  <c r="Q87" i="97" s="1"/>
  <c r="C24" i="73"/>
  <c r="K23" i="97" s="1"/>
  <c r="Q23" i="97" s="1"/>
  <c r="J22" i="125" s="1"/>
  <c r="L22" i="125" s="1"/>
  <c r="C26" i="73"/>
  <c r="K25" i="97" s="1"/>
  <c r="Q25" i="97" s="1"/>
  <c r="J24" i="125" s="1"/>
  <c r="L24" i="125" s="1"/>
  <c r="C94" i="73"/>
  <c r="K94" i="97" s="1"/>
  <c r="Q94" i="97" s="1"/>
  <c r="C65" i="73"/>
  <c r="K65" i="97" s="1"/>
  <c r="Q65" i="97" s="1"/>
  <c r="C75" i="73"/>
  <c r="K75" i="97" s="1"/>
  <c r="Q75" i="97" s="1"/>
  <c r="J74" i="125" s="1"/>
  <c r="L74" i="125" s="1"/>
  <c r="C70" i="73"/>
  <c r="K70" i="97" s="1"/>
  <c r="Q70" i="97" s="1"/>
  <c r="C74" i="73"/>
  <c r="K74" i="97" s="1"/>
  <c r="Q74" i="97" s="1"/>
  <c r="J73" i="125" s="1"/>
  <c r="L73" i="125" s="1"/>
  <c r="C63" i="73"/>
  <c r="K63" i="97" s="1"/>
  <c r="Q63" i="97" s="1"/>
  <c r="C85" i="73"/>
  <c r="K85" i="97" s="1"/>
  <c r="Q85" i="97" s="1"/>
  <c r="C58" i="73"/>
  <c r="K58" i="97" s="1"/>
  <c r="Q58" i="97" s="1"/>
  <c r="J57" i="125" s="1"/>
  <c r="L57" i="125" s="1"/>
  <c r="C68" i="73"/>
  <c r="K68" i="97" s="1"/>
  <c r="Q68" i="97" s="1"/>
  <c r="C29" i="73"/>
  <c r="K28" i="97" s="1"/>
  <c r="Q28" i="97" s="1"/>
  <c r="C60" i="73"/>
  <c r="K60" i="97" s="1"/>
  <c r="Q60" i="97" s="1"/>
  <c r="C91" i="73"/>
  <c r="K91" i="97" s="1"/>
  <c r="Q91" i="97" s="1"/>
  <c r="C16" i="73"/>
  <c r="K16" i="97" s="1"/>
  <c r="Q16" i="97" s="1"/>
  <c r="C8" i="73"/>
  <c r="K8" i="97" s="1"/>
  <c r="Q8" i="97" s="1"/>
  <c r="C99" i="73"/>
  <c r="K99" i="97" s="1"/>
  <c r="Q99" i="97" s="1"/>
  <c r="C14" i="73"/>
  <c r="K14" i="97" s="1"/>
  <c r="Q14" i="97" s="1"/>
  <c r="C39" i="73"/>
  <c r="K39" i="97" s="1"/>
  <c r="Q39" i="97" s="1"/>
  <c r="J38" i="125" s="1"/>
  <c r="L38" i="125" s="1"/>
  <c r="C76" i="73"/>
  <c r="K76" i="97" s="1"/>
  <c r="Q76" i="97" s="1"/>
  <c r="C119" i="73"/>
  <c r="K119" i="97" s="1"/>
  <c r="Q119" i="97" s="1"/>
  <c r="R119" i="97" s="1"/>
  <c r="C47" i="73"/>
  <c r="K47" i="97" s="1"/>
  <c r="Q47" i="97" s="1"/>
  <c r="J46" i="125" s="1"/>
  <c r="L46" i="125" s="1"/>
  <c r="C62" i="73"/>
  <c r="K62" i="97" s="1"/>
  <c r="Q62" i="97" s="1"/>
  <c r="C66" i="73"/>
  <c r="K66" i="97" s="1"/>
  <c r="Q66" i="97" s="1"/>
  <c r="C98" i="73"/>
  <c r="K98" i="97" s="1"/>
  <c r="C50" i="73"/>
  <c r="K50" i="97" s="1"/>
  <c r="C46" i="73"/>
  <c r="K46" i="97" s="1"/>
  <c r="Q46" i="97" s="1"/>
  <c r="C49" i="73"/>
  <c r="K49" i="97" s="1"/>
  <c r="Q49" i="97" s="1"/>
  <c r="J48" i="125" s="1"/>
  <c r="L48" i="125" s="1"/>
  <c r="C79" i="73"/>
  <c r="K79" i="97" s="1"/>
  <c r="Q79" i="97" s="1"/>
  <c r="C61" i="73"/>
  <c r="K61" i="97" s="1"/>
  <c r="Q61" i="97" s="1"/>
  <c r="J60" i="125" s="1"/>
  <c r="L60" i="125" s="1"/>
  <c r="C93" i="73"/>
  <c r="K93" i="97" s="1"/>
  <c r="Q93" i="97" s="1"/>
  <c r="C100" i="73"/>
  <c r="K100" i="97" s="1"/>
  <c r="D142" i="86"/>
  <c r="V23" i="52"/>
  <c r="K89" i="97"/>
  <c r="Q89" i="97" s="1"/>
  <c r="Q97" i="97"/>
  <c r="D109" i="86"/>
  <c r="K103" i="125"/>
  <c r="D34" i="86"/>
  <c r="S23" i="52"/>
  <c r="D110" i="86"/>
  <c r="D117" i="86"/>
  <c r="K110" i="125"/>
  <c r="D138" i="86"/>
  <c r="K120" i="125"/>
  <c r="Q27" i="97"/>
  <c r="Q64" i="97"/>
  <c r="Q51" i="97"/>
  <c r="Q69" i="97"/>
  <c r="Q53" i="97"/>
  <c r="Q90" i="97"/>
  <c r="Q55" i="97"/>
  <c r="Q88" i="97"/>
  <c r="Q17" i="97"/>
  <c r="Q35" i="97"/>
  <c r="D73" i="86"/>
  <c r="D39" i="86"/>
  <c r="D42" i="86"/>
  <c r="Q43" i="97"/>
  <c r="Q54" i="97"/>
  <c r="D105" i="86"/>
  <c r="D38" i="86"/>
  <c r="D103" i="86"/>
  <c r="D133" i="86"/>
  <c r="D135" i="86"/>
  <c r="D130" i="86"/>
  <c r="D132" i="86"/>
  <c r="D59" i="86"/>
  <c r="R11" i="97"/>
  <c r="K9" i="125" s="1"/>
  <c r="Q18" i="97"/>
  <c r="Q77" i="97"/>
  <c r="Q10" i="97"/>
  <c r="Q80" i="97"/>
  <c r="Q44" i="97"/>
  <c r="J43" i="125" s="1"/>
  <c r="L43" i="125" s="1"/>
  <c r="Q48" i="97"/>
  <c r="Q9" i="97"/>
  <c r="Q22" i="97"/>
  <c r="J20" i="125" s="1"/>
  <c r="L20" i="125" s="1"/>
  <c r="Q42" i="97"/>
  <c r="J41" i="125" s="1"/>
  <c r="L41" i="125" s="1"/>
  <c r="Q95" i="97"/>
  <c r="J94" i="125" s="1"/>
  <c r="L94" i="125" s="1"/>
  <c r="D13" i="86"/>
  <c r="D74" i="86"/>
  <c r="Q92" i="97"/>
  <c r="J91" i="125" s="1"/>
  <c r="L91" i="125" s="1"/>
  <c r="R37" i="97"/>
  <c r="K36" i="125" s="1"/>
  <c r="R72" i="97"/>
  <c r="K71" i="125" s="1"/>
  <c r="Q24" i="97"/>
  <c r="R21" i="97"/>
  <c r="K19" i="125" s="1"/>
  <c r="Q34" i="97"/>
  <c r="D134" i="86"/>
  <c r="Q32" i="97"/>
  <c r="D35" i="86" s="1"/>
  <c r="Q73" i="97"/>
  <c r="R57" i="97"/>
  <c r="K56" i="125" s="1"/>
  <c r="R45" i="97"/>
  <c r="K44" i="125" s="1"/>
  <c r="R40" i="97"/>
  <c r="K39" i="125" s="1"/>
  <c r="R38" i="97"/>
  <c r="K37" i="125" s="1"/>
  <c r="Q13" i="97"/>
  <c r="Q29" i="97"/>
  <c r="D29" i="86"/>
  <c r="R86" i="97"/>
  <c r="K85" i="125" s="1"/>
  <c r="D83" i="86"/>
  <c r="K82" i="97"/>
  <c r="Q82" i="97" s="1"/>
  <c r="D104" i="86"/>
  <c r="D128" i="86"/>
  <c r="D54" i="86"/>
  <c r="D137" i="86"/>
  <c r="D139" i="86"/>
  <c r="P52" i="104"/>
  <c r="J95" i="125" l="1"/>
  <c r="L95" i="125" s="1"/>
  <c r="D98" i="86"/>
  <c r="R96" i="97"/>
  <c r="K95" i="125" s="1"/>
  <c r="AU98" i="73"/>
  <c r="V62" i="52" s="1"/>
  <c r="P31" i="104"/>
  <c r="P48" i="104"/>
  <c r="S79" i="52"/>
  <c r="S25" i="52" s="1"/>
  <c r="T73" i="52"/>
  <c r="P50" i="104"/>
  <c r="P46" i="104" s="1"/>
  <c r="P33" i="104"/>
  <c r="P29" i="104" s="1"/>
  <c r="P49" i="104"/>
  <c r="P35" i="104"/>
  <c r="AW98" i="73"/>
  <c r="V63" i="52" s="1"/>
  <c r="V73" i="52" s="1"/>
  <c r="W73" i="52" s="1"/>
  <c r="AV98" i="73"/>
  <c r="V61" i="52" s="1"/>
  <c r="D141" i="86"/>
  <c r="X50" i="73"/>
  <c r="Q62" i="52" s="1"/>
  <c r="K63" i="52"/>
  <c r="AB50" i="73"/>
  <c r="Q63" i="52" s="1"/>
  <c r="N61" i="52"/>
  <c r="K64" i="52"/>
  <c r="K61" i="52"/>
  <c r="Z50" i="73"/>
  <c r="Q61" i="52" s="1"/>
  <c r="D129" i="86"/>
  <c r="AW129" i="73"/>
  <c r="AV129" i="73"/>
  <c r="J126" i="125"/>
  <c r="L126" i="125" s="1"/>
  <c r="J138" i="125"/>
  <c r="L138" i="125" s="1"/>
  <c r="J23" i="52"/>
  <c r="K73" i="52"/>
  <c r="J79" i="52"/>
  <c r="K25" i="52" s="1"/>
  <c r="AU129" i="73"/>
  <c r="N64" i="52"/>
  <c r="K62" i="52"/>
  <c r="N62" i="52"/>
  <c r="N63" i="52"/>
  <c r="Z131" i="73"/>
  <c r="AV131" i="73"/>
  <c r="AD131" i="73"/>
  <c r="AX131" i="73"/>
  <c r="X131" i="73"/>
  <c r="AU131" i="73"/>
  <c r="AB131" i="73"/>
  <c r="AW131" i="73"/>
  <c r="J31" i="125"/>
  <c r="L31" i="125" s="1"/>
  <c r="R8" i="97"/>
  <c r="K6" i="125" s="1"/>
  <c r="J6" i="125"/>
  <c r="L6" i="125" s="1"/>
  <c r="R62" i="97"/>
  <c r="K61" i="125" s="1"/>
  <c r="J61" i="125"/>
  <c r="L61" i="125" s="1"/>
  <c r="D85" i="86"/>
  <c r="J82" i="125"/>
  <c r="L82" i="125" s="1"/>
  <c r="R10" i="97"/>
  <c r="K8" i="125" s="1"/>
  <c r="J8" i="125"/>
  <c r="L8" i="125" s="1"/>
  <c r="D71" i="86"/>
  <c r="J68" i="125"/>
  <c r="L68" i="125" s="1"/>
  <c r="K115" i="125"/>
  <c r="J115" i="125"/>
  <c r="L115" i="125" s="1"/>
  <c r="R91" i="97"/>
  <c r="K90" i="125" s="1"/>
  <c r="J90" i="125"/>
  <c r="L90" i="125" s="1"/>
  <c r="R77" i="97"/>
  <c r="K76" i="125" s="1"/>
  <c r="J76" i="125"/>
  <c r="L76" i="125" s="1"/>
  <c r="D53" i="86"/>
  <c r="J50" i="125"/>
  <c r="L50" i="125" s="1"/>
  <c r="K109" i="125"/>
  <c r="J109" i="125"/>
  <c r="L109" i="125" s="1"/>
  <c r="R89" i="97"/>
  <c r="K88" i="125" s="1"/>
  <c r="J88" i="125"/>
  <c r="L88" i="125" s="1"/>
  <c r="R79" i="97"/>
  <c r="K78" i="125" s="1"/>
  <c r="J78" i="125"/>
  <c r="L78" i="125" s="1"/>
  <c r="K118" i="125"/>
  <c r="J118" i="125"/>
  <c r="L118" i="125" s="1"/>
  <c r="D62" i="86"/>
  <c r="J59" i="125"/>
  <c r="L59" i="125" s="1"/>
  <c r="R56" i="97"/>
  <c r="K55" i="125" s="1"/>
  <c r="J55" i="125"/>
  <c r="L55" i="125" s="1"/>
  <c r="R24" i="97"/>
  <c r="K23" i="125" s="1"/>
  <c r="J23" i="125"/>
  <c r="L23" i="125" s="1"/>
  <c r="R35" i="97"/>
  <c r="K34" i="125" s="1"/>
  <c r="J34" i="125"/>
  <c r="L34" i="125" s="1"/>
  <c r="R64" i="97"/>
  <c r="K63" i="125" s="1"/>
  <c r="J63" i="125"/>
  <c r="L63" i="125" s="1"/>
  <c r="K113" i="125"/>
  <c r="J113" i="125"/>
  <c r="L113" i="125" s="1"/>
  <c r="K119" i="125"/>
  <c r="J119" i="125"/>
  <c r="L119" i="125" s="1"/>
  <c r="R76" i="97"/>
  <c r="K75" i="125" s="1"/>
  <c r="J75" i="125"/>
  <c r="L75" i="125" s="1"/>
  <c r="D31" i="86"/>
  <c r="J27" i="125"/>
  <c r="L27" i="125" s="1"/>
  <c r="R65" i="97"/>
  <c r="K64" i="125" s="1"/>
  <c r="J64" i="125"/>
  <c r="L64" i="125" s="1"/>
  <c r="D69" i="86"/>
  <c r="J66" i="125"/>
  <c r="L66" i="125" s="1"/>
  <c r="K128" i="125"/>
  <c r="J128" i="125"/>
  <c r="L128" i="125" s="1"/>
  <c r="R17" i="97"/>
  <c r="K15" i="125" s="1"/>
  <c r="J15" i="125"/>
  <c r="L15" i="125" s="1"/>
  <c r="R27" i="97"/>
  <c r="K26" i="125" s="1"/>
  <c r="J26" i="125"/>
  <c r="L26" i="125" s="1"/>
  <c r="K116" i="125"/>
  <c r="J116" i="125"/>
  <c r="L116" i="125" s="1"/>
  <c r="K121" i="125"/>
  <c r="J121" i="125"/>
  <c r="L121" i="125" s="1"/>
  <c r="D48" i="86"/>
  <c r="J45" i="125"/>
  <c r="L45" i="125" s="1"/>
  <c r="R68" i="97"/>
  <c r="K67" i="125" s="1"/>
  <c r="J67" i="125"/>
  <c r="L67" i="125" s="1"/>
  <c r="R94" i="97"/>
  <c r="K93" i="125" s="1"/>
  <c r="J93" i="125"/>
  <c r="L93" i="125" s="1"/>
  <c r="R29" i="97"/>
  <c r="K28" i="125" s="1"/>
  <c r="J28" i="125"/>
  <c r="L28" i="125" s="1"/>
  <c r="D88" i="86"/>
  <c r="J16" i="125"/>
  <c r="L16" i="125" s="1"/>
  <c r="R9" i="97"/>
  <c r="K7" i="125" s="1"/>
  <c r="J7" i="125"/>
  <c r="L7" i="125" s="1"/>
  <c r="K111" i="125"/>
  <c r="J111" i="125"/>
  <c r="L111" i="125" s="1"/>
  <c r="K112" i="125"/>
  <c r="J112" i="125"/>
  <c r="L112" i="125" s="1"/>
  <c r="R14" i="97"/>
  <c r="K12" i="125" s="1"/>
  <c r="J12" i="125"/>
  <c r="L12" i="125" s="1"/>
  <c r="D61" i="86"/>
  <c r="J58" i="125"/>
  <c r="L58" i="125" s="1"/>
  <c r="D45" i="86"/>
  <c r="J42" i="125"/>
  <c r="L42" i="125" s="1"/>
  <c r="R90" i="97"/>
  <c r="K89" i="125" s="1"/>
  <c r="J89" i="125"/>
  <c r="L89" i="125" s="1"/>
  <c r="K117" i="125"/>
  <c r="J117" i="125"/>
  <c r="L117" i="125" s="1"/>
  <c r="R82" i="97"/>
  <c r="K81" i="125" s="1"/>
  <c r="J81" i="125"/>
  <c r="L81" i="125" s="1"/>
  <c r="D90" i="86"/>
  <c r="J87" i="125"/>
  <c r="L87" i="125" s="1"/>
  <c r="R73" i="97"/>
  <c r="K72" i="125" s="1"/>
  <c r="J72" i="125"/>
  <c r="L72" i="125" s="1"/>
  <c r="D40" i="86"/>
  <c r="J47" i="125"/>
  <c r="L47" i="125" s="1"/>
  <c r="R54" i="97"/>
  <c r="K53" i="125" s="1"/>
  <c r="J53" i="125"/>
  <c r="L53" i="125" s="1"/>
  <c r="D57" i="86"/>
  <c r="J54" i="125"/>
  <c r="L54" i="125" s="1"/>
  <c r="D108" i="86"/>
  <c r="J105" i="125"/>
  <c r="L105" i="125" s="1"/>
  <c r="K108" i="125"/>
  <c r="J108" i="125"/>
  <c r="L108" i="125" s="1"/>
  <c r="R99" i="97"/>
  <c r="K98" i="125" s="1"/>
  <c r="J98" i="125"/>
  <c r="L98" i="125" s="1"/>
  <c r="R85" i="97"/>
  <c r="K84" i="125" s="1"/>
  <c r="J84" i="125"/>
  <c r="L84" i="125" s="1"/>
  <c r="R63" i="97"/>
  <c r="K62" i="125" s="1"/>
  <c r="J62" i="125"/>
  <c r="L62" i="125" s="1"/>
  <c r="R87" i="97"/>
  <c r="K86" i="125" s="1"/>
  <c r="J86" i="125"/>
  <c r="L86" i="125" s="1"/>
  <c r="R78" i="97"/>
  <c r="K77" i="125" s="1"/>
  <c r="J77" i="125"/>
  <c r="L77" i="125" s="1"/>
  <c r="D14" i="86"/>
  <c r="J10" i="125"/>
  <c r="L10" i="125" s="1"/>
  <c r="R93" i="97"/>
  <c r="K92" i="125" s="1"/>
  <c r="J92" i="125"/>
  <c r="L92" i="125" s="1"/>
  <c r="R20" i="97"/>
  <c r="K18" i="125" s="1"/>
  <c r="J18" i="125"/>
  <c r="L18" i="125" s="1"/>
  <c r="R66" i="97"/>
  <c r="K65" i="125" s="1"/>
  <c r="J65" i="125"/>
  <c r="L65" i="125" s="1"/>
  <c r="R80" i="97"/>
  <c r="K79" i="125" s="1"/>
  <c r="J79" i="125"/>
  <c r="L79" i="125" s="1"/>
  <c r="R53" i="97"/>
  <c r="K52" i="125" s="1"/>
  <c r="J52" i="125"/>
  <c r="L52" i="125" s="1"/>
  <c r="R16" i="97"/>
  <c r="K14" i="125" s="1"/>
  <c r="J14" i="125"/>
  <c r="L14" i="125" s="1"/>
  <c r="R13" i="97"/>
  <c r="K11" i="125" s="1"/>
  <c r="J11" i="125"/>
  <c r="L11" i="125" s="1"/>
  <c r="R34" i="97"/>
  <c r="K33" i="125" s="1"/>
  <c r="J33" i="125"/>
  <c r="L33" i="125" s="1"/>
  <c r="D99" i="86"/>
  <c r="J96" i="125"/>
  <c r="L96" i="125" s="1"/>
  <c r="R70" i="97"/>
  <c r="K69" i="125" s="1"/>
  <c r="J69" i="125"/>
  <c r="L69" i="125" s="1"/>
  <c r="K124" i="125"/>
  <c r="J124" i="125"/>
  <c r="L124" i="125" s="1"/>
  <c r="R15" i="97"/>
  <c r="K13" i="125" s="1"/>
  <c r="J13" i="125"/>
  <c r="L13" i="125" s="1"/>
  <c r="P64" i="52"/>
  <c r="Q64" i="52"/>
  <c r="P62" i="52"/>
  <c r="J62" i="52"/>
  <c r="S62" i="52"/>
  <c r="R23" i="97"/>
  <c r="K22" i="125" s="1"/>
  <c r="D26" i="86"/>
  <c r="R22" i="97"/>
  <c r="K20" i="125" s="1"/>
  <c r="D24" i="86"/>
  <c r="P63" i="52"/>
  <c r="P73" i="52" s="1"/>
  <c r="Q73" i="52" s="1"/>
  <c r="S61" i="52"/>
  <c r="D131" i="86"/>
  <c r="R12" i="97"/>
  <c r="K10" i="125" s="1"/>
  <c r="M79" i="52"/>
  <c r="O33" i="109"/>
  <c r="N31" i="109" s="1"/>
  <c r="D17" i="86"/>
  <c r="L27" i="109"/>
  <c r="K26" i="109" s="1"/>
  <c r="Q50" i="97"/>
  <c r="D33" i="86"/>
  <c r="R39" i="97"/>
  <c r="K38" i="125" s="1"/>
  <c r="R19" i="97"/>
  <c r="K17" i="125" s="1"/>
  <c r="D21" i="86"/>
  <c r="D41" i="86"/>
  <c r="Q100" i="97"/>
  <c r="Q98" i="97"/>
  <c r="R97" i="97"/>
  <c r="K96" i="125" s="1"/>
  <c r="D22" i="86"/>
  <c r="D65" i="86"/>
  <c r="D119" i="86"/>
  <c r="D118" i="86"/>
  <c r="D116" i="86"/>
  <c r="D127" i="86"/>
  <c r="D120" i="86"/>
  <c r="D124" i="86"/>
  <c r="D122" i="86"/>
  <c r="K105" i="125"/>
  <c r="D101" i="86"/>
  <c r="D121" i="86"/>
  <c r="D113" i="86"/>
  <c r="D115" i="86"/>
  <c r="D55" i="86"/>
  <c r="D87" i="86"/>
  <c r="R83" i="97"/>
  <c r="K82" i="125" s="1"/>
  <c r="D64" i="86"/>
  <c r="D30" i="86"/>
  <c r="R51" i="97"/>
  <c r="K50" i="125" s="1"/>
  <c r="R69" i="97"/>
  <c r="K68" i="125" s="1"/>
  <c r="D81" i="86"/>
  <c r="D89" i="86"/>
  <c r="D80" i="86"/>
  <c r="R55" i="97"/>
  <c r="K54" i="125" s="1"/>
  <c r="D95" i="86"/>
  <c r="R46" i="97"/>
  <c r="K45" i="125" s="1"/>
  <c r="D92" i="86"/>
  <c r="R88" i="97"/>
  <c r="K87" i="125" s="1"/>
  <c r="D37" i="86"/>
  <c r="D79" i="86"/>
  <c r="R43" i="97"/>
  <c r="K42" i="125" s="1"/>
  <c r="D93" i="86"/>
  <c r="D20" i="86"/>
  <c r="D36" i="86"/>
  <c r="D58" i="86"/>
  <c r="D11" i="86"/>
  <c r="D18" i="86"/>
  <c r="D82" i="86"/>
  <c r="N73" i="52"/>
  <c r="D75" i="86"/>
  <c r="D43" i="86"/>
  <c r="D77" i="86"/>
  <c r="D44" i="86"/>
  <c r="D67" i="86"/>
  <c r="D96" i="86"/>
  <c r="D111" i="86"/>
  <c r="D32" i="86"/>
  <c r="D49" i="86"/>
  <c r="D15" i="86"/>
  <c r="D97" i="86"/>
  <c r="D123" i="86"/>
  <c r="D112" i="86"/>
  <c r="D125" i="86"/>
  <c r="D114" i="86"/>
  <c r="D94" i="86"/>
  <c r="D46" i="86"/>
  <c r="R18" i="97"/>
  <c r="K16" i="125" s="1"/>
  <c r="R47" i="97"/>
  <c r="K46" i="125" s="1"/>
  <c r="D91" i="86"/>
  <c r="R58" i="97"/>
  <c r="K57" i="125" s="1"/>
  <c r="R74" i="97"/>
  <c r="K73" i="125" s="1"/>
  <c r="D10" i="86"/>
  <c r="D66" i="86"/>
  <c r="D68" i="86"/>
  <c r="R61" i="97"/>
  <c r="K60" i="125" s="1"/>
  <c r="D72" i="86"/>
  <c r="R49" i="97"/>
  <c r="K48" i="125" s="1"/>
  <c r="R42" i="97"/>
  <c r="K41" i="125" s="1"/>
  <c r="R48" i="97"/>
  <c r="K47" i="125" s="1"/>
  <c r="R92" i="97"/>
  <c r="K91" i="125" s="1"/>
  <c r="D16" i="86"/>
  <c r="D76" i="86"/>
  <c r="D47" i="86"/>
  <c r="R44" i="97"/>
  <c r="K43" i="125" s="1"/>
  <c r="R95" i="97"/>
  <c r="K94" i="125" s="1"/>
  <c r="D56" i="86"/>
  <c r="R41" i="97"/>
  <c r="K40" i="125" s="1"/>
  <c r="R25" i="97"/>
  <c r="K24" i="125" s="1"/>
  <c r="D51" i="86"/>
  <c r="R60" i="97"/>
  <c r="K59" i="125" s="1"/>
  <c r="D136" i="86"/>
  <c r="D50" i="86"/>
  <c r="R59" i="97"/>
  <c r="K58" i="125" s="1"/>
  <c r="R28" i="97"/>
  <c r="K27" i="125" s="1"/>
  <c r="D126" i="86"/>
  <c r="D19" i="86"/>
  <c r="R67" i="97"/>
  <c r="K66" i="125" s="1"/>
  <c r="D63" i="86"/>
  <c r="D28" i="86"/>
  <c r="D78" i="86"/>
  <c r="R32" i="97"/>
  <c r="K31" i="125" s="1"/>
  <c r="D27" i="86"/>
  <c r="D60" i="86"/>
  <c r="D12" i="86"/>
  <c r="R75" i="97"/>
  <c r="K74" i="125" s="1"/>
  <c r="D70" i="86"/>
  <c r="D84" i="86"/>
  <c r="T25" i="52" l="1"/>
  <c r="V79" i="52"/>
  <c r="W25" i="52" s="1"/>
  <c r="Y73" i="52"/>
  <c r="R98" i="97"/>
  <c r="K97" i="125" s="1"/>
  <c r="J97" i="125"/>
  <c r="L97" i="125" s="1"/>
  <c r="R50" i="97"/>
  <c r="K49" i="125" s="1"/>
  <c r="J49" i="125"/>
  <c r="L49" i="125" s="1"/>
  <c r="R100" i="97"/>
  <c r="K99" i="125" s="1"/>
  <c r="J99" i="125"/>
  <c r="L99" i="125" s="1"/>
  <c r="J25" i="52"/>
  <c r="J22" i="109"/>
  <c r="I21" i="109" s="1"/>
  <c r="X7" i="109" s="1"/>
  <c r="D102" i="86"/>
  <c r="D52" i="86"/>
  <c r="P79" i="52"/>
  <c r="Q25" i="52" s="1"/>
  <c r="D100" i="86"/>
  <c r="N25" i="52"/>
  <c r="M25" i="52"/>
  <c r="C84" i="110"/>
  <c r="V25" i="52" l="1"/>
  <c r="BW84" i="116"/>
  <c r="D84" i="110"/>
  <c r="C83" i="118"/>
  <c r="G83" i="118" s="1"/>
  <c r="P25" i="52"/>
  <c r="AQ86" i="24"/>
  <c r="I86" i="24" s="1"/>
  <c r="O86" i="24" s="1"/>
  <c r="AK83" i="46"/>
  <c r="O83" i="46" s="1"/>
  <c r="E86" i="24" l="1"/>
  <c r="F86" i="24" s="1"/>
  <c r="BE83" i="120"/>
  <c r="CA84" i="116"/>
  <c r="CR84" i="116"/>
  <c r="Z83" i="120" s="1"/>
  <c r="BP83" i="120" s="1"/>
  <c r="BX84" i="116"/>
  <c r="D83" i="118"/>
  <c r="E83" i="46"/>
  <c r="AA83" i="46"/>
  <c r="AW86" i="24"/>
  <c r="Q83" i="46"/>
  <c r="R83" i="46" s="1"/>
  <c r="M83" i="46" s="1"/>
  <c r="N83" i="46" s="1"/>
  <c r="G83" i="46"/>
  <c r="Y83" i="46"/>
  <c r="AV86" i="24"/>
  <c r="D83" i="82" l="1"/>
  <c r="S84" i="73" s="1"/>
  <c r="BG83" i="120"/>
  <c r="BK83" i="120"/>
  <c r="BN83" i="120" s="1"/>
  <c r="W83" i="120"/>
  <c r="BA83" i="120"/>
  <c r="C83" i="82"/>
  <c r="R84" i="73" s="1"/>
  <c r="AB83" i="46"/>
  <c r="W83" i="46" s="1"/>
  <c r="X83" i="46" s="1"/>
  <c r="H83" i="46"/>
  <c r="C83" i="46" s="1"/>
  <c r="D83" i="46" s="1"/>
  <c r="E84" i="97"/>
  <c r="M83" i="120" s="1"/>
  <c r="U84" i="73" l="1"/>
  <c r="AT84" i="73"/>
  <c r="AR84" i="73"/>
  <c r="AP84" i="73"/>
  <c r="AN84" i="73"/>
  <c r="AE84" i="73"/>
  <c r="AI84" i="73"/>
  <c r="AG84" i="73"/>
  <c r="AK84" i="73"/>
  <c r="O83" i="120"/>
  <c r="S83" i="120"/>
  <c r="V83" i="120" s="1"/>
  <c r="P83" i="82"/>
  <c r="G84" i="97"/>
  <c r="C84" i="97"/>
  <c r="C83" i="120" s="1"/>
  <c r="BA84" i="73" l="1"/>
  <c r="AJ84" i="73"/>
  <c r="AF84" i="73"/>
  <c r="AY84" i="73"/>
  <c r="AH84" i="73"/>
  <c r="AZ84" i="73"/>
  <c r="AL84" i="73"/>
  <c r="BB84" i="73"/>
  <c r="AC84" i="73"/>
  <c r="W84" i="73"/>
  <c r="AA84" i="73"/>
  <c r="Y84" i="73"/>
  <c r="Q83" i="82"/>
  <c r="F83" i="125" s="1"/>
  <c r="E83" i="125"/>
  <c r="G83" i="125" s="1"/>
  <c r="E83" i="120"/>
  <c r="I83" i="120"/>
  <c r="L83" i="120" s="1"/>
  <c r="I84" i="73"/>
  <c r="C84" i="73" s="1"/>
  <c r="K84" i="97" s="1"/>
  <c r="Q84" i="97" s="1"/>
  <c r="C86" i="86"/>
  <c r="Z84" i="73" l="1"/>
  <c r="AV84" i="73"/>
  <c r="AB84" i="73"/>
  <c r="AW84" i="73"/>
  <c r="X84" i="73"/>
  <c r="AU84" i="73"/>
  <c r="AD84" i="73"/>
  <c r="AX84" i="73"/>
  <c r="R84" i="97"/>
  <c r="K83" i="125" s="1"/>
  <c r="J83" i="125"/>
  <c r="L83" i="125" s="1"/>
  <c r="D86" i="86"/>
  <c r="AE6" i="26"/>
  <c r="AC6" i="26" l="1"/>
  <c r="AF6" i="26"/>
  <c r="C6" i="26"/>
  <c r="D6" i="26" s="1"/>
  <c r="G7" i="82" l="1"/>
  <c r="AD6" i="26"/>
  <c r="P7" i="82" l="1"/>
  <c r="E5" i="125" s="1"/>
  <c r="G5" i="125" s="1"/>
  <c r="M7" i="73"/>
  <c r="W7" i="73" s="1"/>
  <c r="AU7" i="73" s="1"/>
  <c r="J7" i="73" l="1"/>
  <c r="K7" i="73" s="1"/>
  <c r="AA7" i="73"/>
  <c r="AI7" i="73"/>
  <c r="AM7" i="73"/>
  <c r="AE7" i="73"/>
  <c r="AQ7" i="73"/>
  <c r="AT7" i="73"/>
  <c r="Z7" i="73"/>
  <c r="AP7" i="73"/>
  <c r="AH7" i="73"/>
  <c r="Q7" i="82"/>
  <c r="F5" i="125" s="1"/>
  <c r="I7" i="73"/>
  <c r="C9" i="86"/>
  <c r="AB7" i="73" l="1"/>
  <c r="AW7" i="73"/>
  <c r="AR7" i="73"/>
  <c r="BE7" i="73"/>
  <c r="AN7" i="73"/>
  <c r="BC7" i="73"/>
  <c r="AF7" i="73"/>
  <c r="AY7" i="73"/>
  <c r="X7" i="73"/>
  <c r="AJ7" i="73"/>
  <c r="BA7" i="73"/>
  <c r="C7" i="73"/>
  <c r="K7" i="97" s="1"/>
  <c r="D7" i="73"/>
  <c r="L7" i="97" s="1"/>
  <c r="Q7" i="97" l="1"/>
  <c r="R7" i="97" l="1"/>
  <c r="K5" i="125" s="1"/>
  <c r="J5" i="125"/>
  <c r="L5" i="125" s="1"/>
  <c r="D9" i="86"/>
</calcChain>
</file>

<file path=xl/sharedStrings.xml><?xml version="1.0" encoding="utf-8"?>
<sst xmlns="http://schemas.openxmlformats.org/spreadsheetml/2006/main" count="54012" uniqueCount="4311">
  <si>
    <t>Instructions</t>
  </si>
  <si>
    <t>Check with the San Francisco Bay Regional Water Quality Control Board to ensure that you have the most up-to-date version of the ESL Workbook and that the screening levels can be applied to your site.</t>
  </si>
  <si>
    <t>For Comments and Questions, Please Contact:</t>
  </si>
  <si>
    <t xml:space="preserve">         -or-</t>
  </si>
  <si>
    <t>San Francisco Bay Regional Water Quality Control Board</t>
  </si>
  <si>
    <t>Phone: 1-510-622-2307</t>
  </si>
  <si>
    <t>Prepared by:</t>
  </si>
  <si>
    <t>Nicole Fry, PhD</t>
  </si>
  <si>
    <t>Research Scientist III, Chemical</t>
  </si>
  <si>
    <t>Approved by:</t>
  </si>
  <si>
    <t>Ross Steenson, CHG, Assistant Executive Officer</t>
  </si>
  <si>
    <t>Index of Tables</t>
  </si>
  <si>
    <t>Summary Tables</t>
  </si>
  <si>
    <t>Tier 1</t>
  </si>
  <si>
    <t>Tier 1 ESLs</t>
  </si>
  <si>
    <t>GW Summary</t>
  </si>
  <si>
    <t>Summary of Groundwater ESLs</t>
  </si>
  <si>
    <t>Soil Summary</t>
  </si>
  <si>
    <t>Summary of Soil ESLs</t>
  </si>
  <si>
    <t>Vapor Summary</t>
  </si>
  <si>
    <t>Summary of Vapor ESLs</t>
  </si>
  <si>
    <t>Short-Term Action</t>
  </si>
  <si>
    <t>Tier 2 - Interactive Tool</t>
  </si>
  <si>
    <t>T2-1</t>
  </si>
  <si>
    <t>Tier 2 Site Specific Input and Output Tables</t>
  </si>
  <si>
    <t>T2-2</t>
  </si>
  <si>
    <t>Tier 2 ESL - Site Specific Cumulative Risk and Hazard Calculator</t>
  </si>
  <si>
    <t>T2-3</t>
  </si>
  <si>
    <t xml:space="preserve">Tier 2 ESL - Diagram of ESLs for Site-Specific Concerns </t>
  </si>
  <si>
    <t>Screening Level Calculations Tables</t>
  </si>
  <si>
    <t>GW-1</t>
  </si>
  <si>
    <t>Groundwater Direct Exposure Human Health Risk Screening Levels</t>
  </si>
  <si>
    <t>GW-2</t>
  </si>
  <si>
    <t>Groundwater Aquatic Habitat Screening Levels</t>
  </si>
  <si>
    <t>GW-3</t>
  </si>
  <si>
    <t xml:space="preserve">Groundwater Vapor Intrusion Human Health Risk Screening Levels </t>
  </si>
  <si>
    <t>GW-4</t>
  </si>
  <si>
    <t>Groundwater Gross Contamination Screening Levels</t>
  </si>
  <si>
    <t>GW-5</t>
  </si>
  <si>
    <t>Groundwater Taste and Odor Nuisance Screening Levels</t>
  </si>
  <si>
    <t>S-1</t>
  </si>
  <si>
    <t>Soil Direct Exposure Human Health Risk Screening Levels</t>
  </si>
  <si>
    <t>S-2</t>
  </si>
  <si>
    <t>Soil Terrestrial Habitat Screening Levels</t>
  </si>
  <si>
    <t>S-3</t>
  </si>
  <si>
    <t>Soil Leaching to Groundwater Screening Levels</t>
  </si>
  <si>
    <t>S-4</t>
  </si>
  <si>
    <t>Soil Gross Contamination Screening Levels</t>
  </si>
  <si>
    <t>S-5</t>
  </si>
  <si>
    <t>Soil Odor Nuisance Screening Levels</t>
  </si>
  <si>
    <t>SG-1</t>
  </si>
  <si>
    <t>Subslab and Soil Gas Vapor Intrusion Human Health Risk Screening Levels</t>
  </si>
  <si>
    <t>SG-2</t>
  </si>
  <si>
    <t>Subslab and Soil Gas Vapor Intrusion Odor Nuisance Screening Levels</t>
  </si>
  <si>
    <t>IA-1</t>
  </si>
  <si>
    <t>Indoor Air Direct Exposure Human Health Risk Screening Levels</t>
  </si>
  <si>
    <t>IA-2</t>
  </si>
  <si>
    <t>Indoor Air Odor Nuisance Screening Levels</t>
  </si>
  <si>
    <t xml:space="preserve"> Input Parameters Tables</t>
  </si>
  <si>
    <t>IP-1</t>
  </si>
  <si>
    <t>Physical-Chemical Values</t>
  </si>
  <si>
    <t>IP-2</t>
  </si>
  <si>
    <t>Toxicity Values</t>
  </si>
  <si>
    <t>IP-3</t>
  </si>
  <si>
    <t>Direct Exposure Model Factors</t>
  </si>
  <si>
    <t>IP-4</t>
  </si>
  <si>
    <t>MCLs and Other Drinking Water Levels</t>
  </si>
  <si>
    <t>IP-5</t>
  </si>
  <si>
    <t xml:space="preserve">CalEPA Aquatic Ecotoxictity Levels  </t>
  </si>
  <si>
    <t>IP-6</t>
  </si>
  <si>
    <t>USEPA and Other Aquatic Ecotoxicity Levels</t>
  </si>
  <si>
    <t>IP-7</t>
  </si>
  <si>
    <t>Seafood Ingestion Aquatic Habitat Levels</t>
  </si>
  <si>
    <t>IP-8</t>
  </si>
  <si>
    <t>Soil Terrestrial Habitat Levels</t>
  </si>
  <si>
    <t>IP-9</t>
  </si>
  <si>
    <t>Petroleum Hydrocarbon Fractions</t>
  </si>
  <si>
    <r>
      <t xml:space="preserve">Tier 1 ESLs </t>
    </r>
    <r>
      <rPr>
        <b/>
        <vertAlign val="superscript"/>
        <sz val="20"/>
        <rFont val="Arial"/>
        <family val="2"/>
      </rPr>
      <t>1</t>
    </r>
  </si>
  <si>
    <r>
      <t>Based on a generic conceptual site model designed for use at most sites</t>
    </r>
    <r>
      <rPr>
        <b/>
        <vertAlign val="superscript"/>
        <sz val="12"/>
        <color rgb="FFC00000"/>
        <rFont val="Arial"/>
        <family val="2"/>
      </rPr>
      <t>2</t>
    </r>
  </si>
  <si>
    <t>Chemicals</t>
  </si>
  <si>
    <t>CAS No.</t>
  </si>
  <si>
    <t>Groundwater 
(µg/L)</t>
  </si>
  <si>
    <r>
      <t xml:space="preserve">Soil </t>
    </r>
    <r>
      <rPr>
        <b/>
        <vertAlign val="superscript"/>
        <sz val="10"/>
        <rFont val="Arial"/>
        <family val="2"/>
      </rPr>
      <t>3</t>
    </r>
    <r>
      <rPr>
        <b/>
        <sz val="10"/>
        <rFont val="Arial"/>
        <family val="2"/>
      </rPr>
      <t xml:space="preserve">
(mg/kg)</t>
    </r>
  </si>
  <si>
    <r>
      <t>Subslab / Soil Gas
(µg/m</t>
    </r>
    <r>
      <rPr>
        <b/>
        <vertAlign val="superscript"/>
        <sz val="10"/>
        <rFont val="Arial"/>
        <family val="2"/>
      </rPr>
      <t>3</t>
    </r>
    <r>
      <rPr>
        <b/>
        <sz val="10"/>
        <rFont val="Arial"/>
        <family val="2"/>
      </rPr>
      <t>)</t>
    </r>
  </si>
  <si>
    <r>
      <t>Indoor Air 
(µg/m</t>
    </r>
    <r>
      <rPr>
        <b/>
        <vertAlign val="superscript"/>
        <sz val="10"/>
        <rFont val="Arial"/>
        <family val="2"/>
      </rPr>
      <t>3</t>
    </r>
    <r>
      <rPr>
        <b/>
        <sz val="10"/>
        <rFont val="Arial"/>
        <family val="2"/>
      </rPr>
      <t>)</t>
    </r>
  </si>
  <si>
    <t>Aldrin</t>
  </si>
  <si>
    <t>309-00-2</t>
  </si>
  <si>
    <t>Antimony</t>
  </si>
  <si>
    <t>7440-36-0</t>
  </si>
  <si>
    <t>Arsenic</t>
  </si>
  <si>
    <t>7440-38-2</t>
  </si>
  <si>
    <t>Barium</t>
  </si>
  <si>
    <t>7440-39-3</t>
  </si>
  <si>
    <t>Benzene</t>
  </si>
  <si>
    <t>71-43-2</t>
  </si>
  <si>
    <t>Beryllium</t>
  </si>
  <si>
    <t>7440-41-7</t>
  </si>
  <si>
    <t>1,1-Biphenyl</t>
  </si>
  <si>
    <t>92-52-4</t>
  </si>
  <si>
    <t>Bis(2-chloroethyl) ether</t>
  </si>
  <si>
    <t>111-44-4</t>
  </si>
  <si>
    <t>Bis(2-chloro-1-methylethyl) ether</t>
  </si>
  <si>
    <t>108-60-1</t>
  </si>
  <si>
    <t>Bis(2-ethylhexyl) phthalate</t>
  </si>
  <si>
    <t>117-81-7</t>
  </si>
  <si>
    <t>Boron</t>
  </si>
  <si>
    <t>7440-42-8</t>
  </si>
  <si>
    <t>Bromodichloromethane</t>
  </si>
  <si>
    <t>75-27-4</t>
  </si>
  <si>
    <t>Bromoform (Tribromomethane)</t>
  </si>
  <si>
    <t>75-25-2</t>
  </si>
  <si>
    <t>Bromomethane</t>
  </si>
  <si>
    <t>74-83-9</t>
  </si>
  <si>
    <t>Cadmium (soil)</t>
  </si>
  <si>
    <t>7440-43-9</t>
  </si>
  <si>
    <t>--</t>
  </si>
  <si>
    <t>Cadmium (water)</t>
  </si>
  <si>
    <t>Carbon tetrachloride</t>
  </si>
  <si>
    <t>56-23-5</t>
  </si>
  <si>
    <t>Chlordane</t>
  </si>
  <si>
    <t>12789-03-6</t>
  </si>
  <si>
    <t>p-Chloroaniline</t>
  </si>
  <si>
    <t>106-47-8</t>
  </si>
  <si>
    <t>Chlorobenzene</t>
  </si>
  <si>
    <t>108-90-7</t>
  </si>
  <si>
    <t>Chloroethane</t>
  </si>
  <si>
    <t>75-00-3</t>
  </si>
  <si>
    <t>Chloroform</t>
  </si>
  <si>
    <t>67-66-3</t>
  </si>
  <si>
    <t>Chloromethane</t>
  </si>
  <si>
    <t>74-87-3</t>
  </si>
  <si>
    <t>2-Chlorophenol</t>
  </si>
  <si>
    <t>95-57-8</t>
  </si>
  <si>
    <t>Chromium (total)</t>
  </si>
  <si>
    <t>7440-47-3</t>
  </si>
  <si>
    <t>Chromium III</t>
  </si>
  <si>
    <t>16065-83-1</t>
  </si>
  <si>
    <t>Chromium VI</t>
  </si>
  <si>
    <t>18540-29-9</t>
  </si>
  <si>
    <t>Cobalt</t>
  </si>
  <si>
    <t>7440-48-4</t>
  </si>
  <si>
    <t>Copper</t>
  </si>
  <si>
    <t>7440-50-8</t>
  </si>
  <si>
    <t>Cyanide</t>
  </si>
  <si>
    <t>57-12-5</t>
  </si>
  <si>
    <t>Dibromochloromethane</t>
  </si>
  <si>
    <t>124-48-1</t>
  </si>
  <si>
    <t>1,2-dibromo-3-chloropropane</t>
  </si>
  <si>
    <t>96-12-8</t>
  </si>
  <si>
    <t>1,2-Dibromoethane</t>
  </si>
  <si>
    <t>106-93-4</t>
  </si>
  <si>
    <t>1,2-Dichlorobenzene</t>
  </si>
  <si>
    <t>95-50-1</t>
  </si>
  <si>
    <t>1,4-Dichlorobenzene</t>
  </si>
  <si>
    <t>106-46-7</t>
  </si>
  <si>
    <t>3,3-Dichlorobenzidine</t>
  </si>
  <si>
    <t>91-94-1</t>
  </si>
  <si>
    <t>DDD</t>
  </si>
  <si>
    <t>72-54-8</t>
  </si>
  <si>
    <t>DDE</t>
  </si>
  <si>
    <t>72-55-9</t>
  </si>
  <si>
    <t>DDT</t>
  </si>
  <si>
    <t>50-29-3</t>
  </si>
  <si>
    <t>1,1-Dichloroethane</t>
  </si>
  <si>
    <t>75-34-3</t>
  </si>
  <si>
    <t>1,2-Dichloroethane</t>
  </si>
  <si>
    <t>107-06-2</t>
  </si>
  <si>
    <t>1,1-Dichloroethene</t>
  </si>
  <si>
    <t>75-35-4</t>
  </si>
  <si>
    <t>cis-1,2-Dichloroethene</t>
  </si>
  <si>
    <t>156-59-2</t>
  </si>
  <si>
    <t>trans-1,2-Dichloroethene</t>
  </si>
  <si>
    <t>156-60-5</t>
  </si>
  <si>
    <t>2,4-Dichlorophenol</t>
  </si>
  <si>
    <t>120-83-2</t>
  </si>
  <si>
    <t>1,2-Dichloropropane</t>
  </si>
  <si>
    <t>78-87-5</t>
  </si>
  <si>
    <t>1,3-Dichloropropene</t>
  </si>
  <si>
    <t>542-75-6</t>
  </si>
  <si>
    <t>Dieldrin</t>
  </si>
  <si>
    <t>60-57-1</t>
  </si>
  <si>
    <t>Diethyl phthalate</t>
  </si>
  <si>
    <t>84-66-2</t>
  </si>
  <si>
    <t>2,4-Dimethylphenol</t>
  </si>
  <si>
    <t>105-67-9</t>
  </si>
  <si>
    <t>2,4-Dinitrophenol</t>
  </si>
  <si>
    <t>51-28-5</t>
  </si>
  <si>
    <t>2,4-Dinitrotoluene</t>
  </si>
  <si>
    <t>121-14-2</t>
  </si>
  <si>
    <t>1,4-Dioxane</t>
  </si>
  <si>
    <t>123-91-1</t>
  </si>
  <si>
    <t>Dioxin (2,3,7,8-TCDD)</t>
  </si>
  <si>
    <t>1746-01-6</t>
  </si>
  <si>
    <t>Endosulfan</t>
  </si>
  <si>
    <t>115-29-7</t>
  </si>
  <si>
    <t>Endrin</t>
  </si>
  <si>
    <t>72-20-8</t>
  </si>
  <si>
    <t>Ethylbenzene</t>
  </si>
  <si>
    <t>100-41-4</t>
  </si>
  <si>
    <t>Heptachlor</t>
  </si>
  <si>
    <t>76-44-8</t>
  </si>
  <si>
    <t>Heptachlor epoxide</t>
  </si>
  <si>
    <t>1024-57-3</t>
  </si>
  <si>
    <t>Hexachlorobenzene</t>
  </si>
  <si>
    <t>118-74-1</t>
  </si>
  <si>
    <t>Hexachlorobutadiene</t>
  </si>
  <si>
    <t>87-68-3</t>
  </si>
  <si>
    <t>g-Hexachlorocyclohexane (Lindane)</t>
  </si>
  <si>
    <t>58-89-9</t>
  </si>
  <si>
    <t>Hexachloroethane</t>
  </si>
  <si>
    <t>67-72-1</t>
  </si>
  <si>
    <t>Lead</t>
  </si>
  <si>
    <t>7439-92-1</t>
  </si>
  <si>
    <t>Mercury (elemental)</t>
  </si>
  <si>
    <t>7439-97-6</t>
  </si>
  <si>
    <t>Methoxychlor</t>
  </si>
  <si>
    <t>72-43-5</t>
  </si>
  <si>
    <t>Methylene chloride</t>
  </si>
  <si>
    <t>75-09-2</t>
  </si>
  <si>
    <t>Methyl ethyl ketone</t>
  </si>
  <si>
    <t>78-93-3</t>
  </si>
  <si>
    <t>Methyl isobutyl ketone</t>
  </si>
  <si>
    <t>108-10-1</t>
  </si>
  <si>
    <t>Methyl mercury</t>
  </si>
  <si>
    <t>22967-92-6</t>
  </si>
  <si>
    <t>2-Methylnaphthalene</t>
  </si>
  <si>
    <t>91-57-6</t>
  </si>
  <si>
    <t>Methyl tertiary butyl ether (MTBE)</t>
  </si>
  <si>
    <t>1634-04-4</t>
  </si>
  <si>
    <t>Molybdenum</t>
  </si>
  <si>
    <t>7439-98-7</t>
  </si>
  <si>
    <t>Nickel</t>
  </si>
  <si>
    <t>7440-02-0</t>
  </si>
  <si>
    <t>PAH: Acenaphthene</t>
  </si>
  <si>
    <t>83-32-9</t>
  </si>
  <si>
    <t>PAH: Anthracene</t>
  </si>
  <si>
    <t>120-12-7</t>
  </si>
  <si>
    <t>PAH: Benzo[a]anthracene</t>
  </si>
  <si>
    <t>56-55-3</t>
  </si>
  <si>
    <t>PAH: Benzo[a]pyrene</t>
  </si>
  <si>
    <t>50-32-8</t>
  </si>
  <si>
    <t>PAH: Benzo[b]fluoranthene</t>
  </si>
  <si>
    <t>205-99-2</t>
  </si>
  <si>
    <t>PAH: Benzo[k]fluoranthene</t>
  </si>
  <si>
    <t>207-08-9</t>
  </si>
  <si>
    <t>PAH: Chrysene</t>
  </si>
  <si>
    <t>218-01-9</t>
  </si>
  <si>
    <t>PAH: Dibenz[a,h]anthracene</t>
  </si>
  <si>
    <t>53-70-3</t>
  </si>
  <si>
    <t>PAH: Fluoranthene</t>
  </si>
  <si>
    <t>206-44-0</t>
  </si>
  <si>
    <t>PAH: Fluorene</t>
  </si>
  <si>
    <t>86-73-7</t>
  </si>
  <si>
    <t>PAH: Indeno[1,2,3-c,d]pyrene</t>
  </si>
  <si>
    <t>193-39-5</t>
  </si>
  <si>
    <t>PAH: Naphthalene</t>
  </si>
  <si>
    <t>91-20-3</t>
  </si>
  <si>
    <t>PAH: Pyrene</t>
  </si>
  <si>
    <t>129-00-0</t>
  </si>
  <si>
    <t>Pentachlorophenol</t>
  </si>
  <si>
    <t>87-86-5</t>
  </si>
  <si>
    <t>Perchlorate</t>
  </si>
  <si>
    <t>7790-98-9</t>
  </si>
  <si>
    <t>Petroleum: Gasoline</t>
  </si>
  <si>
    <t>Petroleum: Stoddard Solvent</t>
  </si>
  <si>
    <t>Petroleum: Jet Fuel</t>
  </si>
  <si>
    <t>Petroleum: Diesel</t>
  </si>
  <si>
    <t>Petroleum: HOPs</t>
  </si>
  <si>
    <t>Petroleum: Motor Oil</t>
  </si>
  <si>
    <t>PFAS: Perfluoropropanoic acid (PFPrA)</t>
  </si>
  <si>
    <t>422-64-0</t>
  </si>
  <si>
    <t>PFAS: Perfluorobutanoic acid (PFBA)</t>
  </si>
  <si>
    <t>375-22-4</t>
  </si>
  <si>
    <t>PFAS: Perfluoropentanoic acid (PFPeA)</t>
  </si>
  <si>
    <t>2706-90-3</t>
  </si>
  <si>
    <t>PFAS: Perfluorohexanoic acid (PFHxA)</t>
  </si>
  <si>
    <t>307-24-4</t>
  </si>
  <si>
    <t>PFAS: Perfluoroheptanoic acid (PFHpA)</t>
  </si>
  <si>
    <t>375-85-9</t>
  </si>
  <si>
    <t>PFAS: Perfluorooctanoic acid (PFOA)</t>
  </si>
  <si>
    <t>335-67-1</t>
  </si>
  <si>
    <t>PFAS: Perfluorononanoic acid (PFNA)</t>
  </si>
  <si>
    <t>375-95-1</t>
  </si>
  <si>
    <t>PFAS: Perfluorodecanoic acid (PFDA)</t>
  </si>
  <si>
    <t>335-76-2</t>
  </si>
  <si>
    <t>PFAS: Perfluoroundecanoic acid (PFUDA)</t>
  </si>
  <si>
    <t>2058-94-8</t>
  </si>
  <si>
    <t>PFAS: Perfluorododecanoic acid (PFDoDA)</t>
  </si>
  <si>
    <t>307-55-1</t>
  </si>
  <si>
    <t>PFAS: Perfluorotetradecanoic acid (PFTeDA)</t>
  </si>
  <si>
    <t>376-06-7</t>
  </si>
  <si>
    <t>PFAS: Perfluorooctadecanoic acid (PFODA)</t>
  </si>
  <si>
    <t>16517-11-6</t>
  </si>
  <si>
    <t>PFAS: Perfluorobutane sulfonic acid (PFBS)</t>
  </si>
  <si>
    <t>375-73-5</t>
  </si>
  <si>
    <t>PFAS: Perfluorohexane sulfonic acid (PFHxS)</t>
  </si>
  <si>
    <t>355-46-4</t>
  </si>
  <si>
    <t>PFAS: Perfluorooctane sulfonic acid (PFOS)</t>
  </si>
  <si>
    <t>1763-23-1</t>
  </si>
  <si>
    <t>PFAS: Hexafluoropropylene oxide dimer acid (HFPO-DA)</t>
  </si>
  <si>
    <t>13252-13-6</t>
  </si>
  <si>
    <t>Phenol</t>
  </si>
  <si>
    <t>108-95-2</t>
  </si>
  <si>
    <t>Polychlorinated biphenyls (PCBs)</t>
  </si>
  <si>
    <t>1336-36-3</t>
  </si>
  <si>
    <t>Selenium</t>
  </si>
  <si>
    <t>7782-49-2</t>
  </si>
  <si>
    <t>Silver</t>
  </si>
  <si>
    <t>7440-22-4</t>
  </si>
  <si>
    <t>Styrene</t>
  </si>
  <si>
    <t>100-42-5</t>
  </si>
  <si>
    <t>tert-Butyl alcohol</t>
  </si>
  <si>
    <t>75-65-0</t>
  </si>
  <si>
    <t>1,1,1,2-Tetrachloroethane</t>
  </si>
  <si>
    <t>630-20-6</t>
  </si>
  <si>
    <t>1,1,2,2-Tetrachloroethane</t>
  </si>
  <si>
    <t>79-34-5</t>
  </si>
  <si>
    <t>Tetrachloroethene</t>
  </si>
  <si>
    <t>127-18-4</t>
  </si>
  <si>
    <t>Thallium</t>
  </si>
  <si>
    <t>7440-28-0</t>
  </si>
  <si>
    <t>Toluene</t>
  </si>
  <si>
    <t>108-88-3</t>
  </si>
  <si>
    <t>Toxaphene</t>
  </si>
  <si>
    <t>8001-35-2</t>
  </si>
  <si>
    <t>1,2,4-Trichlorobenzene</t>
  </si>
  <si>
    <t>120-82-1</t>
  </si>
  <si>
    <t>1,1,1-Trichloroethane</t>
  </si>
  <si>
    <t>71-55-6</t>
  </si>
  <si>
    <t>1,1,2-Trichloroethane</t>
  </si>
  <si>
    <t>79-00-5</t>
  </si>
  <si>
    <t>Trichloroethene</t>
  </si>
  <si>
    <t>79-01-6</t>
  </si>
  <si>
    <t>2,4,5-Trichlorophenol</t>
  </si>
  <si>
    <t>95-95-4</t>
  </si>
  <si>
    <t>2,4,6-Trichlorophenol</t>
  </si>
  <si>
    <t>88-06-2</t>
  </si>
  <si>
    <t>1,2,3-Trichloropropane</t>
  </si>
  <si>
    <t>96-18-4</t>
  </si>
  <si>
    <t>Vanadium</t>
  </si>
  <si>
    <t>7440-62-2</t>
  </si>
  <si>
    <t>Vinyl chloride</t>
  </si>
  <si>
    <t>75-01-4</t>
  </si>
  <si>
    <t>Xylenes</t>
  </si>
  <si>
    <t>1330-20-7</t>
  </si>
  <si>
    <t>Zinc</t>
  </si>
  <si>
    <t>7440-66-6</t>
  </si>
  <si>
    <t>Notes:</t>
  </si>
  <si>
    <t>Abbreviations:</t>
  </si>
  <si>
    <t>DDD - Dichlorodiphenyldichloroethane</t>
  </si>
  <si>
    <t>DDE - Dichlorodiphenyldichloroethene</t>
  </si>
  <si>
    <t>DDT - Dichlorodiphenyltrichloroethane</t>
  </si>
  <si>
    <t>HOPs - Hydrocarbon Oxidation Products (biodegradation metabolites and photo-oxidation products of petroleum hydrocarbons). See User's Guide Chapter 4 for 
            further information.</t>
  </si>
  <si>
    <t>PAH - Polycyclic aromatic hydrocarbon</t>
  </si>
  <si>
    <t>PFAS - Per- and polyfluoroalkyl substances</t>
  </si>
  <si>
    <t>TCDD - Tetrachlorodibenzodioxin</t>
  </si>
  <si>
    <t>heading_GW_Summary</t>
  </si>
  <si>
    <t>MCL</t>
  </si>
  <si>
    <t>DW-C</t>
  </si>
  <si>
    <t>DW-NC</t>
  </si>
  <si>
    <t>FW-EcoT</t>
  </si>
  <si>
    <t>SW-EcoT</t>
  </si>
  <si>
    <t>Bioac</t>
  </si>
  <si>
    <t>Res-VI-C-Min</t>
  </si>
  <si>
    <t>Res-VI-NC-Min</t>
  </si>
  <si>
    <t>Com-VI-C-Min</t>
  </si>
  <si>
    <t>Com-VI-NC-Min</t>
  </si>
  <si>
    <t>W-GC</t>
  </si>
  <si>
    <t>DW-NO</t>
  </si>
  <si>
    <t>NDW-NO</t>
  </si>
  <si>
    <t>GW-ESL</t>
  </si>
  <si>
    <t>GW-B</t>
  </si>
  <si>
    <t>Summary of Groundwater ESLs (µg/L)</t>
  </si>
  <si>
    <t>Direct Exposure
Human Health Risk Levels
(Table GW-1)</t>
  </si>
  <si>
    <t>Aquatic Habitat Goal Levels
(Table GW-2)</t>
  </si>
  <si>
    <t>Groundwater Vapor Intrusion Human Health Risk Levels
(Table GW-3)</t>
  </si>
  <si>
    <t>Gross Contam-ination Levels      (GW-4)</t>
  </si>
  <si>
    <t>Odor Nuisance
Levels
(Table GW-5)</t>
  </si>
  <si>
    <t>GW
Tier 1
ESL</t>
  </si>
  <si>
    <t>Basis</t>
  </si>
  <si>
    <t>Residential</t>
  </si>
  <si>
    <r>
      <t>MCL</t>
    </r>
    <r>
      <rPr>
        <b/>
        <vertAlign val="superscript"/>
        <sz val="18"/>
        <rFont val="Arial"/>
        <family val="2"/>
      </rPr>
      <t>1</t>
    </r>
  </si>
  <si>
    <t>Tapwater
Cancer Risk</t>
  </si>
  <si>
    <t>Tapwater
Non-cancer Hazard</t>
  </si>
  <si>
    <t xml:space="preserve">Fresh 
Water
Ecotox </t>
  </si>
  <si>
    <t>Saltwater Ecotox</t>
  </si>
  <si>
    <t>Seafood 
Ingestion Human Health</t>
  </si>
  <si>
    <t>Cancer Risk</t>
  </si>
  <si>
    <t>Non-
cancer Hazard</t>
  </si>
  <si>
    <t xml:space="preserve">Drinking 
Water </t>
  </si>
  <si>
    <t xml:space="preserve">Non-Drinking
 Water </t>
  </si>
  <si>
    <t>Acetone</t>
  </si>
  <si>
    <t>67-64-1</t>
  </si>
  <si>
    <t>1 - The lowest of Primary and Secondary Maximum Contaminant Levels (MCL) from USEPA and California.</t>
  </si>
  <si>
    <t xml:space="preserve"> -  Petroleum Motor Oil is composed of large carbon chain compounds (C24-C36+) having negligible solubility. Detections in water samples typically are Petroleum HOPs, nonaqueous phase liquid (NAPL or free product), contaminated sediment 
    entrained in the water sample, or naturally occurring compounds. Review the chromatograms to help determine the nature of the compounds being detected. See User's Guide Chapter 4.</t>
  </si>
  <si>
    <t>Canc - Cancer</t>
  </si>
  <si>
    <t>Contam - Contamination</t>
  </si>
  <si>
    <t>HOPs - Hydrocarbon Oxidation Products (biodegradation metabolites and photo-oxidation products of petroleum hydrocarbons). See User's Guide Chapter 4 for further information.</t>
  </si>
  <si>
    <t>MCL - Maximum Contaminant Level</t>
  </si>
  <si>
    <t>NC - Noncancer</t>
  </si>
  <si>
    <t>Odor/Nuis - Odor Nuisance</t>
  </si>
  <si>
    <t>heading_S_Summary</t>
  </si>
  <si>
    <t>S-Res-C</t>
  </si>
  <si>
    <t>S-Res-NC</t>
  </si>
  <si>
    <t>S-Com-C</t>
  </si>
  <si>
    <t>S-Com-NC</t>
  </si>
  <si>
    <t>S-CW-C</t>
  </si>
  <si>
    <t>S-CW-NC</t>
  </si>
  <si>
    <t>S-ET-SV</t>
  </si>
  <si>
    <t>S-ET-MV</t>
  </si>
  <si>
    <t>DW-Leach</t>
  </si>
  <si>
    <t>NDW-Leach</t>
  </si>
  <si>
    <t>S-GC</t>
  </si>
  <si>
    <t>Res-SS-NO</t>
  </si>
  <si>
    <t>Com-SS-NO</t>
  </si>
  <si>
    <t>Any-DS-NO</t>
  </si>
  <si>
    <t>Soil-ESL</t>
  </si>
  <si>
    <t>s-b</t>
  </si>
  <si>
    <r>
      <t xml:space="preserve">Summary of Soil ESLs (mg/kg) </t>
    </r>
    <r>
      <rPr>
        <b/>
        <vertAlign val="superscript"/>
        <sz val="50"/>
        <rFont val="Arial"/>
        <family val="2"/>
      </rPr>
      <t>1</t>
    </r>
  </si>
  <si>
    <t>Direct Exposure Human Health 
Risk Levels (Table S-1)</t>
  </si>
  <si>
    <t>Terrestrial Habitat Levels 
(Table S-2)</t>
  </si>
  <si>
    <t>Leaching to 
Groundwater Levels
(Table S-3)</t>
  </si>
  <si>
    <t>Gross 
Contamin-
ation
Levels
(Table S-4)</t>
  </si>
  <si>
    <t>Odor Nuisance Levels
(Table S-5)</t>
  </si>
  <si>
    <t>Soil
Tier 1 
ESL</t>
  </si>
  <si>
    <t>Residential:
Shallow Soil 
Exposure</t>
  </si>
  <si>
    <t>Commerical/
Industrial: 
Shallow Soil 
Exposure</t>
  </si>
  <si>
    <t>Construction Worker:
Any Land Use/ 
Any Depth Soil Exposure</t>
  </si>
  <si>
    <t>Significantly 
Vegetated Area</t>
  </si>
  <si>
    <t xml:space="preserve">Minimally 
Vegetated Area </t>
  </si>
  <si>
    <t>Drinking 
Water Sources</t>
  </si>
  <si>
    <t xml:space="preserve">Non-drinking 
Water Sources </t>
  </si>
  <si>
    <t>Res:
Shallow Soil 
Exposure</t>
  </si>
  <si>
    <t>Com/Ind:
Shallow Soil 
Exposure</t>
  </si>
  <si>
    <t>Any 
Land Use:
Any Soil 
Exposure
(CW)</t>
  </si>
  <si>
    <t>Cancer 
Risk</t>
  </si>
  <si>
    <t>Non-
cancer
Hazard</t>
  </si>
  <si>
    <t>Examples: Parkland or single family homes 
with yards</t>
  </si>
  <si>
    <t>Examples:
 High density residential or commercial/ industrial areas</t>
  </si>
  <si>
    <t>Chromium III (soluble)</t>
  </si>
  <si>
    <t>Chromium III (insoluble)</t>
  </si>
  <si>
    <t xml:space="preserve"> - Petroleum - HOPs: Soil ESLs have not been developed at this time. </t>
  </si>
  <si>
    <t>Com/Ind - Commercial/Industrial</t>
  </si>
  <si>
    <t>CW - Construction Worker</t>
  </si>
  <si>
    <t>Exp - Exposure</t>
  </si>
  <si>
    <t>Res - Residential</t>
  </si>
  <si>
    <t xml:space="preserve">Terr - Terrestrial </t>
  </si>
  <si>
    <t xml:space="preserve"> </t>
  </si>
  <si>
    <t>heading_V_Summary</t>
  </si>
  <si>
    <t>NO-Min</t>
  </si>
  <si>
    <t>SG-ESL</t>
  </si>
  <si>
    <t>SG-b</t>
  </si>
  <si>
    <t>IA-Res-C</t>
  </si>
  <si>
    <t>IA-Res-NC</t>
  </si>
  <si>
    <t>IA-Com-C</t>
  </si>
  <si>
    <t>IA-Com-NC</t>
  </si>
  <si>
    <t>IA-NO</t>
  </si>
  <si>
    <t>IA-ESL</t>
  </si>
  <si>
    <t>IA-b</t>
  </si>
  <si>
    <t xml:space="preserve">Summary of Vapor ESLs </t>
  </si>
  <si>
    <r>
      <t>Subslab/ Soil Gas (µg/m</t>
    </r>
    <r>
      <rPr>
        <b/>
        <vertAlign val="superscript"/>
        <sz val="35"/>
        <rFont val="Arial"/>
        <family val="2"/>
      </rPr>
      <t>3</t>
    </r>
    <r>
      <rPr>
        <b/>
        <sz val="35"/>
        <rFont val="Arial"/>
        <family val="2"/>
      </rPr>
      <t xml:space="preserve">) </t>
    </r>
    <r>
      <rPr>
        <b/>
        <vertAlign val="superscript"/>
        <sz val="35"/>
        <rFont val="Arial"/>
        <family val="2"/>
      </rPr>
      <t>1</t>
    </r>
  </si>
  <si>
    <r>
      <t>Indoor Air (µg/m</t>
    </r>
    <r>
      <rPr>
        <b/>
        <vertAlign val="superscript"/>
        <sz val="35"/>
        <rFont val="Arial"/>
        <family val="2"/>
      </rPr>
      <t>3</t>
    </r>
    <r>
      <rPr>
        <b/>
        <sz val="35"/>
        <rFont val="Arial"/>
        <family val="2"/>
      </rPr>
      <t xml:space="preserve">) </t>
    </r>
  </si>
  <si>
    <t>Subslab/Soil Gas
Vapor Intrusion: 
Human Health Risk Levels 
 (Table SG-1)</t>
  </si>
  <si>
    <t>Subslab/
Soil Gas
Vapor Intrusion: Odor Nuisance Levels 
(Table 
SG-2)</t>
  </si>
  <si>
    <t>Tier 1 
ESL</t>
  </si>
  <si>
    <t>Direct Exposure
Human Health Risk
Levels (Table IA-1)</t>
  </si>
  <si>
    <t>Odor 
Nuisance 
Levels 
(Table IA-2)</t>
  </si>
  <si>
    <t>Commercial/ Industrial</t>
  </si>
  <si>
    <t>Cancer
Risk</t>
  </si>
  <si>
    <t>1 - Subslab/Soil Gas Screening Levels are calculated using a default attenuation factor of 0.03. For Petroleum, aerobic biodegradation can further reduce concentrations of petroleum vapors in the vadose zone. 
      See Attachment 2 (Petroleum-Specific Considerations) of the Supplemental Guidance: Screening and Evaluating Vapor Intrusion Final Draft (DTSC and Water Boards 2023) for information on use of 
      building-specific bioattenuation factors.</t>
  </si>
  <si>
    <t>Canc-Risk - Cancer</t>
  </si>
  <si>
    <t xml:space="preserve">NC - Noncancer </t>
  </si>
  <si>
    <t>Accelerated Response Action</t>
  </si>
  <si>
    <t>Vapor Intrusion 
Groundwater Trigger 
Level (µg/L)</t>
  </si>
  <si>
    <r>
      <t>Vapor Intrusion 
Subslab/ Soil Gas Trigger 
Level (µg/m</t>
    </r>
    <r>
      <rPr>
        <b/>
        <vertAlign val="superscript"/>
        <sz val="18"/>
        <rFont val="Arial"/>
        <family val="2"/>
      </rPr>
      <t>3</t>
    </r>
    <r>
      <rPr>
        <b/>
        <sz val="18"/>
        <rFont val="Arial"/>
        <family val="2"/>
      </rPr>
      <t>)</t>
    </r>
  </si>
  <si>
    <r>
      <t>Indoor Air Accelerated Response Level (µg/m</t>
    </r>
    <r>
      <rPr>
        <b/>
        <vertAlign val="superscript"/>
        <sz val="18"/>
        <rFont val="Arial"/>
        <family val="2"/>
      </rPr>
      <t>3</t>
    </r>
    <r>
      <rPr>
        <b/>
        <sz val="18"/>
        <rFont val="Arial"/>
        <family val="2"/>
      </rPr>
      <t xml:space="preserve">) </t>
    </r>
  </si>
  <si>
    <r>
      <t>Indoor Air Urgent 
Response Level (µg/m</t>
    </r>
    <r>
      <rPr>
        <b/>
        <vertAlign val="superscript"/>
        <sz val="18"/>
        <rFont val="Arial"/>
        <family val="2"/>
      </rPr>
      <t>3</t>
    </r>
    <r>
      <rPr>
        <b/>
        <sz val="18"/>
        <rFont val="Arial"/>
        <family val="2"/>
      </rPr>
      <t>)</t>
    </r>
  </si>
  <si>
    <t xml:space="preserve"> Urgent
Response Action</t>
  </si>
  <si>
    <t>Commercial</t>
  </si>
  <si>
    <t>Prompt notification*
&amp; mitigation **</t>
  </si>
  <si>
    <t>Expedite
 Indoor Air 
Sampling</t>
  </si>
  <si>
    <r>
      <t xml:space="preserve">Prompt notification* 
&amp; mitigation** within </t>
    </r>
    <r>
      <rPr>
        <u/>
        <sz val="18"/>
        <rFont val="Arial"/>
        <family val="2"/>
      </rPr>
      <t>weeks</t>
    </r>
  </si>
  <si>
    <r>
      <t xml:space="preserve">Prompt notification* 
&amp; mitigation** 
within </t>
    </r>
    <r>
      <rPr>
        <u/>
        <sz val="18"/>
        <rFont val="Arial"/>
        <family val="2"/>
      </rPr>
      <t>days</t>
    </r>
    <r>
      <rPr>
        <sz val="18"/>
        <rFont val="Arial"/>
        <family val="2"/>
      </rPr>
      <t xml:space="preserve"> </t>
    </r>
  </si>
  <si>
    <t xml:space="preserve"> - Trichloroethene - The Accelerated and Urgent Response Levels come from the USEPA Region 9 Memorandum: Response Action Levels and Recommendations to Address Near-Term Inhalation Exposures to TCE in Air from Subsurface Vapor Intrusion (USEPA 2014d).</t>
  </si>
  <si>
    <t>Table T2-1: Tier 2 ESLs 
Site-Specific Input and Output</t>
  </si>
  <si>
    <t xml:space="preserve">Click in cell and use pull-down boxes to make selection. </t>
  </si>
  <si>
    <t>Tier 2 Scenario Toggles</t>
  </si>
  <si>
    <t>Commercial or Industrial</t>
  </si>
  <si>
    <t>Land Use:</t>
  </si>
  <si>
    <t>Minimal</t>
  </si>
  <si>
    <t>Substantial</t>
  </si>
  <si>
    <t>Vegetation Level:</t>
  </si>
  <si>
    <t>Drinking Water Resource</t>
  </si>
  <si>
    <t>Nondrinking Water Resource</t>
  </si>
  <si>
    <t>Groundwater Use:</t>
  </si>
  <si>
    <t>Yes</t>
  </si>
  <si>
    <t>No</t>
  </si>
  <si>
    <t>MCL Priority over Risk-Based:</t>
  </si>
  <si>
    <t>Saltwater</t>
  </si>
  <si>
    <t>Freshwater</t>
  </si>
  <si>
    <t>Saltwater &amp; Freshwater</t>
  </si>
  <si>
    <t>No Discharge Expected</t>
  </si>
  <si>
    <t>Discharge to Surface Water:</t>
  </si>
  <si>
    <t>Soil Contamination Depth:
(Shallow ≤ 10ft bgs &lt; Deep)</t>
  </si>
  <si>
    <t>Shallow Soil</t>
  </si>
  <si>
    <t>Deep Soil</t>
  </si>
  <si>
    <t>Shallow &amp; Deep Soil</t>
  </si>
  <si>
    <t>Select Site Contaminants:</t>
  </si>
  <si>
    <t>Contaminant 1</t>
  </si>
  <si>
    <t>Contaminant 2</t>
  </si>
  <si>
    <t>Contaminant 3</t>
  </si>
  <si>
    <t>Contaminant 4</t>
  </si>
  <si>
    <t>Contaminant 5</t>
  </si>
  <si>
    <t>Lowest of the Applicable Tier 2 ESLs:</t>
  </si>
  <si>
    <t>ESL</t>
  </si>
  <si>
    <t>Groundwater (μg/L):</t>
  </si>
  <si>
    <t>Soil (mg/kg):</t>
  </si>
  <si>
    <t>Subslab/ Soil Gas (μg/m³):</t>
  </si>
  <si>
    <t>Indoor Air (μg/m³):</t>
  </si>
  <si>
    <t>Note:</t>
  </si>
  <si>
    <t>Tier 2 - Groundwater ESLs</t>
  </si>
  <si>
    <t>Cancer</t>
  </si>
  <si>
    <t>NonCancer</t>
  </si>
  <si>
    <t>Drinking Water MCL:</t>
  </si>
  <si>
    <t>Tapwater-Direct Exposure Human Health Risk:</t>
  </si>
  <si>
    <t>Nondrinking Water Exposure Risk:</t>
  </si>
  <si>
    <t>Groundwater Direct Exposure Level:</t>
  </si>
  <si>
    <t>Freshwater Ecotoxicity:</t>
  </si>
  <si>
    <t>Saltwater Ecotoxicity:</t>
  </si>
  <si>
    <t>Bioaccumulation for Seafood Ingestion Concerns:</t>
  </si>
  <si>
    <t>Aquatic Habitat Goal Level:</t>
  </si>
  <si>
    <t>Residential GW VI - AF 0.03:</t>
  </si>
  <si>
    <t>Com/Ind GW VI - AF 0.03:</t>
  </si>
  <si>
    <t>Groundwater Vapor Intrusion Level:</t>
  </si>
  <si>
    <t>Groundwater Gross Contamination Level:</t>
  </si>
  <si>
    <t>Drinking Water Taste and Odor Nuisance Value:</t>
  </si>
  <si>
    <t>Nondrinking Odor Nuisance  Value:</t>
  </si>
  <si>
    <t>Groundwater Odor Nuisance Level:</t>
  </si>
  <si>
    <t>Final Groundwater ESL:</t>
  </si>
  <si>
    <t>GW Conc inputs from T2-2</t>
  </si>
  <si>
    <t>Tier 2 - Soil ESLs</t>
  </si>
  <si>
    <t>Residential Shallow Soil Exposure Risk:</t>
  </si>
  <si>
    <t>Commercial or Industrial Shallow Soil Exposure Risk:</t>
  </si>
  <si>
    <t>Construction Worker Any Soil Depth Exposure Risk:</t>
  </si>
  <si>
    <t>Soil Direct Exposure Level:</t>
  </si>
  <si>
    <t>Minimal Vegetation:</t>
  </si>
  <si>
    <t>Substantial Vegetation:</t>
  </si>
  <si>
    <t>Terrestrial Habitat Toxicity Level:</t>
  </si>
  <si>
    <t>Leaching - Drinking Water Resource, MCL Priority, FW:</t>
  </si>
  <si>
    <t>Leaching - Drinking Water Resource, MCL Priority, SW:</t>
  </si>
  <si>
    <t>Leaching - Drinking Water Resource, MCL Priority, FW+SW:</t>
  </si>
  <si>
    <t>Leaching - Drinking Water Resource, MCL Priority, No Disc:</t>
  </si>
  <si>
    <t>Leaching - Drinking Water Resource, No MCL Priority, FW:</t>
  </si>
  <si>
    <t>Leaching - Drinking Water Resource, No MCL Priority, SW:</t>
  </si>
  <si>
    <t>Leaching - Drinking Water Resource, No MCL Priority, FW+SW:</t>
  </si>
  <si>
    <t>Leaching - Drinking Water Resource, No MCL Priority, No Disc:</t>
  </si>
  <si>
    <t>Leaching - Nondrinking Water Resource, FW:</t>
  </si>
  <si>
    <t>Leaching - Nondrinking Water Resource, SW:</t>
  </si>
  <si>
    <t>Leaching - Nondrinking Water Resource, FW+SW:</t>
  </si>
  <si>
    <t>Leaching - Nondrinking Water Resource, No Disc:</t>
  </si>
  <si>
    <t>Soil Leaching Level:</t>
  </si>
  <si>
    <t>Soil Gross Contamination Level:</t>
  </si>
  <si>
    <t>Residential - Shallow Soil Exposure:</t>
  </si>
  <si>
    <t>Commercial/Industrial - Shallow Soil Exposure:</t>
  </si>
  <si>
    <t>Any Land Use - Deep Soil Exposure:</t>
  </si>
  <si>
    <t>Soil Odor Nuisance Level:</t>
  </si>
  <si>
    <t>Final Soil ESL</t>
  </si>
  <si>
    <t>Soil conc inputs from T2-2</t>
  </si>
  <si>
    <t>Tier 2 - Soil Gas ESLs</t>
  </si>
  <si>
    <t>Min Residential VI Exposure Risk:</t>
  </si>
  <si>
    <t>Min Commercial or Industrial VI Exposure Risk:</t>
  </si>
  <si>
    <t>Subslab/Soil Gas Vapor Intrusion Level:</t>
  </si>
  <si>
    <t xml:space="preserve">Min VI Odor Nuisance: </t>
  </si>
  <si>
    <t>Subslab/Soil Gas VI Odor Nuisance Level:</t>
  </si>
  <si>
    <t>Final Subslab/Soil Gas ESL:</t>
  </si>
  <si>
    <t>SS/SG inputs from T2-2</t>
  </si>
  <si>
    <t>Tier 2 - Indoor Air ESLs</t>
  </si>
  <si>
    <t>Residential Direct Exposure Risk:</t>
  </si>
  <si>
    <t>Commercial or Industrial Direct Exposure Risk:</t>
  </si>
  <si>
    <t>Indoor Air Direct Exposure Level:</t>
  </si>
  <si>
    <t>Indoor Air Odor Nuisance Level:</t>
  </si>
  <si>
    <t>Final Indoor Air ESL:</t>
  </si>
  <si>
    <t>IA inputs from T2-2</t>
  </si>
  <si>
    <t>Table T2-2: Tier 2 – Site-Specific Cumulative Risk and Hazard Calculator</t>
  </si>
  <si>
    <t>Selected Site Scenario (from T2-1)</t>
  </si>
  <si>
    <t>Enter Site Data (Leave blank when no data exits)</t>
  </si>
  <si>
    <t>Contaminant inputs from T2-1:</t>
  </si>
  <si>
    <t>Soil Concentration (mg/kg) - dry weight:</t>
  </si>
  <si>
    <t>Soil Contamination Depth:</t>
  </si>
  <si>
    <t>Groundwater Concentration (μg/L):</t>
  </si>
  <si>
    <r>
      <t>Subslab/ Soil Gas Concentration (μg/m</t>
    </r>
    <r>
      <rPr>
        <vertAlign val="superscript"/>
        <sz val="12"/>
        <rFont val="Arial"/>
        <family val="2"/>
      </rPr>
      <t>3</t>
    </r>
    <r>
      <rPr>
        <sz val="12"/>
        <rFont val="Arial"/>
        <family val="2"/>
      </rPr>
      <t>):</t>
    </r>
  </si>
  <si>
    <r>
      <t>Indoor Air Concentration (μg/m</t>
    </r>
    <r>
      <rPr>
        <vertAlign val="superscript"/>
        <sz val="12"/>
        <rFont val="Arial"/>
        <family val="2"/>
      </rPr>
      <t>3</t>
    </r>
    <r>
      <rPr>
        <sz val="12"/>
        <rFont val="Arial"/>
        <family val="2"/>
      </rPr>
      <t>):</t>
    </r>
  </si>
  <si>
    <t>Soil Gas VI Attenuation Factor (Use 0.03 for Screening):</t>
  </si>
  <si>
    <t>Soil</t>
  </si>
  <si>
    <t>GW</t>
  </si>
  <si>
    <t>SG</t>
  </si>
  <si>
    <t>IA</t>
  </si>
  <si>
    <t>Cancer Risk:</t>
  </si>
  <si>
    <t>Cumulative Risk</t>
  </si>
  <si>
    <t>Res</t>
  </si>
  <si>
    <t>Com</t>
  </si>
  <si>
    <t>CW</t>
  </si>
  <si>
    <t>Final</t>
  </si>
  <si>
    <t>Tapwater</t>
  </si>
  <si>
    <t>Res VI Any</t>
  </si>
  <si>
    <t>Com VI Any</t>
  </si>
  <si>
    <t>VI Final</t>
  </si>
  <si>
    <t>SiteSpec</t>
  </si>
  <si>
    <t xml:space="preserve">Soil Exposure Risk: </t>
  </si>
  <si>
    <t>Tapwater Exposure Risk:</t>
  </si>
  <si>
    <t>Current* Vapor Intrusion Exposure Risk:</t>
  </si>
  <si>
    <t>Basis:</t>
  </si>
  <si>
    <t>Indoor Air</t>
  </si>
  <si>
    <t>Subslab/Soil Gas VI</t>
  </si>
  <si>
    <t>Groundwater VI</t>
  </si>
  <si>
    <t>Future** Vapor Intrusion Exposure Risk:</t>
  </si>
  <si>
    <t>Noncancer Hazard:</t>
  </si>
  <si>
    <t>Cumulative Hazard</t>
  </si>
  <si>
    <t xml:space="preserve">Soil Exposure Hazard: </t>
  </si>
  <si>
    <t>Tap Water Exposure Hazard:</t>
  </si>
  <si>
    <t>Current* Vapor Intrusion Exposure Hazard:</t>
  </si>
  <si>
    <t>Future** Vapor Intrusion Exposure Hazard:</t>
  </si>
  <si>
    <t xml:space="preserve">Notes:   </t>
  </si>
  <si>
    <t>Cumulative cancer risk and noncancer hazard are not automatically calculated across pathways because exposure via multiple pathways typically is not simultaneous. This may be performed separately as part of a site-specific evaluation. See the User's Guide Section 3.3 (Addressing Cumulative Risk and Hazard).</t>
  </si>
  <si>
    <r>
      <rPr>
        <b/>
        <sz val="12"/>
        <rFont val="Arial"/>
        <family val="2"/>
      </rPr>
      <t>*  Current</t>
    </r>
    <r>
      <rPr>
        <sz val="12"/>
        <rFont val="Arial"/>
        <family val="2"/>
      </rPr>
      <t xml:space="preserve"> (VI exposure to current occupants of existing buildings) – Primarily based on indoor air data. See User's Guide Chapter 5 for further information.</t>
    </r>
  </si>
  <si>
    <t xml:space="preserve">    In the absence of indoor air data, subslab/soil gas or groundwater data is used to predict current indoor air concentrations.       </t>
  </si>
  <si>
    <t xml:space="preserve">    Subslab/soil gas data is given priority over groundwater data for current exposure calculations. The cumulative risk calculation follows the same hierarchy.                               </t>
  </si>
  <si>
    <r>
      <rPr>
        <b/>
        <sz val="12"/>
        <rFont val="Arial"/>
        <family val="2"/>
      </rPr>
      <t>** Future</t>
    </r>
    <r>
      <rPr>
        <sz val="12"/>
        <rFont val="Arial"/>
        <family val="2"/>
      </rPr>
      <t xml:space="preserve"> (VI exposure to future occupants of existing or future buildings) – Primarily based on subslab/soil gas data. See User's Guide Chapter 5 for further information.</t>
    </r>
  </si>
  <si>
    <t xml:space="preserve">    In the absence of subslab/soil gas data, groundwater data is used to predict future indoor air concentrations. The cumulative risk calculation follows the same hierarchy.        </t>
  </si>
  <si>
    <t>Table T2-3: Diagram of Specific Concerns for:</t>
  </si>
  <si>
    <t>Based on "Contaminant 1" inputs in Tables T2-1 and T2-2</t>
  </si>
  <si>
    <t>Direct Exposure</t>
  </si>
  <si>
    <t>Odor</t>
  </si>
  <si>
    <t>Selected Site Scenario (Table T2-1):</t>
  </si>
  <si>
    <r>
      <t>Indoor Air
(μg/m</t>
    </r>
    <r>
      <rPr>
        <b/>
        <vertAlign val="superscript"/>
        <sz val="11"/>
        <rFont val="Arial"/>
        <family val="2"/>
      </rPr>
      <t>3</t>
    </r>
    <r>
      <rPr>
        <b/>
        <sz val="11"/>
        <rFont val="Arial"/>
        <family val="2"/>
      </rPr>
      <t>)</t>
    </r>
  </si>
  <si>
    <t/>
  </si>
  <si>
    <t>Direct
Exposure</t>
  </si>
  <si>
    <t>Terrestrial Habitat</t>
  </si>
  <si>
    <t>Site Concentration Inputs (Table T2-2):</t>
  </si>
  <si>
    <t>Vapor
Intrusion</t>
  </si>
  <si>
    <r>
      <t>Groundwater (</t>
    </r>
    <r>
      <rPr>
        <sz val="10"/>
        <rFont val="Calibri"/>
        <family val="2"/>
      </rPr>
      <t>µ</t>
    </r>
    <r>
      <rPr>
        <sz val="10"/>
        <rFont val="Arial"/>
        <family val="2"/>
      </rPr>
      <t>g/L):</t>
    </r>
  </si>
  <si>
    <r>
      <t>Soil Gas (µg/m</t>
    </r>
    <r>
      <rPr>
        <vertAlign val="superscript"/>
        <sz val="10"/>
        <rFont val="Arial"/>
        <family val="2"/>
      </rPr>
      <t>3</t>
    </r>
    <r>
      <rPr>
        <sz val="10"/>
        <rFont val="Arial"/>
        <family val="2"/>
      </rPr>
      <t>):</t>
    </r>
  </si>
  <si>
    <t>Soil
(mg/kg)</t>
  </si>
  <si>
    <r>
      <t>Indoor Air (µg/m</t>
    </r>
    <r>
      <rPr>
        <vertAlign val="superscript"/>
        <sz val="10"/>
        <rFont val="Arial"/>
        <family val="2"/>
      </rPr>
      <t>3</t>
    </r>
    <r>
      <rPr>
        <sz val="10"/>
        <rFont val="Arial"/>
        <family val="2"/>
      </rPr>
      <t>):</t>
    </r>
  </si>
  <si>
    <r>
      <t>Subslab/ Soil Gas (μg/m</t>
    </r>
    <r>
      <rPr>
        <b/>
        <vertAlign val="superscript"/>
        <sz val="11"/>
        <rFont val="Arial"/>
        <family val="2"/>
      </rPr>
      <t>3</t>
    </r>
    <r>
      <rPr>
        <b/>
        <sz val="11"/>
        <rFont val="Arial"/>
        <family val="2"/>
      </rPr>
      <t>)</t>
    </r>
  </si>
  <si>
    <t xml:space="preserve">Gross </t>
  </si>
  <si>
    <t>Contam.</t>
  </si>
  <si>
    <t>Leaching</t>
  </si>
  <si>
    <t>Vapor Intrusion</t>
  </si>
  <si>
    <t>Groundwater (μg/L)</t>
  </si>
  <si>
    <t>Taste/
Odor</t>
  </si>
  <si>
    <t>Aquatic Habitat</t>
  </si>
  <si>
    <t>heading_W_1</t>
  </si>
  <si>
    <t>MCL_Pri</t>
  </si>
  <si>
    <t>W-C</t>
  </si>
  <si>
    <t>W-NC</t>
  </si>
  <si>
    <r>
      <t xml:space="preserve">Table GW-1: Groundwater Direct Exposure Human Health Risk Screening Levels (μg/L) </t>
    </r>
    <r>
      <rPr>
        <b/>
        <vertAlign val="superscript"/>
        <sz val="20"/>
        <rFont val="Arial"/>
        <family val="2"/>
      </rPr>
      <t>1</t>
    </r>
  </si>
  <si>
    <t xml:space="preserve">MCL Priority </t>
  </si>
  <si>
    <t>Human Health Risk-Based Water Screening Levels</t>
  </si>
  <si>
    <t>MCL Screening Level</t>
  </si>
  <si>
    <r>
      <t xml:space="preserve">Input Parameters </t>
    </r>
    <r>
      <rPr>
        <b/>
        <vertAlign val="superscript"/>
        <sz val="16"/>
        <rFont val="Arial"/>
        <family val="2"/>
      </rPr>
      <t>2</t>
    </r>
  </si>
  <si>
    <t>Chemical</t>
  </si>
  <si>
    <t xml:space="preserve">Final
MCL
</t>
  </si>
  <si>
    <t xml:space="preserve">Final 
Human Health Risk Screening Levels </t>
  </si>
  <si>
    <t>Tapwater Direct Exposure Levels</t>
  </si>
  <si>
    <t>Other 
Drinking Water Criteria</t>
  </si>
  <si>
    <t xml:space="preserve">MCL 
Screening 
Level </t>
  </si>
  <si>
    <r>
      <t>Age Adjusted Cancer Risk (Target Risk = 10</t>
    </r>
    <r>
      <rPr>
        <b/>
        <vertAlign val="superscript"/>
        <sz val="10"/>
        <rFont val="Arial"/>
        <family val="2"/>
      </rPr>
      <t>-6</t>
    </r>
    <r>
      <rPr>
        <b/>
        <sz val="10"/>
        <rFont val="Arial"/>
        <family val="2"/>
      </rPr>
      <t>)</t>
    </r>
  </si>
  <si>
    <t>Child Noncancer (Target Hazard Quotient = 1)</t>
  </si>
  <si>
    <t>Primary 
MCL</t>
  </si>
  <si>
    <t>Secondary MCL</t>
  </si>
  <si>
    <t>Public 
Heath 
Goal
(PHG)</t>
  </si>
  <si>
    <t>PHG
Basis</t>
  </si>
  <si>
    <t>Notification Level
(NL)</t>
  </si>
  <si>
    <t>NL
Basis</t>
  </si>
  <si>
    <t>Volatility</t>
  </si>
  <si>
    <t>Organic or Inorganic</t>
  </si>
  <si>
    <t>Mutagen?</t>
  </si>
  <si>
    <t>FA (unitless)</t>
  </si>
  <si>
    <t>B
(unitless)</t>
  </si>
  <si>
    <t>τ event
(hr/event)</t>
  </si>
  <si>
    <t>t*
(hr)</t>
  </si>
  <si>
    <t>Kp
(cm/hr)</t>
  </si>
  <si>
    <t>EPD</t>
  </si>
  <si>
    <t>Oral Slope Factor
(Cancer)</t>
  </si>
  <si>
    <t>Inhalation
Unit Risk
(Cancer)</t>
  </si>
  <si>
    <t>Oral Reference Dose</t>
  </si>
  <si>
    <t>Inhalation
Reference Conc.</t>
  </si>
  <si>
    <t>GI 
Absorption</t>
  </si>
  <si>
    <t>Cancer Dermal Absorption
Water</t>
  </si>
  <si>
    <t>Mutagen Cancer Dermal Absorption
Water</t>
  </si>
  <si>
    <t xml:space="preserve">Noncancer Child
Dermal Absorption
Water </t>
  </si>
  <si>
    <t>Noncancer Hazard</t>
  </si>
  <si>
    <t>Ingestion</t>
  </si>
  <si>
    <t xml:space="preserve">Inhalation </t>
  </si>
  <si>
    <t>Dermal Contact</t>
  </si>
  <si>
    <t>Total Cancer Risk Level</t>
  </si>
  <si>
    <t>Total Noncancer Risk Level</t>
  </si>
  <si>
    <t>Noncancer
Hazard</t>
  </si>
  <si>
    <t>Source</t>
  </si>
  <si>
    <t>Inorganic</t>
  </si>
  <si>
    <t>Organic</t>
  </si>
  <si>
    <t>Final Dermal</t>
  </si>
  <si>
    <r>
      <t>SF</t>
    </r>
    <r>
      <rPr>
        <b/>
        <vertAlign val="subscript"/>
        <sz val="8"/>
        <rFont val="Arial"/>
        <family val="2"/>
      </rPr>
      <t>o</t>
    </r>
  </si>
  <si>
    <t>IUR</t>
  </si>
  <si>
    <r>
      <t>RfD</t>
    </r>
    <r>
      <rPr>
        <b/>
        <vertAlign val="subscript"/>
        <sz val="8"/>
        <rFont val="Arial"/>
        <family val="2"/>
      </rPr>
      <t>o</t>
    </r>
  </si>
  <si>
    <t>RfC</t>
  </si>
  <si>
    <t>GIABS</t>
  </si>
  <si>
    <t>DA event</t>
  </si>
  <si>
    <t>ETwadj&lt;t*</t>
  </si>
  <si>
    <t>ETwadj&gt;t*</t>
  </si>
  <si>
    <t xml:space="preserve"> ETw&lt;t*</t>
  </si>
  <si>
    <t>ETw&gt;t*</t>
  </si>
  <si>
    <t>(µg/L)</t>
  </si>
  <si>
    <r>
      <t>(mg/kg-day)</t>
    </r>
    <r>
      <rPr>
        <b/>
        <vertAlign val="superscript"/>
        <sz val="8"/>
        <rFont val="Arial"/>
        <family val="2"/>
      </rPr>
      <t>-1</t>
    </r>
  </si>
  <si>
    <r>
      <t>(µg/m</t>
    </r>
    <r>
      <rPr>
        <b/>
        <vertAlign val="superscript"/>
        <sz val="8"/>
        <rFont val="Arial"/>
        <family val="2"/>
      </rPr>
      <t>3</t>
    </r>
    <r>
      <rPr>
        <b/>
        <sz val="8"/>
        <rFont val="Arial"/>
        <family val="2"/>
      </rPr>
      <t>)</t>
    </r>
    <r>
      <rPr>
        <b/>
        <vertAlign val="superscript"/>
        <sz val="8"/>
        <rFont val="Arial"/>
        <family val="2"/>
      </rPr>
      <t>-1</t>
    </r>
  </si>
  <si>
    <t>(mg/kg-day)</t>
  </si>
  <si>
    <r>
      <t>(µg/m</t>
    </r>
    <r>
      <rPr>
        <b/>
        <vertAlign val="superscript"/>
        <sz val="8"/>
        <rFont val="Arial"/>
        <family val="2"/>
      </rPr>
      <t>3</t>
    </r>
    <r>
      <rPr>
        <b/>
        <sz val="8"/>
        <rFont val="Arial"/>
        <family val="2"/>
      </rPr>
      <t>)</t>
    </r>
  </si>
  <si>
    <r>
      <t>(µg/cm</t>
    </r>
    <r>
      <rPr>
        <b/>
        <vertAlign val="superscript"/>
        <sz val="8"/>
        <rFont val="Arial"/>
        <family val="2"/>
      </rPr>
      <t>2</t>
    </r>
    <r>
      <rPr>
        <b/>
        <sz val="8"/>
        <rFont val="Arial"/>
        <family val="2"/>
      </rPr>
      <t>-event)</t>
    </r>
  </si>
  <si>
    <t>Petroleum: Fraction 1 (Low Aliphatic)</t>
  </si>
  <si>
    <t>Petroleum: Fraction 2 (Medium Aliphatic)</t>
  </si>
  <si>
    <t>Petroleum: Fraction 3 (High Aliphatic)</t>
  </si>
  <si>
    <t>Petroleum: Fraction 5 (Medium Aromatic)</t>
  </si>
  <si>
    <t>Petroleum: Fraction 6 (High Aromatic)</t>
  </si>
  <si>
    <t>2 - See ESL Tables IP-1 and IP-2 for Input Parameter definitions.</t>
  </si>
  <si>
    <t xml:space="preserve"> - Petroleum Motor Oil is composed of large carbon chain compounds (C24-C36+) having negligible solubility. Detections in water samples typically are Petroleum HOPs, nonaqueous phase liquid (NAPL or free product), contaminated sediment entrained in the water sample, or naturally occurring compounds. Review the chromatogram to help determine the nature of the compounds being detected. See User's Guide Chapter 4.</t>
  </si>
  <si>
    <t xml:space="preserve"> - Trichloroethene (TCE): USEPA provides a TCE-specific direct exposure equation combining the mutagenic and carcinogenic equations. See User's Guide Chapter 3 for further information.</t>
  </si>
  <si>
    <t xml:space="preserve"> - Vinyl chloride (VC): USEPA provides a VC-specific direct exposure equation that employs a two-fold adjustment factor for estimated cancer risk to account for early life exposure. See User's Guide Chapter 3 for further information.</t>
  </si>
  <si>
    <t>C - Cancer</t>
  </si>
  <si>
    <t>HHR - Human Health Risk</t>
  </si>
  <si>
    <t>NL - Notification Level</t>
  </si>
  <si>
    <t>OEHHA - California Office of Environmental Health Hazard Assessment</t>
  </si>
  <si>
    <t>PHG - Public Health Goal</t>
  </si>
  <si>
    <t>heading_W_2</t>
  </si>
  <si>
    <r>
      <t xml:space="preserve">Table GW-2: Aquatic Habitat Screening Levels (μg/L) </t>
    </r>
    <r>
      <rPr>
        <b/>
        <vertAlign val="superscript"/>
        <sz val="20"/>
        <rFont val="Arial"/>
        <family val="2"/>
      </rPr>
      <t>1</t>
    </r>
  </si>
  <si>
    <t>Final 
Aquatic Habitat
ESL</t>
  </si>
  <si>
    <t>Final
Seafood Ingestion 
Human Health 
ESL</t>
  </si>
  <si>
    <t>Seafood Ingestion: Bioaccumulation Human Health Risk-Based Levels</t>
  </si>
  <si>
    <t>Final
Freshwater Habitat
ESL</t>
  </si>
  <si>
    <t>Freshwater Exposure</t>
  </si>
  <si>
    <t>Chronic Freshwater  Exposure Ecotoxicity Levels</t>
  </si>
  <si>
    <t>Acute Freshwater  Exposure Ecotoxicity Levels</t>
  </si>
  <si>
    <t>Final
Saltwater Habitat
Ecotoxicity ESL</t>
  </si>
  <si>
    <t>Saltwater Column Exposure</t>
  </si>
  <si>
    <t>Chronic Saltwater  Exposure Ecotoxicity Levels</t>
  </si>
  <si>
    <t>Acute Saltwater  Exposure Ecotoxicity Levels</t>
  </si>
  <si>
    <t>Bio-
accumulation Exposure Ecotoxicity Level
Table IP-6</t>
  </si>
  <si>
    <t>California Toxics Rule Criteria</t>
  </si>
  <si>
    <t>California 
Ocean Plan 
Water Quality Objectives</t>
  </si>
  <si>
    <t>National Recommended Water Quality Criteria</t>
  </si>
  <si>
    <t>Hierarchy: FC (freshwater chronic) or
FA (freshwater acute)</t>
  </si>
  <si>
    <t>FC</t>
  </si>
  <si>
    <t>FC1</t>
  </si>
  <si>
    <t>FC2</t>
  </si>
  <si>
    <t>FC2a</t>
  </si>
  <si>
    <t>FC2b</t>
  </si>
  <si>
    <t>FC2c</t>
  </si>
  <si>
    <t>FC2c1*</t>
  </si>
  <si>
    <t>FC2c2*</t>
  </si>
  <si>
    <t>FC2d</t>
  </si>
  <si>
    <t>FA</t>
  </si>
  <si>
    <t>FA1</t>
  </si>
  <si>
    <t>FA2</t>
  </si>
  <si>
    <t>FA3</t>
  </si>
  <si>
    <t>Hierarchy SC (Saltwater Chronic)
or SA (Saltwater Acute)</t>
  </si>
  <si>
    <t>SC</t>
  </si>
  <si>
    <t>SC1</t>
  </si>
  <si>
    <t>SC1a</t>
  </si>
  <si>
    <t>SC1b</t>
  </si>
  <si>
    <t>SC2</t>
  </si>
  <si>
    <t>SC2a</t>
  </si>
  <si>
    <t>SC2b</t>
  </si>
  <si>
    <t>SC2c</t>
  </si>
  <si>
    <t>SC2c1</t>
  </si>
  <si>
    <t>SC2c2</t>
  </si>
  <si>
    <t>SC2d</t>
  </si>
  <si>
    <t>SA</t>
  </si>
  <si>
    <t>SA1</t>
  </si>
  <si>
    <t>SA2</t>
  </si>
  <si>
    <t>SA3</t>
  </si>
  <si>
    <t>Selected
Freshwater 
Exposure Ecotoxicity Level</t>
  </si>
  <si>
    <t>FW 
Chronic Goals+
Basin 
Plan</t>
  </si>
  <si>
    <t>Region 2
Basin Plan
Table
IP-5</t>
  </si>
  <si>
    <t>FW Chronic Goals</t>
  </si>
  <si>
    <t>CA
Criteria 
Contin. Conc.
(CCC)
Table IP-5</t>
  </si>
  <si>
    <t>USEPA
Criteria 
Contin. Conc.
(CCC)
Table IP-6</t>
  </si>
  <si>
    <t>Chronic Threshold
vs
Chronic 
LOEL</t>
  </si>
  <si>
    <t>Ecotox
Chronic
Threshold
(AWQC, 
FCV or
 Tier II)
Table IP-6</t>
  </si>
  <si>
    <t>USEPA
Chronic 
LOEL
Table IP-6</t>
  </si>
  <si>
    <t>Other
Table 
IP-6</t>
  </si>
  <si>
    <t>Adjusted Freshwater Acute Goal</t>
  </si>
  <si>
    <t>CA
Criteria 
Max.
Conc. 
(CMC)
Table
IP-5</t>
  </si>
  <si>
    <t>USEPA
Criteria 
Max.
Conc. 
(CMC)
Table 
IP-6</t>
  </si>
  <si>
    <t>USEPA
Acute 
LOEL
Table 
IP-6</t>
  </si>
  <si>
    <t>Selected Saltwater 
Water Column Exposure 
Ecotoxicity Level</t>
  </si>
  <si>
    <t>SW  
Chronic
Goals +
Basin/
Ocean 
Plan</t>
  </si>
  <si>
    <t>Basin Plan and 
Ocean Plan
Water Quality Objective</t>
  </si>
  <si>
    <t>Region 2 Basin Plan 
Table IP-5</t>
  </si>
  <si>
    <t>State Ocean Plan
Table IP-5</t>
  </si>
  <si>
    <t>SW 
Chronic  
Goals</t>
  </si>
  <si>
    <t>CA
Criteria 
Contin. 
Conc. 
(CCC)
Table 
IP-5</t>
  </si>
  <si>
    <t>USEPA
Criteria 
Contin. 
Conc. 
(CCC)
Table 
IP-6</t>
  </si>
  <si>
    <t xml:space="preserve">
Chronic Threshold
vs
Chronic 
LOEL</t>
  </si>
  <si>
    <t>Ecotox
Chronic
Threshold
(AWQC, 
FCV Or
 Tier II)
Table IP-6</t>
  </si>
  <si>
    <t>USEPA
Chronic 
LOEL
Table 
IP-6</t>
  </si>
  <si>
    <t>Adjusted
Lowest 
Saltwater 
Acute Goal</t>
  </si>
  <si>
    <t>CA
Criteria  
Max.
Conc.
(CMC)
Table
IP-5</t>
  </si>
  <si>
    <t>USEPA
Criteria  
Max.
Conc.
(CMC)
Table 
IP-6</t>
  </si>
  <si>
    <t>Lowest Freshwater Chronic Goal</t>
  </si>
  <si>
    <t>Lowest Saltwater Chronic Goal</t>
  </si>
  <si>
    <t>1 - See User's Guide Chapter 7 for further information. See ESL Tables IP-5 through IP-7 for chronic and acute toxicity value abbreviations.</t>
  </si>
  <si>
    <t xml:space="preserve"> - Petroleum - Motor Oil is composed of large carbon chain compounds (C24-C36+) having negligible solubility. Detections in water samples typically are Petroleum HOPs, nonaqueous phase liquid (NAPL or free product), contaminated sediment entrained in the water sample, or naturally occurring compounds. Review the chromatogram to help determine the nature of the compounds being detected. See User's Guide Chapter 4.</t>
  </si>
  <si>
    <t>heading_W_3</t>
  </si>
  <si>
    <t>G-VI-Res-Min-C</t>
  </si>
  <si>
    <t>G-VI-Res-Min-NC</t>
  </si>
  <si>
    <t>res-min</t>
  </si>
  <si>
    <t>G-VI-Com-Min-C</t>
  </si>
  <si>
    <t>G-VI-Com-Min-NC</t>
  </si>
  <si>
    <t>com-min</t>
  </si>
  <si>
    <r>
      <t xml:space="preserve">Table GW-3: Groundwater Vapor Intrusion Human Health Risk Screening Levels </t>
    </r>
    <r>
      <rPr>
        <b/>
        <vertAlign val="superscript"/>
        <sz val="20"/>
        <rFont val="Arial"/>
        <family val="2"/>
      </rPr>
      <t>1</t>
    </r>
    <r>
      <rPr>
        <b/>
        <sz val="20"/>
        <rFont val="Arial"/>
        <family val="2"/>
      </rPr>
      <t xml:space="preserve">
(Volatile Chemicals Only)</t>
    </r>
  </si>
  <si>
    <r>
      <t xml:space="preserve">Groundwater VI Screening Levels 
(Depth to GW &gt; 5 feet below ground surface) </t>
    </r>
    <r>
      <rPr>
        <b/>
        <vertAlign val="superscript"/>
        <sz val="15"/>
        <rFont val="Arial"/>
        <family val="2"/>
      </rPr>
      <t>2</t>
    </r>
  </si>
  <si>
    <t>Input Parameters</t>
  </si>
  <si>
    <t>Any Soil Type</t>
  </si>
  <si>
    <t>Volatility:
V-Volatile
NV-Nonvolatile</t>
  </si>
  <si>
    <t xml:space="preserve">H'
Henry's
Law Constant </t>
  </si>
  <si>
    <t>Residential
Indoor Air 
Carcinogenic Endpoint</t>
  </si>
  <si>
    <t>Residential
Indoor Air 
Non-
Carcinogenic Endpoint</t>
  </si>
  <si>
    <t>Com/Ind 
Indoor Air 
Carcinogenic
Endpoint</t>
  </si>
  <si>
    <t>Com/Ind 
Indoor Air 
Non-
Carcinogenic
Endpoint</t>
  </si>
  <si>
    <t>Groundwater to Indoor Air Attenuation Factor</t>
  </si>
  <si>
    <t>Noncancer</t>
  </si>
  <si>
    <t>Min 
Res</t>
  </si>
  <si>
    <t>Min
Com/Ind</t>
  </si>
  <si>
    <t>Any Soil 
Type</t>
  </si>
  <si>
    <t>(μg/L)</t>
  </si>
  <si>
    <t>unitless</t>
  </si>
  <si>
    <r>
      <t>(μg/m</t>
    </r>
    <r>
      <rPr>
        <b/>
        <vertAlign val="superscript"/>
        <sz val="8"/>
        <rFont val="Arial"/>
        <family val="2"/>
      </rPr>
      <t>3</t>
    </r>
    <r>
      <rPr>
        <b/>
        <sz val="8"/>
        <rFont val="Arial"/>
        <family val="2"/>
      </rPr>
      <t>)</t>
    </r>
  </si>
  <si>
    <t>1 - User's Guide Chapter 5 for further information about vapor intrusion human health risk ESLs.</t>
  </si>
  <si>
    <t>2 - The GW VI ESLs can apply to any depth below 5 feet bgs. For situations where groundwater is shallower than 5 feet, then it may be necessary to collect other lines of evidence (indoor air, subslab soil gas, crawl space air, etc.) considering the feasibility of sampling groundwater. If groundwater is in 
    contact with the foundation or if there are seeps into the building, sampling indoor air is appropriate.  
    For situatons where groundwater is deep (e.g., greater than 20 feet bgs), see User's Guide Chapter 5.</t>
  </si>
  <si>
    <t xml:space="preserve"> - Petroleum Mixtures: For the volatile petroleum mixtures, GW VI ESLs are not calculated. Instead, vapor sampling (e.g., subslab/soil gas and/or indoor air) is recommended where possible. See User's Guide Chapter 5 for discussion.</t>
  </si>
  <si>
    <t>heading_W_4</t>
  </si>
  <si>
    <r>
      <t xml:space="preserve">Table GW-4: Groundwater Gross Contamination Levels (μg/L) </t>
    </r>
    <r>
      <rPr>
        <b/>
        <vertAlign val="superscript"/>
        <sz val="15"/>
        <rFont val="Arial"/>
        <family val="2"/>
      </rPr>
      <t>1</t>
    </r>
  </si>
  <si>
    <t>Final 
Gross Contamination 
Screening Level</t>
  </si>
  <si>
    <t>Upper Limit</t>
  </si>
  <si>
    <t>One-Half Solubility</t>
  </si>
  <si>
    <t>1 - User's Guide Chapter 10 presents the basis for the gross contamination ESLs for groundwater.</t>
  </si>
  <si>
    <t xml:space="preserve"> - Petroleum Motor Oil is composed of large carbon chain compounds (C24-C36+) having negligible solubility. Detections in 
    water samples typically are Petroleum HOPs, nonaqueous phase liquid (NAPL or free product), contaminated sediment 
    entrained in the water sample, or naturally occurring compounds. Review the chromatogram to help determine the nature
    of the compounds being detected. See User's Guide Chapter 4.</t>
  </si>
  <si>
    <t>HOPs - Hydrocarbon Oxidation Products (biodegradation metabolites and photo-oxidation products of petroleum 
    hydrocarbons). See User's Guide Chapter 4 for further information.</t>
  </si>
  <si>
    <t>heading_W_5</t>
  </si>
  <si>
    <r>
      <t xml:space="preserve">Table GW-5: Groundwater Odor Nuisance Screening Levels (μg/L) </t>
    </r>
    <r>
      <rPr>
        <b/>
        <vertAlign val="superscript"/>
        <sz val="15"/>
        <rFont val="Arial"/>
        <family val="2"/>
      </rPr>
      <t>1</t>
    </r>
  </si>
  <si>
    <t>Drinking Water Resource
Nuisance/ Odor Level</t>
  </si>
  <si>
    <t>Taste and Odor
Threshold</t>
  </si>
  <si>
    <r>
      <t xml:space="preserve">Source </t>
    </r>
    <r>
      <rPr>
        <b/>
        <vertAlign val="superscript"/>
        <sz val="8"/>
        <rFont val="Arial"/>
        <family val="2"/>
      </rPr>
      <t>2</t>
    </r>
  </si>
  <si>
    <t>Non-Drinking Water Resource
Nuisance/ Odor Level</t>
  </si>
  <si>
    <t>Nuisance Odor
Threshold</t>
  </si>
  <si>
    <t>CalDHS 2nd MCL</t>
  </si>
  <si>
    <t>1 - User's Guide Chapter 11 presents the basis for the taste and odor ESLs for groundwater.</t>
  </si>
  <si>
    <t>2 - See ESL Table IP-1 for source abbreviations.</t>
  </si>
  <si>
    <t xml:space="preserve"> - Petroleum Motor Oil is composed of large carbon chain compounds (C24-C36+) having negligible solubility. Detections in water samples typically are
    Petroleum HOPs, nonaqueous phase liquid (NAPL or free product), contaminated sediment entrained in the water sample, or naturally occurring
    compounds. Review the chromatogram to help determine the nature of the compounds being detected. See User's Guide Chapter 4.</t>
  </si>
  <si>
    <t>HOPs - Hydrocarbon Oxidation Products (biodegradation metabolites and photo-oxidation products of petroleum hydrocarbons). See User's Guide Chapter 4 
   for further information.</t>
  </si>
  <si>
    <t>heading_S_1</t>
  </si>
  <si>
    <t>S-Res-Exp-Risk</t>
  </si>
  <si>
    <t>S-Com-Exp-Risk</t>
  </si>
  <si>
    <t>S-Const-Exp-Risk</t>
  </si>
  <si>
    <r>
      <t xml:space="preserve">Table S-1: Soil Direct Exposure Human Health Risk Screening Levels (mg/kg) </t>
    </r>
    <r>
      <rPr>
        <b/>
        <vertAlign val="superscript"/>
        <sz val="20"/>
        <rFont val="Arial"/>
        <family val="2"/>
      </rPr>
      <t>1</t>
    </r>
  </si>
  <si>
    <t>Residential Land Use, Shallow Soil Exposure Scenario</t>
  </si>
  <si>
    <t>Com/Industrial Land Use, Shallow Soil Exposure Scenario</t>
  </si>
  <si>
    <t>Any Land Use, Construction Worker Shallow and Deep Soil Exposure Scenario</t>
  </si>
  <si>
    <r>
      <t xml:space="preserve">Input Parameters </t>
    </r>
    <r>
      <rPr>
        <b/>
        <vertAlign val="superscript"/>
        <sz val="12"/>
        <rFont val="Arial"/>
        <family val="2"/>
      </rPr>
      <t>3</t>
    </r>
  </si>
  <si>
    <t xml:space="preserve">
Chemical</t>
  </si>
  <si>
    <r>
      <t xml:space="preserve">Final Risk Based Screening Level </t>
    </r>
    <r>
      <rPr>
        <b/>
        <vertAlign val="superscript"/>
        <sz val="8"/>
        <rFont val="Arial"/>
        <family val="2"/>
      </rPr>
      <t>2</t>
    </r>
  </si>
  <si>
    <t xml:space="preserve">
Basis</t>
  </si>
  <si>
    <r>
      <t>Cancer Risk = 10</t>
    </r>
    <r>
      <rPr>
        <b/>
        <vertAlign val="superscript"/>
        <sz val="10"/>
        <rFont val="Arial"/>
        <family val="2"/>
      </rPr>
      <t>-6</t>
    </r>
  </si>
  <si>
    <t>Noncancer Hazard (HQ) = 1</t>
  </si>
  <si>
    <t>Volatility:        
V-Volatile       
NV-Nonvolatile</t>
  </si>
  <si>
    <r>
      <t>Res VF: 
Infinite Source Volatilization Factor             (m</t>
    </r>
    <r>
      <rPr>
        <b/>
        <vertAlign val="superscript"/>
        <sz val="8"/>
        <rFont val="Arial"/>
        <family val="2"/>
      </rPr>
      <t>3</t>
    </r>
    <r>
      <rPr>
        <b/>
        <sz val="8"/>
        <rFont val="Arial"/>
        <family val="2"/>
      </rPr>
      <t>/kg)</t>
    </r>
  </si>
  <si>
    <r>
      <t>Com VF: 
Infinite Source Volatilization Factor             (m</t>
    </r>
    <r>
      <rPr>
        <b/>
        <vertAlign val="superscript"/>
        <sz val="8"/>
        <rFont val="Arial"/>
        <family val="2"/>
      </rPr>
      <t>3</t>
    </r>
    <r>
      <rPr>
        <b/>
        <sz val="8"/>
        <rFont val="Arial"/>
        <family val="2"/>
      </rPr>
      <t>/kg)</t>
    </r>
  </si>
  <si>
    <r>
      <t>CW VF: 
Infinite Source Volatilization Factor             (m</t>
    </r>
    <r>
      <rPr>
        <b/>
        <vertAlign val="superscript"/>
        <sz val="8"/>
        <rFont val="Arial"/>
        <family val="2"/>
      </rPr>
      <t>3</t>
    </r>
    <r>
      <rPr>
        <b/>
        <sz val="8"/>
        <rFont val="Arial"/>
        <family val="2"/>
      </rPr>
      <t>/kg)</t>
    </r>
  </si>
  <si>
    <r>
      <t>SFo
(mg/kg-day)</t>
    </r>
    <r>
      <rPr>
        <b/>
        <vertAlign val="superscript"/>
        <sz val="8"/>
        <rFont val="Arial"/>
        <family val="2"/>
      </rPr>
      <t>-1</t>
    </r>
  </si>
  <si>
    <r>
      <t>IUR
(μg/m</t>
    </r>
    <r>
      <rPr>
        <b/>
        <vertAlign val="superscript"/>
        <sz val="8"/>
        <rFont val="Arial"/>
        <family val="2"/>
      </rPr>
      <t>3</t>
    </r>
    <r>
      <rPr>
        <b/>
        <sz val="8"/>
        <rFont val="Arial"/>
        <family val="2"/>
      </rPr>
      <t>)</t>
    </r>
    <r>
      <rPr>
        <b/>
        <vertAlign val="superscript"/>
        <sz val="8"/>
        <rFont val="Arial"/>
        <family val="2"/>
      </rPr>
      <t>-1</t>
    </r>
  </si>
  <si>
    <t>RFDo
(mg/kg-day)</t>
  </si>
  <si>
    <r>
      <t>RfC (μg/m</t>
    </r>
    <r>
      <rPr>
        <b/>
        <vertAlign val="superscript"/>
        <sz val="8"/>
        <rFont val="Arial"/>
        <family val="2"/>
      </rPr>
      <t>3</t>
    </r>
    <r>
      <rPr>
        <b/>
        <sz val="8"/>
        <rFont val="Arial"/>
        <family val="2"/>
      </rPr>
      <t>)</t>
    </r>
  </si>
  <si>
    <t>ABSd
(unitless)</t>
  </si>
  <si>
    <t>GI ABS
(unitless)</t>
  </si>
  <si>
    <t>Soil Ingestion</t>
  </si>
  <si>
    <t>Inhalation of Particulates/
Vapors</t>
  </si>
  <si>
    <t>Total</t>
  </si>
  <si>
    <t>Inhalation of Particulates/ Vapors</t>
  </si>
  <si>
    <t>Total Cancer Risk</t>
  </si>
  <si>
    <t>Total Noncancer Risk</t>
  </si>
  <si>
    <t>Blood Lead Model</t>
  </si>
  <si>
    <t>1 - User's Guide Chapter 3 presents the basis for the direct exposure human health risk ESLs for soil. Laboratory analytical results for soil samples should be dry weight format.</t>
  </si>
  <si>
    <r>
      <t>2 - Final screening level is lowest of individual screening levels for carcinogenic effects (based on TR = 10</t>
    </r>
    <r>
      <rPr>
        <vertAlign val="superscript"/>
        <sz val="8"/>
        <rFont val="Arial"/>
        <family val="2"/>
      </rPr>
      <t>-6</t>
    </r>
    <r>
      <rPr>
        <sz val="8"/>
        <rFont val="Arial"/>
        <family val="2"/>
      </rPr>
      <t>) and noncarcinogenic effects (based on HQ=1).</t>
    </r>
  </si>
  <si>
    <t>3 - Input parameters not included for print copy. Input parameter definitions provided in Table IP-1.</t>
  </si>
  <si>
    <t xml:space="preserve"> - Arsenic -  A relative bioavaliblity factor of 0.6 is used for soil ingestion, consistent with USEPA RSLs.</t>
  </si>
  <si>
    <t xml:space="preserve"> - Cadmium (Water): Groundwater levels do not apply to cadmium in soil.</t>
  </si>
  <si>
    <t>heading_S-2</t>
  </si>
  <si>
    <t>SV</t>
  </si>
  <si>
    <t>MV</t>
  </si>
  <si>
    <r>
      <t xml:space="preserve">Table S-2: Soil Terrestrial Habitat Screening Levels (mg/kg) </t>
    </r>
    <r>
      <rPr>
        <b/>
        <vertAlign val="superscript"/>
        <sz val="15"/>
        <rFont val="Arial"/>
        <family val="2"/>
      </rPr>
      <t>1</t>
    </r>
  </si>
  <si>
    <r>
      <t xml:space="preserve">Significantly 
Vegetated Area
</t>
    </r>
    <r>
      <rPr>
        <sz val="10"/>
        <rFont val="Arial"/>
        <family val="2"/>
      </rPr>
      <t>(e.g. parkland or 
single family homes 
with yards)</t>
    </r>
  </si>
  <si>
    <r>
      <t xml:space="preserve">Minimally 
Vegetated Area 
</t>
    </r>
    <r>
      <rPr>
        <sz val="10"/>
        <rFont val="Arial"/>
        <family val="2"/>
      </rPr>
      <t>(e.g. high density residential or commercial/ industrial areas)</t>
    </r>
  </si>
  <si>
    <r>
      <t xml:space="preserve">  Landscape 
</t>
    </r>
    <r>
      <rPr>
        <sz val="10"/>
        <rFont val="Arial"/>
        <family val="2"/>
      </rPr>
      <t>(Plants &amp; Soil Org.)</t>
    </r>
  </si>
  <si>
    <r>
      <t xml:space="preserve">Habitat for Transitory Species
</t>
    </r>
    <r>
      <rPr>
        <sz val="10"/>
        <rFont val="Arial"/>
        <family val="2"/>
      </rPr>
      <t xml:space="preserve"> (Mammals &amp; Birds)</t>
    </r>
  </si>
  <si>
    <r>
      <t xml:space="preserve"> Minimal
Landscape
</t>
    </r>
    <r>
      <rPr>
        <sz val="10"/>
        <rFont val="Arial"/>
        <family val="2"/>
      </rPr>
      <t>(Plants &amp; Soil Org.)</t>
    </r>
  </si>
  <si>
    <r>
      <t xml:space="preserve">Minimal Habitat for
Transitory Species
</t>
    </r>
    <r>
      <rPr>
        <sz val="10"/>
        <rFont val="Arial"/>
        <family val="2"/>
      </rPr>
      <t xml:space="preserve"> (Mammals &amp; Birds)</t>
    </r>
  </si>
  <si>
    <t>1 - User's Guide Chapter 8 presents the basis for the terrestrial habitat ESLs for soil. Laboratory analytical results for soil samples should be dry weight format.</t>
  </si>
  <si>
    <t xml:space="preserve"> - Cadmium (Water): Groundwater levels do not apply to cadmium in soil therefore no soil leaching to groundwater level is presented. </t>
  </si>
  <si>
    <t>HOPs - Hydrocarbon Oxidation Products (biodegradation metabolites and photo-oxidation products of petroleum hydrocarbons). See User's Guide Chapter 4 for further
  information.</t>
  </si>
  <si>
    <t>heading_S_3</t>
  </si>
  <si>
    <t>DW-MCL-SW-B</t>
  </si>
  <si>
    <t>DW-MCL-FW-B</t>
  </si>
  <si>
    <t>DW-MCL-FW-SW-B</t>
  </si>
  <si>
    <t>DW-MCL-ND-B</t>
  </si>
  <si>
    <t>DW-SW-B</t>
  </si>
  <si>
    <t>DW-FW-B</t>
  </si>
  <si>
    <t>DW-FW-SW-B</t>
  </si>
  <si>
    <t>DW-ND-B</t>
  </si>
  <si>
    <t>SW-B</t>
  </si>
  <si>
    <t>FW-B</t>
  </si>
  <si>
    <t>FW-SW-B</t>
  </si>
  <si>
    <t>ND-B</t>
  </si>
  <si>
    <t>DW-MCL-SW</t>
  </si>
  <si>
    <t>DW-MCL-FW</t>
  </si>
  <si>
    <t>DW-MCL-FW-SW</t>
  </si>
  <si>
    <t>DW-MCL-ND</t>
  </si>
  <si>
    <t>DW-SW</t>
  </si>
  <si>
    <t>DW-FW</t>
  </si>
  <si>
    <t>DW-FW-SW</t>
  </si>
  <si>
    <t>DW-ND</t>
  </si>
  <si>
    <t>SW</t>
  </si>
  <si>
    <t>FW</t>
  </si>
  <si>
    <t>FW-SW</t>
  </si>
  <si>
    <t>ND</t>
  </si>
  <si>
    <r>
      <t xml:space="preserve">Table S-3: Soil Leaching to Groundwater Screening Levels (Organic Compounds only) (mg/kg) </t>
    </r>
    <r>
      <rPr>
        <b/>
        <vertAlign val="superscript"/>
        <sz val="15"/>
        <rFont val="Arial"/>
        <family val="2"/>
      </rPr>
      <t>1</t>
    </r>
  </si>
  <si>
    <t>Final Soil Leaching Screening Levels</t>
  </si>
  <si>
    <t>Groundwater Targets for T2 Tool Site Specific Senarios</t>
  </si>
  <si>
    <t>Tier 2 Site-Specific Leaching ESLs</t>
  </si>
  <si>
    <t>Leaching Input Parameters</t>
  </si>
  <si>
    <t>Target Groundwater Input Parameters (µg/L)</t>
  </si>
  <si>
    <t>Non-Drinking Water Resource</t>
  </si>
  <si>
    <r>
      <t>Organic Carbon Partition Coefficient
(K</t>
    </r>
    <r>
      <rPr>
        <b/>
        <vertAlign val="subscript"/>
        <sz val="8"/>
        <rFont val="Arial"/>
        <family val="2"/>
      </rPr>
      <t>oc</t>
    </r>
    <r>
      <rPr>
        <b/>
        <sz val="8"/>
        <rFont val="Arial"/>
        <family val="2"/>
      </rPr>
      <t>)</t>
    </r>
  </si>
  <si>
    <t>Henry's Law Constant
(H)</t>
  </si>
  <si>
    <t>Organic Compound Dilution/
Attenuation Factor
(DAF)</t>
  </si>
  <si>
    <r>
      <t>Organic Compound Soil Saturation Limit (C</t>
    </r>
    <r>
      <rPr>
        <b/>
        <vertAlign val="subscript"/>
        <sz val="8"/>
        <rFont val="Arial"/>
        <family val="2"/>
      </rPr>
      <t>sat</t>
    </r>
    <r>
      <rPr>
        <b/>
        <sz val="8"/>
        <rFont val="Arial"/>
        <family val="2"/>
      </rPr>
      <t>)</t>
    </r>
  </si>
  <si>
    <r>
      <t xml:space="preserve">Drinking 
Water 
Resource 
Target 
(Tier 1 ESL) </t>
    </r>
    <r>
      <rPr>
        <b/>
        <vertAlign val="superscript"/>
        <sz val="8"/>
        <rFont val="Arial"/>
        <family val="2"/>
      </rPr>
      <t>2</t>
    </r>
  </si>
  <si>
    <t xml:space="preserve">Non-
Drinking Water 
Resource 
Target </t>
  </si>
  <si>
    <t>Basis 
Non-Drinking Water Resource Target</t>
  </si>
  <si>
    <t>Aquatic Habitat ESL</t>
  </si>
  <si>
    <t>Gross Contamination ESL</t>
  </si>
  <si>
    <t>Groundwater 
Vapor Intrusion 
ESL</t>
  </si>
  <si>
    <t>Nuisance/ Odor ESL</t>
  </si>
  <si>
    <t>Drinking Water Target Inputs for Site-Specific T2 ESLs</t>
  </si>
  <si>
    <t>Drinking Water Source &amp; MCL Priority</t>
  </si>
  <si>
    <t>Drinking Water Source &amp; No MCL Priority</t>
  </si>
  <si>
    <t>Non-Drinking Water Source</t>
  </si>
  <si>
    <r>
      <t>(cm</t>
    </r>
    <r>
      <rPr>
        <b/>
        <vertAlign val="superscript"/>
        <sz val="8"/>
        <rFont val="Arial"/>
        <family val="2"/>
      </rPr>
      <t>3</t>
    </r>
    <r>
      <rPr>
        <b/>
        <sz val="8"/>
        <rFont val="Arial"/>
        <family val="2"/>
      </rPr>
      <t>/g)</t>
    </r>
  </si>
  <si>
    <r>
      <t>(atm-m</t>
    </r>
    <r>
      <rPr>
        <b/>
        <vertAlign val="superscript"/>
        <sz val="8"/>
        <rFont val="Arial"/>
        <family val="2"/>
      </rPr>
      <t>3</t>
    </r>
    <r>
      <rPr>
        <b/>
        <sz val="8"/>
        <rFont val="Arial"/>
        <family val="2"/>
      </rPr>
      <t>/
mole-</t>
    </r>
    <r>
      <rPr>
        <b/>
        <vertAlign val="superscript"/>
        <sz val="8"/>
        <rFont val="Arial"/>
        <family val="2"/>
      </rPr>
      <t>o</t>
    </r>
    <r>
      <rPr>
        <b/>
        <sz val="8"/>
        <rFont val="Arial"/>
        <family val="2"/>
      </rPr>
      <t>K)</t>
    </r>
  </si>
  <si>
    <t>(mg/kg)</t>
  </si>
  <si>
    <t xml:space="preserve">Freshwater </t>
  </si>
  <si>
    <t>Seafood Consumption</t>
  </si>
  <si>
    <t>Residential
Any Soil Type</t>
  </si>
  <si>
    <t xml:space="preserve">Non-Drinking Water </t>
  </si>
  <si>
    <t>Tapwater Cancer</t>
  </si>
  <si>
    <t>Tapwater Noncancer</t>
  </si>
  <si>
    <t>MCL Priority</t>
  </si>
  <si>
    <t>taste and odor</t>
  </si>
  <si>
    <t>DW
MCL Priority
SW</t>
  </si>
  <si>
    <t>basis</t>
  </si>
  <si>
    <t>DW
MCL Priority
FW</t>
  </si>
  <si>
    <t>DW
MCL Priority
FW or SW</t>
  </si>
  <si>
    <t>DW
MCL Priority
No Disc</t>
  </si>
  <si>
    <t>DW
No MCL Priority
SW</t>
  </si>
  <si>
    <t>DW
No MCL Priority
FW</t>
  </si>
  <si>
    <t>DW
No MCL Priority
FW or SW</t>
  </si>
  <si>
    <t>DW
No MCL Priority
No Disc</t>
  </si>
  <si>
    <t>nonDW
SW</t>
  </si>
  <si>
    <t>nonDW
FW</t>
  </si>
  <si>
    <t>nonDW
FW or SW</t>
  </si>
  <si>
    <t>nonDW
No Disc</t>
  </si>
  <si>
    <t>Saltwater Habitat Only</t>
  </si>
  <si>
    <t>Freshwater Habitat Only</t>
  </si>
  <si>
    <t>Saltwater or Freshwater Habitat</t>
  </si>
  <si>
    <t>No GW Discharge</t>
  </si>
  <si>
    <t>1 - User's Guide Chapter 9 presents the basis for the leaching to groundwater ESLs for soil. Laboratory analytical results for soil samples should be dry weight format.</t>
  </si>
  <si>
    <t xml:space="preserve">2 - Drinking Water Resource Target - Based on the Tier 1 ESL which considers all groundwater ESL endpoints (human health direct exposure, aquatic receptor toxicity, gross contamination, vapor intrusion, and nuisance/odor).  For Tier 1, the human health direct exposure endpoint is maximum contaminant level (MCL) priority, so the MCL for a chemical is used even if the tapwater ESL value is lower. See User's Guide Chapter 2 for further information. </t>
  </si>
  <si>
    <t xml:space="preserve"> - PFAS - Leaching ESLs were not calcuated for PFAS since the current ESL leaching model does not account for PFASs' ability to self-assemble into films. Groundwater should be sampled  to determine if leaching has occured when feasible. See Section 9.4 of the ESL User’s Guide for information on the calculation of site-specific soil leaching screening levels using alternative leaching models or groundwater targets.  </t>
  </si>
  <si>
    <t xml:space="preserve">FW EcoTox - Freshwater ecotoxicity </t>
  </si>
  <si>
    <t xml:space="preserve">SW EcoTox - Saltwater ecotoxicity </t>
  </si>
  <si>
    <t>heading_S_4</t>
  </si>
  <si>
    <r>
      <t xml:space="preserve">Table S-4: Soil Gross Contamination Screening Levels (mg/kg) </t>
    </r>
    <r>
      <rPr>
        <b/>
        <vertAlign val="superscript"/>
        <sz val="15"/>
        <rFont val="Arial"/>
        <family val="2"/>
      </rPr>
      <t>1</t>
    </r>
  </si>
  <si>
    <t>Final Gross Contamination Screening Level</t>
  </si>
  <si>
    <r>
      <t>Soil Saturation Limit (C</t>
    </r>
    <r>
      <rPr>
        <b/>
        <vertAlign val="subscript"/>
        <sz val="10"/>
        <rFont val="Arial"/>
        <family val="2"/>
      </rPr>
      <t>sat</t>
    </r>
    <r>
      <rPr>
        <b/>
        <sz val="10"/>
        <rFont val="Arial"/>
        <family val="2"/>
      </rPr>
      <t>)</t>
    </r>
  </si>
  <si>
    <t>1 - User's Guide Chapter 10 presents the basis for the gross contamination ESLs for soil. Laboratory analytical results for soil samples should be dry weight format.</t>
  </si>
  <si>
    <t xml:space="preserve"> - Cadmium (Water): Groundwater levels do not apply to cadmium in soil therefore no soil gross contamination level is listed.</t>
  </si>
  <si>
    <t>HOPs - Hydrocarbon Oxidation Products (biodegradation metabolites and photo-oxidation products of petroleum hydrocarbons). See 
   User's Guide Chapter 4 for further information.</t>
  </si>
  <si>
    <t>heading_S_5</t>
  </si>
  <si>
    <t>res_ss_no</t>
  </si>
  <si>
    <t>com_ss_no</t>
  </si>
  <si>
    <t>any_ds_no</t>
  </si>
  <si>
    <r>
      <t xml:space="preserve">Table S-5: Soil Odor Nuisance Screening Levels (mg/kg) </t>
    </r>
    <r>
      <rPr>
        <b/>
        <vertAlign val="superscript"/>
        <sz val="15"/>
        <rFont val="Arial"/>
        <family val="2"/>
      </rPr>
      <t>1</t>
    </r>
  </si>
  <si>
    <t>Final Soil Odor Nuisance Screening Levels</t>
  </si>
  <si>
    <t>Inputs</t>
  </si>
  <si>
    <t>Residential
Land Use</t>
  </si>
  <si>
    <t>Commercial/ Industrial
 Land Use</t>
  </si>
  <si>
    <t>Any Land Use,
Deep Soil
Exposure Scenario</t>
  </si>
  <si>
    <t>Non-Odorous?</t>
  </si>
  <si>
    <r>
      <t xml:space="preserve">Vapor Pressure
(VP)
(Torr @ 20-30 </t>
    </r>
    <r>
      <rPr>
        <b/>
        <vertAlign val="superscript"/>
        <sz val="8"/>
        <rFont val="Arial"/>
        <family val="2"/>
      </rPr>
      <t>o</t>
    </r>
    <r>
      <rPr>
        <b/>
        <sz val="8"/>
        <rFont val="Arial"/>
        <family val="2"/>
      </rPr>
      <t>C)</t>
    </r>
  </si>
  <si>
    <t>50th Percentile Odor Recognition Threshold 
(ppmv)</t>
  </si>
  <si>
    <t>Odor Index</t>
  </si>
  <si>
    <t>Chemical 
Nuisance 
Level</t>
  </si>
  <si>
    <t>Upper Limit Value 
Inputs</t>
  </si>
  <si>
    <t>Shallow Soil 
Exposure Scenario</t>
  </si>
  <si>
    <t>Deep Soil
Exposure Scenario</t>
  </si>
  <si>
    <t>Residential 
Land Use</t>
  </si>
  <si>
    <t>Commercial/
Industrial
 Land Use</t>
  </si>
  <si>
    <t xml:space="preserve">Low </t>
  </si>
  <si>
    <t>Medium</t>
  </si>
  <si>
    <t>High</t>
  </si>
  <si>
    <t>1 - User's Guide Chapter 11 presents the basis for the odor nuisance ESLs for soil. Laboratory analytical results for soil samples should be dry weight format.</t>
  </si>
  <si>
    <t xml:space="preserve"> - Cadmium (Water): Groundwater levels do not apply to cadmium in soil therefore no soil odor nuisance level is listed.</t>
  </si>
  <si>
    <t>heading_SG_1</t>
  </si>
  <si>
    <t>SG-Res-Min-C</t>
  </si>
  <si>
    <t>SG-Res-Min-NC</t>
  </si>
  <si>
    <t>SG-Com-Min-C</t>
  </si>
  <si>
    <t>SG-Com-Min-NC</t>
  </si>
  <si>
    <r>
      <t xml:space="preserve">Table SG-1: Subslab Soil Gas and Exterior Soil Gas Vapor Intrusion 
Human Health Risk Screening Levels </t>
    </r>
    <r>
      <rPr>
        <b/>
        <vertAlign val="superscript"/>
        <sz val="14"/>
        <rFont val="Arial"/>
        <family val="2"/>
      </rPr>
      <t>1</t>
    </r>
    <r>
      <rPr>
        <b/>
        <sz val="14"/>
        <rFont val="Arial"/>
        <family val="2"/>
      </rPr>
      <t xml:space="preserve"> (Volatile Chemicals Only) </t>
    </r>
    <r>
      <rPr>
        <b/>
        <vertAlign val="superscript"/>
        <sz val="14"/>
        <rFont val="Arial"/>
        <family val="2"/>
      </rPr>
      <t>2</t>
    </r>
  </si>
  <si>
    <t>Residential Vapor Intrusion (VI)
Human Health Risk Screening Levels</t>
  </si>
  <si>
    <t>Commercial/Industrial VI
Human Health Risk Screening Levels</t>
  </si>
  <si>
    <t>Final Residential Screening Level</t>
  </si>
  <si>
    <t>Carcinogenic Endpoint</t>
  </si>
  <si>
    <t>Non-Carcinogenic Endpoint</t>
  </si>
  <si>
    <t>Final 
Com / Ind
Screening Level</t>
  </si>
  <si>
    <t>Soil Gas to Indoor Air Attenuation Factor</t>
  </si>
  <si>
    <r>
      <t xml:space="preserve"> (μg/m</t>
    </r>
    <r>
      <rPr>
        <b/>
        <vertAlign val="superscript"/>
        <sz val="8"/>
        <rFont val="Arial"/>
        <family val="2"/>
      </rPr>
      <t>3</t>
    </r>
    <r>
      <rPr>
        <b/>
        <sz val="8"/>
        <rFont val="Arial"/>
        <family val="2"/>
      </rPr>
      <t>)</t>
    </r>
  </si>
  <si>
    <r>
      <t>(</t>
    </r>
    <r>
      <rPr>
        <b/>
        <sz val="8"/>
        <rFont val="Arial"/>
        <family val="2"/>
      </rPr>
      <t>μ</t>
    </r>
    <r>
      <rPr>
        <b/>
        <sz val="8"/>
        <rFont val="Arial"/>
        <family val="2"/>
      </rPr>
      <t>g/m</t>
    </r>
    <r>
      <rPr>
        <b/>
        <vertAlign val="superscript"/>
        <sz val="8"/>
        <rFont val="Arial"/>
        <family val="2"/>
      </rPr>
      <t>3</t>
    </r>
    <r>
      <rPr>
        <b/>
        <sz val="8"/>
        <rFont val="Arial"/>
        <family val="2"/>
      </rPr>
      <t>)</t>
    </r>
  </si>
  <si>
    <t>1 - User's Guide Chapter 5 presents the basis for the subslab/soil gas vapor intrusion human health risk ESLs.</t>
  </si>
  <si>
    <r>
      <t>2 - Chemical considered to be volatile if vapor pressure &gt; 1 millimeter mercury or Henry's Law constant (atm m</t>
    </r>
    <r>
      <rPr>
        <vertAlign val="superscript"/>
        <sz val="8"/>
        <rFont val="Arial"/>
        <family val="2"/>
      </rPr>
      <t>3</t>
    </r>
    <r>
      <rPr>
        <sz val="8"/>
        <rFont val="Arial"/>
        <family val="2"/>
      </rPr>
      <t>/mole) &gt;10</t>
    </r>
    <r>
      <rPr>
        <vertAlign val="superscript"/>
        <sz val="8"/>
        <rFont val="Arial"/>
        <family val="2"/>
      </rPr>
      <t>-5.</t>
    </r>
    <r>
      <rPr>
        <sz val="8"/>
        <rFont val="Arial"/>
        <family val="2"/>
      </rPr>
      <t xml:space="preserve"> </t>
    </r>
  </si>
  <si>
    <t>heading_SG_2</t>
  </si>
  <si>
    <t>SG-Min-NO</t>
  </si>
  <si>
    <r>
      <t xml:space="preserve">Table SG-2: Subslab Soil Gas and Exterior Soil Gas 
Vapor Intrusion Intrusion Odor Nuisance Screening Levels </t>
    </r>
    <r>
      <rPr>
        <b/>
        <vertAlign val="superscript"/>
        <sz val="15"/>
        <rFont val="Arial"/>
        <family val="2"/>
      </rPr>
      <t>1</t>
    </r>
    <r>
      <rPr>
        <b/>
        <sz val="15"/>
        <rFont val="Arial"/>
        <family val="2"/>
      </rPr>
      <t xml:space="preserve">
(Volatile Chemicals Only) </t>
    </r>
    <r>
      <rPr>
        <b/>
        <vertAlign val="superscript"/>
        <sz val="15"/>
        <rFont val="Arial"/>
        <family val="2"/>
      </rPr>
      <t>2</t>
    </r>
  </si>
  <si>
    <r>
      <t>Final Subslab/Soil Gas
 Odor Nuisance Levels
(μg/m</t>
    </r>
    <r>
      <rPr>
        <b/>
        <vertAlign val="superscript"/>
        <sz val="10"/>
        <rFont val="Arial"/>
        <family val="2"/>
      </rPr>
      <t>3</t>
    </r>
    <r>
      <rPr>
        <b/>
        <sz val="10"/>
        <rFont val="Arial"/>
        <family val="2"/>
      </rPr>
      <t>)</t>
    </r>
  </si>
  <si>
    <r>
      <t>50 Percentile Odor Recognition Threshold (ORT)
(</t>
    </r>
    <r>
      <rPr>
        <b/>
        <sz val="8"/>
        <rFont val="Arial"/>
        <family val="2"/>
      </rPr>
      <t>μ</t>
    </r>
    <r>
      <rPr>
        <b/>
        <sz val="8"/>
        <rFont val="Arial"/>
        <family val="2"/>
      </rPr>
      <t>g/m</t>
    </r>
    <r>
      <rPr>
        <b/>
        <vertAlign val="superscript"/>
        <sz val="8"/>
        <rFont val="Arial"/>
        <family val="2"/>
      </rPr>
      <t>3</t>
    </r>
    <r>
      <rPr>
        <b/>
        <sz val="8"/>
        <rFont val="Arial"/>
        <family val="2"/>
      </rPr>
      <t>)</t>
    </r>
  </si>
  <si>
    <t>Subslab/Soil Gas 
Vapor Intrusion            
Attenuation Factor</t>
  </si>
  <si>
    <t>heading_IA_1</t>
  </si>
  <si>
    <t>IA-Res-Exp-Risk</t>
  </si>
  <si>
    <t>IA-Com-Exp-Risk</t>
  </si>
  <si>
    <r>
      <t xml:space="preserve">Table IA-1: Indoor Air Direct Exposure Human Health Risk Screening Levels </t>
    </r>
    <r>
      <rPr>
        <b/>
        <vertAlign val="superscript"/>
        <sz val="15"/>
        <rFont val="Arial"/>
        <family val="2"/>
      </rPr>
      <t>1</t>
    </r>
    <r>
      <rPr>
        <b/>
        <sz val="15"/>
        <rFont val="Arial"/>
        <family val="2"/>
      </rPr>
      <t xml:space="preserve">
(Volatile Chemicals Only) </t>
    </r>
    <r>
      <rPr>
        <b/>
        <vertAlign val="superscript"/>
        <sz val="15"/>
        <rFont val="Arial"/>
        <family val="2"/>
      </rPr>
      <t>2</t>
    </r>
  </si>
  <si>
    <t>Residential 
Direct Exposure 
Risk Levels</t>
  </si>
  <si>
    <t>Commercial/Industrial 
Direct Exposure 
Risk Levels</t>
  </si>
  <si>
    <t>Final Screening Level</t>
  </si>
  <si>
    <t>Carcinogenic
Endpoint</t>
  </si>
  <si>
    <t>Non-
Carcinogenic Endpoint</t>
  </si>
  <si>
    <t>Inhalation Unit Risk (IUR)</t>
  </si>
  <si>
    <t>Reference Concentration (RfC)</t>
  </si>
  <si>
    <r>
      <t>(μg/m</t>
    </r>
    <r>
      <rPr>
        <b/>
        <vertAlign val="superscript"/>
        <sz val="8"/>
        <rFont val="Arial"/>
        <family val="2"/>
      </rPr>
      <t>3</t>
    </r>
    <r>
      <rPr>
        <b/>
        <sz val="8"/>
        <rFont val="Arial"/>
        <family val="2"/>
      </rPr>
      <t>)</t>
    </r>
    <r>
      <rPr>
        <b/>
        <vertAlign val="superscript"/>
        <sz val="8"/>
        <rFont val="Arial"/>
        <family val="2"/>
      </rPr>
      <t>-1</t>
    </r>
  </si>
  <si>
    <t>1 - User's Guide Chapter 3 presents the basis for the indoor air direct exposure human health risk ESLs.</t>
  </si>
  <si>
    <t xml:space="preserve"> - Petroleum Hydrocarbon Mixtures: Toxicity values are based on the volatile fractions of petroleum hydrocarbon mixtures. See User's Guide Chapter 4 and Table IP-9 for further information.</t>
  </si>
  <si>
    <t xml:space="preserve"> - Vinyl chloride (VC): USEPA provides a VC-specific direct exposure equation that employs a two-fold adjustment factor for estimated cancer risk to account for early life exposure. See User's Guide Chapter 3 for 
    further information.</t>
  </si>
  <si>
    <t>heading_IA_2</t>
  </si>
  <si>
    <r>
      <t xml:space="preserve">Table IA-2: Indoor Air Odor Nuisance Levels </t>
    </r>
    <r>
      <rPr>
        <b/>
        <vertAlign val="superscript"/>
        <sz val="15"/>
        <rFont val="Arial"/>
        <family val="2"/>
      </rPr>
      <t>1</t>
    </r>
    <r>
      <rPr>
        <b/>
        <sz val="15"/>
        <rFont val="Arial"/>
        <family val="2"/>
      </rPr>
      <t xml:space="preserve">
(Volatile Chemicals Only) </t>
    </r>
    <r>
      <rPr>
        <b/>
        <vertAlign val="superscript"/>
        <sz val="15"/>
        <rFont val="Arial"/>
        <family val="2"/>
      </rPr>
      <t>2</t>
    </r>
  </si>
  <si>
    <r>
      <t>Final Odor Nuisance Screening Level
 (μg/m</t>
    </r>
    <r>
      <rPr>
        <b/>
        <vertAlign val="superscript"/>
        <sz val="10"/>
        <rFont val="Arial"/>
        <family val="2"/>
      </rPr>
      <t>3</t>
    </r>
    <r>
      <rPr>
        <b/>
        <sz val="10"/>
        <rFont val="Arial"/>
        <family val="2"/>
      </rPr>
      <t>)</t>
    </r>
  </si>
  <si>
    <r>
      <t>50th Percentile Odor Recognition Threshold (ORT)
 (μg/m</t>
    </r>
    <r>
      <rPr>
        <b/>
        <vertAlign val="superscript"/>
        <sz val="10"/>
        <rFont val="Arial"/>
        <family val="2"/>
      </rPr>
      <t>3</t>
    </r>
    <r>
      <rPr>
        <b/>
        <sz val="10"/>
        <rFont val="Arial"/>
        <family val="2"/>
      </rPr>
      <t>)</t>
    </r>
  </si>
  <si>
    <t>1 - User's Guide Chapter 11 presents the basis for the indoor air odor nuisance ESLs.</t>
  </si>
  <si>
    <t>HOPs - Hydrocarbon Oxidation Products (biodegradation metabolites and photo-oxidation products of petroleum 
            hydrocarbons). See User's Guide Chapter 4 for further information.</t>
  </si>
  <si>
    <t>heading_IP_1</t>
  </si>
  <si>
    <t>cas</t>
  </si>
  <si>
    <t>OI</t>
  </si>
  <si>
    <t>mt</t>
  </si>
  <si>
    <t>volatility</t>
  </si>
  <si>
    <t>mw</t>
  </si>
  <si>
    <t>vp</t>
  </si>
  <si>
    <t>sol</t>
  </si>
  <si>
    <t>H</t>
  </si>
  <si>
    <t>h'</t>
  </si>
  <si>
    <t>Koc</t>
  </si>
  <si>
    <t>Kd</t>
  </si>
  <si>
    <t>da</t>
  </si>
  <si>
    <t>dw</t>
  </si>
  <si>
    <t>DAF</t>
  </si>
  <si>
    <t>sat lim</t>
  </si>
  <si>
    <t>app diffus</t>
  </si>
  <si>
    <t>VFr</t>
  </si>
  <si>
    <t>VFc</t>
  </si>
  <si>
    <t>VFcw</t>
  </si>
  <si>
    <t>taste-odor</t>
  </si>
  <si>
    <t>taste-basis</t>
  </si>
  <si>
    <t>nuis-odor</t>
  </si>
  <si>
    <t>nuis-basis</t>
  </si>
  <si>
    <t>50p-ORT-m</t>
  </si>
  <si>
    <t>50p-ORT-v</t>
  </si>
  <si>
    <t>Non-Odor</t>
  </si>
  <si>
    <r>
      <t xml:space="preserve">Table IP-1: Physical-Chemical Values </t>
    </r>
    <r>
      <rPr>
        <b/>
        <vertAlign val="superscript"/>
        <sz val="20"/>
        <rFont val="Arial"/>
        <family val="2"/>
      </rPr>
      <t>1</t>
    </r>
    <r>
      <rPr>
        <b/>
        <sz val="20"/>
        <rFont val="Arial"/>
        <family val="2"/>
      </rPr>
      <t xml:space="preserve"> </t>
    </r>
  </si>
  <si>
    <t xml:space="preserve">Chemical Type:
O-Organic
I-Inorganic </t>
  </si>
  <si>
    <t>Melting Temperature (C)</t>
  </si>
  <si>
    <r>
      <t xml:space="preserve">Volatility:
V-Volatile
NV-Nonvolatile </t>
    </r>
    <r>
      <rPr>
        <b/>
        <vertAlign val="superscript"/>
        <sz val="8"/>
        <rFont val="Arial"/>
        <family val="2"/>
      </rPr>
      <t>2</t>
    </r>
  </si>
  <si>
    <t>MW
Molecular Weight (g/mole)</t>
  </si>
  <si>
    <t>VP
Vapor Pressure
(mm Hg)</t>
  </si>
  <si>
    <t>S
Water Solubility 
(mg/L)</t>
  </si>
  <si>
    <r>
      <t>H
Henry's Law Constant            
(atm-m</t>
    </r>
    <r>
      <rPr>
        <b/>
        <vertAlign val="superscript"/>
        <sz val="8"/>
        <rFont val="Arial"/>
        <family val="2"/>
      </rPr>
      <t>3</t>
    </r>
    <r>
      <rPr>
        <b/>
        <sz val="8"/>
        <rFont val="Arial"/>
        <family val="2"/>
      </rPr>
      <t>/mol)</t>
    </r>
  </si>
  <si>
    <t>H'
Henry's
Law Constant (unitless)</t>
  </si>
  <si>
    <t>Koc
Organic Carbon Partition Coefficient  
(L/kg)</t>
  </si>
  <si>
    <t>Kd
Soil Water Partitioning Coefficient
(L/kg)</t>
  </si>
  <si>
    <r>
      <t xml:space="preserve"> Dia
Diffusivity in Air             
(cm</t>
    </r>
    <r>
      <rPr>
        <b/>
        <vertAlign val="superscript"/>
        <sz val="8"/>
        <rFont val="Arial"/>
        <family val="2"/>
      </rPr>
      <t>2</t>
    </r>
    <r>
      <rPr>
        <b/>
        <sz val="8"/>
        <rFont val="Arial"/>
        <family val="2"/>
      </rPr>
      <t>/s)</t>
    </r>
  </si>
  <si>
    <r>
      <t>Diw Diffusivity in Water              
(cm</t>
    </r>
    <r>
      <rPr>
        <b/>
        <vertAlign val="superscript"/>
        <sz val="8"/>
        <rFont val="Arial"/>
        <family val="2"/>
      </rPr>
      <t>2</t>
    </r>
    <r>
      <rPr>
        <b/>
        <sz val="8"/>
        <rFont val="Arial"/>
        <family val="2"/>
      </rPr>
      <t>/s)</t>
    </r>
  </si>
  <si>
    <t>DAF 
Dilution/
Attenuation Factor</t>
  </si>
  <si>
    <t>Csat
Soil Saturation Limit 
(mg/kg)</t>
  </si>
  <si>
    <r>
      <t>VF
Infinite-
Source 
Volatilization 
Factors Res
(m</t>
    </r>
    <r>
      <rPr>
        <b/>
        <vertAlign val="superscript"/>
        <sz val="8"/>
        <rFont val="Arial"/>
        <family val="2"/>
      </rPr>
      <t>3</t>
    </r>
    <r>
      <rPr>
        <b/>
        <sz val="8"/>
        <rFont val="Arial"/>
        <family val="2"/>
      </rPr>
      <t>/kg)</t>
    </r>
  </si>
  <si>
    <r>
      <t>VF
Infinite-
Source 
Volatilization 
Factors Com
(m</t>
    </r>
    <r>
      <rPr>
        <b/>
        <vertAlign val="superscript"/>
        <sz val="8"/>
        <rFont val="Arial"/>
        <family val="2"/>
      </rPr>
      <t>3</t>
    </r>
    <r>
      <rPr>
        <b/>
        <sz val="8"/>
        <rFont val="Arial"/>
        <family val="2"/>
      </rPr>
      <t>/kg)</t>
    </r>
  </si>
  <si>
    <r>
      <t>VF
Infinite-
Source 
Volatilization 
Factors 
CW 
(m</t>
    </r>
    <r>
      <rPr>
        <b/>
        <vertAlign val="superscript"/>
        <sz val="8"/>
        <rFont val="Arial"/>
        <family val="2"/>
      </rPr>
      <t>3</t>
    </r>
    <r>
      <rPr>
        <b/>
        <sz val="8"/>
        <rFont val="Arial"/>
        <family val="2"/>
      </rPr>
      <t>/kg)</t>
    </r>
  </si>
  <si>
    <t>Nuisance Odor Parameters</t>
  </si>
  <si>
    <t>Taste And Odor
Thresholds 
(μg/L)</t>
  </si>
  <si>
    <r>
      <t xml:space="preserve">Source </t>
    </r>
    <r>
      <rPr>
        <b/>
        <vertAlign val="superscript"/>
        <sz val="8"/>
        <rFont val="Arial"/>
        <family val="2"/>
      </rPr>
      <t>3</t>
    </r>
  </si>
  <si>
    <t>Nuisance Odor
Threshold
(μg/L)</t>
  </si>
  <si>
    <r>
      <t>50 Percentile Odor Recognition Threshold (ORT)
(μg/m</t>
    </r>
    <r>
      <rPr>
        <b/>
        <vertAlign val="superscript"/>
        <sz val="8"/>
        <rFont val="Arial"/>
        <family val="2"/>
      </rPr>
      <t>3</t>
    </r>
    <r>
      <rPr>
        <b/>
        <sz val="8"/>
        <rFont val="Arial"/>
        <family val="2"/>
      </rPr>
      <t>)</t>
    </r>
  </si>
  <si>
    <t>50 Percentile Odor Recognition Threshold (ORT)
(ppmv)</t>
  </si>
  <si>
    <t>O</t>
  </si>
  <si>
    <t>Amoore &amp; Hautala</t>
  </si>
  <si>
    <t>Ontario MOEE</t>
  </si>
  <si>
    <t>I</t>
  </si>
  <si>
    <t>Cal 2nd MCL</t>
  </si>
  <si>
    <t>USEPA 2nd MCL</t>
  </si>
  <si>
    <t>DDW AL</t>
  </si>
  <si>
    <r>
      <t>g-</t>
    </r>
    <r>
      <rPr>
        <sz val="8"/>
        <rFont val="Arial"/>
        <family val="2"/>
      </rPr>
      <t>Hexachlorocyclohexane (Lindane)</t>
    </r>
  </si>
  <si>
    <t>DDW</t>
  </si>
  <si>
    <t>USEPA SNARL</t>
  </si>
  <si>
    <t>MADEP</t>
  </si>
  <si>
    <t>V</t>
  </si>
  <si>
    <t>NV</t>
  </si>
  <si>
    <t>USEPA (2002a)</t>
  </si>
  <si>
    <t>USEPA (1995)</t>
  </si>
  <si>
    <t>1 - Physical-chemical values are sourced from the USEPA RSL chemical-specific parameters table (June 2017) except as follows.</t>
  </si>
  <si>
    <t xml:space="preserve">   -- Amoore &amp; Hautala: Values from Amoore and Hautala 1983 as presented in A Compilation of Water Quality Goals (State Water Board 2016).</t>
  </si>
  <si>
    <t xml:space="preserve">   -- Cal 2nd MCL: California Secondary Maximum Contaminant Level published by California State Water Resources Control Board, Division of Drinking Water </t>
  </si>
  <si>
    <t xml:space="preserve">   -- DDW AL: California State Water Resources Control Board, Division of Drinking Water Action Level</t>
  </si>
  <si>
    <t xml:space="preserve">   -- Ontario MOEE: Ontario Ministry of Environment and Energy </t>
  </si>
  <si>
    <t xml:space="preserve">   -- USEPA SNARL: Suggested No-Adverse-Response Level published by the United States Environmental Protection Agency</t>
  </si>
  <si>
    <t xml:space="preserve">   -- USEPA (1995): 1,2,4-Trichlorobenzene</t>
  </si>
  <si>
    <t xml:space="preserve">   -- USEPA (2002a): Organoleptic Effects for Phenol</t>
  </si>
  <si>
    <t xml:space="preserve"> - Petroleum - Gasoline: Sources of values are: MW (ATSDR 1995b); VP (ATSDR 1995b); S (Shiu et al. 1990); H and H' (fraction weighted average); Koc, Dia, and Diw (n-hexane; RSL surrogate for phys-chem parameters for TPH Aliphatic Low fraction/Fraction 1); and Csat (based on residual saturation - see User's Guide Chapter 4).</t>
  </si>
  <si>
    <t xml:space="preserve"> - Petroleum - Stoddard Solvent: Sources of values are: MW (n-decane); VP (ATSDR 1995c); S (diesel value as surrogate); H and H' (fraction weighted average); Koc, Dia, and Diw (n-nonane; RSL surrogate for phys-chem parameters for TPH Aliphatic Medium fraction/Fraction 2); and Csat (based on residual saturation - see User's Guide Chapter 4).</t>
  </si>
  <si>
    <t xml:space="preserve"> - Petroleum - Jet Fuel: Sources of values are: MW (Uhler et al. 2010); VP (ATSDR 2017); S (ATSDR 2017; kerosene); H and H' (fraction weighted average); Koc, Dia, and Diw (n-nonane; RSL surrogate for phys-chem parameters for TPH Aliphatic Medium fraction/Fraction 2); and Csat (based on residual saturation - see User's Guide Chapter 4).</t>
  </si>
  <si>
    <t xml:space="preserve"> - Petroleum - Diesel: Sources of values are: MW (Uhler et al. 2010); VP (various material safety data sheets); S (ATSDR 1995a); H and H' (fraction weighted average); Koc (RSL value for naphthalene); Da (RSL value for naphthalene); Dw (RSL value for naphthalene); and Csat (based on residual saturation - see User's Guide Chapter 4).</t>
  </si>
  <si>
    <t xml:space="preserve"> - Petroleum - HOPs: Sources of values for MW, VP, S, H and H', Koc, and Kd are from USEPA EPI Suite for 1-hydroxy-2-naphthoic acid (CAS 86-48-6). Nuisance Odor parameters from diesel fuel are applied to HOPs. See User's Guide Chapter 4 for further information.</t>
  </si>
  <si>
    <t xml:space="preserve"> - Petroleum - Motor Oil: Motor oil is composed of large carbon chain compounds (C24-C36+) having negligible solubility and volatility. Motor soil sources of values are: MW (hexacosane) and Csat (based on residual saturation - see User's Guide Chapter 10).</t>
  </si>
  <si>
    <t xml:space="preserve"> - PFAS: Values for some PFAS were not provided in the USEPA RSLs and were instead selected from the 2023 ITRC PFAS Guidance Table 4s. See ESL Guide Section 3.4.5 for more information. </t>
  </si>
  <si>
    <t>heading_IP_2</t>
  </si>
  <si>
    <t>Sfo</t>
  </si>
  <si>
    <t>sfo-r</t>
  </si>
  <si>
    <t>iur-r</t>
  </si>
  <si>
    <t>RFDo</t>
  </si>
  <si>
    <t>rfdo-r</t>
  </si>
  <si>
    <t>rfc-r</t>
  </si>
  <si>
    <t>ABS</t>
  </si>
  <si>
    <t>Kp</t>
  </si>
  <si>
    <t>B</t>
  </si>
  <si>
    <t>t_event</t>
  </si>
  <si>
    <t>t</t>
  </si>
  <si>
    <t>mut</t>
  </si>
  <si>
    <r>
      <t xml:space="preserve">Table IP-2: Toxicity Values </t>
    </r>
    <r>
      <rPr>
        <b/>
        <vertAlign val="superscript"/>
        <sz val="20"/>
        <rFont val="Arial"/>
        <family val="2"/>
      </rPr>
      <t>1</t>
    </r>
  </si>
  <si>
    <t>Oral Cancer Slope Facter (SFo ) 
(mg/kg-day)-1</t>
  </si>
  <si>
    <t>Inhalation Unit Risk (IUR) 
(μg/m3)-1</t>
  </si>
  <si>
    <t>Oral Reference Dose (RfD) 
(mg/kg-day)</t>
  </si>
  <si>
    <r>
      <t>Reference Concentration (RfC) 
(μg/m</t>
    </r>
    <r>
      <rPr>
        <b/>
        <vertAlign val="superscript"/>
        <sz val="8"/>
        <color theme="0"/>
        <rFont val="Arial"/>
        <family val="2"/>
      </rPr>
      <t>3</t>
    </r>
    <r>
      <rPr>
        <b/>
        <sz val="8"/>
        <color theme="0"/>
        <rFont val="Arial"/>
        <family val="2"/>
      </rPr>
      <t>)</t>
    </r>
  </si>
  <si>
    <t>Soil Exposure Inputs</t>
  </si>
  <si>
    <t>Water Exposure Inputs</t>
  </si>
  <si>
    <t>Selected Sfo (max)</t>
  </si>
  <si>
    <t>Selected SFo Reference</t>
  </si>
  <si>
    <t>OEHHA SFo</t>
  </si>
  <si>
    <t>Reference</t>
  </si>
  <si>
    <t>IRIS SFo</t>
  </si>
  <si>
    <t>Other SFo</t>
  </si>
  <si>
    <t>Relative Potency Factor</t>
  </si>
  <si>
    <t>Selected IUR (max)</t>
  </si>
  <si>
    <t>Selected IUR Reference</t>
  </si>
  <si>
    <t>OEHHA IUR</t>
  </si>
  <si>
    <t>IRIS IUR</t>
  </si>
  <si>
    <t>Other IUR</t>
  </si>
  <si>
    <t>Selected RfDo (min)</t>
  </si>
  <si>
    <t>Selected RfDo Reference</t>
  </si>
  <si>
    <t>OEHHA RfDo</t>
  </si>
  <si>
    <t>IRIS RfDo</t>
  </si>
  <si>
    <t>Other RfDo</t>
  </si>
  <si>
    <t>Selected RfC (min)</t>
  </si>
  <si>
    <t>Selected RfC Reference</t>
  </si>
  <si>
    <t>OEHHA RfC</t>
  </si>
  <si>
    <t>IRIS 
RfC</t>
  </si>
  <si>
    <t>Other 
RfC</t>
  </si>
  <si>
    <t>Fraction Absorbed in Gastro- intestinal Tract
(GI ABS)</t>
  </si>
  <si>
    <t>Fraction Dermally Absorbed from Soil 
(ABSd)</t>
  </si>
  <si>
    <r>
      <t xml:space="preserve">Effective Prediction Domain (EPD)?
(RAGS Part E) </t>
    </r>
    <r>
      <rPr>
        <b/>
        <vertAlign val="superscript"/>
        <sz val="8"/>
        <rFont val="Arial"/>
        <family val="2"/>
      </rPr>
      <t>2</t>
    </r>
  </si>
  <si>
    <t>Dermal Permeability Coefficient 
(Kp)
(cm/hr)</t>
  </si>
  <si>
    <r>
      <t xml:space="preserve">Kp 
Reference </t>
    </r>
    <r>
      <rPr>
        <b/>
        <vertAlign val="superscript"/>
        <sz val="8"/>
        <rFont val="Arial"/>
        <family val="2"/>
      </rPr>
      <t>2</t>
    </r>
  </si>
  <si>
    <t>Fraction Absorbed from Water
(FA)</t>
  </si>
  <si>
    <t>Ratio of Dermal Permeability Coeffients 
(B)
(unitless)</t>
  </si>
  <si>
    <r>
      <rPr>
        <b/>
        <sz val="8"/>
        <rFont val="Arial"/>
        <family val="2"/>
      </rPr>
      <t>Dermal Absorption Time 
(</t>
    </r>
    <r>
      <rPr>
        <b/>
        <sz val="8"/>
        <rFont val="Times New Roman"/>
        <family val="1"/>
      </rPr>
      <t>τ</t>
    </r>
    <r>
      <rPr>
        <b/>
        <sz val="8"/>
        <rFont val="Arial"/>
        <family val="2"/>
      </rPr>
      <t xml:space="preserve"> </t>
    </r>
    <r>
      <rPr>
        <b/>
        <vertAlign val="subscript"/>
        <sz val="8"/>
        <rFont val="Arial"/>
        <family val="2"/>
      </rPr>
      <t>event</t>
    </r>
    <r>
      <rPr>
        <b/>
        <sz val="8"/>
        <rFont val="Arial"/>
        <family val="2"/>
      </rPr>
      <t>) (hr/event)</t>
    </r>
  </si>
  <si>
    <t>Time to Reach 
Steady State Absorption Rate 
(t*)
(hr)</t>
  </si>
  <si>
    <t>IRIS 2023</t>
  </si>
  <si>
    <t>ATSDR 1994</t>
  </si>
  <si>
    <t>EPI</t>
  </si>
  <si>
    <t>OEHHA 1988</t>
  </si>
  <si>
    <t>IRIS 1991</t>
  </si>
  <si>
    <t>ATSDR 2019</t>
  </si>
  <si>
    <t>RAGSE</t>
  </si>
  <si>
    <t>OEHHA 2009</t>
  </si>
  <si>
    <t>IRIS 2025</t>
  </si>
  <si>
    <t>IRIS 1995</t>
  </si>
  <si>
    <t>OEHHA 2008</t>
  </si>
  <si>
    <t>IRIS 2005</t>
  </si>
  <si>
    <t>HEAST 1997</t>
  </si>
  <si>
    <t>OEHHA 1984</t>
  </si>
  <si>
    <t>IRIS 2003</t>
  </si>
  <si>
    <t>OEHHA 2014</t>
  </si>
  <si>
    <t>IRIS 1998</t>
  </si>
  <si>
    <t>IRIS 2013</t>
  </si>
  <si>
    <t>PPRTV 2011</t>
  </si>
  <si>
    <t>IRIS 1989</t>
  </si>
  <si>
    <t>IRIS 1988</t>
  </si>
  <si>
    <t>IRIS 2004</t>
  </si>
  <si>
    <t>IRIS 1993</t>
  </si>
  <si>
    <t>OEHHA 1987</t>
  </si>
  <si>
    <t>IRIS 1987</t>
  </si>
  <si>
    <t>PPRTV 2009*</t>
  </si>
  <si>
    <t>IRIS 1992</t>
  </si>
  <si>
    <t>ATSDR 2012*</t>
  </si>
  <si>
    <t>ATSDR 2012</t>
  </si>
  <si>
    <t>IRIS 2010</t>
  </si>
  <si>
    <t>PPRTV 2008</t>
  </si>
  <si>
    <t>PPRTV 2008*</t>
  </si>
  <si>
    <t>IRIS 1990</t>
  </si>
  <si>
    <t>PPRTV 2006</t>
  </si>
  <si>
    <t>PPRTV 2006*</t>
  </si>
  <si>
    <t>IRIS 2001</t>
  </si>
  <si>
    <t>ATSDR Draft</t>
  </si>
  <si>
    <t>OEHHA</t>
  </si>
  <si>
    <t>OEHHA 2011</t>
  </si>
  <si>
    <t>IRIS 2024</t>
  </si>
  <si>
    <t>ATSDR MRL</t>
  </si>
  <si>
    <t>IRIS 1994</t>
  </si>
  <si>
    <t xml:space="preserve">OEHHA </t>
  </si>
  <si>
    <t xml:space="preserve">ATSDR  </t>
  </si>
  <si>
    <t>PPRTV 2010</t>
  </si>
  <si>
    <t>IRIS 2002</t>
  </si>
  <si>
    <t>ATSDR*</t>
  </si>
  <si>
    <t>PPRTV 2022</t>
  </si>
  <si>
    <t>PPRTV 2020</t>
  </si>
  <si>
    <t>OEHHA 1999</t>
  </si>
  <si>
    <t>PPRTV</t>
  </si>
  <si>
    <t>PPRTV 2016</t>
  </si>
  <si>
    <t>IRIS 2000</t>
  </si>
  <si>
    <t>IRIS 2012</t>
  </si>
  <si>
    <t>ATSDR 2007*</t>
  </si>
  <si>
    <t>PPRTV 2010*</t>
  </si>
  <si>
    <t>PPRTV 2007</t>
  </si>
  <si>
    <t>OEHHA 1992</t>
  </si>
  <si>
    <t>IRIS 2011</t>
  </si>
  <si>
    <t>OEHHA 2000</t>
  </si>
  <si>
    <t>ATSDR 2020</t>
  </si>
  <si>
    <t>OEHHA 2012</t>
  </si>
  <si>
    <t>ATSDR 2014</t>
  </si>
  <si>
    <t>IRIS 2017</t>
  </si>
  <si>
    <t>14797-73-0</t>
  </si>
  <si>
    <t>Petroleum: Gasoline (water)</t>
  </si>
  <si>
    <t>ESL Table IP-9</t>
  </si>
  <si>
    <t>Petroleum: Gasoline (soil)</t>
  </si>
  <si>
    <t>Petroleum: Stoddard solvent (water)</t>
  </si>
  <si>
    <t>Petroleum: Stoddard solvent (soil)</t>
  </si>
  <si>
    <t>Petroleum: Jet Fuel (water)</t>
  </si>
  <si>
    <t>Petroleum: Jet Fuel (soil)</t>
  </si>
  <si>
    <t>Petroleum: Diesel (water)</t>
  </si>
  <si>
    <t>Petroleum: Diesel (soil)</t>
  </si>
  <si>
    <t>Petroleum: HOPs (water)</t>
  </si>
  <si>
    <t>See UG Ch 4</t>
  </si>
  <si>
    <t>Petroleum: Motor Oil (water)</t>
  </si>
  <si>
    <t>Petroleum: Motor Oil (soil)</t>
  </si>
  <si>
    <t>RSL</t>
  </si>
  <si>
    <t>EPA HERA ORD</t>
  </si>
  <si>
    <t>IRIS</t>
  </si>
  <si>
    <t>OEHHA PHG 2024</t>
  </si>
  <si>
    <t>EPA Office of Water</t>
  </si>
  <si>
    <t>ATSDR</t>
  </si>
  <si>
    <t>WI</t>
  </si>
  <si>
    <t>IRIS 1996</t>
  </si>
  <si>
    <t xml:space="preserve">IRIS </t>
  </si>
  <si>
    <t>OEHHA 2013</t>
  </si>
  <si>
    <t>OEHHA 2016</t>
  </si>
  <si>
    <t>PPRTV 2012</t>
  </si>
  <si>
    <t>OEHHA 2003</t>
  </si>
  <si>
    <t xml:space="preserve"> PPRTV</t>
  </si>
  <si>
    <t>PPRTV 2009</t>
  </si>
  <si>
    <t>IRIS 2007</t>
  </si>
  <si>
    <t>IRIS 201</t>
  </si>
  <si>
    <t>ATSDR 2024*</t>
  </si>
  <si>
    <t xml:space="preserve">1 - User's Guide Chapter 3 presents the basis for all toxicity values except petroleum mixtures, for which the basis is presented in User's Guide Chapter 4. The toxicity value hierarchy used here was updated for consistency with California Code of Regulations, Title 22, Division 4.5, sections 68400.5, 69020-69022 (“Toxicity Criteria 
      for Human Health Risk Assessment”), effective September 4, 2018. </t>
  </si>
  <si>
    <t>2 - References:</t>
  </si>
  <si>
    <t xml:space="preserve"> -- ATSDR: U.S. Agency for Toxic Substances and Disease Registry</t>
  </si>
  <si>
    <t xml:space="preserve"> -- EPI: USEPA Estimation Parameters Interface</t>
  </si>
  <si>
    <t xml:space="preserve"> -- HEAST: USEPA Health Effects Assessment Summary Tables</t>
  </si>
  <si>
    <t xml:space="preserve"> -- HERO Note 3: Department of Toxic Substance Control modified Screening Levels</t>
  </si>
  <si>
    <t xml:space="preserve"> -- IRIS: USEPA Integrated Risk Information System</t>
  </si>
  <si>
    <t xml:space="preserve"> -- PPRTV: USEPA Provisional Peer- Reviewed Toxicity Values</t>
  </si>
  <si>
    <t xml:space="preserve"> -- OEHHA - California EPA Office of Environmental Health Hazard Assessment</t>
  </si>
  <si>
    <t xml:space="preserve"> -- RAGS Part E - USEPA Risk Assessment Guidance for Superfund, Volume I: Human Health Evaluation Manual (Part E, Supplemental Guidance for Dermal Risk Assessment) (USEPA 2004)</t>
  </si>
  <si>
    <t xml:space="preserve"> -- RSLs: USEPA Regional Screening Levels</t>
  </si>
  <si>
    <t>* Subchronic noncancer values recommended by USEPA in the May 2021 Memo</t>
  </si>
  <si>
    <t xml:space="preserve"> - Petroleum Fractions 1 - 6: Toxicity values based on suragate chemicals, see ESL Table IP-9 for more information. </t>
  </si>
  <si>
    <t xml:space="preserve"> - Petroleum Gasoline: Parameter values for EPD, Kp, GIABS, ABS, FA, B, t_event, and t are from the USEPA RSL values for the TPH Aliphatic Low fraction/Fraction 1.</t>
  </si>
  <si>
    <t xml:space="preserve"> - Petroleum Stoddard solvent, jet fuel, and diesel: Parameter values for EPD, Kp, GIABS, ABS, FA, B, t_event, and t are from the USEPA RSL values for the TPH Aromatic Medium fraction/Fraction 5.</t>
  </si>
  <si>
    <t xml:space="preserve"> - Petroleum HOPs: parameter values for EPD, Kp, GIABS, ABS, FA, B, t_event, and t are from USEPA EPI Suite using 1-hydroxy-2-naphthoic acid (CAS 86-48-6) as a surrogate.</t>
  </si>
  <si>
    <t>HOPs - Hydrocarbon Oxidation Products including biodegradation metabolites and photo-oxidation products of petroleum mixtures. See User's Guide Chapter 10 for further information.</t>
  </si>
  <si>
    <t>PFAS: Perfluoropentane sulfonic acid (PFPeS)</t>
  </si>
  <si>
    <t>Table IP-3: Direct Exposure Model Factors</t>
  </si>
  <si>
    <t>General Risk Exposure Factors</t>
  </si>
  <si>
    <t>Factor</t>
  </si>
  <si>
    <t>Use</t>
  </si>
  <si>
    <t>Abbreviation</t>
  </si>
  <si>
    <t>Units</t>
  </si>
  <si>
    <t>Value</t>
  </si>
  <si>
    <t>Target Hazard Quotient (THQ)</t>
  </si>
  <si>
    <t>THQ</t>
  </si>
  <si>
    <t>USEPA 1989</t>
  </si>
  <si>
    <t>Target Risk
(TR)</t>
  </si>
  <si>
    <t>TR</t>
  </si>
  <si>
    <t xml:space="preserve">Body Weight
(BW) </t>
  </si>
  <si>
    <t>Child</t>
  </si>
  <si>
    <t>BWc</t>
  </si>
  <si>
    <t>kg</t>
  </si>
  <si>
    <t>USEPA 1991</t>
  </si>
  <si>
    <t>Adult</t>
  </si>
  <si>
    <t>BWa</t>
  </si>
  <si>
    <t>USEPA 2011</t>
  </si>
  <si>
    <t>Construction Worker</t>
  </si>
  <si>
    <t>BWct</t>
  </si>
  <si>
    <t>Lifetime
(LT)</t>
  </si>
  <si>
    <t>Human (used for Carcinogenic Averaging Time)</t>
  </si>
  <si>
    <t>LT</t>
  </si>
  <si>
    <t>yrs</t>
  </si>
  <si>
    <t>Exposure Frequency (EF): All Media</t>
  </si>
  <si>
    <t>Resident</t>
  </si>
  <si>
    <t>EFr</t>
  </si>
  <si>
    <t>days/yr</t>
  </si>
  <si>
    <t>Commercial or Industrial Worker</t>
  </si>
  <si>
    <t>EFci</t>
  </si>
  <si>
    <t>EFct</t>
  </si>
  <si>
    <t>USEPA 2002h</t>
  </si>
  <si>
    <t xml:space="preserve"> Exposure Time (ET):
All Media</t>
  </si>
  <si>
    <t>ETr</t>
  </si>
  <si>
    <t>hrs</t>
  </si>
  <si>
    <t>entire day</t>
  </si>
  <si>
    <t>Worker</t>
  </si>
  <si>
    <t>ETw</t>
  </si>
  <si>
    <t>work day</t>
  </si>
  <si>
    <t>Exposure Duration (ED):
All Media</t>
  </si>
  <si>
    <t>Child Resident</t>
  </si>
  <si>
    <t>EDc</t>
  </si>
  <si>
    <t>Adult Resident</t>
  </si>
  <si>
    <t>EDa</t>
  </si>
  <si>
    <t>EDci</t>
  </si>
  <si>
    <t>EDct</t>
  </si>
  <si>
    <t>Media-Specific Risk Exposure Factors</t>
  </si>
  <si>
    <t>Surface Area (SA):
Soil Exposed Skin</t>
  </si>
  <si>
    <t>SAa</t>
  </si>
  <si>
    <r>
      <t>cm</t>
    </r>
    <r>
      <rPr>
        <vertAlign val="superscript"/>
        <sz val="10"/>
        <rFont val="Arial"/>
        <family val="2"/>
      </rPr>
      <t>2</t>
    </r>
  </si>
  <si>
    <t>USEPA 2014</t>
  </si>
  <si>
    <t>SAc</t>
  </si>
  <si>
    <t>SAci</t>
  </si>
  <si>
    <t>SAct</t>
  </si>
  <si>
    <t>Surface Area (SA):
Water Exposed Skin</t>
  </si>
  <si>
    <t>SAwa</t>
  </si>
  <si>
    <t xml:space="preserve">Child  </t>
  </si>
  <si>
    <t>SAwc</t>
  </si>
  <si>
    <t>Adherence Factor (AF):
Soil to Skin</t>
  </si>
  <si>
    <t>Adherence Factor - Adult Resident</t>
  </si>
  <si>
    <t>AdFa</t>
  </si>
  <si>
    <r>
      <t>mg/cm</t>
    </r>
    <r>
      <rPr>
        <vertAlign val="superscript"/>
        <sz val="10"/>
        <rFont val="Arial"/>
        <family val="2"/>
      </rPr>
      <t>2</t>
    </r>
  </si>
  <si>
    <t>AdFc</t>
  </si>
  <si>
    <t>AdFci</t>
  </si>
  <si>
    <t>AdFct</t>
  </si>
  <si>
    <t>Ingestion Rate Soil
(IRS)</t>
  </si>
  <si>
    <t>Soil Ingestion Rate - Adult Residents</t>
  </si>
  <si>
    <t>IRSa</t>
  </si>
  <si>
    <t>mg/day</t>
  </si>
  <si>
    <t>IRSc</t>
  </si>
  <si>
    <t>IRSci</t>
  </si>
  <si>
    <t>IRSct</t>
  </si>
  <si>
    <t xml:space="preserve">Soil Relative Bioavailability Factors (RBA) </t>
  </si>
  <si>
    <t>RBAa</t>
  </si>
  <si>
    <t>USEPA RSLs</t>
  </si>
  <si>
    <t>Default</t>
  </si>
  <si>
    <t xml:space="preserve">RBA </t>
  </si>
  <si>
    <t>Ingestion Rate Water (IRW)</t>
  </si>
  <si>
    <t>IRWc</t>
  </si>
  <si>
    <t>L/day</t>
  </si>
  <si>
    <t>IRWa</t>
  </si>
  <si>
    <t xml:space="preserve">Exposure Time
per Water Event (ETw)  </t>
  </si>
  <si>
    <t>ETwc</t>
  </si>
  <si>
    <t>hrs/event</t>
  </si>
  <si>
    <t>ETwa</t>
  </si>
  <si>
    <t>Vapor Intrusion 
Attenuation Factors (AF)</t>
  </si>
  <si>
    <t>[All] Soil Gas to Indoor Air</t>
  </si>
  <si>
    <t>AFsmin</t>
  </si>
  <si>
    <t>USEPA 2015a</t>
  </si>
  <si>
    <t>Groundwater to Indoor Air</t>
  </si>
  <si>
    <t>AFgmin</t>
  </si>
  <si>
    <t>Air Dispersion Factor (Q/C)</t>
  </si>
  <si>
    <t>Resident and Commercial or Industrial Worker</t>
  </si>
  <si>
    <t>Q/Cvol</t>
  </si>
  <si>
    <r>
      <t>(g/m</t>
    </r>
    <r>
      <rPr>
        <vertAlign val="superscript"/>
        <sz val="10"/>
        <rFont val="Arial"/>
        <family val="2"/>
      </rPr>
      <t>2</t>
    </r>
    <r>
      <rPr>
        <sz val="10"/>
        <rFont val="Arial"/>
        <family val="2"/>
      </rPr>
      <t>-sec)/(kg/m</t>
    </r>
    <r>
      <rPr>
        <vertAlign val="superscript"/>
        <sz val="10"/>
        <rFont val="Arial"/>
        <family val="2"/>
      </rPr>
      <t>3</t>
    </r>
    <r>
      <rPr>
        <sz val="10"/>
        <rFont val="Arial"/>
        <family val="2"/>
      </rPr>
      <t>)</t>
    </r>
  </si>
  <si>
    <t>Q/Csr</t>
  </si>
  <si>
    <t>Soil
Particulate Emission Factors (PEF)</t>
  </si>
  <si>
    <t>PEFr</t>
  </si>
  <si>
    <r>
      <t>(m</t>
    </r>
    <r>
      <rPr>
        <vertAlign val="superscript"/>
        <sz val="10"/>
        <rFont val="Arial"/>
        <family val="2"/>
      </rPr>
      <t>3</t>
    </r>
    <r>
      <rPr>
        <sz val="10"/>
        <rFont val="Arial"/>
        <family val="2"/>
      </rPr>
      <t>/kg)</t>
    </r>
  </si>
  <si>
    <t>PEFc</t>
  </si>
  <si>
    <t>PEFct</t>
  </si>
  <si>
    <t>Child + Adult Age Adjusted Risk Exposure Factors</t>
  </si>
  <si>
    <t>Exposure Duration (ED)</t>
  </si>
  <si>
    <t>Total Residential (Child + Adult)</t>
  </si>
  <si>
    <t>EDr</t>
  </si>
  <si>
    <t>calculated</t>
  </si>
  <si>
    <t>Exposure Time per
Water Event (ETw)</t>
  </si>
  <si>
    <t>Child + Adult - ET Adjusted Factor</t>
  </si>
  <si>
    <t>ETwadj</t>
  </si>
  <si>
    <t>Ingestion Rate with Adjusted Intake Factors- Water (IFW)</t>
  </si>
  <si>
    <t>Child + Adult - ED, IRW, BW Adjusted Factor</t>
  </si>
  <si>
    <t>IFWadj</t>
  </si>
  <si>
    <t>L/kg BW</t>
  </si>
  <si>
    <t xml:space="preserve">Ingestion Rate with Adjusted Intake Factors - Soil (IFS) </t>
  </si>
  <si>
    <t>Child + Adult - ED, IRS, BW Adjusted Factor</t>
  </si>
  <si>
    <t>IFSadj</t>
  </si>
  <si>
    <t>mg/kg BW</t>
  </si>
  <si>
    <t>Dermal Contact Factor Water (DFW)</t>
  </si>
  <si>
    <t>Child + Adult - ED, SAw, BW Adjusted Factor</t>
  </si>
  <si>
    <t>DFWadj</t>
  </si>
  <si>
    <r>
      <t>cm</t>
    </r>
    <r>
      <rPr>
        <vertAlign val="superscript"/>
        <sz val="10"/>
        <rFont val="Arial"/>
        <family val="2"/>
      </rPr>
      <t>2</t>
    </r>
    <r>
      <rPr>
        <sz val="10"/>
        <rFont val="Arial"/>
        <family val="2"/>
      </rPr>
      <t>-event/kg BW</t>
    </r>
  </si>
  <si>
    <t>Dermal Contact Factor Soil (DFS)</t>
  </si>
  <si>
    <t>Child + Adult -  ED, SAs, AF, BW Adjusted Factor</t>
  </si>
  <si>
    <t>DFSadj</t>
  </si>
  <si>
    <t>Mutagenic Child-Adult Age (0-2; 2-6; 6-16; 16-26 years) Adjusted Risk Exposure Factors</t>
  </si>
  <si>
    <t>Mutagenic Adjusted 
Total Exposure Time (TETm)</t>
  </si>
  <si>
    <t>Child-Adult: ED, ET, EF Adjusted Factor</t>
  </si>
  <si>
    <t>TETmadj</t>
  </si>
  <si>
    <t>days</t>
  </si>
  <si>
    <t>Ingestion Rate with Mutagenic Adjusted Intake Factors- Water (IFWm)</t>
  </si>
  <si>
    <t>Child-Adult: ED, IRW, BW Adjusted Factor</t>
  </si>
  <si>
    <t>IFWmadj</t>
  </si>
  <si>
    <t xml:space="preserve">Ingestion Rate with Mutagenic Adjusted Intake Factors - Soil (IFSm) </t>
  </si>
  <si>
    <t>Child-Adult: ED, IRS, BW Adjusted Factor</t>
  </si>
  <si>
    <t>IFSmadj</t>
  </si>
  <si>
    <t>Mutagenic Dermal Contact Factor Water (DFWm)</t>
  </si>
  <si>
    <t>Child-Adult: ED, SAw, BW Adjusted Factor</t>
  </si>
  <si>
    <t>DFWmadj</t>
  </si>
  <si>
    <t>Mutagenic Dermal Contact Factor Soil 
(DFSm)</t>
  </si>
  <si>
    <t>Child-Adult: ED, SAs, AF, BW Adjusted Factor</t>
  </si>
  <si>
    <t>DFSmadj</t>
  </si>
  <si>
    <t>Site Factors</t>
  </si>
  <si>
    <t>Soil Density</t>
  </si>
  <si>
    <t xml:space="preserve">Any Land Use </t>
  </si>
  <si>
    <t>Ds</t>
  </si>
  <si>
    <r>
      <t>g/cm</t>
    </r>
    <r>
      <rPr>
        <vertAlign val="superscript"/>
        <sz val="10"/>
        <rFont val="Arial"/>
        <family val="2"/>
      </rPr>
      <t>3</t>
    </r>
  </si>
  <si>
    <t>USEPA 1996c</t>
  </si>
  <si>
    <t>ρb</t>
  </si>
  <si>
    <t>Particle Density</t>
  </si>
  <si>
    <t>Dp</t>
  </si>
  <si>
    <t>ρs</t>
  </si>
  <si>
    <t>Fraction Organic Carbon in Soil</t>
  </si>
  <si>
    <t>Foc</t>
  </si>
  <si>
    <t xml:space="preserve">Soil Moisture Content </t>
  </si>
  <si>
    <t>SM</t>
  </si>
  <si>
    <t>mL/g</t>
  </si>
  <si>
    <t>Soil Total Porosity</t>
  </si>
  <si>
    <t>Pt</t>
  </si>
  <si>
    <t>n</t>
  </si>
  <si>
    <t>Soil Air-Filled Porosity</t>
  </si>
  <si>
    <t>Pa</t>
  </si>
  <si>
    <t>ϑa</t>
  </si>
  <si>
    <t>Soil Water-Filled Porosity</t>
  </si>
  <si>
    <t>Pw</t>
  </si>
  <si>
    <t>ϑw</t>
  </si>
  <si>
    <t>heading_IP_4</t>
  </si>
  <si>
    <t>mcl</t>
  </si>
  <si>
    <t>2-mcl</t>
  </si>
  <si>
    <t>PHG</t>
  </si>
  <si>
    <t>PHG-B</t>
  </si>
  <si>
    <t>PHG-ref</t>
  </si>
  <si>
    <t>NL</t>
  </si>
  <si>
    <t>NL-B</t>
  </si>
  <si>
    <t>NL-ref</t>
  </si>
  <si>
    <r>
      <t xml:space="preserve">Table IP-4: MCL and Other Drinking Water Levels (μg/L) </t>
    </r>
    <r>
      <rPr>
        <b/>
        <vertAlign val="superscript"/>
        <sz val="16"/>
        <rFont val="Arial"/>
        <family val="2"/>
      </rPr>
      <t>1</t>
    </r>
  </si>
  <si>
    <t>Maximum Contaminant Levels (MCL)</t>
  </si>
  <si>
    <t>Public Health Goals (PHG)</t>
  </si>
  <si>
    <t>Notification Levels (NL)</t>
  </si>
  <si>
    <t xml:space="preserve">Primary MCL
(Lower of 
Cal vs Federal) </t>
  </si>
  <si>
    <r>
      <t>Secondary MCL</t>
    </r>
    <r>
      <rPr>
        <b/>
        <vertAlign val="superscript"/>
        <sz val="8"/>
        <rFont val="Arial"/>
        <family val="2"/>
      </rPr>
      <t>2</t>
    </r>
  </si>
  <si>
    <t>DDW NL (2000)</t>
  </si>
  <si>
    <t>DDW (1994)</t>
  </si>
  <si>
    <t>OEHHA PHG (2016)</t>
  </si>
  <si>
    <t>DDW (2008)</t>
  </si>
  <si>
    <t>OEHHA PHG (2004)</t>
  </si>
  <si>
    <t>DDW (1977)</t>
  </si>
  <si>
    <t>OEHHA PHG (2003)</t>
  </si>
  <si>
    <t>DDW  (1989)</t>
  </si>
  <si>
    <t>OEHHA PHG (2001)</t>
  </si>
  <si>
    <t>DDW (1990)</t>
  </si>
  <si>
    <t>OEHHA PHG (1997)</t>
  </si>
  <si>
    <t>DDW NL (1995)</t>
  </si>
  <si>
    <t>DDW (2006)</t>
  </si>
  <si>
    <t>OEHHA PHG (2020)</t>
  </si>
  <si>
    <t>OEHHA PHG (2006)</t>
  </si>
  <si>
    <t>DDW (1989)</t>
  </si>
  <si>
    <t>OEHHA PHG (2000)</t>
  </si>
  <si>
    <t>OEHHA PHG (2014)</t>
  </si>
  <si>
    <t>DDW (2024)</t>
  </si>
  <si>
    <t>OEHHA PHG (2011)</t>
  </si>
  <si>
    <t>DDW (1995)</t>
  </si>
  <si>
    <t>OEHHA PHG (2008)</t>
  </si>
  <si>
    <t>DDW (2003)</t>
  </si>
  <si>
    <t>DDW (1991)</t>
  </si>
  <si>
    <t>OEHHA PHG (2009)</t>
  </si>
  <si>
    <t>OEHHA PHG (2005)</t>
  </si>
  <si>
    <t>OEHHA PHG (1999)</t>
  </si>
  <si>
    <t>OEHHA PHG (2018)</t>
  </si>
  <si>
    <t>DDW NL (2010)</t>
  </si>
  <si>
    <t>OEHHA PHG (2010)</t>
  </si>
  <si>
    <t>DDW NL (1999)</t>
  </si>
  <si>
    <t>DDW (2000)</t>
  </si>
  <si>
    <t>DDW (1999)</t>
  </si>
  <si>
    <t>DDW NL (2005)</t>
  </si>
  <si>
    <t>DDW (2007)</t>
  </si>
  <si>
    <t>OEHHA PHG (2015)</t>
  </si>
  <si>
    <t>USEPA (2024)</t>
  </si>
  <si>
    <t>OEHHA PHG (2024)</t>
  </si>
  <si>
    <t>DDW NL (2019)</t>
  </si>
  <si>
    <t>DDW NL (2022)</t>
  </si>
  <si>
    <t>DDW NL (2017)</t>
  </si>
  <si>
    <t>OEHHA PHG (2007)</t>
  </si>
  <si>
    <t>DDW NL (2002)</t>
  </si>
  <si>
    <t>DDW (2017)</t>
  </si>
  <si>
    <t>1 - User's Guide Chapter 3 presents the basis for the groundwater direct exposure ESLs.</t>
  </si>
  <si>
    <r>
      <rPr>
        <sz val="8"/>
        <rFont val="Arial"/>
        <family val="2"/>
      </rPr>
      <t>2 - Secondary MCL</t>
    </r>
    <r>
      <rPr>
        <b/>
        <sz val="8"/>
        <rFont val="Arial"/>
        <family val="2"/>
      </rPr>
      <t xml:space="preserve"> </t>
    </r>
    <r>
      <rPr>
        <sz val="8"/>
        <rFont val="Arial"/>
        <family val="2"/>
      </rPr>
      <t>- Taste &amp; odor or welfare based.  (Basin Plan states that groundwater cleanup levels should account for taste and odor concerns)</t>
    </r>
  </si>
  <si>
    <t>DDW - California State Water Resources Control Board, Division of Drinking Water (transferred from California Department of Public Health in July 2014).</t>
  </si>
  <si>
    <t>OEHHA - California Office of Environmental Health Hazard Assessment.</t>
  </si>
  <si>
    <t>heading_IP_5</t>
  </si>
  <si>
    <t>FW CCC</t>
  </si>
  <si>
    <t>FW CMC</t>
  </si>
  <si>
    <t>FW other</t>
  </si>
  <si>
    <t>M CCC</t>
  </si>
  <si>
    <t>M CMC</t>
  </si>
  <si>
    <t>M M</t>
  </si>
  <si>
    <t>M DM</t>
  </si>
  <si>
    <t>M IM</t>
  </si>
  <si>
    <t>M other</t>
  </si>
  <si>
    <r>
      <t xml:space="preserve">Table IP-5: CalEPA Aquatic Ecotoxicity Levels </t>
    </r>
    <r>
      <rPr>
        <b/>
        <vertAlign val="superscript"/>
        <sz val="16"/>
        <rFont val="Arial"/>
        <family val="2"/>
      </rPr>
      <t>1</t>
    </r>
    <r>
      <rPr>
        <b/>
        <sz val="16"/>
        <rFont val="Arial"/>
        <family val="2"/>
      </rPr>
      <t xml:space="preserve">
(μg/L)</t>
    </r>
  </si>
  <si>
    <t xml:space="preserve"> California Toxics Rule Criteria:
 California Inland Surface Waters</t>
  </si>
  <si>
    <r>
      <t xml:space="preserve">Other 
Criteria </t>
    </r>
    <r>
      <rPr>
        <b/>
        <vertAlign val="superscript"/>
        <sz val="8"/>
        <rFont val="Arial"/>
        <family val="2"/>
      </rPr>
      <t xml:space="preserve">2
</t>
    </r>
  </si>
  <si>
    <t xml:space="preserve"> California Toxics Rule Criteria :
California Enclosed Bays &amp; Estuaries</t>
  </si>
  <si>
    <t>California Ocean Plan: 
Water Quality Objectives for Protection of Marine Life</t>
  </si>
  <si>
    <t>Criterion Continuous Concentration (CCC)</t>
  </si>
  <si>
    <t>Criteria
Maximum Concentration (CMC)</t>
  </si>
  <si>
    <t>Criteria Maximum Concentration (CMC)</t>
  </si>
  <si>
    <t>Limiting Concentration: 
6-Month Median</t>
  </si>
  <si>
    <t>Limiting Concentration: Daily Maximum</t>
  </si>
  <si>
    <t>Limiting Concentration: Instantaneous Maximum</t>
  </si>
  <si>
    <t>1 - User's Guide Chapter 7 presents the basis for the aquatic habitat ESLs.</t>
  </si>
  <si>
    <t>2 - Other Criteria values are primarily from the Basin Plan (Table 3-3 and 3-4).  Otherwise, criteria are from Total Maximum Daily Loads, values derived from testing performed under Regional Water Board staff oversight (e.g., petroleum mixture values), or values derived by staff 
     from review of databases or literature (e.g., USEPA ECOTOX) as describe below:</t>
  </si>
  <si>
    <r>
      <t xml:space="preserve">   -- Polycyclic Aromatic Hydrocarbons (PAHs): For each individual PAH compound (e.g., acenaphthene), the value of 15 </t>
    </r>
    <r>
      <rPr>
        <sz val="8"/>
        <rFont val="Calibri"/>
        <family val="2"/>
      </rPr>
      <t>µ</t>
    </r>
    <r>
      <rPr>
        <sz val="8"/>
        <rFont val="Arial"/>
        <family val="2"/>
      </rPr>
      <t>g/L is used. This is from the Basin Plan Table 3-3 for Total PAHs (sum of all PAHs).</t>
    </r>
  </si>
  <si>
    <t xml:space="preserve">   -- Cadmium: California Toxics Rule CMC value removed in 2004.  Value shown is acute freshwater goal for cadmium presented in 1995 Basin Plan.</t>
  </si>
  <si>
    <t xml:space="preserve">   -- MTBE: Interim aquatic surface water criteria developed by Regional Water Board staff (Regional Water Board 1998b).</t>
  </si>
  <si>
    <t xml:space="preserve">   -- Petroleum Gasoline freshwater value of 443 µg/L was derived based on site-specific aquatic toxicity chronic testing of gasoline-contaminated groundwater using the Ceriodaphnia dubia (water flea) (Montgomery Watson 1999). </t>
  </si>
  <si>
    <t xml:space="preserve">   -- Petroleum Gasoline saltwater value of 3,700 µg/L is based on chronic toxicity testing of a water-accommodated fraction (WAF) of fresh (unweathered) gasoline using Strongylocentrotus purpuratus (sea urchin) (Burns and McDonnell Waste Consultants, Inc. 1997) under  
       Board Order 95-018. The testing yielded a value of 37,000 µg/L, which was adjusted to a final value of 3,700 µg/L using an acute-to-chronic ratio of 10 (Regional Water Board 1998a). The final value was incorporated into subsequent Board Order 99-045 
       (Regional Water Board 1999). </t>
  </si>
  <si>
    <t xml:space="preserve">   -- Petroleum Stoddard Solvent values: Petroleum Jet Fuel saltwater value is used as a surrogate.</t>
  </si>
  <si>
    <t xml:space="preserve">   -- Petroleum Jet fuel saltwater value of 640 µg/L was derived based on aquatic toxicity chronic testing of a fresh Jet A water-accommodated fraction using the Americamysis bahia (mysid shrimp) (Burns and McDonnell Waste Consultants, Inc. 1999) under Board Order 99-045 
       (Regional Water Board 1999). The saltwater value is also used as the freshwater value as a surrogate.</t>
  </si>
  <si>
    <t xml:space="preserve">   -- Petroleum Diesel: The Petroleum Jet fuel saltwater value is used as a surrogate. The saltwater value is also used as the freshwater value as a surrogate.</t>
  </si>
  <si>
    <t xml:space="preserve">   -- Petroleum HOPs: The Petroleum Jet fuel saltwater value is used as a surrogate. The saltwater value is also used as the freshwater value as a surrogate.</t>
  </si>
  <si>
    <t>heading_IP_6</t>
  </si>
  <si>
    <t>FW C-LOEL</t>
  </si>
  <si>
    <t>FW A-LOEL</t>
  </si>
  <si>
    <t>FW TH</t>
  </si>
  <si>
    <t>FW other basis</t>
  </si>
  <si>
    <t>M C-LOEL</t>
  </si>
  <si>
    <t>M A-LOEL</t>
  </si>
  <si>
    <t>M TH</t>
  </si>
  <si>
    <t>m other</t>
  </si>
  <si>
    <t>m other basis</t>
  </si>
  <si>
    <t>Bioac Exp</t>
  </si>
  <si>
    <r>
      <t xml:space="preserve">Table IP-6: USEPA and Other Published Aquatic Ecotoxicity Levels </t>
    </r>
    <r>
      <rPr>
        <b/>
        <vertAlign val="superscript"/>
        <sz val="16"/>
        <rFont val="Arial"/>
        <family val="2"/>
      </rPr>
      <t>1</t>
    </r>
    <r>
      <rPr>
        <b/>
        <sz val="16"/>
        <rFont val="Arial"/>
        <family val="2"/>
      </rPr>
      <t xml:space="preserve">
(μg/L)</t>
    </r>
  </si>
  <si>
    <t xml:space="preserve">Water Column Exposure </t>
  </si>
  <si>
    <t>Bioaccumlation Exposure</t>
  </si>
  <si>
    <t>USEPA CCC</t>
  </si>
  <si>
    <t>USEPA Chronic LOEL</t>
  </si>
  <si>
    <t>USEPA CMC</t>
  </si>
  <si>
    <t>USEPA Acute LOEL</t>
  </si>
  <si>
    <t>Ecotox Chronic Threshold (AWQC, FCV Or Tier II)</t>
  </si>
  <si>
    <t>Other</t>
  </si>
  <si>
    <r>
      <t xml:space="preserve">Basis </t>
    </r>
    <r>
      <rPr>
        <b/>
        <vertAlign val="superscript"/>
        <sz val="8"/>
        <rFont val="Arial"/>
        <family val="2"/>
      </rPr>
      <t>2</t>
    </r>
  </si>
  <si>
    <t>USDOE FW Chronic PRG</t>
  </si>
  <si>
    <t>50% MOEE FW Chronic LOEL</t>
  </si>
  <si>
    <t>50% MOEE FW Chronic AWQC</t>
  </si>
  <si>
    <t>DDT FW USEPA CCC surrogate</t>
  </si>
  <si>
    <t>DDT SW USEPA CCC surrogate</t>
  </si>
  <si>
    <t>5% Acute FW LC50</t>
  </si>
  <si>
    <t>5% Acute FW LC 50</t>
  </si>
  <si>
    <t>Divine 2020</t>
  </si>
  <si>
    <t>ANL 2024</t>
  </si>
  <si>
    <t>10% Acute FW LC50</t>
  </si>
  <si>
    <t>10% Acute SW LC50</t>
  </si>
  <si>
    <t>5% acute SW LC 50</t>
  </si>
  <si>
    <t xml:space="preserve">2 - Select staff review notes on the basis for selection of other levels:  </t>
  </si>
  <si>
    <r>
      <t xml:space="preserve">     -- tert</t>
    </r>
    <r>
      <rPr>
        <sz val="8"/>
        <rFont val="Arial"/>
        <family val="2"/>
      </rPr>
      <t>-Butyl Alcohol (TBA): Chronic aquatic goal based on staff review of USEPA ECOTOX database for TBA (2003).  Ten percent of LC</t>
    </r>
    <r>
      <rPr>
        <vertAlign val="subscript"/>
        <sz val="8"/>
        <rFont val="Arial"/>
        <family val="2"/>
      </rPr>
      <t>50</t>
    </r>
    <r>
      <rPr>
        <sz val="8"/>
        <rFont val="Arial"/>
        <family val="2"/>
      </rPr>
      <t xml:space="preserve"> concentration for Lepomis macrochirus (Bluegill) selected as most conservative goal of data presented.</t>
    </r>
  </si>
  <si>
    <r>
      <t xml:space="preserve">     -- 1,2,3-Trichloropropane: Chronic aquatic goals based on staff review of USEPA ECOTOX database (August 2018).  Ten percent of lowest LC</t>
    </r>
    <r>
      <rPr>
        <vertAlign val="subscript"/>
        <sz val="8"/>
        <rFont val="Arial"/>
        <family val="2"/>
      </rPr>
      <t>50</t>
    </r>
    <r>
      <rPr>
        <sz val="8"/>
        <rFont val="Arial"/>
        <family val="2"/>
      </rPr>
      <t xml:space="preserve"> concentration for Pimephales promelas (fathead minnow) selected from FW data. Ten percent of lowest LC50 concentration for 
        Chaetogammarus marinus (amphipod) selected from SW data.</t>
    </r>
  </si>
  <si>
    <t xml:space="preserve">     -- PFAS: Other values from either: </t>
  </si>
  <si>
    <t xml:space="preserve">        --- Argonne National Laboratory (ANL), Air Force Civil Engineer Center, U.S. Department of Energy. Derivation of PFAS Ecological Screening Values (ANL, 2024)</t>
  </si>
  <si>
    <t xml:space="preserve">        --- Department of Defense Strategic Environmental Research and Development Program (SERDP). Approach for Assessing PFAS Risk to Threatened and
Endangered Species (Divine, 2020)</t>
  </si>
  <si>
    <r>
      <t xml:space="preserve">     -- Xylenes: Acute saltwater screening level based on review on data in UK Marine SAC summary and marine LC</t>
    </r>
    <r>
      <rPr>
        <vertAlign val="subscript"/>
        <sz val="8"/>
        <rFont val="Arial"/>
        <family val="2"/>
      </rPr>
      <t>50</t>
    </r>
    <r>
      <rPr>
        <sz val="8"/>
        <rFont val="Arial"/>
        <family val="2"/>
      </rPr>
      <t xml:space="preserve"> of 2.0 mg/L (Cole et al., 1999). Confidence in USDOE PRG and USEPA Ecotox goals low.</t>
    </r>
  </si>
  <si>
    <t>AWQC: Aquatic Water Quality Criteria</t>
  </si>
  <si>
    <t>CCC:  Criterion Continuous Concentration</t>
  </si>
  <si>
    <t>CMC:  Criterion Maximum Concentration</t>
  </si>
  <si>
    <t>FCV: Final Chronic Value</t>
  </si>
  <si>
    <t>FW: Freshwater</t>
  </si>
  <si>
    <t>LOEL: Lowest Observed Effects Level</t>
  </si>
  <si>
    <t>MOEE: Ontario Ministry of Environment and Energy (MOEE 1996)</t>
  </si>
  <si>
    <t>PRG: USDOE Preliminary Remediation Goal for ecological concerns</t>
  </si>
  <si>
    <t>SW: Saltwater (marine)</t>
  </si>
  <si>
    <t>USDOE: U. S. Department of Energy</t>
  </si>
  <si>
    <t>USEPA: U.S. Environmental Protection Agency</t>
  </si>
  <si>
    <t>heading_IP-7</t>
  </si>
  <si>
    <t>CTR</t>
  </si>
  <si>
    <t>OP</t>
  </si>
  <si>
    <t>NWQ</t>
  </si>
  <si>
    <r>
      <t xml:space="preserve">Table IP-7: Seafood Ingestion Aquatic Habitat Levels </t>
    </r>
    <r>
      <rPr>
        <b/>
        <vertAlign val="superscript"/>
        <sz val="16"/>
        <rFont val="Arial"/>
        <family val="2"/>
      </rPr>
      <t>1</t>
    </r>
    <r>
      <rPr>
        <b/>
        <sz val="16"/>
        <rFont val="Arial"/>
        <family val="2"/>
      </rPr>
      <t xml:space="preserve">
(μg/L)</t>
    </r>
  </si>
  <si>
    <t>For potential accumulation in aquatic organisms and subsequent consumption by humans</t>
  </si>
  <si>
    <t>California Toxics Rule:
 Bioaccumulation and Human Consumption of Aquatic Organisms</t>
  </si>
  <si>
    <t>California Ocean Plan: 
Water Quality Objectives 
for Human Health Protection</t>
  </si>
  <si>
    <t>National Recommended 
Water Quality Criteria: 
Human Health for Consumption of Organism Only</t>
  </si>
  <si>
    <t xml:space="preserve">2 - Water Board calculated values discussed in User's Guide Chapter 7. </t>
  </si>
  <si>
    <t>heading_IP_8</t>
  </si>
  <si>
    <t>SV-L</t>
  </si>
  <si>
    <t>SV-L-other</t>
  </si>
  <si>
    <t>SV-L-other-b</t>
  </si>
  <si>
    <t>SV-H</t>
  </si>
  <si>
    <t>SV-H-other</t>
  </si>
  <si>
    <t>SV-H-other-b</t>
  </si>
  <si>
    <t>MV-L</t>
  </si>
  <si>
    <t>MV-L-other</t>
  </si>
  <si>
    <t>MV-L-other-b</t>
  </si>
  <si>
    <t>MV-H</t>
  </si>
  <si>
    <t>MV-H-other</t>
  </si>
  <si>
    <t>MV-H-other-b</t>
  </si>
  <si>
    <r>
      <t xml:space="preserve">Table IP-8: Soil Terrestrial Habitat Levels </t>
    </r>
    <r>
      <rPr>
        <b/>
        <vertAlign val="superscript"/>
        <sz val="20"/>
        <rFont val="Arial"/>
        <family val="2"/>
      </rPr>
      <t xml:space="preserve">1 
</t>
    </r>
    <r>
      <rPr>
        <b/>
        <sz val="20"/>
        <rFont val="Arial"/>
        <family val="2"/>
      </rPr>
      <t>(mg/kg)</t>
    </r>
  </si>
  <si>
    <t>General toxicity to flora and fauna in shallow soil 
For use at developed properties only; not for use in sensitive habitats</t>
  </si>
  <si>
    <t xml:space="preserve">Urban Area Ecotoxicity Criteria (mg/kg) </t>
  </si>
  <si>
    <r>
      <t xml:space="preserve">Significantly Vegetated Area 
</t>
    </r>
    <r>
      <rPr>
        <sz val="12"/>
        <rFont val="Arial"/>
        <family val="2"/>
      </rPr>
      <t>(e.g. parkland or single family homes with yards)</t>
    </r>
  </si>
  <si>
    <r>
      <t xml:space="preserve">Minimally Vegetated Area 
</t>
    </r>
    <r>
      <rPr>
        <sz val="12"/>
        <rFont val="Arial"/>
        <family val="2"/>
      </rPr>
      <t>(e.g. high density residential or commercial/ industrial areas)</t>
    </r>
  </si>
  <si>
    <r>
      <t xml:space="preserve"> Landscape
</t>
    </r>
    <r>
      <rPr>
        <sz val="10"/>
        <rFont val="Arial"/>
        <family val="2"/>
      </rPr>
      <t>(Plants &amp; Soil Org.)</t>
    </r>
  </si>
  <si>
    <r>
      <t xml:space="preserve"> Minimal Landscape
</t>
    </r>
    <r>
      <rPr>
        <sz val="10"/>
        <rFont val="Arial"/>
        <family val="2"/>
      </rPr>
      <t>(Plants &amp; Soil Org.)</t>
    </r>
  </si>
  <si>
    <r>
      <t xml:space="preserve">Minimal Habitat for Transitory Species
</t>
    </r>
    <r>
      <rPr>
        <sz val="10"/>
        <rFont val="Arial"/>
        <family val="2"/>
      </rPr>
      <t xml:space="preserve"> (Mammals &amp; Birds)</t>
    </r>
  </si>
  <si>
    <r>
      <t xml:space="preserve">MOE 2011 </t>
    </r>
    <r>
      <rPr>
        <b/>
        <vertAlign val="superscript"/>
        <sz val="10"/>
        <rFont val="Arial"/>
        <family val="2"/>
      </rPr>
      <t>2</t>
    </r>
  </si>
  <si>
    <r>
      <t xml:space="preserve">USEPA 2007 </t>
    </r>
    <r>
      <rPr>
        <vertAlign val="superscript"/>
        <sz val="8"/>
        <rFont val="Arial"/>
        <family val="2"/>
      </rPr>
      <t>3</t>
    </r>
  </si>
  <si>
    <r>
      <t xml:space="preserve">Wash. DOE 2016 </t>
    </r>
    <r>
      <rPr>
        <vertAlign val="superscript"/>
        <sz val="8"/>
        <rFont val="Arial"/>
        <family val="2"/>
      </rPr>
      <t>4</t>
    </r>
  </si>
  <si>
    <r>
      <t xml:space="preserve">Wash. DOE 2016 </t>
    </r>
    <r>
      <rPr>
        <vertAlign val="superscript"/>
        <sz val="8"/>
        <rFont val="Arial"/>
        <family val="2"/>
      </rPr>
      <t>5</t>
    </r>
  </si>
  <si>
    <r>
      <t>NOEC, Divine 2020</t>
    </r>
    <r>
      <rPr>
        <vertAlign val="superscript"/>
        <sz val="8"/>
        <rFont val="Arial"/>
        <family val="2"/>
      </rPr>
      <t xml:space="preserve"> 7</t>
    </r>
  </si>
  <si>
    <r>
      <t xml:space="preserve">ANL 2024 </t>
    </r>
    <r>
      <rPr>
        <vertAlign val="superscript"/>
        <sz val="8"/>
        <rFont val="Arial"/>
        <family val="2"/>
      </rPr>
      <t>6</t>
    </r>
  </si>
  <si>
    <r>
      <t xml:space="preserve">LOEC, Divine 2020 </t>
    </r>
    <r>
      <rPr>
        <vertAlign val="superscript"/>
        <sz val="8"/>
        <rFont val="Arial"/>
        <family val="2"/>
      </rPr>
      <t>8</t>
    </r>
  </si>
  <si>
    <t>1 - User's Guide Chapter 8 presents the basis for the soil terrestrial habitat ESLs. Laboratory analytical results for soil samples should be dry weight format.</t>
  </si>
  <si>
    <t xml:space="preserve">2 - Urban area ecotoxicity criteria values are adapted from the Ontario Ministry of the Environment (MOE 2011), with the following exceptions:  </t>
  </si>
  <si>
    <t>3 - Ecological Soil Screening Levels for DDT and Metabolites (USEPA, 2007b)</t>
  </si>
  <si>
    <t>4 - Petroleum Gasoline, Diesel, and Motor Oil values based on toxicity testing of soils contaminated by weathered mixtures (Washington DOE 2016). 
      The gasoline and diesel values are derived from earthworm survival. The motor oil (heavy oil) value is derived from lettuce survival.</t>
  </si>
  <si>
    <t xml:space="preserve">5 - Petroleum Stoddard Solvent and Jet Fuel values are based on the use of Petroleum Diesel values as surrogates. </t>
  </si>
  <si>
    <t>6 - Argonne National Laboratory (ANL), Air Force Civil Engineer Center, U.S. Department of Energy. Derivation of PFAS Ecological Screening Values (ANL, 2024)</t>
  </si>
  <si>
    <t>7 - No Observed Effect Level (NOEL) from 2020 Department of Defense Strategic Environmental Research and Development Program (SERDP). Approach for Assessing PFAS Risk to Threatened and
Endangered Species (Divine, 2020)</t>
  </si>
  <si>
    <t>8 - Lowest Observed Effect Level (LOEL) from 2020 Department of Defense Strategic Environmental Research and Development Program (SERDP). Approach for Assessing PFAS Risk to Threatened and
Endangered Species (Divine, 2020)</t>
  </si>
  <si>
    <t>HOPs - Hydrocarbon Oxidation Products (biodegradation metabolites and photo-oxidation products of petroleum hydrocarbons). See User's Guide Chapter 4 for 
   further information.</t>
  </si>
  <si>
    <r>
      <t xml:space="preserve">IP-9: Petroleum Hydrocarbon Fractions </t>
    </r>
    <r>
      <rPr>
        <b/>
        <vertAlign val="superscript"/>
        <sz val="20"/>
        <rFont val="Arial"/>
        <family val="2"/>
      </rPr>
      <t>1</t>
    </r>
  </si>
  <si>
    <r>
      <t xml:space="preserve">Fraction Composition and Surrogate Information </t>
    </r>
    <r>
      <rPr>
        <b/>
        <vertAlign val="superscript"/>
        <sz val="11"/>
        <rFont val="Arial"/>
        <family val="2"/>
      </rPr>
      <t>2</t>
    </r>
  </si>
  <si>
    <t>Fraction 1</t>
  </si>
  <si>
    <t>Fraction 2</t>
  </si>
  <si>
    <t>Fraction 3</t>
  </si>
  <si>
    <t>Fraction 4</t>
  </si>
  <si>
    <t>Fraction 5</t>
  </si>
  <si>
    <t>Fraction 6</t>
  </si>
  <si>
    <t>Molecular Structure</t>
  </si>
  <si>
    <t>Aliphatic</t>
  </si>
  <si>
    <t>Aromatic</t>
  </si>
  <si>
    <t>Carbon Range</t>
  </si>
  <si>
    <t>C5 - C8</t>
  </si>
  <si>
    <t>C9 - C18</t>
  </si>
  <si>
    <t>C19 - C32</t>
  </si>
  <si>
    <t>C6 - C8</t>
  </si>
  <si>
    <t>C9 - C16</t>
  </si>
  <si>
    <t>C17 - C32</t>
  </si>
  <si>
    <t>Equivalent Carbon No. Range</t>
  </si>
  <si>
    <t>EC5 - EC8</t>
  </si>
  <si>
    <t>EC&gt;8 - EC16</t>
  </si>
  <si>
    <t>EC&gt;16 - EC35</t>
  </si>
  <si>
    <t>EC6 - EC&lt;9</t>
  </si>
  <si>
    <t>EC9 - EC&lt;22</t>
  </si>
  <si>
    <t>Surrogate 
Chemical Name</t>
  </si>
  <si>
    <t>Not used:
BTEX compounds should be separately analyzed and evaluated</t>
  </si>
  <si>
    <t>Fluoranthene</t>
  </si>
  <si>
    <t xml:space="preserve"> RfD (mg/kg-day) </t>
  </si>
  <si>
    <r>
      <t>RfC</t>
    </r>
    <r>
      <rPr>
        <b/>
        <vertAlign val="superscript"/>
        <sz val="10"/>
        <color theme="1"/>
        <rFont val="Arial"/>
        <family val="2"/>
      </rPr>
      <t xml:space="preserve"> </t>
    </r>
    <r>
      <rPr>
        <b/>
        <sz val="10"/>
        <color theme="1"/>
        <rFont val="Arial"/>
        <family val="2"/>
      </rPr>
      <t>(mg/m</t>
    </r>
    <r>
      <rPr>
        <b/>
        <vertAlign val="superscript"/>
        <sz val="10"/>
        <color theme="1"/>
        <rFont val="Arial"/>
        <family val="2"/>
      </rPr>
      <t>3</t>
    </r>
    <r>
      <rPr>
        <b/>
        <sz val="10"/>
        <color theme="1"/>
        <rFont val="Arial"/>
        <family val="2"/>
      </rPr>
      <t>)</t>
    </r>
  </si>
  <si>
    <t>Henry's Law Constant - H' (unitless)</t>
  </si>
  <si>
    <r>
      <t xml:space="preserve"> Fraction Composition in Petroleum Hydrocarbon Mixtures </t>
    </r>
    <r>
      <rPr>
        <b/>
        <vertAlign val="superscript"/>
        <sz val="11"/>
        <color theme="1"/>
        <rFont val="Arial"/>
        <family val="2"/>
      </rPr>
      <t>4</t>
    </r>
  </si>
  <si>
    <t>Weighted-Average Values</t>
  </si>
  <si>
    <t>RfD
(mg/kg-day)</t>
  </si>
  <si>
    <r>
      <t>RfC
(</t>
    </r>
    <r>
      <rPr>
        <b/>
        <sz val="10"/>
        <color theme="0"/>
        <rFont val="Calibri"/>
        <family val="2"/>
      </rPr>
      <t>µ</t>
    </r>
    <r>
      <rPr>
        <b/>
        <sz val="10"/>
        <color theme="0"/>
        <rFont val="Arial"/>
        <family val="2"/>
      </rPr>
      <t>g/m</t>
    </r>
    <r>
      <rPr>
        <b/>
        <vertAlign val="superscript"/>
        <sz val="10"/>
        <color theme="0"/>
        <rFont val="Arial"/>
        <family val="2"/>
      </rPr>
      <t>3</t>
    </r>
    <r>
      <rPr>
        <b/>
        <sz val="10"/>
        <color theme="0"/>
        <rFont val="Arial"/>
        <family val="2"/>
      </rPr>
      <t>)</t>
    </r>
  </si>
  <si>
    <t>H'
(unitless)</t>
  </si>
  <si>
    <t>Mixture Type</t>
  </si>
  <si>
    <r>
      <t xml:space="preserve">Phase </t>
    </r>
    <r>
      <rPr>
        <b/>
        <vertAlign val="superscript"/>
        <sz val="11"/>
        <color theme="1"/>
        <rFont val="Arial"/>
        <family val="2"/>
      </rPr>
      <t>3</t>
    </r>
  </si>
  <si>
    <t>Petroleum
Gasoline</t>
  </si>
  <si>
    <t>Soil (NAPL)</t>
  </si>
  <si>
    <t>Not used:
 BTEX compounds should be separately analyzed and evaluated</t>
  </si>
  <si>
    <t>Water (Soluble)</t>
  </si>
  <si>
    <r>
      <t xml:space="preserve">trace </t>
    </r>
    <r>
      <rPr>
        <vertAlign val="superscript"/>
        <sz val="10"/>
        <color theme="1"/>
        <rFont val="Arial"/>
        <family val="2"/>
      </rPr>
      <t>5</t>
    </r>
  </si>
  <si>
    <t>Vapor (Volatile)</t>
  </si>
  <si>
    <t>Petroleum
Stoddard 
Solvent</t>
  </si>
  <si>
    <t>Petroleum Jet Fuel</t>
  </si>
  <si>
    <t>Petroleum 
Diesel</t>
  </si>
  <si>
    <t>Petroleum 
Motor Oil</t>
  </si>
  <si>
    <t>1 - User's Guide Chapter 4 describes the petroleum hydrocarbons fractions and presents the development of ESLs for petroleum mixtures (e.g., jet fuel).</t>
  </si>
  <si>
    <t xml:space="preserve">2 - Surrogate Sources: </t>
  </si>
  <si>
    <t>3 - Petroleum fraction partitioning: Fractions 1, 4, and 5 considered to be soluble. Fractions 1, 2, 4, and 5 considered to be volatile.</t>
  </si>
  <si>
    <t>4 - Fraction Composition Sources:</t>
  </si>
  <si>
    <t xml:space="preserve">    -- Soil compositions were developed based on fresh non-aqueous phase liquid (NAPL) composition (i.e., no partitioning or transformation) as follows: 
        gasoline (Park and San Juan 2000;  TPHCWG 1998), Stoddard solvent (ATSDR 1995b), jet fuel (Jet Fuel A; ATSDR 2017; TPHCWG 1998), 
        diesel (Park and San Juan 2000; TPHCWG 1998), and motor oil (TPHCWG 1998).</t>
  </si>
  <si>
    <t xml:space="preserve">    -- Water compositions were developed based on information from Zemo and Synowiec (1995). </t>
  </si>
  <si>
    <t xml:space="preserve">    -- Vapor compositions were developed based on information from Uhler et al. (2010). </t>
  </si>
  <si>
    <t>5 - "Trace" signifies that one or more sources indicate the mixture can have hydrocarbons in the fraction (range), but at low percentages.</t>
  </si>
  <si>
    <t>BAF - muscle, ww, fresh and saltwater</t>
  </si>
  <si>
    <t xml:space="preserve">PFBA </t>
  </si>
  <si>
    <t>PFPeA</t>
  </si>
  <si>
    <t>PFHxA</t>
  </si>
  <si>
    <t>PFHpA</t>
  </si>
  <si>
    <t xml:space="preserve">PFOA </t>
  </si>
  <si>
    <t>PFNA</t>
  </si>
  <si>
    <t xml:space="preserve">PFDA </t>
  </si>
  <si>
    <t>PFUDA</t>
  </si>
  <si>
    <t xml:space="preserve">PFDoDA </t>
  </si>
  <si>
    <t xml:space="preserve">PFTrDA </t>
  </si>
  <si>
    <t xml:space="preserve">PFTeDA </t>
  </si>
  <si>
    <t xml:space="preserve">HFPO-DA </t>
  </si>
  <si>
    <t xml:space="preserve">PFBS </t>
  </si>
  <si>
    <t>PFPeS</t>
  </si>
  <si>
    <t>PFHxS</t>
  </si>
  <si>
    <t>PFHpS</t>
  </si>
  <si>
    <t>PFOS</t>
  </si>
  <si>
    <t>PFDS</t>
  </si>
  <si>
    <t>avg</t>
  </si>
  <si>
    <t>80th centile</t>
  </si>
  <si>
    <t>µg PFAS/kg muscle)/(µg PFAS/L water)</t>
  </si>
  <si>
    <t>Bio-accumlation Factor</t>
  </si>
  <si>
    <t>BAF</t>
  </si>
  <si>
    <t>SFo</t>
  </si>
  <si>
    <t>RfDo</t>
  </si>
  <si>
    <t>L/kg</t>
  </si>
  <si>
    <t>(mg/kg-day)-1</t>
  </si>
  <si>
    <t>fish consumption cancer</t>
  </si>
  <si>
    <t>fish consumption Noncancer</t>
  </si>
  <si>
    <t>Fish Consumption Final</t>
  </si>
  <si>
    <t>PFAS: Perfluorotridecanoic acid (PFTrDA)</t>
  </si>
  <si>
    <t>72629-94-8</t>
  </si>
  <si>
    <t>PFAS: Perfluoroheptane sulfonic acid (PFHpS)</t>
  </si>
  <si>
    <t>375-92-8</t>
  </si>
  <si>
    <t>PFAS: Perfluorodecane sulfonic acid (PFDS)</t>
  </si>
  <si>
    <t>335-77-3</t>
  </si>
  <si>
    <t>Berkhert PFOS</t>
  </si>
  <si>
    <t>ITRC Table 5-1 (Oct. 7 2021)</t>
  </si>
  <si>
    <t>Table IP-6: USEPA and Other Published Aquatic Ecotoxicity Levels 1
(μg/L)</t>
  </si>
  <si>
    <t>min for FW and SW</t>
  </si>
  <si>
    <t>water column freshwater</t>
  </si>
  <si>
    <t>C4</t>
  </si>
  <si>
    <t>C5</t>
  </si>
  <si>
    <t>C6</t>
  </si>
  <si>
    <t>c7</t>
  </si>
  <si>
    <t>c8</t>
  </si>
  <si>
    <t>C9</t>
  </si>
  <si>
    <t>c10</t>
  </si>
  <si>
    <t>C11</t>
  </si>
  <si>
    <t>C12</t>
  </si>
  <si>
    <t>C13</t>
  </si>
  <si>
    <t>C14</t>
  </si>
  <si>
    <t>C10</t>
  </si>
  <si>
    <t>PFAS - Divine Table 7</t>
  </si>
  <si>
    <t>PFAS - DOD</t>
  </si>
  <si>
    <t>PFBA 
FW</t>
  </si>
  <si>
    <t>PFBA SW</t>
  </si>
  <si>
    <t>PFPeA FW</t>
  </si>
  <si>
    <t>PFPeA SW</t>
  </si>
  <si>
    <t>PFHxA FW</t>
  </si>
  <si>
    <t>PFHxA SW</t>
  </si>
  <si>
    <t>PFHpA FW</t>
  </si>
  <si>
    <t>PFHpA SW</t>
  </si>
  <si>
    <t>PFOA FW</t>
  </si>
  <si>
    <t>PFOA SW</t>
  </si>
  <si>
    <t>PFNA FW</t>
  </si>
  <si>
    <t>PFNA SW</t>
  </si>
  <si>
    <t>PFDA 
FW</t>
  </si>
  <si>
    <t>PFDA SW</t>
  </si>
  <si>
    <t>PFUDA FW</t>
  </si>
  <si>
    <t>PFUDA SW</t>
  </si>
  <si>
    <t>PFDoDA FW</t>
  </si>
  <si>
    <t>PFDoDA SW</t>
  </si>
  <si>
    <t>PFTrDA FW</t>
  </si>
  <si>
    <t>PFTrDA SW</t>
  </si>
  <si>
    <t>PFTeDA FW</t>
  </si>
  <si>
    <t>PFTeDA SW</t>
  </si>
  <si>
    <t>HFPO-DA FW</t>
  </si>
  <si>
    <t>HFPO-DA SW</t>
  </si>
  <si>
    <t>PFBS 
FW</t>
  </si>
  <si>
    <t>PFBS Marine</t>
  </si>
  <si>
    <t>PFHxS FW</t>
  </si>
  <si>
    <t>PFHxS SW</t>
  </si>
  <si>
    <t>PFHpS FW</t>
  </si>
  <si>
    <t>PFHpS SW</t>
  </si>
  <si>
    <t>PFOS
FW</t>
  </si>
  <si>
    <t>PFOS
SW</t>
  </si>
  <si>
    <t>PFDS FW</t>
  </si>
  <si>
    <t>PFDS SW</t>
  </si>
  <si>
    <t>NONE</t>
  </si>
  <si>
    <t>Divine Table 7</t>
  </si>
  <si>
    <t>90 percentile</t>
  </si>
  <si>
    <t>DOD</t>
  </si>
  <si>
    <t>VP</t>
  </si>
  <si>
    <t>Mt</t>
  </si>
  <si>
    <t>Dia</t>
  </si>
  <si>
    <t>Diw</t>
  </si>
  <si>
    <t>kd</t>
  </si>
  <si>
    <t>koc</t>
  </si>
  <si>
    <t>S</t>
  </si>
  <si>
    <t>kp</t>
  </si>
  <si>
    <t>sfo</t>
  </si>
  <si>
    <t>iur</t>
  </si>
  <si>
    <t>rfdo</t>
  </si>
  <si>
    <t>rfc</t>
  </si>
  <si>
    <t>v</t>
  </si>
  <si>
    <t>giabs</t>
  </si>
  <si>
    <t>abs</t>
  </si>
  <si>
    <t>csat</t>
  </si>
  <si>
    <t>Contaminant</t>
  </si>
  <si>
    <t>Molecular Weight</t>
  </si>
  <si>
    <t>Volatility Parameters</t>
  </si>
  <si>
    <t>Melting Point</t>
  </si>
  <si>
    <t>Density</t>
  </si>
  <si>
    <t>Diffusivity in Air and Water</t>
  </si>
  <si>
    <t>Partition Coefficients</t>
  </si>
  <si>
    <t>Water Solubility</t>
  </si>
  <si>
    <t>Tap Water Dermal Parameters</t>
  </si>
  <si>
    <t>Toxicity and Chemical-specific Information</t>
  </si>
  <si>
    <t>Analyte</t>
  </si>
  <si>
    <t>MW</t>
  </si>
  <si>
    <t>MW Ref</t>
  </si>
  <si>
    <t>H`
(unitless)</t>
  </si>
  <si>
    <r>
      <t>HLC
(atm-m</t>
    </r>
    <r>
      <rPr>
        <vertAlign val="superscript"/>
        <sz val="12"/>
        <color rgb="FF000000"/>
        <rFont val="Helvetica"/>
      </rPr>
      <t>3</t>
    </r>
    <r>
      <rPr>
        <sz val="12"/>
        <color rgb="FF000000"/>
        <rFont val="Helvetica"/>
      </rPr>
      <t>/mole)</t>
    </r>
  </si>
  <si>
    <t>H` and HLC
Ref</t>
  </si>
  <si>
    <t>VP
(mmHg)</t>
  </si>
  <si>
    <t>VP
Ref</t>
  </si>
  <si>
    <t>MP
(C)</t>
  </si>
  <si>
    <t>MP
Ref</t>
  </si>
  <si>
    <r>
      <t>Density
(g/cm</t>
    </r>
    <r>
      <rPr>
        <vertAlign val="superscript"/>
        <sz val="12"/>
        <color rgb="FF000000"/>
        <rFont val="Helvetica"/>
      </rPr>
      <t>3</t>
    </r>
    <r>
      <rPr>
        <sz val="12"/>
        <color rgb="FF000000"/>
        <rFont val="Helvetica"/>
      </rPr>
      <t>)</t>
    </r>
  </si>
  <si>
    <t>Density
Ref</t>
  </si>
  <si>
    <r>
      <t>D</t>
    </r>
    <r>
      <rPr>
        <vertAlign val="subscript"/>
        <sz val="12"/>
        <color rgb="FF000000"/>
        <rFont val="Helvetica"/>
      </rPr>
      <t>ia</t>
    </r>
    <r>
      <rPr>
        <sz val="12"/>
        <color rgb="FF000000"/>
        <rFont val="Helvetica"/>
      </rPr>
      <t xml:space="preserve"> 
</t>
    </r>
    <r>
      <rPr>
        <sz val="12"/>
        <color rgb="FF000000"/>
        <rFont val="Helvetica"/>
      </rPr>
      <t>(cm</t>
    </r>
    <r>
      <rPr>
        <vertAlign val="superscript"/>
        <sz val="12"/>
        <color rgb="FF000000"/>
        <rFont val="Helvetica"/>
      </rPr>
      <t>2</t>
    </r>
    <r>
      <rPr>
        <sz val="12"/>
        <color rgb="FF000000"/>
        <rFont val="Helvetica"/>
      </rPr>
      <t>/s)</t>
    </r>
  </si>
  <si>
    <r>
      <t>D</t>
    </r>
    <r>
      <rPr>
        <vertAlign val="subscript"/>
        <sz val="12"/>
        <color rgb="FF000000"/>
        <rFont val="Helvetica"/>
      </rPr>
      <t>iw</t>
    </r>
    <r>
      <rPr>
        <sz val="12"/>
        <color rgb="FF000000"/>
        <rFont val="Helvetica"/>
      </rPr>
      <t xml:space="preserve"> 
</t>
    </r>
    <r>
      <rPr>
        <sz val="12"/>
        <color rgb="FF000000"/>
        <rFont val="Helvetica"/>
      </rPr>
      <t>(cm</t>
    </r>
    <r>
      <rPr>
        <vertAlign val="superscript"/>
        <sz val="12"/>
        <color rgb="FF000000"/>
        <rFont val="Helvetica"/>
      </rPr>
      <t>2</t>
    </r>
    <r>
      <rPr>
        <sz val="12"/>
        <color rgb="FF000000"/>
        <rFont val="Helvetica"/>
      </rPr>
      <t>/s)</t>
    </r>
  </si>
  <si>
    <r>
      <t>D</t>
    </r>
    <r>
      <rPr>
        <vertAlign val="subscript"/>
        <sz val="12"/>
        <color rgb="FF000000"/>
        <rFont val="Helvetica"/>
      </rPr>
      <t>ia</t>
    </r>
    <r>
      <rPr>
        <sz val="12"/>
        <color rgb="FF000000"/>
        <rFont val="Helvetica"/>
      </rPr>
      <t xml:space="preserve"> and D</t>
    </r>
    <r>
      <rPr>
        <vertAlign val="subscript"/>
        <sz val="12"/>
        <color rgb="FF000000"/>
        <rFont val="Helvetica"/>
      </rPr>
      <t>iw</t>
    </r>
    <r>
      <rPr>
        <sz val="12"/>
        <color rgb="FF000000"/>
        <rFont val="Helvetica"/>
      </rPr>
      <t xml:space="preserve"> 
</t>
    </r>
    <r>
      <rPr>
        <sz val="12"/>
        <color rgb="FF000000"/>
        <rFont val="Helvetica"/>
      </rPr>
      <t>Ref</t>
    </r>
  </si>
  <si>
    <r>
      <t>K</t>
    </r>
    <r>
      <rPr>
        <vertAlign val="subscript"/>
        <sz val="12"/>
        <color rgb="FF000000"/>
        <rFont val="Helvetica"/>
      </rPr>
      <t>d</t>
    </r>
    <r>
      <rPr>
        <sz val="12"/>
        <color rgb="FF000000"/>
        <rFont val="Helvetica"/>
      </rPr>
      <t xml:space="preserve"> 
</t>
    </r>
    <r>
      <rPr>
        <sz val="12"/>
        <color rgb="FF000000"/>
        <rFont val="Helvetica"/>
      </rPr>
      <t>(L/kg)</t>
    </r>
  </si>
  <si>
    <r>
      <t>K</t>
    </r>
    <r>
      <rPr>
        <vertAlign val="subscript"/>
        <sz val="12"/>
        <color rgb="FF000000"/>
        <rFont val="Helvetica"/>
      </rPr>
      <t>d</t>
    </r>
    <r>
      <rPr>
        <sz val="12"/>
        <color rgb="FF000000"/>
        <rFont val="Helvetica"/>
      </rPr>
      <t xml:space="preserve"> 
</t>
    </r>
    <r>
      <rPr>
        <sz val="12"/>
        <color rgb="FF000000"/>
        <rFont val="Helvetica"/>
      </rPr>
      <t>Ref</t>
    </r>
  </si>
  <si>
    <r>
      <t>K</t>
    </r>
    <r>
      <rPr>
        <vertAlign val="subscript"/>
        <sz val="12"/>
        <color rgb="FF000000"/>
        <rFont val="Helvetica"/>
      </rPr>
      <t>oc</t>
    </r>
    <r>
      <rPr>
        <sz val="12"/>
        <color rgb="FF000000"/>
        <rFont val="Helvetica"/>
      </rPr>
      <t xml:space="preserve"> 
</t>
    </r>
    <r>
      <rPr>
        <sz val="12"/>
        <color rgb="FF000000"/>
        <rFont val="Helvetica"/>
      </rPr>
      <t>(L/kg)</t>
    </r>
  </si>
  <si>
    <r>
      <t>K</t>
    </r>
    <r>
      <rPr>
        <vertAlign val="subscript"/>
        <sz val="12"/>
        <color rgb="FF000000"/>
        <rFont val="Helvetica"/>
      </rPr>
      <t>oc</t>
    </r>
    <r>
      <rPr>
        <sz val="12"/>
        <color rgb="FF000000"/>
        <rFont val="Helvetica"/>
      </rPr>
      <t xml:space="preserve"> 
</t>
    </r>
    <r>
      <rPr>
        <sz val="12"/>
        <color rgb="FF000000"/>
        <rFont val="Helvetica"/>
      </rPr>
      <t>Ref</t>
    </r>
  </si>
  <si>
    <r>
      <t>log K</t>
    </r>
    <r>
      <rPr>
        <vertAlign val="subscript"/>
        <sz val="12"/>
        <color rgb="FF000000"/>
        <rFont val="Helvetica"/>
      </rPr>
      <t>ow</t>
    </r>
    <r>
      <rPr>
        <sz val="12"/>
        <color rgb="FF000000"/>
        <rFont val="Helvetica"/>
      </rPr>
      <t xml:space="preserve"> 
</t>
    </r>
    <r>
      <rPr>
        <sz val="12"/>
        <color rgb="FF000000"/>
        <rFont val="Helvetica"/>
      </rPr>
      <t>(unitless)</t>
    </r>
  </si>
  <si>
    <r>
      <t>log K</t>
    </r>
    <r>
      <rPr>
        <vertAlign val="subscript"/>
        <sz val="12"/>
        <color rgb="FF000000"/>
        <rFont val="Helvetica"/>
      </rPr>
      <t>ow</t>
    </r>
    <r>
      <rPr>
        <sz val="12"/>
        <color rgb="FF000000"/>
        <rFont val="Helvetica"/>
      </rPr>
      <t xml:space="preserve"> 
</t>
    </r>
    <r>
      <rPr>
        <sz val="12"/>
        <color rgb="FF000000"/>
        <rFont val="Helvetica"/>
      </rPr>
      <t>Ref</t>
    </r>
  </si>
  <si>
    <t>S
(mg/L)</t>
  </si>
  <si>
    <t>S
Ref</t>
  </si>
  <si>
    <r>
      <t>τ</t>
    </r>
    <r>
      <rPr>
        <vertAlign val="subscript"/>
        <sz val="12"/>
        <color rgb="FF000000"/>
        <rFont val="Helvetica"/>
      </rPr>
      <t>event</t>
    </r>
    <r>
      <rPr>
        <sz val="12"/>
        <color rgb="FF000000"/>
        <rFont val="Helvetica"/>
      </rPr>
      <t xml:space="preserve"> 
</t>
    </r>
    <r>
      <rPr>
        <sz val="12"/>
        <color rgb="FF000000"/>
        <rFont val="Helvetica"/>
      </rPr>
      <t>(hr/event)</t>
    </r>
  </si>
  <si>
    <r>
      <t>K</t>
    </r>
    <r>
      <rPr>
        <vertAlign val="subscript"/>
        <sz val="12"/>
        <color rgb="FF000000"/>
        <rFont val="Helvetica"/>
      </rPr>
      <t>p</t>
    </r>
    <r>
      <rPr>
        <sz val="12"/>
        <color rgb="FF000000"/>
        <rFont val="Helvetica"/>
      </rPr>
      <t xml:space="preserve"> 
</t>
    </r>
    <r>
      <rPr>
        <sz val="12"/>
        <color rgb="FF000000"/>
        <rFont val="Helvetica"/>
      </rPr>
      <t>(cm/hr)</t>
    </r>
  </si>
  <si>
    <r>
      <t>K</t>
    </r>
    <r>
      <rPr>
        <vertAlign val="subscript"/>
        <sz val="12"/>
        <color rgb="FF000000"/>
        <rFont val="Helvetica"/>
      </rPr>
      <t>p</t>
    </r>
    <r>
      <rPr>
        <sz val="12"/>
        <color rgb="FF000000"/>
        <rFont val="Helvetica"/>
      </rPr>
      <t xml:space="preserve"> 
</t>
    </r>
    <r>
      <rPr>
        <sz val="12"/>
        <color rgb="FF000000"/>
        <rFont val="Helvetica"/>
      </rPr>
      <t>Ref</t>
    </r>
  </si>
  <si>
    <r>
      <t>SFO
(mg/kg-day)</t>
    </r>
    <r>
      <rPr>
        <vertAlign val="superscript"/>
        <sz val="12"/>
        <color rgb="FF000000"/>
        <rFont val="Helvetica"/>
      </rPr>
      <t>-1</t>
    </r>
  </si>
  <si>
    <t>k
e
y</t>
  </si>
  <si>
    <r>
      <t>IUR
(ug/m</t>
    </r>
    <r>
      <rPr>
        <vertAlign val="superscript"/>
        <sz val="12"/>
        <color rgb="FF000000"/>
        <rFont val="Helvetica"/>
      </rPr>
      <t>3</t>
    </r>
    <r>
      <rPr>
        <sz val="12"/>
        <color rgb="FF000000"/>
        <rFont val="Helvetica"/>
      </rPr>
      <t>)</t>
    </r>
    <r>
      <rPr>
        <vertAlign val="superscript"/>
        <sz val="12"/>
        <color rgb="FF000000"/>
        <rFont val="Helvetica"/>
      </rPr>
      <t>-1</t>
    </r>
  </si>
  <si>
    <r>
      <t>RfD</t>
    </r>
    <r>
      <rPr>
        <vertAlign val="subscript"/>
        <sz val="12"/>
        <color rgb="FF000000"/>
        <rFont val="Helvetica"/>
      </rPr>
      <t>o</t>
    </r>
    <r>
      <rPr>
        <sz val="12"/>
        <color rgb="FF000000"/>
        <rFont val="Helvetica"/>
      </rPr>
      <t xml:space="preserve"> 
</t>
    </r>
    <r>
      <rPr>
        <sz val="12"/>
        <color rgb="FF000000"/>
        <rFont val="Helvetica"/>
      </rPr>
      <t>(mg/kg-day)</t>
    </r>
  </si>
  <si>
    <r>
      <t>RfC</t>
    </r>
    <r>
      <rPr>
        <vertAlign val="subscript"/>
        <sz val="12"/>
        <color rgb="FF000000"/>
        <rFont val="Helvetica"/>
      </rPr>
      <t>i</t>
    </r>
    <r>
      <rPr>
        <sz val="12"/>
        <color rgb="FF000000"/>
        <rFont val="Helvetica"/>
      </rPr>
      <t xml:space="preserve"> 
</t>
    </r>
    <r>
      <rPr>
        <sz val="12"/>
        <color rgb="FF000000"/>
        <rFont val="Helvetica"/>
      </rPr>
      <t>(mg/m</t>
    </r>
    <r>
      <rPr>
        <vertAlign val="superscript"/>
        <sz val="12"/>
        <color rgb="FF000000"/>
        <rFont val="Helvetica"/>
      </rPr>
      <t>3</t>
    </r>
    <r>
      <rPr>
        <sz val="12"/>
        <color rgb="FF000000"/>
        <rFont val="Helvetica"/>
      </rPr>
      <t>)</t>
    </r>
  </si>
  <si>
    <t>v
o
l</t>
  </si>
  <si>
    <t>mutagen</t>
  </si>
  <si>
    <r>
      <t>ABS</t>
    </r>
    <r>
      <rPr>
        <vertAlign val="subscript"/>
        <sz val="12"/>
        <color rgb="FF000000"/>
        <rFont val="Helvetica"/>
      </rPr>
      <t>d</t>
    </r>
  </si>
  <si>
    <r>
      <t>C</t>
    </r>
    <r>
      <rPr>
        <vertAlign val="subscript"/>
        <sz val="12"/>
        <color rgb="FF000000"/>
        <rFont val="Helvetica"/>
      </rPr>
      <t>sat</t>
    </r>
    <r>
      <rPr>
        <sz val="12"/>
        <color rgb="FF000000"/>
        <rFont val="Helvetica"/>
      </rPr>
      <t xml:space="preserve"> 
</t>
    </r>
    <r>
      <rPr>
        <sz val="12"/>
        <color rgb="FF000000"/>
        <rFont val="Helvetica"/>
      </rPr>
      <t>(mg/kg)</t>
    </r>
  </si>
  <si>
    <t>30560-19-1</t>
  </si>
  <si>
    <t>Acephate</t>
  </si>
  <si>
    <t>PHYSPROP</t>
  </si>
  <si>
    <t>CRC</t>
  </si>
  <si>
    <t>WATER9</t>
  </si>
  <si>
    <t>75-07-0</t>
  </si>
  <si>
    <t>Acetaldehyde</t>
  </si>
  <si>
    <t>34256-82-1</t>
  </si>
  <si>
    <t>Acetochlor</t>
  </si>
  <si>
    <t>PubChem</t>
  </si>
  <si>
    <t>75-86-5</t>
  </si>
  <si>
    <t>Acetone Cyanohydrin</t>
  </si>
  <si>
    <t>X</t>
  </si>
  <si>
    <t>75-05-8</t>
  </si>
  <si>
    <t>Acetonitrile</t>
  </si>
  <si>
    <t>98-86-2</t>
  </si>
  <si>
    <t>Acetophenone</t>
  </si>
  <si>
    <t>53-96-3</t>
  </si>
  <si>
    <t>Acetylaminofluorene, 2-</t>
  </si>
  <si>
    <t>C</t>
  </si>
  <si>
    <t>107-02-8</t>
  </si>
  <si>
    <t>Acrolein</t>
  </si>
  <si>
    <t>79-06-1</t>
  </si>
  <si>
    <t>Acrylamide</t>
  </si>
  <si>
    <t>LANGE</t>
  </si>
  <si>
    <t>M</t>
  </si>
  <si>
    <t>79-10-7</t>
  </si>
  <si>
    <t>Acrylic Acid</t>
  </si>
  <si>
    <t>P</t>
  </si>
  <si>
    <t>107-13-1</t>
  </si>
  <si>
    <t>Acrylonitrile</t>
  </si>
  <si>
    <t>T</t>
  </si>
  <si>
    <t>111-69-3</t>
  </si>
  <si>
    <t>Adiponitrile</t>
  </si>
  <si>
    <t>15972-60-8</t>
  </si>
  <si>
    <t>Alachlor</t>
  </si>
  <si>
    <t>116-06-3</t>
  </si>
  <si>
    <t>Aldicarb</t>
  </si>
  <si>
    <t>1646-88-4</t>
  </si>
  <si>
    <t>Aldicarb Sulfone</t>
  </si>
  <si>
    <t>1646-87-3</t>
  </si>
  <si>
    <t>Aldicarb sulfoxide</t>
  </si>
  <si>
    <t>107-18-6</t>
  </si>
  <si>
    <t>Allyl Alcohol</t>
  </si>
  <si>
    <t>107-05-1</t>
  </si>
  <si>
    <t>Allyl Chloride</t>
  </si>
  <si>
    <t>7429-90-5</t>
  </si>
  <si>
    <t>Aluminum</t>
  </si>
  <si>
    <t>NIOSH</t>
  </si>
  <si>
    <t>BAES</t>
  </si>
  <si>
    <t>20859-73-8</t>
  </si>
  <si>
    <t>Aluminum Phosphide</t>
  </si>
  <si>
    <t>834-12-8</t>
  </si>
  <si>
    <t>Ametryn</t>
  </si>
  <si>
    <t>92-67-1</t>
  </si>
  <si>
    <t>Aminobiphenyl, 4-</t>
  </si>
  <si>
    <t>591-27-5</t>
  </si>
  <si>
    <t>Aminophenol, m-</t>
  </si>
  <si>
    <t>95-55-6</t>
  </si>
  <si>
    <t>Aminophenol, o-</t>
  </si>
  <si>
    <t>123-30-8</t>
  </si>
  <si>
    <t>Aminophenol, p-</t>
  </si>
  <si>
    <t>33089-61-1</t>
  </si>
  <si>
    <t>Amitraz</t>
  </si>
  <si>
    <t>7664-41-7</t>
  </si>
  <si>
    <t>Ammonia</t>
  </si>
  <si>
    <t>131-74-8</t>
  </si>
  <si>
    <t>Ammonium Picrate</t>
  </si>
  <si>
    <t>PERRY</t>
  </si>
  <si>
    <t>7773-06-0</t>
  </si>
  <si>
    <t>Ammonium Sulfamate</t>
  </si>
  <si>
    <t>75-85-4</t>
  </si>
  <si>
    <t>Amyl Alcohol, tert-</t>
  </si>
  <si>
    <t>62-53-3</t>
  </si>
  <si>
    <t>Aniline</t>
  </si>
  <si>
    <t>84-65-1</t>
  </si>
  <si>
    <t>Anthraquinone, 9,10-</t>
  </si>
  <si>
    <t>Antimony (metallic)</t>
  </si>
  <si>
    <t>SSL</t>
  </si>
  <si>
    <t>A</t>
  </si>
  <si>
    <t>1314-60-9</t>
  </si>
  <si>
    <t>Antimony Pentoxide</t>
  </si>
  <si>
    <t>1332-81-6</t>
  </si>
  <si>
    <t>Antimony Tetroxide</t>
  </si>
  <si>
    <t>1309-64-4</t>
  </si>
  <si>
    <t>Antimony Trioxide</t>
  </si>
  <si>
    <t>Arsenic, Inorganic</t>
  </si>
  <si>
    <t>7784-42-1</t>
  </si>
  <si>
    <t>Arsine</t>
  </si>
  <si>
    <t>1332-21-4</t>
  </si>
  <si>
    <t>Asbestos (units in fibers)</t>
  </si>
  <si>
    <t>3337-71-1</t>
  </si>
  <si>
    <t>Asulam</t>
  </si>
  <si>
    <t>1912-24-9</t>
  </si>
  <si>
    <t>Atrazine</t>
  </si>
  <si>
    <t>492-80-8</t>
  </si>
  <si>
    <t>Auramine</t>
  </si>
  <si>
    <t>65195-55-3</t>
  </si>
  <si>
    <t>Avermectin B1</t>
  </si>
  <si>
    <t>86-50-0</t>
  </si>
  <si>
    <t>Azinphos-methyl</t>
  </si>
  <si>
    <t>103-33-3</t>
  </si>
  <si>
    <t>Azobenzene</t>
  </si>
  <si>
    <t>123-77-3</t>
  </si>
  <si>
    <t>Azodicarbonamide</t>
  </si>
  <si>
    <t>GuideChem</t>
  </si>
  <si>
    <t>1861-40-1</t>
  </si>
  <si>
    <t>Benfluralin</t>
  </si>
  <si>
    <t>ChemNet</t>
  </si>
  <si>
    <t>17804-35-2</t>
  </si>
  <si>
    <t>Benomyl</t>
  </si>
  <si>
    <t>83055-99-6</t>
  </si>
  <si>
    <t>Bensulfuron-methyl</t>
  </si>
  <si>
    <t>25057-89-0</t>
  </si>
  <si>
    <t>Bentazon</t>
  </si>
  <si>
    <t>100-52-7</t>
  </si>
  <si>
    <t>Benzaldehyde</t>
  </si>
  <si>
    <t>25551-13-7</t>
  </si>
  <si>
    <t>Benzene, Trimethyl</t>
  </si>
  <si>
    <t>6369-59-1</t>
  </si>
  <si>
    <t>Benzenediamine-2-methyl sulfate, 1,4-</t>
  </si>
  <si>
    <t>108-98-5</t>
  </si>
  <si>
    <t>Benzenethiol</t>
  </si>
  <si>
    <t>92-87-5</t>
  </si>
  <si>
    <t>Benzidine</t>
  </si>
  <si>
    <t>YAWS</t>
  </si>
  <si>
    <t>65-85-0</t>
  </si>
  <si>
    <t>Benzoic Acid</t>
  </si>
  <si>
    <t>98-07-7</t>
  </si>
  <si>
    <t>Benzotrichloride</t>
  </si>
  <si>
    <t>100-51-6</t>
  </si>
  <si>
    <t>Benzyl Alcohol</t>
  </si>
  <si>
    <t>100-44-7</t>
  </si>
  <si>
    <t>Benzyl Chloride</t>
  </si>
  <si>
    <t>Beryllium and compounds</t>
  </si>
  <si>
    <t>42576-02-3</t>
  </si>
  <si>
    <t>Bifenox</t>
  </si>
  <si>
    <t>82657-04-3</t>
  </si>
  <si>
    <t>Biphenthrin</t>
  </si>
  <si>
    <t>Biphenyl, 1,1'-</t>
  </si>
  <si>
    <t>111-91-1</t>
  </si>
  <si>
    <t>Bis(2-chloroethoxy)methane</t>
  </si>
  <si>
    <t>Bis(2-chloroethyl)ether</t>
  </si>
  <si>
    <t>542-88-1</t>
  </si>
  <si>
    <t>Bis(chloromethyl)ether</t>
  </si>
  <si>
    <t>80-05-7</t>
  </si>
  <si>
    <t>Bisphenol A</t>
  </si>
  <si>
    <t>Boron And Borates Only</t>
  </si>
  <si>
    <t>10294-34-5</t>
  </si>
  <si>
    <t>Boron Trichloride</t>
  </si>
  <si>
    <t>7637-07-2</t>
  </si>
  <si>
    <t>Boron Trifluoride</t>
  </si>
  <si>
    <t>15541-45-4</t>
  </si>
  <si>
    <t>Bromate</t>
  </si>
  <si>
    <t>107-04-0</t>
  </si>
  <si>
    <t>Bromo-2-chloroethane, 1-</t>
  </si>
  <si>
    <t>1073-06-9</t>
  </si>
  <si>
    <t>Bromo-3-fluorobenzene, 1-</t>
  </si>
  <si>
    <t>460-00-4</t>
  </si>
  <si>
    <t>Bromo-4-fluorobenzene, 1-</t>
  </si>
  <si>
    <t>79-08-3</t>
  </si>
  <si>
    <t>Bromoacetic acid</t>
  </si>
  <si>
    <t>108-86-1</t>
  </si>
  <si>
    <t>Bromobenzene</t>
  </si>
  <si>
    <t>74-97-5</t>
  </si>
  <si>
    <t>Bromochloromethane</t>
  </si>
  <si>
    <t>Bromoform</t>
  </si>
  <si>
    <t>2104-96-3</t>
  </si>
  <si>
    <t>Bromophos</t>
  </si>
  <si>
    <t>LookChem</t>
  </si>
  <si>
    <t>106-94-5</t>
  </si>
  <si>
    <t>Bromopropane, 1-</t>
  </si>
  <si>
    <t>1689-84-5</t>
  </si>
  <si>
    <t>Bromoxynil</t>
  </si>
  <si>
    <t>1689-99-2</t>
  </si>
  <si>
    <t>Bromoxynil Octanoate</t>
  </si>
  <si>
    <t>106-99-0</t>
  </si>
  <si>
    <t>Butadiene, 1,3-</t>
  </si>
  <si>
    <t>71-36-3</t>
  </si>
  <si>
    <t>Butanol, N-</t>
  </si>
  <si>
    <t>Butyl Alcohol, t-</t>
  </si>
  <si>
    <t>78-92-2</t>
  </si>
  <si>
    <t>Butyl alcohol, sec-</t>
  </si>
  <si>
    <t>2008-41-5</t>
  </si>
  <si>
    <t>Butylate</t>
  </si>
  <si>
    <t>25013-16-5</t>
  </si>
  <si>
    <t>Butylated hydroxyanisole</t>
  </si>
  <si>
    <t>128-37-0</t>
  </si>
  <si>
    <t>Butylated hydroxytoluene</t>
  </si>
  <si>
    <t>104-51-8</t>
  </si>
  <si>
    <t>Butylbenzene, n-</t>
  </si>
  <si>
    <t>135-98-8</t>
  </si>
  <si>
    <t>Butylbenzene, sec-</t>
  </si>
  <si>
    <t>98-06-6</t>
  </si>
  <si>
    <t>Butylbenzene, tert-</t>
  </si>
  <si>
    <t>75-60-5</t>
  </si>
  <si>
    <t>Cacodylic Acid</t>
  </si>
  <si>
    <t>Cadmium (Diet)</t>
  </si>
  <si>
    <t>Cadmium (Water)</t>
  </si>
  <si>
    <t>105-60-2</t>
  </si>
  <si>
    <t>Caprolactam</t>
  </si>
  <si>
    <t>2425-06-1</t>
  </si>
  <si>
    <t>Captafol</t>
  </si>
  <si>
    <t>133-06-2</t>
  </si>
  <si>
    <t>Captan</t>
  </si>
  <si>
    <t>63-25-2</t>
  </si>
  <si>
    <t>Carbaryl</t>
  </si>
  <si>
    <t>1563-66-2</t>
  </si>
  <si>
    <t>Carbofuran</t>
  </si>
  <si>
    <t>75-15-0</t>
  </si>
  <si>
    <t>Carbon Disulfide</t>
  </si>
  <si>
    <t>Carbon Tetrachloride</t>
  </si>
  <si>
    <t>463-58-1</t>
  </si>
  <si>
    <t>Carbonyl Sulfide</t>
  </si>
  <si>
    <t>55285-14-8</t>
  </si>
  <si>
    <t>Carbosulfan</t>
  </si>
  <si>
    <t>5234-68-4</t>
  </si>
  <si>
    <t>Carboxin</t>
  </si>
  <si>
    <t>1306-38-3</t>
  </si>
  <si>
    <t>Ceric oxide</t>
  </si>
  <si>
    <t>302-17-0</t>
  </si>
  <si>
    <t>Chloral Hydrate</t>
  </si>
  <si>
    <t>133-90-4</t>
  </si>
  <si>
    <t>Chloramben</t>
  </si>
  <si>
    <t>E701235</t>
  </si>
  <si>
    <t>Chloramines, Organic</t>
  </si>
  <si>
    <t>118-75-2</t>
  </si>
  <si>
    <t>Chloranil</t>
  </si>
  <si>
    <t>5103-71-9</t>
  </si>
  <si>
    <t>Chlordane (alpha)</t>
  </si>
  <si>
    <t>G</t>
  </si>
  <si>
    <t>5103-74-2</t>
  </si>
  <si>
    <t>Chlordane (gamma)</t>
  </si>
  <si>
    <t>Chlordane (technical mixture)</t>
  </si>
  <si>
    <t>143-50-0</t>
  </si>
  <si>
    <t>Chlordecone (Kepone)</t>
  </si>
  <si>
    <t>470-90-6</t>
  </si>
  <si>
    <t>Chlorfenvinphos</t>
  </si>
  <si>
    <t>90982-32-4</t>
  </si>
  <si>
    <t>Chlorimuron, Ethyl-</t>
  </si>
  <si>
    <t>7782-50-5</t>
  </si>
  <si>
    <t>Chlorine</t>
  </si>
  <si>
    <t>10049-04-4</t>
  </si>
  <si>
    <t>Chlorine Dioxide</t>
  </si>
  <si>
    <t>Toxnet HSDB</t>
  </si>
  <si>
    <t>7758-19-2</t>
  </si>
  <si>
    <t>Chlorite (Sodium Salt)</t>
  </si>
  <si>
    <t>75-68-3</t>
  </si>
  <si>
    <t>Chloro-1,1-difluoroethane, 1-</t>
  </si>
  <si>
    <t>126-99-8</t>
  </si>
  <si>
    <t>Chloro-1,3-butadiene, 2- (Chloroprene)</t>
  </si>
  <si>
    <t>3165-93-3</t>
  </si>
  <si>
    <t>Chloro-2-methylaniline HCl, 4-</t>
  </si>
  <si>
    <t>95-69-2</t>
  </si>
  <si>
    <t>Chloro-2-methylaniline, 4-</t>
  </si>
  <si>
    <t>107-20-0</t>
  </si>
  <si>
    <t>Chloroacetaldehyde, 2-</t>
  </si>
  <si>
    <t>79-11-8</t>
  </si>
  <si>
    <t>Chloroacetic Acid</t>
  </si>
  <si>
    <t>532-27-4</t>
  </si>
  <si>
    <t>Chloroacetophenone, 2-</t>
  </si>
  <si>
    <t>Chloroaniline, p-</t>
  </si>
  <si>
    <t>98-66-8</t>
  </si>
  <si>
    <t>Chlorobenzene sulfonic acid, p-</t>
  </si>
  <si>
    <t>510-15-6</t>
  </si>
  <si>
    <t>Chlorobenzilate</t>
  </si>
  <si>
    <t>74-11-3</t>
  </si>
  <si>
    <t>Chlorobenzoic Acid, p-</t>
  </si>
  <si>
    <t>98-56-6</t>
  </si>
  <si>
    <t>Chlorobenzotrifluoride, 4-</t>
  </si>
  <si>
    <t>109-69-3</t>
  </si>
  <si>
    <t>Chlorobutane, 1-</t>
  </si>
  <si>
    <t>75-45-6</t>
  </si>
  <si>
    <t>Chlorodifluoromethane</t>
  </si>
  <si>
    <t>107-07-3</t>
  </si>
  <si>
    <t>Chloroethanol, 2-</t>
  </si>
  <si>
    <t>107-30-2</t>
  </si>
  <si>
    <t>Chloromethyl Methyl Ether</t>
  </si>
  <si>
    <t>88-73-3</t>
  </si>
  <si>
    <t>Chloronitrobenzene, o-</t>
  </si>
  <si>
    <t>100-00-5</t>
  </si>
  <si>
    <t>Chloronitrobenzene, p-</t>
  </si>
  <si>
    <t>Chlorophenol, 2-</t>
  </si>
  <si>
    <t>76-06-2</t>
  </si>
  <si>
    <t>Chloropicrin</t>
  </si>
  <si>
    <t>1897-45-6</t>
  </si>
  <si>
    <t>Chlorothalonil</t>
  </si>
  <si>
    <t>95-49-8</t>
  </si>
  <si>
    <t>Chlorotoluene, o-</t>
  </si>
  <si>
    <t>106-43-4</t>
  </si>
  <si>
    <t>Chlorotoluene, p-</t>
  </si>
  <si>
    <t>54749-90-5</t>
  </si>
  <si>
    <t>Chlorozotocin</t>
  </si>
  <si>
    <t>101-21-3</t>
  </si>
  <si>
    <t>Chlorpropham</t>
  </si>
  <si>
    <t>2921-88-2</t>
  </si>
  <si>
    <t>Chlorpyrifos</t>
  </si>
  <si>
    <t>5598-13-0</t>
  </si>
  <si>
    <t>Chlorpyrifos Methyl</t>
  </si>
  <si>
    <t>64902-72-3</t>
  </si>
  <si>
    <t>Chlorsulfuron</t>
  </si>
  <si>
    <t>1861-32-1</t>
  </si>
  <si>
    <t>Chlorthal-dimethyl</t>
  </si>
  <si>
    <t>60238-56-4</t>
  </si>
  <si>
    <t>Chlorthiophos</t>
  </si>
  <si>
    <t>Chromium(III) (Soluble Compounds)</t>
  </si>
  <si>
    <t>Chromium(III), Insoluble Salts</t>
  </si>
  <si>
    <t>Chromium(VI)</t>
  </si>
  <si>
    <t>Chromium, Total</t>
  </si>
  <si>
    <t>74115-24-5</t>
  </si>
  <si>
    <t>Clofentezine</t>
  </si>
  <si>
    <t>E649830</t>
  </si>
  <si>
    <t>Coke Oven Emissions</t>
  </si>
  <si>
    <t>108-39-4</t>
  </si>
  <si>
    <t>Cresol, m-</t>
  </si>
  <si>
    <t>95-48-7</t>
  </si>
  <si>
    <t>Cresol, o-</t>
  </si>
  <si>
    <t>106-44-5</t>
  </si>
  <si>
    <t>Cresol, p-</t>
  </si>
  <si>
    <t>59-50-7</t>
  </si>
  <si>
    <t>Cresol, p-chloro-m-</t>
  </si>
  <si>
    <t>1319-77-3</t>
  </si>
  <si>
    <t>Cresols</t>
  </si>
  <si>
    <t>123-73-9</t>
  </si>
  <si>
    <t>Crotonaldehyde, trans-</t>
  </si>
  <si>
    <t>98-82-8</t>
  </si>
  <si>
    <t>Cumene</t>
  </si>
  <si>
    <t>135-20-6</t>
  </si>
  <si>
    <t>Cupferron</t>
  </si>
  <si>
    <t>21725-46-2</t>
  </si>
  <si>
    <t>Cyanazine</t>
  </si>
  <si>
    <t>Cyanides</t>
  </si>
  <si>
    <t>592-01-8</t>
  </si>
  <si>
    <t>~Calcium Cyanide</t>
  </si>
  <si>
    <t>544-92-3</t>
  </si>
  <si>
    <t>~Copper Cyanide</t>
  </si>
  <si>
    <t>~Cyanide (CN-)</t>
  </si>
  <si>
    <t>Ma  et al 2010</t>
  </si>
  <si>
    <t>CHEM GUIDE</t>
  </si>
  <si>
    <t>460-19-5</t>
  </si>
  <si>
    <t>~Cyanogen</t>
  </si>
  <si>
    <t>506-68-3</t>
  </si>
  <si>
    <t>~Cyanogen Bromide</t>
  </si>
  <si>
    <t>506-77-4</t>
  </si>
  <si>
    <t>~Cyanogen Chloride</t>
  </si>
  <si>
    <t>74-90-8</t>
  </si>
  <si>
    <t>~Hydrogen Cyanide</t>
  </si>
  <si>
    <t>151-50-8</t>
  </si>
  <si>
    <t>~Potassium Cyanide</t>
  </si>
  <si>
    <t>506-61-6</t>
  </si>
  <si>
    <t>~Potassium Silver Cyanide</t>
  </si>
  <si>
    <t>506-64-9</t>
  </si>
  <si>
    <t>~Silver Cyanide</t>
  </si>
  <si>
    <t>143-33-9</t>
  </si>
  <si>
    <t>~Sodium Cyanide</t>
  </si>
  <si>
    <t>557-21-1</t>
  </si>
  <si>
    <t>~Zinc Cyanide</t>
  </si>
  <si>
    <t>110-82-7</t>
  </si>
  <si>
    <t>Cyclohexane</t>
  </si>
  <si>
    <t>87-84-3</t>
  </si>
  <si>
    <t>Cyclohexane, 1,2,3,4,5-pentabromo-6-chloro-</t>
  </si>
  <si>
    <t>108-94-1</t>
  </si>
  <si>
    <t>Cyclohexanone</t>
  </si>
  <si>
    <t>110-83-8</t>
  </si>
  <si>
    <t>Cyclohexene</t>
  </si>
  <si>
    <t>108-91-8</t>
  </si>
  <si>
    <t>Cyclohexylamine</t>
  </si>
  <si>
    <t>68359-37-5</t>
  </si>
  <si>
    <t>Cyfluthrin</t>
  </si>
  <si>
    <t>66215-27-8</t>
  </si>
  <si>
    <t>Cyromazine</t>
  </si>
  <si>
    <t>75-99-0</t>
  </si>
  <si>
    <t>Dalapon</t>
  </si>
  <si>
    <t>1596-84-5</t>
  </si>
  <si>
    <t>Daminozide</t>
  </si>
  <si>
    <t>1163-19-5</t>
  </si>
  <si>
    <t>Decabromodiphenyl ether, 2,2',3,3',4,4',5,5',6,6'- (BDE-209)</t>
  </si>
  <si>
    <t>IRIS Profile</t>
  </si>
  <si>
    <t>8065-48-3</t>
  </si>
  <si>
    <t>Demeton</t>
  </si>
  <si>
    <t>103-23-1</t>
  </si>
  <si>
    <t>Di(2-ethylhexyl)adipate</t>
  </si>
  <si>
    <t>2303-16-4</t>
  </si>
  <si>
    <t>Diallate</t>
  </si>
  <si>
    <t>333-41-5</t>
  </si>
  <si>
    <t>Diazinon</t>
  </si>
  <si>
    <t>Dibromo-3-chloropropane, 1,2-</t>
  </si>
  <si>
    <t>631-64-1</t>
  </si>
  <si>
    <t>Dibromoacetic acid</t>
  </si>
  <si>
    <t>108-36-1</t>
  </si>
  <si>
    <t>Dibromobenzene, 1,3-</t>
  </si>
  <si>
    <t>106-37-6</t>
  </si>
  <si>
    <t>Dibromobenzene, 1,4-</t>
  </si>
  <si>
    <t>Dibromoethane, 1,2-</t>
  </si>
  <si>
    <t>74-95-3</t>
  </si>
  <si>
    <t>Dibromomethane (Methylene Bromide)</t>
  </si>
  <si>
    <t>E1790661</t>
  </si>
  <si>
    <t>Dibutyltin Compounds</t>
  </si>
  <si>
    <t>1918-00-9</t>
  </si>
  <si>
    <t>Dicamba</t>
  </si>
  <si>
    <t>3400-09-7</t>
  </si>
  <si>
    <t>Dichloramine</t>
  </si>
  <si>
    <t>764-41-0</t>
  </si>
  <si>
    <t>Dichloro-2-butene, 1,4-</t>
  </si>
  <si>
    <t>1476-11-5</t>
  </si>
  <si>
    <t>Dichloro-2-butene, cis-1,4-</t>
  </si>
  <si>
    <t>110-57-6</t>
  </si>
  <si>
    <t>Dichloro-2-butene, trans-1,4-</t>
  </si>
  <si>
    <t>79-43-6</t>
  </si>
  <si>
    <t>Dichloroacetic Acid</t>
  </si>
  <si>
    <t>Dichlorobenzene, 1,2-</t>
  </si>
  <si>
    <t>Dichlorobenzene, 1,4-</t>
  </si>
  <si>
    <t>Dichlorobenzidine, 3,3'-</t>
  </si>
  <si>
    <t>90-98-2</t>
  </si>
  <si>
    <t>Dichlorobenzophenone, 4,4'-</t>
  </si>
  <si>
    <t>75-71-8</t>
  </si>
  <si>
    <t>Dichlorodifluoromethane</t>
  </si>
  <si>
    <t>Dichlorodiphenyldichloroethane, p,p'- (DDD)</t>
  </si>
  <si>
    <t>Dichlorodiphenyldichloroethylene, p,p'- (DDE)</t>
  </si>
  <si>
    <t>Dichlorodiphenyltrichloroethane, p,p'- (DDT)</t>
  </si>
  <si>
    <t>Dichloroethane, 1,1-</t>
  </si>
  <si>
    <t>Dichloroethane, 1,2-</t>
  </si>
  <si>
    <t>Dichloroethylene, 1,1-</t>
  </si>
  <si>
    <t>Dichloroethylene, cis-1,2-</t>
  </si>
  <si>
    <t>Dichloroethylene, trans-1,2-</t>
  </si>
  <si>
    <t>Dichlorophenol, 2,4-</t>
  </si>
  <si>
    <t>94-75-7</t>
  </si>
  <si>
    <t>Dichlorophenoxy Acetic Acid, 2,4-</t>
  </si>
  <si>
    <t>Dichloropropane, 1,2-</t>
  </si>
  <si>
    <t>142-28-9</t>
  </si>
  <si>
    <t>Dichloropropane, 1,3-</t>
  </si>
  <si>
    <t>616-23-9</t>
  </si>
  <si>
    <t>Dichloropropanol, 2,3-</t>
  </si>
  <si>
    <t>Dichloropropene, 1,3-</t>
  </si>
  <si>
    <t>62-73-7</t>
  </si>
  <si>
    <t>Dichlorvos</t>
  </si>
  <si>
    <t>141-66-2</t>
  </si>
  <si>
    <t>Dicrotophos</t>
  </si>
  <si>
    <t>77-73-6</t>
  </si>
  <si>
    <t>Dicyclopentadiene</t>
  </si>
  <si>
    <t>E17136615</t>
  </si>
  <si>
    <t>Diesel Engine Exhaust</t>
  </si>
  <si>
    <t>111-42-2</t>
  </si>
  <si>
    <t>Diethanolamine</t>
  </si>
  <si>
    <t>112-34-5</t>
  </si>
  <si>
    <t>Diethylene Glycol Monobutyl Ether</t>
  </si>
  <si>
    <t>111-90-0</t>
  </si>
  <si>
    <t>Diethylene Glycol Monoethyl Ether</t>
  </si>
  <si>
    <t>617-84-5</t>
  </si>
  <si>
    <t>Diethylformamide</t>
  </si>
  <si>
    <t>56-53-1</t>
  </si>
  <si>
    <t>Diethylstilbestrol</t>
  </si>
  <si>
    <t>43222-48-6</t>
  </si>
  <si>
    <t>Difenzoquat</t>
  </si>
  <si>
    <t>35367-38-5</t>
  </si>
  <si>
    <t>Diflubenzuron</t>
  </si>
  <si>
    <t>75-37-6</t>
  </si>
  <si>
    <t>Difluoroethane, 1,1-</t>
  </si>
  <si>
    <t>420-45-1</t>
  </si>
  <si>
    <t>Difluoropropane, 2,2-</t>
  </si>
  <si>
    <t>94-58-6</t>
  </si>
  <si>
    <t>Dihydrosafrole</t>
  </si>
  <si>
    <t>108-20-3</t>
  </si>
  <si>
    <t>Diisopropyl Ether</t>
  </si>
  <si>
    <t>1445-75-6</t>
  </si>
  <si>
    <t>Diisopropyl Methylphosphonate</t>
  </si>
  <si>
    <t>ATSDR Profile</t>
  </si>
  <si>
    <t>55290-64-7</t>
  </si>
  <si>
    <t>Dimethipin</t>
  </si>
  <si>
    <t>60-51-5</t>
  </si>
  <si>
    <t>Dimethoate</t>
  </si>
  <si>
    <t>119-90-4</t>
  </si>
  <si>
    <t>Dimethoxybenzidine, 3,3'-</t>
  </si>
  <si>
    <t>75-18-3</t>
  </si>
  <si>
    <t>Dimethyl Sulfide</t>
  </si>
  <si>
    <t>756-79-6</t>
  </si>
  <si>
    <t>Dimethyl methylphosphonate</t>
  </si>
  <si>
    <t>60-11-7</t>
  </si>
  <si>
    <t>Dimethylamino azobenzene [p-]</t>
  </si>
  <si>
    <t>21436-96-4</t>
  </si>
  <si>
    <t>Dimethylaniline HCl, 2,4-</t>
  </si>
  <si>
    <t>95-68-1</t>
  </si>
  <si>
    <t>Dimethylaniline, 2,4-</t>
  </si>
  <si>
    <t>121-69-7</t>
  </si>
  <si>
    <t>Dimethylaniline, N,N-</t>
  </si>
  <si>
    <t>119-93-7</t>
  </si>
  <si>
    <t>Dimethylbenzidine, 3,3'-</t>
  </si>
  <si>
    <t>68-12-2</t>
  </si>
  <si>
    <t>Dimethylformamide</t>
  </si>
  <si>
    <t>57-14-7</t>
  </si>
  <si>
    <t>Dimethylhydrazine, 1,1-</t>
  </si>
  <si>
    <t>540-73-8</t>
  </si>
  <si>
    <t>Dimethylhydrazine, 1,2-</t>
  </si>
  <si>
    <t>Dimethylphenol, 2,4-</t>
  </si>
  <si>
    <t>576-26-1</t>
  </si>
  <si>
    <t>Dimethylphenol, 2,6-</t>
  </si>
  <si>
    <t>95-65-8</t>
  </si>
  <si>
    <t>Dimethylphenol, 3,4-</t>
  </si>
  <si>
    <t>513-37-1</t>
  </si>
  <si>
    <t>Dimethylvinylchloride</t>
  </si>
  <si>
    <t>534-52-1</t>
  </si>
  <si>
    <t>Dinitro-o-cresol, 4,6-</t>
  </si>
  <si>
    <t>131-89-5</t>
  </si>
  <si>
    <t>Dinitro-o-cyclohexyl Phenol, 4,6-</t>
  </si>
  <si>
    <t>618-87-1</t>
  </si>
  <si>
    <t>Dinitroaniline, 3,5-</t>
  </si>
  <si>
    <t>528-29-0</t>
  </si>
  <si>
    <t>Dinitrobenzene, 1,2-</t>
  </si>
  <si>
    <t>99-65-0</t>
  </si>
  <si>
    <t>Dinitrobenzene, 1,3-</t>
  </si>
  <si>
    <t>100-25-4</t>
  </si>
  <si>
    <t>Dinitrobenzene, 1,4-</t>
  </si>
  <si>
    <t>Dinitrophenol, 2,4-</t>
  </si>
  <si>
    <t>E1615210</t>
  </si>
  <si>
    <t>Dinitrotoluene Mixture, 2,4/2,6-</t>
  </si>
  <si>
    <t>Dinitrotoluene, 2,4-</t>
  </si>
  <si>
    <t>606-20-2</t>
  </si>
  <si>
    <t>Dinitrotoluene, 2,6-</t>
  </si>
  <si>
    <t>35572-78-2</t>
  </si>
  <si>
    <t>Dinitrotoluene, 2-Amino-4,6-</t>
  </si>
  <si>
    <t>19406-51-0</t>
  </si>
  <si>
    <t>Dinitrotoluene, 4-Amino-2,6-</t>
  </si>
  <si>
    <t>25321-14-6</t>
  </si>
  <si>
    <t>Dinitrotoluene, Technical grade</t>
  </si>
  <si>
    <t>88-85-7</t>
  </si>
  <si>
    <t>Dinoseb</t>
  </si>
  <si>
    <t>Dioxane, 1,4-</t>
  </si>
  <si>
    <t>Dioxins</t>
  </si>
  <si>
    <t>34465-46-8</t>
  </si>
  <si>
    <t>~Hexachlorodibenzo-p-dioxin, Mixture</t>
  </si>
  <si>
    <t>~TCDD, 2,3,7,8-</t>
  </si>
  <si>
    <t>957-51-7</t>
  </si>
  <si>
    <t>Diphenamid</t>
  </si>
  <si>
    <t>101-84-8</t>
  </si>
  <si>
    <t>Diphenyl Ether</t>
  </si>
  <si>
    <t>127-63-9</t>
  </si>
  <si>
    <t>Diphenyl Sulfone</t>
  </si>
  <si>
    <t>122-39-4</t>
  </si>
  <si>
    <t>Diphenylamine</t>
  </si>
  <si>
    <t>122-66-7</t>
  </si>
  <si>
    <t>Diphenylhydrazine, 1,2-</t>
  </si>
  <si>
    <t>2764-72-9</t>
  </si>
  <si>
    <t>Diquat</t>
  </si>
  <si>
    <t>1937-37-7</t>
  </si>
  <si>
    <t>Direct Black 38</t>
  </si>
  <si>
    <t>2602-46-2</t>
  </si>
  <si>
    <t>Direct Blue 6</t>
  </si>
  <si>
    <t>16071-86-6</t>
  </si>
  <si>
    <t>Direct Brown 95</t>
  </si>
  <si>
    <t>298-04-4</t>
  </si>
  <si>
    <t>Disulfoton</t>
  </si>
  <si>
    <t>505-29-3</t>
  </si>
  <si>
    <t>Dithiane, 1,4-</t>
  </si>
  <si>
    <t>330-54-1</t>
  </si>
  <si>
    <t>Diuron</t>
  </si>
  <si>
    <t>2439-10-3</t>
  </si>
  <si>
    <t>Dodine</t>
  </si>
  <si>
    <t>759-94-4</t>
  </si>
  <si>
    <t>EPTC</t>
  </si>
  <si>
    <t>1031-07-8</t>
  </si>
  <si>
    <t>Endosulfan Sulfate</t>
  </si>
  <si>
    <t>145-73-3</t>
  </si>
  <si>
    <t>Endothall</t>
  </si>
  <si>
    <t>106-89-8</t>
  </si>
  <si>
    <t>Epichlorohydrin</t>
  </si>
  <si>
    <t>106-88-7</t>
  </si>
  <si>
    <t>Epoxybutane, 1,2-</t>
  </si>
  <si>
    <t>111-77-3</t>
  </si>
  <si>
    <t>Ethanol, 2-(2-methoxyethoxy)-</t>
  </si>
  <si>
    <t>16672-87-0</t>
  </si>
  <si>
    <t>Ethephon</t>
  </si>
  <si>
    <t>563-12-2</t>
  </si>
  <si>
    <t>Ethion</t>
  </si>
  <si>
    <t>111-15-9</t>
  </si>
  <si>
    <t>Ethoxyethanol Acetate, 2-</t>
  </si>
  <si>
    <t>110-80-5</t>
  </si>
  <si>
    <t>Ethoxyethanol, 2-</t>
  </si>
  <si>
    <t>141-78-6</t>
  </si>
  <si>
    <t>Ethyl Acetate</t>
  </si>
  <si>
    <t>140-88-5</t>
  </si>
  <si>
    <t>Ethyl Acrylate</t>
  </si>
  <si>
    <t>Ethyl Chloride (Chloroethane)</t>
  </si>
  <si>
    <t>60-29-7</t>
  </si>
  <si>
    <t>Ethyl Ether</t>
  </si>
  <si>
    <t>97-63-2</t>
  </si>
  <si>
    <t>Ethyl Methacrylate</t>
  </si>
  <si>
    <t>637-92-3</t>
  </si>
  <si>
    <t>Ethyl Tertiary Butyl Ether (ETBE)</t>
  </si>
  <si>
    <t>2104-64-5</t>
  </si>
  <si>
    <t>Ethyl-p-nitrophenyl Phosphonate</t>
  </si>
  <si>
    <t>109-78-4</t>
  </si>
  <si>
    <t>Ethylene Cyanohydrin</t>
  </si>
  <si>
    <t>107-15-3</t>
  </si>
  <si>
    <t>Ethylene Diamine</t>
  </si>
  <si>
    <t>107-21-1</t>
  </si>
  <si>
    <t>Ethylene Glycol</t>
  </si>
  <si>
    <t>111-76-2</t>
  </si>
  <si>
    <t>Ethylene Glycol Monobutyl Ether</t>
  </si>
  <si>
    <t>75-21-8</t>
  </si>
  <si>
    <t>Ethylene Oxide</t>
  </si>
  <si>
    <t>96-45-7</t>
  </si>
  <si>
    <t>Ethylene Thiourea</t>
  </si>
  <si>
    <t>151-56-4</t>
  </si>
  <si>
    <t>Ethyleneimine</t>
  </si>
  <si>
    <t>84-72-0</t>
  </si>
  <si>
    <t>Ethylphthalyl Ethyl Glycolate</t>
  </si>
  <si>
    <t>22224-92-6</t>
  </si>
  <si>
    <t>Fenamiphos</t>
  </si>
  <si>
    <t>39515-41-8</t>
  </si>
  <si>
    <t>Fenpropathrin</t>
  </si>
  <si>
    <t>51630-58-1</t>
  </si>
  <si>
    <t>Fenvalerate</t>
  </si>
  <si>
    <t>2164-17-2</t>
  </si>
  <si>
    <t>Fluometuron</t>
  </si>
  <si>
    <t>16984-48-8</t>
  </si>
  <si>
    <t>Fluoride</t>
  </si>
  <si>
    <t>7782-41-4</t>
  </si>
  <si>
    <t>Fluorine (Soluble Fluoride)</t>
  </si>
  <si>
    <t>59756-60-4</t>
  </si>
  <si>
    <t>Fluridone</t>
  </si>
  <si>
    <t>56425-91-3</t>
  </si>
  <si>
    <t>Flurprimidol</t>
  </si>
  <si>
    <t>85509-19-9</t>
  </si>
  <si>
    <t>Flusilazole</t>
  </si>
  <si>
    <t>66332-96-5</t>
  </si>
  <si>
    <t>Flutolanil</t>
  </si>
  <si>
    <t>69409-94-5</t>
  </si>
  <si>
    <t>Fluvalinate</t>
  </si>
  <si>
    <t>133-07-3</t>
  </si>
  <si>
    <t>Folpet</t>
  </si>
  <si>
    <t>72178-02-0</t>
  </si>
  <si>
    <t>Fomesafen</t>
  </si>
  <si>
    <t>944-22-9</t>
  </si>
  <si>
    <t>Fonofos</t>
  </si>
  <si>
    <t>50-00-0</t>
  </si>
  <si>
    <t>Formaldehyde</t>
  </si>
  <si>
    <t>64-18-6</t>
  </si>
  <si>
    <t>Formic Acid</t>
  </si>
  <si>
    <t>39148-24-8</t>
  </si>
  <si>
    <t>Fosetyl-AL</t>
  </si>
  <si>
    <t>Furans</t>
  </si>
  <si>
    <t>132-64-9</t>
  </si>
  <si>
    <t>~Dibenzofuran</t>
  </si>
  <si>
    <t>110-00-9</t>
  </si>
  <si>
    <t>~Furan</t>
  </si>
  <si>
    <t>109-99-9</t>
  </si>
  <si>
    <t>~Tetrahydrofuran</t>
  </si>
  <si>
    <t>67-45-8</t>
  </si>
  <si>
    <t>Furazolidone</t>
  </si>
  <si>
    <t>98-01-1</t>
  </si>
  <si>
    <t>Furfural</t>
  </si>
  <si>
    <t>531-82-8</t>
  </si>
  <si>
    <t>Furium</t>
  </si>
  <si>
    <t>60568-05-0</t>
  </si>
  <si>
    <t>Furmecyclox</t>
  </si>
  <si>
    <t>77182-82-2</t>
  </si>
  <si>
    <t>Glufosinate, Ammonium</t>
  </si>
  <si>
    <t>111-30-8</t>
  </si>
  <si>
    <t>Glutaraldehyde</t>
  </si>
  <si>
    <t>765-34-4</t>
  </si>
  <si>
    <t>Glycidaldehyde</t>
  </si>
  <si>
    <t>1071-83-6</t>
  </si>
  <si>
    <t>Glyphosate</t>
  </si>
  <si>
    <t>USDA ARS</t>
  </si>
  <si>
    <t>113-00-8</t>
  </si>
  <si>
    <t>Guanidine</t>
  </si>
  <si>
    <t>50-01-1</t>
  </si>
  <si>
    <t>Guanidine Chloride</t>
  </si>
  <si>
    <t>506-93-4</t>
  </si>
  <si>
    <t>Guanidine Nitrate</t>
  </si>
  <si>
    <t>69806-40-2</t>
  </si>
  <si>
    <t>Haloxyfop, Methyl</t>
  </si>
  <si>
    <t>Heptachlor Epoxide</t>
  </si>
  <si>
    <t>111-71-7</t>
  </si>
  <si>
    <t>Heptanal, n-</t>
  </si>
  <si>
    <t>142-82-5</t>
  </si>
  <si>
    <t>Heptane, N-</t>
  </si>
  <si>
    <t>87-82-1</t>
  </si>
  <si>
    <t>Hexabromobenzene</t>
  </si>
  <si>
    <t>68631-49-2</t>
  </si>
  <si>
    <t>Hexabromodiphenyl ether, 2,2',4,4',5,5'- (BDE-153)</t>
  </si>
  <si>
    <t>319-84-6</t>
  </si>
  <si>
    <t>Hexachlorocyclohexane, Alpha-</t>
  </si>
  <si>
    <t>319-85-7</t>
  </si>
  <si>
    <t>Hexachlorocyclohexane, Beta-</t>
  </si>
  <si>
    <t>319-86-8</t>
  </si>
  <si>
    <t>Hexachlorocyclohexane, Delta-</t>
  </si>
  <si>
    <t>Hexachlorocyclohexane, Gamma- (Lindane)</t>
  </si>
  <si>
    <t>608-73-1</t>
  </si>
  <si>
    <t>Hexachlorocyclohexane, Technical</t>
  </si>
  <si>
    <t>77-47-4</t>
  </si>
  <si>
    <t>Hexachlorocyclopentadiene</t>
  </si>
  <si>
    <t>70-30-4</t>
  </si>
  <si>
    <t>Hexachlorophene</t>
  </si>
  <si>
    <t>121-82-4</t>
  </si>
  <si>
    <t>Hexahydro-1,3,5-trinitro-1,3,5-triazine (RDX)</t>
  </si>
  <si>
    <t>822-06-0</t>
  </si>
  <si>
    <t>Hexamethylene Diisocyanate, 1,6-</t>
  </si>
  <si>
    <t>4035-89-6</t>
  </si>
  <si>
    <t>Hexamethylene diisocyanate biuret</t>
  </si>
  <si>
    <t>3779-63-3</t>
  </si>
  <si>
    <t>Hexamethylene diisocyanate isocyanurate</t>
  </si>
  <si>
    <t>680-31-9</t>
  </si>
  <si>
    <t>Hexamethylphosphoramide</t>
  </si>
  <si>
    <t>E5241997</t>
  </si>
  <si>
    <t>Hexane, Commercial</t>
  </si>
  <si>
    <t>110-54-3</t>
  </si>
  <si>
    <t>Hexane, N-</t>
  </si>
  <si>
    <t>124-04-9</t>
  </si>
  <si>
    <t>Hexanedioic Acid</t>
  </si>
  <si>
    <t>104-76-7</t>
  </si>
  <si>
    <t>Hexanol, 1-,2-ethyl- (2-Ethyl-1-hexanol)</t>
  </si>
  <si>
    <t>591-78-6</t>
  </si>
  <si>
    <t>Hexanone, 2-</t>
  </si>
  <si>
    <t>51235-04-2</t>
  </si>
  <si>
    <t>Hexazinone</t>
  </si>
  <si>
    <t>78587-05-0</t>
  </si>
  <si>
    <t>Hexythiazox</t>
  </si>
  <si>
    <t>67485-29-4</t>
  </si>
  <si>
    <t>Hydramethylnon</t>
  </si>
  <si>
    <t>302-01-2</t>
  </si>
  <si>
    <t>Hydrazine</t>
  </si>
  <si>
    <t>10034-93-2</t>
  </si>
  <si>
    <t>Hydrazine Sulfate</t>
  </si>
  <si>
    <t>7647-01-0</t>
  </si>
  <si>
    <t>Hydrogen Chloride</t>
  </si>
  <si>
    <t>HSDB</t>
  </si>
  <si>
    <t>7664-39-3</t>
  </si>
  <si>
    <t>Hydrogen Fluoride</t>
  </si>
  <si>
    <t>7783-06-4</t>
  </si>
  <si>
    <t>Hydrogen Sulfide</t>
  </si>
  <si>
    <t>PhysProp</t>
  </si>
  <si>
    <t>123-31-9</t>
  </si>
  <si>
    <t>Hydroquinone</t>
  </si>
  <si>
    <t>35554-44-0</t>
  </si>
  <si>
    <t>Imazalil</t>
  </si>
  <si>
    <t>81335-37-7</t>
  </si>
  <si>
    <t>Imazaquin</t>
  </si>
  <si>
    <t>81335-77-5</t>
  </si>
  <si>
    <t>Imazethapyr</t>
  </si>
  <si>
    <t>7553-56-2</t>
  </si>
  <si>
    <t>Iodine</t>
  </si>
  <si>
    <t>36734-19-7</t>
  </si>
  <si>
    <t>Iprodione</t>
  </si>
  <si>
    <t>7439-89-6</t>
  </si>
  <si>
    <t>Iron</t>
  </si>
  <si>
    <t>78-83-1</t>
  </si>
  <si>
    <t>Isobutyl Alcohol</t>
  </si>
  <si>
    <t>78-59-1</t>
  </si>
  <si>
    <t>Isophorone</t>
  </si>
  <si>
    <t>33820-53-0</t>
  </si>
  <si>
    <t>Isopropalin</t>
  </si>
  <si>
    <t>67-63-0</t>
  </si>
  <si>
    <t>Isopropanol</t>
  </si>
  <si>
    <t>1832-54-8</t>
  </si>
  <si>
    <t>Isopropyl Methyl Phosphonic Acid</t>
  </si>
  <si>
    <t>99-87-6</t>
  </si>
  <si>
    <t>Isopropyltoluene, p-</t>
  </si>
  <si>
    <t>82558-50-7</t>
  </si>
  <si>
    <t>Isoxaben</t>
  </si>
  <si>
    <t>E1737665</t>
  </si>
  <si>
    <t>Jet propulsion fuel 7 (JP-7)</t>
  </si>
  <si>
    <t>EPA HCD</t>
  </si>
  <si>
    <t>77501-63-4</t>
  </si>
  <si>
    <t>Lactofen</t>
  </si>
  <si>
    <t>78-97-7</t>
  </si>
  <si>
    <t>Lactonitrile</t>
  </si>
  <si>
    <t>7439-91-0</t>
  </si>
  <si>
    <t>Lanthanum</t>
  </si>
  <si>
    <t>100587-90-4</t>
  </si>
  <si>
    <t>Lanthanum Acetate Hydrate</t>
  </si>
  <si>
    <t>10025-84-0</t>
  </si>
  <si>
    <t>Lanthanum Chloride Heptahydrate</t>
  </si>
  <si>
    <t>10099-58-8</t>
  </si>
  <si>
    <t>Lanthanum Chloride, Anhydrous</t>
  </si>
  <si>
    <t>10277-43-7</t>
  </si>
  <si>
    <t>Lanthanum Nitrate Hexahydrate</t>
  </si>
  <si>
    <t>Lead Compounds</t>
  </si>
  <si>
    <t>7446-27-7</t>
  </si>
  <si>
    <t>~Lead Phosphate</t>
  </si>
  <si>
    <t>301-04-2</t>
  </si>
  <si>
    <t>~Lead acetate</t>
  </si>
  <si>
    <t>~Lead and Compounds</t>
  </si>
  <si>
    <t>~Lead and Compounds (with other sources of lead present, see Guidance)</t>
  </si>
  <si>
    <t>1335-32-6</t>
  </si>
  <si>
    <t>~Lead subacetate</t>
  </si>
  <si>
    <t>78-00-2</t>
  </si>
  <si>
    <t>~Tetraethyl Lead</t>
  </si>
  <si>
    <t>541-25-3</t>
  </si>
  <si>
    <t>Lewisite</t>
  </si>
  <si>
    <t>330-55-2</t>
  </si>
  <si>
    <t>Linuron</t>
  </si>
  <si>
    <t>7439-93-2</t>
  </si>
  <si>
    <t>Lithium</t>
  </si>
  <si>
    <t>94-74-6</t>
  </si>
  <si>
    <t>MCPA</t>
  </si>
  <si>
    <t>94-81-5</t>
  </si>
  <si>
    <t>MCPB</t>
  </si>
  <si>
    <t>93-65-2</t>
  </si>
  <si>
    <t>MCPP</t>
  </si>
  <si>
    <t>121-75-5</t>
  </si>
  <si>
    <t>Malathion</t>
  </si>
  <si>
    <t>108-31-6</t>
  </si>
  <si>
    <t>Maleic Anhydride</t>
  </si>
  <si>
    <t>123-33-1</t>
  </si>
  <si>
    <t>Maleic Hydrazide</t>
  </si>
  <si>
    <t>109-77-3</t>
  </si>
  <si>
    <t>Malononitrile</t>
  </si>
  <si>
    <t>8018-01-7</t>
  </si>
  <si>
    <t>Mancozeb</t>
  </si>
  <si>
    <t>12427-38-2</t>
  </si>
  <si>
    <t>Maneb</t>
  </si>
  <si>
    <t>7439-96-5</t>
  </si>
  <si>
    <t>Manganese (Diet)</t>
  </si>
  <si>
    <t>Manganese (Non-diet)</t>
  </si>
  <si>
    <t>950-10-7</t>
  </si>
  <si>
    <t>Mephosfolan</t>
  </si>
  <si>
    <t>24307-26-4</t>
  </si>
  <si>
    <t>Mepiquat Chloride</t>
  </si>
  <si>
    <t>149-30-4</t>
  </si>
  <si>
    <t>Mercaptobenzothiazole, 2-</t>
  </si>
  <si>
    <t>Mercury Compounds</t>
  </si>
  <si>
    <t>7487-94-7</t>
  </si>
  <si>
    <t>~Mercuric Chloride (and other Mercury salts)</t>
  </si>
  <si>
    <t>~Mercury (elemental)</t>
  </si>
  <si>
    <t>PHYSPROP VP/S</t>
  </si>
  <si>
    <t>~Methyl Mercury</t>
  </si>
  <si>
    <t>ChemID</t>
  </si>
  <si>
    <t>EPA Study</t>
  </si>
  <si>
    <t>62-38-4</t>
  </si>
  <si>
    <t>~Phenylmercuric Acetate</t>
  </si>
  <si>
    <t>150-50-5</t>
  </si>
  <si>
    <t>Merphos</t>
  </si>
  <si>
    <t>57837-19-1</t>
  </si>
  <si>
    <t>Metalaxyl</t>
  </si>
  <si>
    <t>126-98-7</t>
  </si>
  <si>
    <t>Methacrylonitrile</t>
  </si>
  <si>
    <t>10265-92-6</t>
  </si>
  <si>
    <t>Methamidophos</t>
  </si>
  <si>
    <t>67-56-1</t>
  </si>
  <si>
    <t>Methanol</t>
  </si>
  <si>
    <t>950-37-8</t>
  </si>
  <si>
    <t>Methidathion</t>
  </si>
  <si>
    <t>16752-77-5</t>
  </si>
  <si>
    <t>Methomyl</t>
  </si>
  <si>
    <t>99-59-2</t>
  </si>
  <si>
    <t>Methoxy-5-nitroaniline, 2-</t>
  </si>
  <si>
    <t>110-49-6</t>
  </si>
  <si>
    <t>Methoxyethanol Acetate, 2-</t>
  </si>
  <si>
    <t>109-86-4</t>
  </si>
  <si>
    <t>Methoxyethanol, 2-</t>
  </si>
  <si>
    <t>79-20-9</t>
  </si>
  <si>
    <t>Methyl Acetate</t>
  </si>
  <si>
    <t>96-33-3</t>
  </si>
  <si>
    <t>Methyl Acrylate</t>
  </si>
  <si>
    <t>Methyl Ethyl Ketone (2-Butanone)</t>
  </si>
  <si>
    <t>60-34-4</t>
  </si>
  <si>
    <t>Methyl Hydrazine</t>
  </si>
  <si>
    <t>Methyl Isobutyl Ketone (4-methyl-2-pentanone)</t>
  </si>
  <si>
    <t>624-83-9</t>
  </si>
  <si>
    <t>Methyl Isocyanate</t>
  </si>
  <si>
    <t>80-62-6</t>
  </si>
  <si>
    <t>Methyl Methacrylate</t>
  </si>
  <si>
    <t>298-00-0</t>
  </si>
  <si>
    <t>Methyl Parathion</t>
  </si>
  <si>
    <t>993-13-5</t>
  </si>
  <si>
    <t>Methyl Phosphonic Acid</t>
  </si>
  <si>
    <t>25013-15-4</t>
  </si>
  <si>
    <t>Methyl Styrene (Mixed Isomers)</t>
  </si>
  <si>
    <t>66-27-3</t>
  </si>
  <si>
    <t>Methyl methanesulfonate</t>
  </si>
  <si>
    <t>Methyl tert-Butyl Ether (MTBE)</t>
  </si>
  <si>
    <t>615-45-2</t>
  </si>
  <si>
    <t>Methyl-1,4-benzenediamine dihydrochloride, 2-</t>
  </si>
  <si>
    <t>108-11-2</t>
  </si>
  <si>
    <t>Methyl-2-Pentanol, 4-</t>
  </si>
  <si>
    <t>99-55-8</t>
  </si>
  <si>
    <t>Methyl-5-Nitroaniline, 2-</t>
  </si>
  <si>
    <t>70-25-7</t>
  </si>
  <si>
    <t>Methyl-N-nitro-N-nitrosoguanidine, N-</t>
  </si>
  <si>
    <t>636-21-5</t>
  </si>
  <si>
    <t>Methylaniline Hydrochloride, 2-</t>
  </si>
  <si>
    <t>124-58-3</t>
  </si>
  <si>
    <t>Methylarsonic acid</t>
  </si>
  <si>
    <t>74612-12-7</t>
  </si>
  <si>
    <t>Methylbenzene,1-4-diamine monohydrochloride, 2-</t>
  </si>
  <si>
    <t>615-50-9</t>
  </si>
  <si>
    <t>Methylbenzene-1,4-diamine sulfate, 2-</t>
  </si>
  <si>
    <t>ChemicalBook</t>
  </si>
  <si>
    <t>56-49-5</t>
  </si>
  <si>
    <t>Methylcholanthrene, 3-</t>
  </si>
  <si>
    <t>108-87-2</t>
  </si>
  <si>
    <t>Methylcyclohexane</t>
  </si>
  <si>
    <t>Methylene Chloride</t>
  </si>
  <si>
    <t>101-14-4</t>
  </si>
  <si>
    <t>Methylene-bis(2-chloroaniline), 4,4'-</t>
  </si>
  <si>
    <t>101-61-1</t>
  </si>
  <si>
    <t>Methylene-bis(N,N-dimethyl) Aniline, 4,4'-</t>
  </si>
  <si>
    <t>101-77-9</t>
  </si>
  <si>
    <t>Methylenebisbenzenamine, 4,4'-</t>
  </si>
  <si>
    <t>101-68-8</t>
  </si>
  <si>
    <t>Methylenediphenyl Diisocyanate</t>
  </si>
  <si>
    <t>98-83-9</t>
  </si>
  <si>
    <t>Methylstyrene, Alpha-</t>
  </si>
  <si>
    <t>51218-45-2</t>
  </si>
  <si>
    <t>Metolachlor</t>
  </si>
  <si>
    <t>21087-64-9</t>
  </si>
  <si>
    <t>Metribuzin</t>
  </si>
  <si>
    <t>74223-64-6</t>
  </si>
  <si>
    <t>Metsulfuron-methyl</t>
  </si>
  <si>
    <t>E1790669</t>
  </si>
  <si>
    <t>Midrange Aliphatic Hydrocarbon Streams</t>
  </si>
  <si>
    <t>8012-95-1</t>
  </si>
  <si>
    <t>Mineral oils</t>
  </si>
  <si>
    <t>2385-85-5</t>
  </si>
  <si>
    <t>Mirex</t>
  </si>
  <si>
    <t>2212-67-1</t>
  </si>
  <si>
    <t>Molinate</t>
  </si>
  <si>
    <t>10599-90-3</t>
  </si>
  <si>
    <t>Monochloramine</t>
  </si>
  <si>
    <t>100-61-8</t>
  </si>
  <si>
    <t>Monomethylaniline</t>
  </si>
  <si>
    <t>88671-89-0</t>
  </si>
  <si>
    <t>Myclobutanil</t>
  </si>
  <si>
    <t>74-31-7</t>
  </si>
  <si>
    <t>N,N'-Diphenyl-1,4-benzenediamine</t>
  </si>
  <si>
    <t>300-76-5</t>
  </si>
  <si>
    <t>Naled</t>
  </si>
  <si>
    <t>64742-95-6</t>
  </si>
  <si>
    <t>Naphtha, High Flash Aromatic (HFAN)</t>
  </si>
  <si>
    <t>91-59-8</t>
  </si>
  <si>
    <t>Naphthylamine, 2-</t>
  </si>
  <si>
    <t>15299-99-7</t>
  </si>
  <si>
    <t>Napropamide</t>
  </si>
  <si>
    <t>373-02-4</t>
  </si>
  <si>
    <t>Nickel Acetate</t>
  </si>
  <si>
    <t>3333-67-3</t>
  </si>
  <si>
    <t>Nickel Carbonate</t>
  </si>
  <si>
    <t>13463-39-3</t>
  </si>
  <si>
    <t>Nickel Carbonyl</t>
  </si>
  <si>
    <t>Matheson MSDS</t>
  </si>
  <si>
    <t>12054-48-7</t>
  </si>
  <si>
    <t>Nickel Hydroxide</t>
  </si>
  <si>
    <t>WebBook</t>
  </si>
  <si>
    <t>1313-99-1</t>
  </si>
  <si>
    <t>Nickel Oxide</t>
  </si>
  <si>
    <t>E715532</t>
  </si>
  <si>
    <t>Nickel Refinery Dust</t>
  </si>
  <si>
    <t>Nickel Soluble Salts</t>
  </si>
  <si>
    <t>12035-72-2</t>
  </si>
  <si>
    <t>Nickel Subsulfide</t>
  </si>
  <si>
    <t>1271-28-9</t>
  </si>
  <si>
    <t>Nickelocene</t>
  </si>
  <si>
    <t>14797-55-8</t>
  </si>
  <si>
    <t>Nitrate (measured as nitrogen)</t>
  </si>
  <si>
    <t>E701177</t>
  </si>
  <si>
    <t>Nitrate + Nitrite (measured as nitrogen)</t>
  </si>
  <si>
    <t>14797-65-0</t>
  </si>
  <si>
    <t>Nitrite (measured as nitrogen)</t>
  </si>
  <si>
    <t>88-74-4</t>
  </si>
  <si>
    <t>Nitroaniline, 2-</t>
  </si>
  <si>
    <t>100-01-6</t>
  </si>
  <si>
    <t>Nitroaniline, 4-</t>
  </si>
  <si>
    <t>98-95-3</t>
  </si>
  <si>
    <t>Nitrobenzene</t>
  </si>
  <si>
    <t>9004-70-0</t>
  </si>
  <si>
    <t>Nitrocellulose</t>
  </si>
  <si>
    <t>67-20-9</t>
  </si>
  <si>
    <t>Nitrofurantoin</t>
  </si>
  <si>
    <t>59-87-0</t>
  </si>
  <si>
    <t>Nitrofurazone</t>
  </si>
  <si>
    <t>55-63-0</t>
  </si>
  <si>
    <t>Nitroglycerin</t>
  </si>
  <si>
    <t>556-88-7</t>
  </si>
  <si>
    <t>Nitroguanidine</t>
  </si>
  <si>
    <t>75-52-5</t>
  </si>
  <si>
    <t>Nitromethane</t>
  </si>
  <si>
    <t>79-46-9</t>
  </si>
  <si>
    <t>Nitropropane, 2-</t>
  </si>
  <si>
    <t>759-73-9</t>
  </si>
  <si>
    <t>Nitroso-N-ethylurea, N-</t>
  </si>
  <si>
    <t>684-93-5</t>
  </si>
  <si>
    <t>Nitroso-N-methylurea, N-</t>
  </si>
  <si>
    <t>924-16-3</t>
  </si>
  <si>
    <t>Nitrosodibutylamine, N-</t>
  </si>
  <si>
    <t>1116-54-7</t>
  </si>
  <si>
    <t>Nitrosodiethanolamine, N-</t>
  </si>
  <si>
    <t>55-18-5</t>
  </si>
  <si>
    <t>Nitrosodiethylamine, N-</t>
  </si>
  <si>
    <t>62-75-9</t>
  </si>
  <si>
    <t>Nitrosodimethylamine, N-</t>
  </si>
  <si>
    <t>86-30-6</t>
  </si>
  <si>
    <t>Nitrosodiphenylamine, N-</t>
  </si>
  <si>
    <t>621-64-7</t>
  </si>
  <si>
    <t>Nitrosodipropylamine, N-</t>
  </si>
  <si>
    <t>10595-95-6</t>
  </si>
  <si>
    <t>Nitrosomethylethylamine, N-</t>
  </si>
  <si>
    <t>59-89-2</t>
  </si>
  <si>
    <t>Nitrosomorpholine [N-]</t>
  </si>
  <si>
    <t>100-75-4</t>
  </si>
  <si>
    <t>Nitrosopiperidine [N-]</t>
  </si>
  <si>
    <t>930-55-2</t>
  </si>
  <si>
    <t>Nitrosopyrrolidine, N-</t>
  </si>
  <si>
    <t>99-08-1</t>
  </si>
  <si>
    <t>Nitrotoluene, m-</t>
  </si>
  <si>
    <t>88-72-2</t>
  </si>
  <si>
    <t>Nitrotoluene, o-</t>
  </si>
  <si>
    <t>99-99-0</t>
  </si>
  <si>
    <t>Nitrotoluene, p-</t>
  </si>
  <si>
    <t>111-84-2</t>
  </si>
  <si>
    <t>Nonane, n-</t>
  </si>
  <si>
    <t>27314-13-2</t>
  </si>
  <si>
    <t>Norflurazon</t>
  </si>
  <si>
    <t>32536-52-0</t>
  </si>
  <si>
    <t>Octabromodiphenyl Ether</t>
  </si>
  <si>
    <t>2691-41-0</t>
  </si>
  <si>
    <t>Octahydro-1,3,5,7-tetranitro-1,3,5,7-tetrazocine (HMX)</t>
  </si>
  <si>
    <t>152-16-9</t>
  </si>
  <si>
    <t>Octamethylpyrophosphoramide</t>
  </si>
  <si>
    <t>19044-88-3</t>
  </si>
  <si>
    <t>Oryzalin</t>
  </si>
  <si>
    <t>19666-30-9</t>
  </si>
  <si>
    <t>Oxadiazon</t>
  </si>
  <si>
    <t>23135-22-0</t>
  </si>
  <si>
    <t>Oxamyl</t>
  </si>
  <si>
    <t>42874-03-3</t>
  </si>
  <si>
    <t>Oxyfluorfen</t>
  </si>
  <si>
    <t>76738-62-0</t>
  </si>
  <si>
    <t>Paclobutrazol</t>
  </si>
  <si>
    <t>1910-42-5</t>
  </si>
  <si>
    <t>Paraquat Dichloride</t>
  </si>
  <si>
    <t>56-38-2</t>
  </si>
  <si>
    <t>Parathion</t>
  </si>
  <si>
    <t>1114-71-2</t>
  </si>
  <si>
    <t>Pebulate</t>
  </si>
  <si>
    <t>40487-42-1</t>
  </si>
  <si>
    <t>Pendimethalin</t>
  </si>
  <si>
    <t>32534-81-9</t>
  </si>
  <si>
    <t>Pentabromodiphenyl Ether</t>
  </si>
  <si>
    <t>60348-60-9</t>
  </si>
  <si>
    <t>Pentabromodiphenyl ether, 2,2',4,4',5- (BDE-99)</t>
  </si>
  <si>
    <t>608-93-5</t>
  </si>
  <si>
    <t>Pentachlorobenzene</t>
  </si>
  <si>
    <t>76-01-7</t>
  </si>
  <si>
    <t>Pentachloroethane</t>
  </si>
  <si>
    <t>82-68-8</t>
  </si>
  <si>
    <t>Pentachloronitrobenzene</t>
  </si>
  <si>
    <t>78-11-5</t>
  </si>
  <si>
    <t>Pentaerythritol tetranitrate (PETN)</t>
  </si>
  <si>
    <t>10159-46-3</t>
  </si>
  <si>
    <t>Pentamethylphosphoramide (PMPA)</t>
  </si>
  <si>
    <t>Comp Tox</t>
  </si>
  <si>
    <t>109-66-0</t>
  </si>
  <si>
    <t>Pentane, n-</t>
  </si>
  <si>
    <t>Per- and Polyfluoroalkyl Substances (PFAS)</t>
  </si>
  <si>
    <t>62037-80-3</t>
  </si>
  <si>
    <t>~Ammonium perfluoro-2-methyl-3-oxahexanoate</t>
  </si>
  <si>
    <t>EPA OW</t>
  </si>
  <si>
    <t>ECHACHEM</t>
  </si>
  <si>
    <t>CompTox</t>
  </si>
  <si>
    <t>D</t>
  </si>
  <si>
    <t>10495-86-0</t>
  </si>
  <si>
    <t>~Ammonium perfluorobutanoate</t>
  </si>
  <si>
    <t>3M surrogate</t>
  </si>
  <si>
    <t>Guelfo and Higgins</t>
  </si>
  <si>
    <t>3108-42-7</t>
  </si>
  <si>
    <t>~Ammonium perfluorodecanoate</t>
  </si>
  <si>
    <t>21615-47-4</t>
  </si>
  <si>
    <t>~Ammonium perfluorohexanoate</t>
  </si>
  <si>
    <t>3825-26-1</t>
  </si>
  <si>
    <t>~Ammonium perfluorooctanoate</t>
  </si>
  <si>
    <t>ATSDR Profile surrogate</t>
  </si>
  <si>
    <t>Higgins and Luthy</t>
  </si>
  <si>
    <t>3M</t>
  </si>
  <si>
    <t>82113-65-3</t>
  </si>
  <si>
    <t>~Bis(trifluoromethylsulfonyl)amine (TFSI)</t>
  </si>
  <si>
    <t>R</t>
  </si>
  <si>
    <t>~Hexafluoropropylene oxide dimer acid (HFPO-DA)</t>
  </si>
  <si>
    <t>90076-65-6</t>
  </si>
  <si>
    <t>~Lithium bis[(trifluoromethyl)sulfonyl]azanide</t>
  </si>
  <si>
    <t>EPA ORD</t>
  </si>
  <si>
    <t>122499-17-6</t>
  </si>
  <si>
    <t>~Perfluoro(2-propoxypropanoate)</t>
  </si>
  <si>
    <t>45187-15-3</t>
  </si>
  <si>
    <t>~Perfluorobutanesulfonate</t>
  </si>
  <si>
    <t>~Perfluorobutanesulfonic acid (PFBS)</t>
  </si>
  <si>
    <t>45048-62-2</t>
  </si>
  <si>
    <t>~Perfluorobutanoate</t>
  </si>
  <si>
    <t>PHYSPROP surrogate</t>
  </si>
  <si>
    <t>~Perfluorobutanoic acid (PFBA)</t>
  </si>
  <si>
    <t>73829-36-4</t>
  </si>
  <si>
    <t>~Perfluorodecanoate</t>
  </si>
  <si>
    <t>~Perfluorodecanoic acid (PFDA)</t>
  </si>
  <si>
    <t>~Perfluorododecanoic acid (PFDoDA)</t>
  </si>
  <si>
    <t>N</t>
  </si>
  <si>
    <t>108427-53-8</t>
  </si>
  <si>
    <t>~Perfluorohexanesulfonate</t>
  </si>
  <si>
    <t>CRC surrogate</t>
  </si>
  <si>
    <t>~Perfluorohexanesulfonic acid (PFHxS)</t>
  </si>
  <si>
    <t>92612-52-7</t>
  </si>
  <si>
    <t>~Perfluorohexanoate</t>
  </si>
  <si>
    <t>~Perfluorohexanoic acid (PFHxA)</t>
  </si>
  <si>
    <t>72007-68-2</t>
  </si>
  <si>
    <t>~Perfluorononanoate</t>
  </si>
  <si>
    <t>~Perfluorononanoic acid (PFNA)</t>
  </si>
  <si>
    <t>~Perfluorooctadecanoic acid (PFODA)</t>
  </si>
  <si>
    <t>45298-90-6</t>
  </si>
  <si>
    <t>~Perfluorooctanesulfonate</t>
  </si>
  <si>
    <t>EPA SRS</t>
  </si>
  <si>
    <t>~Perfluorooctanesulfonic acid (PFOS)</t>
  </si>
  <si>
    <t>45285-51-6</t>
  </si>
  <si>
    <t>~Perfluorooctanoate</t>
  </si>
  <si>
    <t>~Perfluorooctanoic acid (PFOA)</t>
  </si>
  <si>
    <t>~Perfluoropropanoic acid (PFPrA)</t>
  </si>
  <si>
    <t>~Perfluorotetradecanoic acid (PFTetDA)</t>
  </si>
  <si>
    <t>~Perfluoroundecanoic acid (PFUDA)</t>
  </si>
  <si>
    <t>29420-49-3</t>
  </si>
  <si>
    <t>~Potassium perfluorobutanesulfonate</t>
  </si>
  <si>
    <t>2966-54-3</t>
  </si>
  <si>
    <t>~Potassium perfluorobutanoate</t>
  </si>
  <si>
    <t>51604-85-4</t>
  </si>
  <si>
    <t>~Potassium perfluorodecanoate</t>
  </si>
  <si>
    <t>Surrogate Na PFDA</t>
  </si>
  <si>
    <t>2795-39-3</t>
  </si>
  <si>
    <t>~Potassium perfluorooctanesulfonate</t>
  </si>
  <si>
    <t>Sax`s</t>
  </si>
  <si>
    <t>Beach SA et al</t>
  </si>
  <si>
    <t>2218-54-4</t>
  </si>
  <si>
    <t>~Sodium perfluorobutanoate</t>
  </si>
  <si>
    <t>3830-45-3</t>
  </si>
  <si>
    <t>~Sodium perfluorodecanoate</t>
  </si>
  <si>
    <t>2923-26-4</t>
  </si>
  <si>
    <t>~Sodium perfluorohexanoate</t>
  </si>
  <si>
    <t>Perchlorates</t>
  </si>
  <si>
    <t>~Ammonium Perchlorate</t>
  </si>
  <si>
    <t>7791-03-9</t>
  </si>
  <si>
    <t>~Lithium Perchlorate</t>
  </si>
  <si>
    <t>~Perchlorate and Perchlorate Salts</t>
  </si>
  <si>
    <t>7778-74-7</t>
  </si>
  <si>
    <t>~Potassium Perchlorate</t>
  </si>
  <si>
    <t>7601-89-0</t>
  </si>
  <si>
    <t>~Sodium Perchlorate</t>
  </si>
  <si>
    <t>52645-53-1</t>
  </si>
  <si>
    <t>Permethrin</t>
  </si>
  <si>
    <t>62-44-2</t>
  </si>
  <si>
    <t>Phenacetin</t>
  </si>
  <si>
    <t>13684-63-4</t>
  </si>
  <si>
    <t>Phenmedipham</t>
  </si>
  <si>
    <t>114-26-1</t>
  </si>
  <si>
    <t>Phenol, 2-(1-methylethoxy)-, methylcarbamate</t>
  </si>
  <si>
    <t>92-84-2</t>
  </si>
  <si>
    <t>Phenothiazine</t>
  </si>
  <si>
    <t>103-72-0</t>
  </si>
  <si>
    <t>Phenyl Isothiocyanate</t>
  </si>
  <si>
    <t>108-45-2</t>
  </si>
  <si>
    <t>Phenylenediamine, m-</t>
  </si>
  <si>
    <t>95-54-5</t>
  </si>
  <si>
    <t>Phenylenediamine, o-</t>
  </si>
  <si>
    <t>106-50-3</t>
  </si>
  <si>
    <t>Phenylenediamine, p-</t>
  </si>
  <si>
    <t>90-43-7</t>
  </si>
  <si>
    <t>Phenylphenol, 2-</t>
  </si>
  <si>
    <t>298-02-2</t>
  </si>
  <si>
    <t>Phorate</t>
  </si>
  <si>
    <t>75-44-5</t>
  </si>
  <si>
    <t>Phosgene</t>
  </si>
  <si>
    <t>732-11-6</t>
  </si>
  <si>
    <t>Phosmet</t>
  </si>
  <si>
    <t>Phosphates, Inorganic</t>
  </si>
  <si>
    <t>13776-88-0</t>
  </si>
  <si>
    <t>~Aluminum metaphosphate</t>
  </si>
  <si>
    <t>E524680405</t>
  </si>
  <si>
    <t>~Aluminum salts of inorganic phosphates</t>
  </si>
  <si>
    <t>7758-11-4</t>
  </si>
  <si>
    <t>~Dipotassium phosphate</t>
  </si>
  <si>
    <t>7558-79-4</t>
  </si>
  <si>
    <t>~Disodium phosphate</t>
  </si>
  <si>
    <t>13530-50-2</t>
  </si>
  <si>
    <t>~Monoaluminum phosphate</t>
  </si>
  <si>
    <t>7778-77-0</t>
  </si>
  <si>
    <t>~Monopotassium phosphate</t>
  </si>
  <si>
    <t>7558-80-7</t>
  </si>
  <si>
    <t>~Monosodium phosphate</t>
  </si>
  <si>
    <t>7664-38-2</t>
  </si>
  <si>
    <t>~Phosphoric Acid</t>
  </si>
  <si>
    <t>7784-30-7</t>
  </si>
  <si>
    <t>~Phosphoric acid, aluminum salt (1:1) [aluminum phosphate]</t>
  </si>
  <si>
    <t>7785-88-8</t>
  </si>
  <si>
    <t>~Phosphoric acid, aluminum sodium salt (1:X:X) [sodium aluminum phosphate acidic (acidic SALP)]</t>
  </si>
  <si>
    <t>8017-16-1</t>
  </si>
  <si>
    <t>~Polyphosphoric acid</t>
  </si>
  <si>
    <t>E524680403</t>
  </si>
  <si>
    <t>~Potassium salts of inorganic phosphates</t>
  </si>
  <si>
    <t>13845-36-8</t>
  </si>
  <si>
    <t>~Potassium tripolyphosphate</t>
  </si>
  <si>
    <t>10279-59-1</t>
  </si>
  <si>
    <t>~Sodium aluminum phosphate (anhydrous)</t>
  </si>
  <si>
    <t>10305-76-7</t>
  </si>
  <si>
    <t>~Sodium aluminum phosphate (tetrahydrate)</t>
  </si>
  <si>
    <t>10124-56-8</t>
  </si>
  <si>
    <t>~Sodium hexametaphosphate</t>
  </si>
  <si>
    <t>68915-31-1</t>
  </si>
  <si>
    <t>~Sodium polyphosphate</t>
  </si>
  <si>
    <t>7758-16-9</t>
  </si>
  <si>
    <t>~Sodium pyrophosphate</t>
  </si>
  <si>
    <t>E524680404</t>
  </si>
  <si>
    <t>~Sodium salts of inorganic phosphates</t>
  </si>
  <si>
    <t>7785-84-4</t>
  </si>
  <si>
    <t>~Sodium trimetaphosphate</t>
  </si>
  <si>
    <t>7758-29-4</t>
  </si>
  <si>
    <t>~Sodium tripolyphosphate</t>
  </si>
  <si>
    <t>7320-34-5</t>
  </si>
  <si>
    <t>~Tetrapotassium phosphate</t>
  </si>
  <si>
    <t>7722-88-5</t>
  </si>
  <si>
    <t>~Tetrasodium pyrophosphate</t>
  </si>
  <si>
    <t>15136-87-5</t>
  </si>
  <si>
    <t>~Trialuminum sodium tetra decahydrogenoctaorthophosphate (dihydrate)</t>
  </si>
  <si>
    <t>13939-25-8</t>
  </si>
  <si>
    <t>~Triphosphoric acid, aluminum salt (1:1) [aluminum triphosphate]</t>
  </si>
  <si>
    <t>7778-53-2</t>
  </si>
  <si>
    <t>~Tripotassium phosphate</t>
  </si>
  <si>
    <t>7601-54-9</t>
  </si>
  <si>
    <t>~Trisodium phosphate</t>
  </si>
  <si>
    <t>7803-51-2</t>
  </si>
  <si>
    <t>Phosphine</t>
  </si>
  <si>
    <t>7723-14-0</t>
  </si>
  <si>
    <t>Phosphorus</t>
  </si>
  <si>
    <t>Surrogate, White Phosphorus</t>
  </si>
  <si>
    <t>12185-10-3</t>
  </si>
  <si>
    <t>Phosphorus, white</t>
  </si>
  <si>
    <t>ATRSDR Profile</t>
  </si>
  <si>
    <t>Phthalates</t>
  </si>
  <si>
    <t>~Bis(2-ethylhexyl)phthalate</t>
  </si>
  <si>
    <t>85-68-7</t>
  </si>
  <si>
    <t>~Butyl Benzyl Phthalate</t>
  </si>
  <si>
    <t>85-70-1</t>
  </si>
  <si>
    <t>~Butylphthalyl Butylglycolate</t>
  </si>
  <si>
    <t>84-74-2</t>
  </si>
  <si>
    <t>~Dibutyl Phthalate</t>
  </si>
  <si>
    <t>~Diethyl Phthalate</t>
  </si>
  <si>
    <t>120-61-6</t>
  </si>
  <si>
    <t>~Dimethylterephthalate</t>
  </si>
  <si>
    <t>117-84-0</t>
  </si>
  <si>
    <t>~Octyl Phthalate, di-N-</t>
  </si>
  <si>
    <t>100-21-0</t>
  </si>
  <si>
    <t>~Phthalic Acid, p-</t>
  </si>
  <si>
    <t>85-44-9</t>
  </si>
  <si>
    <t>~Phthalic Anhydride</t>
  </si>
  <si>
    <t>1918-02-1</t>
  </si>
  <si>
    <t>Picloram</t>
  </si>
  <si>
    <t>96-91-3</t>
  </si>
  <si>
    <t>Picramic Acid (2-Amino-4,6-dinitrophenol)</t>
  </si>
  <si>
    <t>88-89-1</t>
  </si>
  <si>
    <t>Picric Acid (2,4,6-Trinitrophenol)</t>
  </si>
  <si>
    <t>29232-93-7</t>
  </si>
  <si>
    <t>Pirimiphos, Methyl</t>
  </si>
  <si>
    <t>36355-01-8</t>
  </si>
  <si>
    <t>Polybrominated Biphenyls</t>
  </si>
  <si>
    <t>Polychlorinated Biphenyls (PCBs)</t>
  </si>
  <si>
    <t>12674-11-2</t>
  </si>
  <si>
    <t>~Aroclor 1016</t>
  </si>
  <si>
    <t>11104-28-2</t>
  </si>
  <si>
    <t>~Aroclor 1221</t>
  </si>
  <si>
    <t>11141-16-5</t>
  </si>
  <si>
    <t>~Aroclor 1232</t>
  </si>
  <si>
    <t>53469-21-9</t>
  </si>
  <si>
    <t>~Aroclor 1242</t>
  </si>
  <si>
    <t>12672-29-6</t>
  </si>
  <si>
    <t>~Aroclor 1248</t>
  </si>
  <si>
    <t>11097-69-1</t>
  </si>
  <si>
    <t>~Aroclor 1254</t>
  </si>
  <si>
    <t>11096-82-5</t>
  </si>
  <si>
    <t>~Aroclor 1260</t>
  </si>
  <si>
    <t>11126-42-4</t>
  </si>
  <si>
    <t>~Aroclor 5460</t>
  </si>
  <si>
    <t>39635-31-9</t>
  </si>
  <si>
    <t>~Heptachlorobiphenyl, 2,3,3',4,4',5,5'- (PCB 189)</t>
  </si>
  <si>
    <t>W</t>
  </si>
  <si>
    <t>52663-72-6</t>
  </si>
  <si>
    <t>~Hexachlorobiphenyl, 2,3',4,4',5,5'- (PCB 167)</t>
  </si>
  <si>
    <t>69782-90-7</t>
  </si>
  <si>
    <t>~Hexachlorobiphenyl, 2,3,3',4,4',5'- (PCB 157)</t>
  </si>
  <si>
    <t>l</t>
  </si>
  <si>
    <t>38380-08-4</t>
  </si>
  <si>
    <t>~Hexachlorobiphenyl, 2,3,3',4,4',5- (PCB 156)</t>
  </si>
  <si>
    <t>32774-16-6</t>
  </si>
  <si>
    <t>~Hexachlorobiphenyl, 3,3',4,4',5,5'- (PCB 169)</t>
  </si>
  <si>
    <t>65510-44-3</t>
  </si>
  <si>
    <t>~Pentachlorobiphenyl, 2',3,4,4',5- (PCB 123)</t>
  </si>
  <si>
    <t>31508-00-6</t>
  </si>
  <si>
    <t>~Pentachlorobiphenyl, 2,3',4,4',5- (PCB 118)</t>
  </si>
  <si>
    <t>32598-14-4</t>
  </si>
  <si>
    <t>~Pentachlorobiphenyl, 2,3,3',4,4'- (PCB 105)</t>
  </si>
  <si>
    <t>74472-37-0</t>
  </si>
  <si>
    <t>~Pentachlorobiphenyl, 2,3,4,4',5- (PCB 114)</t>
  </si>
  <si>
    <t>57465-28-8</t>
  </si>
  <si>
    <t>~Pentachlorobiphenyl, 3,3',4,4',5- (PCB 126)</t>
  </si>
  <si>
    <t>~Polychlorinated Biphenyls (high risk)</t>
  </si>
  <si>
    <t>~Polychlorinated Biphenyls (low risk)</t>
  </si>
  <si>
    <t>~Polychlorinated Biphenyls (lowest risk)</t>
  </si>
  <si>
    <t>32598-13-3</t>
  </si>
  <si>
    <t>~Tetrachlorobiphenyl, 3,3',4,4'- (PCB 77)</t>
  </si>
  <si>
    <t>Chemical Book</t>
  </si>
  <si>
    <t>70362-50-4</t>
  </si>
  <si>
    <t>~Tetrachlorobiphenyl, 3,4,4',5- (PCB 81)</t>
  </si>
  <si>
    <t>9016-87-9</t>
  </si>
  <si>
    <t>Polymeric Methylene Diphenyl Diisocyanate (PMDI)</t>
  </si>
  <si>
    <t>Polynuclear Aromatic Hydrocarbons (PAHs)</t>
  </si>
  <si>
    <t>~Acenaphthene</t>
  </si>
  <si>
    <t>~Anthracene</t>
  </si>
  <si>
    <t>~Benz[a]anthracene</t>
  </si>
  <si>
    <t>E</t>
  </si>
  <si>
    <t>~Benzo[a]pyrene</t>
  </si>
  <si>
    <t>~Benzo[b]fluoranthene</t>
  </si>
  <si>
    <t>ChemSrc</t>
  </si>
  <si>
    <t>192-97-2</t>
  </si>
  <si>
    <t>~Benzo[e]pyrene</t>
  </si>
  <si>
    <t>205-82-3</t>
  </si>
  <si>
    <t>~Benzo[j]fluoranthene</t>
  </si>
  <si>
    <t>~Benzo[k]fluoranthene</t>
  </si>
  <si>
    <t>243-17-4</t>
  </si>
  <si>
    <t>~Benzofluorene, 2,3-</t>
  </si>
  <si>
    <t>91-58-7</t>
  </si>
  <si>
    <t>~Chloronaphthalene, Beta-</t>
  </si>
  <si>
    <t>~Chrysene</t>
  </si>
  <si>
    <t>~Dibenz[a,h]anthracene</t>
  </si>
  <si>
    <t>192-65-4</t>
  </si>
  <si>
    <t>~Dibenzo[a,e]pyrene</t>
  </si>
  <si>
    <t>57-97-6</t>
  </si>
  <si>
    <t>~Dimethylbenz[a]anthracene, 7,12-</t>
  </si>
  <si>
    <t>~Fluoranthene</t>
  </si>
  <si>
    <t>~Fluorene</t>
  </si>
  <si>
    <t>~Indeno[1,2,3-cd]pyrene</t>
  </si>
  <si>
    <t>90-12-0</t>
  </si>
  <si>
    <t>~Methylnaphthalene, 1-</t>
  </si>
  <si>
    <t>~Methylnaphthalene, 2-</t>
  </si>
  <si>
    <t>~Naphthalene</t>
  </si>
  <si>
    <t>57835-92-4</t>
  </si>
  <si>
    <t>~Nitropyrene, 4-</t>
  </si>
  <si>
    <t>198-55-0</t>
  </si>
  <si>
    <t>~Perylene</t>
  </si>
  <si>
    <t>~Pyrene</t>
  </si>
  <si>
    <t>67747-09-5</t>
  </si>
  <si>
    <t>Prochloraz</t>
  </si>
  <si>
    <t>26399-36-0</t>
  </si>
  <si>
    <t>Profluralin</t>
  </si>
  <si>
    <t>1610-18-0</t>
  </si>
  <si>
    <t>Prometon</t>
  </si>
  <si>
    <t>7287-19-6</t>
  </si>
  <si>
    <t>Prometryn</t>
  </si>
  <si>
    <t>23950-58-5</t>
  </si>
  <si>
    <t>Pronamide</t>
  </si>
  <si>
    <t>1918-16-7</t>
  </si>
  <si>
    <t>Propachlor</t>
  </si>
  <si>
    <t>709-98-8</t>
  </si>
  <si>
    <t>Propanil</t>
  </si>
  <si>
    <t>2312-35-8</t>
  </si>
  <si>
    <t>Propargite</t>
  </si>
  <si>
    <t>107-19-7</t>
  </si>
  <si>
    <t>Propargyl Alcohol</t>
  </si>
  <si>
    <t>139-40-2</t>
  </si>
  <si>
    <t>Propazine</t>
  </si>
  <si>
    <t>122-42-9</t>
  </si>
  <si>
    <t>Propham</t>
  </si>
  <si>
    <t>60207-90-1</t>
  </si>
  <si>
    <t>Propiconazole</t>
  </si>
  <si>
    <t>123-38-6</t>
  </si>
  <si>
    <t>Propionaldehyde</t>
  </si>
  <si>
    <t>103-65-1</t>
  </si>
  <si>
    <t>Propyl benzene</t>
  </si>
  <si>
    <t>115-07-1</t>
  </si>
  <si>
    <t>Propylene</t>
  </si>
  <si>
    <t>57-55-6</t>
  </si>
  <si>
    <t>Propylene Glycol</t>
  </si>
  <si>
    <t>6423-43-4</t>
  </si>
  <si>
    <t>Propylene Glycol Dinitrate</t>
  </si>
  <si>
    <t>107-98-2</t>
  </si>
  <si>
    <t>Propylene Glycol Monomethyl Ether</t>
  </si>
  <si>
    <t>75-56-9</t>
  </si>
  <si>
    <t>Propylene Oxide</t>
  </si>
  <si>
    <t>110-86-1</t>
  </si>
  <si>
    <t>Pyridine</t>
  </si>
  <si>
    <t>13593-03-8</t>
  </si>
  <si>
    <t>Quinalphos</t>
  </si>
  <si>
    <t>91-22-5</t>
  </si>
  <si>
    <t>Quinoline</t>
  </si>
  <si>
    <t>76578-14-8</t>
  </si>
  <si>
    <t>Quizalofop-ethyl</t>
  </si>
  <si>
    <t>E715557</t>
  </si>
  <si>
    <t>Refractory Ceramic Fibers (units in fibers)</t>
  </si>
  <si>
    <t>10453-86-8</t>
  </si>
  <si>
    <t>Resmethrin</t>
  </si>
  <si>
    <t>299-84-3</t>
  </si>
  <si>
    <t>Ronnel</t>
  </si>
  <si>
    <t>83-79-4</t>
  </si>
  <si>
    <t>Rotenone</t>
  </si>
  <si>
    <t>94-59-7</t>
  </si>
  <si>
    <t>Safrole</t>
  </si>
  <si>
    <t>7783-00-8</t>
  </si>
  <si>
    <t>Selenious Acid</t>
  </si>
  <si>
    <t>7446-34-6</t>
  </si>
  <si>
    <t>Selenium Sulfide</t>
  </si>
  <si>
    <t>74051-80-2</t>
  </si>
  <si>
    <t>Sethoxydim</t>
  </si>
  <si>
    <t>7631-86-9</t>
  </si>
  <si>
    <t>Silica (crystalline, respirable)</t>
  </si>
  <si>
    <t>122-34-9</t>
  </si>
  <si>
    <t>Simazine</t>
  </si>
  <si>
    <t>62476-59-9</t>
  </si>
  <si>
    <t>Sodium Acifluorfen</t>
  </si>
  <si>
    <t>26628-22-8</t>
  </si>
  <si>
    <t>Sodium Azide</t>
  </si>
  <si>
    <t>148-18-5</t>
  </si>
  <si>
    <t>Sodium Diethyldithiocarbamate</t>
  </si>
  <si>
    <t>7681-49-4</t>
  </si>
  <si>
    <t>Sodium Fluoride</t>
  </si>
  <si>
    <t>62-74-8</t>
  </si>
  <si>
    <t>Sodium Fluoroacetate</t>
  </si>
  <si>
    <t>13718-26-8</t>
  </si>
  <si>
    <t>Sodium Metavanadate</t>
  </si>
  <si>
    <t>13472-45-2</t>
  </si>
  <si>
    <t>Sodium Tungstate</t>
  </si>
  <si>
    <t>10213-10-2</t>
  </si>
  <si>
    <t>Sodium Tungstate Dihydrate</t>
  </si>
  <si>
    <t>961-11-5</t>
  </si>
  <si>
    <t>Stirofos (Tetrachlorovinphos)</t>
  </si>
  <si>
    <t>7440-24-6</t>
  </si>
  <si>
    <t>Strontium, Stable</t>
  </si>
  <si>
    <t>57-24-9</t>
  </si>
  <si>
    <t>Strychnine</t>
  </si>
  <si>
    <t>57964-39-3</t>
  </si>
  <si>
    <t>Styrene-Acrylonitrile (SAN) Trimer (THNA isomer)</t>
  </si>
  <si>
    <t>57964-40-6</t>
  </si>
  <si>
    <t>Styrene-Acrylonitrile (SAN) Trimer (THNP isomer)</t>
  </si>
  <si>
    <t>ChemIndex</t>
  </si>
  <si>
    <t>NTP</t>
  </si>
  <si>
    <t>126-33-0</t>
  </si>
  <si>
    <t>Sulfolane</t>
  </si>
  <si>
    <t>80-07-9</t>
  </si>
  <si>
    <t>Sulfonylbis(4-chlorobenzene), 1,1'-</t>
  </si>
  <si>
    <t>7446-11-9</t>
  </si>
  <si>
    <t>Sulfur Trioxide</t>
  </si>
  <si>
    <t>7664-93-9</t>
  </si>
  <si>
    <t>Sulfuric Acid</t>
  </si>
  <si>
    <t>140-57-8</t>
  </si>
  <si>
    <t>Sulfurous acid, 2-chloroethyl 2-[4-(1,1-dimethylethyl)phenoxy]-1-methylethyl ester</t>
  </si>
  <si>
    <t>34014-18-1</t>
  </si>
  <si>
    <t>Tebuthiuron</t>
  </si>
  <si>
    <t>3383-96-8</t>
  </si>
  <si>
    <t>Temephos</t>
  </si>
  <si>
    <t>5902-51-2</t>
  </si>
  <si>
    <t>Terbacil</t>
  </si>
  <si>
    <t>13071-79-9</t>
  </si>
  <si>
    <t>Terbufos</t>
  </si>
  <si>
    <t>886-50-0</t>
  </si>
  <si>
    <t>Terbutryn</t>
  </si>
  <si>
    <t>540-88-5</t>
  </si>
  <si>
    <t>Tert-Butyl Acetate</t>
  </si>
  <si>
    <t>5436-43-1</t>
  </si>
  <si>
    <t>Tetrabromodiphenyl ether, 2,2',4,4'- (BDE-47)</t>
  </si>
  <si>
    <t>95-94-3</t>
  </si>
  <si>
    <t>Tetrachlorobenzene, 1,2,4,5-</t>
  </si>
  <si>
    <t>Tetrachloroethane, 1,1,1,2-</t>
  </si>
  <si>
    <t>Tetrachloroethane, 1,1,2,2-</t>
  </si>
  <si>
    <t>Tetrachloroethylene</t>
  </si>
  <si>
    <t>58-90-2</t>
  </si>
  <si>
    <t>Tetrachlorophenol, 2,3,4,6-</t>
  </si>
  <si>
    <t>5216-25-1</t>
  </si>
  <si>
    <t>Tetrachlorotoluene, p- alpha, alpha, alpha-</t>
  </si>
  <si>
    <t>3689-24-5</t>
  </si>
  <si>
    <t>Tetraethyl Dithiopyrophosphate</t>
  </si>
  <si>
    <t>811-97-2</t>
  </si>
  <si>
    <t>Tetrafluoroethane, 1,1,1,2-</t>
  </si>
  <si>
    <t>16853-36-4</t>
  </si>
  <si>
    <t>Tetramethylphosphoramide, -N,N,N',N" (TMPA)</t>
  </si>
  <si>
    <t>479-45-8</t>
  </si>
  <si>
    <t>Tetryl (Trinitrophenylmethylnitramine)</t>
  </si>
  <si>
    <t>1314-32-5</t>
  </si>
  <si>
    <t>Thallic Oxide</t>
  </si>
  <si>
    <t>10102-45-1</t>
  </si>
  <si>
    <t>Thallium (I) Nitrate</t>
  </si>
  <si>
    <t>Thallium (Soluble Salts)</t>
  </si>
  <si>
    <t>563-68-8</t>
  </si>
  <si>
    <t>Thallium Acetate</t>
  </si>
  <si>
    <t>6533-73-9</t>
  </si>
  <si>
    <t>Thallium Carbonate</t>
  </si>
  <si>
    <t>7791-12-0</t>
  </si>
  <si>
    <t>Thallium Chloride</t>
  </si>
  <si>
    <t>12039-52-0</t>
  </si>
  <si>
    <t>Thallium Selenite</t>
  </si>
  <si>
    <t>7446-18-6</t>
  </si>
  <si>
    <t>Thallium Sulfate</t>
  </si>
  <si>
    <t>79277-27-3</t>
  </si>
  <si>
    <t>Thifensulfuron-methyl</t>
  </si>
  <si>
    <t>28249-77-6</t>
  </si>
  <si>
    <t>Thiobencarb</t>
  </si>
  <si>
    <t>E1790665</t>
  </si>
  <si>
    <t>Thiocyanates</t>
  </si>
  <si>
    <t>463-56-9</t>
  </si>
  <si>
    <t>Thiocyanic Acid</t>
  </si>
  <si>
    <t>21564-17-0</t>
  </si>
  <si>
    <t>Thiocyanic acid, (2-benzothiazolylthio)methyl ester (TCMTB)</t>
  </si>
  <si>
    <t>111-48-8</t>
  </si>
  <si>
    <t>Thiodiglycol</t>
  </si>
  <si>
    <t>39196-18-4</t>
  </si>
  <si>
    <t>Thiofanox</t>
  </si>
  <si>
    <t>23564-05-8</t>
  </si>
  <si>
    <t>Thiophanate, Methyl</t>
  </si>
  <si>
    <t>137-26-8</t>
  </si>
  <si>
    <t>Thiram</t>
  </si>
  <si>
    <t>7440-31-5</t>
  </si>
  <si>
    <t>Tin</t>
  </si>
  <si>
    <t>7550-45-0</t>
  </si>
  <si>
    <t>Titanium Tetrachloride</t>
  </si>
  <si>
    <t>584-84-9</t>
  </si>
  <si>
    <t>Toluene-2,4-diisocyanate</t>
  </si>
  <si>
    <t>91-08-7</t>
  </si>
  <si>
    <t>Toluene-2,6-diisocyanate</t>
  </si>
  <si>
    <t>2687-25-4</t>
  </si>
  <si>
    <t>Toluenediamine, 2,3-</t>
  </si>
  <si>
    <t>95-70-5</t>
  </si>
  <si>
    <t>Toluenediamine, 2,5-</t>
  </si>
  <si>
    <t>496-72-0</t>
  </si>
  <si>
    <t>Toluenediamine, 3,4-</t>
  </si>
  <si>
    <t>99-94-5</t>
  </si>
  <si>
    <t>Toluic Acid, p-</t>
  </si>
  <si>
    <t>95-53-4</t>
  </si>
  <si>
    <t>Toluidine, o- (Methylaniline, 2-)</t>
  </si>
  <si>
    <t>106-49-0</t>
  </si>
  <si>
    <t>Toluidine, p-</t>
  </si>
  <si>
    <t>E1790670</t>
  </si>
  <si>
    <t>Total Petroleum Hydrocarbons (Aliphatic High)</t>
  </si>
  <si>
    <t>E1790666</t>
  </si>
  <si>
    <t>Total Petroleum Hydrocarbons (Aliphatic Low)</t>
  </si>
  <si>
    <t>SURROGATE</t>
  </si>
  <si>
    <t>E1790668</t>
  </si>
  <si>
    <t>Total Petroleum Hydrocarbons (Aliphatic Medium)</t>
  </si>
  <si>
    <t>E1790676</t>
  </si>
  <si>
    <t>Total Petroleum Hydrocarbons (Aromatic High)</t>
  </si>
  <si>
    <t>E1790674</t>
  </si>
  <si>
    <t>Total Petroleum Hydrocarbons (Aromatic Medium)</t>
  </si>
  <si>
    <t>E1841606</t>
  </si>
  <si>
    <t>Toxaphene, Weathered</t>
  </si>
  <si>
    <t>66841-25-6</t>
  </si>
  <si>
    <t>Tralomethrin</t>
  </si>
  <si>
    <t>688-73-3</t>
  </si>
  <si>
    <t>Tri-n-butyltin</t>
  </si>
  <si>
    <t>102-76-1</t>
  </si>
  <si>
    <t>Triacetin</t>
  </si>
  <si>
    <t>43121-43-3</t>
  </si>
  <si>
    <t>Triadimefon</t>
  </si>
  <si>
    <t>2303-17-5</t>
  </si>
  <si>
    <t>Triallate</t>
  </si>
  <si>
    <t>82097-50-5</t>
  </si>
  <si>
    <t>Triasulfuron</t>
  </si>
  <si>
    <t>101200-48-0</t>
  </si>
  <si>
    <t>Tribenuron-methyl</t>
  </si>
  <si>
    <t>615-54-3</t>
  </si>
  <si>
    <t>Tribromobenzene, 1,2,4-</t>
  </si>
  <si>
    <t>118-79-6</t>
  </si>
  <si>
    <t>Tribromophenol, 2,4,6-</t>
  </si>
  <si>
    <t>78-48-8</t>
  </si>
  <si>
    <t>Tribufos</t>
  </si>
  <si>
    <t>126-73-8</t>
  </si>
  <si>
    <t>Tributyl Phosphate</t>
  </si>
  <si>
    <t>E1790679</t>
  </si>
  <si>
    <t>Tributyltin Compounds</t>
  </si>
  <si>
    <t>56-35-9</t>
  </si>
  <si>
    <t>Tributyltin Oxide</t>
  </si>
  <si>
    <t>10025-85-1</t>
  </si>
  <si>
    <t>Trichloramine</t>
  </si>
  <si>
    <t>76-13-1</t>
  </si>
  <si>
    <t>Trichloro-1,2,2-trifluoroethane, 1,1,2-</t>
  </si>
  <si>
    <t>76-03-9</t>
  </si>
  <si>
    <t>Trichloroacetic Acid</t>
  </si>
  <si>
    <t>33663-50-2</t>
  </si>
  <si>
    <t>Trichloroaniline HCl, 2,4,6-</t>
  </si>
  <si>
    <t>634-93-5</t>
  </si>
  <si>
    <t>Trichloroaniline, 2,4,6-</t>
  </si>
  <si>
    <t>87-61-6</t>
  </si>
  <si>
    <t>Trichlorobenzene, 1,2,3-</t>
  </si>
  <si>
    <t>Trichlorobenzene, 1,2,4-</t>
  </si>
  <si>
    <t>Trichloroethane, 1,1,1-</t>
  </si>
  <si>
    <t>Trichloroethane, 1,1,2-</t>
  </si>
  <si>
    <t>Trichloroethylene</t>
  </si>
  <si>
    <t>75-69-4</t>
  </si>
  <si>
    <t>Trichlorofluoromethane</t>
  </si>
  <si>
    <t>Trichlorophenol, 2,4,5-</t>
  </si>
  <si>
    <t>Trichlorophenol, 2,4,6-</t>
  </si>
  <si>
    <t>93-76-5</t>
  </si>
  <si>
    <t>Trichlorophenoxyacetic Acid, 2,4,5-</t>
  </si>
  <si>
    <t>93-72-1</t>
  </si>
  <si>
    <t>Trichlorophenoxypropionic acid, -2,4,5</t>
  </si>
  <si>
    <t>598-77-6</t>
  </si>
  <si>
    <t>Trichloropropane, 1,1,2-</t>
  </si>
  <si>
    <t>Trichloropropane, 1,2,3-</t>
  </si>
  <si>
    <t>96-19-5</t>
  </si>
  <si>
    <t>Trichloropropene, 1,2,3-</t>
  </si>
  <si>
    <t>1330-78-5</t>
  </si>
  <si>
    <t>Tricresyl Phosphate (TCP)</t>
  </si>
  <si>
    <t>58138-08-2</t>
  </si>
  <si>
    <t>Tridiphane</t>
  </si>
  <si>
    <t>121-44-8</t>
  </si>
  <si>
    <t>Triethylamine</t>
  </si>
  <si>
    <t>112-27-6</t>
  </si>
  <si>
    <t>Triethylene Glycol</t>
  </si>
  <si>
    <t>420-46-2</t>
  </si>
  <si>
    <t>Trifluoroethane, 1,1,1-</t>
  </si>
  <si>
    <t>1582-09-8</t>
  </si>
  <si>
    <t>Trifluralin</t>
  </si>
  <si>
    <t>512-56-1</t>
  </si>
  <si>
    <t>Trimethyl Phosphate</t>
  </si>
  <si>
    <t>526-73-8</t>
  </si>
  <si>
    <t>Trimethylbenzene, 1,2,3-</t>
  </si>
  <si>
    <t>95-63-6</t>
  </si>
  <si>
    <t>Trimethylbenzene, 1,2,4-</t>
  </si>
  <si>
    <t>108-67-8</t>
  </si>
  <si>
    <t>Trimethylbenzene, 1,3,5-</t>
  </si>
  <si>
    <t>25167-70-8</t>
  </si>
  <si>
    <t>Trimethylpentene, 2,4,4-</t>
  </si>
  <si>
    <t>99-35-4</t>
  </si>
  <si>
    <t>Trinitrobenzene, 1,3,5-</t>
  </si>
  <si>
    <t>118-96-7</t>
  </si>
  <si>
    <t>Trinitrotoluene, 2,4,6-</t>
  </si>
  <si>
    <t>791-28-6</t>
  </si>
  <si>
    <t>Triphenylphosphine Oxide</t>
  </si>
  <si>
    <t>13674-87-8</t>
  </si>
  <si>
    <t>Tris(1,3-Dichloro-2-propyl) Phosphate</t>
  </si>
  <si>
    <t>13674-84-5</t>
  </si>
  <si>
    <t>Tris(1-chloro-2-propyl)phosphate</t>
  </si>
  <si>
    <t>126-72-7</t>
  </si>
  <si>
    <t>Tris(2,3-dibromopropyl)phosphate</t>
  </si>
  <si>
    <t>115-96-8</t>
  </si>
  <si>
    <t>Tris(2-chloroethyl)phosphate</t>
  </si>
  <si>
    <t>78-42-2</t>
  </si>
  <si>
    <t>Tris(2-ethylhexyl)phosphate</t>
  </si>
  <si>
    <t>7440-33-7</t>
  </si>
  <si>
    <t>Tungsten</t>
  </si>
  <si>
    <t>7440-61-1</t>
  </si>
  <si>
    <t>Uranium</t>
  </si>
  <si>
    <t>51-79-6</t>
  </si>
  <si>
    <t>Urethane</t>
  </si>
  <si>
    <t>1314-62-1</t>
  </si>
  <si>
    <t>Vanadium Pentoxide</t>
  </si>
  <si>
    <t>Vanadium and Compounds</t>
  </si>
  <si>
    <t>1929-77-7</t>
  </si>
  <si>
    <t>Vernolate</t>
  </si>
  <si>
    <t>50471-44-8</t>
  </si>
  <si>
    <t>Vinclozolin</t>
  </si>
  <si>
    <t>108-05-4</t>
  </si>
  <si>
    <t>Vinyl Acetate</t>
  </si>
  <si>
    <t>593-60-2</t>
  </si>
  <si>
    <t>Vinyl Bromide</t>
  </si>
  <si>
    <t>Vinyl Chloride</t>
  </si>
  <si>
    <t>81-81-2</t>
  </si>
  <si>
    <t>Warfarin</t>
  </si>
  <si>
    <t>108-38-3</t>
  </si>
  <si>
    <t>Xylene, m-</t>
  </si>
  <si>
    <t>95-47-6</t>
  </si>
  <si>
    <t>Xylene, o-</t>
  </si>
  <si>
    <t>106-42-3</t>
  </si>
  <si>
    <t>Xylene, p-</t>
  </si>
  <si>
    <t>1314-84-7</t>
  </si>
  <si>
    <t>Zinc Phosphide</t>
  </si>
  <si>
    <t>Zinc and Compounds</t>
  </si>
  <si>
    <t>12122-67-7</t>
  </si>
  <si>
    <t>Zineb</t>
  </si>
  <si>
    <t>7440-67-7</t>
  </si>
  <si>
    <t>Zirconium</t>
  </si>
  <si>
    <t>SFo-c</t>
  </si>
  <si>
    <t>IUR-c</t>
  </si>
  <si>
    <t>RfDo-c</t>
  </si>
  <si>
    <t>RfC-c</t>
  </si>
  <si>
    <t>comp</t>
  </si>
  <si>
    <t>Comp</t>
  </si>
  <si>
    <r>
      <t xml:space="preserve">Volatility:
V-Volatile
NV-Nonvolatile </t>
    </r>
    <r>
      <rPr>
        <b/>
        <vertAlign val="superscript"/>
        <sz val="8"/>
        <color theme="0"/>
        <rFont val="Arial"/>
        <family val="2"/>
      </rPr>
      <t>2</t>
    </r>
  </si>
  <si>
    <t>Volatility:
V-Volatile
NV-Nonvolatile 2</t>
  </si>
  <si>
    <r>
      <t>H
Henry's Law Constant            
(atm-m</t>
    </r>
    <r>
      <rPr>
        <b/>
        <vertAlign val="superscript"/>
        <sz val="8"/>
        <color theme="0"/>
        <rFont val="Arial"/>
        <family val="2"/>
      </rPr>
      <t>3</t>
    </r>
    <r>
      <rPr>
        <b/>
        <sz val="8"/>
        <color theme="0"/>
        <rFont val="Arial"/>
        <family val="2"/>
      </rPr>
      <t>/mol)</t>
    </r>
  </si>
  <si>
    <t>H
Henry's Law Constant            
(atm-m3/mol)</t>
  </si>
  <si>
    <r>
      <t xml:space="preserve"> Dia
Diffusivity in Air             
(cm</t>
    </r>
    <r>
      <rPr>
        <b/>
        <vertAlign val="superscript"/>
        <sz val="8"/>
        <color theme="0"/>
        <rFont val="Arial"/>
        <family val="2"/>
      </rPr>
      <t>2</t>
    </r>
    <r>
      <rPr>
        <b/>
        <sz val="8"/>
        <color theme="0"/>
        <rFont val="Arial"/>
        <family val="2"/>
      </rPr>
      <t>/s)</t>
    </r>
  </si>
  <si>
    <t xml:space="preserve"> Dia
Diffusivity in Air             
(cm2/s)</t>
  </si>
  <si>
    <r>
      <t>Diw Diffusivity in Water              
(cm</t>
    </r>
    <r>
      <rPr>
        <b/>
        <vertAlign val="superscript"/>
        <sz val="8"/>
        <color theme="0"/>
        <rFont val="Arial"/>
        <family val="2"/>
      </rPr>
      <t>2</t>
    </r>
    <r>
      <rPr>
        <b/>
        <sz val="8"/>
        <color theme="0"/>
        <rFont val="Arial"/>
        <family val="2"/>
      </rPr>
      <t>/s)</t>
    </r>
  </si>
  <si>
    <r>
      <t>Diw Diffusivity in Water              
(cm</t>
    </r>
    <r>
      <rPr>
        <b/>
        <vertAlign val="superscript"/>
        <sz val="8"/>
        <color theme="1"/>
        <rFont val="Arial"/>
        <family val="2"/>
      </rPr>
      <t>2</t>
    </r>
    <r>
      <rPr>
        <b/>
        <sz val="8"/>
        <color theme="1"/>
        <rFont val="Arial"/>
        <family val="2"/>
      </rPr>
      <t>/s)</t>
    </r>
  </si>
  <si>
    <t>Csat
Soil Saturation Limit for Organic Compounds
(mg/kg)</t>
  </si>
  <si>
    <r>
      <t>Da
Apparent
Diffusivity* (cm</t>
    </r>
    <r>
      <rPr>
        <b/>
        <vertAlign val="superscript"/>
        <sz val="8"/>
        <color theme="0"/>
        <rFont val="Arial"/>
        <family val="2"/>
      </rPr>
      <t>2</t>
    </r>
    <r>
      <rPr>
        <b/>
        <sz val="8"/>
        <color theme="0"/>
        <rFont val="Arial"/>
        <family val="2"/>
      </rPr>
      <t>/sec)</t>
    </r>
  </si>
  <si>
    <r>
      <t>Da
Apparent
Diffusivity* (cm</t>
    </r>
    <r>
      <rPr>
        <b/>
        <vertAlign val="superscript"/>
        <sz val="8"/>
        <color theme="1"/>
        <rFont val="Arial"/>
        <family val="2"/>
      </rPr>
      <t>2</t>
    </r>
    <r>
      <rPr>
        <b/>
        <sz val="8"/>
        <color theme="1"/>
        <rFont val="Arial"/>
        <family val="2"/>
      </rPr>
      <t>/sec)</t>
    </r>
  </si>
  <si>
    <r>
      <t>VF
Infinite-
Source 
Volatilization 
Factors Res
(m</t>
    </r>
    <r>
      <rPr>
        <b/>
        <vertAlign val="superscript"/>
        <sz val="8"/>
        <color theme="0"/>
        <rFont val="Arial"/>
        <family val="2"/>
      </rPr>
      <t>3</t>
    </r>
    <r>
      <rPr>
        <b/>
        <sz val="8"/>
        <color theme="0"/>
        <rFont val="Arial"/>
        <family val="2"/>
      </rPr>
      <t>/kg)</t>
    </r>
  </si>
  <si>
    <r>
      <t>VF
Infinite-
Source 
Volatilization 
Factors Res
(m</t>
    </r>
    <r>
      <rPr>
        <b/>
        <vertAlign val="superscript"/>
        <sz val="8"/>
        <color theme="1"/>
        <rFont val="Arial"/>
        <family val="2"/>
      </rPr>
      <t>3</t>
    </r>
    <r>
      <rPr>
        <b/>
        <sz val="8"/>
        <color theme="1"/>
        <rFont val="Arial"/>
        <family val="2"/>
      </rPr>
      <t>/kg)</t>
    </r>
  </si>
  <si>
    <r>
      <t>VF
Infinite-
Source 
Volatilization 
Factors Com
(m</t>
    </r>
    <r>
      <rPr>
        <b/>
        <vertAlign val="superscript"/>
        <sz val="8"/>
        <color theme="0"/>
        <rFont val="Arial"/>
        <family val="2"/>
      </rPr>
      <t>3</t>
    </r>
    <r>
      <rPr>
        <b/>
        <sz val="8"/>
        <color theme="0"/>
        <rFont val="Arial"/>
        <family val="2"/>
      </rPr>
      <t>/kg)</t>
    </r>
  </si>
  <si>
    <r>
      <t>VF
Infinite-
Source 
Volatilization 
Factors Com
(m</t>
    </r>
    <r>
      <rPr>
        <b/>
        <vertAlign val="superscript"/>
        <sz val="8"/>
        <color theme="1"/>
        <rFont val="Arial"/>
        <family val="2"/>
      </rPr>
      <t>3</t>
    </r>
    <r>
      <rPr>
        <b/>
        <sz val="8"/>
        <color theme="1"/>
        <rFont val="Arial"/>
        <family val="2"/>
      </rPr>
      <t>/kg)</t>
    </r>
  </si>
  <si>
    <r>
      <t>VF
Infinite-
Source 
Volatilization 
Factors 
CW 
(m</t>
    </r>
    <r>
      <rPr>
        <b/>
        <vertAlign val="superscript"/>
        <sz val="8"/>
        <color theme="0"/>
        <rFont val="Arial"/>
        <family val="2"/>
      </rPr>
      <t>3</t>
    </r>
    <r>
      <rPr>
        <b/>
        <sz val="8"/>
        <color theme="0"/>
        <rFont val="Arial"/>
        <family val="2"/>
      </rPr>
      <t>/kg)</t>
    </r>
  </si>
  <si>
    <r>
      <t>VF
Infinite-
Source 
Volatilization 
Factors 
CW 
(m</t>
    </r>
    <r>
      <rPr>
        <b/>
        <vertAlign val="superscript"/>
        <sz val="8"/>
        <color theme="1"/>
        <rFont val="Arial"/>
        <family val="2"/>
      </rPr>
      <t>3</t>
    </r>
    <r>
      <rPr>
        <b/>
        <sz val="8"/>
        <color theme="1"/>
        <rFont val="Arial"/>
        <family val="2"/>
      </rPr>
      <t>/kg)</t>
    </r>
  </si>
  <si>
    <t>ESL RSL Comp</t>
  </si>
  <si>
    <r>
      <t xml:space="preserve">Effective Prediction Domain (EPD)?
(RAGS Part E) </t>
    </r>
    <r>
      <rPr>
        <b/>
        <vertAlign val="superscript"/>
        <sz val="8"/>
        <color theme="0"/>
        <rFont val="Arial"/>
        <family val="2"/>
      </rPr>
      <t>2</t>
    </r>
  </si>
  <si>
    <r>
      <t>Dermal Absorption Time 
(</t>
    </r>
    <r>
      <rPr>
        <b/>
        <sz val="8"/>
        <color theme="0"/>
        <rFont val="Times New Roman"/>
        <family val="1"/>
      </rPr>
      <t>τ</t>
    </r>
    <r>
      <rPr>
        <b/>
        <sz val="8"/>
        <color theme="0"/>
        <rFont val="Arial"/>
        <family val="2"/>
      </rPr>
      <t xml:space="preserve"> </t>
    </r>
    <r>
      <rPr>
        <b/>
        <vertAlign val="subscript"/>
        <sz val="8"/>
        <color theme="0"/>
        <rFont val="Arial"/>
        <family val="2"/>
      </rPr>
      <t>event</t>
    </r>
    <r>
      <rPr>
        <b/>
        <sz val="8"/>
        <color theme="0"/>
        <rFont val="Arial"/>
        <family val="2"/>
      </rPr>
      <t>) (hr/event)</t>
    </r>
  </si>
  <si>
    <t>Dermal Absorption Time 
(τ event) (hr/event)</t>
  </si>
  <si>
    <t>RSL SFo</t>
  </si>
  <si>
    <t>RSL IUR</t>
  </si>
  <si>
    <t>RSL RfDo</t>
  </si>
  <si>
    <t>RSL RfC</t>
  </si>
  <si>
    <t>DTSC doesn't use because of Tox Rule</t>
  </si>
  <si>
    <r>
      <t xml:space="preserve">Table 1: HHRA Note 10, March 2025, Promulgated Toxicity Criteria and DTSC-Recommended Toxicity Criteria </t>
    </r>
    <r>
      <rPr>
        <vertAlign val="superscript"/>
        <sz val="11"/>
        <color rgb="FF000000"/>
        <rFont val="Calibri"/>
        <family val="2"/>
      </rPr>
      <t>a</t>
    </r>
  </si>
  <si>
    <t>r</t>
  </si>
  <si>
    <t>CAS #</t>
  </si>
  <si>
    <t>Cancer-Risk Values</t>
  </si>
  <si>
    <t>Noncancer Health-Hazard Values</t>
  </si>
  <si>
    <t>Oral Slope Factor</t>
  </si>
  <si>
    <t>Inhalation Unit Risk</t>
  </si>
  <si>
    <t>Reference Dose Oral</t>
  </si>
  <si>
    <t>Reference Concentration</t>
  </si>
  <si>
    <r>
      <t>Sfo (mg/kg-d)</t>
    </r>
    <r>
      <rPr>
        <vertAlign val="superscript"/>
        <sz val="11"/>
        <color theme="1"/>
        <rFont val="Calibri"/>
        <family val="2"/>
        <scheme val="minor"/>
      </rPr>
      <t>-1</t>
    </r>
  </si>
  <si>
    <r>
      <t>IUR (µg/m3)</t>
    </r>
    <r>
      <rPr>
        <vertAlign val="superscript"/>
        <sz val="11"/>
        <color theme="1"/>
        <rFont val="Calibri"/>
        <family val="2"/>
        <scheme val="minor"/>
      </rPr>
      <t>-1</t>
    </r>
  </si>
  <si>
    <t>RfDo (mg/kg-d)</t>
  </si>
  <si>
    <r>
      <t>RfC (µg/m</t>
    </r>
    <r>
      <rPr>
        <vertAlign val="superscript"/>
        <sz val="11"/>
        <color theme="1"/>
        <rFont val="Calibri"/>
        <family val="2"/>
        <scheme val="minor"/>
      </rPr>
      <t>3</t>
    </r>
    <r>
      <rPr>
        <sz val="10"/>
        <rFont val="Arial"/>
      </rPr>
      <t>)</t>
    </r>
  </si>
  <si>
    <t>IUR Route?</t>
  </si>
  <si>
    <t>RfC Route?</t>
  </si>
  <si>
    <t>Route?</t>
  </si>
  <si>
    <t>Route (IRIS)</t>
  </si>
  <si>
    <t>1,1,1,2-Tetrafluoroethane</t>
  </si>
  <si>
    <t>Rule, OEHHA</t>
  </si>
  <si>
    <t>1,1,1-Trifluoroethane</t>
  </si>
  <si>
    <t>1,1,2-Trichloro-1,2,2-trifluoroethane</t>
  </si>
  <si>
    <t>sPPRTV</t>
  </si>
  <si>
    <t>1,1,2-Trichloropropane</t>
  </si>
  <si>
    <t>Route (PPRTV)</t>
  </si>
  <si>
    <t>1,1-Difluoroethane</t>
  </si>
  <si>
    <t>1,1-Dimethylhydrazine</t>
  </si>
  <si>
    <t>1,2,3-Trichlorobenzene</t>
  </si>
  <si>
    <t>Route (sPPRTV)</t>
  </si>
  <si>
    <t>1,2,3-Trichloropropene</t>
  </si>
  <si>
    <t>1,2,3-Trimethylbenzene</t>
  </si>
  <si>
    <t>1,2,4,5-Tetrachlorobenzene</t>
  </si>
  <si>
    <t>1,2,4-Tribromobenzene</t>
  </si>
  <si>
    <t>1,2,4-Trimethylbenzene</t>
  </si>
  <si>
    <t>1,2-Dibromo-3-chloropropane</t>
  </si>
  <si>
    <t>HEAST</t>
  </si>
  <si>
    <t>1,2-Dimethylhydrazine</t>
  </si>
  <si>
    <t>1,2-Dinitrobenzene</t>
  </si>
  <si>
    <t>1,2-Diphenylhydrazine</t>
  </si>
  <si>
    <t>1,2-Epoxybutane</t>
  </si>
  <si>
    <t>1,2-Phenylenediamine</t>
  </si>
  <si>
    <t>1,3,5-Trimethylbenzene</t>
  </si>
  <si>
    <t>1,3,5-Trinitrobenzene</t>
  </si>
  <si>
    <t>1,3-Butadiene</t>
  </si>
  <si>
    <t>1,3-Dibromobenzene</t>
  </si>
  <si>
    <t>1,3-Dichloropropane</t>
  </si>
  <si>
    <t>1,3-Dinitrobenzene</t>
  </si>
  <si>
    <t>1,3-Phenylenediamine</t>
  </si>
  <si>
    <t>1,4-Benzenediamine-2-methyl sulfate</t>
  </si>
  <si>
    <t>1,4-Dibromobenzene</t>
  </si>
  <si>
    <t>1,4-Dichloro-2-butene</t>
  </si>
  <si>
    <t>1,4-Dinitrobenzene</t>
  </si>
  <si>
    <t>1,4-Dithiane</t>
  </si>
  <si>
    <t>1,4-Phenylenediamine</t>
  </si>
  <si>
    <t>1,6-Hexamethylene diisocyanate</t>
  </si>
  <si>
    <t>1-Bromo-2-chloroethane</t>
  </si>
  <si>
    <t>1-Bromo-3-fluorobenzene</t>
  </si>
  <si>
    <t>1-Bromo-4-fluorobenzene</t>
  </si>
  <si>
    <t>1-Bromopropane</t>
  </si>
  <si>
    <t>1-Chloro-1,1-difluoroethane</t>
  </si>
  <si>
    <t>1-Chlorobutane</t>
  </si>
  <si>
    <t>1-Methoxy-2-propanol</t>
  </si>
  <si>
    <t>1-Methylnaphthalene</t>
  </si>
  <si>
    <t>2-(2-methoxyethoxy)-Ethanol</t>
  </si>
  <si>
    <t>2,2',3,3',4,4',5,5',6,6'-Decabromodiphenyl ether</t>
  </si>
  <si>
    <t>2,2',4,4',5,5'-Hexabromodiphenyl ether</t>
  </si>
  <si>
    <t>2,2',4,4',5-Pentabromodiphenyl ether</t>
  </si>
  <si>
    <t>2,2',4,4'-Tetrabromodiphenyl ether</t>
  </si>
  <si>
    <t>2,2-Difluoropropane</t>
  </si>
  <si>
    <t>2,3,4,6-Tetrachlorophenol</t>
  </si>
  <si>
    <t>2,3,7,8-Tetrachlorodibenzo-p-dioxin</t>
  </si>
  <si>
    <t>2,3-Dichloropropanol</t>
  </si>
  <si>
    <t>2,4,4-Trimethylpentene</t>
  </si>
  <si>
    <t>2,4,5-Trichlorophenoxyacetic acid</t>
  </si>
  <si>
    <t>2,4,6-Tribromophenol</t>
  </si>
  <si>
    <t>2,4,6-Trichloroaniline</t>
  </si>
  <si>
    <t>2,4,6-Trichloroaniline hydrochloride</t>
  </si>
  <si>
    <t>2,4,6-Trinitrotoluene</t>
  </si>
  <si>
    <t>2,4/2,6-Dinitrotoluenes</t>
  </si>
  <si>
    <t>2,4-Dichlorophenoxyacetic acid</t>
  </si>
  <si>
    <t>94-82-6</t>
  </si>
  <si>
    <t>2,4-Dichlorophenoxybutyric acid</t>
  </si>
  <si>
    <t>OPP</t>
  </si>
  <si>
    <t>2,4-Dimethylaniline</t>
  </si>
  <si>
    <t>2,4-Dimethylaniline hydrochloride</t>
  </si>
  <si>
    <t>2,6-Dimethylphenol</t>
  </si>
  <si>
    <t>2,6-Dinitrotoluene</t>
  </si>
  <si>
    <t>2-Acetylaminofluorene</t>
  </si>
  <si>
    <t>2-Amino-4,6-dinitrotoluene</t>
  </si>
  <si>
    <t>2-Butanone</t>
  </si>
  <si>
    <t>2-Butoxyethanol</t>
  </si>
  <si>
    <t>2-chloro-1,3-Butadiene</t>
  </si>
  <si>
    <t>2-Chloroacetophenone</t>
  </si>
  <si>
    <t>2-Chloroethanol</t>
  </si>
  <si>
    <t>2-Chloronaphthalene</t>
  </si>
  <si>
    <t>2-Chloronitrobenzene</t>
  </si>
  <si>
    <t>2-Chlorotoluene</t>
  </si>
  <si>
    <t>2-Ethoxyethanol</t>
  </si>
  <si>
    <t>2-Ethoxyethanol acetate</t>
  </si>
  <si>
    <t>2-Hexanone</t>
  </si>
  <si>
    <t>2-Mercaptobenzothiazole</t>
  </si>
  <si>
    <t>2-Methoxy-5-nitroaniline</t>
  </si>
  <si>
    <t>2-Methoxyethanol</t>
  </si>
  <si>
    <t>2-Methoxyethanol acetate</t>
  </si>
  <si>
    <t>2-Methyl-1,4-benzenediamine dihydrochloride</t>
  </si>
  <si>
    <t>2-Methyl-5-nitroaniline</t>
  </si>
  <si>
    <t>2-Methylaniline hydrochloride</t>
  </si>
  <si>
    <t>2-Methylbenzene,1-4-diamine monohydrochloride</t>
  </si>
  <si>
    <t>2-Methylbenzene-1,4-diamine sulfate</t>
  </si>
  <si>
    <t>2-Methylphenol</t>
  </si>
  <si>
    <t>cresols; OEHHA</t>
  </si>
  <si>
    <t>2-Naphthylamine</t>
  </si>
  <si>
    <t>Route (OEHHA)</t>
  </si>
  <si>
    <t>2-Nitroaniline</t>
  </si>
  <si>
    <t>2-Nitropropane</t>
  </si>
  <si>
    <t>2-Nitrotoluene</t>
  </si>
  <si>
    <t>2-Phenylphenol</t>
  </si>
  <si>
    <t>2-Propanol</t>
  </si>
  <si>
    <t>3,3'-Dichlorobenzidine</t>
  </si>
  <si>
    <t>3,3'-Dimethoxybenzidine</t>
  </si>
  <si>
    <t>3,3'-Dimethylbenzidine</t>
  </si>
  <si>
    <t>3,4-Dimethylphenol</t>
  </si>
  <si>
    <t>3-Methylcholanthrene</t>
  </si>
  <si>
    <t>OEHHA ECP</t>
  </si>
  <si>
    <t>3-Methylphenol</t>
  </si>
  <si>
    <t>3-Nitrotoluene</t>
  </si>
  <si>
    <t>4-(2-Methyl-4-chlorophenoxy)butyric acid</t>
  </si>
  <si>
    <t>4,4'-DDD</t>
  </si>
  <si>
    <t>4,4'-DDE</t>
  </si>
  <si>
    <t>4,4'-DDT</t>
  </si>
  <si>
    <t>4,4'-Dichlorobenzophenone</t>
  </si>
  <si>
    <t>4,4'-Dichlorodiphenyl sulfone</t>
  </si>
  <si>
    <t>4,4'-Methylene bis(N,N'-dimethyl)aniline</t>
  </si>
  <si>
    <t>4,4'-Methylene-bis(2-chloroaniline)</t>
  </si>
  <si>
    <t>4,4'-Methylenebisbenzeneamine</t>
  </si>
  <si>
    <t>4,6-Dinitro-2-methylphenol</t>
  </si>
  <si>
    <t>4,6-Dinitro-o-cyclohexyl phenol</t>
  </si>
  <si>
    <t>4-Amino-2,6-dinitrotoluene</t>
  </si>
  <si>
    <t>4-Aminobiphenyl</t>
  </si>
  <si>
    <t>4-Chloro-2-methylaniline hydrochloride</t>
  </si>
  <si>
    <t>4-Chloro-3-methylphenol</t>
  </si>
  <si>
    <t>4-Chloroaniline</t>
  </si>
  <si>
    <t>4-Chlorobenzotrifluoride</t>
  </si>
  <si>
    <t>4-Chloronitrobenzene</t>
  </si>
  <si>
    <t>4-Chlorotoluene</t>
  </si>
  <si>
    <t>4-Dimethylaminoazobenzene</t>
  </si>
  <si>
    <t>4-Methyl-2-pentanol</t>
  </si>
  <si>
    <t>4-Methyl-2-pentanone</t>
  </si>
  <si>
    <t>4-Methylphenol</t>
  </si>
  <si>
    <t>4-Nitroaniline</t>
  </si>
  <si>
    <t>4-Nitropyrene</t>
  </si>
  <si>
    <t>OEHHA TSD</t>
  </si>
  <si>
    <t>4-Nitrotoluene</t>
  </si>
  <si>
    <t>7,12-Dimethylbenz[a]anthracene</t>
  </si>
  <si>
    <t>9,10-Anthraquinone</t>
  </si>
  <si>
    <t>Acenaphthene</t>
  </si>
  <si>
    <t>Acetone cyanohydrin</t>
  </si>
  <si>
    <t>Acifluorfen sodium</t>
  </si>
  <si>
    <t>Acrylic acid</t>
  </si>
  <si>
    <t>Aldicarb sulfone</t>
  </si>
  <si>
    <t>Allyl alcohol</t>
  </si>
  <si>
    <t>Allyl chloride</t>
  </si>
  <si>
    <t>alpha-HCH</t>
  </si>
  <si>
    <t>Aluminum metaphosphate</t>
  </si>
  <si>
    <t>Aluminum phosphide</t>
  </si>
  <si>
    <t>Ammonium perchlorate</t>
  </si>
  <si>
    <t>68333-79-9</t>
  </si>
  <si>
    <t>Ammonium polyphosphate</t>
  </si>
  <si>
    <t>Ammonium sulfamate</t>
  </si>
  <si>
    <t>Anthracene</t>
  </si>
  <si>
    <t>Antimony pentoxide</t>
  </si>
  <si>
    <t>Antimony tetroxide</t>
  </si>
  <si>
    <t>Antimony trioxide</t>
  </si>
  <si>
    <t>Aramiteb</t>
  </si>
  <si>
    <t>Aroclor 1016</t>
  </si>
  <si>
    <t>IRIS (PCB mixture)</t>
  </si>
  <si>
    <t>Aroclor 1221</t>
  </si>
  <si>
    <t>Aroclor 1232</t>
  </si>
  <si>
    <t>Aroclor 1242</t>
  </si>
  <si>
    <t>Aroclor 1248</t>
  </si>
  <si>
    <t>Aroclor 1254</t>
  </si>
  <si>
    <t>Aroclor 1260</t>
  </si>
  <si>
    <t>Aroclor 5460</t>
  </si>
  <si>
    <t>Rule, OEHHA PHG</t>
  </si>
  <si>
    <t>Avermectin B1a</t>
  </si>
  <si>
    <t>Route (OPP)</t>
  </si>
  <si>
    <t>Bensulfuron methyl</t>
  </si>
  <si>
    <t>Benzo[a]anthracene</t>
  </si>
  <si>
    <t>RSLs, ECAO</t>
  </si>
  <si>
    <t>Rule, OEHHA TSD</t>
  </si>
  <si>
    <t>Benzo[a]pyrene</t>
  </si>
  <si>
    <t>Benzo[b]fluoroanthene</t>
  </si>
  <si>
    <t>Benzo[j]fluoranthene</t>
  </si>
  <si>
    <t>Benzo[k]fluoroanthene</t>
  </si>
  <si>
    <t>Benzoic acid</t>
  </si>
  <si>
    <t>Benzyl alcohol</t>
  </si>
  <si>
    <t>Benzyl chloride</t>
  </si>
  <si>
    <t>1304-56-9</t>
  </si>
  <si>
    <t>Beryllium Oxide</t>
  </si>
  <si>
    <t>13510-49-1</t>
  </si>
  <si>
    <t>Beryllium Sulfate</t>
  </si>
  <si>
    <t>beta-HCH</t>
  </si>
  <si>
    <t>Biphenyl</t>
  </si>
  <si>
    <t>bis(2-Chloroethoxy) methane</t>
  </si>
  <si>
    <t>bis(2-Chloroethyl) Ether</t>
  </si>
  <si>
    <t>bis(2-Ethylhexyl) phthalate</t>
  </si>
  <si>
    <t>bis(Chloromethyl) Ether</t>
  </si>
  <si>
    <t>bis-(2-chloro-1-methylethyl) Ether</t>
  </si>
  <si>
    <t>Route (HEAST)</t>
  </si>
  <si>
    <t>Bromoxynil octanoate</t>
  </si>
  <si>
    <t>Butyl benzyl phthalate</t>
  </si>
  <si>
    <t>Butylated Hydroxytoluene</t>
  </si>
  <si>
    <t>Butylphthalyl butylglycolate</t>
  </si>
  <si>
    <t>Cacodylic acid</t>
  </si>
  <si>
    <t>Cadmium</t>
  </si>
  <si>
    <t>Calcium cyanide</t>
  </si>
  <si>
    <t>IRIS (HCN an CN- salts)</t>
  </si>
  <si>
    <t>Carbon disulfide</t>
  </si>
  <si>
    <t>Carbonyl sulfide</t>
  </si>
  <si>
    <t>Chloral hydrate</t>
  </si>
  <si>
    <t>Chlordane (technical)</t>
  </si>
  <si>
    <t>Chlorimuron-ethyl</t>
  </si>
  <si>
    <t>Chlorite (sodium salt)</t>
  </si>
  <si>
    <t>Chloroacetaldehyde</t>
  </si>
  <si>
    <t>Chloroacetic acid</t>
  </si>
  <si>
    <t>Chlorodibromomethane</t>
  </si>
  <si>
    <t>chloromethyl methyl Ether</t>
  </si>
  <si>
    <t>Chlorpyrifos-methyl</t>
  </si>
  <si>
    <t>Chromium</t>
  </si>
  <si>
    <t>Chromium (III)</t>
  </si>
  <si>
    <t>Chromium (VI)</t>
  </si>
  <si>
    <t>Chrysene</t>
  </si>
  <si>
    <t>cis-1,4-Dichloro-2-butene</t>
  </si>
  <si>
    <t>Copper cyanide</t>
  </si>
  <si>
    <t>Cyanogen</t>
  </si>
  <si>
    <t>Cyanogen bromide</t>
  </si>
  <si>
    <t>Cyanogen chloride</t>
  </si>
  <si>
    <t>Danitol</t>
  </si>
  <si>
    <t>Dibenz[a,h]anthracene</t>
  </si>
  <si>
    <t>Rule, OEHHA ECP</t>
  </si>
  <si>
    <t>Dibenzo[a,e]pyrene</t>
  </si>
  <si>
    <t>Dibenzofuran</t>
  </si>
  <si>
    <t>Dichloroacetic acid</t>
  </si>
  <si>
    <t>Diesel engine exhaust</t>
  </si>
  <si>
    <t>Diethylene glycol monobutyl Ether</t>
  </si>
  <si>
    <t>Diethylene glycol monoethyl Ether</t>
  </si>
  <si>
    <t>diisopropyl Ether</t>
  </si>
  <si>
    <t>diisopropyl Methylphosphonate</t>
  </si>
  <si>
    <t>7782-75-4</t>
  </si>
  <si>
    <t>Dimagnesium phosphate</t>
  </si>
  <si>
    <t>Dimethyl terephthalate</t>
  </si>
  <si>
    <t>di-n-Butyl Phthalate</t>
  </si>
  <si>
    <t>Dinitrotoluenes</t>
  </si>
  <si>
    <t>di-n-Octyl Phthalate</t>
  </si>
  <si>
    <t>Diphenyl-p-phenylenediamine</t>
  </si>
  <si>
    <t>Dipotassium phosphate</t>
  </si>
  <si>
    <t>Disodium phosphate</t>
  </si>
  <si>
    <t>Ethyl acetate</t>
  </si>
  <si>
    <t>Ethyl acrylate</t>
  </si>
  <si>
    <t>Ethyl methacrylate</t>
  </si>
  <si>
    <t>Ethyl p-nitrophenyl phenylphosphorothioate</t>
  </si>
  <si>
    <t>Ethylene cyanohydrin</t>
  </si>
  <si>
    <t>Ethylene diamine</t>
  </si>
  <si>
    <t>Ethylene dibromide</t>
  </si>
  <si>
    <t>Ethylene glycol</t>
  </si>
  <si>
    <t>Ethylene oxide</t>
  </si>
  <si>
    <t>Ethylene thiourea</t>
  </si>
  <si>
    <t>Ethylphthalyl ethylglycolate</t>
  </si>
  <si>
    <t>Fluorene</t>
  </si>
  <si>
    <t>Fluoridone</t>
  </si>
  <si>
    <t>Fluorine</t>
  </si>
  <si>
    <t>"fluorides" OEHHA</t>
  </si>
  <si>
    <t>Fosetyl-al</t>
  </si>
  <si>
    <t>Furan</t>
  </si>
  <si>
    <t>gamma-HCH</t>
  </si>
  <si>
    <t>Glufosinate-ammonium</t>
  </si>
  <si>
    <t>Haloxyfop-methyl</t>
  </si>
  <si>
    <t>HCH (mixed isomers)</t>
  </si>
  <si>
    <t>Hexane</t>
  </si>
  <si>
    <t>HMX</t>
  </si>
  <si>
    <t>Rule, OEHHA (WHO-05 TEF)</t>
  </si>
  <si>
    <t>Hydrogen Cyanide</t>
  </si>
  <si>
    <t>Indeno[1,2,3-cd]pyrene</t>
  </si>
  <si>
    <t>Isobutanol</t>
  </si>
  <si>
    <t>Isopropyl methyl phosphonic acid</t>
  </si>
  <si>
    <t>Isopropylbenzene</t>
  </si>
  <si>
    <t>JP-7</t>
  </si>
  <si>
    <t>Kepone</t>
  </si>
  <si>
    <r>
      <t>Lead</t>
    </r>
    <r>
      <rPr>
        <vertAlign val="superscript"/>
        <sz val="10"/>
        <color rgb="FF000000"/>
        <rFont val="Arial"/>
        <family val="2"/>
      </rPr>
      <t>b</t>
    </r>
  </si>
  <si>
    <t>HHRA Note 3</t>
  </si>
  <si>
    <t>Lead acetate</t>
  </si>
  <si>
    <t>Lead phosphate</t>
  </si>
  <si>
    <t>Lead subacetate</t>
  </si>
  <si>
    <t>Lithium Perchlorate</t>
  </si>
  <si>
    <t>Maleic anhydride</t>
  </si>
  <si>
    <t>Maleic hydrazide</t>
  </si>
  <si>
    <t>m-Aminophenol</t>
  </si>
  <si>
    <t>Manganese</t>
  </si>
  <si>
    <t>Mecoprop</t>
  </si>
  <si>
    <t>Mepiquat</t>
  </si>
  <si>
    <t>Mercuric Chloride</t>
  </si>
  <si>
    <t>Rule, OEHHA REL</t>
  </si>
  <si>
    <t>Mercury</t>
  </si>
  <si>
    <t>Merphos oxide</t>
  </si>
  <si>
    <t>Methyl acetate</t>
  </si>
  <si>
    <t>Methyl acrylate</t>
  </si>
  <si>
    <t>Methyl bromide</t>
  </si>
  <si>
    <t>Methyl hydrazine</t>
  </si>
  <si>
    <t>Methyl methacrylate</t>
  </si>
  <si>
    <t>Methyl styrene (alpha)</t>
  </si>
  <si>
    <t>Methyl styrene (mixture)</t>
  </si>
  <si>
    <t>methyl tert-butyl Ether</t>
  </si>
  <si>
    <t>Methylene bromide</t>
  </si>
  <si>
    <t>Methylene diphenyl diisocyanate</t>
  </si>
  <si>
    <t>Methylmercury ion</t>
  </si>
  <si>
    <t>Methylmethanesulfonate</t>
  </si>
  <si>
    <t>Methylphenols</t>
  </si>
  <si>
    <t>Methylphosphonic acid</t>
  </si>
  <si>
    <t>Mineral oils (I)</t>
  </si>
  <si>
    <t>Monoaluminum phosphate</t>
  </si>
  <si>
    <t>7757-86-0</t>
  </si>
  <si>
    <t>Monomagnesium phosphate</t>
  </si>
  <si>
    <t>Monopotassium phosphate</t>
  </si>
  <si>
    <t>Monosodium phosphate</t>
  </si>
  <si>
    <t>m-Xylene</t>
  </si>
  <si>
    <t>IRIS (xylenes)</t>
  </si>
  <si>
    <t>N,N-Dimethylaniline</t>
  </si>
  <si>
    <t>N,N-Dimethylformamide</t>
  </si>
  <si>
    <t>Naphthalene</t>
  </si>
  <si>
    <t>n-Butyl alcohol</t>
  </si>
  <si>
    <t>n-Butylbenzene</t>
  </si>
  <si>
    <t>n-Heptanal</t>
  </si>
  <si>
    <t>n-Heptane</t>
  </si>
  <si>
    <t>Nickel refinery dust</t>
  </si>
  <si>
    <t>Nickel subsulfide</t>
  </si>
  <si>
    <t>Nitrate</t>
  </si>
  <si>
    <t>Nitrate-Nitrite</t>
  </si>
  <si>
    <t>Nitrite</t>
  </si>
  <si>
    <t>N-Methyl-N'-nitro-N-nitrosoguanidine</t>
  </si>
  <si>
    <t>N-Nitrosodiethanolamine</t>
  </si>
  <si>
    <t>N-Nitrosodiethylamine</t>
  </si>
  <si>
    <t>N-Nitrosodimethylamine</t>
  </si>
  <si>
    <t>N-Nitroso-di-n-butylamine</t>
  </si>
  <si>
    <t>N-Nitrosodiphenylamine</t>
  </si>
  <si>
    <t>N-Nitrosodipropylamine</t>
  </si>
  <si>
    <t>N-Nitrosomorpholine</t>
  </si>
  <si>
    <t>N-Nitroso-N-ethylurea</t>
  </si>
  <si>
    <t>N-Nitroso-N-methylethylamine</t>
  </si>
  <si>
    <t>N-Nitroso-N-methylurea</t>
  </si>
  <si>
    <t>N-Nitrosopiperidine</t>
  </si>
  <si>
    <t>N-Nitrosopyrrolidine</t>
  </si>
  <si>
    <t>n-Nonane</t>
  </si>
  <si>
    <t>n-Pentane</t>
  </si>
  <si>
    <t>n-Propylbenzene</t>
  </si>
  <si>
    <t>o-Aminophenol</t>
  </si>
  <si>
    <t>Octabromodiphenyl Ethers</t>
  </si>
  <si>
    <t>o-Toluidine</t>
  </si>
  <si>
    <t>o-Xylene</t>
  </si>
  <si>
    <t>p,a,a,a-Tetrachlorotoluene</t>
  </si>
  <si>
    <t>p-Aminophenol</t>
  </si>
  <si>
    <t>Paraquat dichloride</t>
  </si>
  <si>
    <t>PCB-077</t>
  </si>
  <si>
    <t>OEHHA TEF</t>
  </si>
  <si>
    <t>PCB-081</t>
  </si>
  <si>
    <t>PCB-105</t>
  </si>
  <si>
    <t>PCB-114</t>
  </si>
  <si>
    <t>PCB-118</t>
  </si>
  <si>
    <t>PCB-123</t>
  </si>
  <si>
    <t>PCB-126</t>
  </si>
  <si>
    <t>PCB-156</t>
  </si>
  <si>
    <t>PCB-157</t>
  </si>
  <si>
    <t>PCB-167</t>
  </si>
  <si>
    <t>PCB-169</t>
  </si>
  <si>
    <t>PCB-189</t>
  </si>
  <si>
    <t>PCBs (Total)</t>
  </si>
  <si>
    <t>1336-36-3 (low)</t>
  </si>
  <si>
    <t>PCBs (Total; low risk)</t>
  </si>
  <si>
    <t>1336-36-3 (lowest)</t>
  </si>
  <si>
    <t>PCBs (Total; lowest risk)</t>
  </si>
  <si>
    <t>p-Chlorobenzene sulfonic acid</t>
  </si>
  <si>
    <t>p-Chlorobenzoic acid</t>
  </si>
  <si>
    <t>p-Chloro-o-toluidine</t>
  </si>
  <si>
    <t>Pentabromo-6-chloro cyclohexane</t>
  </si>
  <si>
    <t>Pentabromodiphenyl Ethers</t>
  </si>
  <si>
    <t>Perchlorate Ion</t>
  </si>
  <si>
    <t>Phenylmercaptan</t>
  </si>
  <si>
    <t>Phenylmercuric acetate</t>
  </si>
  <si>
    <t>Phosphoric acid</t>
  </si>
  <si>
    <t>Phosphorus, White</t>
  </si>
  <si>
    <t>Phthalic anhydride</t>
  </si>
  <si>
    <t>Picramic Acid</t>
  </si>
  <si>
    <t>Picric Acid</t>
  </si>
  <si>
    <t>Pirimiphos-methyl</t>
  </si>
  <si>
    <t>Polybrominated Biphenyls (BP-6)</t>
  </si>
  <si>
    <t>Polymeric methylenediphenyl diisocyanate</t>
  </si>
  <si>
    <t>Polyphosphoric acid</t>
  </si>
  <si>
    <t>Potassium Cyanide</t>
  </si>
  <si>
    <t>Potassium Perchlorate</t>
  </si>
  <si>
    <t>Potassium Silver Cyanide</t>
  </si>
  <si>
    <t>Potassium tripolyphosphate</t>
  </si>
  <si>
    <t>p-Phthalic acid</t>
  </si>
  <si>
    <t>Propargyl alcohol</t>
  </si>
  <si>
    <t>Proprionaldehyde</t>
  </si>
  <si>
    <t>Propylene glycol</t>
  </si>
  <si>
    <t>Propylene glycol dinitrate</t>
  </si>
  <si>
    <t>Propylene oxide</t>
  </si>
  <si>
    <t>Propyzamide</t>
  </si>
  <si>
    <t>p-Toluic Acid</t>
  </si>
  <si>
    <t>p-Toluidine</t>
  </si>
  <si>
    <t>p-Xylene</t>
  </si>
  <si>
    <t>Pyrene</t>
  </si>
  <si>
    <t>RDX</t>
  </si>
  <si>
    <t>Refractory ceramic fibers</t>
  </si>
  <si>
    <t>fibers/m3; ATSDR</t>
  </si>
  <si>
    <t>sec-Butyl alcohol</t>
  </si>
  <si>
    <t>sec-Butylbenzene</t>
  </si>
  <si>
    <t>Selenious acid</t>
  </si>
  <si>
    <t>Selenium sulfide</t>
  </si>
  <si>
    <t>S-Ethyl dipropylthiocarbamate</t>
  </si>
  <si>
    <t>Silica</t>
  </si>
  <si>
    <t>OEHHA (crystalline respirable)</t>
  </si>
  <si>
    <t>Silver cyanide</t>
  </si>
  <si>
    <t>Silvex</t>
  </si>
  <si>
    <t>Sodium acid pyrophosphate</t>
  </si>
  <si>
    <t>Sodium aluminum phosphate (acidic)</t>
  </si>
  <si>
    <t>Sodium aluminum phosphate (anhydrous)</t>
  </si>
  <si>
    <t>Sodium aluminum phosphate (tetrahydrate)</t>
  </si>
  <si>
    <t>Sodium azide</t>
  </si>
  <si>
    <t>Sodium Cyanide</t>
  </si>
  <si>
    <t>Sodium diethyldithiocarbamate</t>
  </si>
  <si>
    <t>Sodium fluoride</t>
  </si>
  <si>
    <t>Sodium fluoroacetate</t>
  </si>
  <si>
    <t>Sodium hexametaphosphate</t>
  </si>
  <si>
    <t>Sodium metavanadate</t>
  </si>
  <si>
    <t>Sodium perchlorate</t>
  </si>
  <si>
    <t>Sodium polyphosphate</t>
  </si>
  <si>
    <t>Sodium trimetaphosphate</t>
  </si>
  <si>
    <t>Sodium tripolyphosphate</t>
  </si>
  <si>
    <t>Sodium Tungstate Dihyddrate</t>
  </si>
  <si>
    <t>Stirofos</t>
  </si>
  <si>
    <t>Strontium</t>
  </si>
  <si>
    <t>Styrene-Acrylonitrile Trimer</t>
  </si>
  <si>
    <t>tert-Amyl Alcohol</t>
  </si>
  <si>
    <t>tert-butyl Acetate</t>
  </si>
  <si>
    <t>tert-Butylbenzene</t>
  </si>
  <si>
    <t>Tetraethyl Lead</t>
  </si>
  <si>
    <t>Tetraethyldithiopyrophosphate</t>
  </si>
  <si>
    <t>Tetrahydrofuran</t>
  </si>
  <si>
    <t>Tetrapotassium phosphate</t>
  </si>
  <si>
    <t>Tetrasodium pyrophosphate</t>
  </si>
  <si>
    <t>Tetryl</t>
  </si>
  <si>
    <t>Thallium acetate</t>
  </si>
  <si>
    <t>Thallium carbonate</t>
  </si>
  <si>
    <t>Thallium chloride</t>
  </si>
  <si>
    <t>Thallium nitrate</t>
  </si>
  <si>
    <t>Thallium selenite</t>
  </si>
  <si>
    <t>Thallium sulfate</t>
  </si>
  <si>
    <t>E1790664</t>
  </si>
  <si>
    <t>Thiocyanic acid</t>
  </si>
  <si>
    <t>Thiocyanic acid (2-benzothiazolylthio)methyl ester</t>
  </si>
  <si>
    <t>Thiophanate-methyl</t>
  </si>
  <si>
    <t>Titanium tetrachloride</t>
  </si>
  <si>
    <r>
      <t>OEHHA</t>
    </r>
    <r>
      <rPr>
        <vertAlign val="superscript"/>
        <sz val="10"/>
        <color rgb="FF000000"/>
        <rFont val="Arial"/>
        <family val="2"/>
      </rPr>
      <t>c</t>
    </r>
  </si>
  <si>
    <t>26471-62-5</t>
  </si>
  <si>
    <t>Toluene-2,4/2,6-diisocyanates</t>
  </si>
  <si>
    <t>Toluene-2,5-diamine</t>
  </si>
  <si>
    <t>trans-1,4-dichloro-2-Butene</t>
  </si>
  <si>
    <t>trans-Crotonaldehyde</t>
  </si>
  <si>
    <t>Trialuminum sodium tetra decahydrogenoctaorthophosphate (dihydrate)</t>
  </si>
  <si>
    <t>Tributyl phosphate</t>
  </si>
  <si>
    <t>Tributyltin</t>
  </si>
  <si>
    <t>Tributyltin oxide</t>
  </si>
  <si>
    <t>Trichloroacetic acid</t>
  </si>
  <si>
    <t>Tricresyl Phosphates</t>
  </si>
  <si>
    <t>Triethyleneglycol</t>
  </si>
  <si>
    <t>7757-87-1</t>
  </si>
  <si>
    <t>Trimagnesium phosphate</t>
  </si>
  <si>
    <t>Trimethyl phosphate</t>
  </si>
  <si>
    <t>Triphenylphosphine oxide</t>
  </si>
  <si>
    <t>Tripotassium phosphate</t>
  </si>
  <si>
    <t>Tris(1,3-dichloro-2-propyl)phosphate</t>
  </si>
  <si>
    <t>Trisodium phosphate</t>
  </si>
  <si>
    <t>Uranium, soluble salts</t>
  </si>
  <si>
    <t>Vanadium pentoxide</t>
  </si>
  <si>
    <t>Vinyl acetate</t>
  </si>
  <si>
    <t>Vinyl bromide</t>
  </si>
  <si>
    <t>Zinc cyanide</t>
  </si>
  <si>
    <t>Zinc phosphide</t>
  </si>
  <si>
    <r>
      <t>a</t>
    </r>
    <r>
      <rPr>
        <sz val="10"/>
        <color theme="1"/>
        <rFont val="Arial"/>
        <family val="2"/>
      </rPr>
      <t xml:space="preserve"> Summarized from the Rule and from HHRA Note 3; toxicity criteria and values are listed for USEPA RSL analytes.</t>
    </r>
  </si>
  <si>
    <r>
      <t>b</t>
    </r>
    <r>
      <rPr>
        <sz val="10"/>
        <color theme="1"/>
        <rFont val="Arial"/>
        <family val="2"/>
      </rPr>
      <t xml:space="preserve"> Screening levels for lead are derived differently than other risk-based screening levels; see the text of HHRA Note 3 for details.</t>
    </r>
  </si>
  <si>
    <r>
      <t>c</t>
    </r>
    <r>
      <rPr>
        <sz val="10"/>
        <color theme="1"/>
        <rFont val="Arial"/>
        <family val="2"/>
      </rPr>
      <t xml:space="preserve"> RfC of Toluene was listed in Toxicity Criteria Rule; 420 µg/m</t>
    </r>
    <r>
      <rPr>
        <vertAlign val="superscript"/>
        <sz val="10"/>
        <color theme="1"/>
        <rFont val="Arial"/>
        <family val="2"/>
      </rPr>
      <t>3</t>
    </r>
    <r>
      <rPr>
        <sz val="10"/>
        <color theme="1"/>
        <rFont val="Arial"/>
        <family val="2"/>
      </rPr>
      <t xml:space="preserve"> is included to represent the most recent update from OEHHA after the Toxicity Criteria Rule was promulgated.</t>
    </r>
  </si>
  <si>
    <t>ESL Selected Sfo (max)</t>
  </si>
  <si>
    <t>Note 10 SFo</t>
  </si>
  <si>
    <t>Sfo Comp</t>
  </si>
  <si>
    <t>ESL Selected IUR (max)</t>
  </si>
  <si>
    <t>Note 10 IUR</t>
  </si>
  <si>
    <t>IUR Comp</t>
  </si>
  <si>
    <t>ESL Selected RfDo (min)</t>
  </si>
  <si>
    <t>Note 10 RfDo</t>
  </si>
  <si>
    <t>RfDo Comp</t>
  </si>
  <si>
    <t>ESL Selected RfC (min)</t>
  </si>
  <si>
    <t>Note 10 RfC</t>
  </si>
  <si>
    <t>Rfc Comp</t>
  </si>
  <si>
    <t>Route RfC</t>
  </si>
  <si>
    <t>Route IUR</t>
  </si>
  <si>
    <t>sig fig is different for RSL vs note 10</t>
  </si>
  <si>
    <t>RSL value</t>
  </si>
  <si>
    <t>Route RfC,IUR</t>
  </si>
  <si>
    <t>The one instance when the Tox Rule is in opposition to USEPA 2021 Memo. DTSC leaves blank which will lead to use of RSL. We will use USEPA recommended value even though in opposition to Tox Rule.</t>
  </si>
  <si>
    <t xml:space="preserve">PAH: Acenaphthene </t>
  </si>
  <si>
    <t xml:space="preserve">PAH: Anthracene </t>
  </si>
  <si>
    <t xml:space="preserve">PAH: Benzo[a]pyrene </t>
  </si>
  <si>
    <t>Res-S</t>
  </si>
  <si>
    <t>Com-S</t>
  </si>
  <si>
    <t>Res-A</t>
  </si>
  <si>
    <t>Com-A</t>
  </si>
  <si>
    <t>Tap</t>
  </si>
  <si>
    <t>Key: I = IRIS; P = PPRTV; O = OPP; A = ATSDR; T = ATSDR DRAFT; C = Cal EPA; X = PPRTV Screening Level; H = HEAST; D = OW; R = ORD; N = WI; W = TEF applied; E = RPF applied; G = see user's guide; c = cancer; n = noncancer; * = where: nc SL &lt; 100X ca SL; ** = where nc SL &lt; 10X ca SL; SSL values are based on DAF=1; m = ceiling limit exceeded; s = Csat exceeded; V = volatile; M = mutagen.</t>
  </si>
  <si>
    <t>Screening Levels</t>
  </si>
  <si>
    <t>Protection of Groundwater SSLs</t>
  </si>
  <si>
    <t>SFO</t>
  </si>
  <si>
    <t>k</t>
  </si>
  <si>
    <r>
      <t>RfD</t>
    </r>
    <r>
      <rPr>
        <vertAlign val="subscript"/>
        <sz val="12"/>
        <color rgb="FF000000"/>
        <rFont val="Helvetica"/>
      </rPr>
      <t>o</t>
    </r>
  </si>
  <si>
    <r>
      <t>RfC</t>
    </r>
    <r>
      <rPr>
        <vertAlign val="subscript"/>
        <sz val="12"/>
        <color rgb="FF000000"/>
        <rFont val="Helvetica"/>
      </rPr>
      <t>i</t>
    </r>
  </si>
  <si>
    <r>
      <t>C</t>
    </r>
    <r>
      <rPr>
        <vertAlign val="subscript"/>
        <sz val="12"/>
        <color rgb="FF000000"/>
        <rFont val="Helvetica"/>
      </rPr>
      <t>sat</t>
    </r>
  </si>
  <si>
    <t>Resident Soil</t>
  </si>
  <si>
    <t>key</t>
  </si>
  <si>
    <t>Industrial Soil</t>
  </si>
  <si>
    <t>Industrial</t>
  </si>
  <si>
    <t>Tap Water</t>
  </si>
  <si>
    <t>Risk-based</t>
  </si>
  <si>
    <t>MCL-based</t>
  </si>
  <si>
    <r>
      <t>(mg/kg-day)</t>
    </r>
    <r>
      <rPr>
        <vertAlign val="superscript"/>
        <sz val="12"/>
        <color rgb="FF000000"/>
        <rFont val="Helvetica"/>
      </rPr>
      <t>-1</t>
    </r>
  </si>
  <si>
    <t>e</t>
  </si>
  <si>
    <r>
      <t>(ug/m</t>
    </r>
    <r>
      <rPr>
        <vertAlign val="superscript"/>
        <sz val="12"/>
        <color rgb="FF000000"/>
        <rFont val="Helvetica"/>
      </rPr>
      <t>3</t>
    </r>
    <r>
      <rPr>
        <sz val="12"/>
        <color rgb="FF000000"/>
        <rFont val="Helvetica"/>
      </rPr>
      <t>)</t>
    </r>
    <r>
      <rPr>
        <vertAlign val="superscript"/>
        <sz val="12"/>
        <color rgb="FF000000"/>
        <rFont val="Helvetica"/>
      </rPr>
      <t>-1</t>
    </r>
  </si>
  <si>
    <r>
      <t>(mg/m</t>
    </r>
    <r>
      <rPr>
        <vertAlign val="superscript"/>
        <sz val="12"/>
        <color rgb="FF000000"/>
        <rFont val="Helvetica"/>
      </rPr>
      <t>3</t>
    </r>
    <r>
      <rPr>
        <sz val="12"/>
        <color rgb="FF000000"/>
        <rFont val="Helvetica"/>
      </rPr>
      <t>)</t>
    </r>
  </si>
  <si>
    <t>o</t>
  </si>
  <si>
    <t>Air</t>
  </si>
  <si>
    <t>(ug/L)</t>
  </si>
  <si>
    <t>y</t>
  </si>
  <si>
    <r>
      <t>(ug/m</t>
    </r>
    <r>
      <rPr>
        <vertAlign val="superscript"/>
        <sz val="12"/>
        <color rgb="FF000000"/>
        <rFont val="Helvetica"/>
      </rPr>
      <t>3</t>
    </r>
    <r>
      <rPr>
        <sz val="12"/>
        <color rgb="FF000000"/>
        <rFont val="Helvetica"/>
      </rPr>
      <t>)</t>
    </r>
  </si>
  <si>
    <t>c**</t>
  </si>
  <si>
    <t>nms</t>
  </si>
  <si>
    <t>nm</t>
  </si>
  <si>
    <t>ns</t>
  </si>
  <si>
    <t>c</t>
  </si>
  <si>
    <t>c*</t>
  </si>
  <si>
    <t>c*G</t>
  </si>
  <si>
    <t>cG</t>
  </si>
  <si>
    <t>7.0E+06(G)</t>
  </si>
  <si>
    <t>6.0E+01(G)</t>
  </si>
  <si>
    <t>8.0E+01(G)</t>
  </si>
  <si>
    <t>4.0E+03(G)</t>
  </si>
  <si>
    <t>8.0E+02(G)</t>
  </si>
  <si>
    <t>1.0E-02(G)</t>
  </si>
  <si>
    <t>(G)</t>
  </si>
  <si>
    <t>1.5E+01(G)</t>
  </si>
  <si>
    <t>Mar 2025 Note 3</t>
  </si>
  <si>
    <t>s-res-c</t>
  </si>
  <si>
    <t>s-res-c-r</t>
  </si>
  <si>
    <t>s-res-nc</t>
  </si>
  <si>
    <t>s-res-nc-r</t>
  </si>
  <si>
    <t>s-com-c</t>
  </si>
  <si>
    <t>s-com-c-r</t>
  </si>
  <si>
    <t>s-com-nc</t>
  </si>
  <si>
    <t>s-com-nc-r</t>
  </si>
  <si>
    <t>w-c</t>
  </si>
  <si>
    <t>w-c-r</t>
  </si>
  <si>
    <t>w-nc</t>
  </si>
  <si>
    <t>w-nc-r</t>
  </si>
  <si>
    <t>a-res-c</t>
  </si>
  <si>
    <t>a-res-c-r</t>
  </si>
  <si>
    <t>a-res-nc</t>
  </si>
  <si>
    <t>a-res-nc-r</t>
  </si>
  <si>
    <t>a-com-c</t>
  </si>
  <si>
    <t>a-com-c-r</t>
  </si>
  <si>
    <t>a-com-nc</t>
  </si>
  <si>
    <t>a-com-nc-r</t>
  </si>
  <si>
    <t>ref</t>
  </si>
  <si>
    <t>DTSC-SL</t>
  </si>
  <si>
    <t>--a</t>
  </si>
  <si>
    <t>USEPA RSL</t>
  </si>
  <si>
    <t>1400b</t>
  </si>
  <si>
    <t>7300b</t>
  </si>
  <si>
    <t>510b</t>
  </si>
  <si>
    <t>440b</t>
  </si>
  <si>
    <t>1800b</t>
  </si>
  <si>
    <t>Soil Direct Exposure Human Health 
Risk Levels (Table S-1)</t>
  </si>
  <si>
    <t>Indoor Air 
Levels (Table IA-1)</t>
  </si>
  <si>
    <t>Residential:
Shallow Soil
Exposure</t>
  </si>
  <si>
    <r>
      <t>SFo
(mg/kg-day)</t>
    </r>
    <r>
      <rPr>
        <b/>
        <vertAlign val="superscript"/>
        <sz val="12"/>
        <rFont val="Arial"/>
        <family val="2"/>
      </rPr>
      <t>-1</t>
    </r>
  </si>
  <si>
    <r>
      <t>IUR
(μg/m</t>
    </r>
    <r>
      <rPr>
        <b/>
        <vertAlign val="superscript"/>
        <sz val="12"/>
        <rFont val="Arial"/>
        <family val="2"/>
      </rPr>
      <t>3</t>
    </r>
    <r>
      <rPr>
        <b/>
        <sz val="12"/>
        <rFont val="Arial"/>
        <family val="2"/>
      </rPr>
      <t>)</t>
    </r>
    <r>
      <rPr>
        <b/>
        <vertAlign val="superscript"/>
        <sz val="12"/>
        <rFont val="Arial"/>
        <family val="2"/>
      </rPr>
      <t>-1</t>
    </r>
  </si>
  <si>
    <r>
      <t>RfC (μg/m</t>
    </r>
    <r>
      <rPr>
        <b/>
        <vertAlign val="superscript"/>
        <sz val="12"/>
        <rFont val="Arial"/>
        <family val="2"/>
      </rPr>
      <t>3</t>
    </r>
    <r>
      <rPr>
        <b/>
        <sz val="12"/>
        <rFont val="Arial"/>
        <family val="2"/>
      </rPr>
      <t>)</t>
    </r>
  </si>
  <si>
    <t>ESL Cancer 
Risk (2025)</t>
  </si>
  <si>
    <t xml:space="preserve">Note 3 Cancer 
Risk </t>
  </si>
  <si>
    <t>ESL Noncancer
Hazard (2025)</t>
  </si>
  <si>
    <t xml:space="preserve">Note 3 Noncancer 
Risk </t>
  </si>
  <si>
    <t>Min ESL 2025</t>
  </si>
  <si>
    <t>Min note 3</t>
  </si>
  <si>
    <t>RSL Comp</t>
  </si>
  <si>
    <t>ESL 2025</t>
  </si>
  <si>
    <t>note 3</t>
  </si>
  <si>
    <t>RSL comp</t>
  </si>
  <si>
    <t>Tox Value Diff</t>
  </si>
  <si>
    <t>DTSC Route</t>
  </si>
  <si>
    <t>NOTES</t>
  </si>
  <si>
    <t xml:space="preserve">ESL Cancer
Risk </t>
  </si>
  <si>
    <t xml:space="preserve">Note 3 Cancer
Risk </t>
  </si>
  <si>
    <t>Cancer
Risk Diff</t>
  </si>
  <si>
    <t xml:space="preserve">ESL Noncancer
Risk </t>
  </si>
  <si>
    <t xml:space="preserve">Note 3 Noncancer
Risk </t>
  </si>
  <si>
    <t>Noncancer
Risk Diff</t>
  </si>
  <si>
    <t>vol?</t>
  </si>
  <si>
    <t>??</t>
  </si>
  <si>
    <t>Why no note 3 value?</t>
  </si>
  <si>
    <t>Why no note 3 values?</t>
  </si>
  <si>
    <t>Why no Note 3 value?</t>
  </si>
  <si>
    <t>unclear why Note 3 value is greater than ESL</t>
  </si>
  <si>
    <t>Unclear why ESL value is less than Note 3</t>
  </si>
  <si>
    <t>not clear why no RSL value. There are values for the other PCBs</t>
  </si>
  <si>
    <t>Seems like note 3 residential noncancer indoor air value is greater than it should be for styrene</t>
  </si>
  <si>
    <t>Seems like note 3 residential noncancer indoor air value is greater than it should be for toluene</t>
  </si>
  <si>
    <t>Seems like note 3 residential noncancer indoor air value is greater than it should be for 1,1,1-Trichloroethane</t>
  </si>
  <si>
    <t>heading_T1_19</t>
  </si>
  <si>
    <t>gw</t>
  </si>
  <si>
    <t>gw-b</t>
  </si>
  <si>
    <t>s</t>
  </si>
  <si>
    <t>sg</t>
  </si>
  <si>
    <t>sg-b</t>
  </si>
  <si>
    <t>ia</t>
  </si>
  <si>
    <t>ia-b</t>
  </si>
  <si>
    <t>Tier 1 ESLs 1</t>
  </si>
  <si>
    <t>2019 (Rev. 2)</t>
  </si>
  <si>
    <t>Based on a generic conceptual site model designed for use at most sites2</t>
  </si>
  <si>
    <t>Subslab / Soil Gas 
(µg/m3)</t>
  </si>
  <si>
    <t>Indoor Air 
(µg/m3)</t>
  </si>
  <si>
    <t>Select Chemical</t>
  </si>
  <si>
    <t>Acenaphthene [PAH]</t>
  </si>
  <si>
    <t>Odor/Nuis</t>
  </si>
  <si>
    <t>Nuis/Odor</t>
  </si>
  <si>
    <t>208-96-8</t>
  </si>
  <si>
    <t>Acenaphthylene [PAH]</t>
  </si>
  <si>
    <t>Terr Habitat</t>
  </si>
  <si>
    <t>Canc-Risk</t>
  </si>
  <si>
    <t>Anthracene [PAH]</t>
  </si>
  <si>
    <t>NC-Hazard</t>
  </si>
  <si>
    <t>Benzo[a]anthracene [PAH]</t>
  </si>
  <si>
    <t>Tap Canc-Risk</t>
  </si>
  <si>
    <t>Benzo[b]fluoranthene [PAH]</t>
  </si>
  <si>
    <t>Benzo[k]fluoranthene [PAH]</t>
  </si>
  <si>
    <t>191-24-2</t>
  </si>
  <si>
    <t>Benzo[g,h,i]perylene [PAH]</t>
  </si>
  <si>
    <t>Gross Contam</t>
  </si>
  <si>
    <t>Benzo[a]pyrene [PAH]</t>
  </si>
  <si>
    <t>Tap NC-Hazard</t>
  </si>
  <si>
    <t>Chrysene [PAH]</t>
  </si>
  <si>
    <t>Dibenz[a,h]anthracene [PAH]</t>
  </si>
  <si>
    <t>541-73-1</t>
  </si>
  <si>
    <t>1,3-Dichlorobenzene</t>
  </si>
  <si>
    <t>131-11-3</t>
  </si>
  <si>
    <t>Dimethyl phthalate</t>
  </si>
  <si>
    <t>Fluoranthene [PAH]</t>
  </si>
  <si>
    <t>Fluorene [PAH]</t>
  </si>
  <si>
    <t>Indeno[1,2,3-c,d]pyrene [PAH]</t>
  </si>
  <si>
    <t>Naphthalene [PAH]</t>
  </si>
  <si>
    <t>Petroleum - Gasoline</t>
  </si>
  <si>
    <t>Petroleum - Stoddard Solvent</t>
  </si>
  <si>
    <t>Petroleum - Jet Fuel</t>
  </si>
  <si>
    <t>Petroleum - Diesel</t>
  </si>
  <si>
    <t>Petroleum - HOPs</t>
  </si>
  <si>
    <t>Petroleum - Motor Oil</t>
  </si>
  <si>
    <t>85-01-8</t>
  </si>
  <si>
    <t>Phenanthrene [PAH]</t>
  </si>
  <si>
    <t>Pyrene [PAH]</t>
  </si>
  <si>
    <t>Teir 1 Comparison</t>
  </si>
  <si>
    <t>Groundwater (µg/L)</t>
  </si>
  <si>
    <t>Senior Water Resource Control Engineer</t>
  </si>
  <si>
    <t>Angus Chan, PE</t>
  </si>
  <si>
    <t>MCL (HI Calc)</t>
  </si>
  <si>
    <t>&lt; 0.01 (HI Calc)</t>
  </si>
  <si>
    <t xml:space="preserve"> - PFAS Mixtures: The hazard index (HI) should be equal to or less than 1 for mixtures of two or more of the following PFAS: PFNA, PFHxS, HFPO-DA, and PFBS. See User's Guide Section 3.6.6 for more information on the HI calculation. </t>
  </si>
  <si>
    <t>PFAS non cancer MCL</t>
  </si>
  <si>
    <t xml:space="preserve"> - PFAS Mixture MCL Hazard Index (HI) Calculation (Calc): The HI should be equal to or less than 1 for mixtures of two or more of the following PFAS: 
   PFNA, PFHxS, HFPO-DA, and PFBS. See ESL User's Guide Section 3.6.6 for more information on the PFAS MCL HI Calc. </t>
  </si>
  <si>
    <t xml:space="preserve"> - PFAS Mixture MCL Hazard Index (HI) Calculation (Calc): The HI should be equal to or less than 1 for mixtures of two or more of the following PFAS: PFNA, PFHxS, HFPO-DA, and PFBS. See ESL User's Guide 
   Section 3.6.6 for more information on the PFAS MCL HI Calc. </t>
  </si>
  <si>
    <t xml:space="preserve">- PFAS Mixture MCL Hazard Index (HI) Calculaions (Calc) - The hazard index (HI) should be equal to or less than 1 for mixtures of two or more of the following PFAS: PFNA, PFHxS, HFPO-DA, and PFBS. See User's Guide Section 3.6.6 for more information on the PFAS MCL HI Calc (USEPA 2024).  </t>
  </si>
  <si>
    <t>&lt; 2.0 (HI Calc)</t>
  </si>
  <si>
    <t>1 -The Soil ESLs are intended to be compared to soil data reported on a dry-weight basis. See User's Guide Section 12.6.2.</t>
  </si>
  <si>
    <t xml:space="preserve"> - Elemental Mercury - The Accelerated Response Level is OEHHA's acute Reference Exposure Level (OEHHA 2015) and the Urgent Response Level is ATSDR's action level for isolation (e.g., evacuation, limited access, etc.) prepared for USEPA (ATSDR 2012).</t>
  </si>
  <si>
    <t>n-Hexane (RfD, RfC, H')</t>
  </si>
  <si>
    <t>Mid range aliphatic
hydrocarbon streams (RfD &amp; RfC),
 n-nonane (H')</t>
  </si>
  <si>
    <t>White mineral oil
(RfD &amp; H')</t>
  </si>
  <si>
    <t>C9 aromatic mixtures
(RfD &amp; RfC)</t>
  </si>
  <si>
    <t>Fluoranthene
(RfD)</t>
  </si>
  <si>
    <t>Email: RB2-ESLs@waterboards.ca.gov</t>
  </si>
  <si>
    <t>Drinking Water Trigger Level (µg/L)</t>
  </si>
  <si>
    <t>Vapor Intrusion Trigger Level Response 
Action</t>
  </si>
  <si>
    <t xml:space="preserve">    -- Henry's Law Constants (unitless) are based on values from the corresponding USEPA RSL TPH fractions (RSL chemical-specific parameters table)
     and surrogates for the following fractions: n-nonane (Fraction 2); white mineral oil (Fraction 3); benzene (Fraction 4), average of 1,3,5-
     trimethylbenzene, 1,2,4-trimethylbenzene, and 1,2,3-trimethylbenzene (Fraction 5); n-hexane (Fraction 1) and fluoranthene (Fraction 6) are based on USEPA 2009c (see FAQ 
     16.5.6 and 16.5.7).</t>
  </si>
  <si>
    <t xml:space="preserve">    -- Noncancer toxicity values are from USEPA (2009c and 2022).</t>
  </si>
  <si>
    <r>
      <rPr>
        <sz val="8"/>
        <rFont val="Symbol"/>
        <family val="1"/>
        <charset val="2"/>
      </rPr>
      <t>g</t>
    </r>
    <r>
      <rPr>
        <sz val="8"/>
        <rFont val="Arial"/>
        <family val="2"/>
      </rPr>
      <t>-Hexachlorocyclohexane (Lindane)</t>
    </r>
  </si>
  <si>
    <r>
      <rPr>
        <sz val="18"/>
        <rFont val="Symbol"/>
        <family val="1"/>
        <charset val="2"/>
      </rPr>
      <t>g</t>
    </r>
    <r>
      <rPr>
        <sz val="18"/>
        <rFont val="Arial"/>
        <family val="2"/>
      </rPr>
      <t>-Hexachlorocyclohexane (Lindane)</t>
    </r>
  </si>
  <si>
    <r>
      <rPr>
        <sz val="10"/>
        <rFont val="Symbol"/>
        <family val="1"/>
        <charset val="2"/>
      </rPr>
      <t>g</t>
    </r>
    <r>
      <rPr>
        <sz val="10"/>
        <rFont val="Arial"/>
        <family val="2"/>
      </rPr>
      <t>-Hexachlorocyclohexane (Lindane)</t>
    </r>
  </si>
  <si>
    <t>Short-Term Exposure Levels</t>
  </si>
  <si>
    <t xml:space="preserve"> 3 - The Soil ESLs are intended to be compared to soil data reported on a dry-weight basis. See User's Guide Section 12.6.2.</t>
  </si>
  <si>
    <t xml:space="preserve"> 2 - Generic Conceptual Site Model - See User's Guide Chapter 2. Input settings are: 
      Land Use = Residential
      Groundwater Use = Drinking Water Resource
      MCL Priority over Risk-Based Levels = Yes
      Discharge to Surface Water = Saltwater &amp; Freshwater
      Vegetation Level = Substantial
      Soil Exposure Depth = Shallow</t>
  </si>
  <si>
    <t xml:space="preserve"> 1 - ESLs are developed based on methodologies discussed in the User's Guide. Evaluation of laboratory detection limits and naturally occurring 
     background or ambient concentrations should be independently conducted. See User's Guide Chapter 12 (Additional Considerations) for further 
     information.</t>
  </si>
  <si>
    <t>GI ABS</t>
  </si>
  <si>
    <t>1 - See User's Guide Chapter 3 for further information about direct exposure human health risk screening levels.</t>
  </si>
  <si>
    <t xml:space="preserve"> - Petroleum Hydrocarbons Mixtures: Toxicity values are based on the soluble fractions of petroleum chemicals. See User's Guide Chapter 4 and Table IP-9 for further information.</t>
  </si>
  <si>
    <t xml:space="preserve"> - Cadmium (Soil) - No groundwater values are listed since groundwater ESLs only apply to dissolved chemicals.</t>
  </si>
  <si>
    <t xml:space="preserve"> - Cadmium (Soil) - Groundwater ESLs only apply to dissolved chemicals therefore no values are listed for Cadmium (soil).</t>
  </si>
  <si>
    <t xml:space="preserve"> - Petroleum inputs are based on the chemical fractions expected in soil   </t>
  </si>
  <si>
    <t xml:space="preserve"> - Perchlorate - An alternative chemical partitioning model presented in the USEPA Soil Screening Level Guidance document (USEPA 1996b) was used (See ESL User's Guide).</t>
  </si>
  <si>
    <r>
      <t>2 - Chemicals are considered to be volatile if vapor pressure &gt; 1 millimeter mercury or Henry's Law constant (atm m</t>
    </r>
    <r>
      <rPr>
        <vertAlign val="superscript"/>
        <sz val="8"/>
        <rFont val="Arial"/>
        <family val="2"/>
      </rPr>
      <t>3</t>
    </r>
    <r>
      <rPr>
        <sz val="8"/>
        <rFont val="Arial"/>
        <family val="2"/>
      </rPr>
      <t>/mole) &gt;10</t>
    </r>
    <r>
      <rPr>
        <vertAlign val="superscript"/>
        <sz val="8"/>
        <rFont val="Arial"/>
        <family val="2"/>
      </rPr>
      <t>-5</t>
    </r>
    <r>
      <rPr>
        <sz val="8"/>
        <rFont val="Arial"/>
        <family val="2"/>
      </rPr>
      <t xml:space="preserve">. </t>
    </r>
  </si>
  <si>
    <t>3 - Sources of Nuisance Odor Parameters:</t>
  </si>
  <si>
    <t xml:space="preserve">1 - User's Guide Chapter 3 presents the basis for all toxicity values except petroleum mixtures, for which the basis is presented in User's Guide Chapter 4. The toxicity value hierarchy used here was updated for consistency with California Code of Regulations, Title 22, Division 4.5, sections 68400.5, 69020-69022 (“Toxicity Criteria for Human Health Risk Assessment”), effective September 4, 2018. </t>
  </si>
  <si>
    <t>Selected SFo (max)</t>
  </si>
  <si>
    <t xml:space="preserve">   -- Selenium: The Saltwater Other Criteria value of 0.5 µg/L is a dissolved total value, where "total" refers to the addition of all selenium species. This is the Total Maximum Daily Load target based on Board Resolution R2-2015-0048, which was approved by USEPA in 2016. 
        The California Toxics Rule criteria are for total recoverable, rather than dissolved, concentrations.</t>
  </si>
  <si>
    <t>User's Guide Chapter 6 presents the basis for the short-term exposure levels for trichloroethene and elemental mercury in groundwater, soil gas, and indoor air.</t>
  </si>
  <si>
    <r>
      <rPr>
        <b/>
        <sz val="14"/>
        <rFont val="Arial"/>
        <family val="2"/>
      </rPr>
      <t>** Mitigation</t>
    </r>
    <r>
      <rPr>
        <sz val="14"/>
        <rFont val="Arial"/>
        <family val="2"/>
      </rPr>
      <t xml:space="preserve"> - Potential responses include but are not limited to the following:</t>
    </r>
  </si>
  <si>
    <r>
      <t xml:space="preserve">*  </t>
    </r>
    <r>
      <rPr>
        <b/>
        <sz val="14"/>
        <rFont val="Arial"/>
        <family val="2"/>
      </rPr>
      <t>Notification</t>
    </r>
    <r>
      <rPr>
        <sz val="14"/>
        <rFont val="Arial"/>
        <family val="2"/>
      </rPr>
      <t xml:space="preserve"> - Notify owners and occupants of buildings with impacted indoor air, and owners and users of impacted drinking water wells as soon as possible. Regulators should assess the need for Proposition 65 notices to public health and county officials when results exceed drinking water or 
   indoor air Response Levels.  </t>
    </r>
  </si>
  <si>
    <t xml:space="preserve">     - Drinking Water Exposure: Prompt mitigation such as well head treatment or providing alternative water supply</t>
  </si>
  <si>
    <t xml:space="preserve">     - Residential Indoor Air Exposure: Prompt mitigation such as increasing ventilation, sealing potential conduits, or treating indoor air</t>
  </si>
  <si>
    <t xml:space="preserve">     - Commercial Indoor Air Exposure: Prompt mitigation such as increasing use of HVAC (e.g., increasing outdoor air intake, increasing building pressurization), sealing potential conduits, or treating indoor air</t>
  </si>
  <si>
    <t>HOPs - Hydrocarbon Oxidation Products (biodegradation metabolites and photo-oxidation products of petroleum hydrocarbons). 
              See User's Guide Chapter 4 for further information.</t>
  </si>
  <si>
    <r>
      <t>Da
Apparent
Diffusivity (cm</t>
    </r>
    <r>
      <rPr>
        <b/>
        <vertAlign val="superscript"/>
        <sz val="8"/>
        <rFont val="Arial"/>
        <family val="2"/>
      </rPr>
      <t>2</t>
    </r>
    <r>
      <rPr>
        <b/>
        <sz val="8"/>
        <rFont val="Arial"/>
        <family val="2"/>
      </rPr>
      <t>/sec)</t>
    </r>
  </si>
  <si>
    <t xml:space="preserve">The Environmental Screening Level User's Guide corresponding to the 2025 update 
should be used in conjunction with this Workbook. User's Guide Chapter 2 provides a Step-by-Step Guide for use of the Workbook.  </t>
  </si>
  <si>
    <t xml:space="preserve"> - Lead: Noncancer direct-exposure screening levels for lead are based on blood lead modeling with central tendency soil ingestion rate inputs. The residential levels were modeled using the DTSC LeadSpread Model 9. The commercial/industrial worker and construction worker levels were modeled using the DTSC-modified USEPA Adult Lead Model.</t>
  </si>
  <si>
    <t>Commercial/
Industrial: 
Shallow Soil 
Exposure</t>
  </si>
  <si>
    <t>EC22 - EC35</t>
  </si>
  <si>
    <t>2025 (Rev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</si>
</sst>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_(* \(#,##0.00\);_(* &quot;-&quot;??_);_(@_)"/>
    <numFmt numFmtId="164" formatCode="0.0"/>
    <numFmt numFmtId="165" formatCode="0.0000"/>
    <numFmt numFmtId="166" formatCode="0.000"/>
    <numFmt numFmtId="167" formatCode="0.0E+00"/>
    <numFmt numFmtId="168" formatCode="0.0E+00;;;&quot;No Value&quot;"/>
    <numFmt numFmtId="169" formatCode="0.0E+00;;&quot;No Value&quot;;&quot;No Value&quot;"/>
    <numFmt numFmtId="170" formatCode="0.0E+00;;&quot;No Value&quot;;&quot;--&quot;"/>
    <numFmt numFmtId="171" formatCode="0.0E+00;;&quot;--&quot;;&quot;No Value&quot;"/>
    <numFmt numFmtId="172" formatCode="#,##0.00000"/>
    <numFmt numFmtId="173" formatCode="########0"/>
    <numFmt numFmtId="174" formatCode="######0.0"/>
    <numFmt numFmtId="175" formatCode="#####0.00"/>
    <numFmt numFmtId="176" formatCode="####0.000"/>
    <numFmt numFmtId="177" formatCode="##0.00000"/>
    <numFmt numFmtId="178" formatCode="###0.0000"/>
    <numFmt numFmtId="179" formatCode="#,##0.0000"/>
  </numFmts>
  <fonts count="144">
    <font>
      <sz val="10"/>
      <name val="Arial"/>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8"/>
      <name val="Arial"/>
      <family val="2"/>
    </font>
    <font>
      <b/>
      <sz val="12"/>
      <name val="Arial"/>
      <family val="2"/>
    </font>
    <font>
      <b/>
      <sz val="11"/>
      <name val="Arial"/>
      <family val="2"/>
    </font>
    <font>
      <sz val="10"/>
      <name val="Arial"/>
      <family val="2"/>
    </font>
    <font>
      <b/>
      <vertAlign val="superscript"/>
      <sz val="8"/>
      <name val="Arial"/>
      <family val="2"/>
    </font>
    <font>
      <i/>
      <sz val="8"/>
      <name val="Arial"/>
      <family val="2"/>
    </font>
    <font>
      <vertAlign val="superscript"/>
      <sz val="8"/>
      <name val="Arial"/>
      <family val="2"/>
    </font>
    <font>
      <b/>
      <vertAlign val="subscript"/>
      <sz val="8"/>
      <name val="Arial"/>
      <family val="2"/>
    </font>
    <font>
      <b/>
      <sz val="8"/>
      <color indexed="10"/>
      <name val="Arial"/>
      <family val="2"/>
    </font>
    <font>
      <vertAlign val="subscript"/>
      <sz val="8"/>
      <name val="Arial"/>
      <family val="2"/>
    </font>
    <font>
      <b/>
      <sz val="10"/>
      <name val="Arial"/>
      <family val="2"/>
    </font>
    <font>
      <sz val="12"/>
      <name val="Times New Roman"/>
      <family val="1"/>
    </font>
    <font>
      <sz val="8"/>
      <name val="Arial"/>
      <family val="2"/>
    </font>
    <font>
      <sz val="8"/>
      <name val="Symbol"/>
      <family val="1"/>
      <charset val="2"/>
    </font>
    <font>
      <sz val="9"/>
      <name val="Arial"/>
      <family val="2"/>
    </font>
    <font>
      <b/>
      <sz val="9"/>
      <name val="Arial"/>
      <family val="2"/>
    </font>
    <font>
      <b/>
      <sz val="14"/>
      <name val="Arial"/>
      <family val="2"/>
    </font>
    <font>
      <sz val="10"/>
      <color rgb="FFFF0000"/>
      <name val="Arial"/>
      <family val="2"/>
    </font>
    <font>
      <sz val="12"/>
      <name val="Arial"/>
      <family val="2"/>
    </font>
    <font>
      <b/>
      <sz val="18"/>
      <name val="Arial"/>
      <family val="2"/>
    </font>
    <font>
      <b/>
      <sz val="14"/>
      <color theme="1"/>
      <name val="Arial"/>
      <family val="2"/>
    </font>
    <font>
      <b/>
      <sz val="12"/>
      <color theme="1"/>
      <name val="Arial"/>
      <family val="2"/>
    </font>
    <font>
      <b/>
      <sz val="12"/>
      <color indexed="10"/>
      <name val="Arial"/>
      <family val="2"/>
    </font>
    <font>
      <sz val="11"/>
      <name val="Arial"/>
      <family val="2"/>
    </font>
    <font>
      <vertAlign val="superscript"/>
      <sz val="12"/>
      <name val="Arial"/>
      <family val="2"/>
    </font>
    <font>
      <b/>
      <sz val="16"/>
      <name val="Arial"/>
      <family val="2"/>
    </font>
    <font>
      <b/>
      <vertAlign val="superscript"/>
      <sz val="12"/>
      <name val="Arial"/>
      <family val="2"/>
    </font>
    <font>
      <sz val="12"/>
      <color theme="1"/>
      <name val="Arial"/>
      <family val="2"/>
    </font>
    <font>
      <sz val="10"/>
      <name val="Arial"/>
      <family val="2"/>
    </font>
    <font>
      <b/>
      <sz val="10"/>
      <color theme="0"/>
      <name val="Arial"/>
      <family val="2"/>
    </font>
    <font>
      <b/>
      <sz val="15"/>
      <name val="Arial"/>
      <family val="2"/>
    </font>
    <font>
      <sz val="8"/>
      <color rgb="FFFF0000"/>
      <name val="Arial"/>
      <family val="2"/>
    </font>
    <font>
      <b/>
      <sz val="8"/>
      <color rgb="FFFF0000"/>
      <name val="Arial"/>
      <family val="2"/>
    </font>
    <font>
      <b/>
      <vertAlign val="superscript"/>
      <sz val="10"/>
      <name val="Arial"/>
      <family val="2"/>
    </font>
    <font>
      <sz val="12"/>
      <color rgb="FFFF0000"/>
      <name val="Arial"/>
      <family val="2"/>
    </font>
    <font>
      <sz val="8"/>
      <color rgb="FFFF5050"/>
      <name val="Arial"/>
      <family val="2"/>
    </font>
    <font>
      <sz val="8"/>
      <color theme="9"/>
      <name val="Arial"/>
      <family val="2"/>
    </font>
    <font>
      <vertAlign val="superscript"/>
      <sz val="10"/>
      <name val="Arial"/>
      <family val="2"/>
    </font>
    <font>
      <sz val="14"/>
      <name val="Arial"/>
      <family val="2"/>
    </font>
    <font>
      <b/>
      <sz val="20"/>
      <name val="Arial"/>
      <family val="2"/>
    </font>
    <font>
      <b/>
      <sz val="18"/>
      <color theme="1"/>
      <name val="Arial"/>
      <family val="2"/>
    </font>
    <font>
      <sz val="18"/>
      <name val="Arial"/>
      <family val="2"/>
    </font>
    <font>
      <b/>
      <sz val="12"/>
      <color rgb="FFFF0000"/>
      <name val="Arial"/>
      <family val="2"/>
    </font>
    <font>
      <sz val="10"/>
      <color rgb="FF000000"/>
      <name val="Arial"/>
      <family val="2"/>
    </font>
    <font>
      <sz val="10"/>
      <name val="AFr"/>
    </font>
    <font>
      <b/>
      <sz val="12"/>
      <color theme="0"/>
      <name val="Arial"/>
      <family val="2"/>
    </font>
    <font>
      <sz val="15"/>
      <color rgb="FFC00000"/>
      <name val="Arial"/>
      <family val="2"/>
    </font>
    <font>
      <b/>
      <sz val="50"/>
      <name val="Arial"/>
      <family val="2"/>
    </font>
    <font>
      <sz val="50"/>
      <name val="Arial"/>
      <family val="2"/>
    </font>
    <font>
      <b/>
      <sz val="40"/>
      <name val="Arial"/>
      <family val="2"/>
    </font>
    <font>
      <b/>
      <sz val="35"/>
      <name val="Arial"/>
      <family val="2"/>
    </font>
    <font>
      <b/>
      <vertAlign val="superscript"/>
      <sz val="35"/>
      <name val="Arial"/>
      <family val="2"/>
    </font>
    <font>
      <b/>
      <sz val="12"/>
      <color rgb="FFC00000"/>
      <name val="Arial"/>
      <family val="2"/>
    </font>
    <font>
      <b/>
      <sz val="30"/>
      <name val="Arial"/>
      <family val="2"/>
    </font>
    <font>
      <b/>
      <vertAlign val="subscript"/>
      <sz val="10"/>
      <name val="Arial"/>
      <family val="2"/>
    </font>
    <font>
      <b/>
      <sz val="10"/>
      <color theme="1"/>
      <name val="Arial"/>
      <family val="2"/>
    </font>
    <font>
      <b/>
      <vertAlign val="superscript"/>
      <sz val="10"/>
      <color theme="1"/>
      <name val="Arial"/>
      <family val="2"/>
    </font>
    <font>
      <b/>
      <vertAlign val="superscript"/>
      <sz val="10"/>
      <color theme="0"/>
      <name val="Arial"/>
      <family val="2"/>
    </font>
    <font>
      <b/>
      <sz val="11"/>
      <color theme="0"/>
      <name val="Arial"/>
      <family val="2"/>
    </font>
    <font>
      <b/>
      <sz val="11"/>
      <color theme="1"/>
      <name val="Arial"/>
      <family val="2"/>
    </font>
    <font>
      <b/>
      <vertAlign val="superscript"/>
      <sz val="18"/>
      <name val="Arial"/>
      <family val="2"/>
    </font>
    <font>
      <sz val="18"/>
      <color rgb="FFC00000"/>
      <name val="Arial"/>
      <family val="2"/>
    </font>
    <font>
      <u/>
      <sz val="18"/>
      <color rgb="FFC00000"/>
      <name val="Arial"/>
      <family val="2"/>
    </font>
    <font>
      <b/>
      <sz val="24"/>
      <name val="Arial"/>
      <family val="2"/>
    </font>
    <font>
      <sz val="12"/>
      <color theme="0"/>
      <name val="Arial"/>
      <family val="2"/>
    </font>
    <font>
      <b/>
      <sz val="10"/>
      <color theme="0"/>
      <name val="Calibri"/>
      <family val="2"/>
    </font>
    <font>
      <b/>
      <vertAlign val="superscript"/>
      <sz val="14"/>
      <name val="Arial"/>
      <family val="2"/>
    </font>
    <font>
      <sz val="8"/>
      <name val="Calibri"/>
      <family val="2"/>
    </font>
    <font>
      <b/>
      <sz val="14"/>
      <color rgb="FFFF0000"/>
      <name val="Arial"/>
      <family val="2"/>
    </font>
    <font>
      <b/>
      <sz val="9"/>
      <color indexed="10"/>
      <name val="Arial"/>
      <family val="2"/>
    </font>
    <font>
      <b/>
      <sz val="9"/>
      <color rgb="FFFF0000"/>
      <name val="Arial"/>
      <family val="2"/>
    </font>
    <font>
      <b/>
      <vertAlign val="superscript"/>
      <sz val="11"/>
      <name val="Arial"/>
      <family val="2"/>
    </font>
    <font>
      <b/>
      <u/>
      <sz val="10"/>
      <name val="Arial"/>
      <family val="2"/>
    </font>
    <font>
      <sz val="10"/>
      <name val="Calibri"/>
      <family val="2"/>
    </font>
    <font>
      <b/>
      <u/>
      <sz val="11"/>
      <name val="Arial"/>
      <family val="2"/>
    </font>
    <font>
      <b/>
      <sz val="16"/>
      <color theme="1"/>
      <name val="Arial"/>
      <family val="2"/>
    </font>
    <font>
      <b/>
      <u/>
      <sz val="16"/>
      <color theme="1"/>
      <name val="Arial"/>
      <family val="2"/>
    </font>
    <font>
      <b/>
      <sz val="18"/>
      <color rgb="FFFF0000"/>
      <name val="Arial"/>
      <family val="2"/>
    </font>
    <font>
      <sz val="16"/>
      <name val="Arial"/>
      <family val="2"/>
    </font>
    <font>
      <b/>
      <sz val="14"/>
      <color theme="0"/>
      <name val="Arial"/>
      <family val="2"/>
    </font>
    <font>
      <i/>
      <sz val="16"/>
      <name val="Arial"/>
      <family val="2"/>
    </font>
    <font>
      <b/>
      <u/>
      <sz val="15"/>
      <name val="Arial"/>
      <family val="2"/>
    </font>
    <font>
      <sz val="18"/>
      <color theme="1"/>
      <name val="Arial"/>
      <family val="2"/>
    </font>
    <font>
      <sz val="8"/>
      <color theme="1"/>
      <name val="Arial"/>
      <family val="2"/>
    </font>
    <font>
      <b/>
      <vertAlign val="superscript"/>
      <sz val="20"/>
      <name val="Arial"/>
      <family val="2"/>
    </font>
    <font>
      <b/>
      <vertAlign val="superscript"/>
      <sz val="12"/>
      <color rgb="FFC00000"/>
      <name val="Arial"/>
      <family val="2"/>
    </font>
    <font>
      <b/>
      <vertAlign val="superscript"/>
      <sz val="15"/>
      <name val="Arial"/>
      <family val="2"/>
    </font>
    <font>
      <b/>
      <vertAlign val="superscript"/>
      <sz val="16"/>
      <name val="Arial"/>
      <family val="2"/>
    </font>
    <font>
      <b/>
      <sz val="8"/>
      <name val="Times New Roman"/>
      <family val="1"/>
    </font>
    <font>
      <b/>
      <vertAlign val="superscript"/>
      <sz val="11"/>
      <color theme="1"/>
      <name val="Arial"/>
      <family val="2"/>
    </font>
    <font>
      <vertAlign val="superscript"/>
      <sz val="10"/>
      <color theme="1"/>
      <name val="Arial"/>
      <family val="2"/>
    </font>
    <font>
      <u/>
      <sz val="10"/>
      <color theme="10"/>
      <name val="Arial"/>
      <family val="2"/>
    </font>
    <font>
      <b/>
      <sz val="10"/>
      <color indexed="10"/>
      <name val="Arial"/>
      <family val="2"/>
    </font>
    <font>
      <sz val="12"/>
      <color rgb="FF000000"/>
      <name val="Arial"/>
      <family val="2"/>
    </font>
    <font>
      <b/>
      <u/>
      <sz val="12"/>
      <color theme="10"/>
      <name val="Arial"/>
      <family val="2"/>
    </font>
    <font>
      <b/>
      <sz val="14"/>
      <color rgb="FF0070C0"/>
      <name val="Arial"/>
      <family val="2"/>
    </font>
    <font>
      <b/>
      <sz val="14"/>
      <color rgb="FFC00000"/>
      <name val="Arial"/>
      <family val="2"/>
    </font>
    <font>
      <b/>
      <sz val="9"/>
      <color rgb="FFC00000"/>
      <name val="Arial"/>
      <family val="2"/>
    </font>
    <font>
      <sz val="10"/>
      <color rgb="FFC00000"/>
      <name val="Arial"/>
      <family val="2"/>
    </font>
    <font>
      <sz val="12"/>
      <color rgb="FFC00000"/>
      <name val="Arial"/>
      <family val="2"/>
    </font>
    <font>
      <b/>
      <sz val="16"/>
      <color rgb="FFC00000"/>
      <name val="Arial"/>
      <family val="2"/>
    </font>
    <font>
      <b/>
      <sz val="11"/>
      <color rgb="FFC00000"/>
      <name val="Arial"/>
      <family val="2"/>
    </font>
    <font>
      <sz val="8"/>
      <name val="Arial"/>
      <family val="2"/>
    </font>
    <font>
      <sz val="8"/>
      <color theme="0"/>
      <name val="Arial"/>
      <family val="2"/>
    </font>
    <font>
      <sz val="10"/>
      <name val="Aptos Narrow"/>
      <family val="2"/>
    </font>
    <font>
      <sz val="8"/>
      <name val="Aptos Narrow"/>
      <family val="2"/>
    </font>
    <font>
      <sz val="12"/>
      <name val="Calibri"/>
      <family val="2"/>
    </font>
    <font>
      <sz val="11"/>
      <name val="Calibri"/>
      <family val="2"/>
    </font>
    <font>
      <sz val="12"/>
      <color rgb="FF000000"/>
      <name val="Calibri"/>
      <family val="2"/>
    </font>
    <font>
      <sz val="11"/>
      <color rgb="FF000000"/>
      <name val="Calibri"/>
      <family val="2"/>
    </font>
    <font>
      <sz val="8"/>
      <name val="Arial"/>
      <family val="2"/>
    </font>
    <font>
      <sz val="13"/>
      <color rgb="FF1B1B1B"/>
      <name val="Arial"/>
      <family val="2"/>
    </font>
    <font>
      <u/>
      <sz val="18"/>
      <name val="Arial"/>
      <family val="2"/>
    </font>
    <font>
      <b/>
      <vertAlign val="superscript"/>
      <sz val="50"/>
      <name val="Arial"/>
      <family val="2"/>
    </font>
    <font>
      <sz val="11"/>
      <name val="Calibri"/>
      <family val="2"/>
      <scheme val="minor"/>
    </font>
    <font>
      <b/>
      <sz val="8"/>
      <color theme="0"/>
      <name val="Arial"/>
      <family val="2"/>
    </font>
    <font>
      <b/>
      <vertAlign val="superscript"/>
      <sz val="8"/>
      <color theme="0"/>
      <name val="Arial"/>
      <family val="2"/>
    </font>
    <font>
      <sz val="12"/>
      <color rgb="FF000000"/>
      <name val="Helvetica"/>
    </font>
    <font>
      <vertAlign val="superscript"/>
      <sz val="12"/>
      <color rgb="FF000000"/>
      <name val="Helvetica"/>
    </font>
    <font>
      <vertAlign val="subscript"/>
      <sz val="12"/>
      <color rgb="FF000000"/>
      <name val="Helvetica"/>
    </font>
    <font>
      <sz val="10"/>
      <color theme="0"/>
      <name val="Arial"/>
      <family val="2"/>
    </font>
    <font>
      <b/>
      <sz val="8"/>
      <color theme="1"/>
      <name val="Arial"/>
      <family val="2"/>
    </font>
    <font>
      <b/>
      <vertAlign val="superscript"/>
      <sz val="8"/>
      <color theme="1"/>
      <name val="Arial"/>
      <family val="2"/>
    </font>
    <font>
      <b/>
      <sz val="20"/>
      <color theme="0"/>
      <name val="Arial"/>
      <family val="2"/>
    </font>
    <font>
      <b/>
      <sz val="8"/>
      <color theme="0"/>
      <name val="Times New Roman"/>
      <family val="1"/>
    </font>
    <font>
      <b/>
      <vertAlign val="subscript"/>
      <sz val="8"/>
      <color theme="0"/>
      <name val="Arial"/>
      <family val="2"/>
    </font>
    <font>
      <vertAlign val="superscript"/>
      <sz val="11"/>
      <color rgb="FF000000"/>
      <name val="Calibri"/>
      <family val="2"/>
    </font>
    <font>
      <vertAlign val="superscript"/>
      <sz val="11"/>
      <color theme="1"/>
      <name val="Calibri"/>
      <family val="2"/>
      <scheme val="minor"/>
    </font>
    <font>
      <vertAlign val="superscript"/>
      <sz val="10"/>
      <color rgb="FF000000"/>
      <name val="Arial"/>
      <family val="2"/>
    </font>
    <font>
      <sz val="10"/>
      <name val="Arial"/>
    </font>
    <font>
      <sz val="11"/>
      <color rgb="FFFF0000"/>
      <name val="Calibri"/>
      <family val="2"/>
      <scheme val="minor"/>
    </font>
    <font>
      <b/>
      <sz val="10"/>
      <color rgb="FFFF0000"/>
      <name val="Arial"/>
      <family val="2"/>
    </font>
    <font>
      <sz val="10"/>
      <color theme="6"/>
      <name val="Arial"/>
      <family val="2"/>
    </font>
    <font>
      <sz val="8"/>
      <name val="Arial"/>
      <family val="1"/>
      <charset val="2"/>
    </font>
    <font>
      <sz val="18"/>
      <name val="Symbol"/>
      <family val="1"/>
      <charset val="2"/>
    </font>
    <font>
      <sz val="18"/>
      <name val="Arial"/>
      <family val="1"/>
      <charset val="2"/>
    </font>
    <font>
      <sz val="10"/>
      <name val="Symbol"/>
      <family val="1"/>
      <charset val="2"/>
    </font>
    <font>
      <sz val="10"/>
      <name val="Arial"/>
      <family val="1"/>
      <charset val="2"/>
    </font>
  </fonts>
  <fills count="62">
    <fill>
      <patternFill patternType="none"/>
    </fill>
    <fill>
      <patternFill patternType="gray125"/>
    </fill>
    <fill>
      <patternFill patternType="solid">
        <fgColor indexed="48"/>
        <bgColor indexed="64"/>
      </patternFill>
    </fill>
    <fill>
      <patternFill patternType="solid">
        <fgColor indexed="47"/>
        <bgColor indexed="64"/>
      </patternFill>
    </fill>
    <fill>
      <patternFill patternType="solid">
        <fgColor indexed="34"/>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theme="7" tint="0.39997558519241921"/>
        <bgColor indexed="64"/>
      </patternFill>
    </fill>
    <fill>
      <patternFill patternType="solid">
        <fgColor rgb="FFFFFFFF"/>
        <bgColor indexed="64"/>
      </patternFill>
    </fill>
    <fill>
      <patternFill patternType="solid">
        <fgColor theme="1"/>
        <bgColor indexed="64"/>
      </patternFill>
    </fill>
    <fill>
      <patternFill patternType="solid">
        <fgColor rgb="FFC0C0FF"/>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6337778862885"/>
        <bgColor indexed="64"/>
      </patternFill>
    </fill>
    <fill>
      <patternFill patternType="solid">
        <fgColor theme="3"/>
        <bgColor indexed="64"/>
      </patternFill>
    </fill>
    <fill>
      <patternFill patternType="solid">
        <fgColor theme="5" tint="-0.249977111117893"/>
        <bgColor indexed="64"/>
      </patternFill>
    </fill>
    <fill>
      <patternFill patternType="solid">
        <fgColor rgb="FFB7DEE8"/>
        <bgColor indexed="64"/>
      </patternFill>
    </fill>
    <fill>
      <patternFill patternType="solid">
        <fgColor rgb="FFC00000"/>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3" tint="0.59999389629810485"/>
        <bgColor indexed="64"/>
      </patternFill>
    </fill>
    <fill>
      <patternFill patternType="solid">
        <fgColor rgb="FFFBFCDA"/>
        <bgColor indexed="64"/>
      </patternFill>
    </fill>
    <fill>
      <patternFill patternType="solid">
        <fgColor theme="9"/>
        <bgColor indexed="64"/>
      </patternFill>
    </fill>
    <fill>
      <patternFill patternType="solid">
        <fgColor theme="5" tint="0.59999389629810485"/>
        <bgColor indexed="64"/>
      </patternFill>
    </fill>
    <fill>
      <patternFill patternType="solid">
        <fgColor rgb="FFD9D9D9"/>
        <bgColor indexed="64"/>
      </patternFill>
    </fill>
    <fill>
      <patternFill patternType="solid">
        <fgColor rgb="FF66FF99"/>
        <bgColor indexed="64"/>
      </patternFill>
    </fill>
    <fill>
      <patternFill patternType="solid">
        <fgColor rgb="FF336600"/>
        <bgColor indexed="64"/>
      </patternFill>
    </fill>
    <fill>
      <patternFill patternType="solid">
        <fgColor theme="2" tint="-0.249977111117893"/>
        <bgColor indexed="64"/>
      </patternFill>
    </fill>
    <fill>
      <patternFill patternType="solid">
        <fgColor rgb="FFCCFF99"/>
        <bgColor indexed="64"/>
      </patternFill>
    </fill>
    <fill>
      <patternFill patternType="solid">
        <fgColor rgb="FFFF99CC"/>
        <bgColor indexed="64"/>
      </patternFill>
    </fill>
    <fill>
      <patternFill patternType="solid">
        <fgColor rgb="FFFFFF99"/>
        <bgColor indexed="64"/>
      </patternFill>
    </fill>
    <fill>
      <patternFill patternType="solid">
        <fgColor rgb="FF00FFFF"/>
        <bgColor indexed="64"/>
      </patternFill>
    </fill>
    <fill>
      <patternFill patternType="solid">
        <fgColor rgb="FFCCCCFF"/>
        <bgColor indexed="64"/>
      </patternFill>
    </fill>
    <fill>
      <patternFill patternType="solid">
        <fgColor rgb="FF9966FF"/>
        <bgColor indexed="64"/>
      </patternFill>
    </fill>
    <fill>
      <patternFill patternType="solid">
        <fgColor rgb="FFFF9900"/>
        <bgColor indexed="64"/>
      </patternFill>
    </fill>
    <fill>
      <patternFill patternType="solid">
        <fgColor rgb="FFCCFFFF"/>
        <bgColor indexed="64"/>
      </patternFill>
    </fill>
    <fill>
      <patternFill patternType="solid">
        <fgColor rgb="FFE0E0E0"/>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rgb="FFFFFFFF"/>
        <bgColor rgb="FF000000"/>
      </patternFill>
    </fill>
    <fill>
      <patternFill patternType="solid">
        <fgColor rgb="FFCCFF99"/>
        <bgColor rgb="FF000000"/>
      </patternFill>
    </fill>
    <fill>
      <patternFill patternType="solid">
        <fgColor rgb="FFCCFFFF"/>
        <bgColor rgb="FF000000"/>
      </patternFill>
    </fill>
    <fill>
      <patternFill patternType="solid">
        <fgColor rgb="FFFFCC99"/>
        <bgColor rgb="FF000000"/>
      </patternFill>
    </fill>
    <fill>
      <patternFill patternType="solid">
        <fgColor rgb="FFCC99FF"/>
        <bgColor rgb="FF000000"/>
      </patternFill>
    </fill>
  </fills>
  <borders count="308">
    <border>
      <left/>
      <right/>
      <top/>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style="double">
        <color auto="1"/>
      </left>
      <right/>
      <top/>
      <bottom style="double">
        <color auto="1"/>
      </bottom>
      <diagonal/>
    </border>
    <border>
      <left/>
      <right/>
      <top/>
      <bottom style="double">
        <color auto="1"/>
      </bottom>
      <diagonal/>
    </border>
    <border>
      <left style="double">
        <color auto="1"/>
      </left>
      <right/>
      <top style="double">
        <color auto="1"/>
      </top>
      <bottom style="medium">
        <color auto="1"/>
      </bottom>
      <diagonal/>
    </border>
    <border>
      <left/>
      <right/>
      <top style="double">
        <color auto="1"/>
      </top>
      <bottom style="medium">
        <color auto="1"/>
      </bottom>
      <diagonal/>
    </border>
    <border>
      <left/>
      <right style="double">
        <color auto="1"/>
      </right>
      <top/>
      <bottom/>
      <diagonal/>
    </border>
    <border>
      <left/>
      <right/>
      <top/>
      <bottom style="medium">
        <color auto="1"/>
      </bottom>
      <diagonal/>
    </border>
    <border>
      <left/>
      <right style="double">
        <color auto="1"/>
      </right>
      <top/>
      <bottom style="medium">
        <color auto="1"/>
      </bottom>
      <diagonal/>
    </border>
    <border>
      <left/>
      <right/>
      <top/>
      <bottom style="thin">
        <color auto="1"/>
      </bottom>
      <diagonal/>
    </border>
    <border>
      <left/>
      <right style="double">
        <color auto="1"/>
      </right>
      <top/>
      <bottom style="thin">
        <color auto="1"/>
      </bottom>
      <diagonal/>
    </border>
    <border>
      <left/>
      <right style="double">
        <color auto="1"/>
      </right>
      <top style="double">
        <color auto="1"/>
      </top>
      <bottom style="thin">
        <color auto="1"/>
      </bottom>
      <diagonal/>
    </border>
    <border>
      <left/>
      <right style="double">
        <color auto="1"/>
      </right>
      <top style="thin">
        <color auto="1"/>
      </top>
      <bottom style="thin">
        <color auto="1"/>
      </bottom>
      <diagonal/>
    </border>
    <border>
      <left/>
      <right style="double">
        <color auto="1"/>
      </right>
      <top style="double">
        <color auto="1"/>
      </top>
      <bottom/>
      <diagonal/>
    </border>
    <border>
      <left/>
      <right style="double">
        <color auto="1"/>
      </right>
      <top/>
      <bottom style="double">
        <color auto="1"/>
      </bottom>
      <diagonal/>
    </border>
    <border>
      <left style="thin">
        <color auto="1"/>
      </left>
      <right style="double">
        <color auto="1"/>
      </right>
      <top style="double">
        <color auto="1"/>
      </top>
      <bottom style="medium">
        <color auto="1"/>
      </bottom>
      <diagonal/>
    </border>
    <border>
      <left/>
      <right style="thin">
        <color auto="1"/>
      </right>
      <top/>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medium">
        <color auto="1"/>
      </left>
      <right/>
      <top style="thin">
        <color auto="1"/>
      </top>
      <bottom style="thin">
        <color auto="1"/>
      </bottom>
      <diagonal/>
    </border>
    <border>
      <left style="medium">
        <color auto="1"/>
      </left>
      <right/>
      <top/>
      <bottom/>
      <diagonal/>
    </border>
    <border>
      <left style="thin">
        <color auto="1"/>
      </left>
      <right style="thin">
        <color auto="1"/>
      </right>
      <top/>
      <bottom/>
      <diagonal/>
    </border>
    <border>
      <left style="double">
        <color auto="1"/>
      </left>
      <right style="double">
        <color auto="1"/>
      </right>
      <top style="double">
        <color auto="1"/>
      </top>
      <bottom/>
      <diagonal/>
    </border>
    <border>
      <left/>
      <right style="thin">
        <color auto="1"/>
      </right>
      <top/>
      <bottom style="thin">
        <color auto="1"/>
      </bottom>
      <diagonal/>
    </border>
    <border>
      <left style="thin">
        <color auto="1"/>
      </left>
      <right/>
      <top/>
      <bottom/>
      <diagonal/>
    </border>
    <border>
      <left/>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double">
        <color auto="1"/>
      </right>
      <top style="medium">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double">
        <color auto="1"/>
      </right>
      <top/>
      <bottom style="thin">
        <color auto="1"/>
      </bottom>
      <diagonal/>
    </border>
    <border>
      <left/>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medium">
        <color auto="1"/>
      </right>
      <top style="thin">
        <color auto="1"/>
      </top>
      <bottom style="thin">
        <color auto="1"/>
      </bottom>
      <diagonal/>
    </border>
    <border>
      <left style="thin">
        <color auto="1"/>
      </left>
      <right style="thin">
        <color auto="1"/>
      </right>
      <top style="double">
        <color auto="1"/>
      </top>
      <bottom style="medium">
        <color auto="1"/>
      </bottom>
      <diagonal/>
    </border>
    <border>
      <left style="thin">
        <color auto="1"/>
      </left>
      <right style="double">
        <color auto="1"/>
      </right>
      <top style="thin">
        <color auto="1"/>
      </top>
      <bottom/>
      <diagonal/>
    </border>
    <border>
      <left/>
      <right style="thin">
        <color auto="1"/>
      </right>
      <top style="medium">
        <color auto="1"/>
      </top>
      <bottom/>
      <diagonal/>
    </border>
    <border>
      <left/>
      <right style="double">
        <color auto="1"/>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thin">
        <color auto="1"/>
      </bottom>
      <diagonal/>
    </border>
    <border>
      <left style="double">
        <color auto="1"/>
      </left>
      <right style="thin">
        <color auto="1"/>
      </right>
      <top style="double">
        <color auto="1"/>
      </top>
      <bottom style="medium">
        <color auto="1"/>
      </bottom>
      <diagonal/>
    </border>
    <border>
      <left style="double">
        <color auto="1"/>
      </left>
      <right style="double">
        <color auto="1"/>
      </right>
      <top style="double">
        <color auto="1"/>
      </top>
      <bottom style="double">
        <color auto="1"/>
      </bottom>
      <diagonal/>
    </border>
    <border>
      <left/>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thin">
        <color auto="1"/>
      </left>
      <right style="thin">
        <color auto="1"/>
      </right>
      <top/>
      <bottom style="double">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double">
        <color auto="1"/>
      </left>
      <right style="thin">
        <color auto="1"/>
      </right>
      <top style="medium">
        <color auto="1"/>
      </top>
      <bottom/>
      <diagonal/>
    </border>
    <border>
      <left style="double">
        <color auto="1"/>
      </left>
      <right style="thin">
        <color auto="1"/>
      </right>
      <top/>
      <bottom style="double">
        <color auto="1"/>
      </bottom>
      <diagonal/>
    </border>
    <border>
      <left style="medium">
        <color auto="1"/>
      </left>
      <right/>
      <top style="medium">
        <color auto="1"/>
      </top>
      <bottom/>
      <diagonal/>
    </border>
    <border>
      <left/>
      <right style="medium">
        <color auto="1"/>
      </right>
      <top/>
      <bottom/>
      <diagonal/>
    </border>
    <border>
      <left style="thin">
        <color auto="1"/>
      </left>
      <right style="thin">
        <color auto="1"/>
      </right>
      <top style="medium">
        <color auto="1"/>
      </top>
      <bottom style="thin">
        <color auto="1"/>
      </bottom>
      <diagonal/>
    </border>
    <border>
      <left/>
      <right style="thin">
        <color indexed="64"/>
      </right>
      <top style="thin">
        <color indexed="64"/>
      </top>
      <bottom/>
      <diagonal/>
    </border>
    <border>
      <left style="double">
        <color indexed="64"/>
      </left>
      <right style="thin">
        <color auto="1"/>
      </right>
      <top style="thin">
        <color indexed="64"/>
      </top>
      <bottom style="thin">
        <color indexed="64"/>
      </bottom>
      <diagonal/>
    </border>
    <border>
      <left/>
      <right/>
      <top style="thin">
        <color indexed="64"/>
      </top>
      <bottom/>
      <diagonal/>
    </border>
    <border>
      <left style="double">
        <color auto="1"/>
      </left>
      <right style="double">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indexed="64"/>
      </left>
      <right/>
      <top style="thin">
        <color indexed="64"/>
      </top>
      <bottom style="thin">
        <color auto="1"/>
      </bottom>
      <diagonal/>
    </border>
    <border>
      <left/>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style="thin">
        <color auto="1"/>
      </right>
      <top style="medium">
        <color auto="1"/>
      </top>
      <bottom/>
      <diagonal/>
    </border>
    <border>
      <left style="thin">
        <color indexed="64"/>
      </left>
      <right style="thin">
        <color indexed="64"/>
      </right>
      <top style="medium">
        <color indexed="64"/>
      </top>
      <bottom style="medium">
        <color indexed="64"/>
      </bottom>
      <diagonal/>
    </border>
    <border>
      <left style="thin">
        <color indexed="64"/>
      </left>
      <right style="double">
        <color auto="1"/>
      </right>
      <top style="double">
        <color auto="1"/>
      </top>
      <bottom/>
      <diagonal/>
    </border>
    <border>
      <left/>
      <right style="thin">
        <color auto="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right style="thin">
        <color auto="1"/>
      </right>
      <top style="medium">
        <color auto="1"/>
      </top>
      <bottom style="medium">
        <color auto="1"/>
      </bottom>
      <diagonal/>
    </border>
    <border>
      <left/>
      <right style="double">
        <color auto="1"/>
      </right>
      <top style="double">
        <color auto="1"/>
      </top>
      <bottom style="medium">
        <color auto="1"/>
      </bottom>
      <diagonal/>
    </border>
    <border>
      <left style="thin">
        <color auto="1"/>
      </left>
      <right style="medium">
        <color indexed="64"/>
      </right>
      <top style="medium">
        <color indexed="64"/>
      </top>
      <bottom style="medium">
        <color indexed="64"/>
      </bottom>
      <diagonal/>
    </border>
    <border>
      <left style="thin">
        <color auto="1"/>
      </left>
      <right/>
      <top style="medium">
        <color auto="1"/>
      </top>
      <bottom style="medium">
        <color indexed="64"/>
      </bottom>
      <diagonal/>
    </border>
    <border>
      <left style="thin">
        <color auto="1"/>
      </left>
      <right style="double">
        <color auto="1"/>
      </right>
      <top style="medium">
        <color auto="1"/>
      </top>
      <bottom/>
      <diagonal/>
    </border>
    <border>
      <left style="double">
        <color auto="1"/>
      </left>
      <right/>
      <top/>
      <bottom style="medium">
        <color indexed="64"/>
      </bottom>
      <diagonal/>
    </border>
    <border>
      <left style="medium">
        <color auto="1"/>
      </left>
      <right/>
      <top style="double">
        <color auto="1"/>
      </top>
      <bottom style="medium">
        <color auto="1"/>
      </bottom>
      <diagonal/>
    </border>
    <border>
      <left style="medium">
        <color auto="1"/>
      </left>
      <right/>
      <top/>
      <bottom style="double">
        <color auto="1"/>
      </bottom>
      <diagonal/>
    </border>
    <border>
      <left style="thin">
        <color auto="1"/>
      </left>
      <right/>
      <top/>
      <bottom style="double">
        <color auto="1"/>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medium">
        <color indexed="64"/>
      </bottom>
      <diagonal/>
    </border>
    <border>
      <left style="hair">
        <color indexed="64"/>
      </left>
      <right/>
      <top/>
      <bottom/>
      <diagonal/>
    </border>
    <border>
      <left style="hair">
        <color indexed="64"/>
      </left>
      <right/>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double">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auto="1"/>
      </left>
      <right/>
      <top style="double">
        <color indexed="64"/>
      </top>
      <bottom/>
      <diagonal/>
    </border>
    <border>
      <left style="double">
        <color indexed="64"/>
      </left>
      <right/>
      <top/>
      <bottom style="hair">
        <color indexed="64"/>
      </bottom>
      <diagonal/>
    </border>
    <border>
      <left style="medium">
        <color auto="1"/>
      </left>
      <right/>
      <top style="double">
        <color indexed="64"/>
      </top>
      <bottom style="thin">
        <color auto="1"/>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top/>
      <bottom style="medium">
        <color auto="1"/>
      </bottom>
      <diagonal/>
    </border>
    <border>
      <left/>
      <right style="thin">
        <color auto="1"/>
      </right>
      <top style="thin">
        <color auto="1"/>
      </top>
      <bottom style="thin">
        <color auto="1"/>
      </bottom>
      <diagonal/>
    </border>
    <border>
      <left style="medium">
        <color indexed="64"/>
      </left>
      <right style="medium">
        <color indexed="64"/>
      </right>
      <top/>
      <bottom style="medium">
        <color auto="1"/>
      </bottom>
      <diagonal/>
    </border>
    <border>
      <left style="thin">
        <color auto="1"/>
      </left>
      <right style="medium">
        <color indexed="64"/>
      </right>
      <top/>
      <bottom style="medium">
        <color auto="1"/>
      </bottom>
      <diagonal/>
    </border>
    <border>
      <left style="medium">
        <color auto="1"/>
      </left>
      <right style="thin">
        <color auto="1"/>
      </right>
      <top/>
      <bottom style="medium">
        <color auto="1"/>
      </bottom>
      <diagonal/>
    </border>
    <border>
      <left style="hair">
        <color indexed="64"/>
      </left>
      <right style="double">
        <color indexed="64"/>
      </right>
      <top style="double">
        <color indexed="64"/>
      </top>
      <bottom style="thin">
        <color indexed="64"/>
      </bottom>
      <diagonal/>
    </border>
    <border>
      <left style="medium">
        <color indexed="64"/>
      </left>
      <right style="hair">
        <color indexed="64"/>
      </right>
      <top style="double">
        <color indexed="64"/>
      </top>
      <bottom style="thin">
        <color indexed="64"/>
      </bottom>
      <diagonal/>
    </border>
    <border>
      <left/>
      <right style="medium">
        <color indexed="64"/>
      </right>
      <top/>
      <bottom style="medium">
        <color indexed="64"/>
      </bottom>
      <diagonal/>
    </border>
    <border>
      <left/>
      <right/>
      <top/>
      <bottom style="hair">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right/>
      <top style="double">
        <color indexed="64"/>
      </top>
      <bottom style="hair">
        <color indexed="64"/>
      </bottom>
      <diagonal/>
    </border>
    <border>
      <left style="double">
        <color indexed="64"/>
      </left>
      <right/>
      <top style="hair">
        <color indexed="64"/>
      </top>
      <bottom style="hair">
        <color indexed="64"/>
      </bottom>
      <diagonal/>
    </border>
    <border>
      <left style="thin">
        <color auto="1"/>
      </left>
      <right/>
      <top/>
      <bottom style="medium">
        <color auto="1"/>
      </bottom>
      <diagonal/>
    </border>
    <border>
      <left style="double">
        <color auto="1"/>
      </left>
      <right style="thin">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right/>
      <top style="hair">
        <color auto="1"/>
      </top>
      <bottom style="hair">
        <color auto="1"/>
      </bottom>
      <diagonal/>
    </border>
    <border>
      <left style="medium">
        <color indexed="64"/>
      </left>
      <right style="thin">
        <color auto="1"/>
      </right>
      <top style="double">
        <color indexed="64"/>
      </top>
      <bottom/>
      <diagonal/>
    </border>
    <border>
      <left style="thin">
        <color auto="1"/>
      </left>
      <right style="thin">
        <color auto="1"/>
      </right>
      <top style="double">
        <color indexed="64"/>
      </top>
      <bottom/>
      <diagonal/>
    </border>
    <border>
      <left style="double">
        <color indexed="64"/>
      </left>
      <right style="medium">
        <color indexed="64"/>
      </right>
      <top/>
      <bottom/>
      <diagonal/>
    </border>
    <border>
      <left style="thin">
        <color auto="1"/>
      </left>
      <right style="double">
        <color indexed="64"/>
      </right>
      <top style="hair">
        <color auto="1"/>
      </top>
      <bottom style="hair">
        <color auto="1"/>
      </bottom>
      <diagonal/>
    </border>
    <border>
      <left style="medium">
        <color auto="1"/>
      </left>
      <right style="thin">
        <color auto="1"/>
      </right>
      <top style="double">
        <color auto="1"/>
      </top>
      <bottom style="medium">
        <color auto="1"/>
      </bottom>
      <diagonal/>
    </border>
    <border>
      <left/>
      <right style="double">
        <color auto="1"/>
      </right>
      <top style="thin">
        <color indexed="64"/>
      </top>
      <bottom/>
      <diagonal/>
    </border>
    <border>
      <left style="thin">
        <color auto="1"/>
      </left>
      <right style="medium">
        <color indexed="64"/>
      </right>
      <top style="double">
        <color auto="1"/>
      </top>
      <bottom/>
      <diagonal/>
    </border>
    <border>
      <left style="double">
        <color auto="1"/>
      </left>
      <right style="thin">
        <color auto="1"/>
      </right>
      <top/>
      <bottom style="medium">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double">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double">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double">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double">
        <color indexed="64"/>
      </bottom>
      <diagonal/>
    </border>
    <border>
      <left style="medium">
        <color auto="1"/>
      </left>
      <right/>
      <top/>
      <bottom style="thin">
        <color auto="1"/>
      </bottom>
      <diagonal/>
    </border>
    <border>
      <left/>
      <right style="thin">
        <color auto="1"/>
      </right>
      <top style="medium">
        <color auto="1"/>
      </top>
      <bottom style="thin">
        <color auto="1"/>
      </bottom>
      <diagonal/>
    </border>
    <border>
      <left/>
      <right style="medium">
        <color auto="1"/>
      </right>
      <top style="double">
        <color indexed="64"/>
      </top>
      <bottom style="medium">
        <color auto="1"/>
      </bottom>
      <diagonal/>
    </border>
    <border>
      <left style="thin">
        <color auto="1"/>
      </left>
      <right style="double">
        <color indexed="64"/>
      </right>
      <top/>
      <bottom style="medium">
        <color auto="1"/>
      </bottom>
      <diagonal/>
    </border>
    <border>
      <left/>
      <right/>
      <top style="hair">
        <color indexed="64"/>
      </top>
      <bottom style="double">
        <color indexed="64"/>
      </bottom>
      <diagonal/>
    </border>
    <border>
      <left style="thin">
        <color auto="1"/>
      </left>
      <right style="double">
        <color indexed="64"/>
      </right>
      <top/>
      <bottom style="hair">
        <color indexed="64"/>
      </bottom>
      <diagonal/>
    </border>
    <border>
      <left style="thin">
        <color auto="1"/>
      </left>
      <right style="double">
        <color indexed="64"/>
      </right>
      <top style="hair">
        <color indexed="64"/>
      </top>
      <bottom style="double">
        <color indexed="64"/>
      </bottom>
      <diagonal/>
    </border>
    <border>
      <left style="thin">
        <color indexed="64"/>
      </left>
      <right style="thin">
        <color indexed="64"/>
      </right>
      <top style="medium">
        <color auto="1"/>
      </top>
      <bottom style="hair">
        <color indexed="64"/>
      </bottom>
      <diagonal/>
    </border>
    <border>
      <left style="thin">
        <color indexed="64"/>
      </left>
      <right/>
      <top style="medium">
        <color auto="1"/>
      </top>
      <bottom style="hair">
        <color indexed="64"/>
      </bottom>
      <diagonal/>
    </border>
    <border>
      <left style="medium">
        <color auto="1"/>
      </left>
      <right/>
      <top style="medium">
        <color auto="1"/>
      </top>
      <bottom style="thin">
        <color auto="1"/>
      </bottom>
      <diagonal/>
    </border>
    <border>
      <left style="medium">
        <color auto="1"/>
      </left>
      <right style="thin">
        <color indexed="64"/>
      </right>
      <top style="medium">
        <color auto="1"/>
      </top>
      <bottom style="hair">
        <color indexed="64"/>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right style="medium">
        <color indexed="64"/>
      </right>
      <top style="hair">
        <color indexed="64"/>
      </top>
      <bottom style="double">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auto="1"/>
      </top>
      <bottom style="hair">
        <color indexed="64"/>
      </bottom>
      <diagonal/>
    </border>
    <border>
      <left/>
      <right style="thin">
        <color indexed="64"/>
      </right>
      <top style="hair">
        <color indexed="64"/>
      </top>
      <bottom style="medium">
        <color indexed="64"/>
      </bottom>
      <diagonal/>
    </border>
    <border>
      <left style="thin">
        <color indexed="64"/>
      </left>
      <right style="medium">
        <color indexed="64"/>
      </right>
      <top style="medium">
        <color auto="1"/>
      </top>
      <bottom style="hair">
        <color indexed="64"/>
      </bottom>
      <diagonal/>
    </border>
    <border>
      <left style="thin">
        <color indexed="64"/>
      </left>
      <right/>
      <top style="medium">
        <color indexed="64"/>
      </top>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thin">
        <color indexed="64"/>
      </left>
      <right style="double">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hair">
        <color indexed="64"/>
      </bottom>
      <diagonal/>
    </border>
    <border>
      <left style="thin">
        <color auto="1"/>
      </left>
      <right style="medium">
        <color auto="1"/>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medium">
        <color auto="1"/>
      </top>
      <bottom style="hair">
        <color indexed="64"/>
      </bottom>
      <diagonal/>
    </border>
    <border>
      <left style="double">
        <color indexed="64"/>
      </left>
      <right style="thin">
        <color indexed="64"/>
      </right>
      <top style="hair">
        <color indexed="64"/>
      </top>
      <bottom style="double">
        <color indexed="64"/>
      </bottom>
      <diagonal/>
    </border>
    <border>
      <left style="medium">
        <color indexed="64"/>
      </left>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double">
        <color indexed="64"/>
      </right>
      <top style="hair">
        <color indexed="64"/>
      </top>
      <bottom style="medium">
        <color indexed="64"/>
      </bottom>
      <diagonal/>
    </border>
    <border>
      <left style="medium">
        <color auto="1"/>
      </left>
      <right style="thin">
        <color auto="1"/>
      </right>
      <top style="thin">
        <color auto="1"/>
      </top>
      <bottom/>
      <diagonal/>
    </border>
    <border>
      <left style="thin">
        <color auto="1"/>
      </left>
      <right/>
      <top style="double">
        <color indexed="64"/>
      </top>
      <bottom/>
      <diagonal/>
    </border>
    <border>
      <left style="thin">
        <color indexed="64"/>
      </left>
      <right style="medium">
        <color auto="1"/>
      </right>
      <top style="thin">
        <color indexed="64"/>
      </top>
      <bottom/>
      <diagonal/>
    </border>
    <border>
      <left style="thin">
        <color indexed="64"/>
      </left>
      <right/>
      <top style="thin">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style="double">
        <color indexed="64"/>
      </bottom>
      <diagonal/>
    </border>
    <border>
      <left style="double">
        <color auto="1"/>
      </left>
      <right style="medium">
        <color auto="1"/>
      </right>
      <top style="double">
        <color auto="1"/>
      </top>
      <bottom/>
      <diagonal/>
    </border>
    <border>
      <left style="double">
        <color auto="1"/>
      </left>
      <right style="medium">
        <color auto="1"/>
      </right>
      <top/>
      <bottom style="medium">
        <color indexed="64"/>
      </bottom>
      <diagonal/>
    </border>
    <border>
      <left style="thin">
        <color indexed="64"/>
      </left>
      <right style="double">
        <color indexed="64"/>
      </right>
      <top style="medium">
        <color auto="1"/>
      </top>
      <bottom style="hair">
        <color indexed="64"/>
      </bottom>
      <diagonal/>
    </border>
    <border>
      <left/>
      <right style="thin">
        <color indexed="64"/>
      </right>
      <top style="hair">
        <color indexed="64"/>
      </top>
      <bottom style="double">
        <color auto="1"/>
      </bottom>
      <diagonal/>
    </border>
    <border>
      <left/>
      <right style="hair">
        <color indexed="64"/>
      </right>
      <top style="double">
        <color indexed="64"/>
      </top>
      <bottom style="hair">
        <color indexed="64"/>
      </bottom>
      <diagonal/>
    </border>
    <border>
      <left/>
      <right style="hair">
        <color indexed="64"/>
      </right>
      <top style="hair">
        <color indexed="64"/>
      </top>
      <bottom style="thin">
        <color indexed="64"/>
      </bottom>
      <diagonal/>
    </border>
    <border>
      <left style="thin">
        <color auto="1"/>
      </left>
      <right/>
      <top/>
      <bottom style="thin">
        <color auto="1"/>
      </bottom>
      <diagonal/>
    </border>
    <border>
      <left style="hair">
        <color auto="1"/>
      </left>
      <right/>
      <top style="hair">
        <color auto="1"/>
      </top>
      <bottom style="hair">
        <color auto="1"/>
      </bottom>
      <diagonal/>
    </border>
    <border>
      <left style="medium">
        <color auto="1"/>
      </left>
      <right style="hair">
        <color auto="1"/>
      </right>
      <top style="hair">
        <color indexed="64"/>
      </top>
      <bottom style="hair">
        <color indexed="64"/>
      </bottom>
      <diagonal/>
    </border>
    <border>
      <left style="double">
        <color auto="1"/>
      </left>
      <right style="thin">
        <color auto="1"/>
      </right>
      <top style="medium">
        <color auto="1"/>
      </top>
      <bottom style="medium">
        <color indexed="64"/>
      </bottom>
      <diagonal/>
    </border>
    <border>
      <left style="thin">
        <color auto="1"/>
      </left>
      <right style="double">
        <color auto="1"/>
      </right>
      <top style="medium">
        <color auto="1"/>
      </top>
      <bottom style="medium">
        <color indexed="64"/>
      </bottom>
      <diagonal/>
    </border>
    <border>
      <left/>
      <right style="medium">
        <color auto="1"/>
      </right>
      <top style="double">
        <color indexed="64"/>
      </top>
      <bottom style="thin">
        <color auto="1"/>
      </bottom>
      <diagonal/>
    </border>
    <border>
      <left style="thin">
        <color auto="1"/>
      </left>
      <right style="medium">
        <color indexed="64"/>
      </right>
      <top style="hair">
        <color auto="1"/>
      </top>
      <bottom style="medium">
        <color indexed="64"/>
      </bottom>
      <diagonal/>
    </border>
    <border>
      <left style="medium">
        <color indexed="64"/>
      </left>
      <right/>
      <top style="medium">
        <color indexed="64"/>
      </top>
      <bottom style="hair">
        <color indexed="64"/>
      </bottom>
      <diagonal/>
    </border>
    <border>
      <left/>
      <right style="thin">
        <color auto="1"/>
      </right>
      <top style="double">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auto="1"/>
      </top>
      <bottom style="medium">
        <color auto="1"/>
      </bottom>
      <diagonal/>
    </border>
    <border>
      <left/>
      <right style="double">
        <color auto="1"/>
      </right>
      <top style="medium">
        <color auto="1"/>
      </top>
      <bottom style="medium">
        <color auto="1"/>
      </bottom>
      <diagonal/>
    </border>
    <border>
      <left/>
      <right style="medium">
        <color indexed="64"/>
      </right>
      <top style="double">
        <color indexed="64"/>
      </top>
      <bottom/>
      <diagonal/>
    </border>
    <border>
      <left style="thin">
        <color auto="1"/>
      </left>
      <right style="medium">
        <color auto="1"/>
      </right>
      <top/>
      <bottom style="thin">
        <color auto="1"/>
      </bottom>
      <diagonal/>
    </border>
    <border>
      <left/>
      <right style="medium">
        <color auto="1"/>
      </right>
      <top/>
      <bottom style="thin">
        <color auto="1"/>
      </bottom>
      <diagonal/>
    </border>
    <border>
      <left style="medium">
        <color indexed="64"/>
      </left>
      <right style="hair">
        <color indexed="64"/>
      </right>
      <top style="thin">
        <color auto="1"/>
      </top>
      <bottom style="medium">
        <color indexed="64"/>
      </bottom>
      <diagonal/>
    </border>
    <border>
      <left style="hair">
        <color indexed="64"/>
      </left>
      <right style="hair">
        <color indexed="64"/>
      </right>
      <top style="thin">
        <color auto="1"/>
      </top>
      <bottom style="medium">
        <color indexed="64"/>
      </bottom>
      <diagonal/>
    </border>
    <border>
      <left style="hair">
        <color indexed="64"/>
      </left>
      <right style="thin">
        <color indexed="64"/>
      </right>
      <top style="thin">
        <color auto="1"/>
      </top>
      <bottom style="medium">
        <color indexed="64"/>
      </bottom>
      <diagonal/>
    </border>
    <border>
      <left style="hair">
        <color indexed="64"/>
      </left>
      <right style="medium">
        <color indexed="64"/>
      </right>
      <top style="thin">
        <color auto="1"/>
      </top>
      <bottom style="medium">
        <color indexed="64"/>
      </bottom>
      <diagonal/>
    </border>
    <border>
      <left/>
      <right style="medium">
        <color auto="1"/>
      </right>
      <top style="hair">
        <color indexed="64"/>
      </top>
      <bottom/>
      <diagonal/>
    </border>
    <border>
      <left style="double">
        <color auto="1"/>
      </left>
      <right/>
      <top style="medium">
        <color auto="1"/>
      </top>
      <bottom/>
      <diagonal/>
    </border>
    <border>
      <left style="thin">
        <color indexed="64"/>
      </left>
      <right style="double">
        <color auto="1"/>
      </right>
      <top style="double">
        <color auto="1"/>
      </top>
      <bottom style="double">
        <color auto="1"/>
      </bottom>
      <diagonal/>
    </border>
    <border>
      <left style="double">
        <color auto="1"/>
      </left>
      <right/>
      <top style="medium">
        <color auto="1"/>
      </top>
      <bottom style="medium">
        <color auto="1"/>
      </bottom>
      <diagonal/>
    </border>
    <border>
      <left style="thin">
        <color auto="1"/>
      </left>
      <right style="double">
        <color auto="1"/>
      </right>
      <top style="thin">
        <color auto="1"/>
      </top>
      <bottom style="hair">
        <color auto="1"/>
      </bottom>
      <diagonal/>
    </border>
    <border>
      <left style="thin">
        <color auto="1"/>
      </left>
      <right/>
      <top style="thin">
        <color auto="1"/>
      </top>
      <bottom style="hair">
        <color auto="1"/>
      </bottom>
      <diagonal/>
    </border>
    <border>
      <left style="medium">
        <color indexed="64"/>
      </left>
      <right style="double">
        <color auto="1"/>
      </right>
      <top style="double">
        <color auto="1"/>
      </top>
      <bottom/>
      <diagonal/>
    </border>
    <border>
      <left style="medium">
        <color indexed="64"/>
      </left>
      <right style="double">
        <color auto="1"/>
      </right>
      <top/>
      <bottom style="medium">
        <color auto="1"/>
      </bottom>
      <diagonal/>
    </border>
    <border>
      <left style="double">
        <color indexed="64"/>
      </left>
      <right style="double">
        <color indexed="64"/>
      </right>
      <top/>
      <bottom style="double">
        <color indexed="64"/>
      </bottom>
      <diagonal/>
    </border>
    <border>
      <left/>
      <right/>
      <top style="hair">
        <color indexed="64"/>
      </top>
      <bottom/>
      <diagonal/>
    </border>
    <border>
      <left style="hair">
        <color indexed="64"/>
      </left>
      <right style="hair">
        <color indexed="64"/>
      </right>
      <top style="hair">
        <color indexed="64"/>
      </top>
      <bottom/>
      <diagonal/>
    </border>
    <border>
      <left style="double">
        <color auto="1"/>
      </left>
      <right/>
      <top style="hair">
        <color auto="1"/>
      </top>
      <bottom style="double">
        <color indexed="64"/>
      </bottom>
      <diagonal/>
    </border>
    <border>
      <left/>
      <right style="double">
        <color indexed="64"/>
      </right>
      <top style="hair">
        <color indexed="64"/>
      </top>
      <bottom/>
      <diagonal/>
    </border>
    <border>
      <left style="medium">
        <color auto="1"/>
      </left>
      <right style="hair">
        <color auto="1"/>
      </right>
      <top style="hair">
        <color indexed="64"/>
      </top>
      <bottom/>
      <diagonal/>
    </border>
    <border>
      <left style="double">
        <color indexed="64"/>
      </left>
      <right style="thin">
        <color indexed="64"/>
      </right>
      <top style="hair">
        <color indexed="64"/>
      </top>
      <bottom/>
      <diagonal/>
    </border>
    <border>
      <left style="thin">
        <color auto="1"/>
      </left>
      <right style="thin">
        <color auto="1"/>
      </right>
      <top style="hair">
        <color auto="1"/>
      </top>
      <bottom style="thin">
        <color indexed="64"/>
      </bottom>
      <diagonal/>
    </border>
    <border>
      <left style="thin">
        <color auto="1"/>
      </left>
      <right/>
      <top style="hair">
        <color auto="1"/>
      </top>
      <bottom style="thin">
        <color indexed="64"/>
      </bottom>
      <diagonal/>
    </border>
    <border>
      <left style="thin">
        <color auto="1"/>
      </left>
      <right style="double">
        <color auto="1"/>
      </right>
      <top style="hair">
        <color auto="1"/>
      </top>
      <bottom style="thin">
        <color indexed="64"/>
      </bottom>
      <diagonal/>
    </border>
    <border>
      <left/>
      <right/>
      <top style="hair">
        <color indexed="64"/>
      </top>
      <bottom style="thin">
        <color indexed="64"/>
      </bottom>
      <diagonal/>
    </border>
    <border>
      <left style="hair">
        <color indexed="64"/>
      </left>
      <right style="hair">
        <color indexed="64"/>
      </right>
      <top style="double">
        <color auto="1"/>
      </top>
      <bottom/>
      <diagonal/>
    </border>
    <border>
      <left style="medium">
        <color indexed="64"/>
      </left>
      <right style="hair">
        <color indexed="64"/>
      </right>
      <top style="double">
        <color auto="1"/>
      </top>
      <bottom/>
      <diagonal/>
    </border>
    <border>
      <left style="hair">
        <color indexed="64"/>
      </left>
      <right style="thin">
        <color indexed="64"/>
      </right>
      <top style="double">
        <color auto="1"/>
      </top>
      <bottom/>
      <diagonal/>
    </border>
    <border>
      <left style="hair">
        <color indexed="64"/>
      </left>
      <right/>
      <top style="double">
        <color auto="1"/>
      </top>
      <bottom/>
      <diagonal/>
    </border>
    <border>
      <left style="thin">
        <color indexed="64"/>
      </left>
      <right style="hair">
        <color indexed="64"/>
      </right>
      <top style="thin">
        <color indexed="64"/>
      </top>
      <bottom style="thin">
        <color indexed="64"/>
      </bottom>
      <diagonal/>
    </border>
    <border>
      <left style="thick">
        <color indexed="64"/>
      </left>
      <right/>
      <top style="medium">
        <color auto="1"/>
      </top>
      <bottom/>
      <diagonal/>
    </border>
    <border>
      <left style="thick">
        <color indexed="64"/>
      </left>
      <right/>
      <top/>
      <bottom style="double">
        <color auto="1"/>
      </bottom>
      <diagonal/>
    </border>
    <border>
      <left style="thin">
        <color indexed="64"/>
      </left>
      <right style="thick">
        <color indexed="64"/>
      </right>
      <top style="medium">
        <color indexed="64"/>
      </top>
      <bottom/>
      <diagonal/>
    </border>
    <border>
      <left style="thin">
        <color indexed="64"/>
      </left>
      <right style="thick">
        <color indexed="64"/>
      </right>
      <top/>
      <bottom style="double">
        <color auto="1"/>
      </bottom>
      <diagonal/>
    </border>
    <border>
      <left style="thin">
        <color indexed="64"/>
      </left>
      <right style="thick">
        <color indexed="64"/>
      </right>
      <top/>
      <bottom style="medium">
        <color auto="1"/>
      </bottom>
      <diagonal/>
    </border>
    <border>
      <left style="thick">
        <color indexed="64"/>
      </left>
      <right style="thin">
        <color auto="1"/>
      </right>
      <top style="thin">
        <color indexed="64"/>
      </top>
      <bottom style="medium">
        <color auto="1"/>
      </bottom>
      <diagonal/>
    </border>
    <border>
      <left style="double">
        <color indexed="64"/>
      </left>
      <right style="medium">
        <color indexed="64"/>
      </right>
      <top style="medium">
        <color auto="1"/>
      </top>
      <bottom style="thin">
        <color indexed="64"/>
      </bottom>
      <diagonal/>
    </border>
    <border>
      <left/>
      <right style="thin">
        <color indexed="64"/>
      </right>
      <top/>
      <bottom style="double">
        <color auto="1"/>
      </bottom>
      <diagonal/>
    </border>
    <border>
      <left style="thick">
        <color indexed="64"/>
      </left>
      <right style="thin">
        <color indexed="64"/>
      </right>
      <top style="medium">
        <color auto="1"/>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indexed="64"/>
      </left>
      <right style="medium">
        <color indexed="64"/>
      </right>
      <top style="hair">
        <color indexed="64"/>
      </top>
      <bottom style="double">
        <color indexed="64"/>
      </bottom>
      <diagonal/>
    </border>
    <border>
      <left style="thin">
        <color indexed="64"/>
      </left>
      <right style="double">
        <color indexed="64"/>
      </right>
      <top style="hair">
        <color indexed="64"/>
      </top>
      <bottom/>
      <diagonal/>
    </border>
    <border>
      <left style="thin">
        <color indexed="64"/>
      </left>
      <right style="medium">
        <color indexed="64"/>
      </right>
      <top/>
      <bottom style="double">
        <color auto="1"/>
      </bottom>
      <diagonal/>
    </border>
    <border>
      <left style="double">
        <color auto="1"/>
      </left>
      <right/>
      <top/>
      <bottom style="thin">
        <color indexed="64"/>
      </bottom>
      <diagonal/>
    </border>
    <border>
      <left style="double">
        <color indexed="64"/>
      </left>
      <right/>
      <top/>
      <bottom style="dotted">
        <color indexed="64"/>
      </bottom>
      <diagonal/>
    </border>
    <border>
      <left/>
      <right/>
      <top/>
      <bottom style="dotted">
        <color indexed="64"/>
      </bottom>
      <diagonal/>
    </border>
    <border>
      <left/>
      <right/>
      <top style="double">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medium">
        <color indexed="64"/>
      </left>
      <right style="thin">
        <color auto="1"/>
      </right>
      <top style="thin">
        <color auto="1"/>
      </top>
      <bottom style="thin">
        <color auto="1"/>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style="double">
        <color indexed="64"/>
      </left>
      <right style="hair">
        <color indexed="64"/>
      </right>
      <top/>
      <bottom style="thin">
        <color indexed="64"/>
      </bottom>
      <diagonal/>
    </border>
    <border>
      <left style="medium">
        <color auto="1"/>
      </left>
      <right style="thin">
        <color auto="1"/>
      </right>
      <top/>
      <bottom style="double">
        <color indexed="64"/>
      </bottom>
      <diagonal/>
    </border>
    <border>
      <left style="thin">
        <color auto="1"/>
      </left>
      <right style="thin">
        <color auto="1"/>
      </right>
      <top style="thin">
        <color auto="1"/>
      </top>
      <bottom style="double">
        <color indexed="64"/>
      </bottom>
      <diagonal/>
    </border>
    <border>
      <left style="thin">
        <color auto="1"/>
      </left>
      <right/>
      <top style="medium">
        <color auto="1"/>
      </top>
      <bottom style="thin">
        <color auto="1"/>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double">
        <color indexed="64"/>
      </left>
      <right style="thin">
        <color auto="1"/>
      </right>
      <top style="thin">
        <color indexed="64"/>
      </top>
      <bottom style="medium">
        <color indexed="64"/>
      </bottom>
      <diagonal/>
    </border>
    <border>
      <left style="double">
        <color auto="1"/>
      </left>
      <right/>
      <top style="double">
        <color auto="1"/>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diagonal/>
    </border>
    <border>
      <left style="thin">
        <color indexed="64"/>
      </left>
      <right style="hair">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style="medium">
        <color auto="1"/>
      </top>
      <bottom style="hair">
        <color indexed="64"/>
      </bottom>
      <diagonal/>
    </border>
    <border>
      <left style="medium">
        <color indexed="64"/>
      </left>
      <right style="double">
        <color indexed="64"/>
      </right>
      <top style="hair">
        <color indexed="64"/>
      </top>
      <bottom style="hair">
        <color indexed="64"/>
      </bottom>
      <diagonal/>
    </border>
    <border>
      <left style="medium">
        <color indexed="64"/>
      </left>
      <right style="double">
        <color indexed="64"/>
      </right>
      <top style="hair">
        <color indexed="64"/>
      </top>
      <bottom style="medium">
        <color indexed="64"/>
      </bottom>
      <diagonal/>
    </border>
  </borders>
  <cellStyleXfs count="14">
    <xf numFmtId="0" fontId="0" fillId="0" borderId="0"/>
    <xf numFmtId="0" fontId="4" fillId="0" borderId="0"/>
    <xf numFmtId="0" fontId="3" fillId="0" borderId="0"/>
    <xf numFmtId="0" fontId="2" fillId="0" borderId="0"/>
    <xf numFmtId="43" fontId="34"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97" fillId="0" borderId="0" applyNumberFormat="0" applyFill="0" applyBorder="0" applyAlignment="0" applyProtection="0"/>
    <xf numFmtId="0" fontId="1" fillId="0" borderId="0"/>
    <xf numFmtId="0" fontId="1" fillId="0" borderId="0"/>
    <xf numFmtId="9" fontId="135" fillId="0" borderId="0" applyFont="0" applyFill="0" applyBorder="0" applyAlignment="0" applyProtection="0"/>
  </cellStyleXfs>
  <cellXfs count="3080">
    <xf numFmtId="0" fontId="0" fillId="0" borderId="0" xfId="0"/>
    <xf numFmtId="0" fontId="5" fillId="0" borderId="0" xfId="0" applyFont="1"/>
    <xf numFmtId="49" fontId="5" fillId="0" borderId="1" xfId="0" applyNumberFormat="1" applyFont="1" applyBorder="1"/>
    <xf numFmtId="49" fontId="5" fillId="0" borderId="0" xfId="0" applyNumberFormat="1" applyFont="1"/>
    <xf numFmtId="0" fontId="5" fillId="0" borderId="0" xfId="0" applyFont="1" applyAlignment="1">
      <alignment horizontal="center"/>
    </xf>
    <xf numFmtId="1" fontId="5" fillId="0" borderId="0" xfId="0" applyNumberFormat="1" applyFont="1" applyAlignment="1">
      <alignment horizontal="center"/>
    </xf>
    <xf numFmtId="0" fontId="9" fillId="0" borderId="0" xfId="0" applyFont="1"/>
    <xf numFmtId="0" fontId="6" fillId="0" borderId="0" xfId="0" applyFont="1" applyAlignment="1">
      <alignment horizontal="center"/>
    </xf>
    <xf numFmtId="49" fontId="6" fillId="0" borderId="1" xfId="0" applyNumberFormat="1" applyFont="1" applyBorder="1"/>
    <xf numFmtId="49" fontId="5" fillId="0" borderId="4" xfId="0" applyNumberFormat="1" applyFont="1" applyBorder="1"/>
    <xf numFmtId="167" fontId="5" fillId="0" borderId="0" xfId="0" applyNumberFormat="1" applyFont="1" applyAlignment="1">
      <alignment horizontal="center"/>
    </xf>
    <xf numFmtId="167" fontId="5" fillId="0" borderId="0" xfId="0" applyNumberFormat="1" applyFont="1" applyAlignment="1">
      <alignment horizontal="left"/>
    </xf>
    <xf numFmtId="0" fontId="5" fillId="0" borderId="0" xfId="0" applyFont="1" applyAlignment="1" applyProtection="1">
      <alignment horizontal="center"/>
      <protection hidden="1"/>
    </xf>
    <xf numFmtId="0" fontId="18" fillId="0" borderId="0" xfId="0" applyFont="1"/>
    <xf numFmtId="0" fontId="5" fillId="0" borderId="0" xfId="0" applyFont="1" applyAlignment="1">
      <alignment wrapText="1"/>
    </xf>
    <xf numFmtId="167" fontId="18" fillId="0" borderId="0" xfId="0" applyNumberFormat="1" applyFont="1"/>
    <xf numFmtId="167" fontId="5" fillId="0" borderId="0" xfId="0" applyNumberFormat="1" applyFont="1"/>
    <xf numFmtId="167" fontId="5" fillId="0" borderId="3" xfId="0" applyNumberFormat="1" applyFont="1" applyBorder="1" applyAlignment="1">
      <alignment horizontal="center"/>
    </xf>
    <xf numFmtId="167" fontId="5" fillId="0" borderId="5" xfId="0" applyNumberFormat="1" applyFont="1" applyBorder="1"/>
    <xf numFmtId="0" fontId="5" fillId="0" borderId="3" xfId="0" applyFont="1" applyBorder="1" applyAlignment="1">
      <alignment horizontal="center"/>
    </xf>
    <xf numFmtId="167" fontId="5" fillId="0" borderId="5" xfId="0" applyNumberFormat="1" applyFont="1" applyBorder="1" applyAlignment="1">
      <alignment horizontal="left"/>
    </xf>
    <xf numFmtId="0" fontId="5" fillId="0" borderId="0" xfId="0" applyFont="1" applyAlignment="1">
      <alignment vertical="center"/>
    </xf>
    <xf numFmtId="49" fontId="5" fillId="0" borderId="0" xfId="0" applyNumberFormat="1" applyFont="1" applyAlignment="1">
      <alignment horizontal="center"/>
    </xf>
    <xf numFmtId="49" fontId="6" fillId="0" borderId="0" xfId="0" applyNumberFormat="1" applyFont="1"/>
    <xf numFmtId="167" fontId="9" fillId="0" borderId="0" xfId="0" applyNumberFormat="1" applyFont="1"/>
    <xf numFmtId="0" fontId="5" fillId="0" borderId="0" xfId="0" applyFont="1" applyAlignment="1">
      <alignment horizontal="left"/>
    </xf>
    <xf numFmtId="49" fontId="5" fillId="0" borderId="1" xfId="0" applyNumberFormat="1" applyFont="1" applyBorder="1" applyAlignment="1">
      <alignment horizontal="left"/>
    </xf>
    <xf numFmtId="167" fontId="5" fillId="0" borderId="39" xfId="0" applyNumberFormat="1" applyFont="1" applyBorder="1" applyAlignment="1">
      <alignment horizontal="center"/>
    </xf>
    <xf numFmtId="167" fontId="5" fillId="0" borderId="5" xfId="0" applyNumberFormat="1" applyFont="1" applyBorder="1" applyAlignment="1">
      <alignment horizontal="center"/>
    </xf>
    <xf numFmtId="49" fontId="6" fillId="0" borderId="2" xfId="0" applyNumberFormat="1" applyFont="1" applyBorder="1"/>
    <xf numFmtId="167" fontId="5" fillId="0" borderId="43" xfId="0" applyNumberFormat="1" applyFont="1" applyBorder="1" applyAlignment="1">
      <alignment horizontal="center"/>
    </xf>
    <xf numFmtId="49" fontId="5" fillId="0" borderId="0" xfId="0" applyNumberFormat="1" applyFont="1" applyAlignment="1">
      <alignment horizontal="left"/>
    </xf>
    <xf numFmtId="167" fontId="5" fillId="0" borderId="3" xfId="0" applyNumberFormat="1" applyFont="1" applyBorder="1"/>
    <xf numFmtId="49" fontId="6" fillId="0" borderId="0" xfId="0" applyNumberFormat="1" applyFont="1" applyAlignment="1">
      <alignment horizontal="left"/>
    </xf>
    <xf numFmtId="49" fontId="5" fillId="0" borderId="5" xfId="0" applyNumberFormat="1" applyFont="1" applyBorder="1"/>
    <xf numFmtId="49" fontId="5" fillId="0" borderId="5" xfId="0" applyNumberFormat="1" applyFont="1" applyBorder="1" applyAlignment="1">
      <alignment horizontal="center"/>
    </xf>
    <xf numFmtId="11" fontId="5" fillId="0" borderId="0" xfId="0" applyNumberFormat="1" applyFont="1" applyAlignment="1">
      <alignment horizontal="center"/>
    </xf>
    <xf numFmtId="0" fontId="5" fillId="0" borderId="0" xfId="0" applyFont="1" applyProtection="1">
      <protection locked="0"/>
    </xf>
    <xf numFmtId="167"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2" fontId="5" fillId="0" borderId="0" xfId="0" applyNumberFormat="1" applyFont="1"/>
    <xf numFmtId="11" fontId="5" fillId="0" borderId="0" xfId="0" applyNumberFormat="1" applyFont="1"/>
    <xf numFmtId="0" fontId="24" fillId="0" borderId="0" xfId="0" applyFont="1" applyProtection="1">
      <protection hidden="1"/>
    </xf>
    <xf numFmtId="167" fontId="5" fillId="0" borderId="0" xfId="0" applyNumberFormat="1" applyFont="1" applyAlignment="1" applyProtection="1">
      <alignment horizontal="center"/>
      <protection hidden="1"/>
    </xf>
    <xf numFmtId="49" fontId="5" fillId="0" borderId="0" xfId="0" applyNumberFormat="1" applyFont="1" applyAlignment="1" applyProtection="1">
      <alignment horizontal="center"/>
      <protection hidden="1"/>
    </xf>
    <xf numFmtId="49" fontId="4" fillId="0" borderId="0" xfId="0" applyNumberFormat="1" applyFont="1" applyAlignment="1" applyProtection="1">
      <alignment horizontal="left"/>
      <protection hidden="1"/>
    </xf>
    <xf numFmtId="0" fontId="4" fillId="0" borderId="0" xfId="0" applyFont="1" applyProtection="1">
      <protection hidden="1"/>
    </xf>
    <xf numFmtId="0" fontId="4" fillId="0" borderId="0" xfId="0" applyFont="1" applyAlignment="1" applyProtection="1">
      <alignment horizontal="left"/>
      <protection hidden="1"/>
    </xf>
    <xf numFmtId="0" fontId="6" fillId="0" borderId="0" xfId="0" applyFont="1" applyAlignment="1" applyProtection="1">
      <alignment horizontal="left"/>
      <protection hidden="1"/>
    </xf>
    <xf numFmtId="49" fontId="5" fillId="0" borderId="0" xfId="0" applyNumberFormat="1" applyFont="1" applyProtection="1">
      <protection hidden="1"/>
    </xf>
    <xf numFmtId="49" fontId="6" fillId="0" borderId="0" xfId="0" applyNumberFormat="1" applyFont="1" applyProtection="1">
      <protection hidden="1"/>
    </xf>
    <xf numFmtId="0" fontId="5" fillId="0" borderId="0" xfId="0" applyFont="1" applyAlignment="1" applyProtection="1">
      <alignment horizontal="left"/>
      <protection hidden="1"/>
    </xf>
    <xf numFmtId="49" fontId="5" fillId="0" borderId="0" xfId="0" applyNumberFormat="1" applyFont="1" applyAlignment="1" applyProtection="1">
      <alignment horizontal="left"/>
      <protection hidden="1"/>
    </xf>
    <xf numFmtId="49" fontId="6" fillId="0" borderId="0" xfId="0" applyNumberFormat="1" applyFont="1" applyAlignment="1" applyProtection="1">
      <alignment horizontal="left"/>
      <protection hidden="1"/>
    </xf>
    <xf numFmtId="0" fontId="5" fillId="0" borderId="0" xfId="0" applyFont="1" applyProtection="1">
      <protection hidden="1"/>
    </xf>
    <xf numFmtId="0" fontId="4" fillId="0" borderId="0" xfId="0" applyFont="1"/>
    <xf numFmtId="0" fontId="16" fillId="0" borderId="52" xfId="0" applyFont="1" applyBorder="1" applyAlignment="1">
      <alignment horizontal="left" vertical="center"/>
    </xf>
    <xf numFmtId="169" fontId="5" fillId="0" borderId="0" xfId="0" applyNumberFormat="1" applyFont="1" applyAlignment="1">
      <alignment horizontal="center"/>
    </xf>
    <xf numFmtId="0" fontId="33" fillId="0" borderId="0" xfId="3" applyFont="1"/>
    <xf numFmtId="0" fontId="7" fillId="0" borderId="0" xfId="0" applyFont="1" applyAlignment="1" applyProtection="1">
      <alignment horizontal="center" vertical="center"/>
      <protection hidden="1"/>
    </xf>
    <xf numFmtId="0" fontId="16" fillId="0" borderId="0" xfId="0" applyFont="1" applyAlignment="1" applyProtection="1">
      <alignment horizontal="center"/>
      <protection hidden="1"/>
    </xf>
    <xf numFmtId="0" fontId="24" fillId="0" borderId="0" xfId="0" applyFont="1"/>
    <xf numFmtId="0" fontId="4" fillId="0" borderId="64" xfId="0" applyFont="1" applyBorder="1"/>
    <xf numFmtId="49" fontId="6" fillId="0" borderId="0" xfId="0" applyNumberFormat="1" applyFont="1" applyAlignment="1">
      <alignment vertical="center"/>
    </xf>
    <xf numFmtId="49" fontId="6" fillId="0" borderId="0" xfId="0" applyNumberFormat="1" applyFont="1" applyAlignment="1">
      <alignment horizontal="center" vertical="center" wrapText="1"/>
    </xf>
    <xf numFmtId="167" fontId="5" fillId="0" borderId="0" xfId="0" applyNumberFormat="1" applyFont="1" applyAlignment="1">
      <alignment horizontal="center" wrapText="1"/>
    </xf>
    <xf numFmtId="167" fontId="5" fillId="0" borderId="5" xfId="0" applyNumberFormat="1" applyFont="1" applyBorder="1" applyAlignment="1">
      <alignment horizontal="center" wrapText="1"/>
    </xf>
    <xf numFmtId="0" fontId="6" fillId="0" borderId="0" xfId="0" applyFont="1" applyAlignment="1">
      <alignment horizontal="center" vertical="center"/>
    </xf>
    <xf numFmtId="43" fontId="7" fillId="0" borderId="0" xfId="4" applyFont="1" applyAlignment="1">
      <alignment vertical="center" wrapText="1"/>
    </xf>
    <xf numFmtId="167" fontId="6" fillId="2" borderId="44" xfId="0" applyNumberFormat="1" applyFont="1" applyFill="1" applyBorder="1" applyAlignment="1">
      <alignment horizontal="center" vertical="center" wrapText="1"/>
    </xf>
    <xf numFmtId="0" fontId="6" fillId="2" borderId="48" xfId="0"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34" xfId="0" applyFont="1" applyBorder="1" applyAlignment="1">
      <alignment horizontal="center" vertical="center"/>
    </xf>
    <xf numFmtId="0" fontId="6" fillId="0" borderId="49" xfId="0" applyFont="1" applyBorder="1" applyAlignment="1">
      <alignment horizontal="center" vertical="center"/>
    </xf>
    <xf numFmtId="2" fontId="6" fillId="0" borderId="0" xfId="0" applyNumberFormat="1" applyFont="1" applyAlignment="1">
      <alignment horizontal="center" vertical="center"/>
    </xf>
    <xf numFmtId="0" fontId="0" fillId="0" borderId="0" xfId="0" applyAlignment="1">
      <alignment horizontal="center"/>
    </xf>
    <xf numFmtId="167" fontId="6" fillId="0" borderId="0" xfId="0" applyNumberFormat="1" applyFont="1" applyAlignment="1">
      <alignment horizontal="center" vertical="center"/>
    </xf>
    <xf numFmtId="11" fontId="6" fillId="0" borderId="70" xfId="0" applyNumberFormat="1" applyFont="1" applyBorder="1" applyAlignment="1">
      <alignment horizontal="center"/>
    </xf>
    <xf numFmtId="0" fontId="37" fillId="0" borderId="0" xfId="0" applyFont="1"/>
    <xf numFmtId="0" fontId="33" fillId="0" borderId="12" xfId="3" applyFont="1" applyBorder="1" applyAlignment="1">
      <alignment wrapText="1"/>
    </xf>
    <xf numFmtId="0" fontId="33" fillId="0" borderId="79" xfId="3" applyFont="1" applyBorder="1" applyAlignment="1">
      <alignment wrapText="1"/>
    </xf>
    <xf numFmtId="0" fontId="33" fillId="0" borderId="20" xfId="3" applyFont="1" applyBorder="1"/>
    <xf numFmtId="0" fontId="5" fillId="0" borderId="60" xfId="0" applyFont="1" applyBorder="1" applyAlignment="1">
      <alignment vertical="center"/>
    </xf>
    <xf numFmtId="0" fontId="0" fillId="0" borderId="0" xfId="0" applyAlignment="1">
      <alignment horizontal="left" vertical="center"/>
    </xf>
    <xf numFmtId="0" fontId="20" fillId="0" borderId="0" xfId="0" applyFont="1" applyAlignment="1">
      <alignment vertical="center"/>
    </xf>
    <xf numFmtId="0" fontId="6" fillId="0" borderId="0" xfId="0" applyFont="1" applyAlignment="1">
      <alignment horizontal="center" vertical="center" wrapText="1"/>
    </xf>
    <xf numFmtId="0" fontId="5" fillId="0" borderId="0" xfId="0" applyFont="1" applyAlignment="1">
      <alignment horizontal="center" wrapText="1"/>
    </xf>
    <xf numFmtId="0" fontId="16" fillId="0" borderId="0" xfId="0" applyFont="1" applyAlignment="1">
      <alignment vertical="center"/>
    </xf>
    <xf numFmtId="0" fontId="38" fillId="0" borderId="0" xfId="0" applyFont="1"/>
    <xf numFmtId="0" fontId="38" fillId="0" borderId="0" xfId="0" applyFont="1" applyAlignment="1">
      <alignment horizontal="center" wrapText="1"/>
    </xf>
    <xf numFmtId="0" fontId="5" fillId="0" borderId="24" xfId="0" applyFont="1" applyBorder="1"/>
    <xf numFmtId="0" fontId="19" fillId="0" borderId="0" xfId="0" applyFont="1"/>
    <xf numFmtId="0" fontId="5" fillId="0" borderId="0" xfId="0" quotePrefix="1" applyFont="1"/>
    <xf numFmtId="0" fontId="37" fillId="0" borderId="0" xfId="0" applyFont="1" applyAlignment="1">
      <alignment horizontal="center" vertical="center"/>
    </xf>
    <xf numFmtId="0" fontId="5" fillId="0" borderId="0" xfId="0" applyFont="1" applyAlignment="1">
      <alignment horizontal="center" vertical="center" wrapText="1"/>
    </xf>
    <xf numFmtId="0" fontId="18" fillId="0" borderId="0" xfId="0" applyFont="1" applyAlignment="1">
      <alignment horizontal="center" vertical="center"/>
    </xf>
    <xf numFmtId="0" fontId="4" fillId="0" borderId="0" xfId="0" applyFont="1" applyAlignment="1">
      <alignment horizontal="center" vertical="center"/>
    </xf>
    <xf numFmtId="0" fontId="42"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49" fontId="22" fillId="0" borderId="0" xfId="0" applyNumberFormat="1" applyFont="1" applyAlignment="1">
      <alignment horizontal="center" vertical="center" wrapText="1"/>
    </xf>
    <xf numFmtId="0" fontId="4" fillId="0" borderId="70" xfId="0" applyFont="1" applyBorder="1" applyAlignment="1">
      <alignment horizontal="center" vertical="center"/>
    </xf>
    <xf numFmtId="0" fontId="44" fillId="0" borderId="0" xfId="0" applyFont="1" applyProtection="1">
      <protection hidden="1"/>
    </xf>
    <xf numFmtId="0" fontId="44" fillId="0" borderId="0" xfId="0" applyFont="1" applyAlignment="1" applyProtection="1">
      <alignment horizontal="center" wrapText="1"/>
      <protection hidden="1"/>
    </xf>
    <xf numFmtId="0" fontId="7" fillId="0" borderId="0" xfId="0" applyFont="1" applyAlignment="1">
      <alignment vertical="center" wrapText="1"/>
    </xf>
    <xf numFmtId="0" fontId="4" fillId="0" borderId="42" xfId="0" applyFont="1" applyBorder="1" applyAlignment="1">
      <alignment horizontal="center" vertical="center"/>
    </xf>
    <xf numFmtId="0" fontId="33" fillId="0" borderId="19" xfId="3" applyFont="1" applyBorder="1" applyAlignment="1">
      <alignment wrapText="1"/>
    </xf>
    <xf numFmtId="0" fontId="5" fillId="0" borderId="3" xfId="0" applyFont="1" applyBorder="1" applyAlignment="1">
      <alignment horizontal="center" vertical="center"/>
    </xf>
    <xf numFmtId="4" fontId="24" fillId="3" borderId="53" xfId="0" applyNumberFormat="1" applyFont="1" applyFill="1" applyBorder="1" applyAlignment="1" applyProtection="1">
      <alignment horizontal="center" vertical="center" wrapText="1"/>
      <protection locked="0" hidden="1"/>
    </xf>
    <xf numFmtId="167" fontId="24" fillId="0" borderId="0" xfId="0" applyNumberFormat="1" applyFont="1" applyAlignment="1" applyProtection="1">
      <alignment horizontal="center"/>
      <protection hidden="1"/>
    </xf>
    <xf numFmtId="49" fontId="24" fillId="0" borderId="0" xfId="0" applyNumberFormat="1" applyFont="1" applyAlignment="1" applyProtection="1">
      <alignment horizontal="left"/>
      <protection hidden="1"/>
    </xf>
    <xf numFmtId="167" fontId="0" fillId="0" borderId="25" xfId="0" applyNumberFormat="1" applyBorder="1" applyAlignment="1">
      <alignment horizontal="center" vertical="center"/>
    </xf>
    <xf numFmtId="0" fontId="5" fillId="0" borderId="5" xfId="0" applyFont="1" applyBorder="1"/>
    <xf numFmtId="49" fontId="6" fillId="0" borderId="3" xfId="0" applyNumberFormat="1" applyFont="1" applyBorder="1"/>
    <xf numFmtId="49" fontId="14" fillId="0" borderId="0" xfId="0" applyNumberFormat="1" applyFont="1"/>
    <xf numFmtId="49" fontId="11" fillId="0" borderId="0" xfId="0" applyNumberFormat="1" applyFont="1"/>
    <xf numFmtId="167" fontId="5" fillId="0" borderId="0" xfId="0" applyNumberFormat="1" applyFont="1" applyAlignment="1">
      <alignment vertical="center"/>
    </xf>
    <xf numFmtId="167" fontId="5" fillId="0" borderId="5" xfId="0" applyNumberFormat="1" applyFont="1" applyBorder="1" applyAlignment="1">
      <alignment vertical="center"/>
    </xf>
    <xf numFmtId="49" fontId="6" fillId="0" borderId="0" xfId="0" applyNumberFormat="1" applyFont="1" applyAlignment="1">
      <alignment horizontal="center"/>
    </xf>
    <xf numFmtId="167" fontId="5" fillId="0" borderId="97" xfId="0" applyNumberFormat="1" applyFont="1" applyBorder="1" applyAlignment="1">
      <alignment horizontal="center"/>
    </xf>
    <xf numFmtId="167" fontId="5" fillId="0" borderId="100" xfId="0" applyNumberFormat="1" applyFont="1" applyBorder="1" applyAlignment="1">
      <alignment horizontal="center"/>
    </xf>
    <xf numFmtId="167" fontId="5" fillId="0" borderId="106" xfId="0" applyNumberFormat="1" applyFont="1" applyBorder="1" applyAlignment="1">
      <alignment horizontal="center"/>
    </xf>
    <xf numFmtId="167" fontId="5" fillId="0" borderId="107" xfId="0" applyNumberFormat="1" applyFont="1" applyBorder="1" applyAlignment="1">
      <alignment horizontal="center"/>
    </xf>
    <xf numFmtId="167" fontId="5" fillId="0" borderId="101" xfId="0" applyNumberFormat="1" applyFont="1" applyBorder="1" applyAlignment="1">
      <alignment horizontal="center"/>
    </xf>
    <xf numFmtId="167" fontId="5" fillId="0" borderId="98" xfId="0" applyNumberFormat="1" applyFont="1" applyBorder="1" applyAlignment="1">
      <alignment horizontal="center"/>
    </xf>
    <xf numFmtId="49" fontId="16" fillId="0" borderId="0" xfId="0" applyNumberFormat="1" applyFont="1" applyAlignment="1">
      <alignment vertical="center"/>
    </xf>
    <xf numFmtId="49" fontId="5" fillId="0" borderId="114" xfId="0" applyNumberFormat="1" applyFont="1" applyBorder="1"/>
    <xf numFmtId="49" fontId="16" fillId="0" borderId="0" xfId="0" applyNumberFormat="1" applyFont="1" applyAlignment="1">
      <alignment horizontal="center" vertical="center"/>
    </xf>
    <xf numFmtId="0" fontId="24" fillId="0" borderId="0" xfId="0" applyFont="1" applyAlignment="1">
      <alignment horizontal="center" vertical="center"/>
    </xf>
    <xf numFmtId="164" fontId="5" fillId="0" borderId="97" xfId="0" applyNumberFormat="1" applyFont="1" applyBorder="1" applyAlignment="1">
      <alignment horizontal="center"/>
    </xf>
    <xf numFmtId="164" fontId="5" fillId="0" borderId="100" xfId="0" applyNumberFormat="1" applyFont="1" applyBorder="1" applyAlignment="1">
      <alignment horizontal="center"/>
    </xf>
    <xf numFmtId="167" fontId="6" fillId="0" borderId="119" xfId="0" applyNumberFormat="1" applyFont="1" applyBorder="1" applyAlignment="1">
      <alignment horizontal="center"/>
    </xf>
    <xf numFmtId="167" fontId="6" fillId="0" borderId="120" xfId="0" applyNumberFormat="1" applyFont="1" applyBorder="1" applyAlignment="1">
      <alignment horizontal="center" vertical="center"/>
    </xf>
    <xf numFmtId="11" fontId="6" fillId="0" borderId="71" xfId="0" applyNumberFormat="1" applyFont="1" applyBorder="1" applyAlignment="1">
      <alignment horizontal="center" vertical="center"/>
    </xf>
    <xf numFmtId="0" fontId="6" fillId="0" borderId="59" xfId="0" applyFont="1" applyBorder="1" applyAlignment="1">
      <alignment horizontal="center" vertical="center" wrapText="1"/>
    </xf>
    <xf numFmtId="167" fontId="5" fillId="15" borderId="129" xfId="0" applyNumberFormat="1" applyFont="1" applyFill="1" applyBorder="1" applyAlignment="1">
      <alignment horizontal="center"/>
    </xf>
    <xf numFmtId="49" fontId="5" fillId="0" borderId="133" xfId="0" applyNumberFormat="1" applyFont="1" applyBorder="1"/>
    <xf numFmtId="167" fontId="4" fillId="0" borderId="0" xfId="0" applyNumberFormat="1" applyFont="1" applyAlignment="1">
      <alignment horizontal="center" vertical="center"/>
    </xf>
    <xf numFmtId="167" fontId="5" fillId="0" borderId="0" xfId="0" applyNumberFormat="1" applyFont="1" applyAlignment="1">
      <alignment horizontal="center" vertical="center"/>
    </xf>
    <xf numFmtId="167" fontId="0" fillId="0" borderId="137" xfId="0" applyNumberFormat="1" applyBorder="1" applyAlignment="1">
      <alignment horizontal="center" vertical="center"/>
    </xf>
    <xf numFmtId="167" fontId="0" fillId="0" borderId="143" xfId="0" applyNumberFormat="1" applyBorder="1" applyAlignment="1">
      <alignment horizontal="center" vertical="center"/>
    </xf>
    <xf numFmtId="0" fontId="16" fillId="0" borderId="7" xfId="0" applyFont="1" applyBorder="1" applyAlignment="1">
      <alignment horizontal="left" vertical="center"/>
    </xf>
    <xf numFmtId="2" fontId="4" fillId="0" borderId="0" xfId="0" applyNumberFormat="1" applyFont="1" applyAlignment="1">
      <alignment horizontal="left" vertical="center"/>
    </xf>
    <xf numFmtId="2" fontId="4" fillId="0" borderId="139" xfId="0" applyNumberFormat="1" applyFont="1" applyBorder="1" applyAlignment="1">
      <alignment horizontal="left" vertical="center"/>
    </xf>
    <xf numFmtId="167" fontId="0" fillId="0" borderId="85" xfId="0" applyNumberFormat="1" applyBorder="1" applyAlignment="1">
      <alignment horizontal="center" vertical="center"/>
    </xf>
    <xf numFmtId="167" fontId="0" fillId="0" borderId="136" xfId="0" applyNumberFormat="1" applyBorder="1" applyAlignment="1">
      <alignment horizontal="center" vertical="center"/>
    </xf>
    <xf numFmtId="0" fontId="33" fillId="0" borderId="8" xfId="3" applyFont="1" applyBorder="1" applyAlignment="1">
      <alignment wrapText="1"/>
    </xf>
    <xf numFmtId="0" fontId="33" fillId="0" borderId="20" xfId="3" applyFont="1" applyBorder="1" applyAlignment="1">
      <alignment wrapText="1"/>
    </xf>
    <xf numFmtId="0" fontId="33" fillId="0" borderId="19" xfId="3" applyFont="1" applyBorder="1"/>
    <xf numFmtId="0" fontId="33" fillId="0" borderId="145" xfId="3" applyFont="1" applyBorder="1" applyAlignment="1">
      <alignment wrapText="1"/>
    </xf>
    <xf numFmtId="0" fontId="33" fillId="0" borderId="16" xfId="3" applyFont="1" applyBorder="1" applyAlignment="1">
      <alignment wrapText="1"/>
    </xf>
    <xf numFmtId="49" fontId="5" fillId="0" borderId="15" xfId="0" applyNumberFormat="1" applyFont="1" applyBorder="1"/>
    <xf numFmtId="49" fontId="5" fillId="0" borderId="8" xfId="0" applyNumberFormat="1" applyFont="1" applyBorder="1"/>
    <xf numFmtId="49" fontId="5" fillId="0" borderId="135" xfId="0" applyNumberFormat="1" applyFont="1" applyBorder="1"/>
    <xf numFmtId="167" fontId="5" fillId="0" borderId="143" xfId="0" applyNumberFormat="1" applyFont="1" applyBorder="1" applyAlignment="1">
      <alignment horizontal="center"/>
    </xf>
    <xf numFmtId="49" fontId="6" fillId="0" borderId="3" xfId="0" applyNumberFormat="1" applyFont="1" applyBorder="1" applyAlignment="1">
      <alignment horizontal="center"/>
    </xf>
    <xf numFmtId="49" fontId="5" fillId="0" borderId="149" xfId="0" applyNumberFormat="1" applyFont="1" applyBorder="1" applyAlignment="1">
      <alignment horizontal="center"/>
    </xf>
    <xf numFmtId="167" fontId="5" fillId="0" borderId="150" xfId="0" applyNumberFormat="1" applyFont="1" applyBorder="1" applyAlignment="1">
      <alignment horizontal="center"/>
    </xf>
    <xf numFmtId="167" fontId="5" fillId="0" borderId="137" xfId="0" applyNumberFormat="1" applyFont="1" applyBorder="1" applyAlignment="1">
      <alignment horizontal="center"/>
    </xf>
    <xf numFmtId="11" fontId="5" fillId="0" borderId="137" xfId="0" applyNumberFormat="1" applyFont="1" applyBorder="1" applyAlignment="1">
      <alignment horizontal="center"/>
    </xf>
    <xf numFmtId="167" fontId="5" fillId="0" borderId="151" xfId="0" applyNumberFormat="1" applyFont="1" applyBorder="1" applyAlignment="1">
      <alignment horizontal="center"/>
    </xf>
    <xf numFmtId="167" fontId="5" fillId="0" borderId="108" xfId="0" applyNumberFormat="1" applyFont="1" applyBorder="1" applyAlignment="1">
      <alignment horizontal="center"/>
    </xf>
    <xf numFmtId="167" fontId="5" fillId="0" borderId="154" xfId="0" applyNumberFormat="1" applyFont="1" applyBorder="1" applyAlignment="1">
      <alignment horizontal="center"/>
    </xf>
    <xf numFmtId="167" fontId="5" fillId="0" borderId="136" xfId="0" applyNumberFormat="1" applyFont="1" applyBorder="1" applyAlignment="1">
      <alignment horizontal="center"/>
    </xf>
    <xf numFmtId="167" fontId="5" fillId="0" borderId="155" xfId="0" applyNumberFormat="1" applyFont="1" applyBorder="1" applyAlignment="1">
      <alignment horizontal="center"/>
    </xf>
    <xf numFmtId="167" fontId="5" fillId="0" borderId="138" xfId="0" applyNumberFormat="1" applyFont="1" applyBorder="1" applyAlignment="1">
      <alignment horizontal="center"/>
    </xf>
    <xf numFmtId="49" fontId="5" fillId="0" borderId="138" xfId="0" applyNumberFormat="1" applyFont="1" applyBorder="1" applyAlignment="1">
      <alignment horizontal="left"/>
    </xf>
    <xf numFmtId="167" fontId="5" fillId="0" borderId="8" xfId="0" applyNumberFormat="1" applyFont="1" applyBorder="1" applyAlignment="1">
      <alignment horizontal="center"/>
    </xf>
    <xf numFmtId="167" fontId="5" fillId="0" borderId="149" xfId="0" applyNumberFormat="1" applyFont="1" applyBorder="1" applyAlignment="1">
      <alignment horizontal="center"/>
    </xf>
    <xf numFmtId="167" fontId="5" fillId="0" borderId="149" xfId="0" quotePrefix="1" applyNumberFormat="1" applyFont="1" applyBorder="1" applyAlignment="1">
      <alignment horizontal="center"/>
    </xf>
    <xf numFmtId="167" fontId="5" fillId="0" borderId="25" xfId="0" applyNumberFormat="1" applyFont="1" applyBorder="1" applyAlignment="1">
      <alignment horizontal="center"/>
    </xf>
    <xf numFmtId="167" fontId="5" fillId="0" borderId="137" xfId="0" quotePrefix="1" applyNumberFormat="1" applyFont="1" applyBorder="1" applyAlignment="1">
      <alignment horizontal="center"/>
    </xf>
    <xf numFmtId="167" fontId="5" fillId="0" borderId="18" xfId="0" applyNumberFormat="1" applyFont="1" applyBorder="1" applyAlignment="1">
      <alignment horizontal="center" vertical="center"/>
    </xf>
    <xf numFmtId="167" fontId="5" fillId="0" borderId="109" xfId="0" applyNumberFormat="1" applyFont="1" applyBorder="1" applyAlignment="1">
      <alignment horizontal="center" vertical="center"/>
    </xf>
    <xf numFmtId="167" fontId="5" fillId="0" borderId="109" xfId="0" quotePrefix="1" applyNumberFormat="1" applyFont="1" applyBorder="1" applyAlignment="1">
      <alignment horizontal="center" vertical="center"/>
    </xf>
    <xf numFmtId="167" fontId="5" fillId="0" borderId="28" xfId="0" applyNumberFormat="1" applyFont="1" applyBorder="1" applyAlignment="1">
      <alignment horizontal="center"/>
    </xf>
    <xf numFmtId="167" fontId="5" fillId="0" borderId="108" xfId="0" quotePrefix="1" applyNumberFormat="1" applyFont="1" applyBorder="1" applyAlignment="1">
      <alignment horizontal="center"/>
    </xf>
    <xf numFmtId="167" fontId="5" fillId="0" borderId="96" xfId="0" applyNumberFormat="1" applyFont="1" applyBorder="1" applyAlignment="1">
      <alignment horizontal="center"/>
    </xf>
    <xf numFmtId="167" fontId="5" fillId="0" borderId="136" xfId="0" quotePrefix="1" applyNumberFormat="1" applyFont="1" applyBorder="1" applyAlignment="1">
      <alignment horizontal="center"/>
    </xf>
    <xf numFmtId="167" fontId="5" fillId="0" borderId="159" xfId="0" applyNumberFormat="1" applyFont="1" applyBorder="1" applyAlignment="1">
      <alignment horizontal="center"/>
    </xf>
    <xf numFmtId="167" fontId="5" fillId="0" borderId="160" xfId="0" applyNumberFormat="1" applyFont="1" applyBorder="1" applyAlignment="1">
      <alignment horizontal="center"/>
    </xf>
    <xf numFmtId="167" fontId="5" fillId="0" borderId="148" xfId="0" applyNumberFormat="1" applyFont="1" applyBorder="1" applyAlignment="1">
      <alignment horizontal="center"/>
    </xf>
    <xf numFmtId="167" fontId="5" fillId="14" borderId="158" xfId="0" applyNumberFormat="1" applyFont="1" applyFill="1" applyBorder="1" applyAlignment="1">
      <alignment horizontal="center" vertical="center"/>
    </xf>
    <xf numFmtId="0" fontId="5" fillId="14" borderId="156" xfId="0" applyFont="1" applyFill="1" applyBorder="1" applyAlignment="1">
      <alignment horizontal="center" vertical="center"/>
    </xf>
    <xf numFmtId="0" fontId="5" fillId="0" borderId="156" xfId="0" applyFont="1" applyBorder="1"/>
    <xf numFmtId="0" fontId="5" fillId="0" borderId="138" xfId="0" applyFont="1" applyBorder="1"/>
    <xf numFmtId="167" fontId="5" fillId="16" borderId="158" xfId="0" applyNumberFormat="1" applyFont="1" applyFill="1" applyBorder="1" applyAlignment="1">
      <alignment horizontal="center" vertical="center"/>
    </xf>
    <xf numFmtId="167" fontId="5" fillId="16" borderId="156" xfId="0" applyNumberFormat="1" applyFont="1" applyFill="1" applyBorder="1" applyAlignment="1">
      <alignment horizontal="center"/>
    </xf>
    <xf numFmtId="167" fontId="5" fillId="0" borderId="158" xfId="0" applyNumberFormat="1" applyFont="1" applyBorder="1" applyAlignment="1">
      <alignment horizontal="center"/>
    </xf>
    <xf numFmtId="167" fontId="6" fillId="0" borderId="9" xfId="0" applyNumberFormat="1" applyFont="1" applyBorder="1" applyAlignment="1">
      <alignment horizontal="center" vertical="center"/>
    </xf>
    <xf numFmtId="167" fontId="5" fillId="0" borderId="129" xfId="0" applyNumberFormat="1" applyFont="1" applyBorder="1" applyAlignment="1">
      <alignment horizontal="center"/>
    </xf>
    <xf numFmtId="0" fontId="5" fillId="0" borderId="41" xfId="0" applyFont="1" applyBorder="1" applyAlignment="1">
      <alignment vertical="center"/>
    </xf>
    <xf numFmtId="0" fontId="5" fillId="0" borderId="150" xfId="0" applyFont="1" applyBorder="1" applyAlignment="1">
      <alignment horizontal="center"/>
    </xf>
    <xf numFmtId="0" fontId="5" fillId="0" borderId="137" xfId="0" applyFont="1" applyBorder="1" applyAlignment="1">
      <alignment horizontal="center"/>
    </xf>
    <xf numFmtId="0" fontId="5" fillId="0" borderId="71" xfId="0" applyFont="1" applyBorder="1" applyAlignment="1">
      <alignment horizontal="center" vertical="center"/>
    </xf>
    <xf numFmtId="0" fontId="6" fillId="0" borderId="76" xfId="0" applyFont="1" applyBorder="1" applyAlignment="1">
      <alignment horizontal="center" vertical="center" wrapText="1"/>
    </xf>
    <xf numFmtId="167" fontId="5" fillId="0" borderId="168" xfId="0" applyNumberFormat="1" applyFont="1" applyBorder="1" applyAlignment="1">
      <alignment horizontal="center"/>
    </xf>
    <xf numFmtId="167" fontId="5" fillId="16" borderId="169" xfId="0" applyNumberFormat="1" applyFont="1" applyFill="1" applyBorder="1" applyAlignment="1">
      <alignment horizontal="center"/>
    </xf>
    <xf numFmtId="167" fontId="5" fillId="16" borderId="152" xfId="0" applyNumberFormat="1" applyFont="1" applyFill="1" applyBorder="1" applyAlignment="1">
      <alignment horizontal="center"/>
    </xf>
    <xf numFmtId="167" fontId="5" fillId="0" borderId="171" xfId="0" applyNumberFormat="1" applyFont="1" applyBorder="1" applyAlignment="1">
      <alignment horizontal="center"/>
    </xf>
    <xf numFmtId="167" fontId="5" fillId="16" borderId="172" xfId="0" applyNumberFormat="1" applyFont="1" applyFill="1" applyBorder="1" applyAlignment="1">
      <alignment horizontal="center"/>
    </xf>
    <xf numFmtId="170" fontId="5" fillId="0" borderId="168" xfId="0" applyNumberFormat="1" applyFont="1" applyBorder="1" applyAlignment="1">
      <alignment horizontal="center"/>
    </xf>
    <xf numFmtId="0" fontId="5" fillId="0" borderId="168" xfId="0" applyFont="1" applyBorder="1" applyAlignment="1">
      <alignment horizontal="center"/>
    </xf>
    <xf numFmtId="170" fontId="5" fillId="0" borderId="137" xfId="0" applyNumberFormat="1" applyFont="1" applyBorder="1" applyAlignment="1">
      <alignment horizontal="center"/>
    </xf>
    <xf numFmtId="167" fontId="5" fillId="21" borderId="171" xfId="0" applyNumberFormat="1" applyFont="1" applyFill="1" applyBorder="1" applyAlignment="1">
      <alignment horizontal="center"/>
    </xf>
    <xf numFmtId="167" fontId="5" fillId="21" borderId="154" xfId="0" applyNumberFormat="1" applyFont="1" applyFill="1" applyBorder="1" applyAlignment="1">
      <alignment horizontal="center"/>
    </xf>
    <xf numFmtId="167" fontId="5" fillId="21" borderId="169" xfId="0" applyNumberFormat="1" applyFont="1" applyFill="1" applyBorder="1" applyAlignment="1">
      <alignment horizontal="center"/>
    </xf>
    <xf numFmtId="167" fontId="5" fillId="21" borderId="152" xfId="0" applyNumberFormat="1" applyFont="1" applyFill="1" applyBorder="1" applyAlignment="1">
      <alignment horizontal="center"/>
    </xf>
    <xf numFmtId="170" fontId="5" fillId="0" borderId="178" xfId="0" applyNumberFormat="1" applyFont="1" applyBorder="1" applyAlignment="1">
      <alignment horizontal="center"/>
    </xf>
    <xf numFmtId="170" fontId="5" fillId="0" borderId="109" xfId="0" applyNumberFormat="1" applyFont="1" applyBorder="1" applyAlignment="1">
      <alignment horizontal="center"/>
    </xf>
    <xf numFmtId="2" fontId="6" fillId="0" borderId="120" xfId="0" applyNumberFormat="1" applyFont="1" applyBorder="1" applyAlignment="1">
      <alignment horizontal="center" vertical="center" wrapText="1"/>
    </xf>
    <xf numFmtId="49" fontId="6" fillId="0" borderId="70" xfId="0" applyNumberFormat="1" applyFont="1" applyBorder="1" applyAlignment="1">
      <alignment horizontal="center" vertical="center"/>
    </xf>
    <xf numFmtId="49" fontId="6" fillId="0" borderId="23" xfId="0" applyNumberFormat="1" applyFont="1" applyBorder="1" applyAlignment="1">
      <alignment horizontal="center" vertical="center"/>
    </xf>
    <xf numFmtId="2" fontId="6" fillId="0" borderId="121" xfId="0" applyNumberFormat="1" applyFont="1" applyBorder="1" applyAlignment="1">
      <alignment horizontal="center" vertical="center" wrapText="1"/>
    </xf>
    <xf numFmtId="2" fontId="6" fillId="0" borderId="71" xfId="0" applyNumberFormat="1" applyFont="1" applyBorder="1" applyAlignment="1">
      <alignment horizontal="center" vertical="center" wrapText="1"/>
    </xf>
    <xf numFmtId="170" fontId="5" fillId="0" borderId="171" xfId="0" applyNumberFormat="1" applyFont="1" applyBorder="1" applyAlignment="1">
      <alignment horizontal="center"/>
    </xf>
    <xf numFmtId="170" fontId="5" fillId="0" borderId="136" xfId="0" applyNumberFormat="1" applyFont="1" applyBorder="1" applyAlignment="1">
      <alignment horizontal="center"/>
    </xf>
    <xf numFmtId="167" fontId="5" fillId="0" borderId="139" xfId="0" quotePrefix="1" applyNumberFormat="1" applyFont="1" applyBorder="1" applyAlignment="1">
      <alignment horizontal="center"/>
    </xf>
    <xf numFmtId="170" fontId="5" fillId="0" borderId="148" xfId="0" applyNumberFormat="1" applyFont="1" applyBorder="1" applyAlignment="1">
      <alignment horizontal="center"/>
    </xf>
    <xf numFmtId="167" fontId="6" fillId="0" borderId="71" xfId="0" applyNumberFormat="1" applyFont="1" applyBorder="1" applyAlignment="1">
      <alignment horizontal="center" vertical="center" wrapText="1"/>
    </xf>
    <xf numFmtId="49" fontId="5" fillId="0" borderId="2" xfId="0" applyNumberFormat="1" applyFont="1" applyBorder="1"/>
    <xf numFmtId="49" fontId="5" fillId="0" borderId="3" xfId="0" applyNumberFormat="1" applyFont="1" applyBorder="1"/>
    <xf numFmtId="167" fontId="5" fillId="15" borderId="158" xfId="0" applyNumberFormat="1" applyFont="1" applyFill="1" applyBorder="1" applyAlignment="1">
      <alignment horizontal="center"/>
    </xf>
    <xf numFmtId="167" fontId="5" fillId="15" borderId="159" xfId="0" applyNumberFormat="1" applyFont="1" applyFill="1" applyBorder="1" applyAlignment="1">
      <alignment horizontal="center"/>
    </xf>
    <xf numFmtId="167" fontId="5" fillId="0" borderId="172" xfId="0" applyNumberFormat="1" applyFont="1" applyBorder="1" applyAlignment="1">
      <alignment horizontal="center"/>
    </xf>
    <xf numFmtId="167" fontId="5" fillId="0" borderId="173" xfId="0" applyNumberFormat="1" applyFont="1" applyBorder="1" applyAlignment="1">
      <alignment horizontal="center"/>
    </xf>
    <xf numFmtId="167" fontId="5" fillId="15" borderId="139" xfId="0" applyNumberFormat="1" applyFont="1" applyFill="1" applyBorder="1" applyAlignment="1">
      <alignment horizontal="center"/>
    </xf>
    <xf numFmtId="167" fontId="5" fillId="0" borderId="3" xfId="0" applyNumberFormat="1" applyFont="1" applyBorder="1" applyAlignment="1">
      <alignment horizontal="center" wrapText="1"/>
    </xf>
    <xf numFmtId="167" fontId="5" fillId="0" borderId="15" xfId="0" applyNumberFormat="1" applyFont="1" applyBorder="1" applyAlignment="1">
      <alignment horizontal="center" wrapText="1"/>
    </xf>
    <xf numFmtId="167" fontId="5" fillId="0" borderId="8" xfId="0" applyNumberFormat="1" applyFont="1" applyBorder="1" applyAlignment="1">
      <alignment horizontal="center" wrapText="1"/>
    </xf>
    <xf numFmtId="167" fontId="5" fillId="16" borderId="168" xfId="0" applyNumberFormat="1" applyFont="1" applyFill="1" applyBorder="1" applyAlignment="1">
      <alignment horizontal="center"/>
    </xf>
    <xf numFmtId="167" fontId="5" fillId="0" borderId="168" xfId="0" applyNumberFormat="1" applyFont="1" applyBorder="1" applyAlignment="1">
      <alignment horizontal="center" vertical="center"/>
    </xf>
    <xf numFmtId="0" fontId="5" fillId="15" borderId="168" xfId="0" applyFont="1" applyFill="1" applyBorder="1" applyAlignment="1">
      <alignment horizontal="center"/>
    </xf>
    <xf numFmtId="167" fontId="5" fillId="18" borderId="168" xfId="0" applyNumberFormat="1" applyFont="1" applyFill="1" applyBorder="1" applyAlignment="1">
      <alignment horizontal="center"/>
    </xf>
    <xf numFmtId="0" fontId="5" fillId="13" borderId="168" xfId="0" applyFont="1" applyFill="1" applyBorder="1" applyAlignment="1">
      <alignment horizontal="center"/>
    </xf>
    <xf numFmtId="167" fontId="5" fillId="17" borderId="168" xfId="0" applyNumberFormat="1" applyFont="1" applyFill="1" applyBorder="1" applyAlignment="1">
      <alignment horizontal="center"/>
    </xf>
    <xf numFmtId="11" fontId="5" fillId="0" borderId="168" xfId="0" applyNumberFormat="1" applyFont="1" applyBorder="1" applyAlignment="1">
      <alignment horizontal="center"/>
    </xf>
    <xf numFmtId="167" fontId="5" fillId="16" borderId="150" xfId="0" applyNumberFormat="1" applyFont="1" applyFill="1" applyBorder="1" applyAlignment="1">
      <alignment horizontal="center"/>
    </xf>
    <xf numFmtId="167" fontId="5" fillId="0" borderId="150" xfId="0" applyNumberFormat="1" applyFont="1" applyBorder="1" applyAlignment="1">
      <alignment horizontal="center" vertical="center"/>
    </xf>
    <xf numFmtId="0" fontId="5" fillId="15" borderId="137" xfId="0" applyFont="1" applyFill="1" applyBorder="1" applyAlignment="1">
      <alignment horizontal="center"/>
    </xf>
    <xf numFmtId="167" fontId="5" fillId="18" borderId="137" xfId="0" applyNumberFormat="1" applyFont="1" applyFill="1" applyBorder="1" applyAlignment="1">
      <alignment horizontal="center"/>
    </xf>
    <xf numFmtId="0" fontId="5" fillId="13" borderId="150" xfId="0" applyFont="1" applyFill="1" applyBorder="1" applyAlignment="1">
      <alignment horizontal="center"/>
    </xf>
    <xf numFmtId="167" fontId="5" fillId="17" borderId="150" xfId="0" applyNumberFormat="1" applyFont="1" applyFill="1" applyBorder="1" applyAlignment="1">
      <alignment horizontal="center"/>
    </xf>
    <xf numFmtId="0" fontId="5" fillId="15" borderId="187" xfId="0" applyFont="1" applyFill="1" applyBorder="1" applyAlignment="1">
      <alignment horizontal="center"/>
    </xf>
    <xf numFmtId="167" fontId="5" fillId="14" borderId="178" xfId="0" applyNumberFormat="1" applyFont="1" applyFill="1" applyBorder="1" applyAlignment="1">
      <alignment horizontal="center"/>
    </xf>
    <xf numFmtId="167" fontId="5" fillId="14" borderId="190" xfId="0" applyNumberFormat="1" applyFont="1" applyFill="1" applyBorder="1" applyAlignment="1">
      <alignment horizontal="center"/>
    </xf>
    <xf numFmtId="0" fontId="5" fillId="0" borderId="180" xfId="0" applyFont="1" applyBorder="1"/>
    <xf numFmtId="0" fontId="5" fillId="0" borderId="191" xfId="0" applyFont="1" applyBorder="1"/>
    <xf numFmtId="0" fontId="5" fillId="14" borderId="169" xfId="0" applyFont="1" applyFill="1" applyBorder="1" applyAlignment="1">
      <alignment horizontal="center"/>
    </xf>
    <xf numFmtId="0" fontId="5" fillId="14" borderId="108" xfId="0" applyFont="1" applyFill="1" applyBorder="1" applyAlignment="1">
      <alignment horizontal="center"/>
    </xf>
    <xf numFmtId="0" fontId="5" fillId="14" borderId="192" xfId="0" applyFont="1" applyFill="1" applyBorder="1" applyAlignment="1">
      <alignment horizontal="center"/>
    </xf>
    <xf numFmtId="167" fontId="5" fillId="15" borderId="171" xfId="0" applyNumberFormat="1" applyFont="1" applyFill="1" applyBorder="1" applyAlignment="1">
      <alignment horizontal="center"/>
    </xf>
    <xf numFmtId="167" fontId="5" fillId="15" borderId="154" xfId="0" applyNumberFormat="1" applyFont="1" applyFill="1" applyBorder="1" applyAlignment="1">
      <alignment horizontal="center"/>
    </xf>
    <xf numFmtId="167" fontId="5" fillId="18" borderId="169" xfId="0" applyNumberFormat="1" applyFont="1" applyFill="1" applyBorder="1" applyAlignment="1">
      <alignment horizontal="center"/>
    </xf>
    <xf numFmtId="167" fontId="5" fillId="18" borderId="108" xfId="0" applyNumberFormat="1" applyFont="1" applyFill="1" applyBorder="1" applyAlignment="1">
      <alignment horizontal="center"/>
    </xf>
    <xf numFmtId="167" fontId="5" fillId="13" borderId="171" xfId="0" applyNumberFormat="1" applyFont="1" applyFill="1" applyBorder="1" applyAlignment="1">
      <alignment horizontal="center"/>
    </xf>
    <xf numFmtId="167" fontId="5" fillId="13" borderId="154" xfId="0" applyNumberFormat="1" applyFont="1" applyFill="1" applyBorder="1" applyAlignment="1">
      <alignment horizontal="center"/>
    </xf>
    <xf numFmtId="167" fontId="5" fillId="0" borderId="197" xfId="0" applyNumberFormat="1" applyFont="1" applyBorder="1" applyAlignment="1">
      <alignment horizontal="center"/>
    </xf>
    <xf numFmtId="167" fontId="5" fillId="0" borderId="135" xfId="0" applyNumberFormat="1" applyFont="1" applyBorder="1" applyAlignment="1">
      <alignment horizontal="center"/>
    </xf>
    <xf numFmtId="167" fontId="6" fillId="0" borderId="3" xfId="0" applyNumberFormat="1" applyFont="1" applyBorder="1"/>
    <xf numFmtId="0" fontId="6" fillId="0" borderId="3" xfId="0" applyFont="1" applyBorder="1"/>
    <xf numFmtId="0" fontId="5" fillId="0" borderId="1" xfId="0" applyFont="1" applyBorder="1"/>
    <xf numFmtId="0" fontId="7" fillId="0" borderId="5" xfId="0" applyFont="1" applyBorder="1" applyAlignment="1">
      <alignment horizontal="centerContinuous" vertical="center"/>
    </xf>
    <xf numFmtId="0" fontId="6" fillId="16" borderId="120" xfId="0" applyFont="1" applyFill="1" applyBorder="1" applyAlignment="1">
      <alignment horizontal="center" vertical="center"/>
    </xf>
    <xf numFmtId="0" fontId="6" fillId="16" borderId="134" xfId="0" applyFont="1" applyFill="1" applyBorder="1" applyAlignment="1">
      <alignment horizontal="center" vertical="center" wrapText="1"/>
    </xf>
    <xf numFmtId="0" fontId="6" fillId="18" borderId="120" xfId="0" applyFont="1" applyFill="1" applyBorder="1" applyAlignment="1">
      <alignment horizontal="center" vertical="center"/>
    </xf>
    <xf numFmtId="0" fontId="6" fillId="18" borderId="134" xfId="0" applyFont="1" applyFill="1" applyBorder="1" applyAlignment="1">
      <alignment horizontal="center" vertical="center" wrapText="1"/>
    </xf>
    <xf numFmtId="0" fontId="6" fillId="17" borderId="120" xfId="0" applyFont="1" applyFill="1" applyBorder="1" applyAlignment="1">
      <alignment horizontal="center" vertical="center" wrapText="1"/>
    </xf>
    <xf numFmtId="49" fontId="22" fillId="0" borderId="0" xfId="0" applyNumberFormat="1" applyFont="1" applyAlignment="1">
      <alignment horizontal="centerContinuous" vertical="center"/>
    </xf>
    <xf numFmtId="167" fontId="5" fillId="0" borderId="15" xfId="0" applyNumberFormat="1" applyFont="1" applyBorder="1" applyAlignment="1">
      <alignment horizontal="center"/>
    </xf>
    <xf numFmtId="0" fontId="5" fillId="0" borderId="1" xfId="0" applyFont="1" applyBorder="1" applyAlignment="1">
      <alignment horizontal="left"/>
    </xf>
    <xf numFmtId="170" fontId="5" fillId="0" borderId="150" xfId="0" applyNumberFormat="1" applyFont="1" applyBorder="1" applyAlignment="1">
      <alignment horizontal="center"/>
    </xf>
    <xf numFmtId="170" fontId="5" fillId="0" borderId="129" xfId="0" applyNumberFormat="1" applyFont="1" applyBorder="1" applyAlignment="1">
      <alignment horizontal="center"/>
    </xf>
    <xf numFmtId="167" fontId="5" fillId="24" borderId="158" xfId="0" applyNumberFormat="1" applyFont="1" applyFill="1" applyBorder="1" applyAlignment="1">
      <alignment horizontal="center"/>
    </xf>
    <xf numFmtId="167" fontId="5" fillId="24" borderId="159" xfId="0" applyNumberFormat="1" applyFont="1" applyFill="1" applyBorder="1" applyAlignment="1">
      <alignment horizontal="center"/>
    </xf>
    <xf numFmtId="0" fontId="5" fillId="0" borderId="8" xfId="0" applyFont="1" applyBorder="1" applyAlignment="1">
      <alignment horizontal="center"/>
    </xf>
    <xf numFmtId="0" fontId="5" fillId="0" borderId="129" xfId="0" applyFont="1" applyBorder="1" applyAlignment="1">
      <alignment horizontal="center"/>
    </xf>
    <xf numFmtId="49" fontId="22" fillId="0" borderId="5" xfId="0" applyNumberFormat="1" applyFont="1" applyBorder="1" applyAlignment="1">
      <alignment horizontal="centerContinuous" vertical="center"/>
    </xf>
    <xf numFmtId="167" fontId="5" fillId="24" borderId="148" xfId="0" applyNumberFormat="1" applyFont="1" applyFill="1" applyBorder="1" applyAlignment="1">
      <alignment horizontal="center"/>
    </xf>
    <xf numFmtId="167" fontId="5" fillId="24" borderId="150" xfId="0" applyNumberFormat="1" applyFont="1" applyFill="1" applyBorder="1" applyAlignment="1">
      <alignment horizontal="center"/>
    </xf>
    <xf numFmtId="49" fontId="5" fillId="0" borderId="156" xfId="0" applyNumberFormat="1" applyFont="1" applyBorder="1"/>
    <xf numFmtId="49" fontId="5" fillId="0" borderId="138" xfId="0" applyNumberFormat="1" applyFont="1" applyBorder="1"/>
    <xf numFmtId="167" fontId="6" fillId="24" borderId="23" xfId="0" applyNumberFormat="1" applyFont="1" applyFill="1" applyBorder="1" applyAlignment="1">
      <alignment horizontal="center" vertical="center" wrapText="1"/>
    </xf>
    <xf numFmtId="167" fontId="6" fillId="24" borderId="14" xfId="0" applyNumberFormat="1" applyFont="1" applyFill="1" applyBorder="1" applyAlignment="1">
      <alignment horizontal="center" vertical="center" wrapText="1"/>
    </xf>
    <xf numFmtId="167" fontId="6" fillId="24" borderId="70" xfId="0" applyNumberFormat="1" applyFont="1" applyFill="1" applyBorder="1" applyAlignment="1">
      <alignment horizontal="center" vertical="center" wrapText="1"/>
    </xf>
    <xf numFmtId="167" fontId="6" fillId="0" borderId="120" xfId="0" applyNumberFormat="1" applyFont="1" applyBorder="1" applyAlignment="1">
      <alignment horizontal="center"/>
    </xf>
    <xf numFmtId="167" fontId="6" fillId="13" borderId="121" xfId="0" applyNumberFormat="1" applyFont="1" applyFill="1" applyBorder="1" applyAlignment="1">
      <alignment horizontal="center" vertical="center" wrapText="1"/>
    </xf>
    <xf numFmtId="167" fontId="6" fillId="0" borderId="70" xfId="0" applyNumberFormat="1" applyFont="1" applyBorder="1" applyAlignment="1">
      <alignment horizontal="center" vertical="center" wrapText="1"/>
    </xf>
    <xf numFmtId="49" fontId="5" fillId="0" borderId="8" xfId="0" applyNumberFormat="1" applyFont="1" applyBorder="1" applyAlignment="1">
      <alignment horizontal="center"/>
    </xf>
    <xf numFmtId="49" fontId="5" fillId="0" borderId="16" xfId="0" applyNumberFormat="1" applyFont="1" applyBorder="1" applyAlignment="1">
      <alignment horizontal="center"/>
    </xf>
    <xf numFmtId="49" fontId="6" fillId="0" borderId="71" xfId="0" applyNumberFormat="1" applyFont="1" applyBorder="1" applyAlignment="1">
      <alignment horizontal="center" vertical="center" wrapText="1"/>
    </xf>
    <xf numFmtId="0" fontId="6" fillId="26" borderId="23" xfId="0" applyFont="1" applyFill="1" applyBorder="1" applyAlignment="1">
      <alignment horizontal="center" vertical="center" wrapText="1"/>
    </xf>
    <xf numFmtId="167" fontId="6" fillId="26" borderId="121" xfId="0" applyNumberFormat="1" applyFont="1" applyFill="1" applyBorder="1" applyAlignment="1">
      <alignment horizontal="center" vertical="center" wrapText="1"/>
    </xf>
    <xf numFmtId="167" fontId="5" fillId="26" borderId="158" xfId="0" applyNumberFormat="1" applyFont="1" applyFill="1" applyBorder="1" applyAlignment="1">
      <alignment horizontal="center" vertical="center"/>
    </xf>
    <xf numFmtId="167" fontId="6" fillId="0" borderId="45" xfId="0" applyNumberFormat="1" applyFont="1" applyBorder="1" applyAlignment="1">
      <alignment horizontal="center" vertical="center" wrapText="1"/>
    </xf>
    <xf numFmtId="0" fontId="5" fillId="0" borderId="139" xfId="0" applyFont="1" applyBorder="1" applyAlignment="1">
      <alignment horizontal="center"/>
    </xf>
    <xf numFmtId="0" fontId="6" fillId="0" borderId="14" xfId="0" applyFont="1" applyBorder="1" applyAlignment="1">
      <alignment horizontal="center" vertical="center" wrapText="1"/>
    </xf>
    <xf numFmtId="167" fontId="5" fillId="14" borderId="158" xfId="0" applyNumberFormat="1" applyFont="1" applyFill="1" applyBorder="1" applyAlignment="1">
      <alignment horizontal="center"/>
    </xf>
    <xf numFmtId="167" fontId="5" fillId="14" borderId="159" xfId="0" applyNumberFormat="1" applyFont="1" applyFill="1" applyBorder="1" applyAlignment="1">
      <alignment horizontal="center"/>
    </xf>
    <xf numFmtId="167" fontId="5" fillId="0" borderId="166" xfId="0" applyNumberFormat="1" applyFont="1" applyBorder="1" applyAlignment="1">
      <alignment horizontal="center"/>
    </xf>
    <xf numFmtId="49" fontId="5" fillId="0" borderId="3" xfId="0" applyNumberFormat="1" applyFont="1" applyBorder="1" applyAlignment="1">
      <alignment horizontal="center"/>
    </xf>
    <xf numFmtId="49" fontId="5" fillId="0" borderId="15" xfId="0" applyNumberFormat="1" applyFont="1" applyBorder="1" applyAlignment="1">
      <alignment horizontal="center"/>
    </xf>
    <xf numFmtId="1" fontId="5" fillId="0" borderId="137" xfId="0" applyNumberFormat="1" applyFont="1" applyBorder="1" applyAlignment="1">
      <alignment horizontal="center"/>
    </xf>
    <xf numFmtId="167" fontId="5" fillId="0" borderId="137" xfId="0" applyNumberFormat="1" applyFont="1" applyBorder="1" applyAlignment="1">
      <alignment horizontal="center" vertical="center"/>
    </xf>
    <xf numFmtId="167" fontId="5" fillId="0" borderId="137" xfId="0" applyNumberFormat="1" applyFont="1" applyBorder="1" applyAlignment="1">
      <alignment horizontal="center" vertical="center" wrapText="1"/>
    </xf>
    <xf numFmtId="11" fontId="5" fillId="0" borderId="143" xfId="0" applyNumberFormat="1" applyFont="1" applyBorder="1" applyAlignment="1">
      <alignment horizontal="center" vertical="center"/>
    </xf>
    <xf numFmtId="49" fontId="19" fillId="0" borderId="133" xfId="0" applyNumberFormat="1" applyFont="1" applyBorder="1"/>
    <xf numFmtId="167" fontId="5" fillId="0" borderId="136" xfId="0" applyNumberFormat="1" applyFont="1" applyBorder="1" applyAlignment="1">
      <alignment horizontal="center" vertical="center"/>
    </xf>
    <xf numFmtId="0" fontId="5" fillId="0" borderId="137" xfId="0" applyFont="1" applyBorder="1" applyAlignment="1">
      <alignment horizontal="center" wrapText="1"/>
    </xf>
    <xf numFmtId="0" fontId="5" fillId="0" borderId="133" xfId="0" applyFont="1" applyBorder="1"/>
    <xf numFmtId="0" fontId="5" fillId="0" borderId="25" xfId="0" quotePrefix="1" applyFont="1" applyBorder="1" applyAlignment="1">
      <alignment horizontal="center" wrapText="1"/>
    </xf>
    <xf numFmtId="0" fontId="5" fillId="0" borderId="25" xfId="0" applyFont="1" applyBorder="1" applyAlignment="1">
      <alignment horizontal="center" vertical="center" wrapText="1"/>
    </xf>
    <xf numFmtId="0" fontId="5" fillId="0" borderId="137" xfId="0" quotePrefix="1" applyFont="1" applyBorder="1" applyAlignment="1">
      <alignment horizontal="center" wrapText="1"/>
    </xf>
    <xf numFmtId="0" fontId="5" fillId="0" borderId="137" xfId="0" quotePrefix="1" applyFont="1" applyBorder="1" applyAlignment="1">
      <alignment horizontal="center" vertical="center" wrapText="1"/>
    </xf>
    <xf numFmtId="0" fontId="5" fillId="0" borderId="137" xfId="0" applyFont="1" applyBorder="1" applyAlignment="1">
      <alignment horizontal="center" vertical="center" wrapText="1"/>
    </xf>
    <xf numFmtId="0" fontId="45" fillId="0" borderId="0" xfId="0" applyFont="1" applyAlignment="1">
      <alignment horizontal="centerContinuous"/>
    </xf>
    <xf numFmtId="49" fontId="14" fillId="0" borderId="3" xfId="0" applyNumberFormat="1" applyFont="1" applyBorder="1"/>
    <xf numFmtId="0" fontId="45" fillId="0" borderId="5" xfId="0" applyFont="1" applyBorder="1" applyAlignment="1">
      <alignment horizontal="centerContinuous" vertical="center"/>
    </xf>
    <xf numFmtId="43" fontId="7" fillId="0" borderId="5" xfId="4" applyFont="1" applyBorder="1" applyAlignment="1">
      <alignment horizontal="centerContinuous" vertical="center"/>
    </xf>
    <xf numFmtId="167" fontId="5" fillId="0" borderId="143" xfId="0" quotePrefix="1" applyNumberFormat="1" applyFont="1" applyBorder="1" applyAlignment="1">
      <alignment horizontal="center"/>
    </xf>
    <xf numFmtId="167" fontId="5" fillId="13" borderId="158" xfId="0" applyNumberFormat="1" applyFont="1" applyFill="1" applyBorder="1" applyAlignment="1">
      <alignment horizontal="center" vertical="center"/>
    </xf>
    <xf numFmtId="49" fontId="5" fillId="0" borderId="0" xfId="0" applyNumberFormat="1" applyFont="1" applyAlignment="1">
      <alignment horizontal="center" vertical="center" wrapText="1"/>
    </xf>
    <xf numFmtId="167" fontId="0" fillId="0" borderId="19" xfId="0" applyNumberFormat="1" applyBorder="1" applyAlignment="1">
      <alignment horizontal="center" vertical="center"/>
    </xf>
    <xf numFmtId="0" fontId="16" fillId="8" borderId="144" xfId="0" applyFont="1" applyFill="1" applyBorder="1" applyAlignment="1">
      <alignment horizontal="center" vertical="center" wrapText="1"/>
    </xf>
    <xf numFmtId="0" fontId="16" fillId="7" borderId="46" xfId="0" applyFont="1" applyFill="1" applyBorder="1" applyAlignment="1">
      <alignment horizontal="center" vertical="center" wrapText="1"/>
    </xf>
    <xf numFmtId="167" fontId="5" fillId="0" borderId="136" xfId="0" quotePrefix="1" applyNumberFormat="1" applyFont="1" applyBorder="1" applyAlignment="1">
      <alignment horizontal="center" vertical="center"/>
    </xf>
    <xf numFmtId="167" fontId="5" fillId="0" borderId="137" xfId="0" quotePrefix="1" applyNumberFormat="1" applyFont="1" applyBorder="1" applyAlignment="1">
      <alignment horizontal="center" vertical="center" wrapText="1"/>
    </xf>
    <xf numFmtId="167" fontId="5" fillId="0" borderId="137" xfId="0" quotePrefix="1" applyNumberFormat="1" applyFont="1" applyBorder="1" applyAlignment="1">
      <alignment horizontal="center" vertical="center"/>
    </xf>
    <xf numFmtId="167" fontId="5" fillId="0" borderId="139" xfId="0" applyNumberFormat="1" applyFont="1" applyBorder="1" applyAlignment="1">
      <alignment horizontal="center"/>
    </xf>
    <xf numFmtId="0" fontId="24" fillId="18" borderId="0" xfId="0" applyFont="1" applyFill="1" applyAlignment="1" applyProtection="1">
      <alignment horizontal="right" vertical="center"/>
      <protection hidden="1"/>
    </xf>
    <xf numFmtId="0" fontId="24" fillId="16" borderId="0" xfId="0" applyFont="1" applyFill="1" applyAlignment="1" applyProtection="1">
      <alignment horizontal="right" vertical="center"/>
      <protection hidden="1"/>
    </xf>
    <xf numFmtId="0" fontId="24" fillId="17" borderId="0" xfId="0" applyFont="1" applyFill="1" applyAlignment="1" applyProtection="1">
      <alignment horizontal="right" vertical="center"/>
      <protection hidden="1"/>
    </xf>
    <xf numFmtId="0" fontId="24" fillId="27" borderId="0" xfId="0" applyFont="1" applyFill="1" applyAlignment="1" applyProtection="1">
      <alignment horizontal="right" vertical="center"/>
      <protection hidden="1"/>
    </xf>
    <xf numFmtId="0" fontId="16" fillId="9" borderId="17" xfId="0" applyFont="1" applyFill="1" applyBorder="1" applyAlignment="1">
      <alignment horizontal="center" vertical="center" wrapText="1"/>
    </xf>
    <xf numFmtId="0" fontId="16" fillId="28" borderId="46" xfId="0" applyFont="1" applyFill="1" applyBorder="1" applyAlignment="1">
      <alignment horizontal="center" vertical="center" wrapText="1"/>
    </xf>
    <xf numFmtId="0" fontId="24" fillId="0" borderId="0" xfId="0" applyFont="1" applyAlignment="1" applyProtection="1">
      <alignment horizontal="right"/>
      <protection hidden="1"/>
    </xf>
    <xf numFmtId="1" fontId="6" fillId="0" borderId="70" xfId="0" applyNumberFormat="1" applyFont="1" applyBorder="1" applyAlignment="1">
      <alignment horizontal="center" vertical="center"/>
    </xf>
    <xf numFmtId="0" fontId="6" fillId="0" borderId="0" xfId="0" applyFont="1" applyAlignment="1">
      <alignment horizontal="center" wrapText="1"/>
    </xf>
    <xf numFmtId="0" fontId="49" fillId="0" borderId="0" xfId="0" applyFont="1"/>
    <xf numFmtId="167" fontId="5" fillId="20" borderId="158" xfId="0" applyNumberFormat="1" applyFont="1" applyFill="1" applyBorder="1" applyAlignment="1">
      <alignment horizontal="center"/>
    </xf>
    <xf numFmtId="167" fontId="5" fillId="20" borderId="150" xfId="0" applyNumberFormat="1" applyFont="1" applyFill="1" applyBorder="1" applyAlignment="1">
      <alignment horizontal="center"/>
    </xf>
    <xf numFmtId="0" fontId="5" fillId="20" borderId="150" xfId="0" applyFont="1" applyFill="1" applyBorder="1" applyAlignment="1">
      <alignment horizontal="center"/>
    </xf>
    <xf numFmtId="167" fontId="5" fillId="20" borderId="152" xfId="0" applyNumberFormat="1" applyFont="1" applyFill="1" applyBorder="1" applyAlignment="1">
      <alignment horizontal="center"/>
    </xf>
    <xf numFmtId="170" fontId="5" fillId="20" borderId="158" xfId="0" applyNumberFormat="1" applyFont="1" applyFill="1" applyBorder="1" applyAlignment="1">
      <alignment horizontal="center"/>
    </xf>
    <xf numFmtId="167" fontId="5" fillId="20" borderId="97" xfId="0" applyNumberFormat="1" applyFont="1" applyFill="1" applyBorder="1" applyAlignment="1">
      <alignment horizontal="center"/>
    </xf>
    <xf numFmtId="164" fontId="5" fillId="20" borderId="97" xfId="0" applyNumberFormat="1" applyFont="1" applyFill="1" applyBorder="1" applyAlignment="1">
      <alignment horizontal="center"/>
    </xf>
    <xf numFmtId="0" fontId="5" fillId="20" borderId="138" xfId="0" applyFont="1" applyFill="1" applyBorder="1"/>
    <xf numFmtId="167" fontId="5" fillId="20" borderId="137" xfId="0" applyNumberFormat="1" applyFont="1" applyFill="1" applyBorder="1" applyAlignment="1">
      <alignment horizontal="center"/>
    </xf>
    <xf numFmtId="170" fontId="5" fillId="20" borderId="158" xfId="0" quotePrefix="1" applyNumberFormat="1" applyFont="1" applyFill="1" applyBorder="1" applyAlignment="1">
      <alignment horizontal="center"/>
    </xf>
    <xf numFmtId="0" fontId="4" fillId="0" borderId="0" xfId="0" applyFont="1" applyAlignment="1">
      <alignment horizontal="center"/>
    </xf>
    <xf numFmtId="2" fontId="5" fillId="0" borderId="0" xfId="0" applyNumberFormat="1" applyFont="1" applyAlignment="1">
      <alignment horizontal="center"/>
    </xf>
    <xf numFmtId="0" fontId="5" fillId="0" borderId="45" xfId="0" applyFont="1" applyBorder="1" applyAlignment="1">
      <alignment horizontal="center"/>
    </xf>
    <xf numFmtId="0" fontId="5" fillId="0" borderId="51" xfId="0" applyFont="1" applyBorder="1" applyAlignment="1">
      <alignment horizontal="center"/>
    </xf>
    <xf numFmtId="167" fontId="5" fillId="20" borderId="137" xfId="0" quotePrefix="1" applyNumberFormat="1" applyFont="1" applyFill="1" applyBorder="1" applyAlignment="1">
      <alignment horizontal="center"/>
    </xf>
    <xf numFmtId="167" fontId="5" fillId="20" borderId="129" xfId="0" quotePrefix="1" applyNumberFormat="1" applyFont="1" applyFill="1" applyBorder="1" applyAlignment="1">
      <alignment horizontal="center"/>
    </xf>
    <xf numFmtId="167" fontId="5" fillId="20" borderId="173" xfId="0" applyNumberFormat="1" applyFont="1" applyFill="1" applyBorder="1" applyAlignment="1">
      <alignment horizontal="center"/>
    </xf>
    <xf numFmtId="167" fontId="5" fillId="20" borderId="149" xfId="0" applyNumberFormat="1" applyFont="1" applyFill="1" applyBorder="1" applyAlignment="1">
      <alignment horizontal="center"/>
    </xf>
    <xf numFmtId="167" fontId="5" fillId="20" borderId="159" xfId="0" quotePrefix="1" applyNumberFormat="1" applyFont="1" applyFill="1" applyBorder="1" applyAlignment="1">
      <alignment horizontal="center"/>
    </xf>
    <xf numFmtId="170" fontId="5" fillId="20" borderId="129" xfId="0" applyNumberFormat="1" applyFont="1" applyFill="1" applyBorder="1" applyAlignment="1">
      <alignment horizontal="center"/>
    </xf>
    <xf numFmtId="170" fontId="5" fillId="20" borderId="150" xfId="0" applyNumberFormat="1" applyFont="1" applyFill="1" applyBorder="1" applyAlignment="1">
      <alignment horizontal="center"/>
    </xf>
    <xf numFmtId="170" fontId="5" fillId="20" borderId="137" xfId="0" applyNumberFormat="1" applyFont="1" applyFill="1" applyBorder="1" applyAlignment="1">
      <alignment horizontal="center"/>
    </xf>
    <xf numFmtId="0" fontId="5" fillId="20" borderId="129" xfId="0" applyFont="1" applyFill="1" applyBorder="1" applyAlignment="1">
      <alignment horizontal="center"/>
    </xf>
    <xf numFmtId="49" fontId="5" fillId="20" borderId="138" xfId="0" applyNumberFormat="1" applyFont="1" applyFill="1" applyBorder="1"/>
    <xf numFmtId="167" fontId="5" fillId="20" borderId="150" xfId="0" quotePrefix="1" applyNumberFormat="1" applyFont="1" applyFill="1" applyBorder="1" applyAlignment="1">
      <alignment horizontal="center"/>
    </xf>
    <xf numFmtId="167" fontId="5" fillId="20" borderId="139" xfId="0" quotePrefix="1" applyNumberFormat="1" applyFont="1" applyFill="1" applyBorder="1" applyAlignment="1">
      <alignment horizontal="center"/>
    </xf>
    <xf numFmtId="167" fontId="6" fillId="11" borderId="0" xfId="0" applyNumberFormat="1" applyFont="1" applyFill="1" applyAlignment="1">
      <alignment horizontal="center" vertical="center"/>
    </xf>
    <xf numFmtId="0" fontId="7" fillId="0" borderId="0" xfId="0" applyFont="1" applyAlignment="1">
      <alignment horizontal="center" vertical="center"/>
    </xf>
    <xf numFmtId="0" fontId="0" fillId="0" borderId="24" xfId="0" applyBorder="1" applyAlignment="1">
      <alignment horizontal="center"/>
    </xf>
    <xf numFmtId="0" fontId="0" fillId="0" borderId="25" xfId="0" applyBorder="1" applyAlignment="1">
      <alignment horizontal="center"/>
    </xf>
    <xf numFmtId="49" fontId="6" fillId="0" borderId="206" xfId="0" applyNumberFormat="1" applyFont="1" applyBorder="1" applyAlignment="1">
      <alignment horizontal="left" vertical="center" wrapText="1"/>
    </xf>
    <xf numFmtId="0" fontId="0" fillId="0" borderId="8" xfId="0" applyBorder="1" applyAlignment="1">
      <alignment horizontal="center"/>
    </xf>
    <xf numFmtId="49" fontId="6" fillId="0" borderId="142" xfId="0" applyNumberFormat="1" applyFont="1" applyBorder="1" applyAlignment="1">
      <alignment horizontal="left" vertical="center" wrapText="1"/>
    </xf>
    <xf numFmtId="49" fontId="6" fillId="0" borderId="207" xfId="0" applyNumberFormat="1" applyFont="1" applyBorder="1" applyAlignment="1">
      <alignment horizontal="left" vertical="center" wrapText="1"/>
    </xf>
    <xf numFmtId="0" fontId="0" fillId="0" borderId="95" xfId="0" applyBorder="1" applyAlignment="1">
      <alignment horizontal="center"/>
    </xf>
    <xf numFmtId="0" fontId="0" fillId="0" borderId="58" xfId="0" applyBorder="1" applyAlignment="1">
      <alignment horizontal="center"/>
    </xf>
    <xf numFmtId="0" fontId="0" fillId="0" borderId="16" xfId="0" applyBorder="1" applyAlignment="1">
      <alignment horizontal="center"/>
    </xf>
    <xf numFmtId="49" fontId="6" fillId="0" borderId="38" xfId="0" applyNumberFormat="1" applyFont="1" applyBorder="1" applyAlignment="1">
      <alignment horizontal="center" vertical="center" wrapText="1"/>
    </xf>
    <xf numFmtId="49" fontId="6" fillId="0" borderId="37" xfId="0" applyNumberFormat="1" applyFont="1" applyBorder="1" applyAlignment="1">
      <alignment horizontal="center" vertical="center" wrapText="1"/>
    </xf>
    <xf numFmtId="49" fontId="5" fillId="0" borderId="0" xfId="0" applyNumberFormat="1" applyFont="1" applyAlignment="1">
      <alignment vertical="center"/>
    </xf>
    <xf numFmtId="0" fontId="5" fillId="0" borderId="60" xfId="0" applyFont="1" applyBorder="1" applyAlignment="1">
      <alignment horizontal="center" vertical="center"/>
    </xf>
    <xf numFmtId="0" fontId="6" fillId="17" borderId="164" xfId="0" applyFont="1" applyFill="1" applyBorder="1" applyAlignment="1">
      <alignment horizontal="center" vertical="center" wrapText="1"/>
    </xf>
    <xf numFmtId="167" fontId="5" fillId="17" borderId="210" xfId="0" applyNumberFormat="1" applyFont="1" applyFill="1" applyBorder="1" applyAlignment="1">
      <alignment horizontal="center"/>
    </xf>
    <xf numFmtId="167" fontId="5" fillId="17" borderId="143" xfId="0" applyNumberFormat="1" applyFont="1" applyFill="1" applyBorder="1" applyAlignment="1">
      <alignment horizontal="center"/>
    </xf>
    <xf numFmtId="167" fontId="4" fillId="0" borderId="5" xfId="0" applyNumberFormat="1" applyFont="1" applyBorder="1" applyAlignment="1">
      <alignment horizontal="center" vertical="center"/>
    </xf>
    <xf numFmtId="0" fontId="4" fillId="0" borderId="5"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wrapText="1"/>
    </xf>
    <xf numFmtId="0" fontId="5" fillId="0" borderId="5" xfId="0" applyFont="1" applyBorder="1" applyAlignment="1">
      <alignment horizontal="center" wrapText="1"/>
    </xf>
    <xf numFmtId="170" fontId="5" fillId="24" borderId="129" xfId="0" applyNumberFormat="1" applyFont="1" applyFill="1" applyBorder="1" applyAlignment="1">
      <alignment horizontal="center"/>
    </xf>
    <xf numFmtId="170" fontId="5" fillId="20" borderId="129" xfId="0" quotePrefix="1" applyNumberFormat="1" applyFont="1" applyFill="1" applyBorder="1" applyAlignment="1">
      <alignment horizontal="center"/>
    </xf>
    <xf numFmtId="49" fontId="5" fillId="0" borderId="2" xfId="0" applyNumberFormat="1" applyFont="1" applyBorder="1" applyAlignment="1">
      <alignment horizontal="left"/>
    </xf>
    <xf numFmtId="49" fontId="6" fillId="0" borderId="1" xfId="0" applyNumberFormat="1" applyFont="1" applyBorder="1" applyAlignment="1" applyProtection="1">
      <alignment horizontal="left"/>
      <protection locked="0"/>
    </xf>
    <xf numFmtId="167" fontId="0" fillId="22" borderId="137" xfId="0" applyNumberFormat="1" applyFill="1" applyBorder="1" applyAlignment="1">
      <alignment horizontal="center" vertical="center"/>
    </xf>
    <xf numFmtId="167" fontId="0" fillId="22" borderId="143" xfId="0" applyNumberFormat="1" applyFill="1" applyBorder="1" applyAlignment="1">
      <alignment horizontal="center" vertical="center"/>
    </xf>
    <xf numFmtId="167" fontId="0" fillId="0" borderId="136" xfId="0" quotePrefix="1" applyNumberFormat="1" applyBorder="1" applyAlignment="1">
      <alignment horizontal="center" vertical="center"/>
    </xf>
    <xf numFmtId="167" fontId="0" fillId="0" borderId="137" xfId="0" quotePrefix="1" applyNumberFormat="1" applyBorder="1" applyAlignment="1">
      <alignment horizontal="center" vertical="center"/>
    </xf>
    <xf numFmtId="0" fontId="44" fillId="0" borderId="5" xfId="0" applyFont="1" applyBorder="1" applyProtection="1">
      <protection hidden="1"/>
    </xf>
    <xf numFmtId="0" fontId="44" fillId="0" borderId="5" xfId="0" applyFont="1" applyBorder="1" applyAlignment="1" applyProtection="1">
      <alignment horizontal="center" wrapText="1"/>
      <protection hidden="1"/>
    </xf>
    <xf numFmtId="0" fontId="44" fillId="0" borderId="16" xfId="0" applyFont="1" applyBorder="1" applyProtection="1">
      <protection hidden="1"/>
    </xf>
    <xf numFmtId="167" fontId="5" fillId="0" borderId="173" xfId="0" quotePrefix="1" applyNumberFormat="1" applyFont="1" applyBorder="1" applyAlignment="1">
      <alignment horizontal="center"/>
    </xf>
    <xf numFmtId="0" fontId="5" fillId="0" borderId="215" xfId="0" applyFont="1" applyBorder="1" applyAlignment="1">
      <alignment horizontal="center" wrapText="1"/>
    </xf>
    <xf numFmtId="0" fontId="5" fillId="0" borderId="85" xfId="0" applyFont="1" applyBorder="1" applyAlignment="1">
      <alignment horizontal="center" wrapText="1"/>
    </xf>
    <xf numFmtId="0" fontId="5" fillId="0" borderId="136" xfId="0" applyFont="1" applyBorder="1" applyAlignment="1">
      <alignment horizontal="center" wrapText="1"/>
    </xf>
    <xf numFmtId="0" fontId="5" fillId="0" borderId="136" xfId="0" quotePrefix="1" applyFont="1" applyBorder="1" applyAlignment="1">
      <alignment horizontal="center" wrapText="1"/>
    </xf>
    <xf numFmtId="0" fontId="0" fillId="0" borderId="3" xfId="0" applyBorder="1"/>
    <xf numFmtId="0" fontId="5" fillId="0" borderId="3" xfId="0" applyFont="1" applyBorder="1" applyAlignment="1">
      <alignment horizontal="center" vertical="center" wrapText="1"/>
    </xf>
    <xf numFmtId="0" fontId="0" fillId="0" borderId="15" xfId="0" applyBorder="1"/>
    <xf numFmtId="0" fontId="0" fillId="0" borderId="8" xfId="0" applyBorder="1"/>
    <xf numFmtId="0" fontId="0" fillId="0" borderId="5" xfId="0" applyBorder="1"/>
    <xf numFmtId="0" fontId="5" fillId="0" borderId="5" xfId="0" applyFont="1" applyBorder="1" applyAlignment="1">
      <alignment horizontal="center" vertical="center" wrapText="1"/>
    </xf>
    <xf numFmtId="0" fontId="0" fillId="0" borderId="16" xfId="0" applyBorder="1"/>
    <xf numFmtId="0" fontId="4" fillId="0" borderId="58" xfId="0" applyFont="1" applyBorder="1" applyAlignment="1">
      <alignment horizontal="center" vertical="center"/>
    </xf>
    <xf numFmtId="0" fontId="4" fillId="0" borderId="22" xfId="0" applyFont="1" applyBorder="1" applyAlignment="1">
      <alignment horizontal="center" vertical="center"/>
    </xf>
    <xf numFmtId="0" fontId="4" fillId="0" borderId="19" xfId="0" applyFont="1" applyBorder="1" applyAlignment="1">
      <alignment horizontal="center" vertical="center"/>
    </xf>
    <xf numFmtId="0" fontId="4" fillId="0" borderId="40" xfId="0" applyFont="1" applyBorder="1" applyAlignment="1">
      <alignment horizontal="center" vertical="center"/>
    </xf>
    <xf numFmtId="0" fontId="4" fillId="0" borderId="20" xfId="0" applyFont="1" applyBorder="1" applyAlignment="1">
      <alignment horizontal="center" vertical="center"/>
    </xf>
    <xf numFmtId="0" fontId="4" fillId="0" borderId="72" xfId="0" applyFont="1" applyBorder="1" applyAlignment="1">
      <alignment horizontal="center" vertical="center"/>
    </xf>
    <xf numFmtId="167" fontId="5" fillId="0" borderId="148" xfId="0" quotePrefix="1" applyNumberFormat="1" applyFont="1" applyBorder="1" applyAlignment="1">
      <alignment horizontal="center"/>
    </xf>
    <xf numFmtId="167" fontId="5" fillId="0" borderId="99" xfId="0" quotePrefix="1" applyNumberFormat="1" applyFont="1" applyBorder="1" applyAlignment="1">
      <alignment horizontal="center"/>
    </xf>
    <xf numFmtId="167" fontId="5" fillId="0" borderId="216" xfId="0" quotePrefix="1" applyNumberFormat="1" applyFont="1" applyBorder="1" applyAlignment="1">
      <alignment horizontal="center"/>
    </xf>
    <xf numFmtId="167" fontId="5" fillId="0" borderId="216" xfId="0" applyNumberFormat="1" applyFont="1" applyBorder="1" applyAlignment="1">
      <alignment horizontal="center"/>
    </xf>
    <xf numFmtId="167" fontId="5" fillId="0" borderId="129" xfId="0" quotePrefix="1" applyNumberFormat="1" applyFont="1" applyBorder="1" applyAlignment="1">
      <alignment horizontal="center"/>
    </xf>
    <xf numFmtId="167" fontId="5" fillId="0" borderId="99" xfId="0" applyNumberFormat="1" applyFont="1" applyBorder="1" applyAlignment="1">
      <alignment horizontal="center"/>
    </xf>
    <xf numFmtId="11" fontId="5" fillId="0" borderId="139" xfId="0" applyNumberFormat="1" applyFont="1" applyBorder="1" applyAlignment="1">
      <alignment horizontal="center"/>
    </xf>
    <xf numFmtId="11" fontId="5" fillId="0" borderId="216" xfId="0" applyNumberFormat="1" applyFont="1" applyBorder="1" applyAlignment="1">
      <alignment horizontal="center"/>
    </xf>
    <xf numFmtId="49" fontId="5" fillId="0" borderId="137" xfId="0" applyNumberFormat="1" applyFont="1" applyBorder="1" applyAlignment="1">
      <alignment horizontal="left"/>
    </xf>
    <xf numFmtId="0" fontId="5" fillId="0" borderId="87" xfId="0" applyFont="1" applyBorder="1" applyAlignment="1">
      <alignment horizontal="left" wrapText="1"/>
    </xf>
    <xf numFmtId="0" fontId="5" fillId="0" borderId="138" xfId="0" applyFont="1" applyBorder="1" applyAlignment="1">
      <alignment horizontal="left" wrapText="1"/>
    </xf>
    <xf numFmtId="0" fontId="5" fillId="0" borderId="156" xfId="0" applyFont="1" applyBorder="1" applyAlignment="1">
      <alignment horizontal="left"/>
    </xf>
    <xf numFmtId="0" fontId="5" fillId="0" borderId="138" xfId="0" applyFont="1" applyBorder="1" applyAlignment="1">
      <alignment horizontal="left"/>
    </xf>
    <xf numFmtId="0" fontId="5" fillId="0" borderId="157" xfId="0" applyFont="1" applyBorder="1" applyAlignment="1">
      <alignment horizontal="left"/>
    </xf>
    <xf numFmtId="0" fontId="5" fillId="0" borderId="169" xfId="0" applyFont="1" applyBorder="1" applyAlignment="1">
      <alignment horizontal="left"/>
    </xf>
    <xf numFmtId="0" fontId="5" fillId="0" borderId="108" xfId="0" applyFont="1" applyBorder="1" applyAlignment="1">
      <alignment horizontal="left"/>
    </xf>
    <xf numFmtId="0" fontId="27" fillId="8" borderId="57" xfId="3" applyFont="1" applyFill="1" applyBorder="1" applyAlignment="1">
      <alignment horizontal="center" wrapText="1"/>
    </xf>
    <xf numFmtId="0" fontId="27" fillId="8" borderId="55" xfId="3" applyFont="1" applyFill="1" applyBorder="1" applyAlignment="1">
      <alignment horizontal="center" wrapText="1"/>
    </xf>
    <xf numFmtId="0" fontId="27" fillId="7" borderId="57" xfId="3" applyFont="1" applyFill="1" applyBorder="1" applyAlignment="1">
      <alignment horizontal="center" wrapText="1"/>
    </xf>
    <xf numFmtId="0" fontId="27" fillId="7" borderId="55" xfId="3" applyFont="1" applyFill="1" applyBorder="1" applyAlignment="1">
      <alignment horizontal="center" wrapText="1"/>
    </xf>
    <xf numFmtId="0" fontId="27" fillId="9" borderId="56" xfId="3" applyFont="1" applyFill="1" applyBorder="1" applyAlignment="1">
      <alignment horizontal="center" wrapText="1"/>
    </xf>
    <xf numFmtId="0" fontId="27" fillId="9" borderId="62" xfId="3" applyFont="1" applyFill="1" applyBorder="1" applyAlignment="1">
      <alignment horizontal="center" wrapText="1"/>
    </xf>
    <xf numFmtId="0" fontId="27" fillId="0" borderId="0" xfId="3" applyFont="1" applyAlignment="1">
      <alignment horizontal="center"/>
    </xf>
    <xf numFmtId="0" fontId="27" fillId="27" borderId="57" xfId="3" applyFont="1" applyFill="1" applyBorder="1" applyAlignment="1">
      <alignment horizontal="center" wrapText="1"/>
    </xf>
    <xf numFmtId="0" fontId="27" fillId="27" borderId="62" xfId="3" applyFont="1" applyFill="1" applyBorder="1" applyAlignment="1">
      <alignment horizontal="center" wrapText="1"/>
    </xf>
    <xf numFmtId="0" fontId="51" fillId="30" borderId="57" xfId="3" applyFont="1" applyFill="1" applyBorder="1" applyAlignment="1">
      <alignment horizontal="center" wrapText="1"/>
    </xf>
    <xf numFmtId="0" fontId="51" fillId="30" borderId="62" xfId="3" applyFont="1" applyFill="1" applyBorder="1" applyAlignment="1">
      <alignment horizontal="center" wrapText="1"/>
    </xf>
    <xf numFmtId="0" fontId="27" fillId="10" borderId="57" xfId="3" applyFont="1" applyFill="1" applyBorder="1" applyAlignment="1">
      <alignment horizontal="center" wrapText="1"/>
    </xf>
    <xf numFmtId="0" fontId="51" fillId="29" borderId="2" xfId="3" applyFont="1" applyFill="1" applyBorder="1" applyAlignment="1">
      <alignment horizontal="center" wrapText="1"/>
    </xf>
    <xf numFmtId="0" fontId="51" fillId="29" borderId="1" xfId="3" applyFont="1" applyFill="1" applyBorder="1" applyAlignment="1">
      <alignment horizontal="center" wrapText="1"/>
    </xf>
    <xf numFmtId="0" fontId="51" fillId="29" borderId="4" xfId="3" applyFont="1" applyFill="1" applyBorder="1" applyAlignment="1">
      <alignment horizontal="center" wrapText="1"/>
    </xf>
    <xf numFmtId="0" fontId="47" fillId="0" borderId="0" xfId="0" applyFont="1"/>
    <xf numFmtId="49" fontId="47" fillId="0" borderId="57" xfId="0" applyNumberFormat="1" applyFont="1" applyBorder="1" applyAlignment="1">
      <alignment horizontal="left" vertical="center"/>
    </xf>
    <xf numFmtId="2" fontId="47" fillId="0" borderId="87" xfId="0" applyNumberFormat="1" applyFont="1" applyBorder="1" applyAlignment="1">
      <alignment horizontal="left" vertical="center"/>
    </xf>
    <xf numFmtId="167" fontId="47" fillId="0" borderId="85" xfId="0" applyNumberFormat="1" applyFont="1" applyBorder="1" applyAlignment="1" applyProtection="1">
      <alignment horizontal="center" vertical="center"/>
      <protection hidden="1"/>
    </xf>
    <xf numFmtId="167" fontId="47" fillId="0" borderId="25" xfId="0" applyNumberFormat="1" applyFont="1" applyBorder="1" applyAlignment="1" applyProtection="1">
      <alignment horizontal="center" vertical="center"/>
      <protection hidden="1"/>
    </xf>
    <xf numFmtId="167" fontId="47" fillId="0" borderId="28" xfId="0" applyNumberFormat="1" applyFont="1" applyBorder="1" applyAlignment="1" applyProtection="1">
      <alignment horizontal="center" vertical="center"/>
      <protection hidden="1"/>
    </xf>
    <xf numFmtId="170" fontId="47" fillId="0" borderId="85" xfId="0" applyNumberFormat="1" applyFont="1" applyBorder="1" applyAlignment="1" applyProtection="1">
      <alignment horizontal="center" vertical="center"/>
      <protection hidden="1"/>
    </xf>
    <xf numFmtId="170" fontId="47" fillId="0" borderId="87" xfId="0" applyNumberFormat="1" applyFont="1" applyBorder="1" applyAlignment="1" applyProtection="1">
      <alignment horizontal="center" vertical="center"/>
      <protection hidden="1"/>
    </xf>
    <xf numFmtId="167" fontId="47" fillId="0" borderId="0" xfId="0" applyNumberFormat="1" applyFont="1" applyAlignment="1" applyProtection="1">
      <alignment horizontal="center" vertical="center"/>
      <protection hidden="1"/>
    </xf>
    <xf numFmtId="167" fontId="47" fillId="0" borderId="87" xfId="0" applyNumberFormat="1" applyFont="1" applyBorder="1" applyAlignment="1" applyProtection="1">
      <alignment horizontal="center" vertical="center"/>
      <protection hidden="1"/>
    </xf>
    <xf numFmtId="167" fontId="47" fillId="0" borderId="18" xfId="0" applyNumberFormat="1" applyFont="1" applyBorder="1" applyAlignment="1" applyProtection="1">
      <alignment horizontal="center" vertical="center"/>
      <protection hidden="1"/>
    </xf>
    <xf numFmtId="167" fontId="47" fillId="0" borderId="19" xfId="0" applyNumberFormat="1" applyFont="1" applyBorder="1" applyAlignment="1" applyProtection="1">
      <alignment horizontal="center" vertical="center"/>
      <protection hidden="1"/>
    </xf>
    <xf numFmtId="2" fontId="47" fillId="0" borderId="138" xfId="0" applyNumberFormat="1" applyFont="1" applyBorder="1" applyAlignment="1">
      <alignment horizontal="left" vertical="center"/>
    </xf>
    <xf numFmtId="167" fontId="47" fillId="0" borderId="136" xfId="0" applyNumberFormat="1" applyFont="1" applyBorder="1" applyAlignment="1" applyProtection="1">
      <alignment horizontal="center" vertical="center"/>
      <protection hidden="1"/>
    </xf>
    <xf numFmtId="167" fontId="47" fillId="0" borderId="137" xfId="0" applyNumberFormat="1" applyFont="1" applyBorder="1" applyAlignment="1" applyProtection="1">
      <alignment horizontal="center" vertical="center"/>
      <protection hidden="1"/>
    </xf>
    <xf numFmtId="167" fontId="47" fillId="0" borderId="108" xfId="0" applyNumberFormat="1" applyFont="1" applyBorder="1" applyAlignment="1" applyProtection="1">
      <alignment horizontal="center" vertical="center"/>
      <protection hidden="1"/>
    </xf>
    <xf numFmtId="170" fontId="47" fillId="0" borderId="136" xfId="0" applyNumberFormat="1" applyFont="1" applyBorder="1" applyAlignment="1" applyProtection="1">
      <alignment horizontal="center" vertical="center"/>
      <protection hidden="1"/>
    </xf>
    <xf numFmtId="170" fontId="47" fillId="0" borderId="138" xfId="0" applyNumberFormat="1" applyFont="1" applyBorder="1" applyAlignment="1" applyProtection="1">
      <alignment horizontal="center" vertical="center"/>
      <protection hidden="1"/>
    </xf>
    <xf numFmtId="167" fontId="47" fillId="0" borderId="139" xfId="0" applyNumberFormat="1" applyFont="1" applyBorder="1" applyAlignment="1" applyProtection="1">
      <alignment horizontal="center" vertical="center"/>
      <protection hidden="1"/>
    </xf>
    <xf numFmtId="167" fontId="47" fillId="0" borderId="138" xfId="0" applyNumberFormat="1" applyFont="1" applyBorder="1" applyAlignment="1" applyProtection="1">
      <alignment horizontal="center" vertical="center"/>
      <protection hidden="1"/>
    </xf>
    <xf numFmtId="167" fontId="47" fillId="0" borderId="109" xfId="0" applyNumberFormat="1" applyFont="1" applyBorder="1" applyAlignment="1" applyProtection="1">
      <alignment horizontal="center" vertical="center"/>
      <protection hidden="1"/>
    </xf>
    <xf numFmtId="167" fontId="47" fillId="0" borderId="143" xfId="0" applyNumberFormat="1" applyFont="1" applyBorder="1" applyAlignment="1" applyProtection="1">
      <alignment horizontal="center" vertical="center"/>
      <protection hidden="1"/>
    </xf>
    <xf numFmtId="0" fontId="47" fillId="0" borderId="0" xfId="0" applyFont="1" applyAlignment="1" applyProtection="1">
      <alignment vertical="center"/>
      <protection hidden="1"/>
    </xf>
    <xf numFmtId="0" fontId="25" fillId="0" borderId="50" xfId="0" applyFont="1" applyBorder="1" applyAlignment="1" applyProtection="1">
      <alignment horizontal="center" vertical="center" wrapText="1"/>
      <protection hidden="1"/>
    </xf>
    <xf numFmtId="0" fontId="25" fillId="0" borderId="88" xfId="0" applyFont="1" applyBorder="1" applyAlignment="1" applyProtection="1">
      <alignment horizontal="center" vertical="center" wrapText="1"/>
      <protection hidden="1"/>
    </xf>
    <xf numFmtId="0" fontId="25" fillId="0" borderId="0" xfId="0" applyFont="1" applyAlignment="1" applyProtection="1">
      <alignment vertical="center" wrapText="1"/>
      <protection hidden="1"/>
    </xf>
    <xf numFmtId="170" fontId="47" fillId="0" borderId="0" xfId="0" applyNumberFormat="1" applyFont="1" applyAlignment="1" applyProtection="1">
      <alignment horizontal="center" vertical="center"/>
      <protection hidden="1"/>
    </xf>
    <xf numFmtId="170" fontId="47" fillId="0" borderId="25" xfId="0" applyNumberFormat="1" applyFont="1" applyBorder="1" applyAlignment="1" applyProtection="1">
      <alignment horizontal="center" vertical="center"/>
      <protection hidden="1"/>
    </xf>
    <xf numFmtId="167" fontId="47" fillId="0" borderId="82" xfId="0" applyNumberFormat="1" applyFont="1" applyBorder="1" applyAlignment="1" applyProtection="1">
      <alignment horizontal="center" vertical="center"/>
      <protection hidden="1"/>
    </xf>
    <xf numFmtId="0" fontId="47" fillId="0" borderId="0" xfId="0" applyFont="1" applyProtection="1">
      <protection hidden="1"/>
    </xf>
    <xf numFmtId="167" fontId="47" fillId="0" borderId="0" xfId="0" applyNumberFormat="1" applyFont="1" applyProtection="1">
      <protection hidden="1"/>
    </xf>
    <xf numFmtId="170" fontId="47" fillId="0" borderId="139" xfId="0" applyNumberFormat="1" applyFont="1" applyBorder="1" applyAlignment="1" applyProtection="1">
      <alignment horizontal="center" vertical="center"/>
      <protection hidden="1"/>
    </xf>
    <xf numFmtId="170" fontId="47" fillId="0" borderId="137" xfId="0" applyNumberFormat="1" applyFont="1" applyBorder="1" applyAlignment="1" applyProtection="1">
      <alignment horizontal="center" vertical="center"/>
      <protection hidden="1"/>
    </xf>
    <xf numFmtId="167" fontId="47" fillId="0" borderId="131" xfId="0" applyNumberFormat="1" applyFont="1" applyBorder="1" applyAlignment="1" applyProtection="1">
      <alignment horizontal="center" vertical="center"/>
      <protection hidden="1"/>
    </xf>
    <xf numFmtId="0" fontId="47" fillId="0" borderId="1" xfId="0" applyFont="1" applyBorder="1" applyProtection="1">
      <protection hidden="1"/>
    </xf>
    <xf numFmtId="0" fontId="47" fillId="0" borderId="0" xfId="0" applyFont="1" applyAlignment="1" applyProtection="1">
      <alignment horizontal="center"/>
      <protection hidden="1"/>
    </xf>
    <xf numFmtId="0" fontId="47" fillId="0" borderId="8" xfId="0" applyFont="1" applyBorder="1" applyProtection="1">
      <protection hidden="1"/>
    </xf>
    <xf numFmtId="167" fontId="5" fillId="0" borderId="109" xfId="0" applyNumberFormat="1" applyFont="1" applyBorder="1" applyAlignment="1">
      <alignment horizontal="center"/>
    </xf>
    <xf numFmtId="11" fontId="5" fillId="0" borderId="138" xfId="0" applyNumberFormat="1" applyFont="1" applyBorder="1" applyAlignment="1">
      <alignment horizontal="left"/>
    </xf>
    <xf numFmtId="11" fontId="5" fillId="0" borderId="138" xfId="0" quotePrefix="1" applyNumberFormat="1" applyFont="1" applyBorder="1" applyAlignment="1">
      <alignment horizontal="left"/>
    </xf>
    <xf numFmtId="0" fontId="44" fillId="0" borderId="8" xfId="0" applyFont="1" applyBorder="1" applyProtection="1">
      <protection hidden="1"/>
    </xf>
    <xf numFmtId="0" fontId="45" fillId="0" borderId="0" xfId="0" applyFont="1" applyAlignment="1">
      <alignment horizontal="center"/>
    </xf>
    <xf numFmtId="0" fontId="16" fillId="0" borderId="0" xfId="0" applyFont="1" applyAlignment="1">
      <alignment horizontal="center" vertical="center"/>
    </xf>
    <xf numFmtId="0" fontId="5" fillId="0" borderId="103" xfId="0" applyFont="1" applyBorder="1" applyAlignment="1">
      <alignment horizontal="center"/>
    </xf>
    <xf numFmtId="0" fontId="5" fillId="0" borderId="215" xfId="0" applyFont="1" applyBorder="1" applyAlignment="1">
      <alignment horizontal="center"/>
    </xf>
    <xf numFmtId="0" fontId="0" fillId="0" borderId="3" xfId="0" applyBorder="1" applyAlignment="1">
      <alignment horizontal="center"/>
    </xf>
    <xf numFmtId="0" fontId="5" fillId="20" borderId="108" xfId="0" applyFont="1" applyFill="1" applyBorder="1" applyAlignment="1">
      <alignment horizontal="center"/>
    </xf>
    <xf numFmtId="167" fontId="5" fillId="20" borderId="150" xfId="0" applyNumberFormat="1" applyFont="1" applyFill="1" applyBorder="1" applyAlignment="1">
      <alignment horizontal="center" vertical="center"/>
    </xf>
    <xf numFmtId="0" fontId="4" fillId="0" borderId="205" xfId="0" applyFont="1" applyBorder="1" applyAlignment="1">
      <alignment horizontal="center" vertical="center"/>
    </xf>
    <xf numFmtId="0" fontId="4" fillId="0" borderId="214" xfId="0" applyFont="1" applyBorder="1" applyAlignment="1">
      <alignment horizontal="center" vertical="center"/>
    </xf>
    <xf numFmtId="167" fontId="4" fillId="0" borderId="73" xfId="0" applyNumberFormat="1" applyFont="1" applyBorder="1" applyAlignment="1">
      <alignment horizontal="center" vertical="center"/>
    </xf>
    <xf numFmtId="1" fontId="4" fillId="0" borderId="205" xfId="0" applyNumberFormat="1" applyFont="1" applyBorder="1" applyAlignment="1">
      <alignment horizontal="center" vertical="center"/>
    </xf>
    <xf numFmtId="1" fontId="4" fillId="0" borderId="214" xfId="0" applyNumberFormat="1" applyFont="1" applyBorder="1" applyAlignment="1">
      <alignment horizontal="center" vertical="center"/>
    </xf>
    <xf numFmtId="1" fontId="4" fillId="0" borderId="96" xfId="0" applyNumberFormat="1" applyFont="1" applyBorder="1" applyAlignment="1">
      <alignment horizontal="center" vertical="center"/>
    </xf>
    <xf numFmtId="164" fontId="4" fillId="0" borderId="214" xfId="0" applyNumberFormat="1" applyFont="1" applyBorder="1" applyAlignment="1">
      <alignment horizontal="center" vertical="center"/>
    </xf>
    <xf numFmtId="0" fontId="4" fillId="0" borderId="29" xfId="0" applyFont="1" applyBorder="1" applyAlignment="1">
      <alignment horizontal="center" vertical="center"/>
    </xf>
    <xf numFmtId="0" fontId="4" fillId="0" borderId="36" xfId="0" applyFont="1" applyBorder="1" applyAlignment="1">
      <alignment horizontal="center" vertical="center"/>
    </xf>
    <xf numFmtId="0" fontId="0" fillId="0" borderId="0" xfId="0" applyAlignment="1">
      <alignment vertical="center"/>
    </xf>
    <xf numFmtId="167" fontId="5" fillId="0" borderId="150" xfId="0" quotePrefix="1" applyNumberFormat="1" applyFont="1" applyBorder="1" applyAlignment="1">
      <alignment horizontal="center"/>
    </xf>
    <xf numFmtId="167" fontId="5" fillId="0" borderId="159" xfId="0" quotePrefix="1" applyNumberFormat="1" applyFont="1" applyBorder="1" applyAlignment="1">
      <alignment horizontal="center"/>
    </xf>
    <xf numFmtId="167" fontId="5" fillId="25" borderId="173" xfId="0" applyNumberFormat="1" applyFont="1" applyFill="1" applyBorder="1" applyAlignment="1">
      <alignment horizontal="center"/>
    </xf>
    <xf numFmtId="167" fontId="5" fillId="0" borderId="160" xfId="0" quotePrefix="1" applyNumberFormat="1" applyFont="1" applyBorder="1" applyAlignment="1">
      <alignment horizontal="center"/>
    </xf>
    <xf numFmtId="167" fontId="5" fillId="25" borderId="174" xfId="0" applyNumberFormat="1" applyFont="1" applyFill="1" applyBorder="1" applyAlignment="1">
      <alignment horizontal="center"/>
    </xf>
    <xf numFmtId="0" fontId="24" fillId="6" borderId="8" xfId="0" applyFont="1" applyFill="1" applyBorder="1"/>
    <xf numFmtId="0" fontId="24" fillId="6" borderId="69" xfId="0" applyFont="1" applyFill="1" applyBorder="1"/>
    <xf numFmtId="0" fontId="24" fillId="4" borderId="1" xfId="0" applyFont="1" applyFill="1" applyBorder="1" applyProtection="1">
      <protection hidden="1"/>
    </xf>
    <xf numFmtId="0" fontId="24" fillId="6" borderId="0" xfId="0" applyFont="1" applyFill="1"/>
    <xf numFmtId="0" fontId="24" fillId="6" borderId="1" xfId="0" applyFont="1" applyFill="1" applyBorder="1"/>
    <xf numFmtId="0" fontId="4" fillId="6" borderId="5" xfId="0" applyFont="1" applyFill="1" applyBorder="1"/>
    <xf numFmtId="0" fontId="4" fillId="6" borderId="16" xfId="0" applyFont="1" applyFill="1" applyBorder="1"/>
    <xf numFmtId="0" fontId="24" fillId="5" borderId="0" xfId="0" applyFont="1" applyFill="1" applyAlignment="1" applyProtection="1">
      <alignment horizontal="center" vertical="top" wrapText="1"/>
      <protection hidden="1"/>
    </xf>
    <xf numFmtId="4" fontId="24" fillId="6" borderId="0" xfId="0" applyNumberFormat="1" applyFont="1" applyFill="1" applyAlignment="1" applyProtection="1">
      <alignment horizontal="center" vertical="center" wrapText="1"/>
      <protection hidden="1"/>
    </xf>
    <xf numFmtId="0" fontId="7" fillId="6" borderId="0" xfId="0" applyFont="1" applyFill="1" applyAlignment="1" applyProtection="1">
      <alignment wrapText="1"/>
      <protection hidden="1"/>
    </xf>
    <xf numFmtId="0" fontId="4" fillId="6" borderId="4" xfId="0" applyFont="1" applyFill="1" applyBorder="1"/>
    <xf numFmtId="0" fontId="24" fillId="23" borderId="1" xfId="0" applyFont="1" applyFill="1" applyBorder="1"/>
    <xf numFmtId="0" fontId="24" fillId="23" borderId="0" xfId="0" applyFont="1" applyFill="1" applyAlignment="1">
      <alignment horizontal="right" vertical="center"/>
    </xf>
    <xf numFmtId="0" fontId="24" fillId="23" borderId="0" xfId="0" applyFont="1" applyFill="1"/>
    <xf numFmtId="167" fontId="24" fillId="23" borderId="0" xfId="0" applyNumberFormat="1" applyFont="1" applyFill="1" applyAlignment="1" applyProtection="1">
      <alignment horizontal="left"/>
      <protection hidden="1"/>
    </xf>
    <xf numFmtId="0" fontId="24" fillId="23" borderId="0" xfId="0" applyFont="1" applyFill="1" applyAlignment="1" applyProtection="1">
      <alignment horizontal="right"/>
      <protection hidden="1"/>
    </xf>
    <xf numFmtId="0" fontId="24" fillId="23" borderId="0" xfId="0" applyFont="1" applyFill="1" applyProtection="1">
      <protection hidden="1"/>
    </xf>
    <xf numFmtId="0" fontId="24" fillId="23" borderId="0" xfId="0" applyFont="1" applyFill="1" applyAlignment="1">
      <alignment horizontal="right"/>
    </xf>
    <xf numFmtId="0" fontId="4" fillId="23" borderId="4" xfId="0" applyFont="1" applyFill="1" applyBorder="1"/>
    <xf numFmtId="0" fontId="24" fillId="23" borderId="5" xfId="0" applyFont="1" applyFill="1" applyBorder="1"/>
    <xf numFmtId="0" fontId="24" fillId="23" borderId="5" xfId="0" applyFont="1" applyFill="1" applyBorder="1" applyAlignment="1" applyProtection="1">
      <alignment horizontal="right"/>
      <protection hidden="1"/>
    </xf>
    <xf numFmtId="0" fontId="16" fillId="0" borderId="0" xfId="0" applyFont="1" applyProtection="1">
      <protection hidden="1"/>
    </xf>
    <xf numFmtId="0" fontId="24" fillId="0" borderId="0" xfId="0" applyFont="1" applyAlignment="1" applyProtection="1">
      <alignment horizontal="center"/>
      <protection hidden="1"/>
    </xf>
    <xf numFmtId="49" fontId="24" fillId="0" borderId="0" xfId="0" applyNumberFormat="1" applyFont="1" applyProtection="1">
      <protection hidden="1"/>
    </xf>
    <xf numFmtId="0" fontId="24" fillId="0" borderId="8" xfId="0" applyFont="1" applyBorder="1"/>
    <xf numFmtId="0" fontId="24" fillId="0" borderId="0" xfId="0" applyFont="1" applyAlignment="1" applyProtection="1">
      <alignment horizontal="left"/>
      <protection hidden="1"/>
    </xf>
    <xf numFmtId="0" fontId="4" fillId="0" borderId="0" xfId="0" applyFont="1" applyAlignment="1">
      <alignment horizontal="left" vertical="center"/>
    </xf>
    <xf numFmtId="167" fontId="5" fillId="0" borderId="190" xfId="0" applyNumberFormat="1" applyFont="1" applyBorder="1" applyAlignment="1">
      <alignment horizontal="center"/>
    </xf>
    <xf numFmtId="0" fontId="54" fillId="0" borderId="0" xfId="0" applyFont="1"/>
    <xf numFmtId="167" fontId="5" fillId="13" borderId="159" xfId="0" applyNumberFormat="1" applyFont="1" applyFill="1" applyBorder="1" applyAlignment="1">
      <alignment horizontal="center" vertical="center"/>
    </xf>
    <xf numFmtId="0" fontId="16" fillId="0" borderId="93" xfId="0" applyFont="1" applyBorder="1" applyAlignment="1">
      <alignment horizontal="center" vertical="center"/>
    </xf>
    <xf numFmtId="0" fontId="16" fillId="0" borderId="67" xfId="0" applyFont="1" applyBorder="1" applyAlignment="1">
      <alignment horizontal="center" vertical="center" wrapText="1"/>
    </xf>
    <xf numFmtId="0" fontId="4" fillId="0" borderId="11" xfId="0" applyFont="1" applyBorder="1" applyAlignment="1">
      <alignment horizontal="center" vertical="center"/>
    </xf>
    <xf numFmtId="0" fontId="16" fillId="0" borderId="10" xfId="0" applyFont="1" applyBorder="1" applyAlignment="1">
      <alignment horizontal="center" vertical="center"/>
    </xf>
    <xf numFmtId="0" fontId="16" fillId="0" borderId="134" xfId="0" applyFont="1" applyBorder="1" applyAlignment="1">
      <alignment horizontal="center" vertical="center"/>
    </xf>
    <xf numFmtId="0" fontId="16" fillId="0" borderId="120" xfId="0" applyFont="1" applyBorder="1" applyAlignment="1">
      <alignment horizontal="center" vertical="center"/>
    </xf>
    <xf numFmtId="0" fontId="16" fillId="0" borderId="80" xfId="0" applyFont="1" applyBorder="1" applyAlignment="1">
      <alignment horizontal="center" vertical="center"/>
    </xf>
    <xf numFmtId="0" fontId="4" fillId="0" borderId="68" xfId="0" applyFont="1" applyBorder="1" applyAlignment="1">
      <alignment horizontal="center" vertical="center"/>
    </xf>
    <xf numFmtId="0" fontId="16" fillId="0" borderId="0" xfId="0" applyFont="1" applyAlignment="1">
      <alignment horizontal="center"/>
    </xf>
    <xf numFmtId="49" fontId="42" fillId="0" borderId="0" xfId="0" applyNumberFormat="1" applyFont="1" applyAlignment="1">
      <alignment horizontal="center"/>
    </xf>
    <xf numFmtId="0" fontId="37" fillId="0" borderId="0" xfId="0" applyFont="1" applyAlignment="1">
      <alignment horizontal="center"/>
    </xf>
    <xf numFmtId="0" fontId="41" fillId="0" borderId="0" xfId="0" applyFont="1" applyAlignment="1">
      <alignment horizontal="center"/>
    </xf>
    <xf numFmtId="0" fontId="17" fillId="0" borderId="0" xfId="0" applyFont="1" applyAlignment="1">
      <alignment horizontal="center"/>
    </xf>
    <xf numFmtId="167" fontId="5" fillId="0" borderId="105" xfId="0" applyNumberFormat="1" applyFont="1" applyBorder="1" applyAlignment="1">
      <alignment horizontal="center"/>
    </xf>
    <xf numFmtId="167" fontId="5" fillId="0" borderId="215" xfId="0" applyNumberFormat="1" applyFont="1" applyBorder="1" applyAlignment="1">
      <alignment horizontal="center"/>
    </xf>
    <xf numFmtId="167" fontId="5" fillId="20" borderId="215" xfId="0" applyNumberFormat="1" applyFont="1" applyFill="1" applyBorder="1" applyAlignment="1">
      <alignment horizontal="center"/>
    </xf>
    <xf numFmtId="0" fontId="5" fillId="20" borderId="137" xfId="0" quotePrefix="1" applyFont="1" applyFill="1" applyBorder="1" applyAlignment="1">
      <alignment horizontal="center"/>
    </xf>
    <xf numFmtId="0" fontId="36" fillId="0" borderId="0" xfId="0" applyFont="1" applyAlignment="1">
      <alignment vertical="center" wrapText="1"/>
    </xf>
    <xf numFmtId="3" fontId="4" fillId="0" borderId="214" xfId="0" applyNumberFormat="1" applyFont="1" applyBorder="1" applyAlignment="1">
      <alignment horizontal="center" vertical="center"/>
    </xf>
    <xf numFmtId="3" fontId="4" fillId="0" borderId="181" xfId="0" applyNumberFormat="1" applyFont="1" applyBorder="1" applyAlignment="1">
      <alignment horizontal="center" vertical="center"/>
    </xf>
    <xf numFmtId="167" fontId="5" fillId="19" borderId="143" xfId="0" applyNumberFormat="1" applyFont="1" applyFill="1" applyBorder="1" applyAlignment="1">
      <alignment horizontal="center"/>
    </xf>
    <xf numFmtId="0" fontId="5" fillId="0" borderId="135" xfId="0" applyFont="1" applyBorder="1" applyAlignment="1">
      <alignment horizontal="center"/>
    </xf>
    <xf numFmtId="49" fontId="6" fillId="24" borderId="37" xfId="0" applyNumberFormat="1" applyFont="1" applyFill="1" applyBorder="1" applyAlignment="1">
      <alignment horizontal="center" vertical="center" wrapText="1"/>
    </xf>
    <xf numFmtId="167" fontId="5" fillId="19" borderId="137" xfId="0" applyNumberFormat="1" applyFont="1" applyFill="1" applyBorder="1" applyAlignment="1">
      <alignment horizontal="center"/>
    </xf>
    <xf numFmtId="0" fontId="5" fillId="20" borderId="0" xfId="0" applyFont="1" applyFill="1"/>
    <xf numFmtId="167" fontId="5" fillId="31" borderId="129" xfId="0" applyNumberFormat="1" applyFont="1" applyFill="1" applyBorder="1" applyAlignment="1">
      <alignment horizontal="center"/>
    </xf>
    <xf numFmtId="170" fontId="5" fillId="13" borderId="158" xfId="0" applyNumberFormat="1" applyFont="1" applyFill="1" applyBorder="1" applyAlignment="1">
      <alignment horizontal="center"/>
    </xf>
    <xf numFmtId="167" fontId="5" fillId="13" borderId="166" xfId="0" applyNumberFormat="1" applyFont="1" applyFill="1" applyBorder="1" applyAlignment="1">
      <alignment horizontal="center"/>
    </xf>
    <xf numFmtId="167" fontId="6" fillId="0" borderId="38" xfId="0" applyNumberFormat="1" applyFont="1" applyBorder="1" applyAlignment="1">
      <alignment horizontal="center" vertical="center" wrapText="1"/>
    </xf>
    <xf numFmtId="0" fontId="33" fillId="22" borderId="0" xfId="3" applyFont="1" applyFill="1"/>
    <xf numFmtId="0" fontId="40" fillId="22" borderId="0" xfId="3" applyFont="1" applyFill="1"/>
    <xf numFmtId="0" fontId="27" fillId="22" borderId="5" xfId="3" applyFont="1" applyFill="1" applyBorder="1" applyAlignment="1">
      <alignment horizontal="center" wrapText="1"/>
    </xf>
    <xf numFmtId="0" fontId="33" fillId="22" borderId="5" xfId="3" applyFont="1" applyFill="1" applyBorder="1"/>
    <xf numFmtId="0" fontId="27" fillId="22" borderId="0" xfId="3" applyFont="1" applyFill="1" applyAlignment="1">
      <alignment horizontal="center" wrapText="1"/>
    </xf>
    <xf numFmtId="0" fontId="33" fillId="22" borderId="0" xfId="3" applyFont="1" applyFill="1" applyAlignment="1">
      <alignment wrapText="1"/>
    </xf>
    <xf numFmtId="0" fontId="6" fillId="0" borderId="93" xfId="0" applyFont="1" applyBorder="1" applyAlignment="1">
      <alignment horizontal="center" vertical="center" wrapText="1"/>
    </xf>
    <xf numFmtId="0" fontId="24" fillId="0" borderId="0" xfId="0" applyFont="1" applyProtection="1">
      <protection locked="0"/>
    </xf>
    <xf numFmtId="0" fontId="44" fillId="0" borderId="0" xfId="0" applyFont="1" applyProtection="1">
      <protection locked="0"/>
    </xf>
    <xf numFmtId="0" fontId="4" fillId="0" borderId="0" xfId="0" applyFont="1" applyProtection="1">
      <protection locked="0"/>
    </xf>
    <xf numFmtId="167" fontId="16" fillId="0" borderId="183" xfId="0" applyNumberFormat="1" applyFont="1" applyBorder="1" applyAlignment="1">
      <alignment horizontal="center" vertical="center"/>
    </xf>
    <xf numFmtId="167" fontId="16" fillId="0" borderId="177" xfId="0" applyNumberFormat="1" applyFont="1" applyBorder="1" applyAlignment="1">
      <alignment horizontal="center" vertical="center"/>
    </xf>
    <xf numFmtId="167" fontId="16" fillId="25" borderId="176" xfId="0" applyNumberFormat="1" applyFont="1" applyFill="1" applyBorder="1" applyAlignment="1">
      <alignment horizontal="center" vertical="center"/>
    </xf>
    <xf numFmtId="0" fontId="4" fillId="0" borderId="0" xfId="0" applyFont="1" applyAlignment="1" applyProtection="1">
      <alignment vertical="center"/>
      <protection locked="0"/>
    </xf>
    <xf numFmtId="167" fontId="21" fillId="0" borderId="71" xfId="0" applyNumberFormat="1" applyFont="1" applyBorder="1" applyAlignment="1">
      <alignment horizontal="center" vertical="center" wrapText="1"/>
    </xf>
    <xf numFmtId="167" fontId="21" fillId="0" borderId="10" xfId="0" applyNumberFormat="1" applyFont="1" applyBorder="1" applyAlignment="1">
      <alignment horizontal="center" vertical="center" wrapText="1"/>
    </xf>
    <xf numFmtId="0" fontId="5" fillId="31" borderId="152" xfId="0" applyFont="1" applyFill="1" applyBorder="1"/>
    <xf numFmtId="167" fontId="5" fillId="0" borderId="87" xfId="0" applyNumberFormat="1" applyFont="1" applyBorder="1" applyAlignment="1">
      <alignment horizontal="center"/>
    </xf>
    <xf numFmtId="0" fontId="5" fillId="0" borderId="135" xfId="0" applyFont="1" applyBorder="1"/>
    <xf numFmtId="167" fontId="5" fillId="0" borderId="187" xfId="0" applyNumberFormat="1" applyFont="1" applyBorder="1" applyAlignment="1">
      <alignment horizontal="center"/>
    </xf>
    <xf numFmtId="167" fontId="5" fillId="20" borderId="190" xfId="0" quotePrefix="1" applyNumberFormat="1" applyFont="1" applyFill="1" applyBorder="1" applyAlignment="1">
      <alignment horizontal="center"/>
    </xf>
    <xf numFmtId="167" fontId="5" fillId="20" borderId="154" xfId="0" quotePrefix="1" applyNumberFormat="1" applyFont="1" applyFill="1" applyBorder="1" applyAlignment="1">
      <alignment horizontal="center"/>
    </xf>
    <xf numFmtId="167" fontId="5" fillId="20" borderId="135" xfId="0" applyNumberFormat="1" applyFont="1" applyFill="1" applyBorder="1" applyAlignment="1">
      <alignment horizontal="center"/>
    </xf>
    <xf numFmtId="11" fontId="5" fillId="20" borderId="137" xfId="0" applyNumberFormat="1" applyFont="1" applyFill="1" applyBorder="1" applyAlignment="1">
      <alignment horizontal="center"/>
    </xf>
    <xf numFmtId="167" fontId="6" fillId="22" borderId="125" xfId="0" applyNumberFormat="1" applyFont="1" applyFill="1" applyBorder="1" applyAlignment="1">
      <alignment horizontal="center" vertical="center" wrapText="1"/>
    </xf>
    <xf numFmtId="49" fontId="5" fillId="20" borderId="1" xfId="0" applyNumberFormat="1" applyFont="1" applyFill="1" applyBorder="1"/>
    <xf numFmtId="167" fontId="5" fillId="16" borderId="150" xfId="0" applyNumberFormat="1" applyFont="1" applyFill="1" applyBorder="1" applyAlignment="1">
      <alignment horizontal="center" vertical="center"/>
    </xf>
    <xf numFmtId="167" fontId="6" fillId="0" borderId="223" xfId="0" applyNumberFormat="1" applyFont="1" applyBorder="1" applyAlignment="1">
      <alignment horizontal="center" vertical="center" wrapText="1"/>
    </xf>
    <xf numFmtId="167" fontId="6" fillId="0" borderId="33" xfId="0" applyNumberFormat="1" applyFont="1" applyBorder="1" applyAlignment="1">
      <alignment horizontal="center" vertical="center" wrapText="1"/>
    </xf>
    <xf numFmtId="167" fontId="6" fillId="0" borderId="34" xfId="0" applyNumberFormat="1" applyFont="1" applyBorder="1" applyAlignment="1">
      <alignment horizontal="center" vertical="center" wrapText="1"/>
    </xf>
    <xf numFmtId="49" fontId="6" fillId="0" borderId="34" xfId="0" applyNumberFormat="1" applyFont="1" applyBorder="1" applyAlignment="1">
      <alignment horizontal="center" vertical="center" wrapText="1"/>
    </xf>
    <xf numFmtId="167" fontId="5" fillId="0" borderId="172" xfId="0" quotePrefix="1" applyNumberFormat="1" applyFont="1" applyBorder="1" applyAlignment="1">
      <alignment horizontal="center"/>
    </xf>
    <xf numFmtId="49" fontId="5" fillId="0" borderId="173" xfId="0" applyNumberFormat="1" applyFont="1" applyBorder="1" applyAlignment="1">
      <alignment horizontal="center"/>
    </xf>
    <xf numFmtId="167" fontId="6" fillId="0" borderId="224" xfId="0" applyNumberFormat="1" applyFont="1" applyBorder="1" applyAlignment="1">
      <alignment horizontal="center" vertical="center" wrapText="1"/>
    </xf>
    <xf numFmtId="167" fontId="5" fillId="0" borderId="100" xfId="0" quotePrefix="1" applyNumberFormat="1" applyFont="1" applyBorder="1" applyAlignment="1">
      <alignment horizontal="center"/>
    </xf>
    <xf numFmtId="167" fontId="5" fillId="0" borderId="97" xfId="0" quotePrefix="1" applyNumberFormat="1" applyFont="1" applyBorder="1" applyAlignment="1">
      <alignment horizontal="center"/>
    </xf>
    <xf numFmtId="167" fontId="6" fillId="0" borderId="225" xfId="0" applyNumberFormat="1" applyFont="1" applyBorder="1" applyAlignment="1">
      <alignment horizontal="center" vertical="center" wrapText="1"/>
    </xf>
    <xf numFmtId="167" fontId="4" fillId="0" borderId="0" xfId="0" applyNumberFormat="1" applyFont="1" applyAlignment="1">
      <alignment horizontal="center"/>
    </xf>
    <xf numFmtId="0" fontId="4" fillId="0" borderId="8" xfId="0" applyFont="1" applyBorder="1"/>
    <xf numFmtId="167" fontId="5" fillId="14" borderId="152" xfId="0" applyNumberFormat="1" applyFont="1" applyFill="1" applyBorder="1" applyAlignment="1">
      <alignment horizontal="center" vertical="center"/>
    </xf>
    <xf numFmtId="2" fontId="47" fillId="0" borderId="28" xfId="0" applyNumberFormat="1" applyFont="1" applyBorder="1" applyAlignment="1">
      <alignment horizontal="left" vertical="center"/>
    </xf>
    <xf numFmtId="2" fontId="47" fillId="0" borderId="108" xfId="0" applyNumberFormat="1" applyFont="1" applyBorder="1" applyAlignment="1">
      <alignment horizontal="left" vertical="center"/>
    </xf>
    <xf numFmtId="167" fontId="47" fillId="0" borderId="159" xfId="0" applyNumberFormat="1" applyFont="1" applyBorder="1" applyAlignment="1" applyProtection="1">
      <alignment horizontal="center" vertical="center"/>
      <protection hidden="1"/>
    </xf>
    <xf numFmtId="167" fontId="47" fillId="0" borderId="24" xfId="0" applyNumberFormat="1" applyFont="1" applyBorder="1" applyAlignment="1" applyProtection="1">
      <alignment horizontal="center" vertical="center"/>
      <protection hidden="1"/>
    </xf>
    <xf numFmtId="0" fontId="24" fillId="0" borderId="0" xfId="0" applyFont="1" applyAlignment="1" applyProtection="1">
      <alignment horizontal="center" vertical="top" wrapText="1"/>
      <protection hidden="1"/>
    </xf>
    <xf numFmtId="0" fontId="4" fillId="6" borderId="1" xfId="0" applyFont="1" applyFill="1" applyBorder="1"/>
    <xf numFmtId="0" fontId="27" fillId="4" borderId="0" xfId="0" applyFont="1" applyFill="1" applyAlignment="1" applyProtection="1">
      <alignment horizontal="left" vertical="center"/>
      <protection hidden="1"/>
    </xf>
    <xf numFmtId="0" fontId="27" fillId="4" borderId="0" xfId="0" applyFont="1" applyFill="1" applyAlignment="1" applyProtection="1">
      <alignment horizontal="center" wrapText="1"/>
      <protection hidden="1"/>
    </xf>
    <xf numFmtId="0" fontId="27" fillId="6" borderId="0" xfId="0" applyFont="1" applyFill="1" applyAlignment="1" applyProtection="1">
      <alignment horizontal="center" wrapText="1"/>
      <protection hidden="1"/>
    </xf>
    <xf numFmtId="4" fontId="24" fillId="6" borderId="8" xfId="0" applyNumberFormat="1" applyFont="1" applyFill="1" applyBorder="1" applyAlignment="1" applyProtection="1">
      <alignment horizontal="center" vertical="center" wrapText="1"/>
      <protection locked="0" hidden="1"/>
    </xf>
    <xf numFmtId="0" fontId="24" fillId="6" borderId="0" xfId="0" applyFont="1" applyFill="1" applyAlignment="1" applyProtection="1">
      <alignment horizontal="center" vertical="top" wrapText="1"/>
      <protection hidden="1"/>
    </xf>
    <xf numFmtId="0" fontId="27" fillId="6" borderId="8" xfId="0" applyFont="1" applyFill="1" applyBorder="1" applyAlignment="1" applyProtection="1">
      <alignment horizontal="center" wrapText="1"/>
      <protection hidden="1"/>
    </xf>
    <xf numFmtId="0" fontId="24" fillId="6" borderId="8" xfId="0" applyFont="1" applyFill="1" applyBorder="1" applyAlignment="1" applyProtection="1">
      <alignment horizontal="center" vertical="top" wrapText="1"/>
      <protection hidden="1"/>
    </xf>
    <xf numFmtId="0" fontId="24" fillId="6" borderId="8" xfId="0" applyFont="1" applyFill="1" applyBorder="1" applyAlignment="1" applyProtection="1">
      <alignment vertical="top" wrapText="1"/>
      <protection hidden="1"/>
    </xf>
    <xf numFmtId="4" fontId="24" fillId="6" borderId="8" xfId="0" applyNumberFormat="1" applyFont="1" applyFill="1" applyBorder="1" applyAlignment="1" applyProtection="1">
      <alignment horizontal="center" vertical="center" wrapText="1"/>
      <protection hidden="1"/>
    </xf>
    <xf numFmtId="0" fontId="7" fillId="23" borderId="2" xfId="0" applyFont="1" applyFill="1" applyBorder="1" applyAlignment="1">
      <alignment vertical="center"/>
    </xf>
    <xf numFmtId="0" fontId="7" fillId="23" borderId="3" xfId="0" applyFont="1" applyFill="1" applyBorder="1" applyAlignment="1">
      <alignment horizontal="center" vertical="center"/>
    </xf>
    <xf numFmtId="0" fontId="7" fillId="0" borderId="0" xfId="0" applyFont="1" applyAlignment="1">
      <alignment vertical="center"/>
    </xf>
    <xf numFmtId="0" fontId="4" fillId="23" borderId="2" xfId="0" applyFont="1" applyFill="1" applyBorder="1" applyAlignment="1">
      <alignment vertical="center"/>
    </xf>
    <xf numFmtId="0" fontId="22" fillId="23" borderId="3" xfId="0" applyFont="1" applyFill="1" applyBorder="1" applyAlignment="1">
      <alignment horizontal="center" vertical="center"/>
    </xf>
    <xf numFmtId="0" fontId="27" fillId="0" borderId="0" xfId="0" applyFont="1" applyAlignment="1" applyProtection="1">
      <alignment horizontal="center" wrapText="1"/>
      <protection hidden="1"/>
    </xf>
    <xf numFmtId="4" fontId="24" fillId="0" borderId="0" xfId="0" applyNumberFormat="1" applyFont="1" applyAlignment="1" applyProtection="1">
      <alignment horizontal="center" vertical="center" wrapText="1"/>
      <protection locked="0" hidden="1"/>
    </xf>
    <xf numFmtId="0" fontId="24" fillId="0" borderId="0" xfId="0" applyFont="1" applyAlignment="1" applyProtection="1">
      <alignment vertical="top" wrapText="1"/>
      <protection hidden="1"/>
    </xf>
    <xf numFmtId="4" fontId="24" fillId="0" borderId="0" xfId="0" applyNumberFormat="1" applyFont="1" applyAlignment="1" applyProtection="1">
      <alignment horizontal="center" vertical="center" wrapText="1"/>
      <protection hidden="1"/>
    </xf>
    <xf numFmtId="0" fontId="7" fillId="12" borderId="15" xfId="0" applyFont="1" applyFill="1" applyBorder="1" applyAlignment="1">
      <alignment vertical="center"/>
    </xf>
    <xf numFmtId="167" fontId="24" fillId="12" borderId="0" xfId="0" applyNumberFormat="1" applyFont="1" applyFill="1" applyAlignment="1" applyProtection="1">
      <alignment horizontal="left"/>
      <protection hidden="1"/>
    </xf>
    <xf numFmtId="0" fontId="24" fillId="12" borderId="8" xfId="0" applyFont="1" applyFill="1" applyBorder="1"/>
    <xf numFmtId="0" fontId="24" fillId="12" borderId="8" xfId="0" applyFont="1" applyFill="1" applyBorder="1" applyProtection="1">
      <protection hidden="1"/>
    </xf>
    <xf numFmtId="0" fontId="24" fillId="12" borderId="5" xfId="0" applyFont="1" applyFill="1" applyBorder="1" applyAlignment="1" applyProtection="1">
      <alignment horizontal="right"/>
      <protection hidden="1"/>
    </xf>
    <xf numFmtId="0" fontId="24" fillId="12" borderId="16" xfId="0" applyFont="1" applyFill="1" applyBorder="1" applyAlignment="1" applyProtection="1">
      <alignment horizontal="right"/>
      <protection hidden="1"/>
    </xf>
    <xf numFmtId="0" fontId="51" fillId="12" borderId="3" xfId="0" applyFont="1" applyFill="1" applyBorder="1" applyAlignment="1">
      <alignment horizontal="center" vertical="center"/>
    </xf>
    <xf numFmtId="9" fontId="61" fillId="0" borderId="83" xfId="9" applyFont="1" applyBorder="1" applyAlignment="1">
      <alignment horizontal="center"/>
    </xf>
    <xf numFmtId="0" fontId="16" fillId="0" borderId="0" xfId="0" applyFont="1" applyAlignment="1">
      <alignment vertical="center" wrapText="1"/>
    </xf>
    <xf numFmtId="0" fontId="16" fillId="0" borderId="0" xfId="0" applyFont="1"/>
    <xf numFmtId="0" fontId="16" fillId="0" borderId="0" xfId="0" applyFont="1" applyAlignment="1" applyProtection="1">
      <alignment vertical="center"/>
      <protection hidden="1"/>
    </xf>
    <xf numFmtId="167" fontId="16" fillId="0" borderId="0" xfId="0" applyNumberFormat="1" applyFont="1" applyAlignment="1">
      <alignment vertical="center" wrapText="1"/>
    </xf>
    <xf numFmtId="0" fontId="16" fillId="20" borderId="44" xfId="0" applyFont="1" applyFill="1" applyBorder="1" applyAlignment="1">
      <alignment horizontal="center" vertical="center" wrapText="1"/>
    </xf>
    <xf numFmtId="0" fontId="16" fillId="20" borderId="78" xfId="0" applyFont="1" applyFill="1" applyBorder="1" applyAlignment="1">
      <alignment horizontal="center" vertical="center" wrapText="1"/>
    </xf>
    <xf numFmtId="0" fontId="16" fillId="20" borderId="90" xfId="0" applyFont="1" applyFill="1" applyBorder="1" applyAlignment="1">
      <alignment horizontal="center" vertical="center" wrapText="1"/>
    </xf>
    <xf numFmtId="167" fontId="1" fillId="0" borderId="0" xfId="1" applyNumberFormat="1" applyFont="1" applyAlignment="1">
      <alignment horizontal="center" vertical="center"/>
    </xf>
    <xf numFmtId="167" fontId="1" fillId="0" borderId="0" xfId="1" quotePrefix="1" applyNumberFormat="1" applyFont="1" applyAlignment="1">
      <alignment horizontal="center" vertical="center"/>
    </xf>
    <xf numFmtId="0" fontId="61" fillId="0" borderId="0" xfId="1" applyFont="1" applyAlignment="1">
      <alignment horizontal="center" vertical="center"/>
    </xf>
    <xf numFmtId="9" fontId="61" fillId="0" borderId="24" xfId="9" applyFont="1" applyBorder="1" applyAlignment="1">
      <alignment horizontal="center"/>
    </xf>
    <xf numFmtId="167" fontId="16" fillId="33" borderId="63" xfId="0" applyNumberFormat="1" applyFont="1" applyFill="1" applyBorder="1" applyAlignment="1">
      <alignment horizontal="center" vertical="center"/>
    </xf>
    <xf numFmtId="167" fontId="16" fillId="33" borderId="120" xfId="0" applyNumberFormat="1" applyFont="1" applyFill="1" applyBorder="1" applyAlignment="1">
      <alignment horizontal="center" vertical="center"/>
    </xf>
    <xf numFmtId="167" fontId="16" fillId="33" borderId="124" xfId="0" applyNumberFormat="1" applyFont="1" applyFill="1" applyBorder="1" applyAlignment="1">
      <alignment horizontal="center" vertical="center"/>
    </xf>
    <xf numFmtId="9" fontId="61" fillId="0" borderId="22" xfId="9" quotePrefix="1" applyFont="1" applyBorder="1" applyAlignment="1">
      <alignment horizontal="center"/>
    </xf>
    <xf numFmtId="9" fontId="61" fillId="0" borderId="22" xfId="9" applyFont="1" applyBorder="1" applyAlignment="1">
      <alignment horizontal="center"/>
    </xf>
    <xf numFmtId="9" fontId="61" fillId="0" borderId="86" xfId="9" quotePrefix="1" applyFont="1" applyBorder="1" applyAlignment="1">
      <alignment horizontal="center"/>
    </xf>
    <xf numFmtId="9" fontId="1" fillId="0" borderId="25" xfId="9" quotePrefix="1" applyBorder="1" applyAlignment="1">
      <alignment horizontal="center"/>
    </xf>
    <xf numFmtId="9" fontId="1" fillId="0" borderId="22" xfId="9" quotePrefix="1" applyBorder="1" applyAlignment="1">
      <alignment horizontal="center"/>
    </xf>
    <xf numFmtId="9" fontId="1" fillId="0" borderId="63" xfId="9" quotePrefix="1" applyBorder="1" applyAlignment="1">
      <alignment horizontal="center"/>
    </xf>
    <xf numFmtId="9" fontId="1" fillId="0" borderId="22" xfId="9" applyBorder="1" applyAlignment="1">
      <alignment horizontal="center"/>
    </xf>
    <xf numFmtId="9" fontId="1" fillId="0" borderId="121" xfId="9" quotePrefix="1" applyBorder="1" applyAlignment="1">
      <alignment horizontal="center"/>
    </xf>
    <xf numFmtId="9" fontId="1" fillId="0" borderId="120" xfId="9" quotePrefix="1" applyBorder="1" applyAlignment="1">
      <alignment horizontal="center"/>
    </xf>
    <xf numFmtId="9" fontId="1" fillId="0" borderId="83" xfId="9" applyBorder="1" applyAlignment="1">
      <alignment horizontal="center"/>
    </xf>
    <xf numFmtId="9" fontId="1" fillId="0" borderId="9" xfId="9" quotePrefix="1" applyBorder="1" applyAlignment="1">
      <alignment horizontal="center"/>
    </xf>
    <xf numFmtId="9" fontId="1" fillId="0" borderId="124" xfId="9" quotePrefix="1" applyBorder="1" applyAlignment="1">
      <alignment horizontal="center"/>
    </xf>
    <xf numFmtId="9" fontId="1" fillId="0" borderId="87" xfId="9" quotePrefix="1" applyBorder="1" applyAlignment="1">
      <alignment horizontal="center"/>
    </xf>
    <xf numFmtId="9" fontId="1" fillId="0" borderId="86" xfId="9" quotePrefix="1" applyBorder="1" applyAlignment="1">
      <alignment horizontal="center"/>
    </xf>
    <xf numFmtId="167" fontId="4" fillId="33" borderId="121" xfId="0" quotePrefix="1" applyNumberFormat="1" applyFont="1" applyFill="1" applyBorder="1" applyAlignment="1">
      <alignment horizontal="center" vertical="center"/>
    </xf>
    <xf numFmtId="167" fontId="4" fillId="33" borderId="22" xfId="0" quotePrefix="1" applyNumberFormat="1" applyFont="1" applyFill="1" applyBorder="1" applyAlignment="1">
      <alignment horizontal="center" vertical="center"/>
    </xf>
    <xf numFmtId="167" fontId="4" fillId="33" borderId="86" xfId="0" quotePrefix="1" applyNumberFormat="1" applyFont="1" applyFill="1" applyBorder="1" applyAlignment="1">
      <alignment horizontal="center" vertical="center"/>
    </xf>
    <xf numFmtId="167" fontId="4" fillId="33" borderId="120" xfId="0" applyNumberFormat="1" applyFont="1" applyFill="1" applyBorder="1" applyAlignment="1">
      <alignment horizontal="center" vertical="center"/>
    </xf>
    <xf numFmtId="167" fontId="4" fillId="33" borderId="124" xfId="0" applyNumberFormat="1" applyFont="1" applyFill="1" applyBorder="1" applyAlignment="1">
      <alignment horizontal="center" vertical="center"/>
    </xf>
    <xf numFmtId="167" fontId="0" fillId="0" borderId="0" xfId="0" applyNumberFormat="1"/>
    <xf numFmtId="0" fontId="6" fillId="13" borderId="161" xfId="0" applyFont="1" applyFill="1" applyBorder="1" applyAlignment="1">
      <alignment horizontal="center" vertical="center" wrapText="1"/>
    </xf>
    <xf numFmtId="167" fontId="6" fillId="0" borderId="228" xfId="0" applyNumberFormat="1" applyFont="1" applyBorder="1" applyAlignment="1">
      <alignment horizontal="center" vertical="center" wrapText="1"/>
    </xf>
    <xf numFmtId="167" fontId="16" fillId="0" borderId="150" xfId="0" applyNumberFormat="1" applyFont="1" applyBorder="1" applyAlignment="1">
      <alignment horizontal="center" vertical="center" wrapText="1"/>
    </xf>
    <xf numFmtId="167" fontId="16" fillId="25" borderId="172" xfId="0" applyNumberFormat="1" applyFont="1" applyFill="1" applyBorder="1" applyAlignment="1">
      <alignment horizontal="center" vertical="center" wrapText="1"/>
    </xf>
    <xf numFmtId="167" fontId="16" fillId="0" borderId="190" xfId="0" applyNumberFormat="1" applyFont="1" applyBorder="1" applyAlignment="1">
      <alignment horizontal="center" vertical="center" wrapText="1"/>
    </xf>
    <xf numFmtId="167" fontId="16" fillId="0" borderId="179" xfId="0" applyNumberFormat="1" applyFont="1" applyBorder="1" applyAlignment="1">
      <alignment horizontal="center" vertical="center"/>
    </xf>
    <xf numFmtId="167" fontId="16" fillId="0" borderId="221" xfId="0" applyNumberFormat="1" applyFont="1" applyBorder="1" applyAlignment="1">
      <alignment horizontal="center" vertical="center" wrapText="1"/>
    </xf>
    <xf numFmtId="167" fontId="16" fillId="0" borderId="168" xfId="0" applyNumberFormat="1" applyFont="1" applyBorder="1" applyAlignment="1">
      <alignment horizontal="center" vertical="center" wrapText="1"/>
    </xf>
    <xf numFmtId="167" fontId="16" fillId="25" borderId="180" xfId="0" applyNumberFormat="1" applyFont="1" applyFill="1" applyBorder="1" applyAlignment="1">
      <alignment horizontal="center" vertical="center" wrapText="1"/>
    </xf>
    <xf numFmtId="167" fontId="16" fillId="25" borderId="220" xfId="0" applyNumberFormat="1" applyFont="1" applyFill="1" applyBorder="1" applyAlignment="1">
      <alignment horizontal="center" vertical="center"/>
    </xf>
    <xf numFmtId="167" fontId="5" fillId="0" borderId="190" xfId="0" quotePrefix="1" applyNumberFormat="1" applyFont="1" applyBorder="1" applyAlignment="1">
      <alignment horizontal="center"/>
    </xf>
    <xf numFmtId="167" fontId="5" fillId="0" borderId="109" xfId="0" quotePrefix="1" applyNumberFormat="1" applyFont="1" applyBorder="1" applyAlignment="1">
      <alignment horizontal="center"/>
    </xf>
    <xf numFmtId="167" fontId="5" fillId="20" borderId="109" xfId="0" quotePrefix="1" applyNumberFormat="1" applyFont="1" applyFill="1" applyBorder="1" applyAlignment="1">
      <alignment horizontal="center"/>
    </xf>
    <xf numFmtId="167" fontId="5" fillId="0" borderId="211" xfId="0" quotePrefix="1" applyNumberFormat="1" applyFont="1" applyBorder="1" applyAlignment="1">
      <alignment horizontal="center"/>
    </xf>
    <xf numFmtId="167" fontId="5" fillId="25" borderId="156" xfId="0" applyNumberFormat="1" applyFont="1" applyFill="1" applyBorder="1" applyAlignment="1">
      <alignment horizontal="center"/>
    </xf>
    <xf numFmtId="167" fontId="5" fillId="25" borderId="138" xfId="0" applyNumberFormat="1" applyFont="1" applyFill="1" applyBorder="1" applyAlignment="1">
      <alignment horizontal="center"/>
    </xf>
    <xf numFmtId="167" fontId="5" fillId="20" borderId="138" xfId="0" applyNumberFormat="1" applyFont="1" applyFill="1" applyBorder="1" applyAlignment="1">
      <alignment horizontal="center"/>
    </xf>
    <xf numFmtId="167" fontId="5" fillId="25" borderId="157" xfId="0" applyNumberFormat="1" applyFont="1" applyFill="1" applyBorder="1" applyAlignment="1">
      <alignment horizontal="center"/>
    </xf>
    <xf numFmtId="0" fontId="5" fillId="0" borderId="166" xfId="0" applyFont="1" applyBorder="1" applyAlignment="1">
      <alignment horizontal="center"/>
    </xf>
    <xf numFmtId="0" fontId="5" fillId="0" borderId="143" xfId="0" applyFont="1" applyBorder="1" applyAlignment="1">
      <alignment horizontal="center"/>
    </xf>
    <xf numFmtId="0" fontId="5" fillId="0" borderId="3" xfId="0" applyFont="1" applyBorder="1" applyProtection="1">
      <protection locked="0"/>
    </xf>
    <xf numFmtId="0" fontId="5" fillId="0" borderId="3" xfId="0" applyFont="1" applyBorder="1" applyAlignment="1" applyProtection="1">
      <alignment horizontal="center"/>
      <protection locked="0"/>
    </xf>
    <xf numFmtId="0" fontId="5" fillId="0" borderId="15" xfId="0" applyFont="1" applyBorder="1" applyProtection="1">
      <protection locked="0"/>
    </xf>
    <xf numFmtId="0" fontId="5" fillId="0" borderId="8" xfId="0" applyFont="1" applyBorder="1" applyProtection="1">
      <protection locked="0"/>
    </xf>
    <xf numFmtId="0" fontId="5" fillId="0" borderId="5" xfId="0" applyFont="1" applyBorder="1" applyProtection="1">
      <protection locked="0"/>
    </xf>
    <xf numFmtId="0" fontId="5" fillId="0" borderId="16" xfId="0" applyFont="1" applyBorder="1" applyProtection="1">
      <protection locked="0"/>
    </xf>
    <xf numFmtId="167" fontId="5" fillId="25" borderId="180" xfId="0" applyNumberFormat="1" applyFont="1" applyFill="1" applyBorder="1" applyAlignment="1">
      <alignment horizontal="center"/>
    </xf>
    <xf numFmtId="167" fontId="47" fillId="20" borderId="136" xfId="0" applyNumberFormat="1" applyFont="1" applyFill="1" applyBorder="1" applyAlignment="1" applyProtection="1">
      <alignment horizontal="center" vertical="center"/>
      <protection hidden="1"/>
    </xf>
    <xf numFmtId="167" fontId="47" fillId="20" borderId="143" xfId="0" applyNumberFormat="1" applyFont="1" applyFill="1" applyBorder="1" applyAlignment="1" applyProtection="1">
      <alignment horizontal="center" vertical="center"/>
      <protection hidden="1"/>
    </xf>
    <xf numFmtId="0" fontId="25" fillId="0" borderId="71" xfId="0" applyFont="1" applyBorder="1" applyAlignment="1" applyProtection="1">
      <alignment horizontal="center" vertical="center" wrapText="1"/>
      <protection hidden="1"/>
    </xf>
    <xf numFmtId="0" fontId="25" fillId="0" borderId="60" xfId="0" applyFont="1" applyBorder="1" applyAlignment="1" applyProtection="1">
      <alignment horizontal="center" vertical="center" wrapText="1"/>
      <protection hidden="1"/>
    </xf>
    <xf numFmtId="167" fontId="16" fillId="0" borderId="9" xfId="7" applyNumberFormat="1" applyFont="1" applyBorder="1" applyAlignment="1">
      <alignment horizontal="center" vertical="center" wrapText="1"/>
    </xf>
    <xf numFmtId="0" fontId="5" fillId="0" borderId="173" xfId="0" applyFont="1" applyBorder="1"/>
    <xf numFmtId="0" fontId="5" fillId="20" borderId="173" xfId="0" applyFont="1" applyFill="1" applyBorder="1"/>
    <xf numFmtId="0" fontId="5" fillId="0" borderId="233" xfId="0" applyFont="1" applyBorder="1"/>
    <xf numFmtId="0" fontId="5" fillId="0" borderId="172" xfId="0" applyFont="1" applyBorder="1"/>
    <xf numFmtId="170" fontId="5" fillId="0" borderId="158" xfId="0" applyNumberFormat="1" applyFont="1" applyBorder="1" applyAlignment="1">
      <alignment horizontal="center"/>
    </xf>
    <xf numFmtId="167" fontId="16" fillId="0" borderId="78" xfId="7" applyNumberFormat="1" applyFont="1" applyBorder="1" applyAlignment="1">
      <alignment horizontal="center" vertical="center" wrapText="1"/>
    </xf>
    <xf numFmtId="167" fontId="47" fillId="0" borderId="77" xfId="0" applyNumberFormat="1" applyFont="1" applyBorder="1" applyAlignment="1" applyProtection="1">
      <alignment horizontal="center" vertical="center"/>
      <protection hidden="1"/>
    </xf>
    <xf numFmtId="170" fontId="5" fillId="20" borderId="152" xfId="0" quotePrefix="1" applyNumberFormat="1" applyFont="1" applyFill="1" applyBorder="1" applyAlignment="1">
      <alignment horizontal="center"/>
    </xf>
    <xf numFmtId="49" fontId="6" fillId="0" borderId="134" xfId="0" applyNumberFormat="1" applyFont="1" applyBorder="1" applyAlignment="1">
      <alignment horizontal="center" vertical="center" wrapText="1"/>
    </xf>
    <xf numFmtId="49" fontId="6" fillId="0" borderId="40" xfId="0" applyNumberFormat="1" applyFont="1" applyBorder="1" applyAlignment="1">
      <alignment horizontal="center" vertical="center" wrapText="1"/>
    </xf>
    <xf numFmtId="0" fontId="24" fillId="0" borderId="0" xfId="0" applyFont="1" applyAlignment="1" applyProtection="1">
      <alignment horizontal="left" vertical="center"/>
      <protection hidden="1"/>
    </xf>
    <xf numFmtId="167" fontId="24" fillId="3" borderId="53" xfId="0" applyNumberFormat="1" applyFont="1" applyFill="1" applyBorder="1" applyAlignment="1" applyProtection="1">
      <alignment horizontal="center" vertical="center" wrapText="1"/>
      <protection locked="0" hidden="1"/>
    </xf>
    <xf numFmtId="49" fontId="47" fillId="0" borderId="0" xfId="0" applyNumberFormat="1" applyFont="1" applyProtection="1">
      <protection hidden="1"/>
    </xf>
    <xf numFmtId="0" fontId="47" fillId="0" borderId="0" xfId="0" applyFont="1" applyAlignment="1" applyProtection="1">
      <alignment horizontal="left"/>
      <protection hidden="1"/>
    </xf>
    <xf numFmtId="0" fontId="47" fillId="0" borderId="0" xfId="0" applyFont="1" applyAlignment="1">
      <alignment wrapText="1"/>
    </xf>
    <xf numFmtId="0" fontId="44" fillId="6" borderId="0" xfId="0" applyFont="1" applyFill="1"/>
    <xf numFmtId="0" fontId="44" fillId="5" borderId="0" xfId="0" applyFont="1" applyFill="1" applyProtection="1">
      <protection hidden="1"/>
    </xf>
    <xf numFmtId="0" fontId="68" fillId="0" borderId="0" xfId="0" applyFont="1" applyAlignment="1">
      <alignment horizontal="center" vertical="center" wrapText="1"/>
    </xf>
    <xf numFmtId="0" fontId="67" fillId="0" borderId="0" xfId="0" applyFont="1" applyAlignment="1">
      <alignment vertical="center" wrapText="1"/>
    </xf>
    <xf numFmtId="0" fontId="4" fillId="6" borderId="0" xfId="0" applyFont="1" applyFill="1"/>
    <xf numFmtId="4" fontId="24" fillId="6" borderId="0" xfId="0" applyNumberFormat="1" applyFont="1" applyFill="1" applyAlignment="1" applyProtection="1">
      <alignment horizontal="center" vertical="center" wrapText="1"/>
      <protection locked="0" hidden="1"/>
    </xf>
    <xf numFmtId="0" fontId="4" fillId="6" borderId="9" xfId="0" applyFont="1" applyFill="1" applyBorder="1"/>
    <xf numFmtId="0" fontId="4" fillId="6" borderId="93" xfId="0" applyFont="1" applyFill="1" applyBorder="1"/>
    <xf numFmtId="0" fontId="4" fillId="6" borderId="8" xfId="0" applyFont="1" applyFill="1" applyBorder="1"/>
    <xf numFmtId="0" fontId="44" fillId="5" borderId="0" xfId="0" applyFont="1" applyFill="1" applyAlignment="1" applyProtection="1">
      <alignment horizontal="center" wrapText="1"/>
      <protection hidden="1"/>
    </xf>
    <xf numFmtId="0" fontId="4" fillId="0" borderId="0" xfId="0" applyFont="1" applyAlignment="1">
      <alignment vertical="center"/>
    </xf>
    <xf numFmtId="0" fontId="24" fillId="20" borderId="0" xfId="0" applyFont="1" applyFill="1"/>
    <xf numFmtId="49" fontId="24" fillId="20" borderId="8" xfId="0" applyNumberFormat="1" applyFont="1" applyFill="1" applyBorder="1" applyAlignment="1" applyProtection="1">
      <alignment horizontal="center"/>
      <protection hidden="1"/>
    </xf>
    <xf numFmtId="0" fontId="4" fillId="20" borderId="5" xfId="0" applyFont="1" applyFill="1" applyBorder="1"/>
    <xf numFmtId="0" fontId="24" fillId="20" borderId="5" xfId="0" applyFont="1" applyFill="1" applyBorder="1"/>
    <xf numFmtId="0" fontId="24" fillId="20" borderId="5" xfId="0" applyFont="1" applyFill="1" applyBorder="1" applyAlignment="1" applyProtection="1">
      <alignment horizontal="right"/>
      <protection hidden="1"/>
    </xf>
    <xf numFmtId="167" fontId="5" fillId="20" borderId="5" xfId="0" applyNumberFormat="1" applyFont="1" applyFill="1" applyBorder="1" applyAlignment="1" applyProtection="1">
      <alignment horizontal="center"/>
      <protection hidden="1"/>
    </xf>
    <xf numFmtId="49" fontId="5" fillId="20" borderId="16" xfId="0" applyNumberFormat="1" applyFont="1" applyFill="1" applyBorder="1" applyAlignment="1" applyProtection="1">
      <alignment horizontal="center"/>
      <protection hidden="1"/>
    </xf>
    <xf numFmtId="0" fontId="24" fillId="20" borderId="1" xfId="0" applyFont="1" applyFill="1" applyBorder="1"/>
    <xf numFmtId="0" fontId="4" fillId="20" borderId="4" xfId="0" applyFont="1" applyFill="1" applyBorder="1"/>
    <xf numFmtId="0" fontId="27" fillId="6" borderId="9" xfId="0" applyFont="1" applyFill="1" applyBorder="1" applyAlignment="1" applyProtection="1">
      <alignment horizontal="left" vertical="center"/>
      <protection hidden="1"/>
    </xf>
    <xf numFmtId="0" fontId="27" fillId="6" borderId="9" xfId="0" applyFont="1" applyFill="1" applyBorder="1" applyAlignment="1" applyProtection="1">
      <alignment horizontal="center" wrapText="1"/>
      <protection hidden="1"/>
    </xf>
    <xf numFmtId="2" fontId="7" fillId="6" borderId="7" xfId="0" applyNumberFormat="1" applyFont="1" applyFill="1" applyBorder="1" applyAlignment="1" applyProtection="1">
      <alignment horizontal="center" vertical="center" wrapText="1"/>
      <protection locked="0" hidden="1"/>
    </xf>
    <xf numFmtId="2" fontId="7" fillId="6" borderId="9" xfId="0" applyNumberFormat="1" applyFont="1" applyFill="1" applyBorder="1" applyAlignment="1" applyProtection="1">
      <alignment horizontal="center" vertical="center" wrapText="1"/>
      <protection locked="0" hidden="1"/>
    </xf>
    <xf numFmtId="2" fontId="7" fillId="6" borderId="10" xfId="0" applyNumberFormat="1" applyFont="1" applyFill="1" applyBorder="1" applyAlignment="1" applyProtection="1">
      <alignment vertical="center" wrapText="1"/>
      <protection locked="0" hidden="1"/>
    </xf>
    <xf numFmtId="0" fontId="7" fillId="0" borderId="0" xfId="0" applyFont="1" applyAlignment="1" applyProtection="1">
      <alignment vertical="center"/>
      <protection hidden="1"/>
    </xf>
    <xf numFmtId="0" fontId="24" fillId="18" borderId="0" xfId="0" applyFont="1" applyFill="1" applyProtection="1">
      <protection hidden="1"/>
    </xf>
    <xf numFmtId="167" fontId="24" fillId="18" borderId="0" xfId="0" applyNumberFormat="1" applyFont="1" applyFill="1" applyAlignment="1" applyProtection="1">
      <alignment horizontal="center" vertical="center"/>
      <protection hidden="1"/>
    </xf>
    <xf numFmtId="167" fontId="4" fillId="0" borderId="0" xfId="0" applyNumberFormat="1" applyFont="1" applyAlignment="1" applyProtection="1">
      <alignment horizontal="center" vertical="center"/>
      <protection hidden="1"/>
    </xf>
    <xf numFmtId="167" fontId="24" fillId="18" borderId="0" xfId="0" quotePrefix="1" applyNumberFormat="1" applyFont="1" applyFill="1" applyAlignment="1" applyProtection="1">
      <alignment horizontal="center" vertical="center"/>
      <protection hidden="1"/>
    </xf>
    <xf numFmtId="167" fontId="7" fillId="35" borderId="0" xfId="0" applyNumberFormat="1" applyFont="1" applyFill="1" applyAlignment="1" applyProtection="1">
      <alignment horizontal="center" vertical="center"/>
      <protection hidden="1"/>
    </xf>
    <xf numFmtId="0" fontId="24" fillId="27" borderId="0" xfId="0" applyFont="1" applyFill="1" applyAlignment="1" applyProtection="1">
      <alignment horizontal="right"/>
      <protection hidden="1"/>
    </xf>
    <xf numFmtId="167" fontId="24" fillId="27" borderId="0" xfId="0" applyNumberFormat="1" applyFont="1" applyFill="1" applyAlignment="1" applyProtection="1">
      <alignment horizontal="center" vertical="center"/>
      <protection hidden="1"/>
    </xf>
    <xf numFmtId="167" fontId="7" fillId="35" borderId="0" xfId="0" applyNumberFormat="1" applyFont="1" applyFill="1" applyAlignment="1" applyProtection="1">
      <alignment horizontal="center" vertical="center" wrapText="1"/>
      <protection hidden="1"/>
    </xf>
    <xf numFmtId="167" fontId="24" fillId="27" borderId="0" xfId="0" applyNumberFormat="1" applyFont="1" applyFill="1" applyAlignment="1" applyProtection="1">
      <alignment horizontal="center" vertical="center" wrapText="1"/>
      <protection hidden="1"/>
    </xf>
    <xf numFmtId="167" fontId="7" fillId="7" borderId="0" xfId="0" applyNumberFormat="1" applyFont="1" applyFill="1" applyAlignment="1" applyProtection="1">
      <alignment horizontal="center" vertical="center" wrapText="1"/>
      <protection hidden="1"/>
    </xf>
    <xf numFmtId="0" fontId="24" fillId="17" borderId="0" xfId="0" applyFont="1" applyFill="1" applyProtection="1">
      <protection hidden="1"/>
    </xf>
    <xf numFmtId="167" fontId="24" fillId="17" borderId="0" xfId="0" applyNumberFormat="1" applyFont="1" applyFill="1" applyAlignment="1" applyProtection="1">
      <alignment horizontal="center" vertical="center" wrapText="1"/>
      <protection hidden="1"/>
    </xf>
    <xf numFmtId="0" fontId="24" fillId="17" borderId="0" xfId="0" applyFont="1" applyFill="1" applyAlignment="1" applyProtection="1">
      <alignment horizontal="right"/>
      <protection hidden="1"/>
    </xf>
    <xf numFmtId="167" fontId="7" fillId="10" borderId="0" xfId="0" applyNumberFormat="1" applyFont="1" applyFill="1" applyAlignment="1" applyProtection="1">
      <alignment horizontal="center" vertical="center" wrapText="1"/>
      <protection hidden="1"/>
    </xf>
    <xf numFmtId="0" fontId="24" fillId="16" borderId="0" xfId="0" applyFont="1" applyFill="1" applyProtection="1">
      <protection hidden="1"/>
    </xf>
    <xf numFmtId="167" fontId="24" fillId="16" borderId="0" xfId="0" applyNumberFormat="1" applyFont="1" applyFill="1" applyAlignment="1" applyProtection="1">
      <alignment horizontal="center" vertical="center" wrapText="1"/>
      <protection hidden="1"/>
    </xf>
    <xf numFmtId="170" fontId="7" fillId="9" borderId="0" xfId="0" applyNumberFormat="1" applyFont="1" applyFill="1" applyAlignment="1" applyProtection="1">
      <alignment horizontal="center" vertical="center" wrapText="1"/>
      <protection hidden="1"/>
    </xf>
    <xf numFmtId="0" fontId="0" fillId="0" borderId="205" xfId="0" applyBorder="1"/>
    <xf numFmtId="0" fontId="4" fillId="0" borderId="66" xfId="0" applyFont="1" applyBorder="1" applyAlignment="1">
      <alignment horizontal="center" vertical="center"/>
    </xf>
    <xf numFmtId="0" fontId="0" fillId="0" borderId="214" xfId="0" applyBorder="1"/>
    <xf numFmtId="0" fontId="4" fillId="0" borderId="27" xfId="0" applyFont="1" applyBorder="1" applyAlignment="1">
      <alignment horizontal="center" vertical="center"/>
    </xf>
    <xf numFmtId="0" fontId="4" fillId="0" borderId="42"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4" fillId="0" borderId="27" xfId="0" applyFont="1" applyBorder="1" applyAlignment="1" applyProtection="1">
      <alignment horizontal="center" vertical="center"/>
      <protection hidden="1"/>
    </xf>
    <xf numFmtId="0" fontId="0" fillId="0" borderId="28" xfId="0" applyBorder="1" applyAlignment="1">
      <alignment vertical="center"/>
    </xf>
    <xf numFmtId="0" fontId="4" fillId="0" borderId="18" xfId="0" applyFont="1" applyBorder="1" applyAlignment="1">
      <alignment horizontal="center" vertical="center"/>
    </xf>
    <xf numFmtId="167" fontId="4" fillId="0" borderId="28" xfId="0" applyNumberFormat="1" applyFont="1" applyBorder="1" applyAlignment="1" applyProtection="1">
      <alignment horizontal="center" vertical="center"/>
      <protection hidden="1"/>
    </xf>
    <xf numFmtId="167" fontId="4" fillId="0" borderId="18" xfId="0" applyNumberFormat="1" applyFont="1" applyBorder="1" applyAlignment="1" applyProtection="1">
      <alignment horizontal="center" vertical="center"/>
      <protection hidden="1"/>
    </xf>
    <xf numFmtId="167" fontId="4" fillId="0" borderId="25" xfId="0" applyNumberFormat="1" applyFont="1" applyBorder="1" applyAlignment="1" applyProtection="1">
      <alignment horizontal="center" vertical="center"/>
      <protection hidden="1"/>
    </xf>
    <xf numFmtId="167" fontId="4" fillId="0" borderId="18" xfId="0" applyNumberFormat="1" applyFont="1" applyBorder="1" applyAlignment="1">
      <alignment horizontal="center" vertical="center"/>
    </xf>
    <xf numFmtId="0" fontId="0" fillId="0" borderId="214" xfId="0" applyBorder="1" applyAlignment="1">
      <alignment vertical="center"/>
    </xf>
    <xf numFmtId="167" fontId="4" fillId="0" borderId="214" xfId="0" applyNumberFormat="1" applyFont="1" applyBorder="1" applyAlignment="1" applyProtection="1">
      <alignment horizontal="center" vertical="center"/>
      <protection hidden="1"/>
    </xf>
    <xf numFmtId="167" fontId="4" fillId="0" borderId="11" xfId="0" applyNumberFormat="1" applyFont="1" applyBorder="1" applyAlignment="1" applyProtection="1">
      <alignment horizontal="center" vertical="center"/>
      <protection hidden="1"/>
    </xf>
    <xf numFmtId="167" fontId="4" fillId="0" borderId="27" xfId="0" applyNumberFormat="1" applyFont="1" applyBorder="1" applyAlignment="1" applyProtection="1">
      <alignment horizontal="center" vertical="center"/>
      <protection hidden="1"/>
    </xf>
    <xf numFmtId="167" fontId="4" fillId="0" borderId="42" xfId="0" applyNumberFormat="1" applyFont="1" applyBorder="1" applyAlignment="1" applyProtection="1">
      <alignment horizontal="center" vertical="center"/>
      <protection hidden="1"/>
    </xf>
    <xf numFmtId="167" fontId="4" fillId="0" borderId="27" xfId="0" applyNumberFormat="1" applyFont="1" applyBorder="1" applyAlignment="1">
      <alignment horizontal="center" vertical="center"/>
    </xf>
    <xf numFmtId="0" fontId="24" fillId="6" borderId="0" xfId="0" applyFont="1" applyFill="1" applyAlignment="1" applyProtection="1">
      <alignment horizontal="right" vertical="center" wrapText="1"/>
      <protection hidden="1"/>
    </xf>
    <xf numFmtId="0" fontId="4" fillId="6" borderId="1" xfId="0" applyFont="1" applyFill="1" applyBorder="1" applyAlignment="1">
      <alignment vertical="center"/>
    </xf>
    <xf numFmtId="0" fontId="24" fillId="6" borderId="0" xfId="0" applyFont="1" applyFill="1" applyAlignment="1">
      <alignment horizontal="right" vertical="center"/>
    </xf>
    <xf numFmtId="0" fontId="4" fillId="6" borderId="0" xfId="0" applyFont="1" applyFill="1" applyAlignment="1">
      <alignment vertical="center"/>
    </xf>
    <xf numFmtId="0" fontId="0" fillId="6" borderId="0" xfId="0" applyFill="1" applyAlignment="1">
      <alignment vertical="center"/>
    </xf>
    <xf numFmtId="0" fontId="4" fillId="6" borderId="8" xfId="0" applyFont="1" applyFill="1" applyBorder="1" applyAlignment="1">
      <alignment vertical="center"/>
    </xf>
    <xf numFmtId="0" fontId="7" fillId="6" borderId="0" xfId="0" applyFont="1" applyFill="1" applyAlignment="1">
      <alignment horizontal="right" vertical="center"/>
    </xf>
    <xf numFmtId="171" fontId="4" fillId="20" borderId="5" xfId="0" applyNumberFormat="1" applyFont="1" applyFill="1" applyBorder="1"/>
    <xf numFmtId="167" fontId="16" fillId="0" borderId="218" xfId="7" applyNumberFormat="1" applyFont="1" applyBorder="1" applyAlignment="1">
      <alignment horizontal="center" vertical="center" wrapText="1"/>
    </xf>
    <xf numFmtId="170" fontId="5" fillId="0" borderId="166" xfId="0" applyNumberFormat="1" applyFont="1" applyBorder="1" applyAlignment="1">
      <alignment horizontal="center"/>
    </xf>
    <xf numFmtId="170" fontId="5" fillId="20" borderId="166" xfId="0" applyNumberFormat="1" applyFont="1" applyFill="1" applyBorder="1" applyAlignment="1">
      <alignment horizontal="center"/>
    </xf>
    <xf numFmtId="0" fontId="24" fillId="8" borderId="0" xfId="0" applyFont="1" applyFill="1" applyAlignment="1" applyProtection="1">
      <alignment horizontal="right" vertical="center"/>
      <protection hidden="1"/>
    </xf>
    <xf numFmtId="167" fontId="24" fillId="8" borderId="0" xfId="0" applyNumberFormat="1" applyFont="1" applyFill="1" applyAlignment="1" applyProtection="1">
      <alignment horizontal="center" vertical="center"/>
      <protection hidden="1"/>
    </xf>
    <xf numFmtId="167" fontId="24" fillId="8" borderId="0" xfId="0" quotePrefix="1" applyNumberFormat="1" applyFont="1" applyFill="1" applyAlignment="1" applyProtection="1">
      <alignment horizontal="center" vertical="center"/>
      <protection hidden="1"/>
    </xf>
    <xf numFmtId="0" fontId="24" fillId="35" borderId="0" xfId="0" applyFont="1" applyFill="1" applyProtection="1">
      <protection hidden="1"/>
    </xf>
    <xf numFmtId="0" fontId="7" fillId="35" borderId="0" xfId="0" applyFont="1" applyFill="1" applyAlignment="1" applyProtection="1">
      <alignment horizontal="right" vertical="center"/>
      <protection hidden="1"/>
    </xf>
    <xf numFmtId="0" fontId="7" fillId="8" borderId="0" xfId="0" applyFont="1" applyFill="1" applyAlignment="1" applyProtection="1">
      <alignment horizontal="right" vertical="center"/>
      <protection hidden="1"/>
    </xf>
    <xf numFmtId="167" fontId="7" fillId="8" borderId="0" xfId="0" applyNumberFormat="1" applyFont="1" applyFill="1" applyAlignment="1" applyProtection="1">
      <alignment horizontal="center" vertical="center"/>
      <protection hidden="1"/>
    </xf>
    <xf numFmtId="0" fontId="7" fillId="35" borderId="0" xfId="0" applyFont="1" applyFill="1" applyAlignment="1" applyProtection="1">
      <alignment horizontal="right"/>
      <protection hidden="1"/>
    </xf>
    <xf numFmtId="0" fontId="7" fillId="8" borderId="0" xfId="0" applyFont="1" applyFill="1" applyAlignment="1" applyProtection="1">
      <alignment horizontal="right"/>
      <protection hidden="1"/>
    </xf>
    <xf numFmtId="167" fontId="7" fillId="35" borderId="0" xfId="0" applyNumberFormat="1" applyFont="1" applyFill="1" applyAlignment="1" applyProtection="1">
      <alignment horizontal="center"/>
      <protection hidden="1"/>
    </xf>
    <xf numFmtId="167" fontId="7" fillId="8" borderId="0" xfId="0" applyNumberFormat="1" applyFont="1" applyFill="1" applyAlignment="1" applyProtection="1">
      <alignment horizontal="center"/>
      <protection hidden="1"/>
    </xf>
    <xf numFmtId="0" fontId="24" fillId="35" borderId="0" xfId="0" applyFont="1" applyFill="1" applyAlignment="1" applyProtection="1">
      <alignment horizontal="right"/>
      <protection hidden="1"/>
    </xf>
    <xf numFmtId="0" fontId="7" fillId="7" borderId="0" xfId="0" applyFont="1" applyFill="1" applyAlignment="1" applyProtection="1">
      <alignment horizontal="right" vertical="center"/>
      <protection hidden="1"/>
    </xf>
    <xf numFmtId="0" fontId="7" fillId="10" borderId="0" xfId="0" applyFont="1" applyFill="1" applyAlignment="1" applyProtection="1">
      <alignment horizontal="right" vertical="center"/>
      <protection hidden="1"/>
    </xf>
    <xf numFmtId="170" fontId="7" fillId="35" borderId="0" xfId="0" applyNumberFormat="1" applyFont="1" applyFill="1" applyAlignment="1" applyProtection="1">
      <alignment horizontal="center" vertical="center" wrapText="1"/>
      <protection hidden="1"/>
    </xf>
    <xf numFmtId="0" fontId="7" fillId="9" borderId="0" xfId="0" applyFont="1" applyFill="1" applyAlignment="1" applyProtection="1">
      <alignment horizontal="right" vertical="center"/>
      <protection hidden="1"/>
    </xf>
    <xf numFmtId="49" fontId="6" fillId="0" borderId="164" xfId="0" applyNumberFormat="1" applyFont="1" applyBorder="1" applyAlignment="1">
      <alignment horizontal="center" vertical="center" wrapText="1"/>
    </xf>
    <xf numFmtId="167" fontId="5" fillId="0" borderId="16" xfId="0" applyNumberFormat="1" applyFont="1" applyBorder="1" applyAlignment="1">
      <alignment horizontal="center"/>
    </xf>
    <xf numFmtId="167" fontId="6" fillId="0" borderId="21" xfId="0" applyNumberFormat="1" applyFont="1" applyBorder="1" applyAlignment="1">
      <alignment horizontal="center" vertical="center" wrapText="1"/>
    </xf>
    <xf numFmtId="167" fontId="5" fillId="0" borderId="64" xfId="0" applyNumberFormat="1" applyFont="1" applyBorder="1" applyAlignment="1">
      <alignment horizontal="center"/>
    </xf>
    <xf numFmtId="0" fontId="16" fillId="20" borderId="91" xfId="0" applyFont="1" applyFill="1" applyBorder="1" applyAlignment="1">
      <alignment horizontal="center" vertical="center" wrapText="1"/>
    </xf>
    <xf numFmtId="170" fontId="5" fillId="0" borderId="0" xfId="0" applyNumberFormat="1" applyFont="1"/>
    <xf numFmtId="0" fontId="70" fillId="0" borderId="0" xfId="0" applyFont="1" applyAlignment="1" applyProtection="1">
      <alignment horizontal="right"/>
      <protection hidden="1"/>
    </xf>
    <xf numFmtId="0" fontId="24" fillId="12" borderId="4" xfId="0" applyFont="1" applyFill="1" applyBorder="1" applyAlignment="1" applyProtection="1">
      <alignment horizontal="right"/>
      <protection hidden="1"/>
    </xf>
    <xf numFmtId="167" fontId="24" fillId="0" borderId="0" xfId="0" applyNumberFormat="1" applyFont="1" applyAlignment="1" applyProtection="1">
      <alignment horizontal="center" vertical="center" wrapText="1"/>
      <protection locked="0" hidden="1"/>
    </xf>
    <xf numFmtId="0" fontId="4" fillId="22" borderId="0" xfId="0" applyFont="1" applyFill="1"/>
    <xf numFmtId="0" fontId="24" fillId="22" borderId="0" xfId="0" applyFont="1" applyFill="1" applyProtection="1">
      <protection hidden="1"/>
    </xf>
    <xf numFmtId="0" fontId="5" fillId="22" borderId="0" xfId="0" applyFont="1" applyFill="1" applyAlignment="1" applyProtection="1">
      <alignment horizontal="center"/>
      <protection hidden="1"/>
    </xf>
    <xf numFmtId="0" fontId="16" fillId="22" borderId="0" xfId="0" applyFont="1" applyFill="1" applyProtection="1">
      <protection hidden="1"/>
    </xf>
    <xf numFmtId="0" fontId="7" fillId="22" borderId="0" xfId="0" applyFont="1" applyFill="1" applyAlignment="1" applyProtection="1">
      <alignment horizontal="left"/>
      <protection hidden="1"/>
    </xf>
    <xf numFmtId="0" fontId="24" fillId="22" borderId="0" xfId="0" applyFont="1" applyFill="1" applyAlignment="1" applyProtection="1">
      <alignment horizontal="center"/>
      <protection hidden="1"/>
    </xf>
    <xf numFmtId="0" fontId="7" fillId="22" borderId="0" xfId="0" applyFont="1" applyFill="1" applyProtection="1">
      <protection hidden="1"/>
    </xf>
    <xf numFmtId="0" fontId="24" fillId="22" borderId="0" xfId="0" applyFont="1" applyFill="1"/>
    <xf numFmtId="0" fontId="24" fillId="22" borderId="0" xfId="0" applyFont="1" applyFill="1" applyAlignment="1">
      <alignment wrapText="1"/>
    </xf>
    <xf numFmtId="49" fontId="24" fillId="22" borderId="0" xfId="0" applyNumberFormat="1" applyFont="1" applyFill="1" applyProtection="1">
      <protection hidden="1"/>
    </xf>
    <xf numFmtId="0" fontId="48" fillId="22" borderId="1" xfId="0" applyFont="1" applyFill="1" applyBorder="1" applyAlignment="1">
      <alignment horizontal="center" wrapText="1"/>
    </xf>
    <xf numFmtId="0" fontId="48" fillId="22" borderId="0" xfId="0" applyFont="1" applyFill="1" applyAlignment="1">
      <alignment horizontal="center" wrapText="1"/>
    </xf>
    <xf numFmtId="0" fontId="16" fillId="22" borderId="0" xfId="0" applyFont="1" applyFill="1"/>
    <xf numFmtId="0" fontId="24" fillId="22" borderId="3" xfId="0" applyFont="1" applyFill="1" applyBorder="1" applyProtection="1">
      <protection hidden="1"/>
    </xf>
    <xf numFmtId="0" fontId="29" fillId="22" borderId="0" xfId="0" applyFont="1" applyFill="1" applyAlignment="1" applyProtection="1">
      <alignment horizontal="right" vertical="center"/>
      <protection hidden="1"/>
    </xf>
    <xf numFmtId="0" fontId="4" fillId="22" borderId="3" xfId="0" applyFont="1" applyFill="1" applyBorder="1"/>
    <xf numFmtId="0" fontId="23" fillId="22" borderId="2" xfId="0" applyFont="1" applyFill="1" applyBorder="1" applyAlignment="1">
      <alignment horizontal="center"/>
    </xf>
    <xf numFmtId="0" fontId="23" fillId="22" borderId="3" xfId="0" applyFont="1" applyFill="1" applyBorder="1" applyAlignment="1">
      <alignment horizontal="center"/>
    </xf>
    <xf numFmtId="0" fontId="23" fillId="22" borderId="15" xfId="0" applyFont="1" applyFill="1" applyBorder="1" applyAlignment="1">
      <alignment horizontal="center"/>
    </xf>
    <xf numFmtId="0" fontId="23" fillId="22" borderId="1" xfId="0" applyFont="1" applyFill="1" applyBorder="1" applyAlignment="1">
      <alignment horizontal="center"/>
    </xf>
    <xf numFmtId="0" fontId="23" fillId="22" borderId="0" xfId="0" applyFont="1" applyFill="1" applyAlignment="1">
      <alignment horizontal="center"/>
    </xf>
    <xf numFmtId="0" fontId="23" fillId="22" borderId="8" xfId="0" applyFont="1" applyFill="1" applyBorder="1" applyAlignment="1">
      <alignment horizontal="center"/>
    </xf>
    <xf numFmtId="0" fontId="23" fillId="22" borderId="4" xfId="0" applyFont="1" applyFill="1" applyBorder="1" applyAlignment="1">
      <alignment horizontal="center"/>
    </xf>
    <xf numFmtId="0" fontId="23" fillId="22" borderId="5" xfId="0" applyFont="1" applyFill="1" applyBorder="1" applyAlignment="1">
      <alignment horizontal="center"/>
    </xf>
    <xf numFmtId="0" fontId="23" fillId="22" borderId="16" xfId="0" applyFont="1" applyFill="1" applyBorder="1" applyAlignment="1">
      <alignment horizontal="center"/>
    </xf>
    <xf numFmtId="0" fontId="31" fillId="0" borderId="0" xfId="0" applyFont="1"/>
    <xf numFmtId="0" fontId="31" fillId="0" borderId="0" xfId="0" applyFont="1" applyAlignment="1">
      <alignment horizontal="right" vertical="center"/>
    </xf>
    <xf numFmtId="0" fontId="31" fillId="0" borderId="0" xfId="0" applyFont="1" applyAlignment="1">
      <alignment horizontal="center" vertical="center"/>
    </xf>
    <xf numFmtId="0" fontId="31" fillId="0" borderId="0" xfId="0" applyFont="1" applyAlignment="1">
      <alignment horizontal="right"/>
    </xf>
    <xf numFmtId="3" fontId="24" fillId="3" borderId="53" xfId="0" applyNumberFormat="1" applyFont="1" applyFill="1" applyBorder="1" applyAlignment="1" applyProtection="1">
      <alignment horizontal="center" vertical="center" wrapText="1"/>
      <protection locked="0" hidden="1"/>
    </xf>
    <xf numFmtId="3" fontId="24" fillId="6" borderId="0" xfId="0" applyNumberFormat="1" applyFont="1" applyFill="1" applyAlignment="1" applyProtection="1">
      <alignment horizontal="center" vertical="center" wrapText="1"/>
      <protection locked="0" hidden="1"/>
    </xf>
    <xf numFmtId="3" fontId="24" fillId="5" borderId="0" xfId="0" applyNumberFormat="1" applyFont="1" applyFill="1" applyAlignment="1" applyProtection="1">
      <alignment vertical="top" wrapText="1"/>
      <protection hidden="1"/>
    </xf>
    <xf numFmtId="3" fontId="24" fillId="6" borderId="0" xfId="0" applyNumberFormat="1" applyFont="1" applyFill="1" applyAlignment="1" applyProtection="1">
      <alignment vertical="top" wrapText="1"/>
      <protection hidden="1"/>
    </xf>
    <xf numFmtId="0" fontId="0" fillId="0" borderId="0" xfId="0" applyAlignment="1">
      <alignment horizontal="center" vertical="top"/>
    </xf>
    <xf numFmtId="0" fontId="0" fillId="0" borderId="0" xfId="0" applyAlignment="1">
      <alignment vertical="top"/>
    </xf>
    <xf numFmtId="0" fontId="7" fillId="0" borderId="0" xfId="0" applyFont="1" applyAlignment="1" applyProtection="1">
      <alignment horizontal="center" vertical="center" wrapText="1"/>
      <protection hidden="1"/>
    </xf>
    <xf numFmtId="0" fontId="7" fillId="12" borderId="2" xfId="0" applyFont="1" applyFill="1" applyBorder="1" applyAlignment="1">
      <alignment horizontal="center" vertical="center"/>
    </xf>
    <xf numFmtId="167" fontId="24" fillId="12" borderId="1" xfId="0" applyNumberFormat="1" applyFont="1" applyFill="1" applyBorder="1" applyAlignment="1" applyProtection="1">
      <alignment horizontal="left"/>
      <protection hidden="1"/>
    </xf>
    <xf numFmtId="0" fontId="0" fillId="0" borderId="1" xfId="0" applyBorder="1"/>
    <xf numFmtId="0" fontId="16" fillId="0" borderId="1" xfId="0" applyFont="1" applyBorder="1" applyAlignment="1">
      <alignment horizontal="center" vertical="center"/>
    </xf>
    <xf numFmtId="0" fontId="5" fillId="0" borderId="138" xfId="0" applyFont="1" applyBorder="1" applyAlignment="1">
      <alignment horizontal="center" wrapText="1"/>
    </xf>
    <xf numFmtId="0" fontId="5" fillId="0" borderId="138" xfId="0" quotePrefix="1" applyFont="1" applyBorder="1" applyAlignment="1">
      <alignment horizontal="center" wrapText="1"/>
    </xf>
    <xf numFmtId="0" fontId="5" fillId="20" borderId="215" xfId="0" applyFont="1" applyFill="1" applyBorder="1" applyAlignment="1">
      <alignment horizontal="center" wrapText="1"/>
    </xf>
    <xf numFmtId="167" fontId="5" fillId="20" borderId="159" xfId="0" applyNumberFormat="1" applyFont="1" applyFill="1" applyBorder="1" applyAlignment="1">
      <alignment horizontal="center" wrapText="1"/>
    </xf>
    <xf numFmtId="0" fontId="5" fillId="20" borderId="215" xfId="0" applyFont="1" applyFill="1" applyBorder="1" applyAlignment="1">
      <alignment horizontal="center"/>
    </xf>
    <xf numFmtId="0" fontId="5" fillId="20" borderId="136" xfId="0" applyFont="1" applyFill="1" applyBorder="1" applyAlignment="1">
      <alignment horizontal="center" wrapText="1"/>
    </xf>
    <xf numFmtId="0" fontId="5" fillId="20" borderId="137" xfId="0" quotePrefix="1" applyFont="1" applyFill="1" applyBorder="1" applyAlignment="1">
      <alignment horizontal="center" wrapText="1"/>
    </xf>
    <xf numFmtId="0" fontId="5" fillId="20" borderId="137" xfId="0" applyFont="1" applyFill="1" applyBorder="1" applyAlignment="1">
      <alignment horizontal="center" vertical="center" wrapText="1"/>
    </xf>
    <xf numFmtId="0" fontId="5" fillId="20" borderId="133" xfId="0" applyFont="1" applyFill="1" applyBorder="1"/>
    <xf numFmtId="9" fontId="61" fillId="0" borderId="120" xfId="9" applyFont="1" applyBorder="1" applyAlignment="1">
      <alignment horizontal="center"/>
    </xf>
    <xf numFmtId="167" fontId="5" fillId="20" borderId="100" xfId="0" applyNumberFormat="1" applyFont="1" applyFill="1" applyBorder="1" applyAlignment="1">
      <alignment horizontal="center"/>
    </xf>
    <xf numFmtId="0" fontId="61" fillId="0" borderId="27" xfId="8" applyFont="1" applyBorder="1" applyAlignment="1">
      <alignment horizontal="center" vertical="center"/>
    </xf>
    <xf numFmtId="0" fontId="61" fillId="0" borderId="42" xfId="8" applyFont="1" applyBorder="1" applyAlignment="1">
      <alignment horizontal="center" vertical="center"/>
    </xf>
    <xf numFmtId="0" fontId="61" fillId="0" borderId="214" xfId="8" applyFont="1" applyBorder="1" applyAlignment="1">
      <alignment horizontal="center" vertical="center"/>
    </xf>
    <xf numFmtId="0" fontId="61" fillId="0" borderId="39" xfId="8" applyFont="1" applyBorder="1" applyAlignment="1">
      <alignment horizontal="center" vertical="center"/>
    </xf>
    <xf numFmtId="0" fontId="61" fillId="0" borderId="227" xfId="8" applyFont="1" applyBorder="1" applyAlignment="1">
      <alignment horizontal="center" vertical="center"/>
    </xf>
    <xf numFmtId="9" fontId="61" fillId="0" borderId="25" xfId="9" applyFont="1" applyBorder="1" applyAlignment="1">
      <alignment horizontal="center"/>
    </xf>
    <xf numFmtId="9" fontId="61" fillId="0" borderId="0" xfId="9" quotePrefix="1" applyFont="1" applyAlignment="1">
      <alignment horizontal="center"/>
    </xf>
    <xf numFmtId="9" fontId="61" fillId="0" borderId="121" xfId="9" applyFont="1" applyBorder="1" applyAlignment="1">
      <alignment horizontal="center"/>
    </xf>
    <xf numFmtId="9" fontId="61" fillId="0" borderId="25" xfId="9" quotePrefix="1" applyFont="1" applyBorder="1" applyAlignment="1">
      <alignment horizontal="center"/>
    </xf>
    <xf numFmtId="49" fontId="5" fillId="20" borderId="0" xfId="0" applyNumberFormat="1" applyFont="1" applyFill="1"/>
    <xf numFmtId="167" fontId="5" fillId="20" borderId="152" xfId="0" quotePrefix="1" applyNumberFormat="1" applyFont="1" applyFill="1" applyBorder="1" applyAlignment="1">
      <alignment horizontal="center"/>
    </xf>
    <xf numFmtId="167" fontId="5" fillId="20" borderId="108" xfId="0" quotePrefix="1" applyNumberFormat="1" applyFont="1" applyFill="1" applyBorder="1" applyAlignment="1">
      <alignment horizontal="center"/>
    </xf>
    <xf numFmtId="167" fontId="5" fillId="20" borderId="143" xfId="0" quotePrefix="1" applyNumberFormat="1" applyFont="1" applyFill="1" applyBorder="1" applyAlignment="1">
      <alignment horizontal="center"/>
    </xf>
    <xf numFmtId="0" fontId="5" fillId="20" borderId="129" xfId="0" quotePrefix="1" applyFont="1" applyFill="1" applyBorder="1" applyAlignment="1">
      <alignment horizontal="center"/>
    </xf>
    <xf numFmtId="0" fontId="61" fillId="20" borderId="28" xfId="1" applyFont="1" applyFill="1" applyBorder="1" applyAlignment="1">
      <alignment horizontal="center" vertical="center"/>
    </xf>
    <xf numFmtId="0" fontId="61" fillId="20" borderId="181" xfId="1" applyFont="1" applyFill="1" applyBorder="1" applyAlignment="1">
      <alignment horizontal="center" vertical="center"/>
    </xf>
    <xf numFmtId="0" fontId="61" fillId="20" borderId="134" xfId="1" applyFont="1" applyFill="1" applyBorder="1" applyAlignment="1">
      <alignment horizontal="center" vertical="center"/>
    </xf>
    <xf numFmtId="0" fontId="65" fillId="0" borderId="44" xfId="1" applyFont="1" applyBorder="1" applyAlignment="1">
      <alignment horizontal="center" vertical="center" wrapText="1"/>
    </xf>
    <xf numFmtId="0" fontId="65" fillId="0" borderId="90" xfId="1" applyFont="1" applyBorder="1" applyAlignment="1">
      <alignment horizontal="center" vertical="center" wrapText="1"/>
    </xf>
    <xf numFmtId="49" fontId="7" fillId="0" borderId="0" xfId="0" applyNumberFormat="1" applyFont="1" applyAlignment="1">
      <alignment vertical="center" wrapText="1"/>
    </xf>
    <xf numFmtId="49" fontId="4" fillId="0" borderId="135" xfId="0" applyNumberFormat="1" applyFont="1" applyBorder="1" applyAlignment="1">
      <alignment horizontal="left" vertical="center"/>
    </xf>
    <xf numFmtId="49" fontId="47" fillId="0" borderId="135" xfId="0" applyNumberFormat="1" applyFont="1" applyBorder="1" applyAlignment="1">
      <alignment horizontal="left" vertical="center"/>
    </xf>
    <xf numFmtId="49" fontId="47" fillId="20" borderId="135" xfId="0" applyNumberFormat="1" applyFont="1" applyFill="1" applyBorder="1" applyAlignment="1">
      <alignment horizontal="left" vertical="center"/>
    </xf>
    <xf numFmtId="167" fontId="47" fillId="0" borderId="86" xfId="0" applyNumberFormat="1" applyFont="1" applyBorder="1" applyAlignment="1" applyProtection="1">
      <alignment horizontal="center" vertical="center"/>
      <protection hidden="1"/>
    </xf>
    <xf numFmtId="49" fontId="5" fillId="20" borderId="135" xfId="0" applyNumberFormat="1" applyFont="1" applyFill="1" applyBorder="1"/>
    <xf numFmtId="49" fontId="5" fillId="0" borderId="135" xfId="0" applyNumberFormat="1" applyFont="1" applyBorder="1" applyAlignment="1">
      <alignment horizontal="left"/>
    </xf>
    <xf numFmtId="0" fontId="0" fillId="0" borderId="2" xfId="0" applyBorder="1"/>
    <xf numFmtId="167" fontId="5" fillId="0" borderId="129" xfId="7" quotePrefix="1" applyNumberFormat="1" applyFont="1" applyBorder="1" applyAlignment="1">
      <alignment horizontal="center"/>
    </xf>
    <xf numFmtId="167" fontId="5" fillId="0" borderId="150" xfId="7" quotePrefix="1" applyNumberFormat="1" applyFont="1" applyBorder="1" applyAlignment="1">
      <alignment horizontal="center"/>
    </xf>
    <xf numFmtId="167" fontId="5" fillId="0" borderId="139" xfId="7" quotePrefix="1" applyNumberFormat="1" applyFont="1" applyBorder="1" applyAlignment="1">
      <alignment horizontal="center"/>
    </xf>
    <xf numFmtId="167" fontId="5" fillId="0" borderId="137" xfId="7" quotePrefix="1" applyNumberFormat="1" applyFont="1" applyBorder="1" applyAlignment="1">
      <alignment horizontal="center"/>
    </xf>
    <xf numFmtId="167" fontId="5" fillId="0" borderId="137" xfId="7" applyNumberFormat="1" applyFont="1" applyBorder="1" applyAlignment="1">
      <alignment horizontal="center"/>
    </xf>
    <xf numFmtId="167" fontId="5" fillId="0" borderId="139" xfId="7" applyNumberFormat="1" applyFont="1" applyBorder="1" applyAlignment="1">
      <alignment horizontal="center"/>
    </xf>
    <xf numFmtId="167" fontId="5" fillId="0" borderId="165" xfId="7" applyNumberFormat="1" applyFont="1" applyBorder="1" applyAlignment="1">
      <alignment horizontal="center"/>
    </xf>
    <xf numFmtId="167" fontId="5" fillId="0" borderId="151" xfId="7" applyNumberFormat="1" applyFont="1" applyBorder="1" applyAlignment="1">
      <alignment horizontal="center"/>
    </xf>
    <xf numFmtId="0" fontId="6" fillId="0" borderId="217" xfId="0" applyFont="1" applyBorder="1" applyAlignment="1">
      <alignment horizontal="center" vertical="center" wrapText="1"/>
    </xf>
    <xf numFmtId="0" fontId="6" fillId="0" borderId="91" xfId="0" applyFont="1" applyBorder="1" applyAlignment="1">
      <alignment horizontal="center" vertical="center" wrapText="1"/>
    </xf>
    <xf numFmtId="0" fontId="5" fillId="20" borderId="1" xfId="0" applyFont="1" applyFill="1" applyBorder="1"/>
    <xf numFmtId="49" fontId="5" fillId="0" borderId="87" xfId="0" applyNumberFormat="1" applyFont="1" applyBorder="1"/>
    <xf numFmtId="167" fontId="5" fillId="24" borderId="24" xfId="0" applyNumberFormat="1" applyFont="1" applyFill="1" applyBorder="1" applyAlignment="1">
      <alignment horizontal="center"/>
    </xf>
    <xf numFmtId="168" fontId="5" fillId="0" borderId="19" xfId="0" applyNumberFormat="1" applyFont="1" applyBorder="1" applyAlignment="1">
      <alignment horizontal="center"/>
    </xf>
    <xf numFmtId="0" fontId="5" fillId="0" borderId="137" xfId="0" applyFont="1" applyBorder="1" applyAlignment="1">
      <alignment horizontal="left"/>
    </xf>
    <xf numFmtId="167" fontId="5" fillId="24" borderId="137" xfId="0" applyNumberFormat="1" applyFont="1" applyFill="1" applyBorder="1" applyAlignment="1">
      <alignment horizontal="center"/>
    </xf>
    <xf numFmtId="0" fontId="5" fillId="20" borderId="137" xfId="0" applyFont="1" applyFill="1" applyBorder="1" applyAlignment="1">
      <alignment horizontal="left"/>
    </xf>
    <xf numFmtId="167" fontId="5" fillId="24" borderId="22" xfId="0" applyNumberFormat="1" applyFont="1" applyFill="1" applyBorder="1" applyAlignment="1">
      <alignment horizontal="center"/>
    </xf>
    <xf numFmtId="167" fontId="5" fillId="24" borderId="8" xfId="0" applyNumberFormat="1" applyFont="1" applyFill="1" applyBorder="1" applyAlignment="1">
      <alignment horizontal="center"/>
    </xf>
    <xf numFmtId="167" fontId="5" fillId="24" borderId="149" xfId="0" applyNumberFormat="1" applyFont="1" applyFill="1" applyBorder="1" applyAlignment="1">
      <alignment horizontal="center"/>
    </xf>
    <xf numFmtId="49" fontId="5" fillId="20" borderId="133" xfId="0" applyNumberFormat="1" applyFont="1" applyFill="1" applyBorder="1"/>
    <xf numFmtId="167" fontId="5" fillId="20" borderId="149" xfId="0" quotePrefix="1" applyNumberFormat="1" applyFont="1" applyFill="1" applyBorder="1" applyAlignment="1">
      <alignment horizontal="center"/>
    </xf>
    <xf numFmtId="0" fontId="5" fillId="20" borderId="139" xfId="0" applyFont="1" applyFill="1" applyBorder="1" applyAlignment="1">
      <alignment horizontal="center"/>
    </xf>
    <xf numFmtId="49" fontId="5" fillId="0" borderId="87" xfId="0" applyNumberFormat="1" applyFont="1" applyBorder="1" applyAlignment="1">
      <alignment horizontal="left"/>
    </xf>
    <xf numFmtId="167" fontId="5" fillId="24" borderId="0" xfId="0" applyNumberFormat="1" applyFont="1" applyFill="1" applyAlignment="1">
      <alignment horizontal="center"/>
    </xf>
    <xf numFmtId="0" fontId="5" fillId="0" borderId="168" xfId="0" applyFont="1" applyBorder="1" applyAlignment="1">
      <alignment horizontal="left"/>
    </xf>
    <xf numFmtId="167" fontId="6" fillId="0" borderId="128" xfId="0" applyNumberFormat="1" applyFont="1" applyBorder="1" applyAlignment="1">
      <alignment horizontal="center" vertical="center"/>
    </xf>
    <xf numFmtId="0" fontId="6" fillId="0" borderId="120" xfId="0" applyFont="1" applyBorder="1" applyAlignment="1">
      <alignment horizontal="center" vertical="center"/>
    </xf>
    <xf numFmtId="0" fontId="6" fillId="0" borderId="10" xfId="0" applyFont="1" applyBorder="1" applyAlignment="1">
      <alignment horizontal="center" vertical="center"/>
    </xf>
    <xf numFmtId="49" fontId="36" fillId="0" borderId="5" xfId="0" applyNumberFormat="1" applyFont="1" applyBorder="1" applyAlignment="1">
      <alignment horizontal="centerContinuous" vertical="center" wrapText="1"/>
    </xf>
    <xf numFmtId="0" fontId="6" fillId="0" borderId="236" xfId="0" applyFont="1" applyBorder="1" applyAlignment="1">
      <alignment horizontal="center" vertical="center"/>
    </xf>
    <xf numFmtId="0" fontId="6" fillId="0" borderId="90" xfId="0" applyFont="1" applyBorder="1" applyAlignment="1">
      <alignment horizontal="center" vertical="center"/>
    </xf>
    <xf numFmtId="0" fontId="61" fillId="0" borderId="83" xfId="1" applyFont="1" applyBorder="1" applyAlignment="1">
      <alignment vertical="center"/>
    </xf>
    <xf numFmtId="0" fontId="4" fillId="0" borderId="83" xfId="0" applyFont="1" applyBorder="1"/>
    <xf numFmtId="0" fontId="4" fillId="0" borderId="63" xfId="0" applyFont="1" applyBorder="1" applyProtection="1">
      <protection hidden="1"/>
    </xf>
    <xf numFmtId="0" fontId="4" fillId="0" borderId="84" xfId="0" applyFont="1" applyBorder="1"/>
    <xf numFmtId="0" fontId="16" fillId="0" borderId="24" xfId="0" applyFont="1" applyBorder="1"/>
    <xf numFmtId="0" fontId="4" fillId="0" borderId="24" xfId="0" applyFont="1" applyBorder="1"/>
    <xf numFmtId="0" fontId="25" fillId="0" borderId="2" xfId="0" applyFont="1" applyBorder="1" applyProtection="1">
      <protection hidden="1"/>
    </xf>
    <xf numFmtId="0" fontId="0" fillId="0" borderId="3" xfId="0" applyBorder="1" applyAlignment="1">
      <alignment horizontal="center" vertical="center"/>
    </xf>
    <xf numFmtId="0" fontId="0" fillId="0" borderId="15" xfId="0" applyBorder="1" applyAlignment="1">
      <alignment horizontal="center" vertical="center"/>
    </xf>
    <xf numFmtId="11" fontId="5" fillId="0" borderId="143" xfId="0" quotePrefix="1" applyNumberFormat="1" applyFont="1" applyBorder="1" applyAlignment="1">
      <alignment horizontal="center" vertical="center"/>
    </xf>
    <xf numFmtId="167" fontId="5" fillId="0" borderId="136" xfId="7" quotePrefix="1" applyNumberFormat="1" applyFont="1" applyBorder="1" applyAlignment="1">
      <alignment horizontal="center"/>
    </xf>
    <xf numFmtId="167" fontId="24" fillId="7" borderId="0" xfId="0" applyNumberFormat="1" applyFont="1" applyFill="1" applyAlignment="1" applyProtection="1">
      <alignment horizontal="center" vertical="center"/>
      <protection hidden="1"/>
    </xf>
    <xf numFmtId="167" fontId="24" fillId="7" borderId="0" xfId="0" applyNumberFormat="1" applyFont="1" applyFill="1" applyAlignment="1" applyProtection="1">
      <alignment horizontal="center" vertical="center" wrapText="1"/>
      <protection hidden="1"/>
    </xf>
    <xf numFmtId="0" fontId="24" fillId="7" borderId="0" xfId="0" applyFont="1" applyFill="1" applyAlignment="1" applyProtection="1">
      <alignment horizontal="right" vertical="center"/>
      <protection hidden="1"/>
    </xf>
    <xf numFmtId="0" fontId="24" fillId="7" borderId="0" xfId="0" applyFont="1" applyFill="1" applyProtection="1">
      <protection hidden="1"/>
    </xf>
    <xf numFmtId="0" fontId="0" fillId="7" borderId="0" xfId="0" applyFill="1"/>
    <xf numFmtId="0" fontId="24" fillId="10" borderId="0" xfId="0" applyFont="1" applyFill="1" applyAlignment="1" applyProtection="1">
      <alignment horizontal="right" vertical="center"/>
      <protection hidden="1"/>
    </xf>
    <xf numFmtId="167" fontId="24" fillId="10" borderId="0" xfId="0" applyNumberFormat="1" applyFont="1" applyFill="1" applyAlignment="1" applyProtection="1">
      <alignment horizontal="center" vertical="center" wrapText="1"/>
      <protection hidden="1"/>
    </xf>
    <xf numFmtId="0" fontId="24" fillId="10" borderId="0" xfId="0" applyFont="1" applyFill="1" applyProtection="1">
      <protection hidden="1"/>
    </xf>
    <xf numFmtId="0" fontId="24" fillId="9" borderId="0" xfId="0" applyFont="1" applyFill="1" applyAlignment="1" applyProtection="1">
      <alignment horizontal="right" vertical="center"/>
      <protection hidden="1"/>
    </xf>
    <xf numFmtId="167" fontId="24" fillId="9" borderId="0" xfId="0" applyNumberFormat="1" applyFont="1" applyFill="1" applyAlignment="1" applyProtection="1">
      <alignment horizontal="center" vertical="center" wrapText="1"/>
      <protection hidden="1"/>
    </xf>
    <xf numFmtId="167" fontId="7" fillId="9" borderId="0" xfId="0" applyNumberFormat="1" applyFont="1" applyFill="1" applyAlignment="1" applyProtection="1">
      <alignment horizontal="center" vertical="center" wrapText="1"/>
      <protection hidden="1"/>
    </xf>
    <xf numFmtId="0" fontId="24" fillId="9" borderId="0" xfId="0" applyFont="1" applyFill="1" applyProtection="1">
      <protection hidden="1"/>
    </xf>
    <xf numFmtId="0" fontId="16" fillId="0" borderId="63" xfId="0" quotePrefix="1" applyFont="1" applyBorder="1" applyAlignment="1">
      <alignment horizontal="center" vertical="center"/>
    </xf>
    <xf numFmtId="0" fontId="16" fillId="0" borderId="84" xfId="0" quotePrefix="1" applyFont="1" applyBorder="1" applyAlignment="1">
      <alignment horizontal="center" vertical="center"/>
    </xf>
    <xf numFmtId="0" fontId="16" fillId="0" borderId="22" xfId="0" quotePrefix="1" applyFont="1" applyBorder="1" applyAlignment="1">
      <alignment horizontal="center" vertical="center"/>
    </xf>
    <xf numFmtId="0" fontId="61" fillId="0" borderId="136" xfId="8" applyFont="1" applyBorder="1" applyAlignment="1">
      <alignment horizontal="center" vertical="center"/>
    </xf>
    <xf numFmtId="0" fontId="61" fillId="0" borderId="137" xfId="8" applyFont="1" applyBorder="1" applyAlignment="1">
      <alignment horizontal="center" vertical="center"/>
    </xf>
    <xf numFmtId="0" fontId="61" fillId="0" borderId="108" xfId="8" applyFont="1" applyBorder="1" applyAlignment="1">
      <alignment horizontal="center" vertical="center"/>
    </xf>
    <xf numFmtId="0" fontId="61" fillId="0" borderId="138" xfId="8" applyFont="1" applyBorder="1" applyAlignment="1">
      <alignment horizontal="center" vertical="center"/>
    </xf>
    <xf numFmtId="0" fontId="1" fillId="0" borderId="66" xfId="1" applyFont="1" applyBorder="1" applyAlignment="1">
      <alignment horizontal="center" vertical="center" wrapText="1"/>
    </xf>
    <xf numFmtId="167" fontId="1" fillId="0" borderId="138" xfId="1" applyNumberFormat="1" applyFont="1" applyBorder="1" applyAlignment="1">
      <alignment horizontal="center" vertical="center"/>
    </xf>
    <xf numFmtId="167" fontId="1" fillId="0" borderId="138" xfId="1" quotePrefix="1" applyNumberFormat="1" applyFont="1" applyBorder="1" applyAlignment="1">
      <alignment horizontal="center" vertical="center"/>
    </xf>
    <xf numFmtId="0" fontId="1" fillId="0" borderId="204" xfId="1" applyFont="1" applyBorder="1" applyAlignment="1">
      <alignment horizontal="center" vertical="center" wrapText="1"/>
    </xf>
    <xf numFmtId="9" fontId="61" fillId="0" borderId="63" xfId="9" applyFont="1" applyBorder="1" applyAlignment="1">
      <alignment horizontal="center"/>
    </xf>
    <xf numFmtId="0" fontId="61" fillId="20" borderId="108" xfId="1" applyFont="1" applyFill="1" applyBorder="1" applyAlignment="1">
      <alignment horizontal="center" vertical="center"/>
    </xf>
    <xf numFmtId="9" fontId="61" fillId="0" borderId="159" xfId="9" applyFont="1" applyBorder="1" applyAlignment="1">
      <alignment horizontal="center"/>
    </xf>
    <xf numFmtId="9" fontId="1" fillId="0" borderId="137" xfId="9" quotePrefix="1" applyBorder="1" applyAlignment="1">
      <alignment horizontal="center"/>
    </xf>
    <xf numFmtId="9" fontId="1" fillId="0" borderId="138" xfId="9" quotePrefix="1" applyBorder="1" applyAlignment="1">
      <alignment horizontal="center"/>
    </xf>
    <xf numFmtId="167" fontId="16" fillId="33" borderId="159" xfId="0" applyNumberFormat="1" applyFont="1" applyFill="1" applyBorder="1" applyAlignment="1">
      <alignment horizontal="center" vertical="center"/>
    </xf>
    <xf numFmtId="167" fontId="4" fillId="33" borderId="137" xfId="0" quotePrefix="1" applyNumberFormat="1" applyFont="1" applyFill="1" applyBorder="1" applyAlignment="1">
      <alignment horizontal="center" vertical="center"/>
    </xf>
    <xf numFmtId="167" fontId="4" fillId="33" borderId="138" xfId="0" quotePrefix="1" applyNumberFormat="1" applyFont="1" applyFill="1" applyBorder="1" applyAlignment="1">
      <alignment horizontal="center" vertical="center"/>
    </xf>
    <xf numFmtId="9" fontId="1" fillId="0" borderId="159" xfId="9" quotePrefix="1" applyBorder="1" applyAlignment="1">
      <alignment horizontal="center"/>
    </xf>
    <xf numFmtId="9" fontId="61" fillId="0" borderId="9" xfId="9" quotePrefix="1" applyFont="1" applyBorder="1" applyAlignment="1">
      <alignment horizontal="center"/>
    </xf>
    <xf numFmtId="9" fontId="61" fillId="0" borderId="108" xfId="9" applyFont="1" applyBorder="1" applyAlignment="1">
      <alignment horizontal="center"/>
    </xf>
    <xf numFmtId="167" fontId="4" fillId="33" borderId="125" xfId="0" quotePrefix="1" applyNumberFormat="1" applyFont="1" applyFill="1" applyBorder="1" applyAlignment="1">
      <alignment horizontal="center" vertical="center"/>
    </xf>
    <xf numFmtId="9" fontId="1" fillId="0" borderId="108" xfId="9" applyBorder="1" applyAlignment="1">
      <alignment horizontal="center"/>
    </xf>
    <xf numFmtId="167" fontId="4" fillId="33" borderId="159" xfId="0" quotePrefix="1" applyNumberFormat="1" applyFont="1" applyFill="1" applyBorder="1" applyAlignment="1">
      <alignment horizontal="center" vertical="center"/>
    </xf>
    <xf numFmtId="0" fontId="4" fillId="0" borderId="121" xfId="0" applyFont="1" applyBorder="1"/>
    <xf numFmtId="0" fontId="4" fillId="0" borderId="9" xfId="0" applyFont="1" applyBorder="1"/>
    <xf numFmtId="0" fontId="4" fillId="0" borderId="128" xfId="0" applyFont="1" applyBorder="1"/>
    <xf numFmtId="0" fontId="6" fillId="0" borderId="80" xfId="0" applyFont="1" applyBorder="1" applyAlignment="1">
      <alignment horizontal="center"/>
    </xf>
    <xf numFmtId="0" fontId="4" fillId="0" borderId="137" xfId="0" applyFont="1" applyBorder="1" applyAlignment="1">
      <alignment horizontal="center" vertical="center"/>
    </xf>
    <xf numFmtId="0" fontId="4" fillId="0" borderId="238" xfId="0" applyFont="1" applyBorder="1" applyAlignment="1">
      <alignment horizontal="center" vertical="center"/>
    </xf>
    <xf numFmtId="0" fontId="4" fillId="0" borderId="193" xfId="0" applyFont="1" applyBorder="1" applyAlignment="1">
      <alignment horizontal="center" vertical="center"/>
    </xf>
    <xf numFmtId="0" fontId="4" fillId="0" borderId="237" xfId="0" applyFont="1" applyBorder="1" applyAlignment="1">
      <alignment horizontal="center" vertical="center"/>
    </xf>
    <xf numFmtId="0" fontId="4" fillId="0" borderId="108" xfId="0" applyFont="1" applyBorder="1" applyAlignment="1">
      <alignment horizontal="center" vertical="center"/>
    </xf>
    <xf numFmtId="1" fontId="4" fillId="0" borderId="108" xfId="0" applyNumberFormat="1" applyFont="1" applyBorder="1" applyAlignment="1">
      <alignment horizontal="center" vertical="center"/>
    </xf>
    <xf numFmtId="0" fontId="4" fillId="0" borderId="143" xfId="0" applyFont="1" applyBorder="1" applyAlignment="1">
      <alignment horizontal="center" vertical="center"/>
    </xf>
    <xf numFmtId="3" fontId="4" fillId="0" borderId="108" xfId="0" applyNumberFormat="1" applyFont="1" applyBorder="1" applyAlignment="1">
      <alignment horizontal="center" vertical="center"/>
    </xf>
    <xf numFmtId="1" fontId="4" fillId="0" borderId="238" xfId="0" applyNumberFormat="1" applyFont="1" applyBorder="1" applyAlignment="1">
      <alignment horizontal="center" vertical="center"/>
    </xf>
    <xf numFmtId="0" fontId="6" fillId="22" borderId="124" xfId="0" applyFont="1" applyFill="1" applyBorder="1" applyAlignment="1">
      <alignment horizontal="center" vertical="center" wrapText="1"/>
    </xf>
    <xf numFmtId="49" fontId="5" fillId="0" borderId="108" xfId="0" applyNumberFormat="1" applyFont="1" applyBorder="1"/>
    <xf numFmtId="167" fontId="5" fillId="13" borderId="136" xfId="0" applyNumberFormat="1" applyFont="1" applyFill="1" applyBorder="1" applyAlignment="1">
      <alignment horizontal="center" vertical="center"/>
    </xf>
    <xf numFmtId="0" fontId="5" fillId="0" borderId="87" xfId="0" applyFont="1" applyBorder="1"/>
    <xf numFmtId="167" fontId="5" fillId="15" borderId="24" xfId="0" applyNumberFormat="1" applyFont="1" applyFill="1" applyBorder="1" applyAlignment="1">
      <alignment horizontal="center"/>
    </xf>
    <xf numFmtId="167" fontId="5" fillId="15" borderId="0" xfId="0" applyNumberFormat="1" applyFont="1" applyFill="1" applyAlignment="1">
      <alignment horizontal="center"/>
    </xf>
    <xf numFmtId="0" fontId="20" fillId="0" borderId="0" xfId="0" applyFont="1" applyAlignment="1" applyProtection="1">
      <alignment vertical="top" wrapText="1"/>
      <protection hidden="1"/>
    </xf>
    <xf numFmtId="169" fontId="21" fillId="0" borderId="0" xfId="0" applyNumberFormat="1" applyFont="1" applyAlignment="1" applyProtection="1">
      <alignment horizontal="center"/>
      <protection hidden="1"/>
    </xf>
    <xf numFmtId="0" fontId="75" fillId="0" borderId="0" xfId="0" applyFont="1" applyAlignment="1" applyProtection="1">
      <alignment horizontal="right" vertical="top"/>
      <protection hidden="1"/>
    </xf>
    <xf numFmtId="0" fontId="21" fillId="0" borderId="0" xfId="0" applyFont="1" applyAlignment="1" applyProtection="1">
      <alignment vertical="center" wrapText="1"/>
      <protection hidden="1"/>
    </xf>
    <xf numFmtId="0" fontId="20" fillId="0" borderId="0" xfId="0" applyFont="1" applyProtection="1">
      <protection hidden="1"/>
    </xf>
    <xf numFmtId="0" fontId="4" fillId="0" borderId="0" xfId="0" applyFont="1" applyAlignment="1" applyProtection="1">
      <alignment vertical="center"/>
      <protection hidden="1"/>
    </xf>
    <xf numFmtId="0" fontId="76" fillId="0" borderId="0" xfId="0" applyFont="1" applyAlignment="1" applyProtection="1">
      <alignment wrapText="1"/>
      <protection hidden="1"/>
    </xf>
    <xf numFmtId="4" fontId="4" fillId="0" borderId="0" xfId="0" applyNumberFormat="1" applyFont="1" applyAlignment="1">
      <alignment vertical="center"/>
    </xf>
    <xf numFmtId="0" fontId="8" fillId="0" borderId="0" xfId="0" applyFont="1" applyAlignment="1" applyProtection="1">
      <alignment vertical="center" wrapText="1"/>
      <protection hidden="1"/>
    </xf>
    <xf numFmtId="169" fontId="8" fillId="0" borderId="0" xfId="0" applyNumberFormat="1" applyFont="1" applyAlignment="1" applyProtection="1">
      <alignment vertical="center"/>
      <protection hidden="1"/>
    </xf>
    <xf numFmtId="0" fontId="4" fillId="0" borderId="0" xfId="0" applyFont="1" applyAlignment="1">
      <alignment horizontal="left"/>
    </xf>
    <xf numFmtId="0" fontId="78" fillId="0" borderId="0" xfId="0" applyFont="1" applyAlignment="1" applyProtection="1">
      <alignment horizontal="left"/>
      <protection hidden="1"/>
    </xf>
    <xf numFmtId="0" fontId="78" fillId="0" borderId="0" xfId="0" applyFont="1" applyProtection="1">
      <protection hidden="1"/>
    </xf>
    <xf numFmtId="0" fontId="78" fillId="0" borderId="0" xfId="0" applyFont="1" applyAlignment="1" applyProtection="1">
      <alignment vertical="center"/>
      <protection hidden="1"/>
    </xf>
    <xf numFmtId="0" fontId="31" fillId="0" borderId="0" xfId="0" applyFont="1" applyAlignment="1">
      <alignment horizontal="left"/>
    </xf>
    <xf numFmtId="0" fontId="23" fillId="0" borderId="0" xfId="0" applyFont="1" applyAlignment="1" applyProtection="1">
      <alignment horizontal="left" vertical="center"/>
      <protection hidden="1"/>
    </xf>
    <xf numFmtId="0" fontId="31" fillId="0" borderId="0" xfId="0" applyFont="1" applyAlignment="1">
      <alignment horizontal="left" vertical="center"/>
    </xf>
    <xf numFmtId="0" fontId="36" fillId="6" borderId="0" xfId="0" applyFont="1" applyFill="1" applyAlignment="1">
      <alignment horizontal="center" vertical="center"/>
    </xf>
    <xf numFmtId="0" fontId="36" fillId="6" borderId="8" xfId="0" applyFont="1" applyFill="1" applyBorder="1" applyAlignment="1">
      <alignment horizontal="center" vertical="center"/>
    </xf>
    <xf numFmtId="0" fontId="61" fillId="4" borderId="0" xfId="0" applyFont="1" applyFill="1" applyAlignment="1" applyProtection="1">
      <alignment horizontal="center" vertical="center" wrapText="1"/>
      <protection hidden="1"/>
    </xf>
    <xf numFmtId="0" fontId="61" fillId="6" borderId="0" xfId="0" applyFont="1" applyFill="1" applyAlignment="1" applyProtection="1">
      <alignment horizontal="center" vertical="center" wrapText="1"/>
      <protection hidden="1"/>
    </xf>
    <xf numFmtId="0" fontId="7" fillId="18" borderId="0" xfId="0" applyFont="1" applyFill="1" applyAlignment="1" applyProtection="1">
      <alignment horizontal="right"/>
      <protection hidden="1"/>
    </xf>
    <xf numFmtId="0" fontId="7" fillId="27" borderId="0" xfId="0" applyFont="1" applyFill="1" applyProtection="1">
      <protection hidden="1"/>
    </xf>
    <xf numFmtId="0" fontId="7" fillId="27" borderId="0" xfId="0" applyFont="1" applyFill="1" applyAlignment="1" applyProtection="1">
      <alignment horizontal="right"/>
      <protection hidden="1"/>
    </xf>
    <xf numFmtId="0" fontId="7" fillId="27" borderId="0" xfId="0" applyFont="1" applyFill="1" applyAlignment="1" applyProtection="1">
      <alignment horizontal="center" wrapText="1"/>
      <protection hidden="1"/>
    </xf>
    <xf numFmtId="0" fontId="7" fillId="18" borderId="0" xfId="0" applyFont="1" applyFill="1" applyProtection="1">
      <protection hidden="1"/>
    </xf>
    <xf numFmtId="0" fontId="7" fillId="18" borderId="0" xfId="0" applyFont="1" applyFill="1" applyAlignment="1" applyProtection="1">
      <alignment horizontal="center" wrapText="1"/>
      <protection hidden="1"/>
    </xf>
    <xf numFmtId="0" fontId="7" fillId="17" borderId="0" xfId="0" applyFont="1" applyFill="1" applyProtection="1">
      <protection hidden="1"/>
    </xf>
    <xf numFmtId="0" fontId="7" fillId="17" borderId="0" xfId="0" applyFont="1" applyFill="1" applyAlignment="1" applyProtection="1">
      <alignment horizontal="right"/>
      <protection hidden="1"/>
    </xf>
    <xf numFmtId="0" fontId="7" fillId="17" borderId="0" xfId="0" applyFont="1" applyFill="1" applyAlignment="1" applyProtection="1">
      <alignment horizontal="center" wrapText="1"/>
      <protection hidden="1"/>
    </xf>
    <xf numFmtId="0" fontId="24" fillId="0" borderId="0" xfId="0" applyFont="1" applyAlignment="1">
      <alignment vertical="center"/>
    </xf>
    <xf numFmtId="49" fontId="5" fillId="22" borderId="0" xfId="0" applyNumberFormat="1" applyFont="1" applyFill="1"/>
    <xf numFmtId="167" fontId="5" fillId="22" borderId="0" xfId="0" applyNumberFormat="1" applyFont="1" applyFill="1" applyAlignment="1" applyProtection="1">
      <alignment horizontal="center"/>
      <protection hidden="1"/>
    </xf>
    <xf numFmtId="0" fontId="24" fillId="22" borderId="0" xfId="0" applyFont="1" applyFill="1" applyAlignment="1" applyProtection="1">
      <alignment horizontal="right"/>
      <protection hidden="1"/>
    </xf>
    <xf numFmtId="171" fontId="4" fillId="22" borderId="0" xfId="0" applyNumberFormat="1" applyFont="1" applyFill="1"/>
    <xf numFmtId="49" fontId="5" fillId="22" borderId="0" xfId="0" applyNumberFormat="1" applyFont="1" applyFill="1" applyAlignment="1" applyProtection="1">
      <alignment horizontal="center"/>
      <protection hidden="1"/>
    </xf>
    <xf numFmtId="49" fontId="4" fillId="22" borderId="0" xfId="0" applyNumberFormat="1" applyFont="1" applyFill="1" applyAlignment="1" applyProtection="1">
      <alignment horizontal="left"/>
      <protection hidden="1"/>
    </xf>
    <xf numFmtId="0" fontId="4" fillId="22" borderId="0" xfId="0" applyFont="1" applyFill="1" applyProtection="1">
      <protection hidden="1"/>
    </xf>
    <xf numFmtId="0" fontId="78" fillId="6" borderId="0" xfId="0" applyFont="1" applyFill="1" applyAlignment="1">
      <alignment horizontal="center"/>
    </xf>
    <xf numFmtId="167" fontId="24" fillId="3" borderId="26" xfId="0" applyNumberFormat="1" applyFont="1" applyFill="1" applyBorder="1" applyAlignment="1" applyProtection="1">
      <alignment horizontal="center" vertical="center" wrapText="1"/>
      <protection locked="0" hidden="1"/>
    </xf>
    <xf numFmtId="167" fontId="24" fillId="3" borderId="241" xfId="0" applyNumberFormat="1" applyFont="1" applyFill="1" applyBorder="1" applyAlignment="1" applyProtection="1">
      <alignment horizontal="center" vertical="center" wrapText="1"/>
      <protection locked="0" hidden="1"/>
    </xf>
    <xf numFmtId="0" fontId="24" fillId="0" borderId="8" xfId="0" applyFont="1" applyBorder="1" applyAlignment="1" applyProtection="1">
      <alignment horizontal="left" wrapText="1"/>
      <protection hidden="1"/>
    </xf>
    <xf numFmtId="0" fontId="22" fillId="0" borderId="0" xfId="0" applyFont="1" applyAlignment="1" applyProtection="1">
      <alignment horizontal="center" vertical="center"/>
      <protection hidden="1"/>
    </xf>
    <xf numFmtId="0" fontId="84" fillId="6" borderId="0" xfId="0" applyFont="1" applyFill="1"/>
    <xf numFmtId="0" fontId="84" fillId="4" borderId="0" xfId="0" applyFont="1" applyFill="1" applyProtection="1">
      <protection hidden="1"/>
    </xf>
    <xf numFmtId="0" fontId="84" fillId="0" borderId="0" xfId="0" applyFont="1" applyProtection="1">
      <protection hidden="1"/>
    </xf>
    <xf numFmtId="0" fontId="84" fillId="6" borderId="2" xfId="0" applyFont="1" applyFill="1" applyBorder="1"/>
    <xf numFmtId="0" fontId="81" fillId="4" borderId="3" xfId="0" applyFont="1" applyFill="1" applyBorder="1" applyAlignment="1" applyProtection="1">
      <alignment horizontal="left"/>
      <protection hidden="1"/>
    </xf>
    <xf numFmtId="0" fontId="81" fillId="6" borderId="3" xfId="0" applyFont="1" applyFill="1" applyBorder="1" applyAlignment="1" applyProtection="1">
      <alignment horizontal="center" wrapText="1"/>
      <protection hidden="1"/>
    </xf>
    <xf numFmtId="0" fontId="81" fillId="6" borderId="15" xfId="0" applyFont="1" applyFill="1" applyBorder="1" applyAlignment="1" applyProtection="1">
      <alignment horizontal="center" wrapText="1"/>
      <protection hidden="1"/>
    </xf>
    <xf numFmtId="0" fontId="84" fillId="0" borderId="0" xfId="0" applyFont="1"/>
    <xf numFmtId="0" fontId="84" fillId="0" borderId="0" xfId="0" applyFont="1" applyAlignment="1">
      <alignment horizontal="left"/>
    </xf>
    <xf numFmtId="0" fontId="44" fillId="6" borderId="1" xfId="0" applyFont="1" applyFill="1" applyBorder="1"/>
    <xf numFmtId="0" fontId="26" fillId="4" borderId="0" xfId="0" applyFont="1" applyFill="1" applyAlignment="1" applyProtection="1">
      <alignment horizontal="left" vertical="center"/>
      <protection hidden="1"/>
    </xf>
    <xf numFmtId="0" fontId="26" fillId="4" borderId="0" xfId="0" applyFont="1" applyFill="1" applyAlignment="1" applyProtection="1">
      <alignment horizontal="center" wrapText="1"/>
      <protection hidden="1"/>
    </xf>
    <xf numFmtId="2" fontId="22" fillId="6" borderId="0" xfId="0" applyNumberFormat="1" applyFont="1" applyFill="1" applyAlignment="1" applyProtection="1">
      <alignment horizontal="center" vertical="center" wrapText="1"/>
      <protection locked="0" hidden="1"/>
    </xf>
    <xf numFmtId="2" fontId="22" fillId="6" borderId="8" xfId="0" applyNumberFormat="1" applyFont="1" applyFill="1" applyBorder="1" applyAlignment="1" applyProtection="1">
      <alignment vertical="center" wrapText="1"/>
      <protection locked="0" hidden="1"/>
    </xf>
    <xf numFmtId="0" fontId="44" fillId="0" borderId="0" xfId="0" applyFont="1"/>
    <xf numFmtId="0" fontId="44" fillId="0" borderId="0" xfId="0" applyFont="1" applyAlignment="1">
      <alignment horizontal="left" vertical="center"/>
    </xf>
    <xf numFmtId="49" fontId="84" fillId="0" borderId="0" xfId="0" applyNumberFormat="1" applyFont="1" applyAlignment="1" applyProtection="1">
      <alignment horizontal="left"/>
      <protection hidden="1"/>
    </xf>
    <xf numFmtId="0" fontId="84" fillId="20" borderId="0" xfId="0" applyFont="1" applyFill="1" applyAlignment="1">
      <alignment horizontal="right" vertical="center"/>
    </xf>
    <xf numFmtId="0" fontId="84" fillId="20" borderId="0" xfId="0" applyFont="1" applyFill="1" applyAlignment="1" applyProtection="1">
      <alignment horizontal="right"/>
      <protection hidden="1"/>
    </xf>
    <xf numFmtId="0" fontId="84" fillId="20" borderId="0" xfId="0" applyFont="1" applyFill="1" applyProtection="1">
      <protection hidden="1"/>
    </xf>
    <xf numFmtId="0" fontId="84" fillId="20" borderId="0" xfId="0" applyFont="1" applyFill="1" applyAlignment="1">
      <alignment horizontal="right"/>
    </xf>
    <xf numFmtId="171" fontId="85" fillId="36" borderId="32" xfId="0" applyNumberFormat="1" applyFont="1" applyFill="1" applyBorder="1" applyAlignment="1" applyProtection="1">
      <alignment horizontal="center" vertical="center"/>
      <protection hidden="1"/>
    </xf>
    <xf numFmtId="167" fontId="85" fillId="36" borderId="90" xfId="0" applyNumberFormat="1" applyFont="1" applyFill="1" applyBorder="1" applyAlignment="1" applyProtection="1">
      <alignment horizontal="center" vertical="center"/>
      <protection hidden="1"/>
    </xf>
    <xf numFmtId="167" fontId="22" fillId="20" borderId="0" xfId="0" applyNumberFormat="1" applyFont="1" applyFill="1" applyAlignment="1" applyProtection="1">
      <alignment horizontal="left"/>
      <protection hidden="1"/>
    </xf>
    <xf numFmtId="171" fontId="22" fillId="20" borderId="0" xfId="0" applyNumberFormat="1" applyFont="1" applyFill="1" applyAlignment="1" applyProtection="1">
      <alignment horizontal="center"/>
      <protection hidden="1"/>
    </xf>
    <xf numFmtId="167" fontId="22" fillId="20" borderId="0" xfId="0" applyNumberFormat="1" applyFont="1" applyFill="1" applyAlignment="1" applyProtection="1">
      <alignment horizontal="center"/>
      <protection hidden="1"/>
    </xf>
    <xf numFmtId="171" fontId="85" fillId="36" borderId="30" xfId="0" applyNumberFormat="1" applyFont="1" applyFill="1" applyBorder="1" applyAlignment="1" applyProtection="1">
      <alignment horizontal="center" vertical="center"/>
      <protection hidden="1"/>
    </xf>
    <xf numFmtId="167" fontId="85" fillId="36" borderId="235" xfId="0" applyNumberFormat="1" applyFont="1" applyFill="1" applyBorder="1" applyAlignment="1" applyProtection="1">
      <alignment horizontal="center" vertical="center"/>
      <protection hidden="1"/>
    </xf>
    <xf numFmtId="0" fontId="84" fillId="0" borderId="0" xfId="0" applyFont="1" applyAlignment="1">
      <alignment vertical="center"/>
    </xf>
    <xf numFmtId="0" fontId="31" fillId="20" borderId="0" xfId="0" applyFont="1" applyFill="1" applyAlignment="1">
      <alignment horizontal="center" vertical="center"/>
    </xf>
    <xf numFmtId="2" fontId="31" fillId="20" borderId="0" xfId="0" applyNumberFormat="1" applyFont="1" applyFill="1" applyAlignment="1">
      <alignment horizontal="center" vertical="center"/>
    </xf>
    <xf numFmtId="0" fontId="84" fillId="20" borderId="0" xfId="0" applyFont="1" applyFill="1" applyAlignment="1">
      <alignment horizontal="left" vertical="center"/>
    </xf>
    <xf numFmtId="49" fontId="84" fillId="20" borderId="8" xfId="0" applyNumberFormat="1" applyFont="1" applyFill="1" applyBorder="1" applyAlignment="1" applyProtection="1">
      <alignment horizontal="center" vertical="center"/>
      <protection hidden="1"/>
    </xf>
    <xf numFmtId="49" fontId="84" fillId="0" borderId="0" xfId="0" applyNumberFormat="1" applyFont="1" applyAlignment="1" applyProtection="1">
      <alignment horizontal="left" vertical="center"/>
      <protection hidden="1"/>
    </xf>
    <xf numFmtId="0" fontId="36" fillId="6" borderId="1" xfId="0" applyFont="1" applyFill="1" applyBorder="1" applyAlignment="1">
      <alignment horizontal="center" vertical="center"/>
    </xf>
    <xf numFmtId="0" fontId="44" fillId="0" borderId="1" xfId="0" applyFont="1" applyBorder="1" applyProtection="1">
      <protection hidden="1"/>
    </xf>
    <xf numFmtId="0" fontId="47" fillId="0" borderId="0" xfId="0" applyFont="1" applyAlignment="1">
      <alignment horizontal="center" vertical="center"/>
    </xf>
    <xf numFmtId="0" fontId="31" fillId="22" borderId="0" xfId="0" applyFont="1" applyFill="1"/>
    <xf numFmtId="0" fontId="84" fillId="22" borderId="0" xfId="0" applyFont="1" applyFill="1"/>
    <xf numFmtId="49" fontId="86" fillId="22" borderId="0" xfId="0" applyNumberFormat="1" applyFont="1" applyFill="1"/>
    <xf numFmtId="167" fontId="84" fillId="22" borderId="0" xfId="0" applyNumberFormat="1" applyFont="1" applyFill="1" applyAlignment="1" applyProtection="1">
      <alignment horizontal="center"/>
      <protection hidden="1"/>
    </xf>
    <xf numFmtId="49" fontId="84" fillId="0" borderId="0" xfId="0" applyNumberFormat="1" applyFont="1" applyAlignment="1" applyProtection="1">
      <alignment horizontal="center"/>
      <protection hidden="1"/>
    </xf>
    <xf numFmtId="0" fontId="24" fillId="0" borderId="0" xfId="0" applyFont="1" applyAlignment="1">
      <alignment wrapText="1"/>
    </xf>
    <xf numFmtId="0" fontId="24" fillId="0" borderId="0" xfId="0" applyFont="1" applyAlignment="1">
      <alignment vertical="center" wrapText="1"/>
    </xf>
    <xf numFmtId="0" fontId="24" fillId="0" borderId="1" xfId="0" applyFont="1" applyBorder="1"/>
    <xf numFmtId="0" fontId="24" fillId="0" borderId="4" xfId="0" applyFont="1" applyBorder="1"/>
    <xf numFmtId="0" fontId="24" fillId="0" borderId="5" xfId="0" applyFont="1" applyBorder="1"/>
    <xf numFmtId="0" fontId="24" fillId="0" borderId="16" xfId="0" applyFont="1" applyBorder="1"/>
    <xf numFmtId="0" fontId="27" fillId="4" borderId="0" xfId="0" applyFont="1" applyFill="1" applyAlignment="1" applyProtection="1">
      <alignment horizontal="right" vertical="center" wrapText="1"/>
      <protection hidden="1"/>
    </xf>
    <xf numFmtId="167" fontId="24" fillId="0" borderId="0" xfId="0" applyNumberFormat="1" applyFont="1" applyAlignment="1" applyProtection="1">
      <alignment horizontal="center" vertical="center"/>
      <protection hidden="1"/>
    </xf>
    <xf numFmtId="0" fontId="4" fillId="0" borderId="1" xfId="0" applyFont="1" applyBorder="1" applyAlignment="1" applyProtection="1">
      <alignment horizontal="right" vertical="center"/>
      <protection hidden="1"/>
    </xf>
    <xf numFmtId="0" fontId="4" fillId="0" borderId="8" xfId="0" applyFont="1" applyBorder="1" applyAlignment="1" applyProtection="1">
      <alignment horizontal="left" vertical="center"/>
      <protection hidden="1"/>
    </xf>
    <xf numFmtId="0" fontId="4" fillId="0" borderId="8" xfId="0" applyFont="1" applyBorder="1" applyAlignment="1">
      <alignment horizontal="left" vertical="center"/>
    </xf>
    <xf numFmtId="0" fontId="4" fillId="0" borderId="1" xfId="0" applyFont="1" applyBorder="1" applyAlignment="1">
      <alignment horizontal="right" vertical="center"/>
    </xf>
    <xf numFmtId="0" fontId="31" fillId="0" borderId="1" xfId="0" applyFont="1" applyBorder="1"/>
    <xf numFmtId="0" fontId="31" fillId="0" borderId="8" xfId="0" applyFont="1" applyBorder="1"/>
    <xf numFmtId="4" fontId="4" fillId="0" borderId="8" xfId="0" applyNumberFormat="1" applyFont="1" applyBorder="1" applyAlignment="1">
      <alignment horizontal="left" vertical="center"/>
    </xf>
    <xf numFmtId="0" fontId="4" fillId="0" borderId="4" xfId="0" applyFont="1" applyBorder="1" applyAlignment="1">
      <alignment horizontal="right" vertical="center"/>
    </xf>
    <xf numFmtId="4" fontId="4" fillId="0" borderId="16" xfId="0" applyNumberFormat="1" applyFont="1" applyBorder="1" applyAlignment="1">
      <alignment horizontal="left" vertical="center"/>
    </xf>
    <xf numFmtId="3" fontId="4" fillId="0" borderId="8" xfId="0" applyNumberFormat="1" applyFont="1" applyBorder="1" applyAlignment="1">
      <alignment horizontal="left" vertical="center"/>
    </xf>
    <xf numFmtId="2" fontId="24" fillId="6" borderId="0" xfId="0" applyNumberFormat="1" applyFont="1" applyFill="1" applyAlignment="1" applyProtection="1">
      <alignment horizontal="center" vertical="center" wrapText="1"/>
      <protection locked="0" hidden="1"/>
    </xf>
    <xf numFmtId="0" fontId="5" fillId="19" borderId="0" xfId="0" applyFont="1" applyFill="1"/>
    <xf numFmtId="0" fontId="5" fillId="19" borderId="8" xfId="0" applyFont="1" applyFill="1" applyBorder="1"/>
    <xf numFmtId="0" fontId="7" fillId="16" borderId="0" xfId="0" applyFont="1" applyFill="1"/>
    <xf numFmtId="0" fontId="7" fillId="16" borderId="0" xfId="0" applyFont="1" applyFill="1" applyAlignment="1">
      <alignment horizontal="right"/>
    </xf>
    <xf numFmtId="0" fontId="7" fillId="16" borderId="0" xfId="0" applyFont="1" applyFill="1" applyAlignment="1" applyProtection="1">
      <alignment horizontal="center" wrapText="1"/>
      <protection hidden="1"/>
    </xf>
    <xf numFmtId="0" fontId="7" fillId="16" borderId="0" xfId="0" applyFont="1" applyFill="1" applyProtection="1">
      <protection hidden="1"/>
    </xf>
    <xf numFmtId="0" fontId="82" fillId="22" borderId="8" xfId="0" applyFont="1" applyFill="1" applyBorder="1" applyAlignment="1" applyProtection="1">
      <alignment vertical="center" wrapText="1"/>
      <protection hidden="1"/>
    </xf>
    <xf numFmtId="0" fontId="23" fillId="22" borderId="69" xfId="0" applyFont="1" applyFill="1" applyBorder="1"/>
    <xf numFmtId="0" fontId="23" fillId="22" borderId="8" xfId="0" applyFont="1" applyFill="1" applyBorder="1"/>
    <xf numFmtId="0" fontId="22" fillId="0" borderId="0" xfId="0" applyFont="1" applyAlignment="1" applyProtection="1">
      <alignment vertical="center"/>
      <protection hidden="1"/>
    </xf>
    <xf numFmtId="0" fontId="74" fillId="0" borderId="0" xfId="0" applyFont="1" applyAlignment="1" applyProtection="1">
      <alignment vertical="top"/>
      <protection hidden="1"/>
    </xf>
    <xf numFmtId="0" fontId="74" fillId="0" borderId="0" xfId="0" applyFont="1" applyAlignment="1" applyProtection="1">
      <alignment wrapText="1"/>
      <protection hidden="1"/>
    </xf>
    <xf numFmtId="0" fontId="22" fillId="0" borderId="0" xfId="0" applyFont="1" applyAlignment="1">
      <alignment vertical="center"/>
    </xf>
    <xf numFmtId="0" fontId="25" fillId="0" borderId="0" xfId="0" applyFont="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16" fillId="0" borderId="1" xfId="0" applyFont="1" applyBorder="1"/>
    <xf numFmtId="0" fontId="0" fillId="0" borderId="8" xfId="0" applyBorder="1" applyAlignment="1">
      <alignment horizontal="left" vertical="center"/>
    </xf>
    <xf numFmtId="0" fontId="1" fillId="0" borderId="1" xfId="2" applyFont="1" applyBorder="1"/>
    <xf numFmtId="0" fontId="16" fillId="0" borderId="2" xfId="0" applyFont="1" applyBorder="1" applyAlignment="1">
      <alignment vertical="center" wrapText="1"/>
    </xf>
    <xf numFmtId="0" fontId="4" fillId="0" borderId="3" xfId="0" applyFont="1" applyBorder="1" applyAlignment="1">
      <alignment vertical="center" wrapText="1"/>
    </xf>
    <xf numFmtId="0" fontId="4" fillId="0" borderId="15" xfId="0" applyFont="1" applyBorder="1" applyAlignment="1">
      <alignment vertical="center" wrapText="1"/>
    </xf>
    <xf numFmtId="0" fontId="25" fillId="0" borderId="1" xfId="0" applyFont="1" applyBorder="1"/>
    <xf numFmtId="0" fontId="88" fillId="0" borderId="1" xfId="2" applyFont="1" applyBorder="1"/>
    <xf numFmtId="0" fontId="47" fillId="0" borderId="3" xfId="0" applyFont="1" applyBorder="1" applyProtection="1">
      <protection hidden="1"/>
    </xf>
    <xf numFmtId="0" fontId="47" fillId="0" borderId="3" xfId="0" applyFont="1" applyBorder="1" applyAlignment="1" applyProtection="1">
      <alignment horizontal="center"/>
      <protection hidden="1"/>
    </xf>
    <xf numFmtId="0" fontId="47" fillId="0" borderId="15" xfId="0" applyFont="1" applyBorder="1" applyProtection="1">
      <protection hidden="1"/>
    </xf>
    <xf numFmtId="0" fontId="47" fillId="0" borderId="4" xfId="0" applyFont="1" applyBorder="1" applyProtection="1">
      <protection hidden="1"/>
    </xf>
    <xf numFmtId="0" fontId="47" fillId="0" borderId="1" xfId="0" applyFont="1" applyBorder="1"/>
    <xf numFmtId="0" fontId="44" fillId="0" borderId="3" xfId="0" applyFont="1" applyBorder="1" applyProtection="1">
      <protection hidden="1"/>
    </xf>
    <xf numFmtId="0" fontId="44" fillId="0" borderId="15" xfId="0" applyFont="1" applyBorder="1" applyProtection="1">
      <protection hidden="1"/>
    </xf>
    <xf numFmtId="0" fontId="6" fillId="0" borderId="1" xfId="0" applyFont="1" applyBorder="1"/>
    <xf numFmtId="0" fontId="89" fillId="0" borderId="1" xfId="2" applyFont="1" applyBorder="1"/>
    <xf numFmtId="49" fontId="6" fillId="0" borderId="2" xfId="0" applyNumberFormat="1" applyFont="1" applyBorder="1" applyProtection="1">
      <protection locked="0"/>
    </xf>
    <xf numFmtId="49" fontId="6" fillId="0" borderId="3" xfId="0" applyNumberFormat="1" applyFont="1" applyBorder="1" applyProtection="1">
      <protection locked="0"/>
    </xf>
    <xf numFmtId="2" fontId="6" fillId="0" borderId="3" xfId="0" applyNumberFormat="1" applyFont="1" applyBorder="1" applyAlignment="1" applyProtection="1">
      <alignment wrapText="1"/>
      <protection locked="0"/>
    </xf>
    <xf numFmtId="0" fontId="4" fillId="20" borderId="0" xfId="0" applyFont="1" applyFill="1"/>
    <xf numFmtId="167" fontId="4" fillId="20" borderId="0" xfId="0" applyNumberFormat="1" applyFont="1" applyFill="1" applyAlignment="1">
      <alignment horizontal="center" vertical="center"/>
    </xf>
    <xf numFmtId="167" fontId="5" fillId="20" borderId="0" xfId="0" applyNumberFormat="1" applyFont="1" applyFill="1" applyAlignment="1">
      <alignment horizontal="center" vertical="center"/>
    </xf>
    <xf numFmtId="167" fontId="4" fillId="20" borderId="0" xfId="0" applyNumberFormat="1" applyFont="1" applyFill="1" applyAlignment="1">
      <alignment horizontal="center"/>
    </xf>
    <xf numFmtId="49" fontId="5" fillId="20" borderId="135" xfId="0" applyNumberFormat="1" applyFont="1" applyFill="1" applyBorder="1" applyAlignment="1">
      <alignment horizontal="left"/>
    </xf>
    <xf numFmtId="49" fontId="5" fillId="20" borderId="0" xfId="0" applyNumberFormat="1" applyFont="1" applyFill="1" applyAlignment="1">
      <alignment horizontal="center"/>
    </xf>
    <xf numFmtId="167" fontId="5" fillId="20" borderId="0" xfId="0" applyNumberFormat="1" applyFont="1" applyFill="1" applyAlignment="1">
      <alignment horizontal="center"/>
    </xf>
    <xf numFmtId="0" fontId="5" fillId="20" borderId="0" xfId="0" applyFont="1" applyFill="1" applyAlignment="1">
      <alignment horizontal="center" wrapText="1"/>
    </xf>
    <xf numFmtId="0" fontId="5" fillId="20" borderId="1" xfId="0" applyFont="1" applyFill="1" applyBorder="1" applyProtection="1">
      <protection hidden="1"/>
    </xf>
    <xf numFmtId="0" fontId="5" fillId="20" borderId="0" xfId="0" applyFont="1" applyFill="1" applyProtection="1">
      <protection hidden="1"/>
    </xf>
    <xf numFmtId="0" fontId="5" fillId="20" borderId="0" xfId="0" applyFont="1" applyFill="1" applyAlignment="1" applyProtection="1">
      <alignment horizontal="center"/>
      <protection hidden="1"/>
    </xf>
    <xf numFmtId="0" fontId="5" fillId="0" borderId="8" xfId="0" applyFont="1" applyBorder="1"/>
    <xf numFmtId="0" fontId="4" fillId="0" borderId="5" xfId="0" applyFont="1" applyBorder="1"/>
    <xf numFmtId="0" fontId="4" fillId="0" borderId="16" xfId="0" applyFont="1" applyBorder="1"/>
    <xf numFmtId="49" fontId="6" fillId="0" borderId="35" xfId="0" applyNumberFormat="1" applyFont="1" applyBorder="1" applyAlignment="1">
      <alignment horizontal="center" vertical="center" wrapText="1"/>
    </xf>
    <xf numFmtId="0" fontId="5" fillId="20" borderId="8" xfId="0" applyFont="1" applyFill="1" applyBorder="1"/>
    <xf numFmtId="0" fontId="4" fillId="20" borderId="8" xfId="0" applyFont="1" applyFill="1" applyBorder="1"/>
    <xf numFmtId="49" fontId="6" fillId="0" borderId="5" xfId="0" applyNumberFormat="1" applyFont="1" applyBorder="1"/>
    <xf numFmtId="167" fontId="4" fillId="0" borderId="8" xfId="0" applyNumberFormat="1" applyFont="1" applyBorder="1" applyAlignment="1">
      <alignment horizontal="center" vertical="center"/>
    </xf>
    <xf numFmtId="0" fontId="5" fillId="20" borderId="8" xfId="0" applyFont="1" applyFill="1" applyBorder="1" applyAlignment="1" applyProtection="1">
      <alignment horizontal="center"/>
      <protection hidden="1"/>
    </xf>
    <xf numFmtId="0" fontId="36" fillId="0" borderId="0" xfId="0" applyFont="1"/>
    <xf numFmtId="49" fontId="5" fillId="0" borderId="244" xfId="0" applyNumberFormat="1" applyFont="1" applyBorder="1"/>
    <xf numFmtId="167" fontId="5" fillId="20" borderId="0" xfId="0" applyNumberFormat="1" applyFont="1" applyFill="1" applyAlignment="1">
      <alignment horizontal="left"/>
    </xf>
    <xf numFmtId="0" fontId="0" fillId="20" borderId="0" xfId="0" applyFill="1"/>
    <xf numFmtId="0" fontId="0" fillId="20" borderId="8" xfId="0" applyFill="1" applyBorder="1"/>
    <xf numFmtId="170" fontId="5" fillId="37" borderId="158" xfId="0" applyNumberFormat="1" applyFont="1" applyFill="1" applyBorder="1" applyAlignment="1">
      <alignment horizontal="center"/>
    </xf>
    <xf numFmtId="170" fontId="5" fillId="18" borderId="137" xfId="0" applyNumberFormat="1" applyFont="1" applyFill="1" applyBorder="1" applyAlignment="1">
      <alignment horizontal="center"/>
    </xf>
    <xf numFmtId="0" fontId="5" fillId="18" borderId="129" xfId="0" applyFont="1" applyFill="1" applyBorder="1" applyAlignment="1">
      <alignment horizontal="center"/>
    </xf>
    <xf numFmtId="0" fontId="5" fillId="0" borderId="15" xfId="0" applyFont="1" applyBorder="1" applyAlignment="1">
      <alignment horizontal="center"/>
    </xf>
    <xf numFmtId="0" fontId="5" fillId="20" borderId="8" xfId="0" applyFont="1" applyFill="1" applyBorder="1" applyAlignment="1">
      <alignment horizontal="center"/>
    </xf>
    <xf numFmtId="0" fontId="5" fillId="20" borderId="0" xfId="0" applyFont="1" applyFill="1" applyAlignment="1">
      <alignment horizontal="center"/>
    </xf>
    <xf numFmtId="49" fontId="5" fillId="20" borderId="8" xfId="0" applyNumberFormat="1" applyFont="1" applyFill="1" applyBorder="1" applyAlignment="1">
      <alignment horizontal="center"/>
    </xf>
    <xf numFmtId="49" fontId="6" fillId="20" borderId="0" xfId="0" applyNumberFormat="1" applyFont="1" applyFill="1"/>
    <xf numFmtId="167" fontId="5" fillId="20" borderId="8" xfId="0" applyNumberFormat="1" applyFont="1" applyFill="1" applyBorder="1" applyAlignment="1">
      <alignment horizontal="center"/>
    </xf>
    <xf numFmtId="1" fontId="5" fillId="20" borderId="0" xfId="0" applyNumberFormat="1" applyFont="1" applyFill="1" applyAlignment="1">
      <alignment horizontal="center"/>
    </xf>
    <xf numFmtId="167" fontId="5" fillId="20" borderId="0" xfId="0" applyNumberFormat="1" applyFont="1" applyFill="1" applyAlignment="1">
      <alignment horizontal="center" wrapText="1"/>
    </xf>
    <xf numFmtId="1" fontId="5" fillId="0" borderId="3" xfId="0" applyNumberFormat="1" applyFont="1" applyBorder="1" applyAlignment="1">
      <alignment horizontal="center"/>
    </xf>
    <xf numFmtId="167" fontId="5" fillId="0" borderId="3" xfId="0" applyNumberFormat="1" applyFont="1" applyBorder="1" applyAlignment="1">
      <alignment horizontal="left"/>
    </xf>
    <xf numFmtId="11" fontId="5" fillId="0" borderId="87" xfId="0" applyNumberFormat="1" applyFont="1" applyBorder="1" applyAlignment="1">
      <alignment horizontal="left"/>
    </xf>
    <xf numFmtId="167" fontId="5" fillId="0" borderId="18" xfId="0" applyNumberFormat="1" applyFont="1" applyBorder="1" applyAlignment="1">
      <alignment horizontal="center"/>
    </xf>
    <xf numFmtId="11" fontId="5" fillId="0" borderId="25" xfId="0" applyNumberFormat="1" applyFont="1" applyBorder="1" applyAlignment="1">
      <alignment horizontal="center"/>
    </xf>
    <xf numFmtId="0" fontId="45" fillId="0" borderId="5" xfId="0" applyFont="1" applyBorder="1" applyAlignment="1">
      <alignment horizontal="centerContinuous"/>
    </xf>
    <xf numFmtId="0" fontId="5" fillId="0" borderId="1" xfId="0" applyFont="1" applyBorder="1" applyAlignment="1">
      <alignment wrapText="1"/>
    </xf>
    <xf numFmtId="0" fontId="5" fillId="20" borderId="215" xfId="0" quotePrefix="1" applyFont="1" applyFill="1" applyBorder="1" applyAlignment="1">
      <alignment horizontal="center"/>
    </xf>
    <xf numFmtId="167" fontId="5" fillId="20" borderId="138" xfId="0" quotePrefix="1" applyNumberFormat="1" applyFont="1" applyFill="1" applyBorder="1" applyAlignment="1">
      <alignment horizontal="center"/>
    </xf>
    <xf numFmtId="0" fontId="5" fillId="20" borderId="136" xfId="0" quotePrefix="1" applyFont="1" applyFill="1" applyBorder="1" applyAlignment="1">
      <alignment horizontal="center" wrapText="1"/>
    </xf>
    <xf numFmtId="2" fontId="5" fillId="0" borderId="138" xfId="0" quotePrefix="1" applyNumberFormat="1" applyFont="1" applyBorder="1" applyAlignment="1">
      <alignment horizontal="left" wrapText="1"/>
    </xf>
    <xf numFmtId="0" fontId="5" fillId="0" borderId="138" xfId="0" quotePrefix="1" applyFont="1" applyBorder="1" applyAlignment="1">
      <alignment horizontal="left" wrapText="1"/>
    </xf>
    <xf numFmtId="0" fontId="5" fillId="20" borderId="1" xfId="0" applyFont="1" applyFill="1" applyBorder="1" applyAlignment="1">
      <alignment horizontal="left"/>
    </xf>
    <xf numFmtId="0" fontId="5" fillId="0" borderId="57" xfId="0" applyFont="1" applyBorder="1"/>
    <xf numFmtId="0" fontId="5" fillId="0" borderId="187" xfId="0" applyFont="1" applyBorder="1" applyAlignment="1">
      <alignment horizontal="center" vertical="center" wrapText="1"/>
    </xf>
    <xf numFmtId="167" fontId="5" fillId="0" borderId="191" xfId="0" applyNumberFormat="1" applyFont="1" applyBorder="1" applyAlignment="1">
      <alignment horizontal="center"/>
    </xf>
    <xf numFmtId="0" fontId="6" fillId="0" borderId="2" xfId="0" applyFont="1" applyBorder="1"/>
    <xf numFmtId="0" fontId="6" fillId="0" borderId="5" xfId="0" applyFont="1" applyBorder="1"/>
    <xf numFmtId="0" fontId="5" fillId="0" borderId="16" xfId="0" applyFont="1" applyBorder="1"/>
    <xf numFmtId="49" fontId="5" fillId="0" borderId="247" xfId="0" applyNumberFormat="1" applyFont="1" applyBorder="1"/>
    <xf numFmtId="49" fontId="5" fillId="0" borderId="191" xfId="0" applyNumberFormat="1" applyFont="1" applyBorder="1" applyAlignment="1">
      <alignment horizontal="left"/>
    </xf>
    <xf numFmtId="167" fontId="5" fillId="0" borderId="246" xfId="0" quotePrefix="1" applyNumberFormat="1" applyFont="1" applyBorder="1" applyAlignment="1">
      <alignment horizontal="center"/>
    </xf>
    <xf numFmtId="167" fontId="5" fillId="0" borderId="242" xfId="0" quotePrefix="1" applyNumberFormat="1" applyFont="1" applyBorder="1" applyAlignment="1">
      <alignment horizontal="center"/>
    </xf>
    <xf numFmtId="167" fontId="5" fillId="0" borderId="246" xfId="0" applyNumberFormat="1" applyFont="1" applyBorder="1" applyAlignment="1">
      <alignment horizontal="center"/>
    </xf>
    <xf numFmtId="167" fontId="5" fillId="0" borderId="243" xfId="0" quotePrefix="1" applyNumberFormat="1" applyFont="1" applyBorder="1" applyAlignment="1">
      <alignment horizontal="center"/>
    </xf>
    <xf numFmtId="49" fontId="5" fillId="0" borderId="233" xfId="0" applyNumberFormat="1" applyFont="1" applyBorder="1" applyAlignment="1">
      <alignment horizontal="center"/>
    </xf>
    <xf numFmtId="49" fontId="5" fillId="0" borderId="245" xfId="0" applyNumberFormat="1" applyFont="1" applyBorder="1" applyAlignment="1">
      <alignment horizontal="center"/>
    </xf>
    <xf numFmtId="0" fontId="5" fillId="0" borderId="157" xfId="0" applyFont="1" applyBorder="1" applyAlignment="1">
      <alignment horizontal="center" wrapText="1"/>
    </xf>
    <xf numFmtId="167" fontId="5" fillId="0" borderId="211" xfId="0" applyNumberFormat="1" applyFont="1" applyBorder="1" applyAlignment="1">
      <alignment horizontal="center" vertical="center"/>
    </xf>
    <xf numFmtId="167" fontId="5" fillId="0" borderId="153" xfId="0" applyNumberFormat="1" applyFont="1" applyBorder="1" applyAlignment="1">
      <alignment horizontal="center"/>
    </xf>
    <xf numFmtId="49" fontId="5" fillId="0" borderId="0" xfId="7" applyNumberFormat="1" applyFont="1" applyAlignment="1">
      <alignment horizontal="left" vertical="center"/>
    </xf>
    <xf numFmtId="0" fontId="28" fillId="0" borderId="0" xfId="0" applyFont="1" applyAlignment="1" applyProtection="1">
      <alignment vertical="center" wrapText="1"/>
      <protection hidden="1"/>
    </xf>
    <xf numFmtId="0" fontId="4" fillId="0" borderId="0" xfId="0" applyFont="1" applyAlignment="1">
      <alignment vertical="top" wrapText="1"/>
    </xf>
    <xf numFmtId="49" fontId="45" fillId="0" borderId="0" xfId="0" applyNumberFormat="1" applyFont="1" applyAlignment="1">
      <alignment horizontal="left" vertical="center"/>
    </xf>
    <xf numFmtId="49" fontId="45" fillId="0" borderId="0" xfId="0" applyNumberFormat="1" applyFont="1" applyAlignment="1">
      <alignment horizontal="center" vertical="center"/>
    </xf>
    <xf numFmtId="0" fontId="45" fillId="0" borderId="0" xfId="0" applyFont="1" applyAlignment="1">
      <alignment horizontal="left" vertical="center"/>
    </xf>
    <xf numFmtId="0" fontId="36" fillId="0" borderId="0" xfId="0" applyFont="1" applyAlignment="1">
      <alignment horizontal="left" vertical="center"/>
    </xf>
    <xf numFmtId="170" fontId="5" fillId="16" borderId="129" xfId="0" applyNumberFormat="1" applyFont="1" applyFill="1" applyBorder="1" applyAlignment="1">
      <alignment horizontal="center"/>
    </xf>
    <xf numFmtId="170" fontId="5" fillId="16" borderId="152" xfId="0" applyNumberFormat="1" applyFont="1" applyFill="1" applyBorder="1" applyAlignment="1">
      <alignment horizontal="center"/>
    </xf>
    <xf numFmtId="0" fontId="23" fillId="0" borderId="0" xfId="0" applyFont="1" applyAlignment="1">
      <alignment vertical="center"/>
    </xf>
    <xf numFmtId="0" fontId="23" fillId="0" borderId="0" xfId="0" applyFont="1" applyAlignment="1">
      <alignment horizontal="centerContinuous" vertical="center"/>
    </xf>
    <xf numFmtId="11" fontId="23" fillId="0" borderId="0" xfId="0" applyNumberFormat="1" applyFont="1" applyAlignment="1">
      <alignment horizontal="centerContinuous" vertical="center"/>
    </xf>
    <xf numFmtId="0" fontId="22" fillId="0" borderId="3" xfId="0" applyFont="1" applyBorder="1"/>
    <xf numFmtId="0" fontId="22" fillId="23" borderId="3" xfId="0" applyFont="1" applyFill="1" applyBorder="1" applyAlignment="1">
      <alignment horizontal="left" vertical="center"/>
    </xf>
    <xf numFmtId="0" fontId="24" fillId="0" borderId="170" xfId="0" applyFont="1" applyBorder="1" applyAlignment="1">
      <alignment vertical="center" wrapText="1"/>
    </xf>
    <xf numFmtId="0" fontId="24" fillId="0" borderId="75" xfId="0" applyFont="1" applyBorder="1" applyAlignment="1">
      <alignment vertical="center" wrapText="1"/>
    </xf>
    <xf numFmtId="0" fontId="24" fillId="0" borderId="124" xfId="0" applyFont="1" applyBorder="1" applyAlignment="1">
      <alignment vertical="center" wrapText="1"/>
    </xf>
    <xf numFmtId="49" fontId="5" fillId="19" borderId="135" xfId="0" applyNumberFormat="1" applyFont="1" applyFill="1" applyBorder="1"/>
    <xf numFmtId="167" fontId="6" fillId="0" borderId="63" xfId="0" applyNumberFormat="1" applyFont="1" applyBorder="1" applyAlignment="1">
      <alignment horizontal="centerContinuous" vertical="center" wrapText="1"/>
    </xf>
    <xf numFmtId="49" fontId="5" fillId="0" borderId="8" xfId="7" applyNumberFormat="1" applyFont="1" applyBorder="1" applyAlignment="1">
      <alignment horizontal="left" vertical="center"/>
    </xf>
    <xf numFmtId="49" fontId="5" fillId="0" borderId="1" xfId="7" applyNumberFormat="1" applyFont="1" applyBorder="1" applyAlignment="1">
      <alignment horizontal="left" vertical="center"/>
    </xf>
    <xf numFmtId="49" fontId="6" fillId="0" borderId="15" xfId="0" applyNumberFormat="1" applyFont="1" applyBorder="1" applyProtection="1">
      <protection locked="0"/>
    </xf>
    <xf numFmtId="2" fontId="47" fillId="19" borderId="138" xfId="0" applyNumberFormat="1" applyFont="1" applyFill="1" applyBorder="1" applyAlignment="1">
      <alignment horizontal="left" vertical="center"/>
    </xf>
    <xf numFmtId="167" fontId="47" fillId="19" borderId="109" xfId="0" applyNumberFormat="1" applyFont="1" applyFill="1" applyBorder="1" applyAlignment="1" applyProtection="1">
      <alignment horizontal="center" vertical="center"/>
      <protection hidden="1"/>
    </xf>
    <xf numFmtId="167" fontId="47" fillId="19" borderId="137" xfId="0" applyNumberFormat="1" applyFont="1" applyFill="1" applyBorder="1" applyAlignment="1" applyProtection="1">
      <alignment horizontal="center" vertical="center"/>
      <protection hidden="1"/>
    </xf>
    <xf numFmtId="170" fontId="47" fillId="19" borderId="136" xfId="0" applyNumberFormat="1" applyFont="1" applyFill="1" applyBorder="1" applyAlignment="1" applyProtection="1">
      <alignment horizontal="center" vertical="center"/>
      <protection hidden="1"/>
    </xf>
    <xf numFmtId="170" fontId="47" fillId="19" borderId="138" xfId="0" applyNumberFormat="1" applyFont="1" applyFill="1" applyBorder="1" applyAlignment="1" applyProtection="1">
      <alignment horizontal="center" vertical="center"/>
      <protection hidden="1"/>
    </xf>
    <xf numFmtId="170" fontId="47" fillId="19" borderId="139" xfId="0" applyNumberFormat="1" applyFont="1" applyFill="1" applyBorder="1" applyAlignment="1" applyProtection="1">
      <alignment horizontal="center" vertical="center"/>
      <protection hidden="1"/>
    </xf>
    <xf numFmtId="170" fontId="47" fillId="19" borderId="137" xfId="0" applyNumberFormat="1" applyFont="1" applyFill="1" applyBorder="1" applyAlignment="1" applyProtection="1">
      <alignment horizontal="center" vertical="center"/>
      <protection hidden="1"/>
    </xf>
    <xf numFmtId="167" fontId="47" fillId="19" borderId="131" xfId="0" applyNumberFormat="1" applyFont="1" applyFill="1" applyBorder="1" applyAlignment="1" applyProtection="1">
      <alignment horizontal="center" vertical="center"/>
      <protection hidden="1"/>
    </xf>
    <xf numFmtId="167" fontId="47" fillId="19" borderId="108" xfId="0" applyNumberFormat="1" applyFont="1" applyFill="1" applyBorder="1" applyAlignment="1" applyProtection="1">
      <alignment horizontal="center" vertical="center"/>
      <protection hidden="1"/>
    </xf>
    <xf numFmtId="167" fontId="5" fillId="19" borderId="129" xfId="0" applyNumberFormat="1" applyFont="1" applyFill="1" applyBorder="1" applyAlignment="1">
      <alignment horizontal="center"/>
    </xf>
    <xf numFmtId="167" fontId="5" fillId="19" borderId="159" xfId="0" applyNumberFormat="1" applyFont="1" applyFill="1" applyBorder="1" applyAlignment="1">
      <alignment horizontal="center"/>
    </xf>
    <xf numFmtId="167" fontId="5" fillId="19" borderId="173" xfId="0" applyNumberFormat="1" applyFont="1" applyFill="1" applyBorder="1" applyAlignment="1">
      <alignment horizontal="center"/>
    </xf>
    <xf numFmtId="167" fontId="5" fillId="19" borderId="149" xfId="0" applyNumberFormat="1" applyFont="1" applyFill="1" applyBorder="1" applyAlignment="1">
      <alignment horizontal="center"/>
    </xf>
    <xf numFmtId="0" fontId="5" fillId="19" borderId="1" xfId="0" applyFont="1" applyFill="1" applyBorder="1" applyProtection="1">
      <protection hidden="1"/>
    </xf>
    <xf numFmtId="0" fontId="5" fillId="19" borderId="0" xfId="0" applyFont="1" applyFill="1" applyProtection="1">
      <protection hidden="1"/>
    </xf>
    <xf numFmtId="0" fontId="5" fillId="19" borderId="0" xfId="0" applyFont="1" applyFill="1" applyAlignment="1" applyProtection="1">
      <alignment horizontal="center"/>
      <protection hidden="1"/>
    </xf>
    <xf numFmtId="167" fontId="5" fillId="19" borderId="0" xfId="0" applyNumberFormat="1" applyFont="1" applyFill="1" applyAlignment="1">
      <alignment horizontal="center" vertical="center"/>
    </xf>
    <xf numFmtId="0" fontId="5" fillId="19" borderId="0" xfId="0" applyFont="1" applyFill="1" applyAlignment="1">
      <alignment horizontal="center" vertical="center"/>
    </xf>
    <xf numFmtId="167" fontId="5" fillId="19" borderId="0" xfId="0" applyNumberFormat="1" applyFont="1" applyFill="1" applyAlignment="1">
      <alignment horizontal="center"/>
    </xf>
    <xf numFmtId="49" fontId="5" fillId="19" borderId="1" xfId="0" applyNumberFormat="1" applyFont="1" applyFill="1" applyBorder="1"/>
    <xf numFmtId="0" fontId="4" fillId="19" borderId="0" xfId="0" applyFont="1" applyFill="1"/>
    <xf numFmtId="167" fontId="4" fillId="19" borderId="0" xfId="0" applyNumberFormat="1" applyFont="1" applyFill="1" applyAlignment="1">
      <alignment horizontal="center" vertical="center"/>
    </xf>
    <xf numFmtId="0" fontId="4" fillId="19" borderId="0" xfId="0" applyFont="1" applyFill="1" applyAlignment="1">
      <alignment horizontal="center" vertical="center"/>
    </xf>
    <xf numFmtId="167" fontId="4" fillId="19" borderId="0" xfId="0" applyNumberFormat="1" applyFont="1" applyFill="1" applyAlignment="1">
      <alignment horizontal="center"/>
    </xf>
    <xf numFmtId="0" fontId="4" fillId="19" borderId="8" xfId="0" applyFont="1" applyFill="1" applyBorder="1"/>
    <xf numFmtId="0" fontId="5" fillId="19" borderId="1" xfId="0" applyFont="1" applyFill="1" applyBorder="1"/>
    <xf numFmtId="0" fontId="5" fillId="19" borderId="138" xfId="0" applyFont="1" applyFill="1" applyBorder="1" applyAlignment="1">
      <alignment horizontal="left"/>
    </xf>
    <xf numFmtId="0" fontId="0" fillId="19" borderId="0" xfId="0" applyFill="1"/>
    <xf numFmtId="0" fontId="0" fillId="19" borderId="0" xfId="0" applyFill="1" applyAlignment="1">
      <alignment horizontal="center"/>
    </xf>
    <xf numFmtId="0" fontId="5" fillId="19" borderId="0" xfId="0" applyFont="1" applyFill="1" applyAlignment="1">
      <alignment horizontal="center" wrapText="1"/>
    </xf>
    <xf numFmtId="0" fontId="5" fillId="19" borderId="0" xfId="0" applyFont="1" applyFill="1" applyAlignment="1">
      <alignment horizontal="center" vertical="center" wrapText="1"/>
    </xf>
    <xf numFmtId="0" fontId="0" fillId="19" borderId="8" xfId="0" applyFill="1" applyBorder="1"/>
    <xf numFmtId="49" fontId="5" fillId="0" borderId="3" xfId="0" applyNumberFormat="1" applyFont="1" applyBorder="1" applyAlignment="1">
      <alignment horizontal="left"/>
    </xf>
    <xf numFmtId="167" fontId="47" fillId="19" borderId="136" xfId="0" quotePrefix="1" applyNumberFormat="1" applyFont="1" applyFill="1" applyBorder="1" applyAlignment="1" applyProtection="1">
      <alignment horizontal="center" vertical="center"/>
      <protection hidden="1"/>
    </xf>
    <xf numFmtId="49" fontId="5" fillId="0" borderId="58" xfId="0" applyNumberFormat="1" applyFont="1" applyBorder="1" applyAlignment="1">
      <alignment horizontal="left"/>
    </xf>
    <xf numFmtId="0" fontId="45" fillId="0" borderId="208" xfId="0" applyFont="1" applyBorder="1" applyAlignment="1">
      <alignment horizontal="center" vertical="center" wrapText="1"/>
    </xf>
    <xf numFmtId="0" fontId="5" fillId="0" borderId="169" xfId="0" applyFont="1" applyBorder="1" applyAlignment="1">
      <alignment horizontal="center"/>
    </xf>
    <xf numFmtId="0" fontId="5" fillId="0" borderId="108" xfId="0" applyFont="1" applyBorder="1" applyAlignment="1">
      <alignment horizontal="center"/>
    </xf>
    <xf numFmtId="0" fontId="98" fillId="0" borderId="0" xfId="0" applyFont="1" applyAlignment="1" applyProtection="1">
      <alignment horizontal="left" vertical="top" wrapText="1"/>
      <protection hidden="1"/>
    </xf>
    <xf numFmtId="0" fontId="103" fillId="0" borderId="0" xfId="0" applyFont="1" applyProtection="1">
      <protection hidden="1"/>
    </xf>
    <xf numFmtId="0" fontId="105" fillId="0" borderId="0" xfId="0" applyFont="1" applyProtection="1">
      <protection hidden="1"/>
    </xf>
    <xf numFmtId="0" fontId="103" fillId="0" borderId="0" xfId="0" applyFont="1" applyAlignment="1" applyProtection="1">
      <alignment vertical="top"/>
      <protection hidden="1"/>
    </xf>
    <xf numFmtId="0" fontId="103" fillId="0" borderId="0" xfId="0" applyFont="1" applyAlignment="1" applyProtection="1">
      <alignment vertical="center" wrapText="1"/>
      <protection hidden="1"/>
    </xf>
    <xf numFmtId="0" fontId="105" fillId="0" borderId="0" xfId="0" applyFont="1" applyAlignment="1" applyProtection="1">
      <alignment horizontal="right"/>
      <protection hidden="1"/>
    </xf>
    <xf numFmtId="0" fontId="103" fillId="0" borderId="0" xfId="0" applyFont="1" applyAlignment="1" applyProtection="1">
      <alignment horizontal="left" vertical="top"/>
      <protection hidden="1"/>
    </xf>
    <xf numFmtId="0" fontId="106" fillId="0" borderId="0" xfId="0" applyFont="1"/>
    <xf numFmtId="0" fontId="107" fillId="0" borderId="0" xfId="0" applyFont="1" applyAlignment="1" applyProtection="1">
      <alignment horizontal="left" vertical="center"/>
      <protection hidden="1"/>
    </xf>
    <xf numFmtId="0" fontId="105" fillId="0" borderId="0" xfId="0" applyFont="1" applyAlignment="1" applyProtection="1">
      <alignment horizontal="center"/>
      <protection hidden="1"/>
    </xf>
    <xf numFmtId="169" fontId="103" fillId="0" borderId="0" xfId="0" applyNumberFormat="1" applyFont="1" applyAlignment="1" applyProtection="1">
      <alignment horizontal="center"/>
      <protection hidden="1"/>
    </xf>
    <xf numFmtId="0" fontId="107" fillId="0" borderId="0" xfId="0" applyFont="1" applyAlignment="1" applyProtection="1">
      <alignment horizontal="right" vertical="center"/>
      <protection hidden="1"/>
    </xf>
    <xf numFmtId="0" fontId="103" fillId="0" borderId="0" xfId="0" applyFont="1" applyAlignment="1" applyProtection="1">
      <alignment horizontal="right" vertical="top"/>
      <protection hidden="1"/>
    </xf>
    <xf numFmtId="0" fontId="107" fillId="0" borderId="0" xfId="0" applyFont="1" applyAlignment="1">
      <alignment horizontal="right" vertical="center"/>
    </xf>
    <xf numFmtId="0" fontId="103" fillId="0" borderId="0" xfId="0" applyFont="1" applyAlignment="1">
      <alignment horizontal="right" vertical="center"/>
    </xf>
    <xf numFmtId="0" fontId="107" fillId="0" borderId="0" xfId="0" applyFont="1" applyAlignment="1" applyProtection="1">
      <alignment horizontal="center" vertical="center"/>
      <protection hidden="1"/>
    </xf>
    <xf numFmtId="0" fontId="103" fillId="0" borderId="0" xfId="0" applyFont="1" applyAlignment="1" applyProtection="1">
      <alignment horizontal="right"/>
      <protection hidden="1"/>
    </xf>
    <xf numFmtId="11" fontId="109" fillId="0" borderId="0" xfId="0" applyNumberFormat="1" applyFont="1" applyAlignment="1">
      <alignment horizontal="center"/>
    </xf>
    <xf numFmtId="170" fontId="5" fillId="20" borderId="156" xfId="0" applyNumberFormat="1" applyFont="1" applyFill="1" applyBorder="1" applyAlignment="1">
      <alignment horizontal="center"/>
    </xf>
    <xf numFmtId="167" fontId="5" fillId="0" borderId="108" xfId="0" applyNumberFormat="1" applyFont="1" applyBorder="1" applyAlignment="1">
      <alignment horizontal="center" wrapText="1"/>
    </xf>
    <xf numFmtId="49" fontId="0" fillId="0" borderId="0" xfId="0" applyNumberFormat="1"/>
    <xf numFmtId="49" fontId="4" fillId="0" borderId="0" xfId="0" applyNumberFormat="1" applyFont="1"/>
    <xf numFmtId="11" fontId="5" fillId="20" borderId="138" xfId="0" applyNumberFormat="1" applyFont="1" applyFill="1" applyBorder="1" applyAlignment="1">
      <alignment horizontal="left"/>
    </xf>
    <xf numFmtId="167" fontId="5" fillId="20" borderId="139" xfId="0" applyNumberFormat="1" applyFont="1" applyFill="1" applyBorder="1" applyAlignment="1">
      <alignment horizontal="center" wrapText="1"/>
    </xf>
    <xf numFmtId="167" fontId="5" fillId="20" borderId="216" xfId="0" applyNumberFormat="1" applyFont="1" applyFill="1" applyBorder="1" applyAlignment="1">
      <alignment horizontal="center" wrapText="1"/>
    </xf>
    <xf numFmtId="0" fontId="110" fillId="0" borderId="0" xfId="0" applyFont="1" applyAlignment="1">
      <alignment horizontal="center"/>
    </xf>
    <xf numFmtId="0" fontId="111" fillId="0" borderId="0" xfId="0" applyFont="1" applyAlignment="1">
      <alignment horizontal="center"/>
    </xf>
    <xf numFmtId="0" fontId="7" fillId="16" borderId="113" xfId="0" applyFont="1" applyFill="1" applyBorder="1" applyAlignment="1">
      <alignment horizontal="center" vertical="center" wrapText="1"/>
    </xf>
    <xf numFmtId="0" fontId="7" fillId="16" borderId="0" xfId="0" applyFont="1" applyFill="1" applyAlignment="1">
      <alignment horizontal="center" vertical="center" wrapText="1"/>
    </xf>
    <xf numFmtId="0" fontId="7" fillId="16" borderId="24" xfId="0" applyFont="1" applyFill="1" applyBorder="1" applyAlignment="1">
      <alignment horizontal="center" vertical="center" wrapText="1"/>
    </xf>
    <xf numFmtId="0" fontId="7" fillId="16" borderId="9" xfId="0" applyFont="1" applyFill="1" applyBorder="1" applyAlignment="1">
      <alignment horizontal="center" vertical="center" wrapText="1"/>
    </xf>
    <xf numFmtId="167" fontId="5" fillId="16" borderId="129" xfId="0" applyNumberFormat="1" applyFont="1" applyFill="1" applyBorder="1" applyAlignment="1">
      <alignment horizontal="center"/>
    </xf>
    <xf numFmtId="0" fontId="6" fillId="16" borderId="72" xfId="0" applyFont="1" applyFill="1" applyBorder="1" applyAlignment="1">
      <alignment vertical="center" wrapText="1"/>
    </xf>
    <xf numFmtId="0" fontId="6" fillId="16" borderId="42" xfId="0" applyFont="1" applyFill="1" applyBorder="1" applyAlignment="1">
      <alignment vertical="center" wrapText="1"/>
    </xf>
    <xf numFmtId="0" fontId="6" fillId="16" borderId="70" xfId="0" applyFont="1" applyFill="1" applyBorder="1" applyAlignment="1">
      <alignment horizontal="center" vertical="center"/>
    </xf>
    <xf numFmtId="0" fontId="6" fillId="16" borderId="71" xfId="0" applyFont="1" applyFill="1" applyBorder="1" applyAlignment="1">
      <alignment horizontal="center" vertical="center" wrapText="1"/>
    </xf>
    <xf numFmtId="11" fontId="5" fillId="16" borderId="129" xfId="0" applyNumberFormat="1" applyFont="1" applyFill="1" applyBorder="1" applyAlignment="1">
      <alignment horizontal="center"/>
    </xf>
    <xf numFmtId="0" fontId="6" fillId="16" borderId="0" xfId="0" applyFont="1" applyFill="1" applyAlignment="1">
      <alignment vertical="center" wrapText="1"/>
    </xf>
    <xf numFmtId="0" fontId="6" fillId="16" borderId="0" xfId="0" applyFont="1" applyFill="1" applyAlignment="1">
      <alignment horizontal="center" vertical="center"/>
    </xf>
    <xf numFmtId="0" fontId="6" fillId="16" borderId="9" xfId="0" applyFont="1" applyFill="1" applyBorder="1" applyAlignment="1">
      <alignment horizontal="center" vertical="center" wrapText="1"/>
    </xf>
    <xf numFmtId="0" fontId="112" fillId="0" borderId="0" xfId="0" applyFont="1"/>
    <xf numFmtId="0" fontId="113" fillId="0" borderId="0" xfId="0" applyFont="1" applyAlignment="1">
      <alignment horizontal="right" vertical="center"/>
    </xf>
    <xf numFmtId="2" fontId="6" fillId="0" borderId="0" xfId="0" applyNumberFormat="1" applyFont="1" applyAlignment="1">
      <alignment horizontal="center"/>
    </xf>
    <xf numFmtId="0" fontId="112" fillId="0" borderId="0" xfId="0" applyFont="1" applyAlignment="1">
      <alignment horizontal="right"/>
    </xf>
    <xf numFmtId="2" fontId="6" fillId="0" borderId="0" xfId="0" applyNumberFormat="1" applyFont="1" applyAlignment="1">
      <alignment horizontal="center" vertical="center" wrapText="1"/>
    </xf>
    <xf numFmtId="4" fontId="112" fillId="0" borderId="0" xfId="0" applyNumberFormat="1" applyFont="1" applyAlignment="1">
      <alignment horizontal="right"/>
    </xf>
    <xf numFmtId="2" fontId="6" fillId="0" borderId="0" xfId="0" applyNumberFormat="1" applyFont="1" applyAlignment="1">
      <alignment horizontal="center" vertical="top"/>
    </xf>
    <xf numFmtId="4" fontId="112" fillId="0" borderId="0" xfId="0" applyNumberFormat="1" applyFont="1"/>
    <xf numFmtId="4" fontId="113" fillId="0" borderId="0" xfId="0" applyNumberFormat="1" applyFont="1" applyAlignment="1">
      <alignment horizontal="right" vertical="center"/>
    </xf>
    <xf numFmtId="4" fontId="113" fillId="0" borderId="0" xfId="0" applyNumberFormat="1" applyFont="1" applyAlignment="1">
      <alignment horizontal="right"/>
    </xf>
    <xf numFmtId="0" fontId="113" fillId="0" borderId="0" xfId="0" applyFont="1" applyAlignment="1">
      <alignment horizontal="right"/>
    </xf>
    <xf numFmtId="1" fontId="5" fillId="0" borderId="109" xfId="0" applyNumberFormat="1" applyFont="1" applyBorder="1" applyAlignment="1">
      <alignment horizontal="center"/>
    </xf>
    <xf numFmtId="1" fontId="5" fillId="0" borderId="18" xfId="0" applyNumberFormat="1" applyFont="1" applyBorder="1" applyAlignment="1">
      <alignment horizontal="center"/>
    </xf>
    <xf numFmtId="0" fontId="5" fillId="20" borderId="156" xfId="0" applyFont="1" applyFill="1" applyBorder="1"/>
    <xf numFmtId="0" fontId="114" fillId="0" borderId="0" xfId="0" applyFont="1" applyAlignment="1">
      <alignment horizontal="right"/>
    </xf>
    <xf numFmtId="4" fontId="0" fillId="0" borderId="0" xfId="0" applyNumberFormat="1"/>
    <xf numFmtId="4" fontId="114" fillId="0" borderId="0" xfId="0" applyNumberFormat="1" applyFont="1" applyAlignment="1">
      <alignment horizontal="right"/>
    </xf>
    <xf numFmtId="2" fontId="6" fillId="6" borderId="0" xfId="0" applyNumberFormat="1" applyFont="1" applyFill="1" applyAlignment="1">
      <alignment horizontal="center"/>
    </xf>
    <xf numFmtId="0" fontId="115" fillId="0" borderId="0" xfId="0" applyFont="1" applyAlignment="1">
      <alignment vertical="center"/>
    </xf>
    <xf numFmtId="2" fontId="6" fillId="42" borderId="0" xfId="0" applyNumberFormat="1" applyFont="1" applyFill="1" applyAlignment="1">
      <alignment horizontal="center"/>
    </xf>
    <xf numFmtId="167" fontId="5" fillId="16" borderId="129" xfId="0" quotePrefix="1" applyNumberFormat="1" applyFont="1" applyFill="1" applyBorder="1" applyAlignment="1">
      <alignment horizontal="center"/>
    </xf>
    <xf numFmtId="167" fontId="5" fillId="22" borderId="221" xfId="0" applyNumberFormat="1" applyFont="1" applyFill="1" applyBorder="1" applyAlignment="1">
      <alignment horizontal="center"/>
    </xf>
    <xf numFmtId="167" fontId="5" fillId="22" borderId="168" xfId="0" applyNumberFormat="1" applyFont="1" applyFill="1" applyBorder="1" applyAlignment="1">
      <alignment horizontal="center"/>
    </xf>
    <xf numFmtId="167" fontId="5" fillId="22" borderId="159" xfId="0" applyNumberFormat="1" applyFont="1" applyFill="1" applyBorder="1" applyAlignment="1">
      <alignment horizontal="center"/>
    </xf>
    <xf numFmtId="167" fontId="5" fillId="22" borderId="137" xfId="0" applyNumberFormat="1" applyFont="1" applyFill="1" applyBorder="1" applyAlignment="1">
      <alignment horizontal="center"/>
    </xf>
    <xf numFmtId="167" fontId="5" fillId="22" borderId="151" xfId="0" applyNumberFormat="1" applyFont="1" applyFill="1" applyBorder="1" applyAlignment="1">
      <alignment horizontal="center"/>
    </xf>
    <xf numFmtId="0" fontId="117" fillId="0" borderId="0" xfId="0" applyFont="1" applyAlignment="1">
      <alignment horizontal="center" wrapText="1"/>
    </xf>
    <xf numFmtId="167" fontId="6" fillId="0" borderId="60" xfId="0" applyNumberFormat="1" applyFont="1" applyBorder="1" applyAlignment="1">
      <alignment horizontal="center" vertical="center" wrapText="1"/>
    </xf>
    <xf numFmtId="0" fontId="6" fillId="0" borderId="134" xfId="0" applyFont="1" applyBorder="1" applyAlignment="1">
      <alignment horizontal="center" vertical="center" wrapText="1"/>
    </xf>
    <xf numFmtId="0" fontId="4" fillId="0" borderId="0" xfId="0" quotePrefix="1" applyFont="1" applyAlignment="1">
      <alignment horizontal="center"/>
    </xf>
    <xf numFmtId="0" fontId="4" fillId="0" borderId="0" xfId="0" applyFont="1" applyAlignment="1">
      <alignment horizontal="right"/>
    </xf>
    <xf numFmtId="4" fontId="4" fillId="0" borderId="0" xfId="0" applyNumberFormat="1" applyFont="1"/>
    <xf numFmtId="4" fontId="4" fillId="0" borderId="0" xfId="0" applyNumberFormat="1" applyFont="1" applyAlignment="1">
      <alignment horizontal="right"/>
    </xf>
    <xf numFmtId="4" fontId="4" fillId="0" borderId="0" xfId="0" applyNumberFormat="1" applyFont="1" applyAlignment="1">
      <alignment horizontal="right" vertical="center"/>
    </xf>
    <xf numFmtId="4" fontId="49" fillId="0" borderId="0" xfId="0" applyNumberFormat="1" applyFont="1" applyAlignment="1">
      <alignment horizontal="right"/>
    </xf>
    <xf numFmtId="0" fontId="4" fillId="0" borderId="0" xfId="0" applyFont="1" applyAlignment="1">
      <alignment horizontal="right" vertical="center"/>
    </xf>
    <xf numFmtId="4" fontId="4" fillId="0" borderId="0" xfId="0" applyNumberFormat="1" applyFont="1" applyAlignment="1">
      <alignment horizontal="center"/>
    </xf>
    <xf numFmtId="0" fontId="49" fillId="0" borderId="0" xfId="0" applyFont="1" applyAlignment="1">
      <alignment horizontal="right"/>
    </xf>
    <xf numFmtId="4" fontId="4" fillId="0" borderId="0" xfId="0" applyNumberFormat="1" applyFont="1" applyAlignment="1">
      <alignment horizontal="center" vertical="center"/>
    </xf>
    <xf numFmtId="0" fontId="49" fillId="0" borderId="0" xfId="0" applyFont="1" applyAlignment="1">
      <alignment horizontal="center"/>
    </xf>
    <xf numFmtId="4" fontId="49" fillId="0" borderId="0" xfId="0" applyNumberFormat="1" applyFont="1" applyAlignment="1">
      <alignment horizontal="center"/>
    </xf>
    <xf numFmtId="167" fontId="5" fillId="0" borderId="138" xfId="0" quotePrefix="1" applyNumberFormat="1" applyFont="1" applyBorder="1" applyAlignment="1">
      <alignment horizontal="center"/>
    </xf>
    <xf numFmtId="49" fontId="5" fillId="0" borderId="138" xfId="0" applyNumberFormat="1" applyFont="1" applyBorder="1" applyAlignment="1">
      <alignment horizontal="center"/>
    </xf>
    <xf numFmtId="167" fontId="6" fillId="0" borderId="9" xfId="0" applyNumberFormat="1" applyFont="1" applyBorder="1" applyAlignment="1">
      <alignment horizontal="center" vertical="center" wrapText="1"/>
    </xf>
    <xf numFmtId="0" fontId="6" fillId="0" borderId="60" xfId="0" applyFont="1" applyBorder="1" applyAlignment="1">
      <alignment horizontal="center" vertical="center" wrapText="1"/>
    </xf>
    <xf numFmtId="167" fontId="5" fillId="22" borderId="0" xfId="0" applyNumberFormat="1" applyFont="1" applyFill="1" applyAlignment="1">
      <alignment horizontal="center"/>
    </xf>
    <xf numFmtId="0" fontId="6" fillId="22" borderId="104" xfId="0" applyFont="1" applyFill="1" applyBorder="1" applyAlignment="1">
      <alignment horizontal="center" vertical="center"/>
    </xf>
    <xf numFmtId="0" fontId="5" fillId="22" borderId="0" xfId="0" applyFont="1" applyFill="1" applyAlignment="1">
      <alignment horizontal="center"/>
    </xf>
    <xf numFmtId="0" fontId="5" fillId="22" borderId="0" xfId="0" applyFont="1" applyFill="1"/>
    <xf numFmtId="170" fontId="5" fillId="22" borderId="171" xfId="0" applyNumberFormat="1" applyFont="1" applyFill="1" applyBorder="1" applyAlignment="1">
      <alignment horizontal="center"/>
    </xf>
    <xf numFmtId="170" fontId="5" fillId="22" borderId="136" xfId="0" applyNumberFormat="1" applyFont="1" applyFill="1" applyBorder="1" applyAlignment="1">
      <alignment horizontal="center"/>
    </xf>
    <xf numFmtId="170" fontId="5" fillId="22" borderId="155" xfId="0" applyNumberFormat="1" applyFont="1" applyFill="1" applyBorder="1" applyAlignment="1">
      <alignment horizontal="center"/>
    </xf>
    <xf numFmtId="170" fontId="5" fillId="25" borderId="171" xfId="0" applyNumberFormat="1" applyFont="1" applyFill="1" applyBorder="1" applyAlignment="1">
      <alignment horizontal="center"/>
    </xf>
    <xf numFmtId="170" fontId="5" fillId="25" borderId="136" xfId="0" applyNumberFormat="1" applyFont="1" applyFill="1" applyBorder="1" applyAlignment="1">
      <alignment horizontal="center"/>
    </xf>
    <xf numFmtId="170" fontId="5" fillId="25" borderId="155" xfId="0" applyNumberFormat="1" applyFont="1" applyFill="1" applyBorder="1" applyAlignment="1">
      <alignment horizontal="center"/>
    </xf>
    <xf numFmtId="167" fontId="5" fillId="22" borderId="169" xfId="0" applyNumberFormat="1" applyFont="1" applyFill="1" applyBorder="1" applyAlignment="1">
      <alignment horizontal="center"/>
    </xf>
    <xf numFmtId="167" fontId="5" fillId="22" borderId="108" xfId="0" applyNumberFormat="1" applyFont="1" applyFill="1" applyBorder="1" applyAlignment="1">
      <alignment horizontal="center"/>
    </xf>
    <xf numFmtId="0" fontId="5" fillId="25" borderId="180" xfId="0" applyFont="1" applyFill="1" applyBorder="1" applyAlignment="1">
      <alignment horizontal="center" wrapText="1"/>
    </xf>
    <xf numFmtId="0" fontId="5" fillId="25" borderId="138" xfId="0" applyFont="1" applyFill="1" applyBorder="1" applyAlignment="1">
      <alignment horizontal="center" wrapText="1"/>
    </xf>
    <xf numFmtId="0" fontId="5" fillId="25" borderId="157" xfId="0" applyFont="1" applyFill="1" applyBorder="1" applyAlignment="1">
      <alignment horizontal="center" wrapText="1"/>
    </xf>
    <xf numFmtId="0" fontId="5" fillId="22" borderId="169" xfId="0" applyFont="1" applyFill="1" applyBorder="1" applyAlignment="1">
      <alignment horizontal="center"/>
    </xf>
    <xf numFmtId="0" fontId="5" fillId="22" borderId="108" xfId="0" applyFont="1" applyFill="1" applyBorder="1" applyAlignment="1">
      <alignment horizontal="center"/>
    </xf>
    <xf numFmtId="170" fontId="5" fillId="0" borderId="151" xfId="0" applyNumberFormat="1" applyFont="1" applyBorder="1" applyAlignment="1">
      <alignment horizontal="center"/>
    </xf>
    <xf numFmtId="1" fontId="6" fillId="0" borderId="119" xfId="0" applyNumberFormat="1" applyFont="1" applyBorder="1" applyAlignment="1">
      <alignment horizontal="center" vertical="center" wrapText="1"/>
    </xf>
    <xf numFmtId="170" fontId="5" fillId="0" borderId="169" xfId="0" applyNumberFormat="1" applyFont="1" applyBorder="1" applyAlignment="1">
      <alignment horizontal="center"/>
    </xf>
    <xf numFmtId="170" fontId="5" fillId="0" borderId="108" xfId="0" applyNumberFormat="1" applyFont="1" applyBorder="1" applyAlignment="1">
      <alignment horizontal="center"/>
    </xf>
    <xf numFmtId="167" fontId="6" fillId="22" borderId="102" xfId="0" applyNumberFormat="1" applyFont="1" applyFill="1" applyBorder="1" applyAlignment="1">
      <alignment horizontal="center" vertical="center" wrapText="1"/>
    </xf>
    <xf numFmtId="0" fontId="5" fillId="0" borderId="169" xfId="0" applyFont="1" applyBorder="1" applyAlignment="1">
      <alignment horizontal="center" wrapText="1"/>
    </xf>
    <xf numFmtId="0" fontId="5" fillId="0" borderId="108" xfId="0" applyFont="1" applyBorder="1" applyAlignment="1">
      <alignment horizontal="center" wrapText="1"/>
    </xf>
    <xf numFmtId="0" fontId="5" fillId="0" borderId="151" xfId="0" applyFont="1" applyBorder="1" applyAlignment="1">
      <alignment horizontal="center"/>
    </xf>
    <xf numFmtId="0" fontId="5" fillId="22" borderId="153" xfId="0" applyFont="1" applyFill="1" applyBorder="1" applyAlignment="1">
      <alignment horizontal="center"/>
    </xf>
    <xf numFmtId="170" fontId="5" fillId="0" borderId="155" xfId="0" applyNumberFormat="1" applyFont="1" applyBorder="1" applyAlignment="1">
      <alignment horizontal="center"/>
    </xf>
    <xf numFmtId="0" fontId="5" fillId="0" borderId="153" xfId="0" applyFont="1" applyBorder="1" applyAlignment="1">
      <alignment horizontal="center"/>
    </xf>
    <xf numFmtId="0" fontId="5" fillId="25" borderId="169" xfId="0" applyFont="1" applyFill="1" applyBorder="1" applyAlignment="1">
      <alignment horizontal="center"/>
    </xf>
    <xf numFmtId="0" fontId="5" fillId="25" borderId="108" xfId="0" applyFont="1" applyFill="1" applyBorder="1" applyAlignment="1">
      <alignment horizontal="center"/>
    </xf>
    <xf numFmtId="167" fontId="5" fillId="25" borderId="221" xfId="0" applyNumberFormat="1" applyFont="1" applyFill="1" applyBorder="1" applyAlignment="1">
      <alignment horizontal="center" wrapText="1"/>
    </xf>
    <xf numFmtId="167" fontId="5" fillId="25" borderId="159" xfId="0" applyNumberFormat="1" applyFont="1" applyFill="1" applyBorder="1" applyAlignment="1">
      <alignment horizontal="center" wrapText="1"/>
    </xf>
    <xf numFmtId="167" fontId="5" fillId="25" borderId="160" xfId="0" applyNumberFormat="1" applyFont="1" applyFill="1" applyBorder="1" applyAlignment="1">
      <alignment horizontal="center" wrapText="1"/>
    </xf>
    <xf numFmtId="49" fontId="5" fillId="20" borderId="156" xfId="0" applyNumberFormat="1" applyFont="1" applyFill="1" applyBorder="1"/>
    <xf numFmtId="167" fontId="5" fillId="0" borderId="0" xfId="7" applyNumberFormat="1" applyFont="1" applyAlignment="1">
      <alignment horizontal="center"/>
    </xf>
    <xf numFmtId="167" fontId="5" fillId="0" borderId="158" xfId="7" quotePrefix="1" applyNumberFormat="1" applyFont="1" applyBorder="1" applyAlignment="1">
      <alignment horizontal="center"/>
    </xf>
    <xf numFmtId="167" fontId="5" fillId="0" borderId="159" xfId="7" quotePrefix="1" applyNumberFormat="1" applyFont="1" applyBorder="1" applyAlignment="1">
      <alignment horizontal="center"/>
    </xf>
    <xf numFmtId="167" fontId="5" fillId="0" borderId="159" xfId="7" applyNumberFormat="1" applyFont="1" applyBorder="1" applyAlignment="1">
      <alignment horizontal="center"/>
    </xf>
    <xf numFmtId="167" fontId="5" fillId="0" borderId="138" xfId="7" quotePrefix="1" applyNumberFormat="1" applyFont="1" applyBorder="1" applyAlignment="1">
      <alignment horizontal="center"/>
    </xf>
    <xf numFmtId="167" fontId="5" fillId="0" borderId="136" xfId="7" applyNumberFormat="1" applyFont="1" applyBorder="1" applyAlignment="1">
      <alignment horizontal="center"/>
    </xf>
    <xf numFmtId="167" fontId="5" fillId="0" borderId="156" xfId="7" quotePrefix="1" applyNumberFormat="1" applyFont="1" applyBorder="1" applyAlignment="1">
      <alignment horizontal="center"/>
    </xf>
    <xf numFmtId="167" fontId="5" fillId="0" borderId="138" xfId="7" applyNumberFormat="1" applyFont="1" applyBorder="1" applyAlignment="1">
      <alignment horizontal="center"/>
    </xf>
    <xf numFmtId="167" fontId="5" fillId="0" borderId="154" xfId="7" applyNumberFormat="1" applyFont="1" applyBorder="1" applyAlignment="1">
      <alignment horizontal="center"/>
    </xf>
    <xf numFmtId="167" fontId="5" fillId="0" borderId="155" xfId="7" applyNumberFormat="1" applyFont="1" applyBorder="1" applyAlignment="1">
      <alignment horizontal="center"/>
    </xf>
    <xf numFmtId="167" fontId="5" fillId="0" borderId="8" xfId="7" applyNumberFormat="1" applyFont="1" applyBorder="1" applyAlignment="1">
      <alignment horizontal="center"/>
    </xf>
    <xf numFmtId="49" fontId="6" fillId="0" borderId="1" xfId="7" applyNumberFormat="1" applyFont="1" applyBorder="1"/>
    <xf numFmtId="49" fontId="6" fillId="0" borderId="0" xfId="7" applyNumberFormat="1" applyFont="1"/>
    <xf numFmtId="167" fontId="5" fillId="0" borderId="160" xfId="7" applyNumberFormat="1" applyFont="1" applyBorder="1" applyAlignment="1">
      <alignment horizontal="center"/>
    </xf>
    <xf numFmtId="167" fontId="5" fillId="0" borderId="157" xfId="7" applyNumberFormat="1" applyFont="1" applyBorder="1" applyAlignment="1">
      <alignment horizontal="center"/>
    </xf>
    <xf numFmtId="11" fontId="5" fillId="0" borderId="157" xfId="0" applyNumberFormat="1" applyFont="1" applyBorder="1" applyAlignment="1">
      <alignment horizontal="left"/>
    </xf>
    <xf numFmtId="167" fontId="5" fillId="0" borderId="158" xfId="7" applyNumberFormat="1" applyFont="1" applyBorder="1" applyAlignment="1">
      <alignment horizontal="center"/>
    </xf>
    <xf numFmtId="167" fontId="16" fillId="0" borderId="90" xfId="7" applyNumberFormat="1" applyFont="1" applyBorder="1" applyAlignment="1">
      <alignment horizontal="center" vertical="center" wrapText="1"/>
    </xf>
    <xf numFmtId="49" fontId="5" fillId="22" borderId="133" xfId="0" applyNumberFormat="1" applyFont="1" applyFill="1" applyBorder="1"/>
    <xf numFmtId="49" fontId="47" fillId="0" borderId="198" xfId="0" applyNumberFormat="1" applyFont="1" applyBorder="1" applyAlignment="1">
      <alignment horizontal="left" vertical="center"/>
    </xf>
    <xf numFmtId="49" fontId="5" fillId="0" borderId="4" xfId="0" applyNumberFormat="1" applyFont="1" applyBorder="1" applyAlignment="1">
      <alignment horizontal="left"/>
    </xf>
    <xf numFmtId="170" fontId="5" fillId="0" borderId="137" xfId="0" quotePrefix="1" applyNumberFormat="1" applyFont="1" applyBorder="1" applyAlignment="1">
      <alignment horizontal="center"/>
    </xf>
    <xf numFmtId="1" fontId="5" fillId="0" borderId="109" xfId="0" quotePrefix="1" applyNumberFormat="1" applyFont="1" applyBorder="1" applyAlignment="1">
      <alignment horizontal="center"/>
    </xf>
    <xf numFmtId="0" fontId="5" fillId="22" borderId="0" xfId="0" applyFont="1" applyFill="1" applyProtection="1">
      <protection locked="0"/>
    </xf>
    <xf numFmtId="0" fontId="5" fillId="22" borderId="0" xfId="0" applyFont="1" applyFill="1" applyAlignment="1">
      <alignment vertical="center"/>
    </xf>
    <xf numFmtId="170" fontId="5" fillId="20" borderId="148" xfId="0" quotePrefix="1" applyNumberFormat="1" applyFont="1" applyFill="1" applyBorder="1" applyAlignment="1">
      <alignment horizontal="center"/>
    </xf>
    <xf numFmtId="49" fontId="5" fillId="22" borderId="135" xfId="0" applyNumberFormat="1" applyFont="1" applyFill="1" applyBorder="1"/>
    <xf numFmtId="0" fontId="5" fillId="22" borderId="138" xfId="0" applyFont="1" applyFill="1" applyBorder="1" applyAlignment="1">
      <alignment horizontal="left"/>
    </xf>
    <xf numFmtId="167" fontId="5" fillId="22" borderId="137" xfId="0" quotePrefix="1" applyNumberFormat="1" applyFont="1" applyFill="1" applyBorder="1" applyAlignment="1">
      <alignment horizontal="center"/>
    </xf>
    <xf numFmtId="11" fontId="5" fillId="22" borderId="137" xfId="0" applyNumberFormat="1" applyFont="1" applyFill="1" applyBorder="1" applyAlignment="1">
      <alignment horizontal="center"/>
    </xf>
    <xf numFmtId="172" fontId="24" fillId="3" borderId="53" xfId="0" applyNumberFormat="1" applyFont="1" applyFill="1" applyBorder="1" applyAlignment="1" applyProtection="1">
      <alignment horizontal="center" vertical="center" wrapText="1"/>
      <protection locked="0" hidden="1"/>
    </xf>
    <xf numFmtId="0" fontId="25" fillId="32" borderId="262" xfId="0" applyFont="1" applyFill="1" applyBorder="1" applyAlignment="1">
      <alignment horizontal="center" vertical="top" wrapText="1"/>
    </xf>
    <xf numFmtId="0" fontId="25" fillId="32" borderId="76" xfId="0" applyFont="1" applyFill="1" applyBorder="1" applyAlignment="1">
      <alignment horizontal="center" vertical="top" wrapText="1"/>
    </xf>
    <xf numFmtId="0" fontId="25" fillId="39" borderId="262" xfId="0" applyFont="1" applyFill="1" applyBorder="1" applyAlignment="1">
      <alignment horizontal="center" vertical="top" wrapText="1"/>
    </xf>
    <xf numFmtId="0" fontId="25" fillId="39" borderId="41" xfId="0" applyFont="1" applyFill="1" applyBorder="1" applyAlignment="1">
      <alignment horizontal="center" vertical="top" wrapText="1"/>
    </xf>
    <xf numFmtId="0" fontId="25" fillId="6" borderId="71" xfId="0" applyFont="1" applyFill="1" applyBorder="1" applyAlignment="1">
      <alignment horizontal="center" vertical="top" wrapText="1"/>
    </xf>
    <xf numFmtId="0" fontId="44" fillId="0" borderId="0" xfId="0" applyFont="1" applyAlignment="1">
      <alignment horizontal="center" vertical="center"/>
    </xf>
    <xf numFmtId="0" fontId="25" fillId="6" borderId="41" xfId="0" applyFont="1" applyFill="1" applyBorder="1" applyAlignment="1">
      <alignment horizontal="center" vertical="top" wrapText="1"/>
    </xf>
    <xf numFmtId="0" fontId="25" fillId="0" borderId="0" xfId="0" applyFont="1" applyProtection="1">
      <protection hidden="1"/>
    </xf>
    <xf numFmtId="0" fontId="120" fillId="0" borderId="0" xfId="0" applyFont="1" applyAlignment="1">
      <alignment horizontal="left"/>
    </xf>
    <xf numFmtId="0" fontId="6" fillId="0" borderId="9" xfId="0" applyFont="1" applyBorder="1" applyAlignment="1">
      <alignment horizontal="center" vertical="center" wrapText="1"/>
    </xf>
    <xf numFmtId="0" fontId="45" fillId="0" borderId="0" xfId="0" applyFont="1" applyAlignment="1">
      <alignment horizontal="left"/>
    </xf>
    <xf numFmtId="0" fontId="121" fillId="43" borderId="32" xfId="0" applyFont="1" applyFill="1" applyBorder="1" applyAlignment="1">
      <alignment horizontal="center" vertical="center" wrapText="1"/>
    </xf>
    <xf numFmtId="0" fontId="121" fillId="43" borderId="90" xfId="0" applyFont="1" applyFill="1" applyBorder="1" applyAlignment="1">
      <alignment horizontal="center" vertical="center" wrapText="1"/>
    </xf>
    <xf numFmtId="0" fontId="6" fillId="0" borderId="90"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8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44" xfId="0" applyFont="1" applyBorder="1" applyAlignment="1">
      <alignment horizontal="center" vertical="center" wrapText="1"/>
    </xf>
    <xf numFmtId="167" fontId="109" fillId="43" borderId="159" xfId="0" applyNumberFormat="1" applyFont="1" applyFill="1" applyBorder="1" applyAlignment="1">
      <alignment horizontal="center"/>
    </xf>
    <xf numFmtId="167" fontId="109" fillId="43" borderId="138" xfId="0" applyNumberFormat="1" applyFont="1" applyFill="1" applyBorder="1" applyAlignment="1">
      <alignment horizontal="center"/>
    </xf>
    <xf numFmtId="0" fontId="5" fillId="0" borderId="109" xfId="0" applyFont="1" applyBorder="1" applyAlignment="1">
      <alignment horizontal="center"/>
    </xf>
    <xf numFmtId="167" fontId="5" fillId="22" borderId="173" xfId="0" applyNumberFormat="1" applyFont="1" applyFill="1" applyBorder="1" applyAlignment="1">
      <alignment horizontal="center"/>
    </xf>
    <xf numFmtId="167" fontId="5" fillId="22" borderId="109" xfId="0" quotePrefix="1" applyNumberFormat="1" applyFont="1" applyFill="1" applyBorder="1" applyAlignment="1">
      <alignment horizontal="center"/>
    </xf>
    <xf numFmtId="49" fontId="5" fillId="0" borderId="108" xfId="0" applyNumberFormat="1" applyFont="1" applyBorder="1" applyAlignment="1">
      <alignment horizontal="center"/>
    </xf>
    <xf numFmtId="167" fontId="5" fillId="22" borderId="109" xfId="0" applyNumberFormat="1" applyFont="1" applyFill="1" applyBorder="1" applyAlignment="1">
      <alignment horizontal="center"/>
    </xf>
    <xf numFmtId="167" fontId="5" fillId="22" borderId="139" xfId="0" applyNumberFormat="1" applyFont="1" applyFill="1" applyBorder="1" applyAlignment="1">
      <alignment horizontal="center"/>
    </xf>
    <xf numFmtId="167" fontId="5" fillId="20" borderId="159" xfId="0" applyNumberFormat="1" applyFont="1" applyFill="1" applyBorder="1" applyAlignment="1">
      <alignment horizontal="center"/>
    </xf>
    <xf numFmtId="167" fontId="5" fillId="22" borderId="139" xfId="0" quotePrefix="1" applyNumberFormat="1" applyFont="1" applyFill="1" applyBorder="1" applyAlignment="1">
      <alignment horizontal="center"/>
    </xf>
    <xf numFmtId="167" fontId="5" fillId="22" borderId="138" xfId="0" applyNumberFormat="1" applyFont="1" applyFill="1" applyBorder="1" applyAlignment="1">
      <alignment horizontal="center"/>
    </xf>
    <xf numFmtId="0" fontId="5" fillId="22" borderId="109" xfId="0" applyFont="1" applyFill="1" applyBorder="1" applyAlignment="1">
      <alignment horizontal="center"/>
    </xf>
    <xf numFmtId="11" fontId="5" fillId="0" borderId="159" xfId="0" applyNumberFormat="1" applyFont="1" applyBorder="1" applyAlignment="1">
      <alignment horizontal="center"/>
    </xf>
    <xf numFmtId="167" fontId="19" fillId="0" borderId="138" xfId="0" applyNumberFormat="1" applyFont="1" applyBorder="1" applyAlignment="1">
      <alignment horizontal="center"/>
    </xf>
    <xf numFmtId="0" fontId="19" fillId="0" borderId="109" xfId="0" applyFont="1" applyBorder="1" applyAlignment="1">
      <alignment horizontal="center"/>
    </xf>
    <xf numFmtId="0" fontId="5" fillId="0" borderId="18" xfId="0" applyFont="1" applyBorder="1" applyAlignment="1">
      <alignment horizontal="center"/>
    </xf>
    <xf numFmtId="167" fontId="109" fillId="43" borderId="160" xfId="0" applyNumberFormat="1" applyFont="1" applyFill="1" applyBorder="1" applyAlignment="1">
      <alignment horizontal="center"/>
    </xf>
    <xf numFmtId="167" fontId="5" fillId="0" borderId="165" xfId="0" applyNumberFormat="1" applyFont="1" applyBorder="1" applyAlignment="1">
      <alignment horizontal="center"/>
    </xf>
    <xf numFmtId="49" fontId="5" fillId="0" borderId="157" xfId="0" applyNumberFormat="1" applyFont="1" applyBorder="1" applyAlignment="1">
      <alignment horizontal="center"/>
    </xf>
    <xf numFmtId="167" fontId="5" fillId="0" borderId="157" xfId="0" applyNumberFormat="1" applyFont="1" applyBorder="1" applyAlignment="1">
      <alignment horizontal="center"/>
    </xf>
    <xf numFmtId="167" fontId="5" fillId="0" borderId="211" xfId="0" applyNumberFormat="1" applyFont="1" applyBorder="1" applyAlignment="1">
      <alignment horizontal="center"/>
    </xf>
    <xf numFmtId="0" fontId="5" fillId="0" borderId="211" xfId="0" applyFont="1" applyBorder="1" applyAlignment="1">
      <alignment horizontal="center"/>
    </xf>
    <xf numFmtId="167" fontId="5" fillId="0" borderId="174" xfId="0" applyNumberFormat="1" applyFont="1" applyBorder="1" applyAlignment="1">
      <alignment horizontal="center"/>
    </xf>
    <xf numFmtId="167" fontId="5" fillId="0" borderId="165" xfId="0" quotePrefix="1" applyNumberFormat="1" applyFont="1" applyBorder="1" applyAlignment="1">
      <alignment horizontal="center"/>
    </xf>
    <xf numFmtId="0" fontId="120" fillId="0" borderId="0" xfId="0" applyFont="1" applyAlignment="1">
      <alignment horizontal="center"/>
    </xf>
    <xf numFmtId="0" fontId="120" fillId="0" borderId="0" xfId="0" applyFont="1"/>
    <xf numFmtId="0" fontId="25" fillId="0" borderId="142" xfId="0" applyFont="1" applyBorder="1" applyAlignment="1">
      <alignment horizontal="center" vertical="center"/>
    </xf>
    <xf numFmtId="0" fontId="25" fillId="0" borderId="263" xfId="0" applyFont="1" applyBorder="1" applyAlignment="1">
      <alignment horizontal="center" vertical="center"/>
    </xf>
    <xf numFmtId="167" fontId="47" fillId="25" borderId="43" xfId="0" applyNumberFormat="1" applyFont="1" applyFill="1" applyBorder="1" applyAlignment="1">
      <alignment horizontal="center" vertical="center"/>
    </xf>
    <xf numFmtId="167" fontId="47" fillId="38" borderId="43" xfId="0" applyNumberFormat="1" applyFont="1" applyFill="1" applyBorder="1" applyAlignment="1">
      <alignment horizontal="center" vertical="center"/>
    </xf>
    <xf numFmtId="167" fontId="47" fillId="38" borderId="162" xfId="0" applyNumberFormat="1" applyFont="1" applyFill="1" applyBorder="1" applyAlignment="1">
      <alignment horizontal="center" vertical="center"/>
    </xf>
    <xf numFmtId="167" fontId="47" fillId="38" borderId="65" xfId="0" applyNumberFormat="1" applyFont="1" applyFill="1" applyBorder="1" applyAlignment="1">
      <alignment horizontal="center" vertical="center"/>
    </xf>
    <xf numFmtId="167" fontId="47" fillId="24" borderId="265" xfId="0" applyNumberFormat="1" applyFont="1" applyFill="1" applyBorder="1" applyAlignment="1">
      <alignment horizontal="center" vertical="center"/>
    </xf>
    <xf numFmtId="167" fontId="47" fillId="24" borderId="65" xfId="0" applyNumberFormat="1" applyFont="1" applyFill="1" applyBorder="1" applyAlignment="1">
      <alignment horizontal="center" vertical="center"/>
    </xf>
    <xf numFmtId="167" fontId="47" fillId="40" borderId="265" xfId="0" applyNumberFormat="1" applyFont="1" applyFill="1" applyBorder="1" applyAlignment="1">
      <alignment horizontal="center" vertical="center"/>
    </xf>
    <xf numFmtId="167" fontId="47" fillId="40" borderId="65" xfId="0" applyNumberFormat="1" applyFont="1" applyFill="1" applyBorder="1" applyAlignment="1">
      <alignment horizontal="center" vertical="center"/>
    </xf>
    <xf numFmtId="1" fontId="5" fillId="22" borderId="109" xfId="0" applyNumberFormat="1" applyFont="1" applyFill="1" applyBorder="1" applyAlignment="1">
      <alignment horizontal="center"/>
    </xf>
    <xf numFmtId="49" fontId="5" fillId="22" borderId="138" xfId="0" applyNumberFormat="1" applyFont="1" applyFill="1" applyBorder="1"/>
    <xf numFmtId="167" fontId="5" fillId="22" borderId="150" xfId="0" applyNumberFormat="1" applyFont="1" applyFill="1" applyBorder="1" applyAlignment="1">
      <alignment horizontal="center"/>
    </xf>
    <xf numFmtId="0" fontId="5" fillId="22" borderId="133" xfId="0" applyFont="1" applyFill="1" applyBorder="1"/>
    <xf numFmtId="167" fontId="5" fillId="0" borderId="106" xfId="0" quotePrefix="1" applyNumberFormat="1" applyFont="1" applyBorder="1" applyAlignment="1">
      <alignment horizontal="center"/>
    </xf>
    <xf numFmtId="0" fontId="123" fillId="11" borderId="266" xfId="0" applyFont="1" applyFill="1" applyBorder="1" applyAlignment="1">
      <alignment wrapText="1"/>
    </xf>
    <xf numFmtId="0" fontId="123" fillId="45" borderId="266" xfId="0" applyFont="1" applyFill="1" applyBorder="1" applyAlignment="1">
      <alignment horizontal="center" wrapText="1"/>
    </xf>
    <xf numFmtId="167" fontId="123" fillId="46" borderId="266" xfId="0" applyNumberFormat="1" applyFont="1" applyFill="1" applyBorder="1" applyAlignment="1">
      <alignment horizontal="center" wrapText="1"/>
    </xf>
    <xf numFmtId="0" fontId="123" fillId="47" borderId="266" xfId="0" applyFont="1" applyFill="1" applyBorder="1" applyAlignment="1">
      <alignment horizontal="center" wrapText="1"/>
    </xf>
    <xf numFmtId="0" fontId="123" fillId="48" borderId="266" xfId="0" applyFont="1" applyFill="1" applyBorder="1" applyAlignment="1">
      <alignment horizontal="center" wrapText="1"/>
    </xf>
    <xf numFmtId="0" fontId="123" fillId="49" borderId="266" xfId="0" applyFont="1" applyFill="1" applyBorder="1" applyAlignment="1">
      <alignment horizontal="center" wrapText="1"/>
    </xf>
    <xf numFmtId="0" fontId="123" fillId="50" borderId="266" xfId="0" applyFont="1" applyFill="1" applyBorder="1" applyAlignment="1">
      <alignment horizontal="center" wrapText="1"/>
    </xf>
    <xf numFmtId="0" fontId="123" fillId="51" borderId="266" xfId="0" applyFont="1" applyFill="1" applyBorder="1" applyAlignment="1">
      <alignment horizontal="center" wrapText="1"/>
    </xf>
    <xf numFmtId="0" fontId="123" fillId="52" borderId="266" xfId="0" applyFont="1" applyFill="1" applyBorder="1" applyAlignment="1">
      <alignment horizontal="center" wrapText="1"/>
    </xf>
    <xf numFmtId="0" fontId="123" fillId="45" borderId="267" xfId="0" applyFont="1" applyFill="1" applyBorder="1" applyAlignment="1">
      <alignment horizontal="left" wrapText="1"/>
    </xf>
    <xf numFmtId="0" fontId="123" fillId="45" borderId="268" xfId="0" applyFont="1" applyFill="1" applyBorder="1" applyAlignment="1">
      <alignment horizontal="left" wrapText="1"/>
    </xf>
    <xf numFmtId="167" fontId="123" fillId="46" borderId="0" xfId="0" applyNumberFormat="1" applyFont="1" applyFill="1" applyAlignment="1">
      <alignment horizontal="center" wrapText="1"/>
    </xf>
    <xf numFmtId="167" fontId="123" fillId="46" borderId="267" xfId="0" applyNumberFormat="1" applyFont="1" applyFill="1" applyBorder="1" applyAlignment="1">
      <alignment horizontal="center" wrapText="1"/>
    </xf>
    <xf numFmtId="167" fontId="123" fillId="47" borderId="0" xfId="0" applyNumberFormat="1" applyFont="1" applyFill="1" applyAlignment="1">
      <alignment horizontal="center" wrapText="1"/>
    </xf>
    <xf numFmtId="167" fontId="123" fillId="47" borderId="267" xfId="0" applyNumberFormat="1" applyFont="1" applyFill="1" applyBorder="1" applyAlignment="1">
      <alignment horizontal="center" wrapText="1"/>
    </xf>
    <xf numFmtId="167" fontId="123" fillId="48" borderId="0" xfId="0" applyNumberFormat="1" applyFont="1" applyFill="1" applyAlignment="1">
      <alignment horizontal="center" wrapText="1"/>
    </xf>
    <xf numFmtId="167" fontId="123" fillId="48" borderId="267" xfId="0" applyNumberFormat="1" applyFont="1" applyFill="1" applyBorder="1" applyAlignment="1">
      <alignment horizontal="center" wrapText="1"/>
    </xf>
    <xf numFmtId="167" fontId="123" fillId="49" borderId="0" xfId="0" applyNumberFormat="1" applyFont="1" applyFill="1" applyAlignment="1">
      <alignment horizontal="center" wrapText="1"/>
    </xf>
    <xf numFmtId="167" fontId="123" fillId="49" borderId="267" xfId="0" applyNumberFormat="1" applyFont="1" applyFill="1" applyBorder="1" applyAlignment="1">
      <alignment horizontal="center" wrapText="1"/>
    </xf>
    <xf numFmtId="167" fontId="123" fillId="50" borderId="0" xfId="0" applyNumberFormat="1" applyFont="1" applyFill="1" applyAlignment="1">
      <alignment horizontal="center" wrapText="1"/>
    </xf>
    <xf numFmtId="167" fontId="123" fillId="50" borderId="267" xfId="0" applyNumberFormat="1" applyFont="1" applyFill="1" applyBorder="1" applyAlignment="1">
      <alignment horizontal="center" wrapText="1"/>
    </xf>
    <xf numFmtId="167" fontId="123" fillId="45" borderId="0" xfId="0" applyNumberFormat="1" applyFont="1" applyFill="1" applyAlignment="1">
      <alignment horizontal="center" wrapText="1"/>
    </xf>
    <xf numFmtId="0" fontId="123" fillId="45" borderId="0" xfId="0" applyFont="1" applyFill="1" applyAlignment="1">
      <alignment horizontal="left" wrapText="1"/>
    </xf>
    <xf numFmtId="167" fontId="123" fillId="45" borderId="267" xfId="0" applyNumberFormat="1" applyFont="1" applyFill="1" applyBorder="1" applyAlignment="1">
      <alignment horizontal="center" wrapText="1"/>
    </xf>
    <xf numFmtId="167" fontId="123" fillId="51" borderId="0" xfId="0" applyNumberFormat="1" applyFont="1" applyFill="1" applyAlignment="1">
      <alignment horizontal="center" wrapText="1"/>
    </xf>
    <xf numFmtId="167" fontId="123" fillId="51" borderId="267" xfId="0" applyNumberFormat="1" applyFont="1" applyFill="1" applyBorder="1" applyAlignment="1">
      <alignment horizontal="center" wrapText="1"/>
    </xf>
    <xf numFmtId="167" fontId="123" fillId="52" borderId="0" xfId="0" applyNumberFormat="1" applyFont="1" applyFill="1" applyAlignment="1">
      <alignment horizontal="center" wrapText="1"/>
    </xf>
    <xf numFmtId="167" fontId="123" fillId="52" borderId="267" xfId="0" applyNumberFormat="1" applyFont="1" applyFill="1" applyBorder="1" applyAlignment="1">
      <alignment horizontal="center" wrapText="1"/>
    </xf>
    <xf numFmtId="11" fontId="123" fillId="52" borderId="268" xfId="0" applyNumberFormat="1" applyFont="1" applyFill="1" applyBorder="1" applyAlignment="1">
      <alignment horizontal="center" wrapText="1"/>
    </xf>
    <xf numFmtId="0" fontId="123" fillId="52" borderId="0" xfId="0" applyFont="1" applyFill="1" applyAlignment="1">
      <alignment horizontal="left" wrapText="1"/>
    </xf>
    <xf numFmtId="11" fontId="123" fillId="52" borderId="0" xfId="0" applyNumberFormat="1" applyFont="1" applyFill="1" applyAlignment="1">
      <alignment horizontal="center" wrapText="1"/>
    </xf>
    <xf numFmtId="0" fontId="123" fillId="52" borderId="0" xfId="0" applyFont="1" applyFill="1" applyAlignment="1">
      <alignment horizontal="center" wrapText="1"/>
    </xf>
    <xf numFmtId="173" fontId="123" fillId="52" borderId="0" xfId="0" applyNumberFormat="1" applyFont="1" applyFill="1" applyAlignment="1">
      <alignment horizontal="center" wrapText="1"/>
    </xf>
    <xf numFmtId="174" fontId="123" fillId="52" borderId="0" xfId="0" applyNumberFormat="1" applyFont="1" applyFill="1" applyAlignment="1">
      <alignment horizontal="center" wrapText="1"/>
    </xf>
    <xf numFmtId="11" fontId="123" fillId="52" borderId="267" xfId="0" applyNumberFormat="1" applyFont="1" applyFill="1" applyBorder="1" applyAlignment="1">
      <alignment horizontal="center" wrapText="1"/>
    </xf>
    <xf numFmtId="0" fontId="123" fillId="45" borderId="269" xfId="0" applyFont="1" applyFill="1" applyBorder="1" applyAlignment="1">
      <alignment horizontal="left" wrapText="1"/>
    </xf>
    <xf numFmtId="0" fontId="123" fillId="45" borderId="270" xfId="0" applyFont="1" applyFill="1" applyBorder="1" applyAlignment="1">
      <alignment horizontal="left" wrapText="1"/>
    </xf>
    <xf numFmtId="167" fontId="123" fillId="46" borderId="271" xfId="0" applyNumberFormat="1" applyFont="1" applyFill="1" applyBorder="1" applyAlignment="1">
      <alignment horizontal="center" wrapText="1"/>
    </xf>
    <xf numFmtId="167" fontId="123" fillId="46" borderId="269" xfId="0" applyNumberFormat="1" applyFont="1" applyFill="1" applyBorder="1" applyAlignment="1">
      <alignment horizontal="center" wrapText="1"/>
    </xf>
    <xf numFmtId="167" fontId="123" fillId="47" borderId="271" xfId="0" applyNumberFormat="1" applyFont="1" applyFill="1" applyBorder="1" applyAlignment="1">
      <alignment horizontal="center" wrapText="1"/>
    </xf>
    <xf numFmtId="167" fontId="123" fillId="47" borderId="269" xfId="0" applyNumberFormat="1" applyFont="1" applyFill="1" applyBorder="1" applyAlignment="1">
      <alignment horizontal="center" wrapText="1"/>
    </xf>
    <xf numFmtId="167" fontId="123" fillId="48" borderId="271" xfId="0" applyNumberFormat="1" applyFont="1" applyFill="1" applyBorder="1" applyAlignment="1">
      <alignment horizontal="center" wrapText="1"/>
    </xf>
    <xf numFmtId="167" fontId="123" fillId="48" borderId="269" xfId="0" applyNumberFormat="1" applyFont="1" applyFill="1" applyBorder="1" applyAlignment="1">
      <alignment horizontal="center" wrapText="1"/>
    </xf>
    <xf numFmtId="167" fontId="123" fillId="49" borderId="271" xfId="0" applyNumberFormat="1" applyFont="1" applyFill="1" applyBorder="1" applyAlignment="1">
      <alignment horizontal="center" wrapText="1"/>
    </xf>
    <xf numFmtId="167" fontId="123" fillId="49" borderId="269" xfId="0" applyNumberFormat="1" applyFont="1" applyFill="1" applyBorder="1" applyAlignment="1">
      <alignment horizontal="center" wrapText="1"/>
    </xf>
    <xf numFmtId="167" fontId="123" fillId="50" borderId="271" xfId="0" applyNumberFormat="1" applyFont="1" applyFill="1" applyBorder="1" applyAlignment="1">
      <alignment horizontal="center" wrapText="1"/>
    </xf>
    <xf numFmtId="167" fontId="123" fillId="50" borderId="269" xfId="0" applyNumberFormat="1" applyFont="1" applyFill="1" applyBorder="1" applyAlignment="1">
      <alignment horizontal="center" wrapText="1"/>
    </xf>
    <xf numFmtId="167" fontId="123" fillId="45" borderId="271" xfId="0" applyNumberFormat="1" applyFont="1" applyFill="1" applyBorder="1" applyAlignment="1">
      <alignment horizontal="center" wrapText="1"/>
    </xf>
    <xf numFmtId="0" fontId="123" fillId="45" borderId="271" xfId="0" applyFont="1" applyFill="1" applyBorder="1" applyAlignment="1">
      <alignment horizontal="left" wrapText="1"/>
    </xf>
    <xf numFmtId="167" fontId="123" fillId="45" borderId="269" xfId="0" applyNumberFormat="1" applyFont="1" applyFill="1" applyBorder="1" applyAlignment="1">
      <alignment horizontal="center" wrapText="1"/>
    </xf>
    <xf numFmtId="167" fontId="123" fillId="51" borderId="271" xfId="0" applyNumberFormat="1" applyFont="1" applyFill="1" applyBorder="1" applyAlignment="1">
      <alignment horizontal="center" wrapText="1"/>
    </xf>
    <xf numFmtId="167" fontId="123" fillId="51" borderId="269" xfId="0" applyNumberFormat="1" applyFont="1" applyFill="1" applyBorder="1" applyAlignment="1">
      <alignment horizontal="center" wrapText="1"/>
    </xf>
    <xf numFmtId="167" fontId="123" fillId="52" borderId="271" xfId="0" applyNumberFormat="1" applyFont="1" applyFill="1" applyBorder="1" applyAlignment="1">
      <alignment horizontal="center" wrapText="1"/>
    </xf>
    <xf numFmtId="167" fontId="123" fillId="52" borderId="269" xfId="0" applyNumberFormat="1" applyFont="1" applyFill="1" applyBorder="1" applyAlignment="1">
      <alignment horizontal="center" wrapText="1"/>
    </xf>
    <xf numFmtId="11" fontId="123" fillId="52" borderId="270" xfId="0" applyNumberFormat="1" applyFont="1" applyFill="1" applyBorder="1" applyAlignment="1">
      <alignment horizontal="center" wrapText="1"/>
    </xf>
    <xf numFmtId="0" fontId="123" fillId="52" borderId="271" xfId="0" applyFont="1" applyFill="1" applyBorder="1" applyAlignment="1">
      <alignment horizontal="left" wrapText="1"/>
    </xf>
    <xf numFmtId="11" fontId="123" fillId="52" borderId="271" xfId="0" applyNumberFormat="1" applyFont="1" applyFill="1" applyBorder="1" applyAlignment="1">
      <alignment horizontal="center" wrapText="1"/>
    </xf>
    <xf numFmtId="0" fontId="123" fillId="52" borderId="271" xfId="0" applyFont="1" applyFill="1" applyBorder="1" applyAlignment="1">
      <alignment horizontal="center" wrapText="1"/>
    </xf>
    <xf numFmtId="173" fontId="123" fillId="52" borderId="271" xfId="0" applyNumberFormat="1" applyFont="1" applyFill="1" applyBorder="1" applyAlignment="1">
      <alignment horizontal="center" wrapText="1"/>
    </xf>
    <xf numFmtId="174" fontId="123" fillId="52" borderId="271" xfId="0" applyNumberFormat="1" applyFont="1" applyFill="1" applyBorder="1" applyAlignment="1">
      <alignment horizontal="center" wrapText="1"/>
    </xf>
    <xf numFmtId="11" fontId="123" fillId="52" borderId="269" xfId="0" applyNumberFormat="1" applyFont="1" applyFill="1" applyBorder="1" applyAlignment="1">
      <alignment horizontal="center" wrapText="1"/>
    </xf>
    <xf numFmtId="0" fontId="123" fillId="49" borderId="267" xfId="0" applyFont="1" applyFill="1" applyBorder="1" applyAlignment="1">
      <alignment horizontal="left" wrapText="1"/>
    </xf>
    <xf numFmtId="0" fontId="123" fillId="47" borderId="269" xfId="0" applyFont="1" applyFill="1" applyBorder="1" applyAlignment="1">
      <alignment horizontal="left" wrapText="1"/>
    </xf>
    <xf numFmtId="0" fontId="123" fillId="51" borderId="269" xfId="0" applyFont="1" applyFill="1" applyBorder="1" applyAlignment="1">
      <alignment horizontal="left" wrapText="1"/>
    </xf>
    <xf numFmtId="0" fontId="123" fillId="47" borderId="267" xfId="0" applyFont="1" applyFill="1" applyBorder="1" applyAlignment="1">
      <alignment horizontal="left" wrapText="1"/>
    </xf>
    <xf numFmtId="0" fontId="123" fillId="51" borderId="267" xfId="0" applyFont="1" applyFill="1" applyBorder="1" applyAlignment="1">
      <alignment horizontal="left" wrapText="1"/>
    </xf>
    <xf numFmtId="0" fontId="123" fillId="49" borderId="269" xfId="0" applyFont="1" applyFill="1" applyBorder="1" applyAlignment="1">
      <alignment horizontal="left" wrapText="1"/>
    </xf>
    <xf numFmtId="175" fontId="123" fillId="52" borderId="0" xfId="0" applyNumberFormat="1" applyFont="1" applyFill="1" applyAlignment="1">
      <alignment horizontal="center" wrapText="1"/>
    </xf>
    <xf numFmtId="0" fontId="123" fillId="48" borderId="269" xfId="0" applyFont="1" applyFill="1" applyBorder="1" applyAlignment="1">
      <alignment horizontal="left" wrapText="1"/>
    </xf>
    <xf numFmtId="175" fontId="123" fillId="52" borderId="271" xfId="0" applyNumberFormat="1" applyFont="1" applyFill="1" applyBorder="1" applyAlignment="1">
      <alignment horizontal="center" wrapText="1"/>
    </xf>
    <xf numFmtId="0" fontId="123" fillId="48" borderId="267" xfId="0" applyFont="1" applyFill="1" applyBorder="1" applyAlignment="1">
      <alignment horizontal="left" wrapText="1"/>
    </xf>
    <xf numFmtId="0" fontId="123" fillId="46" borderId="267" xfId="0" applyFont="1" applyFill="1" applyBorder="1" applyAlignment="1">
      <alignment horizontal="left" wrapText="1"/>
    </xf>
    <xf numFmtId="0" fontId="123" fillId="50" borderId="267" xfId="0" applyFont="1" applyFill="1" applyBorder="1" applyAlignment="1">
      <alignment horizontal="left" wrapText="1"/>
    </xf>
    <xf numFmtId="176" fontId="123" fillId="52" borderId="0" xfId="0" applyNumberFormat="1" applyFont="1" applyFill="1" applyAlignment="1">
      <alignment horizontal="center" wrapText="1"/>
    </xf>
    <xf numFmtId="176" fontId="123" fillId="52" borderId="271" xfId="0" applyNumberFormat="1" applyFont="1" applyFill="1" applyBorder="1" applyAlignment="1">
      <alignment horizontal="center" wrapText="1"/>
    </xf>
    <xf numFmtId="0" fontId="123" fillId="52" borderId="267" xfId="0" applyFont="1" applyFill="1" applyBorder="1" applyAlignment="1">
      <alignment horizontal="left" wrapText="1"/>
    </xf>
    <xf numFmtId="0" fontId="123" fillId="46" borderId="269" xfId="0" applyFont="1" applyFill="1" applyBorder="1" applyAlignment="1">
      <alignment horizontal="left" wrapText="1"/>
    </xf>
    <xf numFmtId="0" fontId="123" fillId="50" borderId="269" xfId="0" applyFont="1" applyFill="1" applyBorder="1" applyAlignment="1">
      <alignment horizontal="left" wrapText="1"/>
    </xf>
    <xf numFmtId="0" fontId="123" fillId="52" borderId="269" xfId="0" applyFont="1" applyFill="1" applyBorder="1" applyAlignment="1">
      <alignment horizontal="left" wrapText="1"/>
    </xf>
    <xf numFmtId="0" fontId="123" fillId="45" borderId="0" xfId="0" applyFont="1" applyFill="1" applyAlignment="1">
      <alignment horizontal="center" wrapText="1"/>
    </xf>
    <xf numFmtId="0" fontId="123" fillId="45" borderId="271" xfId="0" applyFont="1" applyFill="1" applyBorder="1" applyAlignment="1">
      <alignment horizontal="center" wrapText="1"/>
    </xf>
    <xf numFmtId="0" fontId="123" fillId="47" borderId="267" xfId="0" applyFont="1" applyFill="1" applyBorder="1" applyAlignment="1">
      <alignment horizontal="center" wrapText="1"/>
    </xf>
    <xf numFmtId="0" fontId="123" fillId="48" borderId="267" xfId="0" applyFont="1" applyFill="1" applyBorder="1" applyAlignment="1">
      <alignment horizontal="center" wrapText="1"/>
    </xf>
    <xf numFmtId="0" fontId="123" fillId="45" borderId="267" xfId="0" applyFont="1" applyFill="1" applyBorder="1" applyAlignment="1">
      <alignment horizontal="center" wrapText="1"/>
    </xf>
    <xf numFmtId="0" fontId="123" fillId="51" borderId="267" xfId="0" applyFont="1" applyFill="1" applyBorder="1" applyAlignment="1">
      <alignment horizontal="center" wrapText="1"/>
    </xf>
    <xf numFmtId="0" fontId="123" fillId="49" borderId="267" xfId="0" applyFont="1" applyFill="1" applyBorder="1" applyAlignment="1">
      <alignment horizontal="center" wrapText="1"/>
    </xf>
    <xf numFmtId="177" fontId="123" fillId="52" borderId="271" xfId="0" applyNumberFormat="1" applyFont="1" applyFill="1" applyBorder="1" applyAlignment="1">
      <alignment horizontal="center" wrapText="1"/>
    </xf>
    <xf numFmtId="178" fontId="123" fillId="52" borderId="0" xfId="0" applyNumberFormat="1" applyFont="1" applyFill="1" applyAlignment="1">
      <alignment horizontal="center" wrapText="1"/>
    </xf>
    <xf numFmtId="0" fontId="0" fillId="53" borderId="0" xfId="0" applyFill="1" applyAlignment="1">
      <alignment horizontal="left"/>
    </xf>
    <xf numFmtId="0" fontId="5" fillId="0" borderId="114" xfId="0" applyFont="1" applyBorder="1"/>
    <xf numFmtId="0" fontId="5" fillId="0" borderId="156" xfId="0" applyFont="1" applyBorder="1" applyAlignment="1">
      <alignment horizontal="left" wrapText="1"/>
    </xf>
    <xf numFmtId="0" fontId="126" fillId="54" borderId="0" xfId="0" applyFont="1" applyFill="1"/>
    <xf numFmtId="0" fontId="6" fillId="22" borderId="222" xfId="0" applyFont="1" applyFill="1" applyBorder="1" applyAlignment="1">
      <alignment horizontal="center" vertical="center" wrapText="1"/>
    </xf>
    <xf numFmtId="0" fontId="6" fillId="22" borderId="18" xfId="0" applyFont="1" applyFill="1" applyBorder="1" applyAlignment="1">
      <alignment horizontal="center" vertical="center" wrapText="1"/>
    </xf>
    <xf numFmtId="0" fontId="6" fillId="22" borderId="80" xfId="0" applyFont="1" applyFill="1" applyBorder="1" applyAlignment="1">
      <alignment horizontal="center" vertical="center" wrapText="1"/>
    </xf>
    <xf numFmtId="2" fontId="5" fillId="22" borderId="138" xfId="0" quotePrefix="1" applyNumberFormat="1" applyFont="1" applyFill="1" applyBorder="1" applyAlignment="1">
      <alignment horizontal="left" wrapText="1"/>
    </xf>
    <xf numFmtId="0" fontId="5" fillId="22" borderId="138" xfId="0" quotePrefix="1" applyFont="1" applyFill="1" applyBorder="1" applyAlignment="1">
      <alignment horizontal="left" wrapText="1"/>
    </xf>
    <xf numFmtId="11" fontId="5" fillId="22" borderId="138" xfId="0" quotePrefix="1" applyNumberFormat="1" applyFont="1" applyFill="1" applyBorder="1" applyAlignment="1">
      <alignment horizontal="left"/>
    </xf>
    <xf numFmtId="11" fontId="5" fillId="22" borderId="138" xfId="0" applyNumberFormat="1" applyFont="1" applyFill="1" applyBorder="1" applyAlignment="1">
      <alignment horizontal="left"/>
    </xf>
    <xf numFmtId="0" fontId="5" fillId="22" borderId="138" xfId="0" applyFont="1" applyFill="1" applyBorder="1" applyAlignment="1">
      <alignment horizontal="left" wrapText="1"/>
    </xf>
    <xf numFmtId="0" fontId="5" fillId="22" borderId="135" xfId="0" applyFont="1" applyFill="1" applyBorder="1"/>
    <xf numFmtId="49" fontId="109" fillId="54" borderId="133" xfId="0" applyNumberFormat="1" applyFont="1" applyFill="1" applyBorder="1"/>
    <xf numFmtId="0" fontId="109" fillId="55" borderId="133" xfId="0" applyFont="1" applyFill="1" applyBorder="1"/>
    <xf numFmtId="49" fontId="109" fillId="55" borderId="133" xfId="0" applyNumberFormat="1" applyFont="1" applyFill="1" applyBorder="1"/>
    <xf numFmtId="49" fontId="109" fillId="55" borderId="135" xfId="0" applyNumberFormat="1" applyFont="1" applyFill="1" applyBorder="1"/>
    <xf numFmtId="0" fontId="1" fillId="0" borderId="0" xfId="0" applyFont="1"/>
    <xf numFmtId="0" fontId="6" fillId="20" borderId="222" xfId="0" applyFont="1" applyFill="1" applyBorder="1" applyAlignment="1">
      <alignment horizontal="center" vertical="center" wrapText="1"/>
    </xf>
    <xf numFmtId="0" fontId="6" fillId="20" borderId="18" xfId="0" applyFont="1" applyFill="1" applyBorder="1" applyAlignment="1">
      <alignment horizontal="center" vertical="center" wrapText="1"/>
    </xf>
    <xf numFmtId="0" fontId="6" fillId="20" borderId="80" xfId="0" applyFont="1" applyFill="1" applyBorder="1" applyAlignment="1">
      <alignment horizontal="center" vertical="center" wrapText="1"/>
    </xf>
    <xf numFmtId="0" fontId="121" fillId="55" borderId="0" xfId="0" applyFont="1" applyFill="1" applyAlignment="1">
      <alignment horizontal="center" wrapText="1"/>
    </xf>
    <xf numFmtId="0" fontId="121" fillId="55" borderId="0" xfId="0" applyFont="1" applyFill="1" applyAlignment="1">
      <alignment horizontal="center"/>
    </xf>
    <xf numFmtId="0" fontId="121" fillId="55" borderId="0" xfId="0" applyFont="1" applyFill="1" applyAlignment="1">
      <alignment horizontal="center" vertical="center"/>
    </xf>
    <xf numFmtId="0" fontId="109" fillId="55" borderId="0" xfId="0" applyFont="1" applyFill="1"/>
    <xf numFmtId="0" fontId="129" fillId="55" borderId="5" xfId="0" applyFont="1" applyFill="1" applyBorder="1" applyAlignment="1">
      <alignment horizontal="centerContinuous"/>
    </xf>
    <xf numFmtId="0" fontId="129" fillId="55" borderId="0" xfId="0" applyFont="1" applyFill="1" applyAlignment="1">
      <alignment horizontal="center"/>
    </xf>
    <xf numFmtId="0" fontId="129" fillId="55" borderId="0" xfId="0" applyFont="1" applyFill="1" applyAlignment="1">
      <alignment horizontal="centerContinuous"/>
    </xf>
    <xf numFmtId="0" fontId="121" fillId="55" borderId="125" xfId="0" applyFont="1" applyFill="1" applyBorder="1" applyAlignment="1">
      <alignment horizontal="center" vertical="center" wrapText="1"/>
    </xf>
    <xf numFmtId="0" fontId="121" fillId="55" borderId="124" xfId="0" applyFont="1" applyFill="1" applyBorder="1" applyAlignment="1">
      <alignment horizontal="center" vertical="center" wrapText="1"/>
    </xf>
    <xf numFmtId="0" fontId="121" fillId="55" borderId="80" xfId="0" applyFont="1" applyFill="1" applyBorder="1" applyAlignment="1">
      <alignment horizontal="center" vertical="center" wrapText="1"/>
    </xf>
    <xf numFmtId="0" fontId="121" fillId="55" borderId="120" xfId="0" applyFont="1" applyFill="1" applyBorder="1" applyAlignment="1">
      <alignment horizontal="center" vertical="center" wrapText="1"/>
    </xf>
    <xf numFmtId="0" fontId="126" fillId="55" borderId="0" xfId="0" applyFont="1" applyFill="1"/>
    <xf numFmtId="0" fontId="6" fillId="22" borderId="0" xfId="0" applyFont="1" applyFill="1" applyAlignment="1">
      <alignment horizontal="center" wrapText="1"/>
    </xf>
    <xf numFmtId="0" fontId="45" fillId="22" borderId="5" xfId="0" applyFont="1" applyFill="1" applyBorder="1" applyAlignment="1">
      <alignment horizontal="centerContinuous"/>
    </xf>
    <xf numFmtId="0" fontId="6" fillId="22" borderId="9" xfId="0" applyFont="1" applyFill="1" applyBorder="1" applyAlignment="1">
      <alignment horizontal="center" vertical="center" wrapText="1"/>
    </xf>
    <xf numFmtId="0" fontId="45" fillId="22" borderId="0" xfId="0" applyFont="1" applyFill="1" applyAlignment="1">
      <alignment horizontal="centerContinuous"/>
    </xf>
    <xf numFmtId="0" fontId="121" fillId="55" borderId="134" xfId="0" applyFont="1" applyFill="1" applyBorder="1" applyAlignment="1">
      <alignment horizontal="center" vertical="center" wrapText="1"/>
    </xf>
    <xf numFmtId="0" fontId="6" fillId="22" borderId="60" xfId="0" applyFont="1" applyFill="1" applyBorder="1" applyAlignment="1">
      <alignment horizontal="center" vertical="center" wrapText="1"/>
    </xf>
    <xf numFmtId="0" fontId="121" fillId="55" borderId="0" xfId="0" applyFont="1" applyFill="1" applyAlignment="1">
      <alignment horizontal="center" vertical="center" wrapText="1"/>
    </xf>
    <xf numFmtId="0" fontId="23" fillId="6" borderId="0" xfId="0" applyFont="1" applyFill="1"/>
    <xf numFmtId="0" fontId="6" fillId="6" borderId="222" xfId="0" applyFont="1" applyFill="1" applyBorder="1" applyAlignment="1">
      <alignment horizontal="center" vertical="center" wrapText="1"/>
    </xf>
    <xf numFmtId="0" fontId="0" fillId="6" borderId="0" xfId="0" applyFill="1"/>
    <xf numFmtId="0" fontId="6" fillId="20" borderId="0" xfId="0" applyFont="1" applyFill="1" applyAlignment="1">
      <alignment horizontal="center" wrapText="1"/>
    </xf>
    <xf numFmtId="0" fontId="45" fillId="20" borderId="5" xfId="0" applyFont="1" applyFill="1" applyBorder="1" applyAlignment="1">
      <alignment horizontal="centerContinuous"/>
    </xf>
    <xf numFmtId="0" fontId="6" fillId="20" borderId="9" xfId="0" applyFont="1" applyFill="1" applyBorder="1" applyAlignment="1">
      <alignment horizontal="center" vertical="center" wrapText="1"/>
    </xf>
    <xf numFmtId="0" fontId="4" fillId="22" borderId="0" xfId="0" quotePrefix="1" applyFont="1" applyFill="1"/>
    <xf numFmtId="167" fontId="5" fillId="0" borderId="107" xfId="0" quotePrefix="1" applyNumberFormat="1" applyFont="1" applyBorder="1" applyAlignment="1">
      <alignment horizontal="center"/>
    </xf>
    <xf numFmtId="167" fontId="47" fillId="0" borderId="171" xfId="0" applyNumberFormat="1" applyFont="1" applyBorder="1" applyAlignment="1" applyProtection="1">
      <alignment horizontal="center" vertical="center"/>
      <protection hidden="1"/>
    </xf>
    <xf numFmtId="0" fontId="31" fillId="20" borderId="1" xfId="0" applyFont="1" applyFill="1" applyBorder="1" applyAlignment="1">
      <alignment horizontal="right" vertical="center"/>
    </xf>
    <xf numFmtId="0" fontId="31" fillId="20" borderId="0" xfId="0" applyFont="1" applyFill="1" applyAlignment="1">
      <alignment horizontal="right" vertical="center"/>
    </xf>
    <xf numFmtId="2" fontId="47" fillId="0" borderId="0" xfId="0" applyNumberFormat="1" applyFont="1" applyAlignment="1">
      <alignment horizontal="left" vertical="center"/>
    </xf>
    <xf numFmtId="2" fontId="47" fillId="0" borderId="157" xfId="0" applyNumberFormat="1" applyFont="1" applyBorder="1" applyAlignment="1">
      <alignment horizontal="left" vertical="center"/>
    </xf>
    <xf numFmtId="167" fontId="47" fillId="0" borderId="155" xfId="0" applyNumberFormat="1" applyFont="1" applyBorder="1" applyAlignment="1" applyProtection="1">
      <alignment horizontal="center" vertical="center"/>
      <protection hidden="1"/>
    </xf>
    <xf numFmtId="167" fontId="47" fillId="0" borderId="165" xfId="0" applyNumberFormat="1" applyFont="1" applyBorder="1" applyAlignment="1" applyProtection="1">
      <alignment horizontal="center" vertical="center"/>
      <protection hidden="1"/>
    </xf>
    <xf numFmtId="167" fontId="47" fillId="0" borderId="160" xfId="0" applyNumberFormat="1" applyFont="1" applyBorder="1" applyAlignment="1" applyProtection="1">
      <alignment horizontal="center" vertical="center"/>
      <protection hidden="1"/>
    </xf>
    <xf numFmtId="167" fontId="47" fillId="0" borderId="153" xfId="0" applyNumberFormat="1" applyFont="1" applyBorder="1" applyAlignment="1" applyProtection="1">
      <alignment horizontal="center" vertical="center"/>
      <protection hidden="1"/>
    </xf>
    <xf numFmtId="167" fontId="47" fillId="0" borderId="272" xfId="0" applyNumberFormat="1" applyFont="1" applyBorder="1" applyAlignment="1" applyProtection="1">
      <alignment horizontal="center" vertical="center"/>
      <protection hidden="1"/>
    </xf>
    <xf numFmtId="167" fontId="47" fillId="0" borderId="211" xfId="0" applyNumberFormat="1" applyFont="1" applyBorder="1" applyAlignment="1" applyProtection="1">
      <alignment horizontal="center" vertical="center"/>
      <protection hidden="1"/>
    </xf>
    <xf numFmtId="167" fontId="47" fillId="0" borderId="157" xfId="0" applyNumberFormat="1" applyFont="1" applyBorder="1" applyAlignment="1" applyProtection="1">
      <alignment horizontal="center" vertical="center"/>
      <protection hidden="1"/>
    </xf>
    <xf numFmtId="167" fontId="47" fillId="0" borderId="167" xfId="0" applyNumberFormat="1" applyFont="1" applyBorder="1" applyAlignment="1" applyProtection="1">
      <alignment horizontal="center" vertical="center"/>
      <protection hidden="1"/>
    </xf>
    <xf numFmtId="167" fontId="47" fillId="0" borderId="3" xfId="0" applyNumberFormat="1" applyFont="1" applyBorder="1" applyAlignment="1" applyProtection="1">
      <alignment horizontal="center" vertical="center"/>
      <protection hidden="1"/>
    </xf>
    <xf numFmtId="167" fontId="47" fillId="0" borderId="15" xfId="0" applyNumberFormat="1" applyFont="1" applyBorder="1" applyAlignment="1" applyProtection="1">
      <alignment horizontal="center" vertical="center"/>
      <protection hidden="1"/>
    </xf>
    <xf numFmtId="49" fontId="25" fillId="0" borderId="1" xfId="0" applyNumberFormat="1" applyFont="1" applyBorder="1" applyAlignment="1">
      <alignment horizontal="left" vertical="center"/>
    </xf>
    <xf numFmtId="0" fontId="1" fillId="0" borderId="72" xfId="1" applyFont="1" applyBorder="1" applyAlignment="1">
      <alignment horizontal="center" vertical="center" wrapText="1"/>
    </xf>
    <xf numFmtId="0" fontId="1" fillId="0" borderId="205" xfId="1" applyFont="1" applyBorder="1" applyAlignment="1">
      <alignment horizontal="center" vertical="center" wrapText="1"/>
    </xf>
    <xf numFmtId="167" fontId="1" fillId="0" borderId="137" xfId="1" applyNumberFormat="1" applyFont="1" applyBorder="1" applyAlignment="1">
      <alignment horizontal="center" vertical="center"/>
    </xf>
    <xf numFmtId="167" fontId="1" fillId="0" borderId="120" xfId="1" applyNumberFormat="1" applyFont="1" applyBorder="1" applyAlignment="1">
      <alignment horizontal="center" vertical="center"/>
    </xf>
    <xf numFmtId="167" fontId="6" fillId="0" borderId="162" xfId="0" applyNumberFormat="1" applyFont="1" applyBorder="1" applyAlignment="1">
      <alignment horizontal="centerContinuous"/>
    </xf>
    <xf numFmtId="167" fontId="5" fillId="0" borderId="157" xfId="0" applyNumberFormat="1" applyFont="1" applyBorder="1" applyAlignment="1">
      <alignment horizontal="center" wrapText="1"/>
    </xf>
    <xf numFmtId="167" fontId="5" fillId="0" borderId="3" xfId="0" applyNumberFormat="1" applyFont="1" applyBorder="1" applyAlignment="1">
      <alignment vertical="center"/>
    </xf>
    <xf numFmtId="49" fontId="5" fillId="0" borderId="16" xfId="0" applyNumberFormat="1" applyFont="1" applyBorder="1"/>
    <xf numFmtId="49" fontId="11" fillId="0" borderId="0" xfId="0" applyNumberFormat="1" applyFont="1" applyAlignment="1">
      <alignment horizontal="center"/>
    </xf>
    <xf numFmtId="0" fontId="5" fillId="0" borderId="0" xfId="0" applyFont="1" applyAlignment="1">
      <alignment horizontal="left" vertical="top"/>
    </xf>
    <xf numFmtId="167" fontId="5" fillId="0" borderId="19" xfId="0" applyNumberFormat="1" applyFont="1" applyBorder="1" applyAlignment="1">
      <alignment horizontal="center"/>
    </xf>
    <xf numFmtId="167" fontId="5" fillId="0" borderId="273" xfId="0" applyNumberFormat="1" applyFont="1" applyBorder="1" applyAlignment="1">
      <alignment horizontal="center" wrapText="1"/>
    </xf>
    <xf numFmtId="167" fontId="5" fillId="16" borderId="221" xfId="0" applyNumberFormat="1" applyFont="1" applyFill="1" applyBorder="1" applyAlignment="1">
      <alignment horizontal="center"/>
    </xf>
    <xf numFmtId="167" fontId="5" fillId="16" borderId="158" xfId="0" applyNumberFormat="1" applyFont="1" applyFill="1" applyBorder="1" applyAlignment="1">
      <alignment horizontal="center"/>
    </xf>
    <xf numFmtId="167" fontId="5" fillId="16" borderId="180" xfId="0" applyNumberFormat="1" applyFont="1" applyFill="1" applyBorder="1" applyAlignment="1">
      <alignment horizontal="center"/>
    </xf>
    <xf numFmtId="167" fontId="5" fillId="16" borderId="274" xfId="0" applyNumberFormat="1" applyFont="1" applyFill="1" applyBorder="1" applyAlignment="1">
      <alignment horizontal="center"/>
    </xf>
    <xf numFmtId="167" fontId="6" fillId="22" borderId="120" xfId="0" applyNumberFormat="1" applyFont="1" applyFill="1" applyBorder="1" applyAlignment="1">
      <alignment horizontal="center" vertical="center" wrapText="1"/>
    </xf>
    <xf numFmtId="170" fontId="5" fillId="0" borderId="70" xfId="0" applyNumberFormat="1" applyFont="1" applyBorder="1" applyAlignment="1">
      <alignment horizontal="center"/>
    </xf>
    <xf numFmtId="167" fontId="5" fillId="0" borderId="70" xfId="0" applyNumberFormat="1" applyFont="1" applyBorder="1" applyAlignment="1">
      <alignment horizontal="center"/>
    </xf>
    <xf numFmtId="167" fontId="5" fillId="0" borderId="70" xfId="0" applyNumberFormat="1" applyFont="1" applyBorder="1"/>
    <xf numFmtId="170" fontId="5" fillId="0" borderId="70" xfId="0" applyNumberFormat="1" applyFont="1" applyBorder="1"/>
    <xf numFmtId="170" fontId="5" fillId="20" borderId="70" xfId="0" applyNumberFormat="1" applyFont="1" applyFill="1" applyBorder="1" applyAlignment="1">
      <alignment horizontal="center"/>
    </xf>
    <xf numFmtId="0" fontId="5" fillId="0" borderId="70" xfId="0" applyFont="1" applyBorder="1" applyAlignment="1">
      <alignment horizontal="center"/>
    </xf>
    <xf numFmtId="0" fontId="4" fillId="7" borderId="5" xfId="1" applyFill="1" applyBorder="1" applyAlignment="1">
      <alignment horizontal="left" vertical="center" wrapText="1"/>
    </xf>
    <xf numFmtId="0" fontId="0" fillId="0" borderId="0" xfId="0" applyAlignment="1">
      <alignment horizontal="center" wrapText="1"/>
    </xf>
    <xf numFmtId="0" fontId="49" fillId="0" borderId="276" xfId="0" applyFont="1" applyBorder="1" applyAlignment="1">
      <alignment vertical="center" wrapText="1"/>
    </xf>
    <xf numFmtId="0" fontId="49" fillId="0" borderId="277" xfId="0" applyFont="1" applyBorder="1" applyAlignment="1">
      <alignment horizontal="center" vertical="center" wrapText="1"/>
    </xf>
    <xf numFmtId="0" fontId="49" fillId="0" borderId="278" xfId="0" applyFont="1" applyBorder="1" applyAlignment="1">
      <alignment horizontal="center" vertical="center" wrapText="1"/>
    </xf>
    <xf numFmtId="167" fontId="49" fillId="0" borderId="278" xfId="0" applyNumberFormat="1" applyFont="1" applyBorder="1" applyAlignment="1">
      <alignment horizontal="center" vertical="center" wrapText="1"/>
    </xf>
    <xf numFmtId="0" fontId="49" fillId="0" borderId="279" xfId="0" applyFont="1" applyBorder="1" applyAlignment="1">
      <alignment horizontal="center" vertical="center" wrapText="1"/>
    </xf>
    <xf numFmtId="167" fontId="49" fillId="0" borderId="277" xfId="0" applyNumberFormat="1" applyFont="1" applyBorder="1" applyAlignment="1">
      <alignment horizontal="center" vertical="center" wrapText="1"/>
    </xf>
    <xf numFmtId="0" fontId="49" fillId="0" borderId="280" xfId="0" applyFont="1" applyBorder="1" applyAlignment="1">
      <alignment horizontal="center" vertical="center" wrapText="1"/>
    </xf>
    <xf numFmtId="14" fontId="49" fillId="0" borderId="277" xfId="0" applyNumberFormat="1" applyFont="1" applyBorder="1" applyAlignment="1">
      <alignment horizontal="center" vertical="center" wrapText="1"/>
    </xf>
    <xf numFmtId="0" fontId="49" fillId="0" borderId="8" xfId="0" applyFont="1" applyBorder="1" applyAlignment="1">
      <alignment horizontal="center" vertical="center" wrapText="1"/>
    </xf>
    <xf numFmtId="0" fontId="49" fillId="0" borderId="4" xfId="0" applyFont="1" applyBorder="1" applyAlignment="1">
      <alignment vertical="center" wrapText="1"/>
    </xf>
    <xf numFmtId="0" fontId="49" fillId="0" borderId="5" xfId="0" applyFont="1" applyBorder="1" applyAlignment="1">
      <alignment horizontal="center" vertical="center" wrapText="1"/>
    </xf>
    <xf numFmtId="167" fontId="49" fillId="0" borderId="5" xfId="0" applyNumberFormat="1" applyFont="1" applyBorder="1" applyAlignment="1">
      <alignment horizontal="center" vertical="center" wrapText="1"/>
    </xf>
    <xf numFmtId="0" fontId="49" fillId="0" borderId="16" xfId="0" applyFont="1" applyBorder="1" applyAlignment="1">
      <alignment horizontal="center" vertical="center" wrapText="1"/>
    </xf>
    <xf numFmtId="0" fontId="96" fillId="0" borderId="0" xfId="0" applyFont="1" applyAlignment="1">
      <alignment vertical="center"/>
    </xf>
    <xf numFmtId="11" fontId="0" fillId="0" borderId="0" xfId="0" applyNumberFormat="1" applyAlignment="1">
      <alignment horizontal="center"/>
    </xf>
    <xf numFmtId="11" fontId="0" fillId="6" borderId="0" xfId="0" applyNumberFormat="1" applyFill="1" applyAlignment="1">
      <alignment horizontal="center"/>
    </xf>
    <xf numFmtId="11" fontId="0" fillId="15" borderId="0" xfId="0" applyNumberFormat="1" applyFill="1" applyAlignment="1">
      <alignment horizontal="center"/>
    </xf>
    <xf numFmtId="0" fontId="5" fillId="0" borderId="215" xfId="0" quotePrefix="1" applyFont="1" applyBorder="1" applyAlignment="1">
      <alignment horizontal="center"/>
    </xf>
    <xf numFmtId="0" fontId="4" fillId="53" borderId="0" xfId="0" applyFont="1" applyFill="1" applyAlignment="1">
      <alignment horizontal="center"/>
    </xf>
    <xf numFmtId="0" fontId="0" fillId="20" borderId="0" xfId="0" applyFill="1" applyAlignment="1">
      <alignment horizontal="center"/>
    </xf>
    <xf numFmtId="0" fontId="6" fillId="20" borderId="33" xfId="0" applyFont="1" applyFill="1" applyBorder="1" applyAlignment="1">
      <alignment horizontal="center" vertical="center" wrapText="1"/>
    </xf>
    <xf numFmtId="9" fontId="0" fillId="20" borderId="0" xfId="13" applyFont="1" applyFill="1" applyAlignment="1">
      <alignment horizontal="center"/>
    </xf>
    <xf numFmtId="9" fontId="0" fillId="56" borderId="0" xfId="13" applyFont="1" applyFill="1" applyAlignment="1">
      <alignment horizontal="center"/>
    </xf>
    <xf numFmtId="9" fontId="0" fillId="6" borderId="0" xfId="13" applyFont="1" applyFill="1" applyAlignment="1">
      <alignment horizontal="center"/>
    </xf>
    <xf numFmtId="0" fontId="4" fillId="0" borderId="0" xfId="1" applyAlignment="1">
      <alignment horizontal="center" vertical="center"/>
    </xf>
    <xf numFmtId="0" fontId="4" fillId="0" borderId="18" xfId="1" applyBorder="1" applyAlignment="1">
      <alignment horizontal="center" vertical="center"/>
    </xf>
    <xf numFmtId="0" fontId="4" fillId="0" borderId="70" xfId="1" applyBorder="1" applyAlignment="1">
      <alignment horizontal="center" vertical="center"/>
    </xf>
    <xf numFmtId="0" fontId="0" fillId="0" borderId="122" xfId="0" applyBorder="1"/>
    <xf numFmtId="0" fontId="0" fillId="0" borderId="70" xfId="0" applyBorder="1"/>
    <xf numFmtId="0" fontId="0" fillId="0" borderId="28" xfId="0" applyBorder="1" applyAlignment="1">
      <alignment horizontal="left"/>
    </xf>
    <xf numFmtId="0" fontId="0" fillId="0" borderId="18" xfId="0" applyBorder="1" applyAlignment="1">
      <alignment horizontal="center"/>
    </xf>
    <xf numFmtId="0" fontId="0" fillId="0" borderId="214" xfId="0" applyBorder="1" applyAlignment="1">
      <alignment horizontal="left"/>
    </xf>
    <xf numFmtId="0" fontId="0" fillId="0" borderId="27" xfId="0" applyBorder="1" applyAlignment="1">
      <alignment horizontal="center"/>
    </xf>
    <xf numFmtId="0" fontId="4" fillId="0" borderId="0" xfId="1" applyAlignment="1">
      <alignment horizontal="left" vertical="center"/>
    </xf>
    <xf numFmtId="0" fontId="0" fillId="0" borderId="18" xfId="0" applyBorder="1"/>
    <xf numFmtId="167" fontId="0" fillId="0" borderId="28" xfId="0" applyNumberFormat="1" applyBorder="1" applyAlignment="1">
      <alignment horizontal="center"/>
    </xf>
    <xf numFmtId="167" fontId="0" fillId="0" borderId="0" xfId="0" applyNumberFormat="1" applyAlignment="1">
      <alignment horizontal="center"/>
    </xf>
    <xf numFmtId="9" fontId="0" fillId="0" borderId="0" xfId="13" applyFont="1" applyFill="1" applyBorder="1" applyAlignment="1">
      <alignment horizontal="center"/>
    </xf>
    <xf numFmtId="9" fontId="0" fillId="0" borderId="66" xfId="13" applyFont="1" applyFill="1" applyBorder="1" applyAlignment="1">
      <alignment horizontal="center"/>
    </xf>
    <xf numFmtId="9" fontId="0" fillId="0" borderId="18" xfId="13" applyFont="1" applyFill="1" applyBorder="1" applyAlignment="1">
      <alignment horizontal="center"/>
    </xf>
    <xf numFmtId="9" fontId="0" fillId="34" borderId="0" xfId="13" applyFont="1" applyFill="1" applyBorder="1" applyAlignment="1">
      <alignment horizontal="center"/>
    </xf>
    <xf numFmtId="9" fontId="0" fillId="34" borderId="18" xfId="13" applyFont="1" applyFill="1" applyBorder="1" applyAlignment="1">
      <alignment horizontal="center"/>
    </xf>
    <xf numFmtId="167" fontId="0" fillId="6" borderId="0" xfId="0" applyNumberFormat="1" applyFill="1" applyAlignment="1">
      <alignment horizontal="center"/>
    </xf>
    <xf numFmtId="9" fontId="136" fillId="33" borderId="0" xfId="13" applyFont="1" applyFill="1" applyBorder="1" applyAlignment="1">
      <alignment horizontal="center"/>
    </xf>
    <xf numFmtId="9" fontId="136" fillId="33" borderId="18" xfId="13" applyFont="1" applyFill="1" applyBorder="1" applyAlignment="1">
      <alignment horizontal="center"/>
    </xf>
    <xf numFmtId="9" fontId="0" fillId="33" borderId="0" xfId="13" applyFont="1" applyFill="1" applyBorder="1" applyAlignment="1">
      <alignment horizontal="center"/>
    </xf>
    <xf numFmtId="0" fontId="0" fillId="53" borderId="0" xfId="0" applyFill="1" applyAlignment="1">
      <alignment horizontal="center" vertical="top"/>
    </xf>
    <xf numFmtId="0" fontId="123" fillId="11" borderId="266" xfId="0" applyFont="1" applyFill="1" applyBorder="1" applyAlignment="1">
      <alignment horizontal="center" vertical="top"/>
    </xf>
    <xf numFmtId="0" fontId="123" fillId="11" borderId="266" xfId="0" applyFont="1" applyFill="1" applyBorder="1" applyAlignment="1">
      <alignment horizontal="center" vertical="top" wrapText="1"/>
    </xf>
    <xf numFmtId="0" fontId="123" fillId="11" borderId="283" xfId="0" applyFont="1" applyFill="1" applyBorder="1" applyAlignment="1">
      <alignment horizontal="center" vertical="top"/>
    </xf>
    <xf numFmtId="0" fontId="123" fillId="11" borderId="70" xfId="0" applyFont="1" applyFill="1" applyBorder="1" applyAlignment="1">
      <alignment horizontal="center" vertical="top"/>
    </xf>
    <xf numFmtId="0" fontId="123" fillId="11" borderId="284" xfId="0" applyFont="1" applyFill="1" applyBorder="1" applyAlignment="1">
      <alignment horizontal="center" vertical="top"/>
    </xf>
    <xf numFmtId="0" fontId="123" fillId="58" borderId="286" xfId="0" applyFont="1" applyFill="1" applyBorder="1" applyAlignment="1">
      <alignment wrapText="1"/>
    </xf>
    <xf numFmtId="0" fontId="123" fillId="58" borderId="287" xfId="0" applyFont="1" applyFill="1" applyBorder="1" applyAlignment="1">
      <alignment wrapText="1"/>
    </xf>
    <xf numFmtId="0" fontId="123" fillId="58" borderId="288" xfId="0" applyFont="1" applyFill="1" applyBorder="1" applyAlignment="1">
      <alignment wrapText="1"/>
    </xf>
    <xf numFmtId="0" fontId="123" fillId="58" borderId="267" xfId="0" applyFont="1" applyFill="1" applyBorder="1" applyAlignment="1">
      <alignment horizontal="left" wrapText="1"/>
    </xf>
    <xf numFmtId="0" fontId="123" fillId="58" borderId="0" xfId="0" applyFont="1" applyFill="1" applyAlignment="1">
      <alignment horizontal="left" wrapText="1"/>
    </xf>
    <xf numFmtId="0" fontId="123" fillId="59" borderId="268" xfId="0" applyFont="1" applyFill="1" applyBorder="1" applyAlignment="1">
      <alignment horizontal="center" wrapText="1"/>
    </xf>
    <xf numFmtId="0" fontId="123" fillId="59" borderId="0" xfId="0" applyFont="1" applyFill="1" applyAlignment="1">
      <alignment horizontal="left" wrapText="1"/>
    </xf>
    <xf numFmtId="0" fontId="123" fillId="59" borderId="0" xfId="0" applyFont="1" applyFill="1" applyAlignment="1">
      <alignment horizontal="center" wrapText="1"/>
    </xf>
    <xf numFmtId="11" fontId="123" fillId="59" borderId="0" xfId="0" applyNumberFormat="1" applyFont="1" applyFill="1" applyAlignment="1">
      <alignment horizontal="center" wrapText="1"/>
    </xf>
    <xf numFmtId="0" fontId="123" fillId="59" borderId="267" xfId="0" applyFont="1" applyFill="1" applyBorder="1" applyAlignment="1">
      <alignment horizontal="center" wrapText="1"/>
    </xf>
    <xf numFmtId="11" fontId="123" fillId="60" borderId="0" xfId="0" applyNumberFormat="1" applyFont="1" applyFill="1" applyAlignment="1">
      <alignment horizontal="center" wrapText="1"/>
    </xf>
    <xf numFmtId="0" fontId="123" fillId="60" borderId="0" xfId="0" applyFont="1" applyFill="1" applyAlignment="1">
      <alignment horizontal="center" wrapText="1"/>
    </xf>
    <xf numFmtId="0" fontId="123" fillId="60" borderId="0" xfId="0" applyFont="1" applyFill="1" applyAlignment="1">
      <alignment horizontal="left" wrapText="1"/>
    </xf>
    <xf numFmtId="0" fontId="123" fillId="60" borderId="267" xfId="0" applyFont="1" applyFill="1" applyBorder="1" applyAlignment="1">
      <alignment horizontal="center" wrapText="1"/>
    </xf>
    <xf numFmtId="11" fontId="123" fillId="61" borderId="0" xfId="0" applyNumberFormat="1" applyFont="1" applyFill="1" applyAlignment="1">
      <alignment horizontal="center" wrapText="1"/>
    </xf>
    <xf numFmtId="0" fontId="123" fillId="61" borderId="0" xfId="0" applyFont="1" applyFill="1" applyAlignment="1">
      <alignment horizontal="center" wrapText="1"/>
    </xf>
    <xf numFmtId="0" fontId="123" fillId="61" borderId="267" xfId="0" applyFont="1" applyFill="1" applyBorder="1" applyAlignment="1">
      <alignment horizontal="center" wrapText="1"/>
    </xf>
    <xf numFmtId="11" fontId="123" fillId="59" borderId="267" xfId="0" applyNumberFormat="1" applyFont="1" applyFill="1" applyBorder="1" applyAlignment="1">
      <alignment horizontal="center" wrapText="1"/>
    </xf>
    <xf numFmtId="0" fontId="123" fillId="58" borderId="269" xfId="0" applyFont="1" applyFill="1" applyBorder="1" applyAlignment="1">
      <alignment horizontal="left" wrapText="1"/>
    </xf>
    <xf numFmtId="0" fontId="123" fillId="58" borderId="271" xfId="0" applyFont="1" applyFill="1" applyBorder="1" applyAlignment="1">
      <alignment horizontal="left" wrapText="1"/>
    </xf>
    <xf numFmtId="0" fontId="123" fillId="59" borderId="270" xfId="0" applyFont="1" applyFill="1" applyBorder="1" applyAlignment="1">
      <alignment horizontal="center" wrapText="1"/>
    </xf>
    <xf numFmtId="0" fontId="123" fillId="59" borderId="271" xfId="0" applyFont="1" applyFill="1" applyBorder="1" applyAlignment="1">
      <alignment horizontal="left" wrapText="1"/>
    </xf>
    <xf numFmtId="0" fontId="123" fillId="59" borderId="271" xfId="0" applyFont="1" applyFill="1" applyBorder="1" applyAlignment="1">
      <alignment horizontal="center" wrapText="1"/>
    </xf>
    <xf numFmtId="11" fontId="123" fillId="59" borderId="271" xfId="0" applyNumberFormat="1" applyFont="1" applyFill="1" applyBorder="1" applyAlignment="1">
      <alignment horizontal="center" wrapText="1"/>
    </xf>
    <xf numFmtId="0" fontId="123" fillId="59" borderId="269" xfId="0" applyFont="1" applyFill="1" applyBorder="1" applyAlignment="1">
      <alignment horizontal="center" wrapText="1"/>
    </xf>
    <xf numFmtId="11" fontId="123" fillId="60" borderId="271" xfId="0" applyNumberFormat="1" applyFont="1" applyFill="1" applyBorder="1" applyAlignment="1">
      <alignment horizontal="center" wrapText="1"/>
    </xf>
    <xf numFmtId="0" fontId="123" fillId="60" borderId="271" xfId="0" applyFont="1" applyFill="1" applyBorder="1" applyAlignment="1">
      <alignment horizontal="center" wrapText="1"/>
    </xf>
    <xf numFmtId="0" fontId="123" fillId="60" borderId="271" xfId="0" applyFont="1" applyFill="1" applyBorder="1" applyAlignment="1">
      <alignment horizontal="left" wrapText="1"/>
    </xf>
    <xf numFmtId="0" fontId="123" fillId="60" borderId="269" xfId="0" applyFont="1" applyFill="1" applyBorder="1" applyAlignment="1">
      <alignment horizontal="center" wrapText="1"/>
    </xf>
    <xf numFmtId="11" fontId="123" fillId="61" borderId="271" xfId="0" applyNumberFormat="1" applyFont="1" applyFill="1" applyBorder="1" applyAlignment="1">
      <alignment horizontal="center" wrapText="1"/>
    </xf>
    <xf numFmtId="0" fontId="123" fillId="61" borderId="271" xfId="0" applyFont="1" applyFill="1" applyBorder="1" applyAlignment="1">
      <alignment horizontal="center" wrapText="1"/>
    </xf>
    <xf numFmtId="0" fontId="123" fillId="61" borderId="269" xfId="0" applyFont="1" applyFill="1" applyBorder="1" applyAlignment="1">
      <alignment horizontal="center" wrapText="1"/>
    </xf>
    <xf numFmtId="0" fontId="123" fillId="60" borderId="267" xfId="0" applyFont="1" applyFill="1" applyBorder="1" applyAlignment="1">
      <alignment horizontal="left" wrapText="1"/>
    </xf>
    <xf numFmtId="0" fontId="123" fillId="61" borderId="0" xfId="0" applyFont="1" applyFill="1" applyAlignment="1">
      <alignment horizontal="left" wrapText="1"/>
    </xf>
    <xf numFmtId="11" fontId="123" fillId="59" borderId="269" xfId="0" applyNumberFormat="1" applyFont="1" applyFill="1" applyBorder="1" applyAlignment="1">
      <alignment horizontal="center" wrapText="1"/>
    </xf>
    <xf numFmtId="11" fontId="123" fillId="59" borderId="268" xfId="0" applyNumberFormat="1" applyFont="1" applyFill="1" applyBorder="1" applyAlignment="1">
      <alignment horizontal="center" wrapText="1"/>
    </xf>
    <xf numFmtId="11" fontId="123" fillId="59" borderId="270" xfId="0" applyNumberFormat="1" applyFont="1" applyFill="1" applyBorder="1" applyAlignment="1">
      <alignment horizontal="center" wrapText="1"/>
    </xf>
    <xf numFmtId="11" fontId="123" fillId="61" borderId="267" xfId="0" applyNumberFormat="1" applyFont="1" applyFill="1" applyBorder="1" applyAlignment="1">
      <alignment horizontal="center" wrapText="1"/>
    </xf>
    <xf numFmtId="11" fontId="123" fillId="61" borderId="269" xfId="0" applyNumberFormat="1" applyFont="1" applyFill="1" applyBorder="1" applyAlignment="1">
      <alignment horizontal="center" wrapText="1"/>
    </xf>
    <xf numFmtId="0" fontId="123" fillId="61" borderId="271" xfId="0" applyFont="1" applyFill="1" applyBorder="1" applyAlignment="1">
      <alignment horizontal="left" wrapText="1"/>
    </xf>
    <xf numFmtId="14" fontId="123" fillId="58" borderId="269" xfId="0" applyNumberFormat="1" applyFont="1" applyFill="1" applyBorder="1" applyAlignment="1">
      <alignment horizontal="left" wrapText="1"/>
    </xf>
    <xf numFmtId="14" fontId="123" fillId="58" borderId="267" xfId="0" applyNumberFormat="1" applyFont="1" applyFill="1" applyBorder="1" applyAlignment="1">
      <alignment horizontal="left" wrapText="1"/>
    </xf>
    <xf numFmtId="0" fontId="123" fillId="60" borderId="269" xfId="0" applyFont="1" applyFill="1" applyBorder="1" applyAlignment="1">
      <alignment horizontal="left" wrapText="1"/>
    </xf>
    <xf numFmtId="0" fontId="123" fillId="60" borderId="268" xfId="0" applyFont="1" applyFill="1" applyBorder="1" applyAlignment="1">
      <alignment horizontal="center" wrapText="1"/>
    </xf>
    <xf numFmtId="0" fontId="123" fillId="60" borderId="270" xfId="0" applyFont="1" applyFill="1" applyBorder="1" applyAlignment="1">
      <alignment horizontal="center" wrapText="1"/>
    </xf>
    <xf numFmtId="0" fontId="123" fillId="60" borderId="289" xfId="0" applyFont="1" applyFill="1" applyBorder="1" applyAlignment="1">
      <alignment horizontal="center" wrapText="1"/>
    </xf>
    <xf numFmtId="167" fontId="0" fillId="20" borderId="28" xfId="0" applyNumberFormat="1" applyFill="1" applyBorder="1" applyAlignment="1">
      <alignment horizontal="center"/>
    </xf>
    <xf numFmtId="167" fontId="0" fillId="20" borderId="0" xfId="0" applyNumberFormat="1" applyFill="1" applyAlignment="1">
      <alignment horizontal="center"/>
    </xf>
    <xf numFmtId="9" fontId="0" fillId="20" borderId="0" xfId="13" applyFont="1" applyFill="1" applyBorder="1" applyAlignment="1">
      <alignment horizontal="center"/>
    </xf>
    <xf numFmtId="9" fontId="0" fillId="20" borderId="18" xfId="13" applyFont="1" applyFill="1" applyBorder="1" applyAlignment="1">
      <alignment horizontal="center"/>
    </xf>
    <xf numFmtId="0" fontId="7" fillId="0" borderId="0" xfId="0" applyFont="1"/>
    <xf numFmtId="0" fontId="7" fillId="16" borderId="70" xfId="0" applyFont="1" applyFill="1" applyBorder="1" applyAlignment="1">
      <alignment horizontal="center" vertical="center" wrapText="1"/>
    </xf>
    <xf numFmtId="0" fontId="7" fillId="18" borderId="70" xfId="0" applyFont="1" applyFill="1" applyBorder="1" applyAlignment="1">
      <alignment horizontal="center" vertical="center" wrapText="1"/>
    </xf>
    <xf numFmtId="0" fontId="7" fillId="33" borderId="70" xfId="0" applyFont="1" applyFill="1" applyBorder="1" applyAlignment="1">
      <alignment horizontal="center" vertical="center" wrapText="1"/>
    </xf>
    <xf numFmtId="0" fontId="7" fillId="0" borderId="0" xfId="0" applyFont="1" applyAlignment="1">
      <alignment horizontal="center" wrapText="1"/>
    </xf>
    <xf numFmtId="9" fontId="137" fillId="0" borderId="0" xfId="13" applyFont="1" applyFill="1" applyBorder="1" applyAlignment="1">
      <alignment horizontal="center"/>
    </xf>
    <xf numFmtId="167" fontId="4" fillId="6" borderId="0" xfId="0" applyNumberFormat="1" applyFont="1" applyFill="1" applyAlignment="1">
      <alignment horizontal="center"/>
    </xf>
    <xf numFmtId="0" fontId="7" fillId="0" borderId="70" xfId="0" applyFont="1" applyBorder="1" applyAlignment="1">
      <alignment vertical="center" wrapText="1"/>
    </xf>
    <xf numFmtId="0" fontId="7" fillId="0" borderId="70" xfId="0" applyFont="1" applyBorder="1" applyAlignment="1">
      <alignment horizontal="center" vertical="center"/>
    </xf>
    <xf numFmtId="167" fontId="138" fillId="0" borderId="0" xfId="0" applyNumberFormat="1" applyFont="1" applyAlignment="1">
      <alignment horizontal="center"/>
    </xf>
    <xf numFmtId="0" fontId="4" fillId="0" borderId="28" xfId="0" applyFont="1" applyBorder="1" applyAlignment="1">
      <alignment horizontal="left"/>
    </xf>
    <xf numFmtId="0" fontId="7" fillId="0" borderId="70" xfId="0" applyFont="1" applyBorder="1" applyAlignment="1">
      <alignment wrapText="1"/>
    </xf>
    <xf numFmtId="9" fontId="0" fillId="33" borderId="18" xfId="13" applyFont="1" applyFill="1" applyBorder="1" applyAlignment="1">
      <alignment horizontal="center"/>
    </xf>
    <xf numFmtId="9" fontId="4" fillId="0" borderId="0" xfId="13" quotePrefix="1" applyFont="1" applyFill="1" applyBorder="1" applyAlignment="1">
      <alignment horizontal="center"/>
    </xf>
    <xf numFmtId="170" fontId="5" fillId="0" borderId="42" xfId="0" applyNumberFormat="1" applyFont="1" applyBorder="1" applyAlignment="1">
      <alignment horizontal="center"/>
    </xf>
    <xf numFmtId="0" fontId="6" fillId="16" borderId="125" xfId="0" applyFont="1" applyFill="1" applyBorder="1" applyAlignment="1">
      <alignment horizontal="center" vertical="center" wrapText="1"/>
    </xf>
    <xf numFmtId="0" fontId="6" fillId="16" borderId="80" xfId="0" applyFont="1" applyFill="1" applyBorder="1" applyAlignment="1">
      <alignment horizontal="center" vertical="center" wrapText="1"/>
    </xf>
    <xf numFmtId="0" fontId="6" fillId="16" borderId="120" xfId="0" applyFont="1" applyFill="1" applyBorder="1" applyAlignment="1">
      <alignment horizontal="center" vertical="center" wrapText="1"/>
    </xf>
    <xf numFmtId="167" fontId="6" fillId="22" borderId="134" xfId="0" applyNumberFormat="1" applyFont="1" applyFill="1" applyBorder="1" applyAlignment="1">
      <alignment horizontal="center" vertical="center" wrapText="1"/>
    </xf>
    <xf numFmtId="11" fontId="6" fillId="0" borderId="42" xfId="0" applyNumberFormat="1" applyFont="1" applyBorder="1" applyAlignment="1">
      <alignment horizontal="center" vertical="center" wrapText="1"/>
    </xf>
    <xf numFmtId="167" fontId="6" fillId="22" borderId="214" xfId="0" applyNumberFormat="1" applyFont="1" applyFill="1" applyBorder="1" applyAlignment="1">
      <alignment horizontal="center" vertical="center" wrapText="1"/>
    </xf>
    <xf numFmtId="167" fontId="6" fillId="22" borderId="227" xfId="0" applyNumberFormat="1" applyFont="1" applyFill="1" applyBorder="1" applyAlignment="1">
      <alignment horizontal="center" vertical="center" wrapText="1"/>
    </xf>
    <xf numFmtId="170" fontId="5" fillId="0" borderId="152" xfId="0" quotePrefix="1" applyNumberFormat="1" applyFont="1" applyBorder="1" applyAlignment="1">
      <alignment horizontal="center"/>
    </xf>
    <xf numFmtId="170" fontId="5" fillId="20" borderId="152" xfId="0" applyNumberFormat="1" applyFont="1" applyFill="1" applyBorder="1" applyAlignment="1">
      <alignment horizontal="center"/>
    </xf>
    <xf numFmtId="167" fontId="6" fillId="22" borderId="204" xfId="0" applyNumberFormat="1" applyFont="1" applyFill="1" applyBorder="1" applyAlignment="1">
      <alignment horizontal="center" vertical="center" wrapText="1"/>
    </xf>
    <xf numFmtId="170" fontId="5" fillId="0" borderId="180" xfId="0" applyNumberFormat="1" applyFont="1" applyBorder="1" applyAlignment="1">
      <alignment horizontal="center"/>
    </xf>
    <xf numFmtId="170" fontId="5" fillId="0" borderId="156" xfId="0" applyNumberFormat="1" applyFont="1" applyBorder="1" applyAlignment="1">
      <alignment horizontal="center"/>
    </xf>
    <xf numFmtId="170" fontId="5" fillId="0" borderId="87" xfId="0" applyNumberFormat="1" applyFont="1" applyBorder="1" applyAlignment="1">
      <alignment horizontal="center"/>
    </xf>
    <xf numFmtId="170" fontId="5" fillId="24" borderId="152" xfId="0" applyNumberFormat="1" applyFont="1" applyFill="1" applyBorder="1" applyAlignment="1">
      <alignment horizontal="center"/>
    </xf>
    <xf numFmtId="49" fontId="7" fillId="0" borderId="3" xfId="0" applyNumberFormat="1" applyFont="1" applyBorder="1" applyAlignment="1">
      <alignment horizontal="center" vertical="center" wrapText="1"/>
    </xf>
    <xf numFmtId="11" fontId="6" fillId="0" borderId="275" xfId="0" applyNumberFormat="1" applyFont="1" applyBorder="1" applyAlignment="1">
      <alignment horizontal="center" vertical="center" wrapText="1"/>
    </xf>
    <xf numFmtId="11" fontId="6" fillId="0" borderId="93" xfId="0" applyNumberFormat="1" applyFont="1" applyBorder="1" applyAlignment="1">
      <alignment horizontal="center" vertical="center"/>
    </xf>
    <xf numFmtId="167" fontId="6" fillId="22" borderId="0" xfId="0" applyNumberFormat="1" applyFont="1" applyFill="1" applyAlignment="1">
      <alignment horizontal="center" vertical="center" wrapText="1"/>
    </xf>
    <xf numFmtId="0" fontId="6" fillId="16" borderId="37" xfId="0" applyFont="1" applyFill="1" applyBorder="1" applyAlignment="1">
      <alignment horizontal="center" vertical="center" wrapText="1"/>
    </xf>
    <xf numFmtId="170" fontId="5" fillId="0" borderId="114" xfId="0" applyNumberFormat="1" applyFont="1" applyBorder="1" applyAlignment="1">
      <alignment horizontal="center"/>
    </xf>
    <xf numFmtId="170" fontId="5" fillId="0" borderId="0" xfId="0" applyNumberFormat="1" applyFont="1" applyAlignment="1">
      <alignment horizontal="center"/>
    </xf>
    <xf numFmtId="170" fontId="5" fillId="20" borderId="0" xfId="0" applyNumberFormat="1" applyFont="1" applyFill="1" applyAlignment="1">
      <alignment horizontal="center"/>
    </xf>
    <xf numFmtId="170" fontId="5" fillId="20" borderId="114" xfId="0" applyNumberFormat="1" applyFont="1" applyFill="1" applyBorder="1" applyAlignment="1">
      <alignment horizontal="center"/>
    </xf>
    <xf numFmtId="170" fontId="5" fillId="0" borderId="5" xfId="0" applyNumberFormat="1" applyFont="1" applyBorder="1" applyAlignment="1">
      <alignment horizontal="center"/>
    </xf>
    <xf numFmtId="170" fontId="5" fillId="0" borderId="3" xfId="0" applyNumberFormat="1" applyFont="1" applyBorder="1"/>
    <xf numFmtId="170" fontId="5" fillId="0" borderId="191" xfId="0" applyNumberFormat="1" applyFont="1" applyBorder="1" applyAlignment="1">
      <alignment horizontal="center"/>
    </xf>
    <xf numFmtId="170" fontId="5" fillId="24" borderId="0" xfId="0" applyNumberFormat="1" applyFont="1" applyFill="1" applyAlignment="1">
      <alignment horizontal="center"/>
    </xf>
    <xf numFmtId="170" fontId="5" fillId="24" borderId="28" xfId="0" applyNumberFormat="1" applyFont="1" applyFill="1" applyBorder="1" applyAlignment="1">
      <alignment horizontal="center"/>
    </xf>
    <xf numFmtId="170" fontId="5" fillId="0" borderId="1" xfId="0" applyNumberFormat="1" applyFont="1" applyBorder="1" applyAlignment="1">
      <alignment horizontal="center"/>
    </xf>
    <xf numFmtId="170" fontId="5" fillId="0" borderId="25" xfId="0" applyNumberFormat="1" applyFont="1" applyBorder="1" applyAlignment="1">
      <alignment horizontal="center"/>
    </xf>
    <xf numFmtId="170" fontId="5" fillId="37" borderId="24" xfId="0" applyNumberFormat="1" applyFont="1" applyFill="1" applyBorder="1" applyAlignment="1">
      <alignment horizontal="center"/>
    </xf>
    <xf numFmtId="170" fontId="5" fillId="0" borderId="28" xfId="0" quotePrefix="1" applyNumberFormat="1" applyFont="1" applyBorder="1" applyAlignment="1">
      <alignment horizontal="center"/>
    </xf>
    <xf numFmtId="170" fontId="5" fillId="0" borderId="3" xfId="0" applyNumberFormat="1" applyFont="1" applyBorder="1" applyAlignment="1">
      <alignment horizontal="center"/>
    </xf>
    <xf numFmtId="0" fontId="5" fillId="0" borderId="3" xfId="0" applyFont="1" applyBorder="1"/>
    <xf numFmtId="0" fontId="5" fillId="0" borderId="15" xfId="0" applyFont="1" applyBorder="1"/>
    <xf numFmtId="0" fontId="5" fillId="19" borderId="0" xfId="0" applyFont="1" applyFill="1" applyAlignment="1">
      <alignment horizontal="center"/>
    </xf>
    <xf numFmtId="167" fontId="0" fillId="0" borderId="5" xfId="0" applyNumberFormat="1" applyBorder="1"/>
    <xf numFmtId="170" fontId="5" fillId="0" borderId="5" xfId="0" applyNumberFormat="1" applyFont="1" applyBorder="1"/>
    <xf numFmtId="170" fontId="5" fillId="20" borderId="0" xfId="0" applyNumberFormat="1" applyFont="1" applyFill="1"/>
    <xf numFmtId="167" fontId="5" fillId="20" borderId="0" xfId="0" applyNumberFormat="1" applyFont="1" applyFill="1"/>
    <xf numFmtId="0" fontId="47" fillId="25" borderId="294" xfId="0" quotePrefix="1" applyFont="1" applyFill="1" applyBorder="1" applyAlignment="1">
      <alignment horizontal="center" vertical="center"/>
    </xf>
    <xf numFmtId="167" fontId="5" fillId="17" borderId="273" xfId="0" applyNumberFormat="1" applyFont="1" applyFill="1" applyBorder="1" applyAlignment="1">
      <alignment horizontal="center"/>
    </xf>
    <xf numFmtId="167" fontId="5" fillId="0" borderId="247" xfId="0" applyNumberFormat="1" applyFont="1" applyBorder="1" applyAlignment="1">
      <alignment horizontal="center"/>
    </xf>
    <xf numFmtId="167" fontId="5" fillId="14" borderId="18" xfId="0" applyNumberFormat="1" applyFont="1" applyFill="1" applyBorder="1" applyAlignment="1">
      <alignment horizontal="center"/>
    </xf>
    <xf numFmtId="167" fontId="5" fillId="16" borderId="25" xfId="0" applyNumberFormat="1" applyFont="1" applyFill="1" applyBorder="1" applyAlignment="1">
      <alignment horizontal="center"/>
    </xf>
    <xf numFmtId="167" fontId="5" fillId="16" borderId="28" xfId="0" applyNumberFormat="1" applyFont="1" applyFill="1" applyBorder="1" applyAlignment="1">
      <alignment horizontal="center"/>
    </xf>
    <xf numFmtId="167" fontId="5" fillId="15" borderId="85" xfId="0" applyNumberFormat="1" applyFont="1" applyFill="1" applyBorder="1" applyAlignment="1">
      <alignment horizontal="center"/>
    </xf>
    <xf numFmtId="167" fontId="5" fillId="18" borderId="187" xfId="0" applyNumberFormat="1" applyFont="1" applyFill="1" applyBorder="1" applyAlignment="1">
      <alignment horizontal="center"/>
    </xf>
    <xf numFmtId="167" fontId="5" fillId="18" borderId="192" xfId="0" applyNumberFormat="1" applyFont="1" applyFill="1" applyBorder="1" applyAlignment="1">
      <alignment horizontal="center"/>
    </xf>
    <xf numFmtId="167" fontId="5" fillId="13" borderId="85" xfId="0" applyNumberFormat="1" applyFont="1" applyFill="1" applyBorder="1" applyAlignment="1">
      <alignment horizontal="center"/>
    </xf>
    <xf numFmtId="0" fontId="5" fillId="13" borderId="25" xfId="0" applyFont="1" applyFill="1" applyBorder="1" applyAlignment="1">
      <alignment horizontal="center"/>
    </xf>
    <xf numFmtId="167" fontId="5" fillId="17" borderId="25" xfId="0" applyNumberFormat="1" applyFont="1" applyFill="1" applyBorder="1" applyAlignment="1">
      <alignment horizontal="center"/>
    </xf>
    <xf numFmtId="11" fontId="5" fillId="0" borderId="187" xfId="0" applyNumberFormat="1" applyFont="1" applyBorder="1" applyAlignment="1">
      <alignment horizontal="center"/>
    </xf>
    <xf numFmtId="167" fontId="5" fillId="0" borderId="245" xfId="0" applyNumberFormat="1" applyFont="1" applyBorder="1" applyAlignment="1">
      <alignment horizontal="center"/>
    </xf>
    <xf numFmtId="167" fontId="6" fillId="0" borderId="0" xfId="0" applyNumberFormat="1" applyFont="1"/>
    <xf numFmtId="0" fontId="6" fillId="0" borderId="0" xfId="0" applyFont="1"/>
    <xf numFmtId="167" fontId="6" fillId="20" borderId="0" xfId="0" applyNumberFormat="1" applyFont="1" applyFill="1"/>
    <xf numFmtId="0" fontId="6" fillId="20" borderId="0" xfId="0" applyFont="1" applyFill="1"/>
    <xf numFmtId="3" fontId="4" fillId="0" borderId="238" xfId="0" applyNumberFormat="1" applyFont="1" applyBorder="1" applyAlignment="1">
      <alignment horizontal="center" vertical="center"/>
    </xf>
    <xf numFmtId="0" fontId="4" fillId="0" borderId="25" xfId="0" applyFont="1" applyBorder="1" applyAlignment="1">
      <alignment horizontal="center" vertical="center"/>
    </xf>
    <xf numFmtId="0" fontId="50" fillId="0" borderId="28" xfId="0" applyFont="1" applyBorder="1" applyAlignment="1">
      <alignment horizontal="center" vertical="center"/>
    </xf>
    <xf numFmtId="1" fontId="4" fillId="0" borderId="28" xfId="0" applyNumberFormat="1" applyFont="1" applyBorder="1" applyAlignment="1">
      <alignment horizontal="center" vertical="center"/>
    </xf>
    <xf numFmtId="0" fontId="4" fillId="0" borderId="47" xfId="0" applyFont="1" applyBorder="1" applyAlignment="1">
      <alignment horizontal="center" vertical="center"/>
    </xf>
    <xf numFmtId="2" fontId="4" fillId="0" borderId="238" xfId="0" applyNumberFormat="1" applyFont="1" applyBorder="1" applyAlignment="1">
      <alignment horizontal="center" vertical="center"/>
    </xf>
    <xf numFmtId="2" fontId="4" fillId="0" borderId="214" xfId="0" applyNumberFormat="1" applyFont="1" applyBorder="1" applyAlignment="1">
      <alignment horizontal="center" vertical="center"/>
    </xf>
    <xf numFmtId="0" fontId="4" fillId="0" borderId="248" xfId="0" applyFont="1" applyBorder="1" applyAlignment="1">
      <alignment horizontal="center" vertical="center"/>
    </xf>
    <xf numFmtId="0" fontId="4" fillId="0" borderId="251" xfId="0" applyFont="1" applyBorder="1" applyAlignment="1">
      <alignment horizontal="center" vertical="center"/>
    </xf>
    <xf numFmtId="0" fontId="4" fillId="0" borderId="250" xfId="0" applyFont="1" applyBorder="1" applyAlignment="1">
      <alignment horizontal="center"/>
    </xf>
    <xf numFmtId="0" fontId="4" fillId="0" borderId="152" xfId="0" applyFont="1" applyBorder="1" applyAlignment="1">
      <alignment horizontal="center" vertical="center"/>
    </xf>
    <xf numFmtId="0" fontId="4" fillId="0" borderId="150" xfId="0" applyFont="1" applyBorder="1" applyAlignment="1">
      <alignment horizontal="center" vertical="center"/>
    </xf>
    <xf numFmtId="0" fontId="4" fillId="0" borderId="129" xfId="0" applyFont="1" applyBorder="1" applyAlignment="1">
      <alignment horizontal="center" vertical="center"/>
    </xf>
    <xf numFmtId="0" fontId="4" fillId="0" borderId="166" xfId="0" applyFont="1" applyBorder="1" applyAlignment="1">
      <alignment horizontal="center" vertical="center"/>
    </xf>
    <xf numFmtId="0" fontId="4" fillId="0" borderId="0" xfId="0" applyFont="1" applyAlignment="1">
      <alignment horizontal="center" vertical="center" wrapText="1"/>
    </xf>
    <xf numFmtId="0" fontId="4" fillId="0" borderId="143" xfId="0" applyFont="1" applyBorder="1" applyAlignment="1">
      <alignment horizontal="center"/>
    </xf>
    <xf numFmtId="11" fontId="4" fillId="0" borderId="68" xfId="0" applyNumberFormat="1" applyFont="1" applyBorder="1" applyAlignment="1">
      <alignment horizontal="center" vertical="center"/>
    </xf>
    <xf numFmtId="0" fontId="4" fillId="0" borderId="47" xfId="0" applyFont="1" applyBorder="1" applyAlignment="1">
      <alignment horizontal="center"/>
    </xf>
    <xf numFmtId="11" fontId="4" fillId="0" borderId="139" xfId="0" applyNumberFormat="1" applyFont="1" applyBorder="1" applyAlignment="1">
      <alignment horizontal="center" vertical="center"/>
    </xf>
    <xf numFmtId="11" fontId="4" fillId="0" borderId="5" xfId="0" applyNumberFormat="1" applyFont="1" applyBorder="1" applyAlignment="1">
      <alignment horizontal="center" vertical="center"/>
    </xf>
    <xf numFmtId="0" fontId="4" fillId="0" borderId="20" xfId="0" applyFont="1" applyBorder="1" applyAlignment="1">
      <alignment horizontal="center"/>
    </xf>
    <xf numFmtId="0" fontId="16" fillId="0" borderId="217" xfId="0" applyFont="1" applyBorder="1" applyAlignment="1">
      <alignment horizontal="center" vertical="center" wrapText="1"/>
    </xf>
    <xf numFmtId="0" fontId="16" fillId="0" borderId="33" xfId="0" applyFont="1" applyBorder="1" applyAlignment="1">
      <alignment horizontal="center" vertical="center"/>
    </xf>
    <xf numFmtId="0" fontId="16" fillId="0" borderId="78" xfId="0" applyFont="1" applyBorder="1" applyAlignment="1">
      <alignment horizontal="center" vertical="center"/>
    </xf>
    <xf numFmtId="1" fontId="16" fillId="0" borderId="91" xfId="0" applyNumberFormat="1" applyFont="1" applyBorder="1" applyAlignment="1">
      <alignment horizontal="center" vertical="center"/>
    </xf>
    <xf numFmtId="0" fontId="16" fillId="0" borderId="218" xfId="0" applyFont="1" applyBorder="1" applyAlignment="1">
      <alignment horizontal="center" vertical="center"/>
    </xf>
    <xf numFmtId="0" fontId="4" fillId="0" borderId="83" xfId="0" applyFont="1" applyBorder="1" applyAlignment="1">
      <alignment horizontal="center" vertical="center"/>
    </xf>
    <xf numFmtId="1" fontId="4" fillId="0" borderId="181" xfId="0" applyNumberFormat="1" applyFont="1" applyBorder="1" applyAlignment="1">
      <alignment horizontal="center" vertical="center"/>
    </xf>
    <xf numFmtId="0" fontId="16" fillId="0" borderId="135" xfId="0" applyFont="1" applyBorder="1" applyAlignment="1">
      <alignment horizontal="center" vertical="center" wrapText="1"/>
    </xf>
    <xf numFmtId="0" fontId="4" fillId="0" borderId="139" xfId="0" applyFont="1" applyBorder="1" applyAlignment="1">
      <alignment horizontal="center" vertical="center"/>
    </xf>
    <xf numFmtId="165" fontId="4" fillId="0" borderId="108" xfId="0" applyNumberFormat="1" applyFont="1" applyBorder="1" applyAlignment="1">
      <alignment horizontal="center" vertical="center"/>
    </xf>
    <xf numFmtId="3" fontId="4" fillId="0" borderId="96" xfId="0" applyNumberFormat="1" applyFont="1" applyBorder="1" applyAlignment="1">
      <alignment horizontal="center" vertical="center"/>
    </xf>
    <xf numFmtId="1" fontId="4" fillId="0" borderId="0" xfId="0" applyNumberFormat="1" applyFont="1" applyAlignment="1">
      <alignment horizontal="center" vertical="center"/>
    </xf>
    <xf numFmtId="11" fontId="4" fillId="0" borderId="0" xfId="0" applyNumberFormat="1" applyFont="1" applyAlignment="1">
      <alignment horizontal="center" vertical="center"/>
    </xf>
    <xf numFmtId="0" fontId="4" fillId="0" borderId="3" xfId="0" applyFont="1" applyBorder="1" applyAlignment="1">
      <alignment horizontal="center" vertical="center"/>
    </xf>
    <xf numFmtId="3" fontId="4" fillId="0" borderId="28" xfId="0" applyNumberFormat="1" applyFont="1" applyBorder="1" applyAlignment="1">
      <alignment horizontal="center" vertical="center"/>
    </xf>
    <xf numFmtId="0" fontId="4" fillId="0" borderId="249" xfId="0" applyFont="1" applyBorder="1" applyAlignment="1">
      <alignment horizontal="center" vertical="center"/>
    </xf>
    <xf numFmtId="0" fontId="4" fillId="0" borderId="250" xfId="0" applyFont="1" applyBorder="1" applyAlignment="1">
      <alignment horizontal="center" vertical="center"/>
    </xf>
    <xf numFmtId="2" fontId="4" fillId="0" borderId="25" xfId="0" applyNumberFormat="1" applyFont="1" applyBorder="1" applyAlignment="1" applyProtection="1">
      <alignment horizontal="center" vertical="center"/>
      <protection locked="0"/>
    </xf>
    <xf numFmtId="2" fontId="4" fillId="0" borderId="28" xfId="0" applyNumberFormat="1" applyFont="1" applyBorder="1" applyAlignment="1" applyProtection="1">
      <alignment horizontal="center" vertical="center"/>
      <protection locked="0"/>
    </xf>
    <xf numFmtId="2" fontId="4" fillId="0" borderId="137" xfId="0" applyNumberFormat="1" applyFont="1" applyBorder="1" applyAlignment="1" applyProtection="1">
      <alignment horizontal="center" vertical="center"/>
      <protection locked="0"/>
    </xf>
    <xf numFmtId="2" fontId="4" fillId="0" borderId="108" xfId="0" applyNumberFormat="1" applyFont="1" applyBorder="1" applyAlignment="1" applyProtection="1">
      <alignment horizontal="center" vertical="center"/>
      <protection locked="0"/>
    </xf>
    <xf numFmtId="166" fontId="4" fillId="0" borderId="137" xfId="0" applyNumberFormat="1" applyFont="1" applyBorder="1" applyAlignment="1" applyProtection="1">
      <alignment horizontal="center" vertical="center"/>
      <protection locked="0"/>
    </xf>
    <xf numFmtId="11" fontId="4" fillId="0" borderId="137" xfId="0" applyNumberFormat="1" applyFont="1" applyBorder="1" applyAlignment="1">
      <alignment horizontal="center" vertical="center"/>
    </xf>
    <xf numFmtId="166" fontId="4" fillId="0" borderId="108" xfId="0" applyNumberFormat="1" applyFont="1" applyBorder="1" applyAlignment="1" applyProtection="1">
      <alignment horizontal="center" vertical="center"/>
      <protection locked="0"/>
    </xf>
    <xf numFmtId="2" fontId="4" fillId="0" borderId="108" xfId="0" applyNumberFormat="1" applyFont="1" applyBorder="1" applyAlignment="1">
      <alignment horizontal="center" vertical="center"/>
    </xf>
    <xf numFmtId="0" fontId="16" fillId="0" borderId="198" xfId="0" applyFont="1" applyBorder="1" applyAlignment="1">
      <alignment horizontal="center" vertical="center" wrapText="1"/>
    </xf>
    <xf numFmtId="0" fontId="4" fillId="0" borderId="151" xfId="0" applyFont="1" applyBorder="1" applyAlignment="1">
      <alignment horizontal="center" vertical="center"/>
    </xf>
    <xf numFmtId="11" fontId="4" fillId="0" borderId="151" xfId="0" applyNumberFormat="1" applyFont="1" applyBorder="1" applyAlignment="1">
      <alignment horizontal="center" vertical="center"/>
    </xf>
    <xf numFmtId="2" fontId="4" fillId="0" borderId="153" xfId="0" applyNumberFormat="1" applyFont="1" applyBorder="1" applyAlignment="1">
      <alignment horizontal="center" vertical="center"/>
    </xf>
    <xf numFmtId="0" fontId="4" fillId="0" borderId="167" xfId="0" applyFont="1" applyBorder="1" applyAlignment="1">
      <alignment horizontal="center" vertical="center"/>
    </xf>
    <xf numFmtId="167" fontId="6" fillId="0" borderId="125" xfId="0" applyNumberFormat="1" applyFont="1" applyBorder="1" applyAlignment="1">
      <alignment horizontal="center" wrapText="1"/>
    </xf>
    <xf numFmtId="167" fontId="6" fillId="0" borderId="120" xfId="0" applyNumberFormat="1" applyFont="1" applyBorder="1" applyAlignment="1">
      <alignment horizontal="center" wrapText="1"/>
    </xf>
    <xf numFmtId="167" fontId="6" fillId="0" borderId="134" xfId="0" applyNumberFormat="1" applyFont="1" applyBorder="1" applyAlignment="1">
      <alignment horizontal="center" wrapText="1"/>
    </xf>
    <xf numFmtId="49" fontId="6" fillId="0" borderId="59" xfId="0" applyNumberFormat="1" applyFont="1" applyBorder="1" applyAlignment="1">
      <alignment horizontal="center" vertical="center" wrapText="1"/>
    </xf>
    <xf numFmtId="167" fontId="6" fillId="0" borderId="80" xfId="0" applyNumberFormat="1" applyFont="1" applyBorder="1" applyAlignment="1">
      <alignment horizontal="center" wrapText="1"/>
    </xf>
    <xf numFmtId="49" fontId="6" fillId="0" borderId="124" xfId="0" applyNumberFormat="1" applyFont="1" applyBorder="1" applyAlignment="1">
      <alignment horizontal="center" vertical="center" wrapText="1"/>
    </xf>
    <xf numFmtId="167" fontId="5" fillId="0" borderId="156" xfId="0" applyNumberFormat="1" applyFont="1" applyBorder="1" applyAlignment="1">
      <alignment horizontal="center"/>
    </xf>
    <xf numFmtId="49" fontId="5" fillId="0" borderId="180" xfId="0" applyNumberFormat="1" applyFont="1" applyBorder="1" applyAlignment="1">
      <alignment horizontal="center"/>
    </xf>
    <xf numFmtId="167" fontId="89" fillId="0" borderId="143" xfId="0" applyNumberFormat="1" applyFont="1" applyBorder="1" applyAlignment="1">
      <alignment horizontal="center" vertical="center"/>
    </xf>
    <xf numFmtId="167" fontId="89" fillId="0" borderId="167" xfId="0" applyNumberFormat="1" applyFont="1" applyBorder="1" applyAlignment="1">
      <alignment horizontal="center" vertical="center"/>
    </xf>
    <xf numFmtId="49" fontId="6" fillId="0" borderId="15" xfId="0" applyNumberFormat="1" applyFont="1" applyBorder="1" applyAlignment="1">
      <alignment horizontal="center"/>
    </xf>
    <xf numFmtId="49" fontId="6" fillId="0" borderId="8" xfId="0" applyNumberFormat="1" applyFont="1" applyBorder="1" applyAlignment="1">
      <alignment horizontal="center"/>
    </xf>
    <xf numFmtId="49" fontId="5" fillId="0" borderId="0" xfId="0" applyNumberFormat="1" applyFont="1" applyAlignment="1">
      <alignment horizontal="center" wrapText="1"/>
    </xf>
    <xf numFmtId="167" fontId="5" fillId="0" borderId="155" xfId="0" quotePrefix="1" applyNumberFormat="1" applyFont="1" applyBorder="1" applyAlignment="1">
      <alignment horizontal="center"/>
    </xf>
    <xf numFmtId="49" fontId="11" fillId="0" borderId="1" xfId="0" applyNumberFormat="1" applyFont="1" applyBorder="1"/>
    <xf numFmtId="170" fontId="5" fillId="0" borderId="67" xfId="0" applyNumberFormat="1" applyFont="1" applyBorder="1" applyAlignment="1">
      <alignment horizontal="center"/>
    </xf>
    <xf numFmtId="0" fontId="5" fillId="0" borderId="36" xfId="0" applyFont="1" applyBorder="1" applyAlignment="1">
      <alignment horizontal="center"/>
    </xf>
    <xf numFmtId="170" fontId="5" fillId="20" borderId="67" xfId="0" applyNumberFormat="1" applyFont="1" applyFill="1" applyBorder="1" applyAlignment="1">
      <alignment horizontal="center"/>
    </xf>
    <xf numFmtId="170" fontId="5" fillId="0" borderId="295" xfId="0" applyNumberFormat="1" applyFont="1" applyBorder="1" applyAlignment="1">
      <alignment horizontal="center"/>
    </xf>
    <xf numFmtId="0" fontId="0" fillId="0" borderId="70" xfId="0" applyBorder="1" applyAlignment="1">
      <alignment horizontal="center"/>
    </xf>
    <xf numFmtId="0" fontId="0" fillId="0" borderId="28" xfId="0" applyBorder="1"/>
    <xf numFmtId="0" fontId="4" fillId="0" borderId="70" xfId="0" applyFont="1" applyBorder="1" applyAlignment="1">
      <alignment horizontal="center"/>
    </xf>
    <xf numFmtId="167" fontId="4" fillId="0" borderId="28" xfId="0" quotePrefix="1" applyNumberFormat="1" applyFont="1" applyBorder="1" applyAlignment="1">
      <alignment horizontal="center"/>
    </xf>
    <xf numFmtId="0" fontId="16" fillId="0" borderId="71" xfId="0" applyFont="1" applyBorder="1" applyAlignment="1">
      <alignment horizontal="center"/>
    </xf>
    <xf numFmtId="0" fontId="16" fillId="0" borderId="59" xfId="0" applyFont="1" applyBorder="1" applyAlignment="1">
      <alignment horizontal="center"/>
    </xf>
    <xf numFmtId="11" fontId="5" fillId="0" borderId="152" xfId="0" applyNumberFormat="1" applyFont="1" applyBorder="1" applyAlignment="1">
      <alignment horizontal="left"/>
    </xf>
    <xf numFmtId="11" fontId="5" fillId="0" borderId="108" xfId="0" applyNumberFormat="1" applyFont="1" applyBorder="1" applyAlignment="1">
      <alignment horizontal="left"/>
    </xf>
    <xf numFmtId="0" fontId="16" fillId="0" borderId="76" xfId="0" applyFont="1" applyBorder="1" applyAlignment="1">
      <alignment horizontal="center"/>
    </xf>
    <xf numFmtId="167" fontId="4" fillId="0" borderId="0" xfId="0" quotePrefix="1" applyNumberFormat="1" applyFont="1" applyAlignment="1">
      <alignment horizontal="center"/>
    </xf>
    <xf numFmtId="0" fontId="16" fillId="0" borderId="38" xfId="0" applyFont="1" applyBorder="1" applyAlignment="1">
      <alignment horizontal="center"/>
    </xf>
    <xf numFmtId="167" fontId="0" fillId="0" borderId="24" xfId="0" applyNumberFormat="1" applyBorder="1" applyAlignment="1">
      <alignment horizontal="center"/>
    </xf>
    <xf numFmtId="167" fontId="4" fillId="0" borderId="24" xfId="0" quotePrefix="1" applyNumberFormat="1" applyFont="1" applyBorder="1" applyAlignment="1">
      <alignment horizontal="center"/>
    </xf>
    <xf numFmtId="167" fontId="0" fillId="0" borderId="121" xfId="0" applyNumberFormat="1" applyBorder="1" applyAlignment="1">
      <alignment horizontal="center"/>
    </xf>
    <xf numFmtId="167" fontId="0" fillId="0" borderId="9" xfId="0" applyNumberFormat="1" applyBorder="1" applyAlignment="1">
      <alignment horizontal="center"/>
    </xf>
    <xf numFmtId="49" fontId="5" fillId="0" borderId="158" xfId="0" applyNumberFormat="1" applyFont="1" applyBorder="1"/>
    <xf numFmtId="49" fontId="5" fillId="0" borderId="159" xfId="0" applyNumberFormat="1" applyFont="1" applyBorder="1"/>
    <xf numFmtId="49" fontId="19" fillId="0" borderId="159" xfId="0" applyNumberFormat="1" applyFont="1" applyBorder="1"/>
    <xf numFmtId="49" fontId="5" fillId="0" borderId="24" xfId="0" applyNumberFormat="1" applyFont="1" applyBorder="1"/>
    <xf numFmtId="49" fontId="5" fillId="22" borderId="159" xfId="0" applyNumberFormat="1" applyFont="1" applyFill="1" applyBorder="1"/>
    <xf numFmtId="49" fontId="5" fillId="20" borderId="159" xfId="0" applyNumberFormat="1" applyFont="1" applyFill="1" applyBorder="1"/>
    <xf numFmtId="49" fontId="5" fillId="0" borderId="183" xfId="0" applyNumberFormat="1" applyFont="1" applyBorder="1"/>
    <xf numFmtId="11" fontId="5" fillId="0" borderId="175" xfId="0" applyNumberFormat="1" applyFont="1" applyBorder="1" applyAlignment="1">
      <alignment horizontal="left"/>
    </xf>
    <xf numFmtId="0" fontId="16" fillId="0" borderId="60" xfId="0" applyFont="1" applyBorder="1" applyAlignment="1">
      <alignment horizontal="center"/>
    </xf>
    <xf numFmtId="167" fontId="0" fillId="0" borderId="134" xfId="0" applyNumberFormat="1" applyBorder="1" applyAlignment="1">
      <alignment horizontal="center"/>
    </xf>
    <xf numFmtId="9" fontId="0" fillId="0" borderId="87" xfId="13" applyFont="1" applyFill="1" applyBorder="1" applyAlignment="1">
      <alignment horizontal="center"/>
    </xf>
    <xf numFmtId="9" fontId="0" fillId="27" borderId="87" xfId="13" applyFont="1" applyFill="1" applyBorder="1" applyAlignment="1">
      <alignment horizontal="center"/>
    </xf>
    <xf numFmtId="9" fontId="0" fillId="0" borderId="124" xfId="13" applyFont="1" applyFill="1" applyBorder="1" applyAlignment="1">
      <alignment horizontal="center"/>
    </xf>
    <xf numFmtId="167" fontId="0" fillId="6" borderId="28" xfId="0" applyNumberFormat="1" applyFill="1" applyBorder="1" applyAlignment="1">
      <alignment horizontal="center"/>
    </xf>
    <xf numFmtId="0" fontId="22" fillId="0" borderId="0" xfId="0" applyFont="1"/>
    <xf numFmtId="0" fontId="22" fillId="0" borderId="28" xfId="0" applyFont="1" applyBorder="1"/>
    <xf numFmtId="167" fontId="4" fillId="0" borderId="0" xfId="0" applyNumberFormat="1" applyFont="1"/>
    <xf numFmtId="167" fontId="4" fillId="0" borderId="5" xfId="0" applyNumberFormat="1" applyFont="1" applyBorder="1"/>
    <xf numFmtId="0" fontId="5" fillId="0" borderId="42" xfId="0" applyFont="1" applyBorder="1" applyAlignment="1">
      <alignment horizontal="center"/>
    </xf>
    <xf numFmtId="167" fontId="5" fillId="0" borderId="42" xfId="0" applyNumberFormat="1" applyFont="1" applyBorder="1" applyAlignment="1">
      <alignment horizontal="center"/>
    </xf>
    <xf numFmtId="167" fontId="5" fillId="0" borderId="42" xfId="0" applyNumberFormat="1" applyFont="1" applyBorder="1"/>
    <xf numFmtId="170" fontId="5" fillId="0" borderId="42" xfId="0" applyNumberFormat="1" applyFont="1" applyBorder="1"/>
    <xf numFmtId="170" fontId="5" fillId="0" borderId="297" xfId="0" applyNumberFormat="1" applyFont="1" applyBorder="1" applyAlignment="1">
      <alignment horizontal="center"/>
    </xf>
    <xf numFmtId="0" fontId="5" fillId="0" borderId="295" xfId="0" applyFont="1" applyBorder="1" applyAlignment="1">
      <alignment horizontal="center"/>
    </xf>
    <xf numFmtId="167" fontId="5" fillId="0" borderId="295" xfId="0" applyNumberFormat="1" applyFont="1" applyBorder="1" applyAlignment="1">
      <alignment horizontal="center"/>
    </xf>
    <xf numFmtId="167" fontId="5" fillId="0" borderId="295" xfId="0" applyNumberFormat="1" applyFont="1" applyBorder="1"/>
    <xf numFmtId="170" fontId="5" fillId="0" borderId="295" xfId="0" applyNumberFormat="1" applyFont="1" applyBorder="1"/>
    <xf numFmtId="0" fontId="5" fillId="0" borderId="298" xfId="0" applyFont="1" applyBorder="1" applyAlignment="1">
      <alignment horizontal="center"/>
    </xf>
    <xf numFmtId="170" fontId="5" fillId="0" borderId="55" xfId="0" applyNumberFormat="1" applyFont="1" applyBorder="1" applyAlignment="1">
      <alignment horizontal="center"/>
    </xf>
    <xf numFmtId="0" fontId="5" fillId="0" borderId="40" xfId="0" applyFont="1" applyBorder="1" applyAlignment="1">
      <alignment horizontal="center"/>
    </xf>
    <xf numFmtId="0" fontId="6" fillId="0" borderId="299" xfId="0" applyFont="1" applyBorder="1" applyAlignment="1">
      <alignment horizontal="center" vertical="center" wrapText="1"/>
    </xf>
    <xf numFmtId="0" fontId="6" fillId="0" borderId="37" xfId="0" applyFont="1" applyBorder="1" applyAlignment="1">
      <alignment horizontal="center" vertical="center" wrapText="1"/>
    </xf>
    <xf numFmtId="170" fontId="5" fillId="0" borderId="152" xfId="0" applyNumberFormat="1" applyFont="1" applyBorder="1" applyAlignment="1">
      <alignment horizontal="center"/>
    </xf>
    <xf numFmtId="170" fontId="5" fillId="0" borderId="15" xfId="0" applyNumberFormat="1" applyFont="1" applyBorder="1"/>
    <xf numFmtId="170" fontId="5" fillId="0" borderId="8" xfId="0" applyNumberFormat="1" applyFont="1" applyBorder="1"/>
    <xf numFmtId="170" fontId="5" fillId="20" borderId="8" xfId="0" applyNumberFormat="1" applyFont="1" applyFill="1" applyBorder="1"/>
    <xf numFmtId="167" fontId="4" fillId="0" borderId="8" xfId="0" applyNumberFormat="1" applyFont="1" applyBorder="1"/>
    <xf numFmtId="170" fontId="5" fillId="0" borderId="16" xfId="0" applyNumberFormat="1" applyFont="1" applyBorder="1"/>
    <xf numFmtId="170" fontId="5" fillId="0" borderId="166" xfId="0" quotePrefix="1" applyNumberFormat="1" applyFont="1" applyBorder="1" applyAlignment="1">
      <alignment horizontal="center"/>
    </xf>
    <xf numFmtId="170" fontId="5" fillId="0" borderId="20" xfId="0" quotePrefix="1" applyNumberFormat="1" applyFont="1" applyBorder="1" applyAlignment="1">
      <alignment horizontal="center"/>
    </xf>
    <xf numFmtId="0" fontId="24" fillId="0" borderId="121" xfId="0" applyFont="1" applyBorder="1" applyAlignment="1">
      <alignment vertical="center" wrapText="1"/>
    </xf>
    <xf numFmtId="0" fontId="7" fillId="0" borderId="0" xfId="0" applyFont="1" applyAlignment="1">
      <alignment horizontal="center" vertical="center" wrapText="1"/>
    </xf>
    <xf numFmtId="0" fontId="25" fillId="0" borderId="32"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5" fillId="0" borderId="121"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28" xfId="0" applyFont="1" applyBorder="1" applyAlignment="1" applyProtection="1">
      <alignment horizontal="center" vertical="center" wrapText="1"/>
      <protection hidden="1"/>
    </xf>
    <xf numFmtId="0" fontId="25" fillId="0" borderId="38" xfId="0" applyFont="1" applyBorder="1" applyAlignment="1" applyProtection="1">
      <alignment horizontal="center" vertical="center" wrapText="1"/>
      <protection hidden="1"/>
    </xf>
    <xf numFmtId="0" fontId="25" fillId="0" borderId="124" xfId="0" applyFont="1" applyBorder="1" applyAlignment="1" applyProtection="1">
      <alignment horizontal="center" vertical="center" wrapText="1"/>
      <protection hidden="1"/>
    </xf>
    <xf numFmtId="0" fontId="25" fillId="0" borderId="125" xfId="0" applyFont="1" applyBorder="1" applyAlignment="1" applyProtection="1">
      <alignment horizontal="center" vertical="center" wrapText="1"/>
      <protection hidden="1"/>
    </xf>
    <xf numFmtId="0" fontId="25" fillId="0" borderId="44" xfId="0" applyFont="1" applyBorder="1" applyAlignment="1" applyProtection="1">
      <alignment horizontal="center" vertical="center" wrapText="1"/>
      <protection hidden="1"/>
    </xf>
    <xf numFmtId="0" fontId="25" fillId="0" borderId="78" xfId="0" applyFont="1" applyBorder="1" applyAlignment="1" applyProtection="1">
      <alignment horizontal="center" vertical="center" wrapText="1"/>
      <protection hidden="1"/>
    </xf>
    <xf numFmtId="0" fontId="25" fillId="0" borderId="90" xfId="0" applyFont="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44" fillId="0" borderId="0" xfId="0" applyFont="1" applyAlignment="1" applyProtection="1">
      <alignment horizontal="left" wrapText="1"/>
      <protection hidden="1"/>
    </xf>
    <xf numFmtId="0" fontId="44" fillId="0" borderId="8" xfId="0" applyFont="1" applyBorder="1" applyAlignment="1" applyProtection="1">
      <alignment horizontal="left" wrapText="1"/>
      <protection hidden="1"/>
    </xf>
    <xf numFmtId="0" fontId="4" fillId="0" borderId="0" xfId="0" applyFont="1" applyAlignment="1" applyProtection="1">
      <alignment horizontal="center"/>
      <protection hidden="1"/>
    </xf>
    <xf numFmtId="0" fontId="52" fillId="22" borderId="0" xfId="0" applyFont="1" applyFill="1" applyAlignment="1" applyProtection="1">
      <alignment horizontal="center" vertical="center"/>
      <protection hidden="1"/>
    </xf>
    <xf numFmtId="0" fontId="7" fillId="7" borderId="0" xfId="0" applyFont="1" applyFill="1" applyAlignment="1" applyProtection="1">
      <alignment horizontal="center" vertical="center" wrapText="1"/>
      <protection hidden="1"/>
    </xf>
    <xf numFmtId="0" fontId="7" fillId="10" borderId="0" xfId="0" applyFont="1" applyFill="1" applyAlignment="1" applyProtection="1">
      <alignment horizontal="center" vertical="center"/>
      <protection hidden="1"/>
    </xf>
    <xf numFmtId="0" fontId="7" fillId="9" borderId="0" xfId="0" applyFont="1" applyFill="1" applyAlignment="1" applyProtection="1">
      <alignment horizontal="center" vertical="center"/>
      <protection hidden="1"/>
    </xf>
    <xf numFmtId="0" fontId="81" fillId="4" borderId="3" xfId="0" applyFont="1" applyFill="1" applyBorder="1" applyAlignment="1" applyProtection="1">
      <alignment horizontal="center" wrapText="1"/>
      <protection hidden="1"/>
    </xf>
    <xf numFmtId="0" fontId="84" fillId="5" borderId="0" xfId="0" applyFont="1" applyFill="1" applyAlignment="1" applyProtection="1">
      <alignment horizontal="right" vertical="center" wrapText="1"/>
      <protection hidden="1"/>
    </xf>
    <xf numFmtId="0" fontId="84" fillId="5" borderId="0" xfId="0" applyFont="1" applyFill="1" applyAlignment="1" applyProtection="1">
      <alignment horizontal="right" vertical="center"/>
      <protection hidden="1"/>
    </xf>
    <xf numFmtId="0" fontId="84" fillId="6" borderId="0" xfId="0" applyFont="1" applyFill="1" applyAlignment="1" applyProtection="1">
      <alignment horizontal="right" vertical="center" wrapText="1"/>
      <protection hidden="1"/>
    </xf>
    <xf numFmtId="0" fontId="24" fillId="5" borderId="1" xfId="0" applyFont="1" applyFill="1" applyBorder="1" applyAlignment="1" applyProtection="1">
      <alignment horizontal="right" vertical="center" wrapText="1"/>
      <protection hidden="1"/>
    </xf>
    <xf numFmtId="0" fontId="24" fillId="5" borderId="0" xfId="0" applyFont="1" applyFill="1" applyAlignment="1" applyProtection="1">
      <alignment horizontal="right" vertical="center" wrapText="1"/>
      <protection hidden="1"/>
    </xf>
    <xf numFmtId="0" fontId="4" fillId="0" borderId="119" xfId="0" applyFont="1" applyBorder="1" applyAlignment="1">
      <alignment horizontal="center" vertical="center"/>
    </xf>
    <xf numFmtId="0" fontId="21" fillId="0" borderId="0" xfId="0" applyFont="1" applyAlignment="1" applyProtection="1">
      <alignment horizontal="center" vertical="center" wrapText="1"/>
      <protection hidden="1"/>
    </xf>
    <xf numFmtId="167" fontId="21" fillId="0" borderId="0" xfId="0" applyNumberFormat="1" applyFont="1" applyAlignment="1" applyProtection="1">
      <alignment horizontal="center"/>
      <protection hidden="1"/>
    </xf>
    <xf numFmtId="0" fontId="103" fillId="0" borderId="0" xfId="0" applyFont="1" applyAlignment="1" applyProtection="1">
      <alignment horizontal="center" vertical="center" wrapText="1"/>
      <protection hidden="1"/>
    </xf>
    <xf numFmtId="0" fontId="104" fillId="0" borderId="0" xfId="0" applyFont="1"/>
    <xf numFmtId="167" fontId="6" fillId="0" borderId="42" xfId="0" applyNumberFormat="1" applyFont="1" applyBorder="1" applyAlignment="1">
      <alignment horizontal="center" vertical="center" wrapText="1"/>
    </xf>
    <xf numFmtId="0" fontId="16" fillId="0" borderId="147" xfId="0" applyFont="1" applyBorder="1" applyAlignment="1">
      <alignment horizontal="center" vertical="center"/>
    </xf>
    <xf numFmtId="0" fontId="16" fillId="0" borderId="124" xfId="0" applyFont="1" applyBorder="1" applyAlignment="1">
      <alignment horizontal="center" vertical="center"/>
    </xf>
    <xf numFmtId="0" fontId="6" fillId="0" borderId="125"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70" xfId="0" applyFont="1" applyBorder="1" applyAlignment="1">
      <alignment horizontal="center" vertical="center"/>
    </xf>
    <xf numFmtId="0" fontId="6" fillId="0" borderId="21" xfId="0" applyFont="1" applyBorder="1" applyAlignment="1">
      <alignment horizontal="center" vertical="center" wrapText="1"/>
    </xf>
    <xf numFmtId="1" fontId="6" fillId="0" borderId="70" xfId="0" applyNumberFormat="1" applyFont="1" applyBorder="1" applyAlignment="1">
      <alignment horizontal="center" vertical="center" wrapText="1"/>
    </xf>
    <xf numFmtId="167" fontId="6" fillId="0" borderId="70" xfId="0" applyNumberFormat="1" applyFont="1" applyBorder="1" applyAlignment="1">
      <alignment horizontal="center" vertical="center"/>
    </xf>
    <xf numFmtId="49" fontId="5" fillId="0" borderId="0" xfId="0" applyNumberFormat="1" applyFont="1" applyAlignment="1">
      <alignment wrapText="1"/>
    </xf>
    <xf numFmtId="167" fontId="6" fillId="0" borderId="11" xfId="0" applyNumberFormat="1" applyFont="1" applyBorder="1" applyAlignment="1">
      <alignment horizontal="center" vertical="center" wrapText="1"/>
    </xf>
    <xf numFmtId="0" fontId="89" fillId="0" borderId="0" xfId="2" applyFont="1" applyAlignment="1">
      <alignment wrapText="1"/>
    </xf>
    <xf numFmtId="0" fontId="89" fillId="0" borderId="8" xfId="2" applyFont="1" applyBorder="1" applyAlignment="1">
      <alignment wrapText="1"/>
    </xf>
    <xf numFmtId="167" fontId="6" fillId="0" borderId="134" xfId="0" applyNumberFormat="1" applyFont="1" applyBorder="1" applyAlignment="1">
      <alignment horizontal="center" vertical="center" wrapText="1"/>
    </xf>
    <xf numFmtId="167" fontId="6" fillId="0" borderId="120" xfId="0" applyNumberFormat="1" applyFont="1" applyBorder="1" applyAlignment="1">
      <alignment horizontal="center" vertical="center" wrapText="1"/>
    </xf>
    <xf numFmtId="167" fontId="6" fillId="0" borderId="164" xfId="0" applyNumberFormat="1" applyFont="1" applyBorder="1" applyAlignment="1">
      <alignment horizontal="center" vertical="center" wrapText="1"/>
    </xf>
    <xf numFmtId="167" fontId="5" fillId="20" borderId="108" xfId="0" applyNumberFormat="1" applyFont="1" applyFill="1" applyBorder="1" applyAlignment="1">
      <alignment horizontal="center"/>
    </xf>
    <xf numFmtId="167" fontId="5" fillId="20" borderId="139" xfId="0" applyNumberFormat="1" applyFont="1" applyFill="1" applyBorder="1" applyAlignment="1">
      <alignment horizontal="center"/>
    </xf>
    <xf numFmtId="0" fontId="6" fillId="0" borderId="147" xfId="0" applyFont="1" applyBorder="1" applyAlignment="1">
      <alignment horizontal="center" vertical="center" wrapText="1"/>
    </xf>
    <xf numFmtId="0" fontId="6" fillId="0" borderId="124" xfId="0" applyFont="1" applyBorder="1" applyAlignment="1">
      <alignment horizontal="center" vertical="center" wrapText="1"/>
    </xf>
    <xf numFmtId="49" fontId="5" fillId="0" borderId="4" xfId="0" applyNumberFormat="1" applyFont="1" applyBorder="1" applyAlignment="1">
      <alignment wrapText="1"/>
    </xf>
    <xf numFmtId="49" fontId="5" fillId="0" borderId="5" xfId="0" applyNumberFormat="1" applyFont="1" applyBorder="1" applyAlignment="1">
      <alignment wrapText="1"/>
    </xf>
    <xf numFmtId="49" fontId="5" fillId="0" borderId="16" xfId="0" applyNumberFormat="1" applyFont="1" applyBorder="1" applyAlignment="1">
      <alignment wrapText="1"/>
    </xf>
    <xf numFmtId="49" fontId="36" fillId="0" borderId="0" xfId="0" applyNumberFormat="1" applyFont="1" applyAlignment="1">
      <alignment horizontal="center" vertical="center"/>
    </xf>
    <xf numFmtId="167" fontId="51" fillId="29" borderId="0" xfId="0" applyNumberFormat="1" applyFont="1" applyFill="1" applyAlignment="1">
      <alignment horizontal="center" vertical="center"/>
    </xf>
    <xf numFmtId="49" fontId="5" fillId="0" borderId="1" xfId="0" applyNumberFormat="1" applyFont="1" applyBorder="1" applyAlignment="1">
      <alignment horizontal="left" wrapText="1"/>
    </xf>
    <xf numFmtId="49" fontId="5" fillId="0" borderId="0" xfId="0" applyNumberFormat="1" applyFont="1" applyAlignment="1">
      <alignment horizontal="left" wrapText="1"/>
    </xf>
    <xf numFmtId="0" fontId="6" fillId="0" borderId="147" xfId="0" applyFont="1" applyBorder="1" applyAlignment="1">
      <alignment horizontal="center" vertical="center"/>
    </xf>
    <xf numFmtId="0" fontId="6" fillId="0" borderId="124" xfId="0" applyFont="1" applyBorder="1" applyAlignment="1">
      <alignment horizontal="center" vertical="center"/>
    </xf>
    <xf numFmtId="0" fontId="45" fillId="0" borderId="0" xfId="0" applyFont="1" applyAlignment="1">
      <alignment horizontal="center" vertical="center"/>
    </xf>
    <xf numFmtId="11" fontId="6" fillId="0" borderId="120" xfId="0" applyNumberFormat="1" applyFont="1" applyBorder="1" applyAlignment="1">
      <alignment horizontal="center" vertical="center" wrapText="1"/>
    </xf>
    <xf numFmtId="0" fontId="6" fillId="22" borderId="120" xfId="0" applyFont="1" applyFill="1" applyBorder="1" applyAlignment="1">
      <alignment horizontal="center" vertical="center" wrapText="1"/>
    </xf>
    <xf numFmtId="0" fontId="16" fillId="0" borderId="3" xfId="0" applyFont="1" applyBorder="1" applyAlignment="1">
      <alignment horizontal="center" vertical="center"/>
    </xf>
    <xf numFmtId="0" fontId="6" fillId="0" borderId="222" xfId="0" applyFont="1" applyBorder="1" applyAlignment="1">
      <alignment horizontal="center" vertical="center" wrapText="1"/>
    </xf>
    <xf numFmtId="0" fontId="6" fillId="0" borderId="80"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5"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62" xfId="0" applyFont="1" applyBorder="1" applyAlignment="1">
      <alignment horizontal="center" vertical="center" wrapText="1"/>
    </xf>
    <xf numFmtId="49" fontId="5" fillId="20" borderId="0" xfId="0" applyNumberFormat="1" applyFont="1" applyFill="1" applyAlignment="1">
      <alignment horizontal="left"/>
    </xf>
    <xf numFmtId="49" fontId="16" fillId="0" borderId="0" xfId="0" applyNumberFormat="1" applyFont="1" applyAlignment="1">
      <alignment horizontal="center" vertical="center" wrapText="1"/>
    </xf>
    <xf numFmtId="167" fontId="16" fillId="0" borderId="32" xfId="7" applyNumberFormat="1" applyFont="1" applyBorder="1" applyAlignment="1">
      <alignment horizontal="center" vertical="center" wrapText="1"/>
    </xf>
    <xf numFmtId="49" fontId="5" fillId="0" borderId="0" xfId="7" applyNumberFormat="1" applyFont="1" applyAlignment="1">
      <alignment horizontal="left"/>
    </xf>
    <xf numFmtId="49" fontId="5" fillId="0" borderId="8" xfId="7" applyNumberFormat="1" applyFont="1" applyBorder="1" applyAlignment="1">
      <alignment horizontal="left"/>
    </xf>
    <xf numFmtId="0" fontId="4" fillId="0" borderId="0" xfId="0" applyFont="1" applyAlignment="1">
      <alignment wrapText="1"/>
    </xf>
    <xf numFmtId="0" fontId="4" fillId="0" borderId="64" xfId="0" applyFont="1" applyBorder="1" applyAlignment="1">
      <alignment wrapText="1"/>
    </xf>
    <xf numFmtId="0" fontId="61" fillId="0" borderId="0" xfId="1" applyFont="1" applyAlignment="1">
      <alignment horizontal="center" vertical="center" wrapText="1"/>
    </xf>
    <xf numFmtId="0" fontId="0" fillId="0" borderId="11" xfId="0" applyBorder="1" applyAlignment="1">
      <alignment horizontal="center"/>
    </xf>
    <xf numFmtId="11" fontId="127" fillId="0" borderId="141" xfId="0" applyNumberFormat="1" applyFont="1" applyBorder="1" applyAlignment="1">
      <alignment horizontal="center" vertical="center" wrapText="1"/>
    </xf>
    <xf numFmtId="11" fontId="127" fillId="0" borderId="25" xfId="0" applyNumberFormat="1" applyFont="1" applyBorder="1" applyAlignment="1">
      <alignment horizontal="center" vertical="center" wrapText="1"/>
    </xf>
    <xf numFmtId="11" fontId="127" fillId="0" borderId="120" xfId="0" applyNumberFormat="1" applyFont="1" applyBorder="1" applyAlignment="1">
      <alignment horizontal="center" vertical="center" wrapText="1"/>
    </xf>
    <xf numFmtId="0" fontId="0" fillId="0" borderId="5" xfId="0" applyBorder="1" applyAlignment="1">
      <alignment horizontal="center"/>
    </xf>
    <xf numFmtId="0" fontId="123" fillId="60" borderId="286" xfId="0" applyFont="1" applyFill="1" applyBorder="1" applyAlignment="1">
      <alignment horizontal="center" wrapText="1"/>
    </xf>
    <xf numFmtId="0" fontId="123" fillId="60" borderId="287" xfId="0" applyFont="1" applyFill="1" applyBorder="1" applyAlignment="1">
      <alignment horizontal="center" wrapText="1"/>
    </xf>
    <xf numFmtId="0" fontId="123" fillId="60" borderId="288" xfId="0" applyFont="1" applyFill="1" applyBorder="1" applyAlignment="1">
      <alignment horizontal="center" wrapText="1"/>
    </xf>
    <xf numFmtId="0" fontId="123" fillId="61" borderId="286" xfId="0" applyFont="1" applyFill="1" applyBorder="1" applyAlignment="1">
      <alignment horizontal="center" wrapText="1"/>
    </xf>
    <xf numFmtId="0" fontId="123" fillId="61" borderId="287" xfId="0" applyFont="1" applyFill="1" applyBorder="1" applyAlignment="1">
      <alignment horizontal="center" wrapText="1"/>
    </xf>
    <xf numFmtId="0" fontId="123" fillId="61" borderId="288" xfId="0" applyFont="1" applyFill="1" applyBorder="1" applyAlignment="1">
      <alignment horizontal="center" wrapText="1"/>
    </xf>
    <xf numFmtId="0" fontId="123" fillId="59" borderId="286" xfId="0" applyFont="1" applyFill="1" applyBorder="1" applyAlignment="1">
      <alignment horizontal="center" wrapText="1"/>
    </xf>
    <xf numFmtId="0" fontId="123" fillId="59" borderId="287" xfId="0" applyFont="1" applyFill="1" applyBorder="1" applyAlignment="1">
      <alignment horizontal="center" wrapText="1"/>
    </xf>
    <xf numFmtId="0" fontId="123" fillId="59" borderId="288" xfId="0" applyFont="1" applyFill="1" applyBorder="1" applyAlignment="1">
      <alignment horizontal="center" wrapText="1"/>
    </xf>
    <xf numFmtId="0" fontId="4" fillId="0" borderId="122" xfId="1" applyBorder="1" applyAlignment="1">
      <alignment horizontal="center" vertical="center"/>
    </xf>
    <xf numFmtId="0" fontId="7" fillId="0" borderId="73" xfId="0" applyFont="1" applyBorder="1" applyAlignment="1">
      <alignment horizontal="center" vertical="center" wrapText="1"/>
    </xf>
    <xf numFmtId="0" fontId="7" fillId="0" borderId="70" xfId="0" applyFont="1" applyBorder="1" applyAlignment="1">
      <alignment horizontal="center" vertical="center" wrapText="1"/>
    </xf>
    <xf numFmtId="170" fontId="5" fillId="0" borderId="139" xfId="0" applyNumberFormat="1" applyFont="1" applyBorder="1" applyAlignment="1">
      <alignment horizontal="center"/>
    </xf>
    <xf numFmtId="0" fontId="6" fillId="0" borderId="119" xfId="0" applyFont="1" applyBorder="1" applyAlignment="1">
      <alignment horizontal="center" vertical="center"/>
    </xf>
    <xf numFmtId="170" fontId="5" fillId="0" borderId="165" xfId="0" applyNumberFormat="1" applyFont="1" applyBorder="1" applyAlignment="1">
      <alignment horizontal="center"/>
    </xf>
    <xf numFmtId="0" fontId="6" fillId="22" borderId="0" xfId="0" applyFont="1" applyFill="1" applyAlignment="1">
      <alignment horizontal="center" vertical="center"/>
    </xf>
    <xf numFmtId="167" fontId="6" fillId="22" borderId="0" xfId="0" applyNumberFormat="1" applyFont="1" applyFill="1" applyAlignment="1">
      <alignment horizontal="center" vertical="center"/>
    </xf>
    <xf numFmtId="11" fontId="6" fillId="0" borderId="0" xfId="0" applyNumberFormat="1" applyFont="1" applyAlignment="1">
      <alignment horizontal="center" vertical="center"/>
    </xf>
    <xf numFmtId="170" fontId="5" fillId="22" borderId="305" xfId="0" applyNumberFormat="1" applyFont="1" applyFill="1" applyBorder="1" applyAlignment="1">
      <alignment horizontal="center"/>
    </xf>
    <xf numFmtId="170" fontId="5" fillId="22" borderId="306" xfId="0" applyNumberFormat="1" applyFont="1" applyFill="1" applyBorder="1" applyAlignment="1">
      <alignment horizontal="center"/>
    </xf>
    <xf numFmtId="170" fontId="5" fillId="22" borderId="307" xfId="0" applyNumberFormat="1" applyFont="1" applyFill="1" applyBorder="1" applyAlignment="1">
      <alignment horizontal="center"/>
    </xf>
    <xf numFmtId="167" fontId="4" fillId="0" borderId="5" xfId="0" applyNumberFormat="1" applyFont="1" applyBorder="1" applyAlignment="1">
      <alignment horizontal="center"/>
    </xf>
    <xf numFmtId="0" fontId="4" fillId="0" borderId="3" xfId="0" applyFont="1" applyBorder="1"/>
    <xf numFmtId="11" fontId="4" fillId="0" borderId="3" xfId="0" applyNumberFormat="1" applyFont="1" applyBorder="1"/>
    <xf numFmtId="0" fontId="4" fillId="0" borderId="3" xfId="0" applyFont="1" applyBorder="1" applyAlignment="1">
      <alignment horizontal="center"/>
    </xf>
    <xf numFmtId="0" fontId="4" fillId="0" borderId="15" xfId="0" applyFont="1" applyBorder="1"/>
    <xf numFmtId="11" fontId="4" fillId="0" borderId="0" xfId="0" applyNumberFormat="1" applyFont="1"/>
    <xf numFmtId="11" fontId="4" fillId="20" borderId="0" xfId="0" applyNumberFormat="1" applyFont="1" applyFill="1"/>
    <xf numFmtId="0" fontId="4" fillId="20" borderId="0" xfId="0" applyFont="1" applyFill="1" applyAlignment="1">
      <alignment horizontal="center"/>
    </xf>
    <xf numFmtId="167" fontId="4" fillId="20" borderId="0" xfId="0" applyNumberFormat="1" applyFont="1" applyFill="1"/>
    <xf numFmtId="11" fontId="4" fillId="0" borderId="5" xfId="0" applyNumberFormat="1" applyFont="1" applyBorder="1"/>
    <xf numFmtId="0" fontId="4" fillId="0" borderId="5" xfId="0" applyFont="1" applyBorder="1" applyAlignment="1">
      <alignment horizontal="center"/>
    </xf>
    <xf numFmtId="167" fontId="4" fillId="0" borderId="3" xfId="0" applyNumberFormat="1" applyFont="1" applyBorder="1" applyAlignment="1">
      <alignment horizontal="center"/>
    </xf>
    <xf numFmtId="11" fontId="4" fillId="0" borderId="3" xfId="0" applyNumberFormat="1" applyFont="1" applyBorder="1" applyAlignment="1">
      <alignment horizontal="center"/>
    </xf>
    <xf numFmtId="11" fontId="4" fillId="0" borderId="0" xfId="0" applyNumberFormat="1" applyFont="1" applyAlignment="1">
      <alignment horizontal="center"/>
    </xf>
    <xf numFmtId="11" fontId="4" fillId="20" borderId="0" xfId="0" applyNumberFormat="1" applyFont="1" applyFill="1" applyAlignment="1">
      <alignment horizontal="center"/>
    </xf>
    <xf numFmtId="11" fontId="4" fillId="0" borderId="5" xfId="0" applyNumberFormat="1" applyFont="1" applyBorder="1" applyAlignment="1">
      <alignment horizontal="center"/>
    </xf>
    <xf numFmtId="170" fontId="5" fillId="20" borderId="67" xfId="0" quotePrefix="1" applyNumberFormat="1" applyFont="1" applyFill="1" applyBorder="1" applyAlignment="1">
      <alignment horizontal="center"/>
    </xf>
    <xf numFmtId="0" fontId="5" fillId="20" borderId="70" xfId="0" applyFont="1" applyFill="1" applyBorder="1" applyAlignment="1">
      <alignment horizontal="center"/>
    </xf>
    <xf numFmtId="0" fontId="5" fillId="20" borderId="36" xfId="0" applyFont="1" applyFill="1" applyBorder="1" applyAlignment="1">
      <alignment horizontal="center"/>
    </xf>
    <xf numFmtId="167" fontId="5" fillId="20" borderId="70" xfId="0" quotePrefix="1" applyNumberFormat="1" applyFont="1" applyFill="1" applyBorder="1" applyAlignment="1">
      <alignment horizontal="center"/>
    </xf>
    <xf numFmtId="0" fontId="61" fillId="4" borderId="0" xfId="0" applyFont="1" applyFill="1" applyAlignment="1" applyProtection="1">
      <alignment horizontal="center" vertical="top" wrapText="1"/>
      <protection hidden="1"/>
    </xf>
    <xf numFmtId="0" fontId="61" fillId="6" borderId="0" xfId="0" applyFont="1" applyFill="1" applyAlignment="1" applyProtection="1">
      <alignment horizontal="center" vertical="top" wrapText="1"/>
      <protection hidden="1"/>
    </xf>
    <xf numFmtId="49" fontId="5" fillId="19" borderId="0" xfId="0" applyNumberFormat="1" applyFont="1" applyFill="1" applyAlignment="1">
      <alignment wrapText="1"/>
    </xf>
    <xf numFmtId="49" fontId="5" fillId="19" borderId="8" xfId="0" applyNumberFormat="1" applyFont="1" applyFill="1" applyBorder="1" applyAlignment="1">
      <alignment wrapText="1"/>
    </xf>
    <xf numFmtId="49" fontId="5" fillId="20" borderId="114" xfId="0" applyNumberFormat="1" applyFont="1" applyFill="1" applyBorder="1"/>
    <xf numFmtId="49" fontId="5" fillId="20" borderId="138" xfId="0" applyNumberFormat="1" applyFont="1" applyFill="1" applyBorder="1" applyAlignment="1">
      <alignment horizontal="left"/>
    </xf>
    <xf numFmtId="167" fontId="5" fillId="20" borderId="216" xfId="0" applyNumberFormat="1" applyFont="1" applyFill="1" applyBorder="1" applyAlignment="1">
      <alignment horizontal="center"/>
    </xf>
    <xf numFmtId="167" fontId="5" fillId="20" borderId="216" xfId="0" quotePrefix="1" applyNumberFormat="1" applyFont="1" applyFill="1" applyBorder="1" applyAlignment="1">
      <alignment horizontal="center"/>
    </xf>
    <xf numFmtId="0" fontId="5" fillId="13" borderId="158" xfId="0" applyFont="1" applyFill="1" applyBorder="1" applyAlignment="1">
      <alignment horizontal="center"/>
    </xf>
    <xf numFmtId="167" fontId="5" fillId="20" borderId="129" xfId="0" applyNumberFormat="1" applyFont="1" applyFill="1" applyBorder="1" applyAlignment="1">
      <alignment horizontal="center"/>
    </xf>
    <xf numFmtId="0" fontId="5" fillId="20" borderId="152" xfId="0" applyFont="1" applyFill="1" applyBorder="1"/>
    <xf numFmtId="2" fontId="47" fillId="20" borderId="138" xfId="0" applyNumberFormat="1" applyFont="1" applyFill="1" applyBorder="1" applyAlignment="1">
      <alignment horizontal="left" vertical="center"/>
    </xf>
    <xf numFmtId="49" fontId="4" fillId="20" borderId="135" xfId="0" applyNumberFormat="1" applyFont="1" applyFill="1" applyBorder="1" applyAlignment="1">
      <alignment horizontal="left" vertical="center"/>
    </xf>
    <xf numFmtId="2" fontId="4" fillId="20" borderId="139" xfId="0" applyNumberFormat="1" applyFont="1" applyFill="1" applyBorder="1" applyAlignment="1">
      <alignment horizontal="left" vertical="center"/>
    </xf>
    <xf numFmtId="167" fontId="0" fillId="20" borderId="136" xfId="0" applyNumberFormat="1" applyFill="1" applyBorder="1" applyAlignment="1">
      <alignment horizontal="center" vertical="center"/>
    </xf>
    <xf numFmtId="2" fontId="16" fillId="23" borderId="3" xfId="0" applyNumberFormat="1" applyFont="1" applyFill="1" applyBorder="1" applyAlignment="1">
      <alignment horizontal="center" vertical="center" wrapText="1"/>
    </xf>
    <xf numFmtId="0" fontId="16" fillId="23" borderId="3" xfId="0" applyFont="1" applyFill="1" applyBorder="1" applyAlignment="1">
      <alignment horizontal="center" vertical="center" wrapText="1"/>
    </xf>
    <xf numFmtId="0" fontId="4" fillId="0" borderId="70" xfId="0" applyFont="1" applyBorder="1" applyAlignment="1" applyProtection="1">
      <alignment horizontal="center" vertical="center" wrapText="1"/>
      <protection hidden="1"/>
    </xf>
    <xf numFmtId="179" fontId="24" fillId="3" borderId="53" xfId="0" applyNumberFormat="1" applyFont="1" applyFill="1" applyBorder="1" applyAlignment="1" applyProtection="1">
      <alignment horizontal="center" vertical="center" wrapText="1"/>
      <protection locked="0" hidden="1"/>
    </xf>
    <xf numFmtId="165" fontId="24" fillId="3" borderId="53" xfId="0" applyNumberFormat="1" applyFont="1" applyFill="1" applyBorder="1" applyAlignment="1" applyProtection="1">
      <alignment horizontal="center" vertical="center" wrapText="1"/>
      <protection locked="0" hidden="1"/>
    </xf>
    <xf numFmtId="49" fontId="5" fillId="20" borderId="8" xfId="0" applyNumberFormat="1" applyFont="1" applyFill="1" applyBorder="1"/>
    <xf numFmtId="0" fontId="4" fillId="0" borderId="1"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167" fontId="1" fillId="0" borderId="109" xfId="1" applyNumberFormat="1" applyFont="1" applyBorder="1" applyAlignment="1">
      <alignment horizontal="center" vertical="center"/>
    </xf>
    <xf numFmtId="167" fontId="1" fillId="0" borderId="80" xfId="1" applyNumberFormat="1" applyFont="1" applyBorder="1" applyAlignment="1">
      <alignment horizontal="center" vertical="center"/>
    </xf>
    <xf numFmtId="167" fontId="1" fillId="0" borderId="134" xfId="1" quotePrefix="1" applyNumberFormat="1" applyFont="1" applyBorder="1" applyAlignment="1">
      <alignment horizontal="center" vertical="center"/>
    </xf>
    <xf numFmtId="167" fontId="1" fillId="0" borderId="124" xfId="1" quotePrefix="1" applyNumberFormat="1" applyFont="1" applyBorder="1" applyAlignment="1">
      <alignment horizontal="center" vertical="center"/>
    </xf>
    <xf numFmtId="49" fontId="139" fillId="0" borderId="114" xfId="0" applyNumberFormat="1" applyFont="1" applyBorder="1"/>
    <xf numFmtId="49" fontId="139" fillId="0" borderId="135" xfId="0" applyNumberFormat="1" applyFont="1" applyBorder="1"/>
    <xf numFmtId="49" fontId="139" fillId="0" borderId="133" xfId="0" applyNumberFormat="1" applyFont="1" applyBorder="1"/>
    <xf numFmtId="49" fontId="139" fillId="0" borderId="108" xfId="0" applyNumberFormat="1" applyFont="1" applyBorder="1"/>
    <xf numFmtId="49" fontId="139" fillId="0" borderId="156" xfId="0" applyNumberFormat="1" applyFont="1" applyBorder="1"/>
    <xf numFmtId="0" fontId="139" fillId="0" borderId="156" xfId="0" applyFont="1" applyBorder="1"/>
    <xf numFmtId="49" fontId="139" fillId="0" borderId="135" xfId="0" applyNumberFormat="1" applyFont="1" applyBorder="1" applyAlignment="1">
      <alignment horizontal="left"/>
    </xf>
    <xf numFmtId="49" fontId="141" fillId="0" borderId="135" xfId="0" applyNumberFormat="1" applyFont="1" applyBorder="1" applyAlignment="1">
      <alignment horizontal="left" vertical="center"/>
    </xf>
    <xf numFmtId="49" fontId="143" fillId="0" borderId="135" xfId="0" applyNumberFormat="1" applyFont="1" applyBorder="1" applyAlignment="1">
      <alignment horizontal="left" vertical="center"/>
    </xf>
    <xf numFmtId="167" fontId="5" fillId="27" borderId="137" xfId="0" applyNumberFormat="1" applyFont="1" applyFill="1" applyBorder="1" applyAlignment="1">
      <alignment horizontal="center"/>
    </xf>
    <xf numFmtId="167" fontId="5" fillId="27" borderId="149" xfId="0" applyNumberFormat="1" applyFont="1" applyFill="1" applyBorder="1" applyAlignment="1">
      <alignment horizontal="center"/>
    </xf>
    <xf numFmtId="0" fontId="5" fillId="27" borderId="1" xfId="0" applyFont="1" applyFill="1" applyBorder="1"/>
    <xf numFmtId="0" fontId="5" fillId="27" borderId="0" xfId="0" applyFont="1" applyFill="1"/>
    <xf numFmtId="167" fontId="4" fillId="27" borderId="0" xfId="0" applyNumberFormat="1" applyFont="1" applyFill="1"/>
    <xf numFmtId="0" fontId="4" fillId="27" borderId="0" xfId="0" applyFont="1" applyFill="1"/>
    <xf numFmtId="11" fontId="4" fillId="27" borderId="0" xfId="0" applyNumberFormat="1" applyFont="1" applyFill="1"/>
    <xf numFmtId="0" fontId="4" fillId="27" borderId="0" xfId="0" applyFont="1" applyFill="1" applyAlignment="1">
      <alignment horizontal="center"/>
    </xf>
    <xf numFmtId="0" fontId="4" fillId="27" borderId="8" xfId="0" applyFont="1" applyFill="1" applyBorder="1"/>
    <xf numFmtId="0" fontId="6" fillId="0" borderId="164" xfId="0" applyFont="1" applyBorder="1" applyAlignment="1">
      <alignment horizontal="center" vertical="center" wrapText="1"/>
    </xf>
    <xf numFmtId="170" fontId="5" fillId="20" borderId="143" xfId="0" quotePrefix="1" applyNumberFormat="1" applyFont="1" applyFill="1" applyBorder="1" applyAlignment="1">
      <alignment horizontal="center"/>
    </xf>
    <xf numFmtId="170" fontId="5" fillId="20" borderId="166" xfId="0" quotePrefix="1" applyNumberFormat="1" applyFont="1" applyFill="1" applyBorder="1" applyAlignment="1">
      <alignment horizontal="center"/>
    </xf>
    <xf numFmtId="1" fontId="5" fillId="20" borderId="137" xfId="0" applyNumberFormat="1" applyFont="1" applyFill="1" applyBorder="1" applyAlignment="1">
      <alignment horizontal="center"/>
    </xf>
    <xf numFmtId="11" fontId="5" fillId="20" borderId="138" xfId="0" quotePrefix="1" applyNumberFormat="1" applyFont="1" applyFill="1" applyBorder="1" applyAlignment="1">
      <alignment horizontal="left"/>
    </xf>
    <xf numFmtId="0" fontId="8" fillId="0" borderId="18" xfId="0" applyFont="1" applyBorder="1" applyAlignment="1">
      <alignment horizontal="center"/>
    </xf>
    <xf numFmtId="0" fontId="16" fillId="0" borderId="217" xfId="0" applyFont="1" applyBorder="1" applyAlignment="1">
      <alignment horizontal="center" vertical="center"/>
    </xf>
    <xf numFmtId="0" fontId="6" fillId="0" borderId="147" xfId="0" applyFont="1" applyBorder="1" applyAlignment="1">
      <alignment horizontal="center"/>
    </xf>
    <xf numFmtId="0" fontId="24" fillId="0" borderId="121" xfId="0" applyFont="1" applyBorder="1" applyAlignment="1">
      <alignment vertical="center" wrapText="1"/>
    </xf>
    <xf numFmtId="0" fontId="24" fillId="0" borderId="128" xfId="0" applyFont="1" applyBorder="1" applyAlignment="1">
      <alignment vertical="center" wrapText="1"/>
    </xf>
    <xf numFmtId="0" fontId="24" fillId="0" borderId="24" xfId="0" applyFont="1" applyBorder="1" applyAlignment="1">
      <alignment vertical="center" wrapText="1"/>
    </xf>
    <xf numFmtId="0" fontId="24" fillId="0" borderId="64" xfId="0" applyFont="1" applyBorder="1" applyAlignment="1">
      <alignment vertical="center" wrapText="1"/>
    </xf>
    <xf numFmtId="0" fontId="99" fillId="0" borderId="121" xfId="0" applyFont="1" applyBorder="1" applyAlignment="1">
      <alignment vertical="top" wrapText="1"/>
    </xf>
    <xf numFmtId="0" fontId="99" fillId="0" borderId="128" xfId="0" applyFont="1" applyBorder="1" applyAlignment="1">
      <alignment vertical="top" wrapText="1"/>
    </xf>
    <xf numFmtId="0" fontId="22" fillId="41" borderId="32" xfId="0" applyFont="1" applyFill="1" applyBorder="1" applyAlignment="1">
      <alignment vertical="center" wrapText="1"/>
    </xf>
    <xf numFmtId="0" fontId="22" fillId="41" borderId="34" xfId="0" applyFont="1" applyFill="1" applyBorder="1" applyAlignment="1">
      <alignment vertical="center" wrapText="1"/>
    </xf>
    <xf numFmtId="0" fontId="100" fillId="0" borderId="63" xfId="10" applyFont="1" applyBorder="1" applyAlignment="1">
      <alignment vertical="center" wrapText="1"/>
    </xf>
    <xf numFmtId="0" fontId="100" fillId="0" borderId="84" xfId="10" applyFont="1" applyBorder="1" applyAlignment="1">
      <alignment vertical="center" wrapText="1"/>
    </xf>
    <xf numFmtId="0" fontId="24" fillId="0" borderId="24" xfId="0" applyFont="1" applyBorder="1" applyAlignment="1">
      <alignment wrapText="1"/>
    </xf>
    <xf numFmtId="0" fontId="24" fillId="0" borderId="64" xfId="0" applyFont="1" applyBorder="1" applyAlignment="1">
      <alignment wrapText="1"/>
    </xf>
    <xf numFmtId="49" fontId="45" fillId="0" borderId="0" xfId="0" quotePrefix="1" applyNumberFormat="1" applyFont="1" applyAlignment="1" applyProtection="1">
      <alignment horizontal="center" vertical="center" wrapText="1"/>
      <protection hidden="1"/>
    </xf>
    <xf numFmtId="0" fontId="7" fillId="0" borderId="0" xfId="0" quotePrefix="1" applyFont="1" applyAlignment="1" applyProtection="1">
      <alignment horizontal="center" vertical="center" wrapText="1"/>
      <protection hidden="1"/>
    </xf>
    <xf numFmtId="0" fontId="24" fillId="0" borderId="0" xfId="0" applyFont="1" applyAlignment="1">
      <alignment horizontal="left" vertical="top" wrapText="1"/>
    </xf>
    <xf numFmtId="0" fontId="58" fillId="0" borderId="9" xfId="0" applyFont="1" applyBorder="1" applyAlignment="1" applyProtection="1">
      <alignment horizontal="left" vertical="top" wrapText="1"/>
      <protection hidden="1"/>
    </xf>
    <xf numFmtId="0" fontId="46" fillId="22" borderId="0" xfId="3" applyFont="1" applyFill="1" applyAlignment="1">
      <alignment horizontal="center"/>
    </xf>
    <xf numFmtId="0" fontId="47" fillId="22" borderId="0" xfId="0" applyFont="1" applyFill="1" applyAlignment="1">
      <alignment horizontal="center"/>
    </xf>
    <xf numFmtId="0" fontId="27" fillId="0" borderId="30" xfId="3" applyFont="1" applyBorder="1" applyAlignment="1">
      <alignment horizontal="center" wrapText="1"/>
    </xf>
    <xf numFmtId="0" fontId="27" fillId="0" borderId="31" xfId="3" applyFont="1" applyBorder="1" applyAlignment="1">
      <alignment horizontal="center" wrapText="1"/>
    </xf>
    <xf numFmtId="0" fontId="16" fillId="0" borderId="5" xfId="0" applyFont="1" applyBorder="1" applyAlignment="1">
      <alignment horizontal="center"/>
    </xf>
    <xf numFmtId="0" fontId="7" fillId="0" borderId="0" xfId="0" quotePrefix="1" applyFont="1" applyAlignment="1">
      <alignment horizontal="center" vertical="center" wrapText="1"/>
    </xf>
    <xf numFmtId="0" fontId="7" fillId="0" borderId="0" xfId="0" applyFont="1" applyAlignment="1">
      <alignment horizontal="center" vertical="center" wrapText="1"/>
    </xf>
    <xf numFmtId="0" fontId="1" fillId="0" borderId="4" xfId="2" applyFont="1" applyBorder="1" applyAlignment="1">
      <alignment horizontal="left" wrapText="1"/>
    </xf>
    <xf numFmtId="0" fontId="1" fillId="0" borderId="5" xfId="2" applyFont="1" applyBorder="1" applyAlignment="1">
      <alignment horizontal="left" wrapText="1"/>
    </xf>
    <xf numFmtId="0" fontId="1" fillId="0" borderId="16" xfId="2" applyFont="1" applyBorder="1" applyAlignment="1">
      <alignment horizontal="left" wrapText="1"/>
    </xf>
    <xf numFmtId="0" fontId="45" fillId="0" borderId="2"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15" xfId="0" applyFont="1" applyBorder="1" applyAlignment="1">
      <alignment horizontal="center" vertical="center" wrapText="1"/>
    </xf>
    <xf numFmtId="0" fontId="58" fillId="0" borderId="4" xfId="0" applyFont="1" applyBorder="1" applyAlignment="1">
      <alignment horizontal="center" vertical="center" wrapText="1"/>
    </xf>
    <xf numFmtId="0" fontId="58" fillId="0" borderId="5" xfId="0" applyFont="1" applyBorder="1" applyAlignment="1">
      <alignment horizontal="center" vertical="center" wrapText="1"/>
    </xf>
    <xf numFmtId="0" fontId="58" fillId="0" borderId="16" xfId="0" applyFont="1" applyBorder="1" applyAlignment="1">
      <alignment horizontal="center" vertical="center" wrapText="1"/>
    </xf>
    <xf numFmtId="0" fontId="4" fillId="0" borderId="1" xfId="0" applyFont="1" applyBorder="1" applyAlignment="1">
      <alignment horizontal="left" vertical="top" wrapText="1"/>
    </xf>
    <xf numFmtId="0" fontId="4" fillId="0" borderId="0" xfId="0" applyFont="1" applyAlignment="1">
      <alignment horizontal="left" vertical="top"/>
    </xf>
    <xf numFmtId="0" fontId="4" fillId="0" borderId="8" xfId="0" applyFont="1" applyBorder="1" applyAlignment="1">
      <alignment horizontal="left" vertical="top"/>
    </xf>
    <xf numFmtId="0" fontId="4" fillId="0" borderId="1" xfId="0" applyFont="1" applyBorder="1" applyAlignment="1">
      <alignment horizontal="left" vertical="center" wrapText="1"/>
    </xf>
    <xf numFmtId="0" fontId="4" fillId="0" borderId="0" xfId="0" applyFont="1" applyAlignment="1">
      <alignment horizontal="left" vertical="center" wrapText="1"/>
    </xf>
    <xf numFmtId="0" fontId="4" fillId="0" borderId="8" xfId="0" applyFont="1" applyBorder="1" applyAlignment="1">
      <alignment horizontal="left" vertical="center" wrapText="1"/>
    </xf>
    <xf numFmtId="49" fontId="7" fillId="0" borderId="1"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8" xfId="0" applyNumberFormat="1" applyFont="1" applyBorder="1" applyAlignment="1">
      <alignment horizontal="center" vertical="center" wrapText="1"/>
    </xf>
    <xf numFmtId="0" fontId="1" fillId="0" borderId="1" xfId="2" applyFont="1" applyBorder="1" applyAlignment="1">
      <alignment wrapText="1"/>
    </xf>
    <xf numFmtId="0" fontId="1" fillId="0" borderId="0" xfId="2" applyFont="1" applyAlignment="1">
      <alignment wrapText="1"/>
    </xf>
    <xf numFmtId="0" fontId="1" fillId="0" borderId="8" xfId="2" applyFont="1" applyBorder="1" applyAlignment="1">
      <alignment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20" borderId="1" xfId="0" applyFont="1" applyFill="1" applyBorder="1" applyAlignment="1">
      <alignment horizontal="left" vertical="top" wrapText="1"/>
    </xf>
    <xf numFmtId="0" fontId="4" fillId="20" borderId="0" xfId="0" applyFont="1" applyFill="1" applyAlignment="1">
      <alignment horizontal="left" vertical="top" wrapText="1"/>
    </xf>
    <xf numFmtId="0" fontId="4" fillId="20" borderId="8" xfId="0" applyFont="1" applyFill="1" applyBorder="1" applyAlignment="1">
      <alignment horizontal="left" vertical="top" wrapText="1"/>
    </xf>
    <xf numFmtId="0" fontId="47" fillId="20" borderId="1" xfId="0" quotePrefix="1" applyFont="1" applyFill="1" applyBorder="1" applyAlignment="1" applyProtection="1">
      <alignment horizontal="left" wrapText="1"/>
      <protection hidden="1"/>
    </xf>
    <xf numFmtId="0" fontId="47" fillId="20" borderId="0" xfId="0" quotePrefix="1" applyFont="1" applyFill="1" applyAlignment="1" applyProtection="1">
      <alignment horizontal="left" wrapText="1"/>
      <protection hidden="1"/>
    </xf>
    <xf numFmtId="0" fontId="47" fillId="20" borderId="8" xfId="0" quotePrefix="1" applyFont="1" applyFill="1" applyBorder="1" applyAlignment="1" applyProtection="1">
      <alignment horizontal="left" wrapText="1"/>
      <protection hidden="1"/>
    </xf>
    <xf numFmtId="0" fontId="47" fillId="20" borderId="1" xfId="0" quotePrefix="1" applyFont="1" applyFill="1" applyBorder="1" applyAlignment="1" applyProtection="1">
      <alignment wrapText="1"/>
      <protection hidden="1"/>
    </xf>
    <xf numFmtId="0" fontId="47" fillId="20" borderId="0" xfId="0" quotePrefix="1" applyFont="1" applyFill="1" applyAlignment="1" applyProtection="1">
      <alignment wrapText="1"/>
      <protection hidden="1"/>
    </xf>
    <xf numFmtId="0" fontId="47" fillId="20" borderId="8" xfId="0" quotePrefix="1" applyFont="1" applyFill="1" applyBorder="1" applyAlignment="1" applyProtection="1">
      <alignment wrapText="1"/>
      <protection hidden="1"/>
    </xf>
    <xf numFmtId="0" fontId="25" fillId="0" borderId="35" xfId="0" applyFont="1" applyBorder="1" applyAlignment="1" applyProtection="1">
      <alignment horizontal="center" vertical="center" wrapText="1"/>
      <protection hidden="1"/>
    </xf>
    <xf numFmtId="0" fontId="25" fillId="0" borderId="19"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49" fontId="59" fillId="0" borderId="6" xfId="0" applyNumberFormat="1" applyFont="1" applyBorder="1" applyAlignment="1">
      <alignment horizontal="center" vertical="center"/>
    </xf>
    <xf numFmtId="0" fontId="59" fillId="0" borderId="163" xfId="0" applyFont="1" applyBorder="1" applyAlignment="1">
      <alignment horizontal="center" vertical="center"/>
    </xf>
    <xf numFmtId="0" fontId="25" fillId="0" borderId="57" xfId="0" applyFont="1" applyBorder="1" applyAlignment="1">
      <alignment horizontal="center" vertical="center"/>
    </xf>
    <xf numFmtId="0" fontId="25" fillId="0" borderId="147" xfId="0" applyFont="1" applyBorder="1" applyAlignment="1">
      <alignment horizontal="center" vertical="center"/>
    </xf>
    <xf numFmtId="0" fontId="25" fillId="0" borderId="87" xfId="0" applyFont="1" applyBorder="1" applyAlignment="1">
      <alignment horizontal="center" vertical="center"/>
    </xf>
    <xf numFmtId="0" fontId="25" fillId="0" borderId="124" xfId="0" applyFont="1" applyBorder="1" applyAlignment="1">
      <alignment horizontal="center" vertical="center"/>
    </xf>
    <xf numFmtId="0" fontId="25" fillId="0" borderId="32"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53" fillId="8" borderId="140" xfId="0" applyFont="1" applyFill="1" applyBorder="1" applyAlignment="1" applyProtection="1">
      <alignment horizontal="center" vertical="center"/>
      <protection hidden="1"/>
    </xf>
    <xf numFmtId="0" fontId="53" fillId="8" borderId="222" xfId="0" applyFont="1" applyFill="1" applyBorder="1" applyAlignment="1" applyProtection="1">
      <alignment horizontal="center" vertical="center"/>
      <protection hidden="1"/>
    </xf>
    <xf numFmtId="0" fontId="53" fillId="8" borderId="141" xfId="0" applyFont="1" applyFill="1" applyBorder="1" applyAlignment="1" applyProtection="1">
      <alignment horizontal="center" vertical="center"/>
      <protection hidden="1"/>
    </xf>
    <xf numFmtId="0" fontId="53" fillId="8" borderId="46" xfId="0" applyFont="1" applyFill="1" applyBorder="1" applyAlignment="1" applyProtection="1">
      <alignment horizontal="center" vertical="center"/>
      <protection hidden="1"/>
    </xf>
    <xf numFmtId="0" fontId="53" fillId="8" borderId="17" xfId="0" applyFont="1" applyFill="1" applyBorder="1" applyAlignment="1" applyProtection="1">
      <alignment horizontal="center" vertical="center"/>
      <protection hidden="1"/>
    </xf>
    <xf numFmtId="0" fontId="25" fillId="0" borderId="63" xfId="0" applyFont="1" applyBorder="1" applyAlignment="1" applyProtection="1">
      <alignment horizontal="center" vertical="center" wrapText="1"/>
      <protection hidden="1"/>
    </xf>
    <xf numFmtId="0" fontId="25" fillId="0" borderId="83" xfId="0" applyFont="1" applyBorder="1" applyAlignment="1" applyProtection="1">
      <alignment horizontal="center" vertical="center" wrapText="1"/>
      <protection hidden="1"/>
    </xf>
    <xf numFmtId="0" fontId="25" fillId="0" borderId="84" xfId="0" applyFont="1" applyBorder="1" applyAlignment="1" applyProtection="1">
      <alignment horizontal="center" vertical="center" wrapText="1"/>
      <protection hidden="1"/>
    </xf>
    <xf numFmtId="0" fontId="25" fillId="0" borderId="121"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28" xfId="0" applyFont="1" applyBorder="1" applyAlignment="1" applyProtection="1">
      <alignment horizontal="center" vertical="center" wrapText="1"/>
      <protection hidden="1"/>
    </xf>
    <xf numFmtId="0" fontId="25" fillId="0" borderId="81" xfId="0" applyFont="1" applyBorder="1" applyAlignment="1" applyProtection="1">
      <alignment horizontal="center" vertical="center" wrapText="1"/>
      <protection hidden="1"/>
    </xf>
    <xf numFmtId="0" fontId="25" fillId="0" borderId="82" xfId="0" applyFont="1" applyBorder="1" applyAlignment="1" applyProtection="1">
      <alignment horizontal="center" vertical="center" wrapText="1"/>
      <protection hidden="1"/>
    </xf>
    <xf numFmtId="0" fontId="25" fillId="0" borderId="123" xfId="0" applyFont="1" applyBorder="1" applyAlignment="1" applyProtection="1">
      <alignment horizontal="center" vertical="center" wrapText="1"/>
      <protection hidden="1"/>
    </xf>
    <xf numFmtId="0" fontId="25" fillId="0" borderId="43" xfId="0" applyFont="1" applyBorder="1" applyAlignment="1" applyProtection="1">
      <alignment horizontal="center" vertical="center" wrapText="1"/>
      <protection hidden="1"/>
    </xf>
    <xf numFmtId="0" fontId="25" fillId="0" borderId="85" xfId="0" applyFont="1" applyBorder="1" applyAlignment="1" applyProtection="1">
      <alignment horizontal="center" vertical="center" wrapText="1"/>
      <protection hidden="1"/>
    </xf>
    <xf numFmtId="0" fontId="25" fillId="0" borderId="38" xfId="0" applyFont="1" applyBorder="1" applyAlignment="1" applyProtection="1">
      <alignment horizontal="center" vertical="center" wrapText="1"/>
      <protection hidden="1"/>
    </xf>
    <xf numFmtId="0" fontId="25" fillId="0" borderId="77" xfId="0" applyFont="1" applyBorder="1" applyAlignment="1" applyProtection="1">
      <alignment horizontal="center" vertical="center" wrapText="1"/>
      <protection hidden="1"/>
    </xf>
    <xf numFmtId="0" fontId="25" fillId="0" borderId="125" xfId="0" applyFont="1" applyBorder="1" applyAlignment="1" applyProtection="1">
      <alignment horizontal="center" vertical="center" wrapText="1"/>
      <protection hidden="1"/>
    </xf>
    <xf numFmtId="0" fontId="25" fillId="0" borderId="22" xfId="0" applyFont="1" applyBorder="1" applyAlignment="1" applyProtection="1">
      <alignment horizontal="center" vertical="center" wrapText="1"/>
      <protection hidden="1"/>
    </xf>
    <xf numFmtId="0" fontId="25" fillId="0" borderId="120" xfId="0" applyFont="1" applyBorder="1" applyAlignment="1" applyProtection="1">
      <alignment horizontal="center" vertical="center" wrapText="1"/>
      <protection hidden="1"/>
    </xf>
    <xf numFmtId="0" fontId="25" fillId="0" borderId="86" xfId="0" applyFont="1" applyBorder="1" applyAlignment="1" applyProtection="1">
      <alignment horizontal="center" vertical="center" wrapText="1"/>
      <protection hidden="1"/>
    </xf>
    <xf numFmtId="0" fontId="25" fillId="0" borderId="124" xfId="0" applyFont="1" applyBorder="1" applyAlignment="1" applyProtection="1">
      <alignment horizontal="center" vertical="center" wrapText="1"/>
      <protection hidden="1"/>
    </xf>
    <xf numFmtId="0" fontId="59" fillId="0" borderId="6" xfId="0" applyFont="1" applyBorder="1" applyAlignment="1">
      <alignment horizontal="center" vertical="center"/>
    </xf>
    <xf numFmtId="0" fontId="25" fillId="0" borderId="61" xfId="0" applyFont="1" applyBorder="1" applyAlignment="1">
      <alignment horizontal="center" vertical="center"/>
    </xf>
    <xf numFmtId="0" fontId="25" fillId="0" borderId="86" xfId="0" applyFont="1" applyBorder="1" applyAlignment="1">
      <alignment horizontal="center" vertical="center"/>
    </xf>
    <xf numFmtId="0" fontId="25" fillId="0" borderId="28" xfId="0" applyFont="1" applyBorder="1" applyAlignment="1">
      <alignment horizontal="center" vertical="center"/>
    </xf>
    <xf numFmtId="0" fontId="25" fillId="0" borderId="134" xfId="0" applyFont="1" applyBorder="1" applyAlignment="1">
      <alignment horizontal="center" vertical="center"/>
    </xf>
    <xf numFmtId="0" fontId="25" fillId="0" borderId="44" xfId="0" applyFont="1" applyBorder="1" applyAlignment="1" applyProtection="1">
      <alignment horizontal="center" vertical="center" wrapText="1"/>
      <protection hidden="1"/>
    </xf>
    <xf numFmtId="0" fontId="25" fillId="0" borderId="78" xfId="0" applyFont="1" applyBorder="1" applyAlignment="1" applyProtection="1">
      <alignment horizontal="center" vertical="center" wrapText="1"/>
      <protection hidden="1"/>
    </xf>
    <xf numFmtId="0" fontId="25" fillId="0" borderId="90" xfId="0" applyFont="1" applyBorder="1" applyAlignment="1" applyProtection="1">
      <alignment horizontal="center" vertical="center" wrapText="1"/>
      <protection hidden="1"/>
    </xf>
    <xf numFmtId="167" fontId="53" fillId="7" borderId="140" xfId="0" applyNumberFormat="1" applyFont="1" applyFill="1" applyBorder="1" applyAlignment="1" applyProtection="1">
      <alignment horizontal="center"/>
      <protection hidden="1"/>
    </xf>
    <xf numFmtId="167" fontId="53" fillId="7" borderId="222" xfId="0" applyNumberFormat="1" applyFont="1" applyFill="1" applyBorder="1" applyAlignment="1" applyProtection="1">
      <alignment horizontal="center"/>
      <protection hidden="1"/>
    </xf>
    <xf numFmtId="167" fontId="53" fillId="7" borderId="141" xfId="0" applyNumberFormat="1" applyFont="1" applyFill="1" applyBorder="1" applyAlignment="1" applyProtection="1">
      <alignment horizontal="center"/>
      <protection hidden="1"/>
    </xf>
    <xf numFmtId="167" fontId="53" fillId="7" borderId="79" xfId="0" applyNumberFormat="1" applyFont="1" applyFill="1" applyBorder="1" applyAlignment="1" applyProtection="1">
      <alignment horizontal="center"/>
      <protection hidden="1"/>
    </xf>
    <xf numFmtId="0" fontId="25" fillId="0" borderId="35" xfId="0" applyFont="1" applyBorder="1" applyAlignment="1" applyProtection="1">
      <alignment horizontal="center" vertical="center"/>
      <protection hidden="1"/>
    </xf>
    <xf numFmtId="0" fontId="25" fillId="0" borderId="19" xfId="0" applyFont="1" applyBorder="1" applyAlignment="1" applyProtection="1">
      <alignment horizontal="center" vertical="center"/>
      <protection hidden="1"/>
    </xf>
    <xf numFmtId="0" fontId="25" fillId="0" borderId="37" xfId="0" applyFont="1" applyBorder="1" applyAlignment="1" applyProtection="1">
      <alignment horizontal="center" vertical="center"/>
      <protection hidden="1"/>
    </xf>
    <xf numFmtId="0" fontId="25" fillId="0" borderId="161" xfId="0" applyFont="1" applyBorder="1" applyAlignment="1" applyProtection="1">
      <alignment horizontal="center" vertical="center" wrapText="1"/>
      <protection hidden="1"/>
    </xf>
    <xf numFmtId="0" fontId="25" fillId="0" borderId="228" xfId="0" applyFont="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167" fontId="25" fillId="0" borderId="32" xfId="0" applyNumberFormat="1" applyFont="1" applyBorder="1" applyAlignment="1" applyProtection="1">
      <alignment horizontal="center" vertical="center" wrapText="1"/>
      <protection hidden="1"/>
    </xf>
    <xf numFmtId="167" fontId="25" fillId="0" borderId="34" xfId="0" applyNumberFormat="1" applyFont="1" applyBorder="1" applyAlignment="1" applyProtection="1">
      <alignment horizontal="center" vertical="center" wrapText="1"/>
      <protection hidden="1"/>
    </xf>
    <xf numFmtId="167" fontId="25" fillId="0" borderId="33" xfId="0" applyNumberFormat="1" applyFont="1" applyBorder="1" applyAlignment="1" applyProtection="1">
      <alignment horizontal="center" vertical="center" wrapText="1"/>
      <protection hidden="1"/>
    </xf>
    <xf numFmtId="49" fontId="47" fillId="0" borderId="1" xfId="0" applyNumberFormat="1" applyFont="1" applyBorder="1" applyAlignment="1">
      <alignment horizontal="left" vertical="center" wrapText="1"/>
    </xf>
    <xf numFmtId="49" fontId="47" fillId="0" borderId="0" xfId="0" applyNumberFormat="1" applyFont="1" applyAlignment="1">
      <alignment horizontal="left" vertical="center" wrapText="1"/>
    </xf>
    <xf numFmtId="49" fontId="47" fillId="0" borderId="8" xfId="0" applyNumberFormat="1" applyFont="1" applyBorder="1" applyAlignment="1">
      <alignment horizontal="left" vertical="center" wrapText="1"/>
    </xf>
    <xf numFmtId="0" fontId="55" fillId="0" borderId="94" xfId="0" applyFont="1" applyBorder="1" applyAlignment="1" applyProtection="1">
      <alignment horizontal="center" wrapText="1"/>
      <protection hidden="1"/>
    </xf>
    <xf numFmtId="0" fontId="55" fillId="0" borderId="7" xfId="0" applyFont="1" applyBorder="1" applyAlignment="1" applyProtection="1">
      <alignment horizontal="center" wrapText="1"/>
      <protection hidden="1"/>
    </xf>
    <xf numFmtId="0" fontId="55" fillId="0" borderId="7" xfId="0" applyFont="1" applyBorder="1" applyAlignment="1" applyProtection="1">
      <alignment horizontal="center"/>
      <protection hidden="1"/>
    </xf>
    <xf numFmtId="0" fontId="55" fillId="0" borderId="89" xfId="0" applyFont="1" applyBorder="1" applyAlignment="1" applyProtection="1">
      <alignment horizontal="center"/>
      <protection hidden="1"/>
    </xf>
    <xf numFmtId="0" fontId="56" fillId="13" borderId="44" xfId="0" applyFont="1" applyFill="1" applyBorder="1" applyAlignment="1" applyProtection="1">
      <alignment horizontal="center" vertical="center"/>
      <protection hidden="1"/>
    </xf>
    <xf numFmtId="0" fontId="56" fillId="13" borderId="88" xfId="0" applyFont="1" applyFill="1" applyBorder="1" applyAlignment="1" applyProtection="1">
      <alignment horizontal="center" vertical="center"/>
      <protection hidden="1"/>
    </xf>
    <xf numFmtId="0" fontId="56" fillId="13" borderId="78" xfId="0" applyFont="1" applyFill="1" applyBorder="1" applyAlignment="1" applyProtection="1">
      <alignment horizontal="center" vertical="center"/>
      <protection hidden="1"/>
    </xf>
    <xf numFmtId="0" fontId="56" fillId="13" borderId="22" xfId="0" applyFont="1" applyFill="1" applyBorder="1" applyAlignment="1" applyProtection="1">
      <alignment horizontal="center" vertical="center"/>
      <protection hidden="1"/>
    </xf>
    <xf numFmtId="0" fontId="56" fillId="13" borderId="86" xfId="0" applyFont="1" applyFill="1" applyBorder="1" applyAlignment="1" applyProtection="1">
      <alignment horizontal="center" vertical="center"/>
      <protection hidden="1"/>
    </xf>
    <xf numFmtId="0" fontId="56" fillId="9" borderId="44" xfId="0" applyFont="1" applyFill="1" applyBorder="1" applyAlignment="1" applyProtection="1">
      <alignment horizontal="center"/>
      <protection hidden="1"/>
    </xf>
    <xf numFmtId="0" fontId="56" fillId="9" borderId="88" xfId="0" applyFont="1" applyFill="1" applyBorder="1" applyAlignment="1" applyProtection="1">
      <alignment horizontal="center"/>
      <protection hidden="1"/>
    </xf>
    <xf numFmtId="0" fontId="56" fillId="9" borderId="78" xfId="0" applyFont="1" applyFill="1" applyBorder="1" applyAlignment="1" applyProtection="1">
      <alignment horizontal="center"/>
      <protection hidden="1"/>
    </xf>
    <xf numFmtId="0" fontId="56" fillId="9" borderId="22" xfId="0" applyFont="1" applyFill="1" applyBorder="1" applyAlignment="1" applyProtection="1">
      <alignment horizontal="center"/>
      <protection hidden="1"/>
    </xf>
    <xf numFmtId="0" fontId="56" fillId="9" borderId="92" xfId="0" applyFont="1" applyFill="1" applyBorder="1" applyAlignment="1" applyProtection="1">
      <alignment horizontal="center"/>
      <protection hidden="1"/>
    </xf>
    <xf numFmtId="0" fontId="25" fillId="0" borderId="48" xfId="0" applyFont="1" applyBorder="1" applyAlignment="1" applyProtection="1">
      <alignment horizontal="center" vertical="center" wrapText="1"/>
      <protection hidden="1"/>
    </xf>
    <xf numFmtId="0" fontId="25" fillId="0" borderId="18" xfId="0" applyFont="1" applyBorder="1" applyAlignment="1" applyProtection="1">
      <alignment horizontal="center" vertical="center" wrapText="1"/>
      <protection hidden="1"/>
    </xf>
    <xf numFmtId="0" fontId="25" fillId="0" borderId="80" xfId="0" applyFont="1" applyBorder="1" applyAlignment="1" applyProtection="1">
      <alignment horizontal="center" vertical="center" wrapText="1"/>
      <protection hidden="1"/>
    </xf>
    <xf numFmtId="0" fontId="25" fillId="0" borderId="75" xfId="0" applyFont="1" applyBorder="1" applyAlignment="1" applyProtection="1">
      <alignment horizontal="center" vertical="center" wrapText="1"/>
      <protection hidden="1"/>
    </xf>
    <xf numFmtId="0" fontId="25" fillId="0" borderId="87" xfId="0" applyFont="1" applyBorder="1" applyAlignment="1" applyProtection="1">
      <alignment horizontal="center" vertical="center" wrapText="1"/>
      <protection hidden="1"/>
    </xf>
    <xf numFmtId="0" fontId="25" fillId="0" borderId="59" xfId="0" applyFont="1" applyBorder="1" applyAlignment="1" applyProtection="1">
      <alignment horizontal="center" vertical="center" wrapText="1"/>
      <protection hidden="1"/>
    </xf>
    <xf numFmtId="167" fontId="25" fillId="0" borderId="81" xfId="0" applyNumberFormat="1" applyFont="1" applyBorder="1" applyAlignment="1" applyProtection="1">
      <alignment horizontal="center" vertical="center" wrapText="1"/>
      <protection hidden="1"/>
    </xf>
    <xf numFmtId="167" fontId="25" fillId="0" borderId="82" xfId="0" applyNumberFormat="1" applyFont="1" applyBorder="1" applyAlignment="1" applyProtection="1">
      <alignment horizontal="center" vertical="center" wrapText="1"/>
      <protection hidden="1"/>
    </xf>
    <xf numFmtId="167" fontId="25" fillId="0" borderId="123" xfId="0" applyNumberFormat="1" applyFont="1" applyBorder="1" applyAlignment="1" applyProtection="1">
      <alignment horizontal="center" vertical="center" wrapText="1"/>
      <protection hidden="1"/>
    </xf>
    <xf numFmtId="167" fontId="25" fillId="0" borderId="63" xfId="0" applyNumberFormat="1" applyFont="1" applyBorder="1" applyAlignment="1" applyProtection="1">
      <alignment horizontal="center" vertical="center" wrapText="1"/>
      <protection hidden="1"/>
    </xf>
    <xf numFmtId="167" fontId="25" fillId="0" borderId="83" xfId="0" applyNumberFormat="1" applyFont="1" applyBorder="1" applyAlignment="1" applyProtection="1">
      <alignment horizontal="center" vertical="center" wrapText="1"/>
      <protection hidden="1"/>
    </xf>
    <xf numFmtId="167" fontId="25" fillId="0" borderId="84" xfId="0" applyNumberFormat="1" applyFont="1" applyBorder="1" applyAlignment="1" applyProtection="1">
      <alignment horizontal="center" vertical="center" wrapText="1"/>
      <protection hidden="1"/>
    </xf>
    <xf numFmtId="167" fontId="47" fillId="24" borderId="258" xfId="0" applyNumberFormat="1" applyFont="1" applyFill="1" applyBorder="1" applyAlignment="1">
      <alignment horizontal="center" vertical="center"/>
    </xf>
    <xf numFmtId="167" fontId="47" fillId="24" borderId="5" xfId="0" applyNumberFormat="1" applyFont="1" applyFill="1" applyBorder="1" applyAlignment="1">
      <alignment horizontal="center" vertical="center"/>
    </xf>
    <xf numFmtId="167" fontId="47" fillId="40" borderId="258" xfId="0" applyNumberFormat="1" applyFont="1" applyFill="1" applyBorder="1" applyAlignment="1">
      <alignment horizontal="center" vertical="center"/>
    </xf>
    <xf numFmtId="167" fontId="47" fillId="40" borderId="5" xfId="0" applyNumberFormat="1" applyFont="1" applyFill="1" applyBorder="1" applyAlignment="1">
      <alignment horizontal="center" vertical="center"/>
    </xf>
    <xf numFmtId="167" fontId="47" fillId="38" borderId="96" xfId="0" applyNumberFormat="1" applyFont="1" applyFill="1" applyBorder="1" applyAlignment="1">
      <alignment horizontal="center" vertical="center"/>
    </xf>
    <xf numFmtId="167" fontId="47" fillId="38" borderId="264" xfId="0" applyNumberFormat="1" applyFont="1" applyFill="1" applyBorder="1" applyAlignment="1">
      <alignment horizontal="center" vertical="center"/>
    </xf>
    <xf numFmtId="167" fontId="47" fillId="38" borderId="5" xfId="0" applyNumberFormat="1" applyFont="1" applyFill="1" applyBorder="1" applyAlignment="1">
      <alignment horizontal="center" vertical="center"/>
    </xf>
    <xf numFmtId="0" fontId="25" fillId="32" borderId="92" xfId="0" applyFont="1" applyFill="1" applyBorder="1" applyAlignment="1">
      <alignment horizontal="center" vertical="center" wrapText="1"/>
    </xf>
    <xf numFmtId="0" fontId="25" fillId="32" borderId="164" xfId="0" applyFont="1" applyFill="1" applyBorder="1" applyAlignment="1">
      <alignment horizontal="center" vertical="center" wrapText="1"/>
    </xf>
    <xf numFmtId="0" fontId="25" fillId="39" borderId="259" xfId="0" applyFont="1" applyFill="1" applyBorder="1" applyAlignment="1">
      <alignment horizontal="center" vertical="center" wrapText="1"/>
    </xf>
    <xf numFmtId="0" fontId="25" fillId="39" borderId="261" xfId="0" applyFont="1" applyFill="1" applyBorder="1" applyAlignment="1">
      <alignment horizontal="center" vertical="center" wrapText="1"/>
    </xf>
    <xf numFmtId="0" fontId="25" fillId="6" borderId="181" xfId="0" applyFont="1" applyFill="1" applyBorder="1" applyAlignment="1">
      <alignment horizontal="center" vertical="center" wrapText="1"/>
    </xf>
    <xf numFmtId="0" fontId="25" fillId="6" borderId="83" xfId="0" applyFont="1" applyFill="1" applyBorder="1" applyAlignment="1">
      <alignment horizontal="center" vertical="center" wrapText="1"/>
    </xf>
    <xf numFmtId="0" fontId="25" fillId="6" borderId="74" xfId="0" applyFont="1" applyFill="1" applyBorder="1" applyAlignment="1">
      <alignment horizontal="center" vertical="center" wrapText="1"/>
    </xf>
    <xf numFmtId="0" fontId="25" fillId="6" borderId="162" xfId="0" applyFont="1" applyFill="1" applyBorder="1" applyAlignment="1">
      <alignment horizontal="center" vertical="center" wrapText="1"/>
    </xf>
    <xf numFmtId="0" fontId="25" fillId="39" borderId="257" xfId="0" applyFont="1" applyFill="1" applyBorder="1" applyAlignment="1">
      <alignment horizontal="center" vertical="center" wrapText="1"/>
    </xf>
    <xf numFmtId="0" fontId="25" fillId="39" borderId="83" xfId="0" applyFont="1" applyFill="1" applyBorder="1" applyAlignment="1">
      <alignment horizontal="center" vertical="center" wrapText="1"/>
    </xf>
    <xf numFmtId="0" fontId="25" fillId="32" borderId="257" xfId="0" applyFont="1" applyFill="1" applyBorder="1" applyAlignment="1">
      <alignment horizontal="center" vertical="center" wrapText="1"/>
    </xf>
    <xf numFmtId="0" fontId="25" fillId="32" borderId="83" xfId="0" applyFont="1" applyFill="1" applyBorder="1" applyAlignment="1">
      <alignment horizontal="center" vertical="center" wrapText="1"/>
    </xf>
    <xf numFmtId="0" fontId="69" fillId="0" borderId="94" xfId="0" applyFont="1" applyBorder="1" applyAlignment="1">
      <alignment horizontal="center" vertical="center" wrapText="1"/>
    </xf>
    <xf numFmtId="0" fontId="69" fillId="0" borderId="7" xfId="0" applyFont="1" applyBorder="1" applyAlignment="1">
      <alignment horizontal="center" vertical="center" wrapText="1"/>
    </xf>
    <xf numFmtId="0" fontId="69" fillId="0" borderId="89" xfId="0" applyFont="1" applyBorder="1" applyAlignment="1">
      <alignment horizontal="center" vertical="center" wrapText="1"/>
    </xf>
    <xf numFmtId="0" fontId="44" fillId="0" borderId="4" xfId="0" applyFont="1" applyBorder="1" applyAlignment="1" applyProtection="1">
      <alignment horizontal="left" wrapText="1"/>
      <protection hidden="1"/>
    </xf>
    <xf numFmtId="0" fontId="44" fillId="0" borderId="5" xfId="0" applyFont="1" applyBorder="1" applyAlignment="1" applyProtection="1">
      <alignment horizontal="left" wrapText="1"/>
      <protection hidden="1"/>
    </xf>
    <xf numFmtId="0" fontId="44" fillId="0" borderId="16" xfId="0" applyFont="1" applyBorder="1" applyAlignment="1" applyProtection="1">
      <alignment horizontal="left" wrapText="1"/>
      <protection hidden="1"/>
    </xf>
    <xf numFmtId="0" fontId="25" fillId="8" borderId="77" xfId="0" applyFont="1" applyFill="1" applyBorder="1" applyAlignment="1">
      <alignment horizontal="center" vertical="center" wrapText="1"/>
    </xf>
    <xf numFmtId="0" fontId="25" fillId="8" borderId="125" xfId="0" applyFont="1" applyFill="1" applyBorder="1" applyAlignment="1">
      <alignment horizontal="center" vertical="center" wrapText="1"/>
    </xf>
    <xf numFmtId="0" fontId="25" fillId="8" borderId="86" xfId="0" applyFont="1" applyFill="1" applyBorder="1" applyAlignment="1">
      <alignment horizontal="center" vertical="center" wrapText="1"/>
    </xf>
    <xf numFmtId="0" fontId="25" fillId="8" borderId="124" xfId="0" applyFont="1" applyFill="1" applyBorder="1" applyAlignment="1">
      <alignment horizontal="center" vertical="center" wrapText="1"/>
    </xf>
    <xf numFmtId="167" fontId="47" fillId="25" borderId="86" xfId="0" applyNumberFormat="1" applyFont="1" applyFill="1" applyBorder="1" applyAlignment="1">
      <alignment horizontal="center" vertical="center" wrapText="1"/>
    </xf>
    <xf numFmtId="167" fontId="47" fillId="25" borderId="274" xfId="0" applyNumberFormat="1" applyFont="1" applyFill="1" applyBorder="1" applyAlignment="1">
      <alignment horizontal="center" vertical="center" wrapText="1"/>
    </xf>
    <xf numFmtId="0" fontId="44" fillId="0" borderId="1" xfId="0" applyFont="1" applyBorder="1" applyAlignment="1" applyProtection="1">
      <alignment horizontal="left" wrapText="1"/>
      <protection hidden="1"/>
    </xf>
    <xf numFmtId="0" fontId="44" fillId="0" borderId="0" xfId="0" applyFont="1" applyAlignment="1" applyProtection="1">
      <alignment horizontal="left" wrapText="1"/>
      <protection hidden="1"/>
    </xf>
    <xf numFmtId="0" fontId="44" fillId="0" borderId="8" xfId="0" applyFont="1" applyBorder="1" applyAlignment="1" applyProtection="1">
      <alignment horizontal="left" wrapText="1"/>
      <protection hidden="1"/>
    </xf>
    <xf numFmtId="0" fontId="25" fillId="6" borderId="259" xfId="0" applyFont="1" applyFill="1" applyBorder="1" applyAlignment="1">
      <alignment horizontal="center" vertical="center" wrapText="1"/>
    </xf>
    <xf numFmtId="0" fontId="25" fillId="6" borderId="261" xfId="0" applyFont="1" applyFill="1" applyBorder="1" applyAlignment="1">
      <alignment horizontal="center" vertical="center" wrapText="1"/>
    </xf>
    <xf numFmtId="0" fontId="25" fillId="0" borderId="206" xfId="0" applyFont="1" applyBorder="1" applyAlignment="1">
      <alignment horizontal="center" vertical="center"/>
    </xf>
    <xf numFmtId="0" fontId="25" fillId="0" borderId="209" xfId="0" applyFont="1" applyBorder="1" applyAlignment="1">
      <alignment horizontal="center" vertical="center"/>
    </xf>
    <xf numFmtId="167" fontId="47" fillId="38" borderId="83" xfId="0" applyNumberFormat="1" applyFont="1" applyFill="1" applyBorder="1" applyAlignment="1">
      <alignment horizontal="center" vertical="center" wrapText="1"/>
    </xf>
    <xf numFmtId="167" fontId="47" fillId="38" borderId="5" xfId="0" applyNumberFormat="1" applyFont="1" applyFill="1" applyBorder="1" applyAlignment="1">
      <alignment horizontal="center" vertical="center" wrapText="1"/>
    </xf>
    <xf numFmtId="167" fontId="47" fillId="24" borderId="259" xfId="0" applyNumberFormat="1" applyFont="1" applyFill="1" applyBorder="1" applyAlignment="1">
      <alignment horizontal="center" vertical="center" wrapText="1"/>
    </xf>
    <xf numFmtId="167" fontId="47" fillId="24" borderId="260" xfId="0" applyNumberFormat="1" applyFont="1" applyFill="1" applyBorder="1" applyAlignment="1">
      <alignment horizontal="center" vertical="center" wrapText="1"/>
    </xf>
    <xf numFmtId="0" fontId="47" fillId="40" borderId="92" xfId="0" applyFont="1" applyFill="1" applyBorder="1" applyAlignment="1">
      <alignment horizontal="center" vertical="center" wrapText="1"/>
    </xf>
    <xf numFmtId="0" fontId="47" fillId="40" borderId="20" xfId="0" applyFont="1" applyFill="1" applyBorder="1" applyAlignment="1">
      <alignment horizontal="center" vertical="center" wrapText="1"/>
    </xf>
    <xf numFmtId="0" fontId="82" fillId="6" borderId="3" xfId="0" applyFont="1" applyFill="1" applyBorder="1" applyAlignment="1" applyProtection="1">
      <alignment horizontal="center" vertical="center" wrapText="1"/>
      <protection hidden="1"/>
    </xf>
    <xf numFmtId="0" fontId="82" fillId="6" borderId="15" xfId="0" applyFont="1" applyFill="1" applyBorder="1" applyAlignment="1" applyProtection="1">
      <alignment horizontal="center" vertical="center" wrapText="1"/>
      <protection hidden="1"/>
    </xf>
    <xf numFmtId="0" fontId="84" fillId="5" borderId="1" xfId="0" applyFont="1" applyFill="1" applyBorder="1" applyAlignment="1" applyProtection="1">
      <alignment horizontal="right" vertical="center" wrapText="1"/>
      <protection hidden="1"/>
    </xf>
    <xf numFmtId="0" fontId="84" fillId="5" borderId="0" xfId="0" applyFont="1" applyFill="1" applyAlignment="1" applyProtection="1">
      <alignment horizontal="right" vertical="center" wrapText="1"/>
      <protection hidden="1"/>
    </xf>
    <xf numFmtId="0" fontId="84" fillId="5" borderId="4" xfId="0" applyFont="1" applyFill="1" applyBorder="1" applyAlignment="1" applyProtection="1">
      <alignment horizontal="right" vertical="center" wrapText="1"/>
      <protection hidden="1"/>
    </xf>
    <xf numFmtId="0" fontId="84" fillId="5" borderId="5" xfId="0" applyFont="1" applyFill="1" applyBorder="1" applyAlignment="1" applyProtection="1">
      <alignment horizontal="right" vertical="center" wrapText="1"/>
      <protection hidden="1"/>
    </xf>
    <xf numFmtId="0" fontId="31" fillId="20" borderId="234" xfId="0" applyFont="1" applyFill="1" applyBorder="1" applyAlignment="1">
      <alignment horizontal="right" vertical="center"/>
    </xf>
    <xf numFmtId="0" fontId="31" fillId="20" borderId="83" xfId="0" applyFont="1" applyFill="1" applyBorder="1" applyAlignment="1">
      <alignment horizontal="right" vertical="center"/>
    </xf>
    <xf numFmtId="0" fontId="84" fillId="5" borderId="1" xfId="0" applyFont="1" applyFill="1" applyBorder="1" applyAlignment="1" applyProtection="1">
      <alignment horizontal="right" vertical="center"/>
      <protection hidden="1"/>
    </xf>
    <xf numFmtId="0" fontId="84" fillId="5" borderId="0" xfId="0" applyFont="1" applyFill="1" applyAlignment="1" applyProtection="1">
      <alignment horizontal="right" vertical="center"/>
      <protection hidden="1"/>
    </xf>
    <xf numFmtId="0" fontId="84" fillId="6" borderId="1" xfId="0" applyFont="1" applyFill="1" applyBorder="1" applyAlignment="1" applyProtection="1">
      <alignment horizontal="right" vertical="center" wrapText="1"/>
      <protection hidden="1"/>
    </xf>
    <xf numFmtId="0" fontId="84" fillId="6" borderId="0" xfId="0" applyFont="1" applyFill="1" applyAlignment="1" applyProtection="1">
      <alignment horizontal="right" vertical="center" wrapText="1"/>
      <protection hidden="1"/>
    </xf>
    <xf numFmtId="0" fontId="7" fillId="8" borderId="0" xfId="0" applyFont="1" applyFill="1" applyAlignment="1" applyProtection="1">
      <alignment horizontal="center" vertical="center"/>
      <protection hidden="1"/>
    </xf>
    <xf numFmtId="0" fontId="7" fillId="7" borderId="0" xfId="0" applyFont="1" applyFill="1" applyAlignment="1" applyProtection="1">
      <alignment horizontal="center" vertical="center" wrapText="1"/>
      <protection hidden="1"/>
    </xf>
    <xf numFmtId="0" fontId="7" fillId="10" borderId="0" xfId="0" applyFont="1" applyFill="1" applyAlignment="1" applyProtection="1">
      <alignment horizontal="center" vertical="center"/>
      <protection hidden="1"/>
    </xf>
    <xf numFmtId="0" fontId="7" fillId="9" borderId="0" xfId="0" applyFont="1" applyFill="1" applyAlignment="1" applyProtection="1">
      <alignment horizontal="center" vertical="center"/>
      <protection hidden="1"/>
    </xf>
    <xf numFmtId="0" fontId="81" fillId="4" borderId="3" xfId="0" applyFont="1" applyFill="1" applyBorder="1" applyAlignment="1" applyProtection="1">
      <alignment horizontal="center" wrapText="1"/>
      <protection hidden="1"/>
    </xf>
    <xf numFmtId="2" fontId="22" fillId="3" borderId="30" xfId="0" applyNumberFormat="1" applyFont="1" applyFill="1" applyBorder="1" applyAlignment="1" applyProtection="1">
      <alignment horizontal="center" vertical="center" wrapText="1"/>
      <protection locked="0" hidden="1"/>
    </xf>
    <xf numFmtId="2" fontId="22" fillId="3" borderId="31" xfId="0" applyNumberFormat="1" applyFont="1" applyFill="1" applyBorder="1" applyAlignment="1" applyProtection="1">
      <alignment horizontal="center" vertical="center" wrapText="1"/>
      <protection locked="0" hidden="1"/>
    </xf>
    <xf numFmtId="0" fontId="84" fillId="22" borderId="0" xfId="0" applyFont="1" applyFill="1" applyAlignment="1">
      <alignment horizontal="left" wrapText="1"/>
    </xf>
    <xf numFmtId="2" fontId="83" fillId="22" borderId="4" xfId="0" applyNumberFormat="1" applyFont="1" applyFill="1" applyBorder="1" applyAlignment="1">
      <alignment horizontal="center" vertical="center"/>
    </xf>
    <xf numFmtId="2" fontId="83" fillId="22" borderId="5" xfId="0" applyNumberFormat="1" applyFont="1" applyFill="1" applyBorder="1" applyAlignment="1">
      <alignment horizontal="center" vertical="center"/>
    </xf>
    <xf numFmtId="2" fontId="83" fillId="22" borderId="16" xfId="0" applyNumberFormat="1" applyFont="1" applyFill="1" applyBorder="1" applyAlignment="1">
      <alignment horizontal="center" vertical="center"/>
    </xf>
    <xf numFmtId="2" fontId="46" fillId="22" borderId="3" xfId="0" applyNumberFormat="1" applyFont="1" applyFill="1" applyBorder="1" applyAlignment="1" applyProtection="1">
      <alignment horizontal="center" vertical="center" wrapText="1"/>
      <protection hidden="1"/>
    </xf>
    <xf numFmtId="2" fontId="46" fillId="22" borderId="15" xfId="0" applyNumberFormat="1" applyFont="1" applyFill="1" applyBorder="1" applyAlignment="1" applyProtection="1">
      <alignment horizontal="center" vertical="center" wrapText="1"/>
      <protection hidden="1"/>
    </xf>
    <xf numFmtId="2" fontId="46" fillId="22" borderId="5" xfId="0" applyNumberFormat="1" applyFont="1" applyFill="1" applyBorder="1" applyAlignment="1" applyProtection="1">
      <alignment horizontal="center" vertical="center" wrapText="1"/>
      <protection hidden="1"/>
    </xf>
    <xf numFmtId="2" fontId="46" fillId="22" borderId="16" xfId="0" applyNumberFormat="1" applyFont="1" applyFill="1" applyBorder="1" applyAlignment="1" applyProtection="1">
      <alignment horizontal="center" vertical="center" wrapText="1"/>
      <protection hidden="1"/>
    </xf>
    <xf numFmtId="2" fontId="46" fillId="22" borderId="2" xfId="0" applyNumberFormat="1" applyFont="1" applyFill="1" applyBorder="1" applyAlignment="1" applyProtection="1">
      <alignment horizontal="center" vertical="center" wrapText="1"/>
      <protection hidden="1"/>
    </xf>
    <xf numFmtId="2" fontId="46" fillId="22" borderId="4" xfId="0" applyNumberFormat="1"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44" fillId="3" borderId="30" xfId="0" applyFont="1" applyFill="1" applyBorder="1" applyAlignment="1" applyProtection="1">
      <alignment horizontal="center" vertical="center" wrapText="1"/>
      <protection locked="0" hidden="1"/>
    </xf>
    <xf numFmtId="0" fontId="44" fillId="3" borderId="31" xfId="0" applyFont="1" applyFill="1" applyBorder="1" applyAlignment="1" applyProtection="1">
      <alignment horizontal="center" vertical="center" wrapText="1"/>
      <protection locked="0" hidden="1"/>
    </xf>
    <xf numFmtId="0" fontId="44" fillId="3" borderId="30" xfId="0" applyFont="1" applyFill="1" applyBorder="1" applyAlignment="1" applyProtection="1">
      <alignment horizontal="center" vertical="center"/>
      <protection locked="0" hidden="1"/>
    </xf>
    <xf numFmtId="0" fontId="44" fillId="3" borderId="31" xfId="0" applyFont="1" applyFill="1" applyBorder="1" applyAlignment="1" applyProtection="1">
      <alignment horizontal="center" vertical="center"/>
      <protection locked="0" hidden="1"/>
    </xf>
    <xf numFmtId="0" fontId="52" fillId="22" borderId="0" xfId="0" applyFont="1" applyFill="1" applyAlignment="1" applyProtection="1">
      <alignment horizontal="center" vertical="center"/>
      <protection hidden="1"/>
    </xf>
    <xf numFmtId="0" fontId="52" fillId="22" borderId="5" xfId="0" applyFont="1" applyFill="1" applyBorder="1" applyAlignment="1" applyProtection="1">
      <alignment horizontal="center" vertical="center"/>
      <protection hidden="1"/>
    </xf>
    <xf numFmtId="0" fontId="46" fillId="6" borderId="2" xfId="0" applyFont="1" applyFill="1" applyBorder="1" applyAlignment="1" applyProtection="1">
      <alignment horizontal="center" vertical="center" wrapText="1"/>
      <protection hidden="1"/>
    </xf>
    <xf numFmtId="0" fontId="46" fillId="6" borderId="3" xfId="0" applyFont="1" applyFill="1" applyBorder="1" applyAlignment="1" applyProtection="1">
      <alignment horizontal="center" vertical="center" wrapText="1"/>
      <protection hidden="1"/>
    </xf>
    <xf numFmtId="0" fontId="4" fillId="0" borderId="73" xfId="0" applyFont="1" applyBorder="1" applyAlignment="1">
      <alignment horizontal="center" vertical="center"/>
    </xf>
    <xf numFmtId="0" fontId="4" fillId="0" borderId="119" xfId="0" applyFont="1" applyBorder="1" applyAlignment="1">
      <alignment horizontal="center" vertical="center"/>
    </xf>
    <xf numFmtId="0" fontId="4" fillId="0" borderId="122" xfId="0" applyFont="1" applyBorder="1" applyAlignment="1">
      <alignment horizontal="center" vertical="center"/>
    </xf>
    <xf numFmtId="0" fontId="22" fillId="22" borderId="6" xfId="0" applyFont="1" applyFill="1" applyBorder="1" applyAlignment="1" applyProtection="1">
      <alignment horizontal="center" vertical="center"/>
      <protection hidden="1"/>
    </xf>
    <xf numFmtId="0" fontId="22" fillId="22" borderId="7" xfId="0" applyFont="1" applyFill="1" applyBorder="1" applyAlignment="1" applyProtection="1">
      <alignment horizontal="center" vertical="center"/>
      <protection hidden="1"/>
    </xf>
    <xf numFmtId="0" fontId="22" fillId="22" borderId="89" xfId="0" applyFont="1" applyFill="1" applyBorder="1" applyAlignment="1" applyProtection="1">
      <alignment horizontal="center" vertical="center"/>
      <protection hidden="1"/>
    </xf>
    <xf numFmtId="0" fontId="24" fillId="22" borderId="234" xfId="0" applyFont="1" applyFill="1" applyBorder="1" applyAlignment="1" applyProtection="1">
      <alignment horizontal="right" vertical="center"/>
      <protection hidden="1"/>
    </xf>
    <xf numFmtId="0" fontId="24" fillId="22" borderId="83" xfId="0" applyFont="1" applyFill="1" applyBorder="1" applyAlignment="1" applyProtection="1">
      <alignment horizontal="right" vertical="center"/>
      <protection hidden="1"/>
    </xf>
    <xf numFmtId="0" fontId="24" fillId="22" borderId="83" xfId="0" applyFont="1" applyFill="1" applyBorder="1" applyAlignment="1" applyProtection="1">
      <alignment horizontal="left" vertical="center" wrapText="1"/>
      <protection hidden="1"/>
    </xf>
    <xf numFmtId="0" fontId="24" fillId="22" borderId="49" xfId="0" applyFont="1" applyFill="1" applyBorder="1" applyAlignment="1" applyProtection="1">
      <alignment horizontal="left" vertical="center" wrapText="1"/>
      <protection hidden="1"/>
    </xf>
    <xf numFmtId="0" fontId="24" fillId="22" borderId="1" xfId="0" applyFont="1" applyFill="1" applyBorder="1" applyAlignment="1" applyProtection="1">
      <alignment horizontal="right" vertical="center"/>
      <protection hidden="1"/>
    </xf>
    <xf numFmtId="0" fontId="24" fillId="22" borderId="0" xfId="0" applyFont="1" applyFill="1" applyAlignment="1" applyProtection="1">
      <alignment horizontal="right" vertical="center"/>
      <protection hidden="1"/>
    </xf>
    <xf numFmtId="0" fontId="24" fillId="22" borderId="0" xfId="0" applyFont="1" applyFill="1" applyAlignment="1" applyProtection="1">
      <alignment horizontal="left" vertical="center" wrapText="1"/>
      <protection hidden="1"/>
    </xf>
    <xf numFmtId="0" fontId="24" fillId="22" borderId="8" xfId="0" applyFont="1" applyFill="1" applyBorder="1" applyAlignment="1" applyProtection="1">
      <alignment horizontal="left" vertical="center" wrapText="1"/>
      <protection hidden="1"/>
    </xf>
    <xf numFmtId="0" fontId="24" fillId="22" borderId="4" xfId="0" applyFont="1" applyFill="1" applyBorder="1" applyAlignment="1" applyProtection="1">
      <alignment horizontal="right" vertical="center"/>
      <protection hidden="1"/>
    </xf>
    <xf numFmtId="0" fontId="24" fillId="22" borderId="5" xfId="0" applyFont="1" applyFill="1" applyBorder="1" applyAlignment="1" applyProtection="1">
      <alignment horizontal="right" vertical="center"/>
      <protection hidden="1"/>
    </xf>
    <xf numFmtId="0" fontId="24" fillId="22" borderId="5" xfId="0" applyFont="1" applyFill="1" applyBorder="1" applyAlignment="1" applyProtection="1">
      <alignment horizontal="left" vertical="center" wrapText="1"/>
      <protection hidden="1"/>
    </xf>
    <xf numFmtId="0" fontId="24" fillId="22" borderId="16" xfId="0" applyFont="1" applyFill="1" applyBorder="1" applyAlignment="1" applyProtection="1">
      <alignment horizontal="left" vertical="center" wrapText="1"/>
      <protection hidden="1"/>
    </xf>
    <xf numFmtId="0" fontId="24" fillId="5" borderId="1" xfId="0" applyFont="1" applyFill="1" applyBorder="1" applyAlignment="1" applyProtection="1">
      <alignment horizontal="right" vertical="center" wrapText="1"/>
      <protection hidden="1"/>
    </xf>
    <xf numFmtId="0" fontId="24" fillId="5" borderId="0" xfId="0" applyFont="1" applyFill="1" applyAlignment="1" applyProtection="1">
      <alignment horizontal="right" vertical="center" wrapText="1"/>
      <protection hidden="1"/>
    </xf>
    <xf numFmtId="0" fontId="25" fillId="0" borderId="30" xfId="0" applyFont="1" applyBorder="1" applyAlignment="1">
      <alignment horizontal="center" vertical="center"/>
    </xf>
    <xf numFmtId="0" fontId="25" fillId="0" borderId="31" xfId="0" applyFont="1" applyBorder="1" applyAlignment="1">
      <alignment horizontal="center" vertical="center"/>
    </xf>
    <xf numFmtId="0" fontId="25" fillId="0" borderId="29" xfId="0" applyFont="1" applyBorder="1" applyAlignment="1">
      <alignment horizontal="center" vertical="center"/>
    </xf>
    <xf numFmtId="0" fontId="24" fillId="0" borderId="0" xfId="0" applyFont="1" applyAlignment="1">
      <alignment horizontal="left" vertical="center" wrapText="1"/>
    </xf>
    <xf numFmtId="0" fontId="24" fillId="0" borderId="8" xfId="0" applyFont="1" applyBorder="1" applyAlignment="1">
      <alignment horizontal="left" vertical="center" wrapText="1"/>
    </xf>
    <xf numFmtId="0" fontId="87" fillId="6" borderId="2" xfId="0" applyFont="1" applyFill="1" applyBorder="1" applyAlignment="1">
      <alignment horizontal="center" vertical="center" wrapText="1"/>
    </xf>
    <xf numFmtId="0" fontId="87" fillId="6" borderId="3" xfId="0" applyFont="1" applyFill="1" applyBorder="1" applyAlignment="1">
      <alignment horizontal="center" vertical="center"/>
    </xf>
    <xf numFmtId="0" fontId="87" fillId="6" borderId="15" xfId="0" applyFont="1" applyFill="1" applyBorder="1" applyAlignment="1">
      <alignment horizontal="center" vertical="center"/>
    </xf>
    <xf numFmtId="0" fontId="8" fillId="0" borderId="0" xfId="0" applyFont="1" applyAlignment="1" applyProtection="1">
      <alignment horizontal="left" wrapText="1"/>
      <protection hidden="1"/>
    </xf>
    <xf numFmtId="167" fontId="8" fillId="0" borderId="0" xfId="0" applyNumberFormat="1" applyFont="1" applyAlignment="1" applyProtection="1">
      <alignment horizontal="right" vertical="center"/>
      <protection hidden="1"/>
    </xf>
    <xf numFmtId="0" fontId="103" fillId="0" borderId="0" xfId="0" applyFont="1" applyAlignment="1" applyProtection="1">
      <alignment vertical="center"/>
      <protection hidden="1"/>
    </xf>
    <xf numFmtId="0" fontId="80" fillId="0" borderId="1" xfId="0" applyFont="1" applyBorder="1" applyAlignment="1" applyProtection="1">
      <alignment horizontal="center" vertical="center"/>
      <protection hidden="1"/>
    </xf>
    <xf numFmtId="0" fontId="80" fillId="0" borderId="8" xfId="0" applyFont="1" applyBorder="1" applyAlignment="1" applyProtection="1">
      <alignment horizontal="center" vertical="center"/>
      <protection hidden="1"/>
    </xf>
    <xf numFmtId="0" fontId="80" fillId="0" borderId="2" xfId="0" applyFont="1" applyBorder="1" applyAlignment="1" applyProtection="1">
      <alignment horizontal="center"/>
      <protection hidden="1"/>
    </xf>
    <xf numFmtId="0" fontId="80" fillId="0" borderId="15" xfId="0" applyFont="1" applyBorder="1" applyAlignment="1" applyProtection="1">
      <alignment horizontal="center"/>
      <protection hidden="1"/>
    </xf>
    <xf numFmtId="0" fontId="8" fillId="0" borderId="0" xfId="0" applyFont="1" applyAlignment="1" applyProtection="1">
      <alignment horizontal="center" vertical="center" wrapText="1"/>
      <protection hidden="1"/>
    </xf>
    <xf numFmtId="167" fontId="21" fillId="0" borderId="0" xfId="0" applyNumberFormat="1" applyFont="1" applyAlignment="1" applyProtection="1">
      <alignment horizontal="left"/>
      <protection hidden="1"/>
    </xf>
    <xf numFmtId="169" fontId="8" fillId="0" borderId="0" xfId="0" applyNumberFormat="1" applyFont="1" applyAlignment="1" applyProtection="1">
      <alignment horizontal="center" vertical="center"/>
      <protection hidden="1"/>
    </xf>
    <xf numFmtId="0" fontId="0" fillId="0" borderId="0" xfId="0" applyAlignment="1">
      <alignment horizontal="left"/>
    </xf>
    <xf numFmtId="0" fontId="103" fillId="0" borderId="0" xfId="0" applyFont="1" applyAlignment="1" applyProtection="1">
      <alignment horizontal="center" vertical="center" wrapText="1"/>
      <protection hidden="1"/>
    </xf>
    <xf numFmtId="0" fontId="104" fillId="0" borderId="0" xfId="0" applyFont="1"/>
    <xf numFmtId="0" fontId="21" fillId="0" borderId="0" xfId="0" applyFont="1" applyAlignment="1" applyProtection="1">
      <alignment horizontal="left" vertical="center" wrapText="1"/>
      <protection hidden="1"/>
    </xf>
    <xf numFmtId="0" fontId="103" fillId="0" borderId="0" xfId="0" applyFont="1" applyAlignment="1" applyProtection="1">
      <alignment horizontal="center" vertical="center"/>
      <protection hidden="1"/>
    </xf>
    <xf numFmtId="0" fontId="21" fillId="0" borderId="0" xfId="0" applyFont="1" applyAlignment="1" applyProtection="1">
      <alignment horizontal="center" vertical="center" wrapText="1"/>
      <protection hidden="1"/>
    </xf>
    <xf numFmtId="167" fontId="21" fillId="0" borderId="0" xfId="0" applyNumberFormat="1" applyFont="1" applyAlignment="1" applyProtection="1">
      <alignment horizontal="center"/>
      <protection hidden="1"/>
    </xf>
    <xf numFmtId="0" fontId="0" fillId="0" borderId="0" xfId="0"/>
    <xf numFmtId="169" fontId="8" fillId="0" borderId="0" xfId="0" applyNumberFormat="1" applyFont="1" applyAlignment="1" applyProtection="1">
      <alignment horizontal="center" vertical="center" wrapText="1"/>
      <protection hidden="1"/>
    </xf>
    <xf numFmtId="167" fontId="21" fillId="0" borderId="0" xfId="0" applyNumberFormat="1" applyFont="1" applyAlignment="1" applyProtection="1">
      <alignment horizontal="center" vertical="top"/>
      <protection hidden="1"/>
    </xf>
    <xf numFmtId="0" fontId="21" fillId="0" borderId="0" xfId="0" applyFont="1" applyAlignment="1" applyProtection="1">
      <alignment horizontal="left"/>
      <protection hidden="1"/>
    </xf>
    <xf numFmtId="0" fontId="74" fillId="0" borderId="0" xfId="0" applyFont="1" applyAlignment="1" applyProtection="1">
      <alignment horizontal="center" vertical="top"/>
      <protection hidden="1"/>
    </xf>
    <xf numFmtId="0" fontId="101" fillId="0" borderId="1" xfId="0" applyFont="1" applyBorder="1" applyAlignment="1" applyProtection="1">
      <alignment horizontal="center"/>
      <protection hidden="1"/>
    </xf>
    <xf numFmtId="0" fontId="101" fillId="0" borderId="0" xfId="0" applyFont="1" applyAlignment="1" applyProtection="1">
      <alignment horizontal="center"/>
      <protection hidden="1"/>
    </xf>
    <xf numFmtId="0" fontId="101" fillId="0" borderId="8" xfId="0" applyFont="1" applyBorder="1" applyAlignment="1" applyProtection="1">
      <alignment horizontal="center"/>
      <protection hidden="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0" xfId="0" applyFont="1" applyAlignment="1">
      <alignment horizontal="center" vertical="center" wrapText="1"/>
    </xf>
    <xf numFmtId="0" fontId="22" fillId="0" borderId="8"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16" xfId="0" applyFont="1" applyBorder="1" applyAlignment="1">
      <alignment horizontal="center" vertical="center" wrapText="1"/>
    </xf>
    <xf numFmtId="0" fontId="102" fillId="0" borderId="4" xfId="0" applyFont="1" applyBorder="1" applyAlignment="1" applyProtection="1">
      <alignment horizontal="center" vertical="center"/>
      <protection hidden="1"/>
    </xf>
    <xf numFmtId="0" fontId="102" fillId="0" borderId="5" xfId="0" applyFont="1" applyBorder="1" applyAlignment="1" applyProtection="1">
      <alignment horizontal="center" vertical="center"/>
      <protection hidden="1"/>
    </xf>
    <xf numFmtId="0" fontId="102" fillId="0" borderId="16" xfId="0" applyFont="1" applyBorder="1" applyAlignment="1" applyProtection="1">
      <alignment horizontal="center" vertical="center"/>
      <protection hidden="1"/>
    </xf>
    <xf numFmtId="0" fontId="31" fillId="0" borderId="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0" fontId="31" fillId="0" borderId="15" xfId="0" applyFont="1" applyBorder="1" applyAlignment="1" applyProtection="1">
      <alignment horizontal="center" vertical="center"/>
      <protection hidden="1"/>
    </xf>
    <xf numFmtId="0" fontId="31" fillId="0" borderId="1" xfId="0"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31" fillId="0" borderId="8" xfId="0" applyFont="1" applyBorder="1" applyAlignment="1" applyProtection="1">
      <alignment horizontal="center" vertical="center"/>
      <protection hidden="1"/>
    </xf>
    <xf numFmtId="11" fontId="6" fillId="0" borderId="65" xfId="0" applyNumberFormat="1" applyFont="1" applyBorder="1" applyAlignment="1">
      <alignment horizontal="center" vertical="center" wrapText="1"/>
    </xf>
    <xf numFmtId="11" fontId="6" fillId="0" borderId="70" xfId="0" applyNumberFormat="1" applyFont="1" applyBorder="1" applyAlignment="1">
      <alignment horizontal="center" vertical="center" wrapText="1"/>
    </xf>
    <xf numFmtId="0" fontId="6" fillId="0" borderId="65"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75" xfId="0" applyFont="1" applyBorder="1" applyAlignment="1">
      <alignment horizontal="center" vertical="center" wrapText="1"/>
    </xf>
    <xf numFmtId="0" fontId="6" fillId="0" borderId="21" xfId="0" applyFont="1" applyBorder="1" applyAlignment="1">
      <alignment horizontal="center" vertical="center" wrapText="1"/>
    </xf>
    <xf numFmtId="43" fontId="6" fillId="0" borderId="65" xfId="4" applyFont="1" applyBorder="1" applyAlignment="1">
      <alignment horizontal="center" vertical="center" wrapText="1"/>
    </xf>
    <xf numFmtId="43" fontId="6" fillId="0" borderId="70" xfId="4" applyFont="1" applyBorder="1" applyAlignment="1">
      <alignment horizontal="center" vertical="center" wrapText="1"/>
    </xf>
    <xf numFmtId="0" fontId="7" fillId="16" borderId="32" xfId="0" applyFont="1" applyFill="1" applyBorder="1" applyAlignment="1">
      <alignment horizontal="center"/>
    </xf>
    <xf numFmtId="0" fontId="7" fillId="16" borderId="33" xfId="0" applyFont="1" applyFill="1" applyBorder="1" applyAlignment="1">
      <alignment horizontal="center"/>
    </xf>
    <xf numFmtId="0" fontId="16" fillId="16" borderId="170" xfId="0" applyFont="1" applyFill="1" applyBorder="1" applyAlignment="1">
      <alignment horizontal="center" vertical="center"/>
    </xf>
    <xf numFmtId="0" fontId="16" fillId="16" borderId="74" xfId="0" applyFont="1" applyFill="1" applyBorder="1" applyAlignment="1">
      <alignment horizontal="center" vertical="center"/>
    </xf>
    <xf numFmtId="0" fontId="16" fillId="16" borderId="51" xfId="0" applyFont="1" applyFill="1" applyBorder="1" applyAlignment="1">
      <alignment horizontal="center" vertical="center"/>
    </xf>
    <xf numFmtId="167" fontId="6" fillId="0" borderId="73" xfId="0" applyNumberFormat="1" applyFont="1" applyBorder="1" applyAlignment="1">
      <alignment horizontal="center"/>
    </xf>
    <xf numFmtId="167" fontId="6" fillId="0" borderId="122" xfId="0" applyNumberFormat="1" applyFont="1" applyBorder="1" applyAlignment="1">
      <alignment horizontal="center"/>
    </xf>
    <xf numFmtId="0" fontId="6" fillId="0" borderId="73" xfId="0" applyFont="1" applyBorder="1" applyAlignment="1">
      <alignment horizontal="center"/>
    </xf>
    <xf numFmtId="0" fontId="6" fillId="0" borderId="122" xfId="0" applyFont="1" applyBorder="1" applyAlignment="1">
      <alignment horizontal="center"/>
    </xf>
    <xf numFmtId="0" fontId="6" fillId="0" borderId="73" xfId="0" applyFont="1" applyBorder="1" applyAlignment="1">
      <alignment horizontal="center" vertical="center" wrapText="1"/>
    </xf>
    <xf numFmtId="0" fontId="6" fillId="0" borderId="119" xfId="0" applyFont="1" applyBorder="1" applyAlignment="1">
      <alignment horizontal="center" vertical="center" wrapText="1"/>
    </xf>
    <xf numFmtId="0" fontId="6" fillId="0" borderId="122" xfId="0" applyFont="1" applyBorder="1" applyAlignment="1">
      <alignment horizontal="center" vertical="center" wrapText="1"/>
    </xf>
    <xf numFmtId="167" fontId="6" fillId="0" borderId="162" xfId="0" applyNumberFormat="1" applyFont="1" applyBorder="1" applyAlignment="1">
      <alignment horizontal="center" vertical="center" wrapText="1"/>
    </xf>
    <xf numFmtId="167" fontId="6" fillId="0" borderId="122" xfId="0" applyNumberFormat="1" applyFont="1" applyBorder="1" applyAlignment="1">
      <alignment horizontal="center" vertical="center" wrapText="1"/>
    </xf>
    <xf numFmtId="0" fontId="6" fillId="0" borderId="65" xfId="0" applyFont="1" applyBorder="1" applyAlignment="1">
      <alignment horizontal="center" vertical="center"/>
    </xf>
    <xf numFmtId="0" fontId="6" fillId="0" borderId="70" xfId="0" applyFont="1" applyBorder="1" applyAlignment="1">
      <alignment horizontal="center" vertical="center"/>
    </xf>
    <xf numFmtId="0" fontId="6" fillId="0" borderId="71" xfId="0" applyFont="1" applyBorder="1" applyAlignment="1">
      <alignment horizontal="center" vertical="center"/>
    </xf>
    <xf numFmtId="11" fontId="6" fillId="0" borderId="71" xfId="0" applyNumberFormat="1" applyFont="1" applyBorder="1" applyAlignment="1">
      <alignment horizontal="center" vertical="center" wrapText="1"/>
    </xf>
    <xf numFmtId="167" fontId="6" fillId="0" borderId="22" xfId="0" applyNumberFormat="1" applyFont="1" applyBorder="1" applyAlignment="1">
      <alignment horizontal="center" vertical="center" wrapText="1"/>
    </xf>
    <xf numFmtId="167" fontId="6" fillId="0" borderId="25" xfId="0" applyNumberFormat="1" applyFont="1" applyBorder="1" applyAlignment="1">
      <alignment horizontal="center" vertical="center" wrapText="1"/>
    </xf>
    <xf numFmtId="167" fontId="6" fillId="0" borderId="42" xfId="0" applyNumberFormat="1" applyFont="1" applyBorder="1" applyAlignment="1">
      <alignment horizontal="center" vertical="center" wrapText="1"/>
    </xf>
    <xf numFmtId="0" fontId="7" fillId="13" borderId="94" xfId="0" applyFont="1" applyFill="1" applyBorder="1" applyAlignment="1">
      <alignment horizontal="center"/>
    </xf>
    <xf numFmtId="0" fontId="7" fillId="13" borderId="89" xfId="0" applyFont="1" applyFill="1" applyBorder="1" applyAlignment="1">
      <alignment horizontal="center"/>
    </xf>
    <xf numFmtId="0" fontId="6" fillId="16" borderId="204" xfId="0" applyFont="1" applyFill="1" applyBorder="1" applyAlignment="1">
      <alignment horizontal="center" vertical="center" wrapText="1"/>
    </xf>
    <xf numFmtId="0" fontId="6" fillId="16" borderId="87" xfId="0" applyFont="1" applyFill="1" applyBorder="1" applyAlignment="1">
      <alignment horizontal="center" vertical="center" wrapText="1"/>
    </xf>
    <xf numFmtId="0" fontId="6" fillId="16" borderId="124" xfId="0" applyFont="1" applyFill="1" applyBorder="1" applyAlignment="1">
      <alignment horizontal="center" vertical="center" wrapText="1"/>
    </xf>
    <xf numFmtId="0" fontId="6" fillId="0" borderId="202"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125" xfId="0" applyFont="1" applyBorder="1" applyAlignment="1">
      <alignment horizontal="center" vertical="center" wrapText="1"/>
    </xf>
    <xf numFmtId="0" fontId="6" fillId="0" borderId="72" xfId="0" applyFont="1" applyBorder="1" applyAlignment="1">
      <alignment horizontal="center" vertical="center" wrapText="1"/>
    </xf>
    <xf numFmtId="0" fontId="7" fillId="14" borderId="94" xfId="0" applyFont="1" applyFill="1" applyBorder="1" applyAlignment="1">
      <alignment horizontal="center"/>
    </xf>
    <xf numFmtId="0" fontId="7" fillId="14" borderId="7" xfId="0" applyFont="1" applyFill="1" applyBorder="1" applyAlignment="1">
      <alignment horizontal="center"/>
    </xf>
    <xf numFmtId="0" fontId="7" fillId="14" borderId="163" xfId="0" applyFont="1" applyFill="1" applyBorder="1" applyAlignment="1">
      <alignment horizontal="center"/>
    </xf>
    <xf numFmtId="167" fontId="16" fillId="13" borderId="63" xfId="0" applyNumberFormat="1" applyFont="1" applyFill="1" applyBorder="1" applyAlignment="1">
      <alignment horizontal="center" vertical="center" wrapText="1"/>
    </xf>
    <xf numFmtId="167" fontId="16" fillId="13" borderId="24" xfId="0" applyNumberFormat="1" applyFont="1" applyFill="1" applyBorder="1" applyAlignment="1">
      <alignment horizontal="center" vertical="center" wrapText="1"/>
    </xf>
    <xf numFmtId="167" fontId="16" fillId="13" borderId="121" xfId="0" applyNumberFormat="1" applyFont="1" applyFill="1" applyBorder="1" applyAlignment="1">
      <alignment horizontal="center" vertical="center" wrapText="1"/>
    </xf>
    <xf numFmtId="167" fontId="16" fillId="13" borderId="92" xfId="0" applyNumberFormat="1" applyFont="1" applyFill="1" applyBorder="1" applyAlignment="1">
      <alignment horizontal="center" vertical="center" wrapText="1"/>
    </xf>
    <xf numFmtId="167" fontId="16" fillId="13" borderId="19" xfId="0" applyNumberFormat="1" applyFont="1" applyFill="1" applyBorder="1" applyAlignment="1">
      <alignment horizontal="center" vertical="center" wrapText="1"/>
    </xf>
    <xf numFmtId="167" fontId="16" fillId="13" borderId="164" xfId="0" applyNumberFormat="1" applyFont="1" applyFill="1" applyBorder="1" applyAlignment="1">
      <alignment horizontal="center" vertical="center" wrapText="1"/>
    </xf>
    <xf numFmtId="0" fontId="31" fillId="0" borderId="234" xfId="0" applyFont="1" applyBorder="1" applyAlignment="1">
      <alignment horizontal="center" vertical="center"/>
    </xf>
    <xf numFmtId="0" fontId="31" fillId="0" borderId="83" xfId="0" applyFont="1" applyBorder="1" applyAlignment="1">
      <alignment horizontal="center" vertical="center"/>
    </xf>
    <xf numFmtId="0" fontId="31" fillId="0" borderId="84" xfId="0" applyFont="1" applyBorder="1" applyAlignment="1">
      <alignment horizontal="center" vertical="center"/>
    </xf>
    <xf numFmtId="0" fontId="31" fillId="0" borderId="93" xfId="0" applyFont="1" applyBorder="1" applyAlignment="1">
      <alignment horizontal="center" vertical="center"/>
    </xf>
    <xf numFmtId="0" fontId="31" fillId="0" borderId="9" xfId="0" applyFont="1" applyBorder="1" applyAlignment="1">
      <alignment horizontal="center" vertical="center"/>
    </xf>
    <xf numFmtId="0" fontId="31" fillId="0" borderId="128" xfId="0" applyFont="1" applyBorder="1" applyAlignment="1">
      <alignment horizontal="center" vertical="center"/>
    </xf>
    <xf numFmtId="167" fontId="8" fillId="14" borderId="63" xfId="0" applyNumberFormat="1" applyFont="1" applyFill="1" applyBorder="1" applyAlignment="1">
      <alignment horizontal="center" vertical="center" wrapText="1"/>
    </xf>
    <xf numFmtId="167" fontId="8" fillId="14" borderId="83" xfId="0" applyNumberFormat="1" applyFont="1" applyFill="1" applyBorder="1" applyAlignment="1">
      <alignment horizontal="center" vertical="center" wrapText="1"/>
    </xf>
    <xf numFmtId="167" fontId="8" fillId="14" borderId="84" xfId="0" applyNumberFormat="1" applyFont="1" applyFill="1" applyBorder="1" applyAlignment="1">
      <alignment horizontal="center" vertical="center" wrapText="1"/>
    </xf>
    <xf numFmtId="167" fontId="8" fillId="14" borderId="121" xfId="0" applyNumberFormat="1" applyFont="1" applyFill="1" applyBorder="1" applyAlignment="1">
      <alignment horizontal="center" vertical="center" wrapText="1"/>
    </xf>
    <xf numFmtId="167" fontId="8" fillId="14" borderId="9" xfId="0" applyNumberFormat="1" applyFont="1" applyFill="1" applyBorder="1" applyAlignment="1">
      <alignment horizontal="center" vertical="center" wrapText="1"/>
    </xf>
    <xf numFmtId="167" fontId="8" fillId="14" borderId="128" xfId="0" applyNumberFormat="1" applyFont="1" applyFill="1" applyBorder="1" applyAlignment="1">
      <alignment horizontal="center" vertical="center" wrapText="1"/>
    </xf>
    <xf numFmtId="167" fontId="16" fillId="14" borderId="77" xfId="0" applyNumberFormat="1" applyFont="1" applyFill="1" applyBorder="1" applyAlignment="1">
      <alignment horizontal="center" vertical="center" wrapText="1"/>
    </xf>
    <xf numFmtId="167" fontId="16" fillId="14" borderId="85" xfId="0" applyNumberFormat="1" applyFont="1" applyFill="1" applyBorder="1" applyAlignment="1">
      <alignment horizontal="center" vertical="center" wrapText="1"/>
    </xf>
    <xf numFmtId="167" fontId="16" fillId="14" borderId="125" xfId="0" applyNumberFormat="1" applyFont="1" applyFill="1" applyBorder="1" applyAlignment="1">
      <alignment horizontal="center" vertical="center" wrapText="1"/>
    </xf>
    <xf numFmtId="0" fontId="7" fillId="31" borderId="94" xfId="0" applyFont="1" applyFill="1" applyBorder="1" applyAlignment="1">
      <alignment horizontal="center"/>
    </xf>
    <xf numFmtId="0" fontId="7" fillId="31" borderId="7" xfId="0" applyFont="1" applyFill="1" applyBorder="1" applyAlignment="1">
      <alignment horizontal="center"/>
    </xf>
    <xf numFmtId="167" fontId="16" fillId="31" borderId="63" xfId="0" applyNumberFormat="1" applyFont="1" applyFill="1" applyBorder="1" applyAlignment="1">
      <alignment horizontal="center" vertical="center" wrapText="1"/>
    </xf>
    <xf numFmtId="167" fontId="16" fillId="31" borderId="24" xfId="0" applyNumberFormat="1" applyFont="1" applyFill="1" applyBorder="1" applyAlignment="1">
      <alignment horizontal="center" vertical="center" wrapText="1"/>
    </xf>
    <xf numFmtId="167" fontId="16" fillId="31" borderId="121" xfId="0" applyNumberFormat="1" applyFont="1" applyFill="1" applyBorder="1" applyAlignment="1">
      <alignment horizontal="center" vertical="center" wrapText="1"/>
    </xf>
    <xf numFmtId="167" fontId="16" fillId="31" borderId="181" xfId="0" applyNumberFormat="1" applyFont="1" applyFill="1" applyBorder="1" applyAlignment="1">
      <alignment horizontal="center" vertical="center" wrapText="1"/>
    </xf>
    <xf numFmtId="167" fontId="16" fillId="31" borderId="28" xfId="0" applyNumberFormat="1" applyFont="1" applyFill="1" applyBorder="1" applyAlignment="1">
      <alignment horizontal="center" vertical="center" wrapText="1"/>
    </xf>
    <xf numFmtId="167" fontId="16" fillId="31" borderId="134" xfId="0" applyNumberFormat="1" applyFont="1" applyFill="1" applyBorder="1" applyAlignment="1">
      <alignment horizontal="center" vertical="center" wrapText="1"/>
    </xf>
    <xf numFmtId="0" fontId="7" fillId="0" borderId="6" xfId="0" applyFont="1" applyBorder="1" applyAlignment="1">
      <alignment horizontal="center" vertical="center"/>
    </xf>
    <xf numFmtId="0" fontId="7" fillId="0" borderId="163" xfId="0" applyFont="1" applyBorder="1" applyAlignment="1">
      <alignment horizontal="center" vertical="center"/>
    </xf>
    <xf numFmtId="0" fontId="16" fillId="0" borderId="61" xfId="0" applyFont="1" applyBorder="1" applyAlignment="1">
      <alignment horizontal="center" vertical="center"/>
    </xf>
    <xf numFmtId="0" fontId="16" fillId="0" borderId="57" xfId="0" applyFont="1" applyBorder="1" applyAlignment="1">
      <alignment horizontal="center" vertical="center"/>
    </xf>
    <xf numFmtId="0" fontId="16" fillId="0" borderId="147" xfId="0" applyFont="1" applyBorder="1" applyAlignment="1">
      <alignment horizontal="center" vertical="center"/>
    </xf>
    <xf numFmtId="0" fontId="16" fillId="0" borderId="86" xfId="0" applyFont="1" applyBorder="1" applyAlignment="1">
      <alignment horizontal="center" vertical="center"/>
    </xf>
    <xf numFmtId="0" fontId="16" fillId="0" borderId="87" xfId="0" applyFont="1" applyBorder="1" applyAlignment="1">
      <alignment horizontal="center" vertical="center"/>
    </xf>
    <xf numFmtId="0" fontId="16" fillId="0" borderId="124" xfId="0" applyFont="1" applyBorder="1" applyAlignment="1">
      <alignment horizontal="center" vertical="center"/>
    </xf>
    <xf numFmtId="167" fontId="16" fillId="14" borderId="86" xfId="0" applyNumberFormat="1" applyFont="1" applyFill="1" applyBorder="1" applyAlignment="1">
      <alignment horizontal="center" vertical="center" wrapText="1"/>
    </xf>
    <xf numFmtId="167" fontId="16" fillId="14" borderId="87" xfId="0" applyNumberFormat="1" applyFont="1" applyFill="1" applyBorder="1" applyAlignment="1">
      <alignment horizontal="center" vertical="center" wrapText="1"/>
    </xf>
    <xf numFmtId="167" fontId="16" fillId="14" borderId="124" xfId="0" applyNumberFormat="1" applyFont="1" applyFill="1" applyBorder="1" applyAlignment="1">
      <alignment horizontal="center" vertical="center" wrapText="1"/>
    </xf>
    <xf numFmtId="167" fontId="16" fillId="16" borderId="63" xfId="0" applyNumberFormat="1" applyFont="1" applyFill="1" applyBorder="1" applyAlignment="1">
      <alignment horizontal="center" vertical="center" wrapText="1"/>
    </xf>
    <xf numFmtId="167" fontId="16" fillId="16" borderId="83" xfId="0" applyNumberFormat="1" applyFont="1" applyFill="1" applyBorder="1" applyAlignment="1">
      <alignment horizontal="center" vertical="center" wrapText="1"/>
    </xf>
    <xf numFmtId="167" fontId="16" fillId="16" borderId="84" xfId="0" applyNumberFormat="1" applyFont="1" applyFill="1" applyBorder="1" applyAlignment="1">
      <alignment horizontal="center" vertical="center" wrapText="1"/>
    </xf>
    <xf numFmtId="167" fontId="16" fillId="16" borderId="121" xfId="0" applyNumberFormat="1" applyFont="1" applyFill="1" applyBorder="1" applyAlignment="1">
      <alignment horizontal="center" vertical="center" wrapText="1"/>
    </xf>
    <xf numFmtId="167" fontId="16" fillId="16" borderId="9" xfId="0" applyNumberFormat="1" applyFont="1" applyFill="1" applyBorder="1" applyAlignment="1">
      <alignment horizontal="center" vertical="center" wrapText="1"/>
    </xf>
    <xf numFmtId="167" fontId="16" fillId="16" borderId="128" xfId="0" applyNumberFormat="1" applyFont="1" applyFill="1" applyBorder="1" applyAlignment="1">
      <alignment horizontal="center" vertical="center" wrapText="1"/>
    </xf>
    <xf numFmtId="167" fontId="16" fillId="16" borderId="77" xfId="0" applyNumberFormat="1" applyFont="1" applyFill="1" applyBorder="1" applyAlignment="1">
      <alignment horizontal="center" vertical="center" wrapText="1"/>
    </xf>
    <xf numFmtId="167" fontId="16" fillId="16" borderId="85" xfId="0" applyNumberFormat="1" applyFont="1" applyFill="1" applyBorder="1" applyAlignment="1">
      <alignment horizontal="center" vertical="center" wrapText="1"/>
    </xf>
    <xf numFmtId="167" fontId="16" fillId="16" borderId="125" xfId="0" applyNumberFormat="1" applyFont="1" applyFill="1" applyBorder="1" applyAlignment="1">
      <alignment horizontal="center" vertical="center" wrapText="1"/>
    </xf>
    <xf numFmtId="167" fontId="16" fillId="16" borderId="22" xfId="0" applyNumberFormat="1" applyFont="1" applyFill="1" applyBorder="1" applyAlignment="1">
      <alignment horizontal="center" vertical="center" wrapText="1"/>
    </xf>
    <xf numFmtId="167" fontId="16" fillId="16" borderId="25" xfId="0" applyNumberFormat="1" applyFont="1" applyFill="1" applyBorder="1" applyAlignment="1">
      <alignment horizontal="center" vertical="center" wrapText="1"/>
    </xf>
    <xf numFmtId="167" fontId="16" fillId="16" borderId="120" xfId="0" applyNumberFormat="1" applyFont="1" applyFill="1" applyBorder="1" applyAlignment="1">
      <alignment horizontal="center" vertical="center" wrapText="1"/>
    </xf>
    <xf numFmtId="49" fontId="16" fillId="16" borderId="86" xfId="0" applyNumberFormat="1" applyFont="1" applyFill="1" applyBorder="1" applyAlignment="1">
      <alignment horizontal="center" vertical="center"/>
    </xf>
    <xf numFmtId="49" fontId="16" fillId="16" borderId="87" xfId="0" applyNumberFormat="1" applyFont="1" applyFill="1" applyBorder="1" applyAlignment="1">
      <alignment horizontal="center" vertical="center"/>
    </xf>
    <xf numFmtId="49" fontId="16" fillId="16" borderId="124" xfId="0" applyNumberFormat="1" applyFont="1" applyFill="1" applyBorder="1" applyAlignment="1">
      <alignment horizontal="center" vertical="center"/>
    </xf>
    <xf numFmtId="0" fontId="7" fillId="21" borderId="140" xfId="0" applyFont="1" applyFill="1" applyBorder="1" applyAlignment="1">
      <alignment horizontal="center" vertical="center" wrapText="1"/>
    </xf>
    <xf numFmtId="0" fontId="7" fillId="21" borderId="85" xfId="0" applyFont="1" applyFill="1" applyBorder="1" applyAlignment="1">
      <alignment horizontal="center" vertical="center" wrapText="1"/>
    </xf>
    <xf numFmtId="0" fontId="7" fillId="21" borderId="125" xfId="0" applyFont="1" applyFill="1" applyBorder="1" applyAlignment="1">
      <alignment horizontal="center" vertical="center" wrapText="1"/>
    </xf>
    <xf numFmtId="0" fontId="7" fillId="21" borderId="146" xfId="0" applyFont="1" applyFill="1" applyBorder="1" applyAlignment="1">
      <alignment horizontal="center" vertical="center" wrapText="1"/>
    </xf>
    <xf numFmtId="0" fontId="7" fillId="21" borderId="87" xfId="0" applyFont="1" applyFill="1" applyBorder="1" applyAlignment="1">
      <alignment horizontal="center" vertical="center" wrapText="1"/>
    </xf>
    <xf numFmtId="0" fontId="7" fillId="21" borderId="124" xfId="0" applyFont="1" applyFill="1" applyBorder="1" applyAlignment="1">
      <alignment horizontal="center" vertical="center" wrapText="1"/>
    </xf>
    <xf numFmtId="0" fontId="7" fillId="0" borderId="61" xfId="0" applyFont="1" applyBorder="1" applyAlignment="1">
      <alignment horizontal="center" vertical="center"/>
    </xf>
    <xf numFmtId="0" fontId="7" fillId="0" borderId="147" xfId="0" applyFont="1" applyBorder="1" applyAlignment="1">
      <alignment horizontal="center" vertical="center"/>
    </xf>
    <xf numFmtId="0" fontId="7" fillId="0" borderId="86" xfId="0" applyFont="1" applyBorder="1" applyAlignment="1">
      <alignment horizontal="center" vertical="center"/>
    </xf>
    <xf numFmtId="0" fontId="7" fillId="0" borderId="124" xfId="0" applyFont="1" applyBorder="1" applyAlignment="1">
      <alignment horizontal="center" vertical="center"/>
    </xf>
    <xf numFmtId="0" fontId="16" fillId="16" borderId="113" xfId="0" applyFont="1" applyFill="1" applyBorder="1" applyAlignment="1">
      <alignment horizontal="center" vertical="center" wrapText="1"/>
    </xf>
    <xf numFmtId="0" fontId="16" fillId="16" borderId="24" xfId="0" applyFont="1" applyFill="1" applyBorder="1" applyAlignment="1">
      <alignment horizontal="center" vertical="center" wrapText="1"/>
    </xf>
    <xf numFmtId="0" fontId="16" fillId="16" borderId="121" xfId="0" applyFont="1" applyFill="1" applyBorder="1" applyAlignment="1">
      <alignment horizontal="center" vertical="center" wrapText="1"/>
    </xf>
    <xf numFmtId="49" fontId="16" fillId="25" borderId="113" xfId="0" applyNumberFormat="1" applyFont="1" applyFill="1" applyBorder="1" applyAlignment="1">
      <alignment horizontal="center" vertical="center" wrapText="1"/>
    </xf>
    <xf numFmtId="49" fontId="16" fillId="25" borderId="24" xfId="0" applyNumberFormat="1" applyFont="1" applyFill="1" applyBorder="1" applyAlignment="1">
      <alignment horizontal="center" vertical="center" wrapText="1"/>
    </xf>
    <xf numFmtId="49" fontId="16" fillId="25" borderId="121" xfId="0" applyNumberFormat="1" applyFont="1" applyFill="1" applyBorder="1" applyAlignment="1">
      <alignment horizontal="center" vertical="center" wrapText="1"/>
    </xf>
    <xf numFmtId="0" fontId="16" fillId="25" borderId="146" xfId="0" applyFont="1" applyFill="1" applyBorder="1" applyAlignment="1">
      <alignment horizontal="center" vertical="center" wrapText="1"/>
    </xf>
    <xf numFmtId="0" fontId="16" fillId="25" borderId="87" xfId="0" applyFont="1" applyFill="1" applyBorder="1" applyAlignment="1">
      <alignment horizontal="center" vertical="center" wrapText="1"/>
    </xf>
    <xf numFmtId="0" fontId="16" fillId="25" borderId="124" xfId="0" applyFont="1" applyFill="1" applyBorder="1" applyAlignment="1">
      <alignment horizontal="center" vertical="center" wrapText="1"/>
    </xf>
    <xf numFmtId="0" fontId="16" fillId="22" borderId="94" xfId="0" applyFont="1" applyFill="1" applyBorder="1" applyAlignment="1">
      <alignment horizontal="center" vertical="center" wrapText="1"/>
    </xf>
    <xf numFmtId="0" fontId="16" fillId="22" borderId="7" xfId="0" applyFont="1" applyFill="1" applyBorder="1" applyAlignment="1">
      <alignment horizontal="center" vertical="center" wrapText="1"/>
    </xf>
    <xf numFmtId="0" fontId="16" fillId="22" borderId="77" xfId="0" applyFont="1" applyFill="1" applyBorder="1" applyAlignment="1">
      <alignment horizontal="center" vertical="center" wrapText="1"/>
    </xf>
    <xf numFmtId="0" fontId="16" fillId="22" borderId="125" xfId="0" applyFont="1" applyFill="1" applyBorder="1" applyAlignment="1">
      <alignment horizontal="center" vertical="center" wrapText="1"/>
    </xf>
    <xf numFmtId="0" fontId="16" fillId="22" borderId="22" xfId="0" applyFont="1" applyFill="1" applyBorder="1" applyAlignment="1">
      <alignment horizontal="center" vertical="center" wrapText="1"/>
    </xf>
    <xf numFmtId="0" fontId="16" fillId="22" borderId="120" xfId="0" applyFont="1" applyFill="1" applyBorder="1" applyAlignment="1">
      <alignment horizontal="center" vertical="center" wrapText="1"/>
    </xf>
    <xf numFmtId="0" fontId="16" fillId="22" borderId="86" xfId="0" applyFont="1" applyFill="1" applyBorder="1" applyAlignment="1">
      <alignment horizontal="center" vertical="center" wrapText="1"/>
    </xf>
    <xf numFmtId="0" fontId="16" fillId="22" borderId="124" xfId="0" applyFont="1" applyFill="1" applyBorder="1" applyAlignment="1">
      <alignment horizontal="center" vertical="center" wrapText="1"/>
    </xf>
    <xf numFmtId="0" fontId="16" fillId="16" borderId="146" xfId="0" applyFont="1" applyFill="1" applyBorder="1" applyAlignment="1">
      <alignment horizontal="center" vertical="center" wrapText="1"/>
    </xf>
    <xf numFmtId="0" fontId="16" fillId="16" borderId="87" xfId="0" applyFont="1" applyFill="1" applyBorder="1" applyAlignment="1">
      <alignment horizontal="center" vertical="center" wrapText="1"/>
    </xf>
    <xf numFmtId="0" fontId="16" fillId="16" borderId="124" xfId="0" applyFont="1" applyFill="1" applyBorder="1" applyAlignment="1">
      <alignment horizontal="center" vertical="center" wrapText="1"/>
    </xf>
    <xf numFmtId="167" fontId="6" fillId="0" borderId="70" xfId="0" applyNumberFormat="1" applyFont="1" applyBorder="1" applyAlignment="1">
      <alignment horizontal="center" vertical="center"/>
    </xf>
    <xf numFmtId="167" fontId="35" fillId="29" borderId="303" xfId="0" applyNumberFormat="1" applyFont="1" applyFill="1" applyBorder="1" applyAlignment="1">
      <alignment horizontal="center" vertical="center" wrapText="1"/>
    </xf>
    <xf numFmtId="167" fontId="35" fillId="29" borderId="252" xfId="0" applyNumberFormat="1" applyFont="1" applyFill="1" applyBorder="1" applyAlignment="1">
      <alignment horizontal="center" vertical="center"/>
    </xf>
    <xf numFmtId="167" fontId="35" fillId="29" borderId="255" xfId="0" applyNumberFormat="1" applyFont="1" applyFill="1" applyBorder="1" applyAlignment="1">
      <alignment horizontal="center" vertical="center"/>
    </xf>
    <xf numFmtId="49" fontId="16" fillId="22" borderId="239" xfId="0" applyNumberFormat="1" applyFont="1" applyFill="1" applyBorder="1" applyAlignment="1">
      <alignment horizontal="center" vertical="center" wrapText="1"/>
    </xf>
    <xf numFmtId="49" fontId="16" fillId="22" borderId="304" xfId="0" applyNumberFormat="1" applyFont="1" applyFill="1" applyBorder="1" applyAlignment="1">
      <alignment horizontal="center" vertical="center" wrapText="1"/>
    </xf>
    <xf numFmtId="49" fontId="16" fillId="22" borderId="240" xfId="0" applyNumberFormat="1" applyFont="1" applyFill="1" applyBorder="1" applyAlignment="1">
      <alignment horizontal="center" vertical="center" wrapText="1"/>
    </xf>
    <xf numFmtId="167" fontId="6" fillId="0" borderId="118" xfId="0" applyNumberFormat="1" applyFont="1" applyBorder="1" applyAlignment="1">
      <alignment horizontal="center" vertical="center" wrapText="1"/>
    </xf>
    <xf numFmtId="167" fontId="6" fillId="0" borderId="112" xfId="0" applyNumberFormat="1" applyFont="1" applyBorder="1" applyAlignment="1">
      <alignment horizontal="center" vertical="center"/>
    </xf>
    <xf numFmtId="1" fontId="6" fillId="0" borderId="70" xfId="0" applyNumberFormat="1" applyFont="1" applyBorder="1" applyAlignment="1">
      <alignment horizontal="center" vertical="center" wrapText="1"/>
    </xf>
    <xf numFmtId="167" fontId="35" fillId="12" borderId="253" xfId="0" applyNumberFormat="1" applyFont="1" applyFill="1" applyBorder="1" applyAlignment="1">
      <alignment horizontal="center" vertical="center" wrapText="1"/>
    </xf>
    <xf numFmtId="167" fontId="35" fillId="12" borderId="252" xfId="0" applyNumberFormat="1" applyFont="1" applyFill="1" applyBorder="1" applyAlignment="1">
      <alignment horizontal="center" vertical="center"/>
    </xf>
    <xf numFmtId="167" fontId="35" fillId="12" borderId="254" xfId="0" applyNumberFormat="1" applyFont="1" applyFill="1" applyBorder="1" applyAlignment="1">
      <alignment horizontal="center" vertical="center"/>
    </xf>
    <xf numFmtId="49" fontId="16" fillId="22" borderId="302" xfId="0" applyNumberFormat="1" applyFont="1" applyFill="1" applyBorder="1" applyAlignment="1">
      <alignment horizontal="center" vertical="center" wrapText="1"/>
    </xf>
    <xf numFmtId="49" fontId="16" fillId="22" borderId="255" xfId="0" applyNumberFormat="1" applyFont="1" applyFill="1" applyBorder="1" applyAlignment="1">
      <alignment horizontal="center" vertical="center" wrapText="1"/>
    </xf>
    <xf numFmtId="167" fontId="35" fillId="29" borderId="186" xfId="0" applyNumberFormat="1" applyFont="1" applyFill="1" applyBorder="1" applyAlignment="1">
      <alignment horizontal="center" vertical="center" wrapText="1"/>
    </xf>
    <xf numFmtId="167" fontId="35" fillId="29" borderId="110" xfId="0" applyNumberFormat="1" applyFont="1" applyFill="1" applyBorder="1" applyAlignment="1">
      <alignment horizontal="center" vertical="center"/>
    </xf>
    <xf numFmtId="167" fontId="35" fillId="29" borderId="301" xfId="0" applyNumberFormat="1" applyFont="1" applyFill="1" applyBorder="1" applyAlignment="1">
      <alignment horizontal="center" vertical="center"/>
    </xf>
    <xf numFmtId="0" fontId="6" fillId="0" borderId="118" xfId="0" applyFont="1" applyBorder="1" applyAlignment="1">
      <alignment horizontal="center" vertical="center"/>
    </xf>
    <xf numFmtId="0" fontId="6" fillId="0" borderId="112" xfId="0" applyFont="1" applyBorder="1" applyAlignment="1">
      <alignment horizontal="center" vertical="center"/>
    </xf>
    <xf numFmtId="0" fontId="6" fillId="0" borderId="256" xfId="0" applyFont="1" applyBorder="1" applyAlignment="1">
      <alignment horizontal="center" vertical="center"/>
    </xf>
    <xf numFmtId="49" fontId="16" fillId="22" borderId="253" xfId="0" applyNumberFormat="1" applyFont="1" applyFill="1" applyBorder="1" applyAlignment="1">
      <alignment horizontal="center" vertical="center" wrapText="1"/>
    </xf>
    <xf numFmtId="0" fontId="6" fillId="22" borderId="111" xfId="0" applyFont="1" applyFill="1" applyBorder="1" applyAlignment="1">
      <alignment horizontal="center" vertical="center" wrapText="1"/>
    </xf>
    <xf numFmtId="0" fontId="6" fillId="22" borderId="112" xfId="0" applyFont="1" applyFill="1" applyBorder="1" applyAlignment="1">
      <alignment horizontal="center" vertical="center"/>
    </xf>
    <xf numFmtId="167" fontId="7" fillId="25" borderId="229" xfId="0" applyNumberFormat="1" applyFont="1" applyFill="1" applyBorder="1" applyAlignment="1">
      <alignment horizontal="center" vertical="center" wrapText="1"/>
    </xf>
    <xf numFmtId="167" fontId="7" fillId="25" borderId="230" xfId="0" applyNumberFormat="1" applyFont="1" applyFill="1" applyBorder="1" applyAlignment="1">
      <alignment horizontal="center" vertical="center" wrapText="1"/>
    </xf>
    <xf numFmtId="167" fontId="7" fillId="25" borderId="231" xfId="0" applyNumberFormat="1" applyFont="1" applyFill="1" applyBorder="1" applyAlignment="1">
      <alignment horizontal="center" vertical="center" wrapText="1"/>
    </xf>
    <xf numFmtId="49" fontId="5" fillId="0" borderId="1" xfId="0" applyNumberFormat="1" applyFont="1" applyBorder="1" applyAlignment="1">
      <alignment wrapText="1"/>
    </xf>
    <xf numFmtId="49" fontId="5" fillId="0" borderId="0" xfId="0" applyNumberFormat="1" applyFont="1" applyAlignment="1">
      <alignment wrapText="1"/>
    </xf>
    <xf numFmtId="49" fontId="5" fillId="0" borderId="8" xfId="0" applyNumberFormat="1" applyFont="1" applyBorder="1" applyAlignment="1">
      <alignment wrapText="1"/>
    </xf>
    <xf numFmtId="0" fontId="45" fillId="0" borderId="5" xfId="0" applyFont="1" applyBorder="1" applyAlignment="1">
      <alignment horizontal="center" vertical="center" wrapText="1"/>
    </xf>
    <xf numFmtId="0" fontId="45" fillId="0" borderId="5" xfId="0" applyFont="1" applyBorder="1" applyAlignment="1">
      <alignment horizontal="center" vertical="center"/>
    </xf>
    <xf numFmtId="49" fontId="22" fillId="0" borderId="113" xfId="0" applyNumberFormat="1"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15" xfId="0" applyNumberFormat="1" applyFont="1" applyBorder="1" applyAlignment="1">
      <alignment horizontal="center" vertical="center" wrapText="1"/>
    </xf>
    <xf numFmtId="49" fontId="16" fillId="0" borderId="121" xfId="0" applyNumberFormat="1" applyFont="1" applyBorder="1" applyAlignment="1">
      <alignment horizontal="center" vertical="center" wrapText="1"/>
    </xf>
    <xf numFmtId="49" fontId="16" fillId="0" borderId="9" xfId="0" applyNumberFormat="1" applyFont="1" applyBorder="1" applyAlignment="1">
      <alignment horizontal="center" vertical="center" wrapText="1"/>
    </xf>
    <xf numFmtId="49" fontId="16" fillId="0" borderId="10" xfId="0" applyNumberFormat="1" applyFont="1" applyBorder="1" applyAlignment="1">
      <alignment horizontal="center" vertical="center" wrapText="1"/>
    </xf>
    <xf numFmtId="167" fontId="6" fillId="0" borderId="83" xfId="0" applyNumberFormat="1" applyFont="1" applyBorder="1" applyAlignment="1">
      <alignment horizontal="center" vertical="center" wrapText="1"/>
    </xf>
    <xf numFmtId="167" fontId="6" fillId="0" borderId="11" xfId="0" applyNumberFormat="1" applyFont="1" applyBorder="1" applyAlignment="1">
      <alignment horizontal="center" vertical="center" wrapText="1"/>
    </xf>
    <xf numFmtId="167" fontId="6" fillId="0" borderId="63" xfId="0" applyNumberFormat="1" applyFont="1" applyBorder="1" applyAlignment="1">
      <alignment horizontal="center" vertical="center" wrapText="1"/>
    </xf>
    <xf numFmtId="167" fontId="6" fillId="0" borderId="24" xfId="0" applyNumberFormat="1" applyFont="1" applyBorder="1" applyAlignment="1">
      <alignment horizontal="center" vertical="center" wrapText="1"/>
    </xf>
    <xf numFmtId="167" fontId="6" fillId="0" borderId="121" xfId="0" applyNumberFormat="1" applyFont="1" applyBorder="1" applyAlignment="1">
      <alignment horizontal="center" vertical="center" wrapText="1"/>
    </xf>
    <xf numFmtId="0" fontId="36" fillId="0" borderId="6" xfId="0" applyFont="1" applyBorder="1" applyAlignment="1">
      <alignment horizontal="center" vertical="center"/>
    </xf>
    <xf numFmtId="0" fontId="36" fillId="0" borderId="163" xfId="0" applyFont="1" applyBorder="1" applyAlignment="1">
      <alignment horizontal="center" vertical="center"/>
    </xf>
    <xf numFmtId="167" fontId="36" fillId="25" borderId="94" xfId="0" applyNumberFormat="1" applyFont="1" applyFill="1" applyBorder="1" applyAlignment="1">
      <alignment horizontal="center" vertical="center" wrapText="1"/>
    </xf>
    <xf numFmtId="167" fontId="36" fillId="25" borderId="7" xfId="0" applyNumberFormat="1" applyFont="1" applyFill="1" applyBorder="1" applyAlignment="1">
      <alignment horizontal="center" vertical="center"/>
    </xf>
    <xf numFmtId="167" fontId="7" fillId="25" borderId="170" xfId="0" applyNumberFormat="1" applyFont="1" applyFill="1" applyBorder="1" applyAlignment="1">
      <alignment horizontal="center" vertical="center" wrapText="1"/>
    </xf>
    <xf numFmtId="167" fontId="7" fillId="25" borderId="74" xfId="0" applyNumberFormat="1" applyFont="1" applyFill="1" applyBorder="1" applyAlignment="1">
      <alignment horizontal="center" vertical="center" wrapText="1"/>
    </xf>
    <xf numFmtId="167" fontId="7" fillId="25" borderId="232" xfId="0" applyNumberFormat="1" applyFont="1" applyFill="1" applyBorder="1" applyAlignment="1">
      <alignment horizontal="center" vertical="center" wrapText="1"/>
    </xf>
    <xf numFmtId="43" fontId="16" fillId="0" borderId="186" xfId="4" applyFont="1" applyBorder="1" applyAlignment="1">
      <alignment horizontal="center" vertical="center" wrapText="1"/>
    </xf>
    <xf numFmtId="43" fontId="16" fillId="0" borderId="126" xfId="4" applyFont="1" applyBorder="1" applyAlignment="1">
      <alignment horizontal="center" vertical="center" wrapText="1"/>
    </xf>
    <xf numFmtId="167" fontId="21" fillId="15" borderId="132" xfId="0" applyNumberFormat="1" applyFont="1" applyFill="1" applyBorder="1" applyAlignment="1">
      <alignment horizontal="center" vertical="center" wrapText="1"/>
    </xf>
    <xf numFmtId="167" fontId="21" fillId="15" borderId="130" xfId="0" applyNumberFormat="1" applyFont="1" applyFill="1" applyBorder="1" applyAlignment="1">
      <alignment horizontal="center" vertical="center" wrapText="1"/>
    </xf>
    <xf numFmtId="0" fontId="16" fillId="0" borderId="6" xfId="0" applyFont="1" applyBorder="1" applyAlignment="1">
      <alignment horizontal="center" vertical="center"/>
    </xf>
    <xf numFmtId="0" fontId="16" fillId="0" borderId="163" xfId="0" applyFont="1" applyBorder="1" applyAlignment="1">
      <alignment horizontal="center" vertical="center"/>
    </xf>
    <xf numFmtId="49" fontId="5" fillId="0" borderId="4" xfId="0" applyNumberFormat="1" applyFont="1" applyBorder="1" applyAlignment="1">
      <alignment horizontal="left" wrapText="1"/>
    </xf>
    <xf numFmtId="49" fontId="5" fillId="0" borderId="5" xfId="0" applyNumberFormat="1" applyFont="1" applyBorder="1" applyAlignment="1">
      <alignment horizontal="left" wrapText="1"/>
    </xf>
    <xf numFmtId="49" fontId="5" fillId="0" borderId="16" xfId="0" applyNumberFormat="1" applyFont="1" applyBorder="1" applyAlignment="1">
      <alignment horizontal="left" wrapText="1"/>
    </xf>
    <xf numFmtId="0" fontId="89" fillId="0" borderId="1" xfId="2" applyFont="1" applyBorder="1" applyAlignment="1">
      <alignment wrapText="1"/>
    </xf>
    <xf numFmtId="0" fontId="89" fillId="0" borderId="0" xfId="2" applyFont="1" applyAlignment="1">
      <alignment wrapText="1"/>
    </xf>
    <xf numFmtId="0" fontId="89" fillId="0" borderId="8" xfId="2" applyFont="1" applyBorder="1" applyAlignment="1">
      <alignment wrapText="1"/>
    </xf>
    <xf numFmtId="0" fontId="5" fillId="20" borderId="1" xfId="0" applyFont="1" applyFill="1" applyBorder="1" applyAlignment="1" applyProtection="1">
      <alignment wrapText="1"/>
      <protection hidden="1"/>
    </xf>
    <xf numFmtId="0" fontId="5" fillId="20" borderId="0" xfId="0" applyFont="1" applyFill="1" applyAlignment="1" applyProtection="1">
      <alignment wrapText="1"/>
      <protection hidden="1"/>
    </xf>
    <xf numFmtId="0" fontId="5" fillId="20" borderId="8" xfId="0" applyFont="1" applyFill="1" applyBorder="1" applyAlignment="1" applyProtection="1">
      <alignment wrapText="1"/>
      <protection hidden="1"/>
    </xf>
    <xf numFmtId="0" fontId="5" fillId="19" borderId="1" xfId="0" applyFont="1" applyFill="1" applyBorder="1" applyAlignment="1">
      <alignment wrapText="1"/>
    </xf>
    <xf numFmtId="0" fontId="5" fillId="19" borderId="0" xfId="0" applyFont="1" applyFill="1" applyAlignment="1">
      <alignment wrapText="1"/>
    </xf>
    <xf numFmtId="0" fontId="5" fillId="19" borderId="8" xfId="0" applyFont="1" applyFill="1" applyBorder="1" applyAlignment="1">
      <alignment wrapText="1"/>
    </xf>
    <xf numFmtId="167" fontId="6" fillId="15" borderId="113" xfId="0" applyNumberFormat="1" applyFont="1" applyFill="1" applyBorder="1" applyAlignment="1">
      <alignment horizontal="center" vertical="center" wrapText="1"/>
    </xf>
    <xf numFmtId="167" fontId="6" fillId="15" borderId="121" xfId="0" applyNumberFormat="1" applyFont="1" applyFill="1" applyBorder="1" applyAlignment="1">
      <alignment horizontal="center" vertical="center" wrapText="1"/>
    </xf>
    <xf numFmtId="167" fontId="6" fillId="0" borderId="203" xfId="0" applyNumberFormat="1" applyFont="1" applyBorder="1" applyAlignment="1">
      <alignment horizontal="center" vertical="center" wrapText="1"/>
    </xf>
    <xf numFmtId="167" fontId="6" fillId="0" borderId="134" xfId="0" applyNumberFormat="1" applyFont="1" applyBorder="1" applyAlignment="1">
      <alignment horizontal="center" vertical="center" wrapText="1"/>
    </xf>
    <xf numFmtId="167" fontId="6" fillId="0" borderId="146" xfId="0" applyNumberFormat="1" applyFont="1" applyBorder="1" applyAlignment="1">
      <alignment horizontal="center" vertical="center" wrapText="1"/>
    </xf>
    <xf numFmtId="167" fontId="6" fillId="0" borderId="124" xfId="0" applyNumberFormat="1" applyFont="1" applyBorder="1" applyAlignment="1">
      <alignment horizontal="center" vertical="center" wrapText="1"/>
    </xf>
    <xf numFmtId="167" fontId="6" fillId="0" borderId="141" xfId="0" applyNumberFormat="1" applyFont="1" applyBorder="1" applyAlignment="1">
      <alignment horizontal="center" vertical="center" wrapText="1"/>
    </xf>
    <xf numFmtId="167" fontId="6" fillId="0" borderId="120" xfId="0" applyNumberFormat="1" applyFont="1" applyBorder="1" applyAlignment="1">
      <alignment horizontal="center" vertical="center" wrapText="1"/>
    </xf>
    <xf numFmtId="167" fontId="6" fillId="0" borderId="79" xfId="0" applyNumberFormat="1" applyFont="1" applyBorder="1" applyAlignment="1">
      <alignment horizontal="center" vertical="center" wrapText="1"/>
    </xf>
    <xf numFmtId="167" fontId="6" fillId="0" borderId="164" xfId="0" applyNumberFormat="1" applyFont="1" applyBorder="1" applyAlignment="1">
      <alignment horizontal="center" vertical="center" wrapText="1"/>
    </xf>
    <xf numFmtId="11" fontId="6" fillId="0" borderId="205" xfId="0" applyNumberFormat="1" applyFont="1" applyBorder="1" applyAlignment="1">
      <alignment horizontal="center" vertical="center" wrapText="1"/>
    </xf>
    <xf numFmtId="11" fontId="6" fillId="0" borderId="134" xfId="0" applyNumberFormat="1" applyFont="1" applyBorder="1" applyAlignment="1">
      <alignment horizontal="center" vertical="center" wrapText="1"/>
    </xf>
    <xf numFmtId="0" fontId="45" fillId="0" borderId="5" xfId="0" applyFont="1" applyBorder="1" applyAlignment="1">
      <alignment horizontal="left" vertical="center"/>
    </xf>
    <xf numFmtId="0" fontId="7" fillId="0" borderId="196" xfId="0" applyFont="1" applyBorder="1" applyAlignment="1">
      <alignment horizontal="center" vertical="center" wrapText="1"/>
    </xf>
    <xf numFmtId="0" fontId="7" fillId="0" borderId="188" xfId="0" applyFont="1" applyBorder="1" applyAlignment="1">
      <alignment horizontal="center" vertical="center" wrapText="1"/>
    </xf>
    <xf numFmtId="0" fontId="7" fillId="0" borderId="185"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147"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164" xfId="0" applyFont="1" applyBorder="1" applyAlignment="1">
      <alignment horizontal="center" vertical="center" wrapText="1"/>
    </xf>
    <xf numFmtId="0" fontId="16" fillId="16" borderId="70" xfId="0" applyFont="1" applyFill="1" applyBorder="1" applyAlignment="1">
      <alignment horizontal="center" vertical="center"/>
    </xf>
    <xf numFmtId="0" fontId="7" fillId="13" borderId="195" xfId="0" applyFont="1" applyFill="1" applyBorder="1" applyAlignment="1">
      <alignment horizontal="center" vertical="center"/>
    </xf>
    <xf numFmtId="0" fontId="7" fillId="13" borderId="188" xfId="0" applyFont="1" applyFill="1" applyBorder="1" applyAlignment="1">
      <alignment horizontal="center" vertical="center"/>
    </xf>
    <xf numFmtId="0" fontId="7" fillId="13" borderId="185" xfId="0" applyFont="1" applyFill="1" applyBorder="1" applyAlignment="1">
      <alignment horizontal="center" vertical="center"/>
    </xf>
    <xf numFmtId="0" fontId="16" fillId="16" borderId="21" xfId="0" applyFont="1" applyFill="1" applyBorder="1" applyAlignment="1">
      <alignment horizontal="center" vertical="center"/>
    </xf>
    <xf numFmtId="0" fontId="6" fillId="0" borderId="61"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124" xfId="0" applyFont="1" applyBorder="1" applyAlignment="1">
      <alignment horizontal="center" vertical="center" wrapText="1"/>
    </xf>
    <xf numFmtId="167" fontId="7" fillId="14" borderId="189" xfId="0" applyNumberFormat="1" applyFont="1" applyFill="1" applyBorder="1" applyAlignment="1">
      <alignment horizontal="center" vertical="center"/>
    </xf>
    <xf numFmtId="167" fontId="7" fillId="14" borderId="188" xfId="0" applyNumberFormat="1" applyFont="1" applyFill="1" applyBorder="1" applyAlignment="1">
      <alignment horizontal="center" vertical="center"/>
    </xf>
    <xf numFmtId="167" fontId="7" fillId="14" borderId="194" xfId="0" applyNumberFormat="1" applyFont="1" applyFill="1" applyBorder="1" applyAlignment="1">
      <alignment horizontal="center" vertical="center"/>
    </xf>
    <xf numFmtId="0" fontId="7" fillId="15" borderId="195" xfId="0" applyFont="1" applyFill="1" applyBorder="1" applyAlignment="1">
      <alignment horizontal="center" vertical="center"/>
    </xf>
    <xf numFmtId="0" fontId="7" fillId="15" borderId="188" xfId="0" applyFont="1" applyFill="1" applyBorder="1" applyAlignment="1">
      <alignment horizontal="center" vertical="center"/>
    </xf>
    <xf numFmtId="0" fontId="7" fillId="15" borderId="194" xfId="0" applyFont="1" applyFill="1" applyBorder="1" applyAlignment="1">
      <alignment horizontal="center" vertical="center"/>
    </xf>
    <xf numFmtId="167" fontId="6" fillId="14" borderId="190" xfId="0" applyNumberFormat="1" applyFont="1" applyFill="1" applyBorder="1" applyAlignment="1">
      <alignment horizontal="center" vertical="center" wrapText="1"/>
    </xf>
    <xf numFmtId="167" fontId="6" fillId="14" borderId="179" xfId="0" applyNumberFormat="1" applyFont="1" applyFill="1" applyBorder="1" applyAlignment="1">
      <alignment horizontal="center" vertical="center" wrapText="1"/>
    </xf>
    <xf numFmtId="0" fontId="6" fillId="14" borderId="152" xfId="0" applyFont="1" applyFill="1" applyBorder="1" applyAlignment="1">
      <alignment horizontal="center" vertical="center" wrapText="1"/>
    </xf>
    <xf numFmtId="0" fontId="6" fillId="14" borderId="175" xfId="0" applyFont="1" applyFill="1" applyBorder="1" applyAlignment="1">
      <alignment horizontal="center" vertical="center" wrapText="1"/>
    </xf>
    <xf numFmtId="0" fontId="16" fillId="18" borderId="70" xfId="0" applyFont="1" applyFill="1" applyBorder="1" applyAlignment="1">
      <alignment horizontal="center" vertical="center"/>
    </xf>
    <xf numFmtId="0" fontId="16" fillId="18" borderId="21" xfId="0" applyFont="1" applyFill="1" applyBorder="1" applyAlignment="1">
      <alignment horizontal="center" vertical="center"/>
    </xf>
    <xf numFmtId="167" fontId="6" fillId="15" borderId="154" xfId="0" applyNumberFormat="1" applyFont="1" applyFill="1" applyBorder="1" applyAlignment="1">
      <alignment horizontal="center" vertical="center" wrapText="1"/>
    </xf>
    <xf numFmtId="167" fontId="6" fillId="15" borderId="182" xfId="0" applyNumberFormat="1" applyFont="1" applyFill="1" applyBorder="1" applyAlignment="1">
      <alignment horizontal="center" vertical="center" wrapText="1"/>
    </xf>
    <xf numFmtId="0" fontId="6" fillId="15" borderId="150" xfId="0" applyFont="1" applyFill="1" applyBorder="1" applyAlignment="1">
      <alignment horizontal="center" vertical="center" wrapText="1"/>
    </xf>
    <xf numFmtId="0" fontId="6" fillId="15" borderId="177" xfId="0" applyFont="1" applyFill="1" applyBorder="1" applyAlignment="1">
      <alignment horizontal="center" vertical="center" wrapText="1"/>
    </xf>
    <xf numFmtId="167" fontId="5" fillId="20" borderId="108" xfId="0" applyNumberFormat="1" applyFont="1" applyFill="1" applyBorder="1" applyAlignment="1">
      <alignment horizontal="center"/>
    </xf>
    <xf numFmtId="167" fontId="5" fillId="20" borderId="139" xfId="0" applyNumberFormat="1" applyFont="1" applyFill="1" applyBorder="1" applyAlignment="1">
      <alignment horizontal="center"/>
    </xf>
    <xf numFmtId="167" fontId="5" fillId="20" borderId="109" xfId="0" applyNumberFormat="1" applyFont="1" applyFill="1" applyBorder="1" applyAlignment="1">
      <alignment horizontal="center"/>
    </xf>
    <xf numFmtId="167" fontId="6" fillId="13" borderId="154" xfId="0" applyNumberFormat="1" applyFont="1" applyFill="1" applyBorder="1" applyAlignment="1">
      <alignment horizontal="center" vertical="center" wrapText="1"/>
    </xf>
    <xf numFmtId="167" fontId="6" fillId="13" borderId="182" xfId="0" applyNumberFormat="1" applyFont="1" applyFill="1" applyBorder="1" applyAlignment="1">
      <alignment horizontal="center" vertical="center" wrapText="1"/>
    </xf>
    <xf numFmtId="0" fontId="6" fillId="13" borderId="150" xfId="0" applyFont="1" applyFill="1" applyBorder="1" applyAlignment="1">
      <alignment horizontal="center" vertical="center" wrapText="1"/>
    </xf>
    <xf numFmtId="0" fontId="6" fillId="13" borderId="177" xfId="0" applyFont="1" applyFill="1" applyBorder="1" applyAlignment="1">
      <alignment horizontal="center" vertical="center" wrapText="1"/>
    </xf>
    <xf numFmtId="0" fontId="16" fillId="17" borderId="70" xfId="0" applyFont="1" applyFill="1" applyBorder="1" applyAlignment="1">
      <alignment horizontal="center" vertical="center"/>
    </xf>
    <xf numFmtId="0" fontId="16" fillId="17" borderId="36" xfId="0" applyFont="1" applyFill="1" applyBorder="1" applyAlignment="1">
      <alignment horizontal="center" vertical="center"/>
    </xf>
    <xf numFmtId="49" fontId="5" fillId="0" borderId="4" xfId="0" applyNumberFormat="1" applyFont="1" applyBorder="1" applyAlignment="1">
      <alignment wrapText="1"/>
    </xf>
    <xf numFmtId="49" fontId="5" fillId="0" borderId="5" xfId="0" applyNumberFormat="1" applyFont="1" applyBorder="1" applyAlignment="1">
      <alignment wrapText="1"/>
    </xf>
    <xf numFmtId="49" fontId="5" fillId="0" borderId="16" xfId="0" applyNumberFormat="1" applyFont="1" applyBorder="1" applyAlignment="1">
      <alignment wrapText="1"/>
    </xf>
    <xf numFmtId="49" fontId="36" fillId="0" borderId="0" xfId="0" applyNumberFormat="1" applyFont="1" applyAlignment="1">
      <alignment horizontal="center" vertical="center"/>
    </xf>
    <xf numFmtId="0" fontId="16" fillId="0" borderId="7" xfId="0" applyFont="1" applyBorder="1" applyAlignment="1">
      <alignment horizontal="center" vertical="center"/>
    </xf>
    <xf numFmtId="167" fontId="16" fillId="16" borderId="113" xfId="7" applyNumberFormat="1" applyFont="1" applyFill="1" applyBorder="1" applyAlignment="1">
      <alignment horizontal="center" vertical="center" wrapText="1"/>
    </xf>
    <xf numFmtId="167" fontId="16" fillId="16" borderId="121" xfId="7" applyNumberFormat="1" applyFont="1" applyFill="1" applyBorder="1" applyAlignment="1">
      <alignment horizontal="center" vertical="center" wrapText="1"/>
    </xf>
    <xf numFmtId="167" fontId="16" fillId="16" borderId="146" xfId="7" applyNumberFormat="1" applyFont="1" applyFill="1" applyBorder="1" applyAlignment="1">
      <alignment horizontal="center" vertical="center" wrapText="1"/>
    </xf>
    <xf numFmtId="167" fontId="16" fillId="16" borderId="134" xfId="7" applyNumberFormat="1" applyFont="1" applyFill="1" applyBorder="1" applyAlignment="1">
      <alignment horizontal="center" vertical="center" wrapText="1"/>
    </xf>
    <xf numFmtId="167" fontId="22" fillId="0" borderId="144" xfId="7" applyNumberFormat="1" applyFont="1" applyBorder="1" applyAlignment="1">
      <alignment horizontal="center" vertical="center"/>
    </xf>
    <xf numFmtId="167" fontId="22" fillId="0" borderId="46" xfId="7" applyNumberFormat="1" applyFont="1" applyBorder="1" applyAlignment="1">
      <alignment horizontal="center" vertical="center"/>
    </xf>
    <xf numFmtId="167" fontId="22" fillId="0" borderId="17" xfId="7" applyNumberFormat="1" applyFont="1" applyBorder="1" applyAlignment="1">
      <alignment horizontal="center" vertical="center"/>
    </xf>
    <xf numFmtId="167" fontId="16" fillId="24" borderId="202" xfId="0" applyNumberFormat="1" applyFont="1" applyFill="1" applyBorder="1" applyAlignment="1">
      <alignment horizontal="center" vertical="center" wrapText="1"/>
    </xf>
    <xf numFmtId="167" fontId="16" fillId="24" borderId="125" xfId="0" applyNumberFormat="1" applyFont="1" applyFill="1" applyBorder="1" applyAlignment="1">
      <alignment horizontal="center" vertical="center" wrapText="1"/>
    </xf>
    <xf numFmtId="167" fontId="16" fillId="24" borderId="205" xfId="0" applyNumberFormat="1" applyFont="1" applyFill="1" applyBorder="1" applyAlignment="1">
      <alignment horizontal="center" vertical="center" wrapText="1"/>
    </xf>
    <xf numFmtId="167" fontId="16" fillId="24" borderId="134" xfId="0" applyNumberFormat="1" applyFont="1" applyFill="1" applyBorder="1" applyAlignment="1">
      <alignment horizontal="center" vertical="center" wrapText="1"/>
    </xf>
    <xf numFmtId="43" fontId="6" fillId="0" borderId="61" xfId="4" applyFont="1" applyBorder="1" applyAlignment="1">
      <alignment horizontal="center" vertical="center"/>
    </xf>
    <xf numFmtId="43" fontId="6" fillId="0" borderId="57" xfId="4" applyFont="1" applyBorder="1" applyAlignment="1">
      <alignment horizontal="center" vertical="center"/>
    </xf>
    <xf numFmtId="43" fontId="6" fillId="0" borderId="147" xfId="4" applyFont="1" applyBorder="1" applyAlignment="1">
      <alignment horizontal="center" vertical="center"/>
    </xf>
    <xf numFmtId="49" fontId="6" fillId="0" borderId="86" xfId="0" applyNumberFormat="1" applyFont="1" applyBorder="1" applyAlignment="1">
      <alignment horizontal="center" vertical="center"/>
    </xf>
    <xf numFmtId="49" fontId="6" fillId="0" borderId="87" xfId="0" applyNumberFormat="1" applyFont="1" applyBorder="1" applyAlignment="1">
      <alignment horizontal="center" vertical="center"/>
    </xf>
    <xf numFmtId="49" fontId="6" fillId="0" borderId="124" xfId="0" applyNumberFormat="1" applyFont="1" applyBorder="1" applyAlignment="1">
      <alignment horizontal="center" vertical="center"/>
    </xf>
    <xf numFmtId="167" fontId="7" fillId="24" borderId="212" xfId="0" applyNumberFormat="1" applyFont="1" applyFill="1" applyBorder="1" applyAlignment="1">
      <alignment horizontal="center" vertical="center" wrapText="1"/>
    </xf>
    <xf numFmtId="167" fontId="7" fillId="24" borderId="291" xfId="0" applyNumberFormat="1" applyFont="1" applyFill="1" applyBorder="1" applyAlignment="1">
      <alignment horizontal="center" vertical="center" wrapText="1"/>
    </xf>
    <xf numFmtId="167" fontId="7" fillId="24" borderId="213" xfId="0" applyNumberFormat="1" applyFont="1" applyFill="1" applyBorder="1" applyAlignment="1">
      <alignment horizontal="center" vertical="center" wrapText="1"/>
    </xf>
    <xf numFmtId="167" fontId="7" fillId="24" borderId="292" xfId="0" applyNumberFormat="1" applyFont="1" applyFill="1" applyBorder="1" applyAlignment="1">
      <alignment horizontal="center" vertical="center" wrapText="1"/>
    </xf>
    <xf numFmtId="49" fontId="36" fillId="0" borderId="5" xfId="0" applyNumberFormat="1" applyFont="1" applyBorder="1" applyAlignment="1">
      <alignment horizontal="center" vertical="center"/>
    </xf>
    <xf numFmtId="167" fontId="6" fillId="22" borderId="150" xfId="0" applyNumberFormat="1" applyFont="1" applyFill="1" applyBorder="1" applyAlignment="1">
      <alignment horizontal="center" vertical="center" wrapText="1"/>
    </xf>
    <xf numFmtId="167" fontId="6" fillId="22" borderId="177" xfId="0" applyNumberFormat="1" applyFont="1" applyFill="1" applyBorder="1" applyAlignment="1">
      <alignment horizontal="center" vertical="center" wrapText="1"/>
    </xf>
    <xf numFmtId="167" fontId="6" fillId="22" borderId="73" xfId="0" applyNumberFormat="1" applyFont="1" applyFill="1" applyBorder="1" applyAlignment="1">
      <alignment horizontal="center" vertical="center" wrapText="1"/>
    </xf>
    <xf numFmtId="167" fontId="6" fillId="22" borderId="119" xfId="0" applyNumberFormat="1" applyFont="1" applyFill="1" applyBorder="1" applyAlignment="1">
      <alignment horizontal="center" vertical="center" wrapText="1"/>
    </xf>
    <xf numFmtId="167" fontId="6" fillId="22" borderId="122" xfId="0" applyNumberFormat="1" applyFont="1" applyFill="1" applyBorder="1" applyAlignment="1">
      <alignment horizontal="center" vertical="center" wrapText="1"/>
    </xf>
    <xf numFmtId="167" fontId="7" fillId="16" borderId="113" xfId="0" applyNumberFormat="1" applyFont="1" applyFill="1" applyBorder="1" applyAlignment="1">
      <alignment horizontal="center" vertical="center"/>
    </xf>
    <xf numFmtId="167" fontId="7" fillId="16" borderId="3" xfId="0" applyNumberFormat="1" applyFont="1" applyFill="1" applyBorder="1" applyAlignment="1">
      <alignment horizontal="center" vertical="center"/>
    </xf>
    <xf numFmtId="167" fontId="7" fillId="16" borderId="15" xfId="0" applyNumberFormat="1" applyFont="1" applyFill="1" applyBorder="1" applyAlignment="1">
      <alignment horizontal="center" vertical="center"/>
    </xf>
    <xf numFmtId="167" fontId="7" fillId="16" borderId="24" xfId="0" applyNumberFormat="1" applyFont="1" applyFill="1" applyBorder="1" applyAlignment="1">
      <alignment horizontal="center" vertical="center"/>
    </xf>
    <xf numFmtId="167" fontId="7" fillId="16" borderId="0" xfId="0" applyNumberFormat="1" applyFont="1" applyFill="1" applyAlignment="1">
      <alignment horizontal="center" vertical="center"/>
    </xf>
    <xf numFmtId="167" fontId="7" fillId="16" borderId="11" xfId="0" applyNumberFormat="1" applyFont="1" applyFill="1" applyBorder="1" applyAlignment="1">
      <alignment horizontal="center" vertical="center"/>
    </xf>
    <xf numFmtId="167" fontId="7" fillId="16" borderId="12" xfId="0" applyNumberFormat="1" applyFont="1" applyFill="1" applyBorder="1" applyAlignment="1">
      <alignment horizontal="center" vertical="center"/>
    </xf>
    <xf numFmtId="167" fontId="6" fillId="22" borderId="11" xfId="0" applyNumberFormat="1" applyFont="1" applyFill="1" applyBorder="1" applyAlignment="1">
      <alignment horizontal="center" vertical="center" wrapText="1"/>
    </xf>
    <xf numFmtId="167" fontId="6" fillId="16" borderId="290" xfId="0" applyNumberFormat="1" applyFont="1" applyFill="1" applyBorder="1" applyAlignment="1">
      <alignment horizontal="center" vertical="center" wrapText="1"/>
    </xf>
    <xf numFmtId="167" fontId="6" fillId="16" borderId="70" xfId="0" applyNumberFormat="1" applyFont="1" applyFill="1" applyBorder="1" applyAlignment="1">
      <alignment horizontal="center" vertical="center" wrapText="1"/>
    </xf>
    <xf numFmtId="167" fontId="6" fillId="16" borderId="11" xfId="0" applyNumberFormat="1" applyFont="1" applyFill="1" applyBorder="1" applyAlignment="1">
      <alignment horizontal="center" vertical="center"/>
    </xf>
    <xf numFmtId="167" fontId="6" fillId="16" borderId="27" xfId="0" applyNumberFormat="1" applyFont="1" applyFill="1" applyBorder="1" applyAlignment="1">
      <alignment horizontal="center" vertical="center"/>
    </xf>
    <xf numFmtId="167" fontId="6" fillId="16" borderId="214" xfId="0" applyNumberFormat="1" applyFont="1" applyFill="1" applyBorder="1" applyAlignment="1">
      <alignment horizontal="center" vertical="center"/>
    </xf>
    <xf numFmtId="167" fontId="6" fillId="16" borderId="12" xfId="0" applyNumberFormat="1" applyFont="1" applyFill="1" applyBorder="1" applyAlignment="1">
      <alignment horizontal="center" vertical="center"/>
    </xf>
    <xf numFmtId="0" fontId="7" fillId="25" borderId="2" xfId="0" applyFont="1" applyFill="1" applyBorder="1" applyAlignment="1">
      <alignment horizontal="center" vertical="center"/>
    </xf>
    <xf numFmtId="0" fontId="7" fillId="25" borderId="3" xfId="0" applyFont="1" applyFill="1" applyBorder="1" applyAlignment="1">
      <alignment horizontal="center" vertical="center"/>
    </xf>
    <xf numFmtId="0" fontId="7" fillId="25" borderId="15" xfId="0" applyFont="1" applyFill="1" applyBorder="1" applyAlignment="1">
      <alignment horizontal="center" vertical="center"/>
    </xf>
    <xf numFmtId="0" fontId="7" fillId="25" borderId="1" xfId="0" applyFont="1" applyFill="1" applyBorder="1" applyAlignment="1">
      <alignment horizontal="center" vertical="center"/>
    </xf>
    <xf numFmtId="0" fontId="7" fillId="25" borderId="0" xfId="0" applyFont="1" applyFill="1" applyAlignment="1">
      <alignment horizontal="center" vertical="center"/>
    </xf>
    <xf numFmtId="0" fontId="7" fillId="25" borderId="8" xfId="0" applyFont="1" applyFill="1" applyBorder="1" applyAlignment="1">
      <alignment horizontal="center" vertical="center"/>
    </xf>
    <xf numFmtId="0" fontId="7" fillId="25" borderId="275" xfId="0" applyFont="1" applyFill="1" applyBorder="1" applyAlignment="1">
      <alignment horizontal="center" vertical="center"/>
    </xf>
    <xf numFmtId="0" fontId="7" fillId="25" borderId="11" xfId="0" applyFont="1" applyFill="1" applyBorder="1" applyAlignment="1">
      <alignment horizontal="center" vertical="center"/>
    </xf>
    <xf numFmtId="0" fontId="7" fillId="25" borderId="12" xfId="0" applyFont="1" applyFill="1" applyBorder="1" applyAlignment="1">
      <alignment horizontal="center" vertical="center"/>
    </xf>
    <xf numFmtId="167" fontId="51" fillId="29" borderId="24" xfId="0" applyNumberFormat="1" applyFont="1" applyFill="1" applyBorder="1" applyAlignment="1">
      <alignment horizontal="center" vertical="center"/>
    </xf>
    <xf numFmtId="167" fontId="51" fillId="29" borderId="0" xfId="0" applyNumberFormat="1" applyFont="1" applyFill="1" applyAlignment="1">
      <alignment horizontal="center" vertical="center"/>
    </xf>
    <xf numFmtId="49" fontId="7" fillId="0" borderId="300" xfId="0" applyNumberFormat="1" applyFont="1" applyBorder="1" applyAlignment="1">
      <alignment horizontal="center" vertical="center" wrapText="1"/>
    </xf>
    <xf numFmtId="49" fontId="7" fillId="0" borderId="54" xfId="0" applyNumberFormat="1" applyFont="1" applyBorder="1" applyAlignment="1">
      <alignment horizontal="center" vertical="center" wrapText="1"/>
    </xf>
    <xf numFmtId="167" fontId="6" fillId="18" borderId="150" xfId="0" applyNumberFormat="1" applyFont="1" applyFill="1" applyBorder="1" applyAlignment="1">
      <alignment horizontal="center" vertical="center" wrapText="1"/>
    </xf>
    <xf numFmtId="167" fontId="6" fillId="18" borderId="177" xfId="0" applyNumberFormat="1" applyFont="1" applyFill="1" applyBorder="1" applyAlignment="1">
      <alignment horizontal="center" vertical="center" wrapText="1"/>
    </xf>
    <xf numFmtId="167" fontId="6" fillId="37" borderId="158" xfId="0" applyNumberFormat="1" applyFont="1" applyFill="1" applyBorder="1" applyAlignment="1">
      <alignment horizontal="center" vertical="center" wrapText="1"/>
    </xf>
    <xf numFmtId="167" fontId="6" fillId="37" borderId="183" xfId="0" applyNumberFormat="1" applyFont="1" applyFill="1" applyBorder="1" applyAlignment="1">
      <alignment horizontal="center" vertical="center" wrapText="1"/>
    </xf>
    <xf numFmtId="167" fontId="6" fillId="18" borderId="28" xfId="0" applyNumberFormat="1" applyFont="1" applyFill="1" applyBorder="1" applyAlignment="1">
      <alignment horizontal="center" vertical="center" wrapText="1"/>
    </xf>
    <xf numFmtId="167" fontId="6" fillId="18" borderId="134" xfId="0" applyNumberFormat="1" applyFont="1" applyFill="1" applyBorder="1" applyAlignment="1">
      <alignment horizontal="center" vertical="center" wrapText="1"/>
    </xf>
    <xf numFmtId="0" fontId="6" fillId="0" borderId="150" xfId="0" applyFont="1" applyBorder="1" applyAlignment="1">
      <alignment horizontal="center" vertical="center" wrapText="1"/>
    </xf>
    <xf numFmtId="0" fontId="6" fillId="0" borderId="177" xfId="0" applyFont="1" applyBorder="1" applyAlignment="1">
      <alignment horizontal="center" vertical="center" wrapText="1"/>
    </xf>
    <xf numFmtId="0" fontId="7" fillId="0" borderId="293" xfId="0" applyFont="1" applyBorder="1" applyAlignment="1">
      <alignment horizontal="center" vertical="center"/>
    </xf>
    <xf numFmtId="0" fontId="7" fillId="0" borderId="116" xfId="0" applyFont="1" applyBorder="1" applyAlignment="1">
      <alignment horizontal="center" vertical="center"/>
    </xf>
    <xf numFmtId="0" fontId="7" fillId="0" borderId="117" xfId="0" applyFont="1" applyBorder="1" applyAlignment="1">
      <alignment horizontal="center" vertical="center"/>
    </xf>
    <xf numFmtId="49" fontId="36" fillId="0" borderId="0" xfId="0" applyNumberFormat="1" applyFont="1" applyAlignment="1">
      <alignment horizontal="center" vertical="center" wrapText="1"/>
    </xf>
    <xf numFmtId="0" fontId="16" fillId="24" borderId="199" xfId="0" applyFont="1" applyFill="1" applyBorder="1" applyAlignment="1">
      <alignment horizontal="center" vertical="center" wrapText="1"/>
    </xf>
    <xf numFmtId="0" fontId="16" fillId="24" borderId="183" xfId="0" applyFont="1" applyFill="1" applyBorder="1" applyAlignment="1">
      <alignment horizontal="center" vertical="center" wrapText="1"/>
    </xf>
    <xf numFmtId="0" fontId="16" fillId="0" borderId="200" xfId="0" applyFont="1" applyBorder="1" applyAlignment="1">
      <alignment horizontal="center" vertical="center" wrapText="1"/>
    </xf>
    <xf numFmtId="0" fontId="16" fillId="0" borderId="201" xfId="0" applyFont="1" applyBorder="1" applyAlignment="1">
      <alignment horizontal="center" vertical="center" wrapText="1"/>
    </xf>
    <xf numFmtId="49" fontId="5" fillId="0" borderId="1" xfId="0" applyNumberFormat="1" applyFont="1" applyBorder="1" applyAlignment="1">
      <alignment horizontal="left" wrapText="1"/>
    </xf>
    <xf numFmtId="49" fontId="5" fillId="0" borderId="0" xfId="0" applyNumberFormat="1" applyFont="1" applyAlignment="1">
      <alignment horizontal="left" wrapText="1"/>
    </xf>
    <xf numFmtId="49" fontId="5" fillId="0" borderId="8" xfId="0" applyNumberFormat="1" applyFont="1" applyBorder="1" applyAlignment="1">
      <alignment horizontal="left" wrapText="1"/>
    </xf>
    <xf numFmtId="49" fontId="6" fillId="0" borderId="208" xfId="0" applyNumberFormat="1" applyFont="1" applyBorder="1" applyAlignment="1">
      <alignment horizontal="center" vertical="center" wrapText="1"/>
    </xf>
    <xf numFmtId="49" fontId="6" fillId="0" borderId="209" xfId="0" applyNumberFormat="1" applyFont="1" applyBorder="1" applyAlignment="1">
      <alignment horizontal="center" vertical="center" wrapText="1"/>
    </xf>
    <xf numFmtId="49" fontId="6" fillId="0" borderId="115" xfId="0" applyNumberFormat="1" applyFont="1" applyBorder="1" applyAlignment="1">
      <alignment horizontal="center" vertical="center" wrapText="1"/>
    </xf>
    <xf numFmtId="49" fontId="6" fillId="0" borderId="54" xfId="0" applyNumberFormat="1" applyFont="1" applyBorder="1" applyAlignment="1">
      <alignment horizontal="center" vertical="center" wrapText="1"/>
    </xf>
    <xf numFmtId="49" fontId="6" fillId="0" borderId="13" xfId="0" applyNumberFormat="1" applyFont="1" applyBorder="1" applyAlignment="1">
      <alignment horizontal="center" vertical="center" wrapText="1"/>
    </xf>
    <xf numFmtId="49" fontId="6" fillId="0" borderId="148" xfId="0" applyNumberFormat="1" applyFont="1" applyBorder="1" applyAlignment="1">
      <alignment horizontal="center" vertical="center" wrapText="1"/>
    </xf>
    <xf numFmtId="49" fontId="6" fillId="0" borderId="184" xfId="0" applyNumberFormat="1" applyFont="1" applyBorder="1" applyAlignment="1">
      <alignment horizontal="center" vertical="center" wrapText="1"/>
    </xf>
    <xf numFmtId="49" fontId="16" fillId="0" borderId="54" xfId="0" applyNumberFormat="1" applyFont="1" applyBorder="1" applyAlignment="1">
      <alignment horizontal="center" vertical="center"/>
    </xf>
    <xf numFmtId="49" fontId="16" fillId="0" borderId="13" xfId="0" applyNumberFormat="1" applyFont="1" applyBorder="1" applyAlignment="1">
      <alignment horizontal="center" vertical="center"/>
    </xf>
    <xf numFmtId="49" fontId="6" fillId="0" borderId="193" xfId="0" applyNumberFormat="1" applyFont="1" applyBorder="1" applyAlignment="1">
      <alignment horizontal="center" vertical="center" wrapText="1"/>
    </xf>
    <xf numFmtId="49" fontId="6" fillId="0" borderId="177" xfId="0" applyNumberFormat="1" applyFont="1" applyBorder="1" applyAlignment="1">
      <alignment horizontal="center" vertical="center" wrapText="1"/>
    </xf>
    <xf numFmtId="49" fontId="6" fillId="0" borderId="129" xfId="0" applyNumberFormat="1" applyFont="1" applyBorder="1" applyAlignment="1">
      <alignment horizontal="center" vertical="center" wrapText="1"/>
    </xf>
    <xf numFmtId="49" fontId="6" fillId="0" borderId="130" xfId="0" applyNumberFormat="1" applyFont="1" applyBorder="1" applyAlignment="1">
      <alignment horizontal="center" vertical="center" wrapText="1"/>
    </xf>
    <xf numFmtId="0" fontId="6" fillId="0" borderId="61" xfId="0" applyFont="1" applyBorder="1" applyAlignment="1">
      <alignment horizontal="center" vertical="center"/>
    </xf>
    <xf numFmtId="0" fontId="6" fillId="0" borderId="147" xfId="0" applyFont="1" applyBorder="1" applyAlignment="1">
      <alignment horizontal="center" vertical="center"/>
    </xf>
    <xf numFmtId="0" fontId="6" fillId="0" borderId="86" xfId="0" applyFont="1" applyBorder="1" applyAlignment="1">
      <alignment horizontal="center" vertical="center"/>
    </xf>
    <xf numFmtId="0" fontId="6" fillId="0" borderId="124" xfId="0" applyFont="1" applyBorder="1" applyAlignment="1">
      <alignment horizontal="center" vertical="center"/>
    </xf>
    <xf numFmtId="167" fontId="6" fillId="24" borderId="102" xfId="0" applyNumberFormat="1" applyFont="1" applyFill="1" applyBorder="1" applyAlignment="1">
      <alignment horizontal="center" vertical="center" wrapText="1"/>
    </xf>
    <xf numFmtId="167" fontId="6" fillId="24" borderId="104" xfId="0" applyNumberFormat="1" applyFont="1" applyFill="1" applyBorder="1" applyAlignment="1">
      <alignment horizontal="center" vertical="center" wrapText="1"/>
    </xf>
    <xf numFmtId="49" fontId="16" fillId="24" borderId="127" xfId="0" applyNumberFormat="1" applyFont="1" applyFill="1" applyBorder="1" applyAlignment="1">
      <alignment horizontal="center" vertical="center" wrapText="1"/>
    </xf>
    <xf numFmtId="49" fontId="16" fillId="24" borderId="110" xfId="0" applyNumberFormat="1" applyFont="1" applyFill="1" applyBorder="1" applyAlignment="1">
      <alignment horizontal="center" vertical="center" wrapText="1"/>
    </xf>
    <xf numFmtId="49" fontId="16" fillId="24" borderId="126" xfId="0" applyNumberFormat="1" applyFont="1" applyFill="1" applyBorder="1" applyAlignment="1">
      <alignment horizontal="center" vertical="center" wrapText="1"/>
    </xf>
    <xf numFmtId="167" fontId="16" fillId="13" borderId="115" xfId="0" applyNumberFormat="1" applyFont="1" applyFill="1" applyBorder="1" applyAlignment="1">
      <alignment horizontal="center" vertical="center" wrapText="1"/>
    </xf>
    <xf numFmtId="167" fontId="16" fillId="13" borderId="54" xfId="0" applyNumberFormat="1" applyFont="1" applyFill="1" applyBorder="1" applyAlignment="1">
      <alignment horizontal="center" vertical="center" wrapText="1"/>
    </xf>
    <xf numFmtId="49" fontId="6" fillId="0" borderId="166" xfId="0" applyNumberFormat="1" applyFont="1" applyBorder="1" applyAlignment="1">
      <alignment horizontal="center" vertical="center" wrapText="1"/>
    </xf>
    <xf numFmtId="49" fontId="6" fillId="0" borderId="201" xfId="0" applyNumberFormat="1" applyFont="1" applyBorder="1" applyAlignment="1">
      <alignment horizontal="center" vertical="center" wrapText="1"/>
    </xf>
    <xf numFmtId="167" fontId="6" fillId="0" borderId="85" xfId="0" applyNumberFormat="1" applyFont="1" applyBorder="1" applyAlignment="1">
      <alignment horizontal="center" vertical="center" wrapText="1"/>
    </xf>
    <xf numFmtId="167" fontId="6" fillId="0" borderId="125" xfId="0" applyNumberFormat="1" applyFont="1" applyBorder="1" applyAlignment="1">
      <alignment horizontal="center" vertical="center" wrapText="1"/>
    </xf>
    <xf numFmtId="0" fontId="16" fillId="0" borderId="2" xfId="0" applyFont="1" applyBorder="1" applyAlignment="1">
      <alignment horizontal="center" vertical="center"/>
    </xf>
    <xf numFmtId="0" fontId="16" fillId="0" borderId="226" xfId="0" applyFont="1" applyBorder="1" applyAlignment="1">
      <alignment horizontal="center" vertical="center"/>
    </xf>
    <xf numFmtId="49" fontId="16" fillId="0" borderId="115" xfId="0" applyNumberFormat="1" applyFont="1" applyBorder="1" applyAlignment="1">
      <alignment horizontal="center" vertical="center" wrapText="1"/>
    </xf>
    <xf numFmtId="49" fontId="16" fillId="0" borderId="54"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49" fontId="16" fillId="0" borderId="186" xfId="0" applyNumberFormat="1" applyFont="1" applyBorder="1" applyAlignment="1">
      <alignment horizontal="center" vertical="center"/>
    </xf>
    <xf numFmtId="49" fontId="16" fillId="0" borderId="126" xfId="0" applyNumberFormat="1" applyFont="1" applyBorder="1" applyAlignment="1">
      <alignment horizontal="center" vertical="center"/>
    </xf>
    <xf numFmtId="0" fontId="36" fillId="0" borderId="0" xfId="0" applyFont="1" applyAlignment="1">
      <alignment horizontal="center" vertical="center" wrapText="1"/>
    </xf>
    <xf numFmtId="49" fontId="16" fillId="13" borderId="140" xfId="0" applyNumberFormat="1" applyFont="1" applyFill="1" applyBorder="1" applyAlignment="1">
      <alignment horizontal="center" vertical="center" wrapText="1"/>
    </xf>
    <xf numFmtId="49" fontId="16" fillId="13" borderId="125" xfId="0" applyNumberFormat="1" applyFont="1" applyFill="1" applyBorder="1" applyAlignment="1">
      <alignment horizontal="center" vertical="center" wrapText="1"/>
    </xf>
    <xf numFmtId="0" fontId="5" fillId="20" borderId="1" xfId="0" applyFont="1" applyFill="1" applyBorder="1" applyAlignment="1">
      <alignment wrapText="1"/>
    </xf>
    <xf numFmtId="0" fontId="5" fillId="20" borderId="0" xfId="0" applyFont="1" applyFill="1" applyAlignment="1">
      <alignment wrapText="1"/>
    </xf>
    <xf numFmtId="0" fontId="5" fillId="20" borderId="8" xfId="0" applyFont="1" applyFill="1" applyBorder="1" applyAlignment="1">
      <alignment wrapText="1"/>
    </xf>
    <xf numFmtId="167" fontId="6" fillId="0" borderId="202" xfId="0" applyNumberFormat="1" applyFont="1" applyBorder="1" applyAlignment="1">
      <alignment horizontal="center" vertical="center" wrapText="1"/>
    </xf>
    <xf numFmtId="0" fontId="16" fillId="0" borderId="115" xfId="0" applyFont="1" applyBorder="1" applyAlignment="1">
      <alignment horizontal="center" vertical="center"/>
    </xf>
    <xf numFmtId="0" fontId="16" fillId="0" borderId="54" xfId="0" applyFont="1" applyBorder="1" applyAlignment="1">
      <alignment horizontal="center" vertical="center"/>
    </xf>
    <xf numFmtId="0" fontId="16" fillId="0" borderId="13" xfId="0" applyFont="1" applyBorder="1" applyAlignment="1">
      <alignment horizontal="center" vertical="center"/>
    </xf>
    <xf numFmtId="167" fontId="6" fillId="0" borderId="72" xfId="0" applyNumberFormat="1" applyFont="1" applyBorder="1" applyAlignment="1">
      <alignment horizontal="center" vertical="center" wrapText="1"/>
    </xf>
    <xf numFmtId="167" fontId="16" fillId="26" borderId="115" xfId="0" applyNumberFormat="1" applyFont="1" applyFill="1" applyBorder="1" applyAlignment="1">
      <alignment horizontal="center" vertical="center" wrapText="1"/>
    </xf>
    <xf numFmtId="167" fontId="16" fillId="26" borderId="54" xfId="0" applyNumberFormat="1" applyFont="1" applyFill="1" applyBorder="1" applyAlignment="1">
      <alignment horizontal="center" vertical="center" wrapText="1"/>
    </xf>
    <xf numFmtId="167" fontId="16" fillId="26" borderId="219" xfId="0" applyNumberFormat="1" applyFont="1" applyFill="1" applyBorder="1" applyAlignment="1">
      <alignment horizontal="center" vertical="center" wrapText="1"/>
    </xf>
    <xf numFmtId="49" fontId="16" fillId="0" borderId="6" xfId="0" applyNumberFormat="1" applyFont="1" applyBorder="1" applyAlignment="1">
      <alignment horizontal="center" vertical="center"/>
    </xf>
    <xf numFmtId="167" fontId="16" fillId="14" borderId="140" xfId="0" applyNumberFormat="1" applyFont="1" applyFill="1" applyBorder="1" applyAlignment="1">
      <alignment horizontal="center" vertical="center" wrapText="1"/>
    </xf>
    <xf numFmtId="167" fontId="16" fillId="0" borderId="79" xfId="0" applyNumberFormat="1" applyFont="1" applyBorder="1" applyAlignment="1">
      <alignment horizontal="center" vertical="center" wrapText="1"/>
    </xf>
    <xf numFmtId="167" fontId="16" fillId="0" borderId="164" xfId="0" applyNumberFormat="1" applyFont="1" applyBorder="1" applyAlignment="1">
      <alignment horizontal="center" vertical="center" wrapText="1"/>
    </xf>
    <xf numFmtId="11" fontId="6" fillId="0" borderId="146" xfId="0" applyNumberFormat="1" applyFont="1" applyBorder="1" applyAlignment="1">
      <alignment horizontal="center" vertical="center" wrapText="1"/>
    </xf>
    <xf numFmtId="11" fontId="6" fillId="0" borderId="87" xfId="0" applyNumberFormat="1" applyFont="1" applyBorder="1" applyAlignment="1">
      <alignment horizontal="center" vertical="center" wrapText="1"/>
    </xf>
    <xf numFmtId="11" fontId="6" fillId="0" borderId="124" xfId="0" applyNumberFormat="1" applyFont="1" applyBorder="1" applyAlignment="1">
      <alignment horizontal="center" vertical="center" wrapText="1"/>
    </xf>
    <xf numFmtId="0" fontId="6" fillId="0" borderId="2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0" xfId="0" applyFont="1" applyBorder="1" applyAlignment="1">
      <alignment horizontal="center" vertical="center" wrapText="1"/>
    </xf>
    <xf numFmtId="11" fontId="6" fillId="0" borderId="141" xfId="0" applyNumberFormat="1" applyFont="1" applyBorder="1" applyAlignment="1">
      <alignment horizontal="center" vertical="center" wrapText="1"/>
    </xf>
    <xf numFmtId="11" fontId="6" fillId="0" borderId="25" xfId="0" applyNumberFormat="1" applyFont="1" applyBorder="1" applyAlignment="1">
      <alignment horizontal="center" vertical="center" wrapText="1"/>
    </xf>
    <xf numFmtId="11" fontId="6" fillId="0" borderId="120" xfId="0" applyNumberFormat="1" applyFont="1" applyBorder="1" applyAlignment="1">
      <alignment horizontal="center" vertical="center" wrapText="1"/>
    </xf>
    <xf numFmtId="0" fontId="6" fillId="0" borderId="141" xfId="0" applyFont="1" applyBorder="1" applyAlignment="1">
      <alignment horizontal="center" vertical="center" wrapText="1"/>
    </xf>
    <xf numFmtId="49" fontId="5" fillId="20" borderId="1" xfId="0" applyNumberFormat="1" applyFont="1" applyFill="1" applyBorder="1" applyAlignment="1">
      <alignment vertical="top" wrapText="1"/>
    </xf>
    <xf numFmtId="49" fontId="5" fillId="20" borderId="0" xfId="0" applyNumberFormat="1" applyFont="1" applyFill="1" applyAlignment="1">
      <alignment vertical="top" wrapText="1"/>
    </xf>
    <xf numFmtId="49" fontId="5" fillId="20" borderId="8" xfId="0" applyNumberFormat="1" applyFont="1" applyFill="1" applyBorder="1" applyAlignment="1">
      <alignment vertical="top" wrapText="1"/>
    </xf>
    <xf numFmtId="0" fontId="45" fillId="0" borderId="0" xfId="0" applyFont="1" applyAlignment="1">
      <alignment horizontal="center" vertical="center"/>
    </xf>
    <xf numFmtId="0" fontId="6" fillId="0" borderId="140" xfId="0" applyFont="1" applyBorder="1" applyAlignment="1">
      <alignment horizontal="center" vertical="center" wrapText="1"/>
    </xf>
    <xf numFmtId="49" fontId="16" fillId="0" borderId="6" xfId="0" applyNumberFormat="1" applyFont="1" applyBorder="1" applyAlignment="1">
      <alignment horizontal="center" vertical="center" wrapText="1"/>
    </xf>
    <xf numFmtId="0" fontId="16" fillId="0" borderId="163" xfId="0" applyFont="1" applyBorder="1" applyAlignment="1">
      <alignment horizontal="center" vertical="center" wrapText="1"/>
    </xf>
    <xf numFmtId="0" fontId="6" fillId="22" borderId="141" xfId="0" applyFont="1" applyFill="1" applyBorder="1" applyAlignment="1">
      <alignment horizontal="center" vertical="center" wrapText="1"/>
    </xf>
    <xf numFmtId="0" fontId="6" fillId="22" borderId="25" xfId="0" applyFont="1" applyFill="1" applyBorder="1" applyAlignment="1">
      <alignment horizontal="center" vertical="center" wrapText="1"/>
    </xf>
    <xf numFmtId="0" fontId="6" fillId="22" borderId="120" xfId="0" applyFont="1" applyFill="1" applyBorder="1" applyAlignment="1">
      <alignment horizontal="center" vertical="center" wrapText="1"/>
    </xf>
    <xf numFmtId="0" fontId="16" fillId="0" borderId="113" xfId="0" applyFont="1" applyBorder="1" applyAlignment="1">
      <alignment horizontal="center" vertical="center"/>
    </xf>
    <xf numFmtId="0" fontId="16" fillId="0" borderId="3" xfId="0" applyFont="1" applyBorder="1" applyAlignment="1">
      <alignment horizontal="center" vertical="center"/>
    </xf>
    <xf numFmtId="0" fontId="16" fillId="0" borderId="15" xfId="0" applyFont="1" applyBorder="1" applyAlignment="1">
      <alignment horizontal="center" vertical="center"/>
    </xf>
    <xf numFmtId="0" fontId="16" fillId="0" borderId="161"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6" fillId="22" borderId="239" xfId="0" applyFont="1" applyFill="1" applyBorder="1" applyAlignment="1">
      <alignment horizontal="center" vertical="center" wrapText="1"/>
    </xf>
    <xf numFmtId="0" fontId="6" fillId="22" borderId="240" xfId="0" applyFont="1" applyFill="1" applyBorder="1" applyAlignment="1">
      <alignment horizontal="center" vertical="center" wrapText="1"/>
    </xf>
    <xf numFmtId="0" fontId="6" fillId="44" borderId="161" xfId="0" applyFont="1" applyFill="1" applyBorder="1" applyAlignment="1">
      <alignment horizontal="center" vertical="center" wrapText="1"/>
    </xf>
    <xf numFmtId="0" fontId="6" fillId="44" borderId="228" xfId="0" applyFont="1" applyFill="1" applyBorder="1" applyAlignment="1">
      <alignment horizontal="center" vertical="center" wrapText="1"/>
    </xf>
    <xf numFmtId="0" fontId="6" fillId="18" borderId="54" xfId="0" applyFont="1" applyFill="1" applyBorder="1" applyAlignment="1">
      <alignment horizontal="center" vertical="center" wrapText="1"/>
    </xf>
    <xf numFmtId="0" fontId="6" fillId="18" borderId="219" xfId="0" applyFont="1" applyFill="1" applyBorder="1" applyAlignment="1">
      <alignment horizontal="center" vertical="center" wrapText="1"/>
    </xf>
    <xf numFmtId="0" fontId="16" fillId="0" borderId="7" xfId="0" applyFont="1" applyBorder="1" applyAlignment="1">
      <alignment horizontal="center" vertical="center" wrapText="1"/>
    </xf>
    <xf numFmtId="49" fontId="35" fillId="43" borderId="32" xfId="0" applyNumberFormat="1" applyFont="1" applyFill="1" applyBorder="1" applyAlignment="1">
      <alignment horizontal="center" vertical="center" wrapText="1"/>
    </xf>
    <xf numFmtId="49" fontId="35" fillId="43" borderId="33" xfId="0" applyNumberFormat="1" applyFont="1" applyFill="1" applyBorder="1" applyAlignment="1">
      <alignment horizontal="center" vertical="center" wrapText="1"/>
    </xf>
    <xf numFmtId="49" fontId="35" fillId="43" borderId="34" xfId="0" applyNumberFormat="1" applyFont="1" applyFill="1" applyBorder="1" applyAlignment="1">
      <alignment horizontal="center" vertical="center" wrapText="1"/>
    </xf>
    <xf numFmtId="0" fontId="8" fillId="0" borderId="9" xfId="0" applyFont="1" applyBorder="1" applyAlignment="1">
      <alignment horizontal="center"/>
    </xf>
    <xf numFmtId="0" fontId="8" fillId="0" borderId="10" xfId="0" applyFont="1" applyBorder="1" applyAlignment="1">
      <alignment horizontal="center"/>
    </xf>
    <xf numFmtId="0" fontId="36" fillId="0" borderId="5" xfId="0" applyFont="1" applyBorder="1" applyAlignment="1">
      <alignment horizontal="center" vertical="center"/>
    </xf>
    <xf numFmtId="0" fontId="16" fillId="0" borderId="56"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5"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62" xfId="0" applyFont="1" applyBorder="1" applyAlignment="1">
      <alignment horizontal="center" vertical="center" wrapText="1"/>
    </xf>
    <xf numFmtId="0" fontId="8" fillId="0" borderId="6" xfId="0" applyFont="1" applyBorder="1" applyAlignment="1">
      <alignment horizontal="center"/>
    </xf>
    <xf numFmtId="0" fontId="8" fillId="0" borderId="7" xfId="0" applyFont="1" applyBorder="1" applyAlignment="1">
      <alignment horizontal="center"/>
    </xf>
    <xf numFmtId="0" fontId="8" fillId="0" borderId="89" xfId="0" applyFont="1" applyBorder="1" applyAlignment="1">
      <alignment horizont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9" xfId="0" applyFont="1" applyBorder="1" applyAlignment="1">
      <alignment horizontal="center" vertical="center"/>
    </xf>
    <xf numFmtId="167" fontId="16" fillId="0" borderId="113" xfId="0" applyNumberFormat="1" applyFont="1" applyBorder="1" applyAlignment="1">
      <alignment horizontal="center" vertical="center" wrapText="1"/>
    </xf>
    <xf numFmtId="167" fontId="16" fillId="0" borderId="3" xfId="0" applyNumberFormat="1" applyFont="1" applyBorder="1" applyAlignment="1">
      <alignment horizontal="center" vertical="center" wrapText="1"/>
    </xf>
    <xf numFmtId="167" fontId="16" fillId="0" borderId="94" xfId="0" applyNumberFormat="1" applyFont="1" applyBorder="1" applyAlignment="1">
      <alignment horizontal="center" vertical="center" wrapText="1"/>
    </xf>
    <xf numFmtId="167" fontId="16" fillId="0" borderId="7" xfId="0" applyNumberFormat="1" applyFont="1" applyBorder="1" applyAlignment="1">
      <alignment horizontal="center" vertical="center" wrapText="1"/>
    </xf>
    <xf numFmtId="167" fontId="16" fillId="0" borderId="163" xfId="0" applyNumberFormat="1" applyFont="1" applyBorder="1" applyAlignment="1">
      <alignment horizontal="center" vertical="center" wrapText="1"/>
    </xf>
    <xf numFmtId="167" fontId="16" fillId="0" borderId="89" xfId="0" applyNumberFormat="1" applyFont="1" applyBorder="1" applyAlignment="1">
      <alignment horizontal="center" vertical="center" wrapText="1"/>
    </xf>
    <xf numFmtId="49" fontId="16" fillId="0" borderId="163" xfId="0" applyNumberFormat="1" applyFont="1" applyBorder="1" applyAlignment="1">
      <alignment horizontal="center" vertical="center"/>
    </xf>
    <xf numFmtId="49" fontId="31" fillId="0" borderId="5" xfId="0" applyNumberFormat="1" applyFont="1" applyBorder="1" applyAlignment="1">
      <alignment horizontal="center" vertical="center"/>
    </xf>
    <xf numFmtId="167" fontId="6" fillId="0" borderId="74" xfId="0" applyNumberFormat="1" applyFont="1" applyBorder="1" applyAlignment="1">
      <alignment horizontal="center" vertical="center" wrapText="1"/>
    </xf>
    <xf numFmtId="167" fontId="6" fillId="0" borderId="28" xfId="0" applyNumberFormat="1" applyFont="1" applyBorder="1" applyAlignment="1">
      <alignment horizontal="center" vertical="center" wrapText="1"/>
    </xf>
    <xf numFmtId="167" fontId="6" fillId="0" borderId="161" xfId="0" applyNumberFormat="1" applyFont="1" applyBorder="1" applyAlignment="1">
      <alignment horizontal="center" vertical="center" wrapText="1"/>
    </xf>
    <xf numFmtId="167" fontId="6" fillId="0" borderId="27" xfId="0" applyNumberFormat="1" applyFont="1" applyBorder="1" applyAlignment="1">
      <alignment horizontal="center" vertical="center" wrapText="1"/>
    </xf>
    <xf numFmtId="0" fontId="6" fillId="0" borderId="57" xfId="0" applyFont="1" applyBorder="1" applyAlignment="1">
      <alignment horizontal="center" vertical="center"/>
    </xf>
    <xf numFmtId="0" fontId="6" fillId="0" borderId="87" xfId="0" applyFont="1" applyBorder="1" applyAlignment="1">
      <alignment horizontal="center" vertical="center"/>
    </xf>
    <xf numFmtId="167" fontId="6" fillId="0" borderId="92" xfId="0" applyNumberFormat="1" applyFont="1" applyBorder="1" applyAlignment="1">
      <alignment horizontal="center" vertical="center" wrapText="1"/>
    </xf>
    <xf numFmtId="49" fontId="31" fillId="0" borderId="5" xfId="0" applyNumberFormat="1" applyFont="1" applyBorder="1" applyAlignment="1">
      <alignment horizontal="center" vertical="center" wrapText="1"/>
    </xf>
    <xf numFmtId="167" fontId="6" fillId="0" borderId="94" xfId="0" applyNumberFormat="1" applyFont="1" applyBorder="1" applyAlignment="1">
      <alignment horizontal="center" vertical="center" wrapText="1"/>
    </xf>
    <xf numFmtId="167" fontId="6" fillId="0" borderId="7" xfId="0" applyNumberFormat="1" applyFont="1" applyBorder="1" applyAlignment="1">
      <alignment horizontal="center" vertical="center" wrapText="1"/>
    </xf>
    <xf numFmtId="167" fontId="6" fillId="0" borderId="163" xfId="0" applyNumberFormat="1" applyFont="1" applyBorder="1" applyAlignment="1">
      <alignment horizontal="center" vertical="center" wrapText="1"/>
    </xf>
    <xf numFmtId="167" fontId="6" fillId="0" borderId="89" xfId="0" applyNumberFormat="1" applyFont="1" applyBorder="1" applyAlignment="1">
      <alignment horizontal="center" vertical="center" wrapText="1"/>
    </xf>
    <xf numFmtId="49" fontId="31" fillId="0" borderId="5" xfId="0" applyNumberFormat="1" applyFont="1" applyBorder="1" applyAlignment="1">
      <alignment horizontal="center" wrapText="1"/>
    </xf>
    <xf numFmtId="167" fontId="16" fillId="0" borderId="74" xfId="0" applyNumberFormat="1" applyFont="1" applyBorder="1" applyAlignment="1">
      <alignment horizontal="center" vertical="center" wrapText="1"/>
    </xf>
    <xf numFmtId="167" fontId="16" fillId="0" borderId="51" xfId="0" applyNumberFormat="1" applyFont="1" applyBorder="1" applyAlignment="1">
      <alignment horizontal="center" vertical="center" wrapText="1"/>
    </xf>
    <xf numFmtId="49" fontId="16" fillId="0" borderId="113" xfId="0" applyNumberFormat="1" applyFont="1" applyBorder="1" applyAlignment="1">
      <alignment horizontal="center" vertical="center" wrapText="1"/>
    </xf>
    <xf numFmtId="49" fontId="16" fillId="0" borderId="24" xfId="0" applyNumberFormat="1" applyFont="1" applyBorder="1" applyAlignment="1">
      <alignment horizontal="center" vertical="center" wrapText="1"/>
    </xf>
    <xf numFmtId="49" fontId="16" fillId="0" borderId="79" xfId="0" applyNumberFormat="1" applyFont="1" applyBorder="1" applyAlignment="1">
      <alignment horizontal="center" vertical="center" wrapText="1"/>
    </xf>
    <xf numFmtId="49" fontId="16" fillId="0" borderId="19" xfId="0" applyNumberFormat="1" applyFont="1" applyBorder="1" applyAlignment="1">
      <alignment horizontal="center" vertical="center" wrapText="1"/>
    </xf>
    <xf numFmtId="49" fontId="16" fillId="0" borderId="164" xfId="0" applyNumberFormat="1" applyFont="1" applyBorder="1" applyAlignment="1">
      <alignment horizontal="center" vertical="center" wrapText="1"/>
    </xf>
    <xf numFmtId="0" fontId="6" fillId="0" borderId="77" xfId="0" applyFont="1" applyBorder="1" applyAlignment="1">
      <alignment horizontal="center" vertical="center" wrapText="1"/>
    </xf>
    <xf numFmtId="49" fontId="16" fillId="0" borderId="93" xfId="0" applyNumberFormat="1" applyFont="1" applyBorder="1" applyAlignment="1">
      <alignment horizontal="center" vertical="center" wrapText="1"/>
    </xf>
    <xf numFmtId="49" fontId="16" fillId="0" borderId="128" xfId="0" applyNumberFormat="1" applyFont="1" applyBorder="1" applyAlignment="1">
      <alignment horizontal="center" vertical="center" wrapText="1"/>
    </xf>
    <xf numFmtId="167" fontId="16" fillId="0" borderId="170" xfId="0" applyNumberFormat="1" applyFont="1" applyBorder="1" applyAlignment="1">
      <alignment horizontal="center" vertical="center" wrapText="1"/>
    </xf>
    <xf numFmtId="167" fontId="7" fillId="0" borderId="94"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7" fontId="7" fillId="0" borderId="163" xfId="0" applyNumberFormat="1" applyFont="1" applyBorder="1" applyAlignment="1">
      <alignment horizontal="center" vertical="center" wrapText="1"/>
    </xf>
    <xf numFmtId="49" fontId="16" fillId="0" borderId="5" xfId="0" applyNumberFormat="1" applyFont="1" applyBorder="1" applyAlignment="1">
      <alignment horizontal="center"/>
    </xf>
    <xf numFmtId="49" fontId="31"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167" fontId="16" fillId="0" borderId="32" xfId="7" applyNumberFormat="1" applyFont="1" applyBorder="1" applyAlignment="1">
      <alignment horizontal="center" vertical="center" wrapText="1"/>
    </xf>
    <xf numFmtId="167" fontId="16" fillId="0" borderId="33" xfId="7" applyNumberFormat="1" applyFont="1" applyBorder="1" applyAlignment="1">
      <alignment horizontal="center" vertical="center" wrapText="1"/>
    </xf>
    <xf numFmtId="167" fontId="16" fillId="0" borderId="34" xfId="7" applyNumberFormat="1" applyFont="1" applyBorder="1" applyAlignment="1">
      <alignment horizontal="center" vertical="center" wrapText="1"/>
    </xf>
    <xf numFmtId="49" fontId="5" fillId="0" borderId="1" xfId="7" applyNumberFormat="1" applyFont="1" applyBorder="1" applyAlignment="1">
      <alignment horizontal="left" vertical="center" wrapText="1"/>
    </xf>
    <xf numFmtId="49" fontId="5" fillId="0" borderId="0" xfId="7" applyNumberFormat="1" applyFont="1" applyAlignment="1">
      <alignment horizontal="left" vertical="center" wrapText="1"/>
    </xf>
    <xf numFmtId="49" fontId="5" fillId="0" borderId="8" xfId="7" applyNumberFormat="1" applyFont="1" applyBorder="1" applyAlignment="1">
      <alignment horizontal="left" vertical="center" wrapText="1"/>
    </xf>
    <xf numFmtId="49" fontId="5" fillId="0" borderId="1" xfId="7" applyNumberFormat="1" applyFont="1" applyBorder="1" applyAlignment="1">
      <alignment horizontal="left"/>
    </xf>
    <xf numFmtId="49" fontId="5" fillId="0" borderId="0" xfId="7" applyNumberFormat="1" applyFont="1" applyAlignment="1">
      <alignment horizontal="left"/>
    </xf>
    <xf numFmtId="49" fontId="5" fillId="0" borderId="8" xfId="7" applyNumberFormat="1" applyFont="1" applyBorder="1" applyAlignment="1">
      <alignment horizontal="left"/>
    </xf>
    <xf numFmtId="0" fontId="45" fillId="0" borderId="0" xfId="7" applyFont="1" applyAlignment="1">
      <alignment horizontal="center" vertical="center" wrapText="1"/>
    </xf>
    <xf numFmtId="167" fontId="7" fillId="0" borderId="0" xfId="7" applyNumberFormat="1" applyFont="1" applyAlignment="1">
      <alignment horizontal="center" vertical="center" wrapText="1"/>
    </xf>
    <xf numFmtId="167" fontId="7" fillId="0" borderId="8" xfId="7" applyNumberFormat="1" applyFont="1" applyBorder="1" applyAlignment="1">
      <alignment horizontal="center" vertical="center" wrapText="1"/>
    </xf>
    <xf numFmtId="0" fontId="7" fillId="0" borderId="0" xfId="7" applyFont="1" applyAlignment="1">
      <alignment horizontal="center" vertical="top" wrapText="1"/>
    </xf>
    <xf numFmtId="49" fontId="16" fillId="0" borderId="6" xfId="7" applyNumberFormat="1" applyFont="1" applyBorder="1" applyAlignment="1">
      <alignment horizontal="center" vertical="center"/>
    </xf>
    <xf numFmtId="49" fontId="16" fillId="0" borderId="163" xfId="7" applyNumberFormat="1" applyFont="1" applyBorder="1" applyAlignment="1">
      <alignment horizontal="center" vertical="center"/>
    </xf>
    <xf numFmtId="0" fontId="16" fillId="0" borderId="57" xfId="7" applyFont="1" applyBorder="1" applyAlignment="1">
      <alignment horizontal="center" vertical="center"/>
    </xf>
    <xf numFmtId="0" fontId="16" fillId="0" borderId="147" xfId="7" applyFont="1" applyBorder="1" applyAlignment="1">
      <alignment horizontal="center" vertical="center"/>
    </xf>
    <xf numFmtId="0" fontId="16" fillId="0" borderId="87" xfId="7" applyFont="1" applyBorder="1" applyAlignment="1">
      <alignment horizontal="center" vertical="center"/>
    </xf>
    <xf numFmtId="0" fontId="16" fillId="0" borderId="28" xfId="7" applyFont="1" applyBorder="1" applyAlignment="1">
      <alignment horizontal="center" vertical="center"/>
    </xf>
    <xf numFmtId="0" fontId="16" fillId="0" borderId="134" xfId="7" applyFont="1" applyBorder="1" applyAlignment="1">
      <alignment horizontal="center" vertical="center"/>
    </xf>
    <xf numFmtId="167" fontId="22" fillId="0" borderId="94" xfId="7" applyNumberFormat="1" applyFont="1" applyBorder="1" applyAlignment="1">
      <alignment horizontal="center" vertical="center"/>
    </xf>
    <xf numFmtId="167" fontId="22" fillId="0" borderId="7" xfId="7" applyNumberFormat="1" applyFont="1" applyBorder="1" applyAlignment="1">
      <alignment horizontal="center" vertical="center"/>
    </xf>
    <xf numFmtId="167" fontId="22" fillId="0" borderId="89" xfId="7" applyNumberFormat="1" applyFont="1" applyBorder="1" applyAlignment="1">
      <alignment horizontal="center" vertical="center"/>
    </xf>
    <xf numFmtId="0" fontId="89" fillId="0" borderId="1" xfId="2" applyFont="1" applyBorder="1"/>
    <xf numFmtId="0" fontId="89" fillId="0" borderId="0" xfId="2" applyFont="1"/>
    <xf numFmtId="0" fontId="89" fillId="0" borderId="8" xfId="2" applyFont="1" applyBorder="1"/>
    <xf numFmtId="167" fontId="7" fillId="0" borderId="32" xfId="7" applyNumberFormat="1" applyFont="1" applyBorder="1" applyAlignment="1">
      <alignment horizontal="center" vertical="center" wrapText="1"/>
    </xf>
    <xf numFmtId="167" fontId="7" fillId="0" borderId="33" xfId="7" applyNumberFormat="1" applyFont="1" applyBorder="1" applyAlignment="1">
      <alignment horizontal="center" vertical="center" wrapText="1"/>
    </xf>
    <xf numFmtId="167" fontId="7" fillId="0" borderId="34" xfId="7" applyNumberFormat="1" applyFont="1" applyBorder="1" applyAlignment="1">
      <alignment horizontal="center" vertical="center" wrapText="1"/>
    </xf>
    <xf numFmtId="0" fontId="61" fillId="0" borderId="0" xfId="1" applyFont="1" applyAlignment="1">
      <alignment horizontal="center" vertical="center" wrapText="1"/>
    </xf>
    <xf numFmtId="0" fontId="27" fillId="20" borderId="77" xfId="1" applyFont="1" applyFill="1" applyBorder="1" applyAlignment="1">
      <alignment horizontal="center" vertical="center" wrapText="1"/>
    </xf>
    <xf numFmtId="0" fontId="27" fillId="20" borderId="85" xfId="1" applyFont="1" applyFill="1" applyBorder="1" applyAlignment="1">
      <alignment horizontal="center" vertical="center" wrapText="1"/>
    </xf>
    <xf numFmtId="0" fontId="27" fillId="20" borderId="125" xfId="1" applyFont="1" applyFill="1" applyBorder="1" applyAlignment="1">
      <alignment horizontal="center" vertical="center" wrapText="1"/>
    </xf>
    <xf numFmtId="167" fontId="65" fillId="20" borderId="170" xfId="1" applyNumberFormat="1" applyFont="1" applyFill="1" applyBorder="1" applyAlignment="1">
      <alignment horizontal="center" vertical="center"/>
    </xf>
    <xf numFmtId="167" fontId="65" fillId="20" borderId="74" xfId="1" applyNumberFormat="1" applyFont="1" applyFill="1" applyBorder="1" applyAlignment="1">
      <alignment horizontal="center" vertical="center"/>
    </xf>
    <xf numFmtId="167" fontId="65" fillId="20" borderId="51" xfId="1" applyNumberFormat="1" applyFont="1" applyFill="1" applyBorder="1" applyAlignment="1">
      <alignment horizontal="center" vertical="center"/>
    </xf>
    <xf numFmtId="0" fontId="61" fillId="20" borderId="121" xfId="1" applyFont="1" applyFill="1" applyBorder="1" applyAlignment="1">
      <alignment horizontal="center" vertical="center" wrapText="1"/>
    </xf>
    <xf numFmtId="0" fontId="61" fillId="20" borderId="128" xfId="1" applyFont="1" applyFill="1" applyBorder="1" applyAlignment="1">
      <alignment horizontal="center" vertical="center" wrapText="1"/>
    </xf>
    <xf numFmtId="11" fontId="4" fillId="0" borderId="22" xfId="1" quotePrefix="1" applyNumberFormat="1" applyBorder="1" applyAlignment="1">
      <alignment horizontal="center" vertical="center" textRotation="90" wrapText="1"/>
    </xf>
    <xf numFmtId="11" fontId="4" fillId="0" borderId="28" xfId="1" quotePrefix="1" applyNumberFormat="1" applyBorder="1" applyAlignment="1">
      <alignment horizontal="center" vertical="center" textRotation="90" wrapText="1"/>
    </xf>
    <xf numFmtId="11" fontId="4" fillId="0" borderId="25" xfId="1" quotePrefix="1" applyNumberFormat="1" applyBorder="1" applyAlignment="1">
      <alignment horizontal="center" vertical="center" textRotation="90" wrapText="1"/>
    </xf>
    <xf numFmtId="11" fontId="4" fillId="0" borderId="120" xfId="1" quotePrefix="1" applyNumberFormat="1" applyBorder="1" applyAlignment="1">
      <alignment horizontal="center" vertical="center" textRotation="90" wrapText="1"/>
    </xf>
    <xf numFmtId="0" fontId="61" fillId="20" borderId="202" xfId="1" applyFont="1" applyFill="1" applyBorder="1" applyAlignment="1">
      <alignment horizontal="center" vertical="center" wrapText="1"/>
    </xf>
    <xf numFmtId="0" fontId="61" fillId="20" borderId="204" xfId="1" applyFont="1" applyFill="1" applyBorder="1" applyAlignment="1">
      <alignment horizontal="center" vertical="center" wrapText="1"/>
    </xf>
    <xf numFmtId="0" fontId="61" fillId="20" borderId="136" xfId="1" applyFont="1" applyFill="1" applyBorder="1" applyAlignment="1">
      <alignment horizontal="center" vertical="center"/>
    </xf>
    <xf numFmtId="0" fontId="61" fillId="20" borderId="138" xfId="1" applyFont="1" applyFill="1" applyBorder="1" applyAlignment="1">
      <alignment horizontal="center" vertical="center"/>
    </xf>
    <xf numFmtId="0" fontId="16" fillId="20" borderId="72" xfId="0" applyFont="1" applyFill="1" applyBorder="1" applyAlignment="1">
      <alignment horizontal="center" vertical="center" wrapText="1"/>
    </xf>
    <xf numFmtId="0" fontId="16" fillId="20" borderId="120" xfId="0" applyFont="1" applyFill="1" applyBorder="1" applyAlignment="1">
      <alignment horizontal="center" vertical="center" wrapText="1"/>
    </xf>
    <xf numFmtId="0" fontId="16" fillId="20" borderId="204" xfId="0" applyFont="1" applyFill="1" applyBorder="1" applyAlignment="1">
      <alignment horizontal="center" vertical="center" wrapText="1"/>
    </xf>
    <xf numFmtId="0" fontId="16" fillId="20" borderId="124" xfId="0" applyFont="1" applyFill="1" applyBorder="1" applyAlignment="1">
      <alignment horizontal="center" vertical="center" wrapText="1"/>
    </xf>
    <xf numFmtId="167" fontId="1" fillId="0" borderId="202" xfId="1" quotePrefix="1" applyNumberFormat="1" applyFont="1" applyBorder="1" applyAlignment="1">
      <alignment horizontal="center" vertical="center" textRotation="90" wrapText="1"/>
    </xf>
    <xf numFmtId="167" fontId="1" fillId="0" borderId="85" xfId="1" quotePrefix="1" applyNumberFormat="1" applyFont="1" applyBorder="1" applyAlignment="1">
      <alignment horizontal="center" vertical="center" textRotation="90" wrapText="1"/>
    </xf>
    <xf numFmtId="167" fontId="1" fillId="0" borderId="125" xfId="1" quotePrefix="1" applyNumberFormat="1" applyFont="1" applyBorder="1" applyAlignment="1">
      <alignment horizontal="center" vertical="center" textRotation="90" wrapText="1"/>
    </xf>
    <xf numFmtId="0" fontId="8" fillId="20" borderId="32" xfId="0" applyFont="1" applyFill="1" applyBorder="1" applyAlignment="1">
      <alignment horizontal="center" vertical="center" wrapText="1"/>
    </xf>
    <xf numFmtId="0" fontId="8" fillId="20" borderId="33" xfId="0" applyFont="1" applyFill="1" applyBorder="1" applyAlignment="1">
      <alignment horizontal="center" vertical="center" wrapText="1"/>
    </xf>
    <xf numFmtId="0" fontId="8" fillId="20" borderId="34" xfId="0" applyFont="1" applyFill="1" applyBorder="1" applyAlignment="1">
      <alignment horizontal="center" vertical="center" wrapText="1"/>
    </xf>
    <xf numFmtId="0" fontId="64" fillId="34" borderId="170" xfId="0" applyFont="1" applyFill="1" applyBorder="1" applyAlignment="1">
      <alignment horizontal="center" vertical="center" wrapText="1"/>
    </xf>
    <xf numFmtId="0" fontId="64" fillId="34" borderId="74" xfId="0" applyFont="1" applyFill="1" applyBorder="1" applyAlignment="1">
      <alignment horizontal="center" vertical="center" wrapText="1"/>
    </xf>
    <xf numFmtId="0" fontId="64" fillId="34" borderId="51" xfId="0" applyFont="1" applyFill="1" applyBorder="1" applyAlignment="1">
      <alignment horizontal="center" vertical="center" wrapText="1"/>
    </xf>
    <xf numFmtId="0" fontId="16" fillId="0" borderId="77" xfId="0" applyFont="1" applyBorder="1" applyAlignment="1" applyProtection="1">
      <alignment horizontal="center" vertical="center"/>
      <protection hidden="1"/>
    </xf>
    <xf numFmtId="0" fontId="16" fillId="0" borderId="86" xfId="0" applyFont="1" applyBorder="1" applyAlignment="1" applyProtection="1">
      <alignment horizontal="center" vertical="center"/>
      <protection hidden="1"/>
    </xf>
    <xf numFmtId="0" fontId="16" fillId="0" borderId="39" xfId="0" applyFont="1" applyBorder="1" applyAlignment="1" applyProtection="1">
      <alignment horizontal="center" vertical="center"/>
      <protection hidden="1"/>
    </xf>
    <xf numFmtId="0" fontId="16" fillId="0" borderId="227" xfId="0" applyFont="1" applyBorder="1" applyAlignment="1" applyProtection="1">
      <alignment horizontal="center" vertical="center"/>
      <protection hidden="1"/>
    </xf>
    <xf numFmtId="0" fontId="8" fillId="0" borderId="63" xfId="0" applyFont="1" applyBorder="1" applyAlignment="1">
      <alignment horizontal="center" vertical="center"/>
    </xf>
    <xf numFmtId="0" fontId="8" fillId="0" borderId="84" xfId="0" applyFont="1" applyBorder="1" applyAlignment="1">
      <alignment horizontal="center" vertical="center"/>
    </xf>
    <xf numFmtId="0" fontId="8" fillId="0" borderId="121" xfId="0" applyFont="1" applyBorder="1" applyAlignment="1">
      <alignment horizontal="center" vertical="center"/>
    </xf>
    <xf numFmtId="0" fontId="8" fillId="0" borderId="128" xfId="0" applyFont="1" applyBorder="1" applyAlignment="1">
      <alignment horizontal="center" vertical="center"/>
    </xf>
    <xf numFmtId="0" fontId="16" fillId="0" borderId="136" xfId="0" applyFont="1" applyBorder="1" applyAlignment="1" applyProtection="1">
      <alignment horizontal="center" vertical="center"/>
      <protection hidden="1"/>
    </xf>
    <xf numFmtId="0" fontId="16" fillId="0" borderId="138" xfId="0" applyFont="1" applyBorder="1" applyAlignment="1" applyProtection="1">
      <alignment horizontal="center" vertical="center"/>
      <protection hidden="1"/>
    </xf>
    <xf numFmtId="0" fontId="35" fillId="34" borderId="202" xfId="0" applyFont="1" applyFill="1" applyBorder="1" applyAlignment="1">
      <alignment horizontal="center" vertical="center" wrapText="1"/>
    </xf>
    <xf numFmtId="0" fontId="35" fillId="34" borderId="125" xfId="0" applyFont="1" applyFill="1" applyBorder="1" applyAlignment="1">
      <alignment horizontal="center" vertical="center" wrapText="1"/>
    </xf>
    <xf numFmtId="0" fontId="35" fillId="34" borderId="72" xfId="0" applyFont="1" applyFill="1" applyBorder="1" applyAlignment="1">
      <alignment horizontal="center" vertical="center" wrapText="1"/>
    </xf>
    <xf numFmtId="0" fontId="35" fillId="34" borderId="120" xfId="0" applyFont="1" applyFill="1" applyBorder="1" applyAlignment="1">
      <alignment horizontal="center" vertical="center" wrapText="1"/>
    </xf>
    <xf numFmtId="0" fontId="35" fillId="34" borderId="204" xfId="0" applyFont="1" applyFill="1" applyBorder="1" applyAlignment="1">
      <alignment horizontal="center" vertical="center" wrapText="1"/>
    </xf>
    <xf numFmtId="0" fontId="35" fillId="34" borderId="124" xfId="0" applyFont="1" applyFill="1" applyBorder="1" applyAlignment="1">
      <alignment horizontal="center" vertical="center" wrapText="1"/>
    </xf>
    <xf numFmtId="0" fontId="4" fillId="0" borderId="24" xfId="0" applyFont="1" applyBorder="1" applyAlignment="1">
      <alignment wrapText="1"/>
    </xf>
    <xf numFmtId="0" fontId="4" fillId="0" borderId="0" xfId="0" applyFont="1" applyAlignment="1">
      <alignment wrapText="1"/>
    </xf>
    <xf numFmtId="0" fontId="4" fillId="0" borderId="64" xfId="0" applyFont="1" applyBorder="1" applyAlignment="1">
      <alignment wrapText="1"/>
    </xf>
    <xf numFmtId="0" fontId="16" fillId="20" borderId="202" xfId="0" applyFont="1" applyFill="1" applyBorder="1" applyAlignment="1">
      <alignment horizontal="center" vertical="center" wrapText="1"/>
    </xf>
    <xf numFmtId="0" fontId="16" fillId="20" borderId="125" xfId="0" applyFont="1" applyFill="1" applyBorder="1" applyAlignment="1">
      <alignment horizontal="center" vertical="center" wrapText="1"/>
    </xf>
    <xf numFmtId="0" fontId="65" fillId="0" borderId="63" xfId="1" applyFont="1" applyBorder="1" applyAlignment="1">
      <alignment horizontal="center" vertical="center" wrapText="1"/>
    </xf>
    <xf numFmtId="0" fontId="65" fillId="0" borderId="84" xfId="1" applyFont="1" applyBorder="1" applyAlignment="1">
      <alignment horizontal="center" vertical="center" wrapText="1"/>
    </xf>
    <xf numFmtId="0" fontId="65" fillId="0" borderId="121" xfId="1" applyFont="1" applyBorder="1" applyAlignment="1">
      <alignment horizontal="center" vertical="center" wrapText="1"/>
    </xf>
    <xf numFmtId="0" fontId="65" fillId="0" borderId="128" xfId="1" applyFont="1" applyBorder="1" applyAlignment="1">
      <alignment horizontal="center" vertical="center" wrapText="1"/>
    </xf>
    <xf numFmtId="0" fontId="16" fillId="0" borderId="162" xfId="0" applyFont="1" applyBorder="1" applyAlignment="1">
      <alignment horizontal="center" vertical="center"/>
    </xf>
    <xf numFmtId="0" fontId="16" fillId="0" borderId="65" xfId="0" applyFont="1" applyBorder="1" applyAlignment="1">
      <alignment horizontal="center" vertical="center"/>
    </xf>
    <xf numFmtId="0" fontId="16" fillId="0" borderId="75" xfId="0" applyFont="1" applyBorder="1" applyAlignment="1">
      <alignment horizontal="center" vertical="center"/>
    </xf>
    <xf numFmtId="0" fontId="16" fillId="0" borderId="122" xfId="0" applyFont="1" applyBorder="1" applyAlignment="1">
      <alignment horizontal="center" vertical="center"/>
    </xf>
    <xf numFmtId="0" fontId="16" fillId="0" borderId="70" xfId="0" applyFont="1" applyBorder="1" applyAlignment="1">
      <alignment horizontal="center" vertical="center"/>
    </xf>
    <xf numFmtId="0" fontId="16" fillId="0" borderId="21" xfId="0" applyFont="1" applyBorder="1" applyAlignment="1">
      <alignment horizontal="center" vertical="center"/>
    </xf>
    <xf numFmtId="0" fontId="22" fillId="0" borderId="9" xfId="0" applyFont="1" applyBorder="1" applyAlignment="1">
      <alignment horizontal="left"/>
    </xf>
    <xf numFmtId="0" fontId="22" fillId="0" borderId="80" xfId="0" applyFont="1" applyBorder="1" applyAlignment="1">
      <alignment horizontal="left"/>
    </xf>
    <xf numFmtId="0" fontId="16" fillId="0" borderId="43" xfId="7" applyFont="1" applyBorder="1" applyAlignment="1">
      <alignment horizontal="center" vertical="center"/>
    </xf>
    <xf numFmtId="0" fontId="16" fillId="0" borderId="290" xfId="7" applyFont="1" applyBorder="1" applyAlignment="1">
      <alignment horizontal="center" vertical="center"/>
    </xf>
    <xf numFmtId="0" fontId="16" fillId="0" borderId="38" xfId="7" applyFont="1" applyBorder="1" applyAlignment="1">
      <alignment horizontal="center" vertical="center"/>
    </xf>
    <xf numFmtId="0" fontId="16" fillId="0" borderId="296" xfId="7" applyFont="1" applyBorder="1" applyAlignment="1">
      <alignment horizontal="center" vertical="center"/>
    </xf>
    <xf numFmtId="0" fontId="16" fillId="0" borderId="73" xfId="7" applyFont="1" applyBorder="1" applyAlignment="1">
      <alignment horizontal="center" vertical="center"/>
    </xf>
    <xf numFmtId="0" fontId="16" fillId="0" borderId="60" xfId="7" applyFont="1" applyBorder="1" applyAlignment="1">
      <alignment horizontal="center" vertical="center"/>
    </xf>
    <xf numFmtId="0" fontId="16" fillId="0" borderId="43" xfId="0" applyFont="1" applyBorder="1" applyAlignment="1">
      <alignment horizontal="center" vertical="center" wrapText="1"/>
    </xf>
    <xf numFmtId="0" fontId="16" fillId="0" borderId="290" xfId="0" applyFont="1" applyBorder="1" applyAlignment="1">
      <alignment horizontal="center" vertical="center"/>
    </xf>
    <xf numFmtId="0" fontId="6" fillId="16" borderId="28" xfId="0" applyFont="1" applyFill="1" applyBorder="1" applyAlignment="1">
      <alignment horizontal="center" vertical="center" wrapText="1"/>
    </xf>
    <xf numFmtId="0" fontId="123" fillId="11" borderId="266" xfId="0" applyFont="1" applyFill="1" applyBorder="1" applyAlignment="1">
      <alignment horizontal="center" wrapText="1"/>
    </xf>
    <xf numFmtId="11" fontId="127" fillId="0" borderId="146" xfId="0" applyNumberFormat="1" applyFont="1" applyBorder="1" applyAlignment="1">
      <alignment horizontal="center" vertical="center" wrapText="1"/>
    </xf>
    <xf numFmtId="11" fontId="127" fillId="0" borderId="87" xfId="0" applyNumberFormat="1" applyFont="1" applyBorder="1" applyAlignment="1">
      <alignment horizontal="center" vertical="center" wrapText="1"/>
    </xf>
    <xf numFmtId="11" fontId="127" fillId="0" borderId="124" xfId="0" applyNumberFormat="1" applyFont="1" applyBorder="1" applyAlignment="1">
      <alignment horizontal="center" vertical="center" wrapText="1"/>
    </xf>
    <xf numFmtId="0" fontId="121" fillId="55" borderId="32" xfId="0" applyFont="1" applyFill="1" applyBorder="1" applyAlignment="1">
      <alignment horizontal="center" vertical="center" wrapText="1"/>
    </xf>
    <xf numFmtId="0" fontId="121" fillId="55" borderId="33" xfId="0" applyFont="1" applyFill="1" applyBorder="1" applyAlignment="1">
      <alignment horizontal="center" vertical="center" wrapText="1"/>
    </xf>
    <xf numFmtId="0" fontId="121" fillId="55" borderId="34" xfId="0" applyFont="1" applyFill="1" applyBorder="1" applyAlignment="1">
      <alignment horizontal="center" vertical="center" wrapText="1"/>
    </xf>
    <xf numFmtId="0" fontId="121" fillId="55" borderId="239" xfId="0" applyFont="1" applyFill="1" applyBorder="1" applyAlignment="1">
      <alignment horizontal="center" vertical="center" wrapText="1"/>
    </xf>
    <xf numFmtId="0" fontId="121" fillId="55" borderId="240" xfId="0" applyFont="1" applyFill="1" applyBorder="1" applyAlignment="1">
      <alignment horizontal="center" vertical="center" wrapText="1"/>
    </xf>
    <xf numFmtId="0" fontId="121" fillId="55" borderId="115" xfId="0" applyFont="1" applyFill="1" applyBorder="1" applyAlignment="1">
      <alignment horizontal="center" vertical="center" wrapText="1"/>
    </xf>
    <xf numFmtId="0" fontId="121" fillId="55" borderId="54" xfId="0" applyFont="1" applyFill="1" applyBorder="1" applyAlignment="1">
      <alignment horizontal="center" vertical="center" wrapText="1"/>
    </xf>
    <xf numFmtId="0" fontId="0" fillId="0" borderId="1" xfId="0" applyBorder="1" applyAlignment="1">
      <alignment horizontal="center" vertical="center"/>
    </xf>
    <xf numFmtId="0" fontId="0" fillId="0" borderId="93" xfId="0" applyBorder="1" applyAlignment="1">
      <alignment horizontal="center" vertical="center"/>
    </xf>
    <xf numFmtId="0" fontId="6" fillId="0" borderId="87" xfId="0" applyFont="1" applyBorder="1" applyAlignment="1">
      <alignment horizontal="center" vertical="center" wrapText="1"/>
    </xf>
    <xf numFmtId="11" fontId="127" fillId="0" borderId="141" xfId="0" applyNumberFormat="1" applyFont="1" applyBorder="1" applyAlignment="1">
      <alignment horizontal="center" vertical="center" wrapText="1"/>
    </xf>
    <xf numFmtId="11" fontId="127" fillId="0" borderId="25" xfId="0" applyNumberFormat="1" applyFont="1" applyBorder="1" applyAlignment="1">
      <alignment horizontal="center" vertical="center" wrapText="1"/>
    </xf>
    <xf numFmtId="11" fontId="127" fillId="0" borderId="120" xfId="0" applyNumberFormat="1" applyFont="1" applyBorder="1" applyAlignment="1">
      <alignment horizontal="center" vertical="center" wrapText="1"/>
    </xf>
    <xf numFmtId="0" fontId="127" fillId="0" borderId="141" xfId="0" applyFont="1" applyBorder="1" applyAlignment="1">
      <alignment horizontal="center" vertical="center" wrapText="1"/>
    </xf>
    <xf numFmtId="0" fontId="127" fillId="0" borderId="25" xfId="0" applyFont="1" applyBorder="1" applyAlignment="1">
      <alignment horizontal="center" vertical="center" wrapText="1"/>
    </xf>
    <xf numFmtId="0" fontId="127" fillId="0" borderId="120" xfId="0" applyFont="1" applyBorder="1" applyAlignment="1">
      <alignment horizontal="center" vertical="center" wrapText="1"/>
    </xf>
    <xf numFmtId="0" fontId="121" fillId="54" borderId="140" xfId="0" applyFont="1" applyFill="1" applyBorder="1" applyAlignment="1">
      <alignment horizontal="center" vertical="center" wrapText="1"/>
    </xf>
    <xf numFmtId="0" fontId="121" fillId="54" borderId="85" xfId="0" applyFont="1" applyFill="1" applyBorder="1" applyAlignment="1">
      <alignment horizontal="center" vertical="center" wrapText="1"/>
    </xf>
    <xf numFmtId="0" fontId="121" fillId="54" borderId="125" xfId="0" applyFont="1" applyFill="1" applyBorder="1" applyAlignment="1">
      <alignment horizontal="center" vertical="center" wrapText="1"/>
    </xf>
    <xf numFmtId="0" fontId="121" fillId="54" borderId="222" xfId="0" applyFont="1" applyFill="1" applyBorder="1" applyAlignment="1">
      <alignment horizontal="center" vertical="center" wrapText="1"/>
    </xf>
    <xf numFmtId="0" fontId="121" fillId="54" borderId="18" xfId="0" applyFont="1" applyFill="1" applyBorder="1" applyAlignment="1">
      <alignment horizontal="center" vertical="center" wrapText="1"/>
    </xf>
    <xf numFmtId="0" fontId="121" fillId="54" borderId="80" xfId="0" applyFont="1" applyFill="1" applyBorder="1" applyAlignment="1">
      <alignment horizontal="center" vertical="center" wrapText="1"/>
    </xf>
    <xf numFmtId="0" fontId="121" fillId="54" borderId="141" xfId="0" applyFont="1" applyFill="1" applyBorder="1" applyAlignment="1">
      <alignment horizontal="center" vertical="center" wrapText="1"/>
    </xf>
    <xf numFmtId="0" fontId="121" fillId="54" borderId="25" xfId="0" applyFont="1" applyFill="1" applyBorder="1" applyAlignment="1">
      <alignment horizontal="center" vertical="center" wrapText="1"/>
    </xf>
    <xf numFmtId="0" fontId="121" fillId="54" borderId="120" xfId="0" applyFont="1" applyFill="1" applyBorder="1" applyAlignment="1">
      <alignment horizontal="center" vertical="center" wrapText="1"/>
    </xf>
    <xf numFmtId="11" fontId="121" fillId="54" borderId="141" xfId="0" applyNumberFormat="1" applyFont="1" applyFill="1" applyBorder="1" applyAlignment="1">
      <alignment horizontal="center" vertical="center" wrapText="1"/>
    </xf>
    <xf numFmtId="11" fontId="121" fillId="54" borderId="25" xfId="0" applyNumberFormat="1" applyFont="1" applyFill="1" applyBorder="1" applyAlignment="1">
      <alignment horizontal="center" vertical="center" wrapText="1"/>
    </xf>
    <xf numFmtId="11" fontId="121" fillId="54" borderId="120" xfId="0" applyNumberFormat="1" applyFont="1" applyFill="1" applyBorder="1" applyAlignment="1">
      <alignment horizontal="center" vertical="center" wrapText="1"/>
    </xf>
    <xf numFmtId="11" fontId="121" fillId="54" borderId="146" xfId="0" applyNumberFormat="1" applyFont="1" applyFill="1" applyBorder="1" applyAlignment="1">
      <alignment horizontal="center" vertical="center" wrapText="1"/>
    </xf>
    <xf numFmtId="11" fontId="121" fillId="54" borderId="87" xfId="0" applyNumberFormat="1" applyFont="1" applyFill="1" applyBorder="1" applyAlignment="1">
      <alignment horizontal="center" vertical="center" wrapText="1"/>
    </xf>
    <xf numFmtId="11" fontId="121" fillId="54" borderId="124" xfId="0" applyNumberFormat="1" applyFont="1" applyFill="1" applyBorder="1" applyAlignment="1">
      <alignment horizontal="center" vertical="center" wrapText="1"/>
    </xf>
    <xf numFmtId="0" fontId="0" fillId="0" borderId="214" xfId="0" applyBorder="1" applyAlignment="1">
      <alignment horizontal="center"/>
    </xf>
    <xf numFmtId="0" fontId="0" fillId="0" borderId="11" xfId="0" applyBorder="1" applyAlignment="1">
      <alignment horizontal="center"/>
    </xf>
    <xf numFmtId="0" fontId="49" fillId="0" borderId="281" xfId="0" applyFont="1" applyBorder="1" applyAlignment="1">
      <alignment horizontal="center" vertical="center" wrapText="1"/>
    </xf>
    <xf numFmtId="0" fontId="49" fillId="0" borderId="282" xfId="0" applyFont="1" applyBorder="1" applyAlignment="1">
      <alignment horizontal="center" vertical="center" wrapText="1"/>
    </xf>
    <xf numFmtId="0" fontId="0" fillId="0" borderId="2" xfId="0" applyBorder="1" applyAlignment="1">
      <alignment horizontal="center"/>
    </xf>
    <xf numFmtId="0" fontId="0" fillId="0" borderId="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54" xfId="0" applyBorder="1" applyAlignment="1">
      <alignment horizontal="center"/>
    </xf>
    <xf numFmtId="0" fontId="0" fillId="0" borderId="13" xfId="0" applyBorder="1" applyAlignment="1">
      <alignment horizontal="center"/>
    </xf>
    <xf numFmtId="0" fontId="0" fillId="0" borderId="119" xfId="0" applyBorder="1" applyAlignment="1">
      <alignment horizontal="center"/>
    </xf>
    <xf numFmtId="0" fontId="0" fillId="0" borderId="14" xfId="0" applyBorder="1" applyAlignment="1">
      <alignment horizontal="center"/>
    </xf>
    <xf numFmtId="0" fontId="123" fillId="60" borderId="286" xfId="0" applyFont="1" applyFill="1" applyBorder="1" applyAlignment="1">
      <alignment horizontal="center" wrapText="1"/>
    </xf>
    <xf numFmtId="0" fontId="123" fillId="60" borderId="287" xfId="0" applyFont="1" applyFill="1" applyBorder="1" applyAlignment="1">
      <alignment horizontal="center" wrapText="1"/>
    </xf>
    <xf numFmtId="0" fontId="123" fillId="60" borderId="288" xfId="0" applyFont="1" applyFill="1" applyBorder="1" applyAlignment="1">
      <alignment horizontal="center" wrapText="1"/>
    </xf>
    <xf numFmtId="0" fontId="123" fillId="61" borderId="286" xfId="0" applyFont="1" applyFill="1" applyBorder="1" applyAlignment="1">
      <alignment horizontal="center" wrapText="1"/>
    </xf>
    <xf numFmtId="0" fontId="123" fillId="61" borderId="287" xfId="0" applyFont="1" applyFill="1" applyBorder="1" applyAlignment="1">
      <alignment horizontal="center" wrapText="1"/>
    </xf>
    <xf numFmtId="0" fontId="123" fillId="61" borderId="288" xfId="0" applyFont="1" applyFill="1" applyBorder="1" applyAlignment="1">
      <alignment horizontal="center" wrapText="1"/>
    </xf>
    <xf numFmtId="0" fontId="123" fillId="57" borderId="270" xfId="0" applyFont="1" applyFill="1" applyBorder="1" applyAlignment="1">
      <alignment horizontal="left" wrapText="1"/>
    </xf>
    <xf numFmtId="0" fontId="123" fillId="57" borderId="271" xfId="0" applyFont="1" applyFill="1" applyBorder="1" applyAlignment="1">
      <alignment horizontal="left" wrapText="1"/>
    </xf>
    <xf numFmtId="0" fontId="123" fillId="57" borderId="285" xfId="0" applyFont="1" applyFill="1" applyBorder="1" applyAlignment="1">
      <alignment horizontal="center" wrapText="1"/>
    </xf>
    <xf numFmtId="0" fontId="123" fillId="57" borderId="284" xfId="0" applyFont="1" applyFill="1" applyBorder="1" applyAlignment="1">
      <alignment horizontal="center" wrapText="1"/>
    </xf>
    <xf numFmtId="0" fontId="123" fillId="57" borderId="283" xfId="0" applyFont="1" applyFill="1" applyBorder="1" applyAlignment="1">
      <alignment horizontal="center" wrapText="1"/>
    </xf>
    <xf numFmtId="0" fontId="123" fillId="59" borderId="286" xfId="0" applyFont="1" applyFill="1" applyBorder="1" applyAlignment="1">
      <alignment horizontal="center" wrapText="1"/>
    </xf>
    <xf numFmtId="0" fontId="123" fillId="59" borderId="287" xfId="0" applyFont="1" applyFill="1" applyBorder="1" applyAlignment="1">
      <alignment horizontal="center" wrapText="1"/>
    </xf>
    <xf numFmtId="0" fontId="123" fillId="59" borderId="288" xfId="0" applyFont="1" applyFill="1" applyBorder="1" applyAlignment="1">
      <alignment horizontal="center" wrapText="1"/>
    </xf>
    <xf numFmtId="0" fontId="4" fillId="0" borderId="72" xfId="1" applyBorder="1" applyAlignment="1">
      <alignment horizontal="center" vertical="center"/>
    </xf>
    <xf numFmtId="0" fontId="4" fillId="0" borderId="25" xfId="1" applyBorder="1" applyAlignment="1">
      <alignment horizontal="center" vertical="center"/>
    </xf>
    <xf numFmtId="0" fontId="4" fillId="0" borderId="42" xfId="1" applyBorder="1" applyAlignment="1">
      <alignment horizontal="center" vertical="center"/>
    </xf>
    <xf numFmtId="0" fontId="4" fillId="0" borderId="73" xfId="1" applyBorder="1" applyAlignment="1">
      <alignment horizontal="center" vertical="center"/>
    </xf>
    <xf numFmtId="0" fontId="4" fillId="0" borderId="119" xfId="1" applyBorder="1" applyAlignment="1">
      <alignment horizontal="center" vertical="center"/>
    </xf>
    <xf numFmtId="0" fontId="4" fillId="0" borderId="122" xfId="1" applyBorder="1" applyAlignment="1">
      <alignment horizontal="center" vertical="center"/>
    </xf>
    <xf numFmtId="0" fontId="0" fillId="0" borderId="205" xfId="0" applyBorder="1" applyAlignment="1">
      <alignment horizontal="center" vertical="center"/>
    </xf>
    <xf numFmtId="0" fontId="0" fillId="0" borderId="68" xfId="0" applyBorder="1" applyAlignment="1">
      <alignment horizontal="center" vertical="center"/>
    </xf>
    <xf numFmtId="0" fontId="0" fillId="0" borderId="66" xfId="0" applyBorder="1" applyAlignment="1">
      <alignment horizontal="center" vertical="center"/>
    </xf>
    <xf numFmtId="0" fontId="0" fillId="0" borderId="214" xfId="0" applyBorder="1" applyAlignment="1">
      <alignment horizontal="center" vertical="center"/>
    </xf>
    <xf numFmtId="0" fontId="0" fillId="0" borderId="11" xfId="0" applyBorder="1" applyAlignment="1">
      <alignment horizontal="center" vertical="center"/>
    </xf>
    <xf numFmtId="0" fontId="0" fillId="0" borderId="27" xfId="0" applyBorder="1" applyAlignment="1">
      <alignment horizontal="center" vertical="center"/>
    </xf>
    <xf numFmtId="0" fontId="0" fillId="0" borderId="73" xfId="0" applyBorder="1" applyAlignment="1">
      <alignment horizontal="center"/>
    </xf>
    <xf numFmtId="0" fontId="0" fillId="0" borderId="122" xfId="0" applyBorder="1" applyAlignment="1">
      <alignment horizontal="center"/>
    </xf>
    <xf numFmtId="0" fontId="7" fillId="0" borderId="73" xfId="0" applyFont="1" applyBorder="1" applyAlignment="1">
      <alignment horizontal="center" vertical="center" wrapText="1"/>
    </xf>
    <xf numFmtId="0" fontId="7" fillId="0" borderId="119"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214" xfId="0" applyFont="1" applyBorder="1" applyAlignment="1">
      <alignment horizontal="center"/>
    </xf>
    <xf numFmtId="0" fontId="7" fillId="0" borderId="11" xfId="0" applyFont="1" applyBorder="1" applyAlignment="1">
      <alignment horizontal="center"/>
    </xf>
    <xf numFmtId="0" fontId="7" fillId="0" borderId="72" xfId="0" applyFont="1" applyBorder="1" applyAlignment="1">
      <alignment horizontal="center" vertical="center" wrapText="1"/>
    </xf>
    <xf numFmtId="0" fontId="7" fillId="0" borderId="120"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70" xfId="0" applyFont="1" applyBorder="1" applyAlignment="1">
      <alignment horizontal="center" wrapText="1"/>
    </xf>
  </cellXfs>
  <cellStyles count="14">
    <cellStyle name="Comma" xfId="4" xr:uid="{00000000-0005-0000-0000-000000000000}"/>
    <cellStyle name="Comma 2" xfId="6" xr:uid="{00000000-0005-0000-0000-000001000000}"/>
    <cellStyle name="Hyperlink" xfId="10" builtinId="8"/>
    <cellStyle name="Normal" xfId="0" builtinId="0"/>
    <cellStyle name="Normal 2" xfId="1" xr:uid="{00000000-0005-0000-0000-000003000000}"/>
    <cellStyle name="Normal 2 2" xfId="8" xr:uid="{00000000-0005-0000-0000-000004000000}"/>
    <cellStyle name="Normal 3" xfId="2" xr:uid="{00000000-0005-0000-0000-000005000000}"/>
    <cellStyle name="Normal 3 2" xfId="11" xr:uid="{36938F67-99C7-4D11-886D-30B46BF27B39}"/>
    <cellStyle name="Normal 4" xfId="3" xr:uid="{00000000-0005-0000-0000-000006000000}"/>
    <cellStyle name="Normal 4 2" xfId="12" xr:uid="{49E401A2-F77D-41E7-AB97-52A56A89609F}"/>
    <cellStyle name="Normal 5" xfId="5" xr:uid="{00000000-0005-0000-0000-000007000000}"/>
    <cellStyle name="Normal 6" xfId="7" xr:uid="{00000000-0005-0000-0000-000008000000}"/>
    <cellStyle name="Percent" xfId="13" builtinId="5"/>
    <cellStyle name="Percent 2" xfId="9" xr:uid="{00000000-0005-0000-0000-000009000000}"/>
  </cellStyles>
  <dxfs count="21">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
      <font>
        <strike val="0"/>
      </font>
      <fill>
        <patternFill>
          <bgColor theme="4" tint="0.79998168889431442"/>
        </patternFill>
      </fill>
    </dxf>
  </dxfs>
  <tableStyles count="1" defaultTableStyle="TableStyleMedium9" defaultPivotStyle="PivotStyleLight16">
    <tableStyle name="Table Style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99"/>
      <color rgb="FFFBFCDA"/>
      <color rgb="FFFFCC66"/>
      <color rgb="FFFFF9E7"/>
      <color rgb="FFFEEAE8"/>
      <color rgb="FFFFE4C9"/>
      <color rgb="FFB7DEE8"/>
      <color rgb="FFC0C0FF"/>
      <color rgb="FFC0C0C0"/>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497346</xdr:rowOff>
    </xdr:from>
    <xdr:to>
      <xdr:col>2</xdr:col>
      <xdr:colOff>3876675</xdr:colOff>
      <xdr:row>1</xdr:row>
      <xdr:rowOff>33442</xdr:rowOff>
    </xdr:to>
    <xdr:pic>
      <xdr:nvPicPr>
        <xdr:cNvPr id="3" name="Picture 2">
          <a:extLst>
            <a:ext uri="{FF2B5EF4-FFF2-40B4-BE49-F238E27FC236}">
              <a16:creationId xmlns:a16="http://schemas.microsoft.com/office/drawing/2014/main" id="{71324063-8B96-4D3A-AC8D-5FB2224A3A95}"/>
            </a:ext>
          </a:extLst>
        </xdr:cNvPr>
        <xdr:cNvPicPr>
          <a:picLocks noChangeAspect="1"/>
        </xdr:cNvPicPr>
      </xdr:nvPicPr>
      <xdr:blipFill>
        <a:blip xmlns:r="http://schemas.openxmlformats.org/officeDocument/2006/relationships" r:embed="rId1"/>
        <a:stretch>
          <a:fillRect/>
        </a:stretch>
      </xdr:blipFill>
      <xdr:spPr>
        <a:xfrm>
          <a:off x="190500" y="497346"/>
          <a:ext cx="5629275" cy="7362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184547</xdr:colOff>
      <xdr:row>0</xdr:row>
      <xdr:rowOff>53578</xdr:rowOff>
    </xdr:from>
    <xdr:to>
      <xdr:col>3</xdr:col>
      <xdr:colOff>12233</xdr:colOff>
      <xdr:row>1</xdr:row>
      <xdr:rowOff>53578</xdr:rowOff>
    </xdr:to>
    <xdr:pic>
      <xdr:nvPicPr>
        <xdr:cNvPr id="10" name="Picture 9">
          <a:extLst>
            <a:ext uri="{FF2B5EF4-FFF2-40B4-BE49-F238E27FC236}">
              <a16:creationId xmlns:a16="http://schemas.microsoft.com/office/drawing/2014/main" id="{83F42160-D2E4-81CD-F32A-A3AF4E957DD4}"/>
            </a:ext>
          </a:extLst>
        </xdr:cNvPr>
        <xdr:cNvPicPr>
          <a:picLocks noChangeAspect="1"/>
        </xdr:cNvPicPr>
      </xdr:nvPicPr>
      <xdr:blipFill>
        <a:blip xmlns:r="http://schemas.openxmlformats.org/officeDocument/2006/relationships" r:embed="rId1"/>
        <a:stretch>
          <a:fillRect/>
        </a:stretch>
      </xdr:blipFill>
      <xdr:spPr>
        <a:xfrm>
          <a:off x="184547" y="53578"/>
          <a:ext cx="7191702" cy="9405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5</xdr:col>
      <xdr:colOff>1066800</xdr:colOff>
      <xdr:row>3</xdr:row>
      <xdr:rowOff>719242</xdr:rowOff>
    </xdr:to>
    <xdr:pic>
      <xdr:nvPicPr>
        <xdr:cNvPr id="19" name="Picture 18">
          <a:extLst>
            <a:ext uri="{FF2B5EF4-FFF2-40B4-BE49-F238E27FC236}">
              <a16:creationId xmlns:a16="http://schemas.microsoft.com/office/drawing/2014/main" id="{83F42160-D2E4-81CD-F32A-A3AF4E957DD4}"/>
            </a:ext>
          </a:extLst>
        </xdr:cNvPr>
        <xdr:cNvPicPr>
          <a:picLocks noChangeAspect="1"/>
        </xdr:cNvPicPr>
      </xdr:nvPicPr>
      <xdr:blipFill>
        <a:blip xmlns:r="http://schemas.openxmlformats.org/officeDocument/2006/relationships" r:embed="rId1"/>
        <a:stretch>
          <a:fillRect/>
        </a:stretch>
      </xdr:blipFill>
      <xdr:spPr>
        <a:xfrm>
          <a:off x="19050" y="19050"/>
          <a:ext cx="9067800" cy="11859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48380</xdr:colOff>
      <xdr:row>1</xdr:row>
      <xdr:rowOff>159004</xdr:rowOff>
    </xdr:from>
    <xdr:to>
      <xdr:col>22</xdr:col>
      <xdr:colOff>1506475</xdr:colOff>
      <xdr:row>5</xdr:row>
      <xdr:rowOff>253999</xdr:rowOff>
    </xdr:to>
    <xdr:pic>
      <xdr:nvPicPr>
        <xdr:cNvPr id="2" name="Picture 1">
          <a:extLst>
            <a:ext uri="{FF2B5EF4-FFF2-40B4-BE49-F238E27FC236}">
              <a16:creationId xmlns:a16="http://schemas.microsoft.com/office/drawing/2014/main" id="{83F42160-D2E4-81CD-F32A-A3AF4E957DD4}"/>
            </a:ext>
          </a:extLst>
        </xdr:cNvPr>
        <xdr:cNvPicPr>
          <a:picLocks noChangeAspect="1"/>
        </xdr:cNvPicPr>
      </xdr:nvPicPr>
      <xdr:blipFill>
        <a:blip xmlns:r="http://schemas.openxmlformats.org/officeDocument/2006/relationships" r:embed="rId1"/>
        <a:stretch>
          <a:fillRect/>
        </a:stretch>
      </xdr:blipFill>
      <xdr:spPr>
        <a:xfrm>
          <a:off x="8610297" y="328337"/>
          <a:ext cx="10189345" cy="13332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2054680</xdr:colOff>
      <xdr:row>0</xdr:row>
      <xdr:rowOff>27215</xdr:rowOff>
    </xdr:from>
    <xdr:to>
      <xdr:col>10</xdr:col>
      <xdr:colOff>272143</xdr:colOff>
      <xdr:row>5</xdr:row>
      <xdr:rowOff>54429</xdr:rowOff>
    </xdr:to>
    <xdr:pic>
      <xdr:nvPicPr>
        <xdr:cNvPr id="2" name="Picture 1">
          <a:extLst>
            <a:ext uri="{FF2B5EF4-FFF2-40B4-BE49-F238E27FC236}">
              <a16:creationId xmlns:a16="http://schemas.microsoft.com/office/drawing/2014/main" id="{83F42160-D2E4-81CD-F32A-A3AF4E957DD4}"/>
            </a:ext>
          </a:extLst>
        </xdr:cNvPr>
        <xdr:cNvPicPr>
          <a:picLocks noChangeAspect="1"/>
        </xdr:cNvPicPr>
      </xdr:nvPicPr>
      <xdr:blipFill rotWithShape="1">
        <a:blip xmlns:r="http://schemas.openxmlformats.org/officeDocument/2006/relationships" r:embed="rId1"/>
        <a:srcRect b="6790"/>
        <a:stretch/>
      </xdr:blipFill>
      <xdr:spPr>
        <a:xfrm>
          <a:off x="2340430" y="27215"/>
          <a:ext cx="7701642" cy="9388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128990</xdr:colOff>
      <xdr:row>6</xdr:row>
      <xdr:rowOff>1</xdr:rowOff>
    </xdr:from>
    <xdr:to>
      <xdr:col>28</xdr:col>
      <xdr:colOff>227203</xdr:colOff>
      <xdr:row>39</xdr:row>
      <xdr:rowOff>38099</xdr:rowOff>
    </xdr:to>
    <xdr:sp macro="" textlink="">
      <xdr:nvSpPr>
        <xdr:cNvPr id="6" name="Rectangle 5" descr="Diagram showing all of media and specific exposure pathways with ESLs. ">
          <a:extLst>
            <a:ext uri="{FF2B5EF4-FFF2-40B4-BE49-F238E27FC236}">
              <a16:creationId xmlns:a16="http://schemas.microsoft.com/office/drawing/2014/main" id="{0127A2BD-DF83-4997-B7D2-98B505FF9F16}"/>
            </a:ext>
          </a:extLst>
        </xdr:cNvPr>
        <xdr:cNvSpPr/>
      </xdr:nvSpPr>
      <xdr:spPr bwMode="auto">
        <a:xfrm>
          <a:off x="373919" y="2081894"/>
          <a:ext cx="6969820" cy="5467348"/>
        </a:xfrm>
        <a:prstGeom prst="rect">
          <a:avLst/>
        </a:prstGeom>
        <a:blipFill dpi="0" rotWithShape="1">
          <a:blip xmlns:r="http://schemas.openxmlformats.org/officeDocument/2006/relationships" r:embed="rId1">
            <a:alphaModFix amt="40000"/>
          </a:blip>
          <a:srcRect/>
          <a:stretch>
            <a:fillRect/>
          </a:stretch>
        </a:blip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2</xdr:col>
      <xdr:colOff>63499</xdr:colOff>
      <xdr:row>0</xdr:row>
      <xdr:rowOff>63501</xdr:rowOff>
    </xdr:from>
    <xdr:to>
      <xdr:col>27</xdr:col>
      <xdr:colOff>155363</xdr:colOff>
      <xdr:row>0</xdr:row>
      <xdr:rowOff>948881</xdr:rowOff>
    </xdr:to>
    <xdr:pic>
      <xdr:nvPicPr>
        <xdr:cNvPr id="4" name="Picture 3" descr="Water Board Letterhead:&#10;San Francisco Bay Regional Water Quality Control Board.&#10;Gavin Newsom, Governor.&#10;Jared Blumenfeld, Secretary for Environmental Protection">
          <a:extLst>
            <a:ext uri="{FF2B5EF4-FFF2-40B4-BE49-F238E27FC236}">
              <a16:creationId xmlns:a16="http://schemas.microsoft.com/office/drawing/2014/main" id="{CADC8E18-F3D8-47EB-B494-507C5DF0192C}"/>
            </a:ext>
          </a:extLst>
        </xdr:cNvPr>
        <xdr:cNvPicPr>
          <a:picLocks noChangeAspect="1"/>
        </xdr:cNvPicPr>
      </xdr:nvPicPr>
      <xdr:blipFill>
        <a:blip xmlns:r="http://schemas.openxmlformats.org/officeDocument/2006/relationships" r:embed="rId2"/>
        <a:stretch>
          <a:fillRect/>
        </a:stretch>
      </xdr:blipFill>
      <xdr:spPr>
        <a:xfrm>
          <a:off x="550332" y="63501"/>
          <a:ext cx="6159501" cy="8701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42</xdr:col>
      <xdr:colOff>0</xdr:colOff>
      <xdr:row>31</xdr:row>
      <xdr:rowOff>95250</xdr:rowOff>
    </xdr:from>
    <xdr:ext cx="5647624" cy="3107037"/>
    <xdr:sp macro="" textlink="">
      <xdr:nvSpPr>
        <xdr:cNvPr id="2" name="TextBox 1">
          <a:extLst>
            <a:ext uri="{FF2B5EF4-FFF2-40B4-BE49-F238E27FC236}">
              <a16:creationId xmlns:a16="http://schemas.microsoft.com/office/drawing/2014/main" id="{8A8F15D9-ADA7-46A7-AA59-347670FBF9C6}"/>
            </a:ext>
          </a:extLst>
        </xdr:cNvPr>
        <xdr:cNvSpPr txBox="1"/>
      </xdr:nvSpPr>
      <xdr:spPr>
        <a:xfrm>
          <a:off x="24698325" y="14344650"/>
          <a:ext cx="5647624" cy="3107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115</xdr:row>
      <xdr:rowOff>116204</xdr:rowOff>
    </xdr:from>
    <xdr:ext cx="5623001" cy="3072727"/>
    <xdr:sp macro="" textlink="">
      <xdr:nvSpPr>
        <xdr:cNvPr id="3" name="TextBox 2">
          <a:extLst>
            <a:ext uri="{FF2B5EF4-FFF2-40B4-BE49-F238E27FC236}">
              <a16:creationId xmlns:a16="http://schemas.microsoft.com/office/drawing/2014/main" id="{FC3AF4B0-8F63-4250-8C7F-99B321B635ED}"/>
            </a:ext>
          </a:extLst>
        </xdr:cNvPr>
        <xdr:cNvSpPr txBox="1"/>
      </xdr:nvSpPr>
      <xdr:spPr>
        <a:xfrm>
          <a:off x="24698325" y="61457204"/>
          <a:ext cx="5623001" cy="3072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4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191</xdr:row>
      <xdr:rowOff>16085</xdr:rowOff>
    </xdr:from>
    <xdr:ext cx="5623001" cy="3097489"/>
    <xdr:sp macro="" textlink="">
      <xdr:nvSpPr>
        <xdr:cNvPr id="4" name="TextBox 3">
          <a:extLst>
            <a:ext uri="{FF2B5EF4-FFF2-40B4-BE49-F238E27FC236}">
              <a16:creationId xmlns:a16="http://schemas.microsoft.com/office/drawing/2014/main" id="{693A0652-3577-4DC9-B0E8-8FFF670AE15B}"/>
            </a:ext>
          </a:extLst>
        </xdr:cNvPr>
        <xdr:cNvSpPr txBox="1"/>
      </xdr:nvSpPr>
      <xdr:spPr>
        <a:xfrm>
          <a:off x="24698325" y="105705485"/>
          <a:ext cx="5623001" cy="3097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4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279</xdr:row>
      <xdr:rowOff>104352</xdr:rowOff>
    </xdr:from>
    <xdr:ext cx="5623001" cy="3088511"/>
    <xdr:sp macro="" textlink="">
      <xdr:nvSpPr>
        <xdr:cNvPr id="5" name="TextBox 4">
          <a:extLst>
            <a:ext uri="{FF2B5EF4-FFF2-40B4-BE49-F238E27FC236}">
              <a16:creationId xmlns:a16="http://schemas.microsoft.com/office/drawing/2014/main" id="{0067CD59-50C1-4501-AB08-EBC9E1CFF041}"/>
            </a:ext>
          </a:extLst>
        </xdr:cNvPr>
        <xdr:cNvSpPr txBox="1"/>
      </xdr:nvSpPr>
      <xdr:spPr>
        <a:xfrm>
          <a:off x="24698325" y="164543952"/>
          <a:ext cx="5623001" cy="3088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363</xdr:row>
      <xdr:rowOff>112394</xdr:rowOff>
    </xdr:from>
    <xdr:ext cx="5632797" cy="3122985"/>
    <xdr:sp macro="" textlink="">
      <xdr:nvSpPr>
        <xdr:cNvPr id="6" name="TextBox 5">
          <a:extLst>
            <a:ext uri="{FF2B5EF4-FFF2-40B4-BE49-F238E27FC236}">
              <a16:creationId xmlns:a16="http://schemas.microsoft.com/office/drawing/2014/main" id="{C0D6DE09-6766-41CD-8430-A86FFB1AA4B9}"/>
            </a:ext>
          </a:extLst>
        </xdr:cNvPr>
        <xdr:cNvSpPr txBox="1"/>
      </xdr:nvSpPr>
      <xdr:spPr>
        <a:xfrm>
          <a:off x="24698325" y="208976594"/>
          <a:ext cx="5632797" cy="312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447</xdr:row>
      <xdr:rowOff>35433</xdr:rowOff>
    </xdr:from>
    <xdr:ext cx="5321745" cy="3105883"/>
    <xdr:sp macro="" textlink="">
      <xdr:nvSpPr>
        <xdr:cNvPr id="7" name="TextBox 6">
          <a:extLst>
            <a:ext uri="{FF2B5EF4-FFF2-40B4-BE49-F238E27FC236}">
              <a16:creationId xmlns:a16="http://schemas.microsoft.com/office/drawing/2014/main" id="{CF5A91FB-EFFC-4904-9213-BD2F49591049}"/>
            </a:ext>
          </a:extLst>
        </xdr:cNvPr>
        <xdr:cNvSpPr txBox="1"/>
      </xdr:nvSpPr>
      <xdr:spPr>
        <a:xfrm>
          <a:off x="24698325" y="264563733"/>
          <a:ext cx="5321745" cy="310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524</xdr:row>
      <xdr:rowOff>133225</xdr:rowOff>
    </xdr:from>
    <xdr:ext cx="5321727" cy="3105883"/>
    <xdr:sp macro="" textlink="">
      <xdr:nvSpPr>
        <xdr:cNvPr id="8" name="TextBox 7">
          <a:extLst>
            <a:ext uri="{FF2B5EF4-FFF2-40B4-BE49-F238E27FC236}">
              <a16:creationId xmlns:a16="http://schemas.microsoft.com/office/drawing/2014/main" id="{B5D830C6-9314-4A87-968E-BEC32FFDAFD8}"/>
            </a:ext>
          </a:extLst>
        </xdr:cNvPr>
        <xdr:cNvSpPr txBox="1"/>
      </xdr:nvSpPr>
      <xdr:spPr>
        <a:xfrm>
          <a:off x="24698325" y="317591950"/>
          <a:ext cx="5321727" cy="310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607</xdr:row>
      <xdr:rowOff>131812</xdr:rowOff>
    </xdr:from>
    <xdr:ext cx="5311926" cy="3097899"/>
    <xdr:sp macro="" textlink="">
      <xdr:nvSpPr>
        <xdr:cNvPr id="9" name="TextBox 8">
          <a:extLst>
            <a:ext uri="{FF2B5EF4-FFF2-40B4-BE49-F238E27FC236}">
              <a16:creationId xmlns:a16="http://schemas.microsoft.com/office/drawing/2014/main" id="{0B08EBCF-7417-4F48-8BB6-6BB261F5F72F}"/>
            </a:ext>
          </a:extLst>
        </xdr:cNvPr>
        <xdr:cNvSpPr txBox="1"/>
      </xdr:nvSpPr>
      <xdr:spPr>
        <a:xfrm>
          <a:off x="24698325" y="385246612"/>
          <a:ext cx="5311926" cy="3097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691</xdr:row>
      <xdr:rowOff>151228</xdr:rowOff>
    </xdr:from>
    <xdr:ext cx="5314336" cy="3074758"/>
    <xdr:sp macro="" textlink="">
      <xdr:nvSpPr>
        <xdr:cNvPr id="10" name="TextBox 9">
          <a:extLst>
            <a:ext uri="{FF2B5EF4-FFF2-40B4-BE49-F238E27FC236}">
              <a16:creationId xmlns:a16="http://schemas.microsoft.com/office/drawing/2014/main" id="{8A05048C-FA73-4ED0-9828-44BBE419A3F9}"/>
            </a:ext>
          </a:extLst>
        </xdr:cNvPr>
        <xdr:cNvSpPr txBox="1"/>
      </xdr:nvSpPr>
      <xdr:spPr>
        <a:xfrm>
          <a:off x="24698325" y="460932628"/>
          <a:ext cx="5314336" cy="307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770</xdr:row>
      <xdr:rowOff>131332</xdr:rowOff>
    </xdr:from>
    <xdr:ext cx="5314715" cy="3074778"/>
    <xdr:sp macro="" textlink="">
      <xdr:nvSpPr>
        <xdr:cNvPr id="11" name="TextBox 10">
          <a:extLst>
            <a:ext uri="{FF2B5EF4-FFF2-40B4-BE49-F238E27FC236}">
              <a16:creationId xmlns:a16="http://schemas.microsoft.com/office/drawing/2014/main" id="{D458C47D-1415-4C4A-A275-D457ECBFB984}"/>
            </a:ext>
          </a:extLst>
        </xdr:cNvPr>
        <xdr:cNvSpPr txBox="1"/>
      </xdr:nvSpPr>
      <xdr:spPr>
        <a:xfrm>
          <a:off x="24698325" y="508718707"/>
          <a:ext cx="5314715" cy="3074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42</xdr:col>
      <xdr:colOff>0</xdr:colOff>
      <xdr:row>850</xdr:row>
      <xdr:rowOff>64657</xdr:rowOff>
    </xdr:from>
    <xdr:ext cx="5314715" cy="3074778"/>
    <xdr:sp macro="" textlink="">
      <xdr:nvSpPr>
        <xdr:cNvPr id="12" name="TextBox 11">
          <a:extLst>
            <a:ext uri="{FF2B5EF4-FFF2-40B4-BE49-F238E27FC236}">
              <a16:creationId xmlns:a16="http://schemas.microsoft.com/office/drawing/2014/main" id="{E981B5EC-6F53-4DD2-914D-160FDAFB468C}"/>
            </a:ext>
          </a:extLst>
        </xdr:cNvPr>
        <xdr:cNvSpPr txBox="1"/>
      </xdr:nvSpPr>
      <xdr:spPr>
        <a:xfrm>
          <a:off x="24698325" y="565611532"/>
          <a:ext cx="5314715" cy="3074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32</xdr:row>
      <xdr:rowOff>95250</xdr:rowOff>
    </xdr:from>
    <xdr:ext cx="5647624" cy="3107037"/>
    <xdr:sp macro="" textlink="">
      <xdr:nvSpPr>
        <xdr:cNvPr id="2" name="TextBox 1">
          <a:extLst>
            <a:ext uri="{FF2B5EF4-FFF2-40B4-BE49-F238E27FC236}">
              <a16:creationId xmlns:a16="http://schemas.microsoft.com/office/drawing/2014/main" id="{49A3DE81-E57C-4901-9FA2-EDF74D7854BB}"/>
            </a:ext>
          </a:extLst>
        </xdr:cNvPr>
        <xdr:cNvSpPr txBox="1"/>
      </xdr:nvSpPr>
      <xdr:spPr>
        <a:xfrm>
          <a:off x="1419225" y="13335000"/>
          <a:ext cx="5647624" cy="3107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666750</xdr:colOff>
      <xdr:row>116</xdr:row>
      <xdr:rowOff>116204</xdr:rowOff>
    </xdr:from>
    <xdr:ext cx="5623001" cy="3072727"/>
    <xdr:sp macro="" textlink="">
      <xdr:nvSpPr>
        <xdr:cNvPr id="3" name="TextBox 2">
          <a:extLst>
            <a:ext uri="{FF2B5EF4-FFF2-40B4-BE49-F238E27FC236}">
              <a16:creationId xmlns:a16="http://schemas.microsoft.com/office/drawing/2014/main" id="{020DE397-CD9E-41F5-BF4A-F4C28A081911}"/>
            </a:ext>
          </a:extLst>
        </xdr:cNvPr>
        <xdr:cNvSpPr txBox="1"/>
      </xdr:nvSpPr>
      <xdr:spPr>
        <a:xfrm>
          <a:off x="2085975" y="51303554"/>
          <a:ext cx="5623001" cy="3072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4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895350</xdr:colOff>
      <xdr:row>192</xdr:row>
      <xdr:rowOff>16085</xdr:rowOff>
    </xdr:from>
    <xdr:ext cx="5623001" cy="3097489"/>
    <xdr:sp macro="" textlink="">
      <xdr:nvSpPr>
        <xdr:cNvPr id="4" name="TextBox 3">
          <a:extLst>
            <a:ext uri="{FF2B5EF4-FFF2-40B4-BE49-F238E27FC236}">
              <a16:creationId xmlns:a16="http://schemas.microsoft.com/office/drawing/2014/main" id="{3BB180F6-8D7F-4168-ADB9-CB8D03CB41D5}"/>
            </a:ext>
          </a:extLst>
        </xdr:cNvPr>
        <xdr:cNvSpPr txBox="1"/>
      </xdr:nvSpPr>
      <xdr:spPr>
        <a:xfrm>
          <a:off x="2314575" y="87550835"/>
          <a:ext cx="5623001" cy="30974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nSpc>
              <a:spcPts val="114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3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274</xdr:row>
      <xdr:rowOff>9102</xdr:rowOff>
    </xdr:from>
    <xdr:ext cx="5623001" cy="3088511"/>
    <xdr:sp macro="" textlink="">
      <xdr:nvSpPr>
        <xdr:cNvPr id="5" name="TextBox 4">
          <a:extLst>
            <a:ext uri="{FF2B5EF4-FFF2-40B4-BE49-F238E27FC236}">
              <a16:creationId xmlns:a16="http://schemas.microsoft.com/office/drawing/2014/main" id="{B18440A5-D35E-45D8-A625-70DAC7CB534C}"/>
            </a:ext>
          </a:extLst>
        </xdr:cNvPr>
        <xdr:cNvSpPr txBox="1"/>
      </xdr:nvSpPr>
      <xdr:spPr>
        <a:xfrm>
          <a:off x="1419225" y="131949402"/>
          <a:ext cx="5623001" cy="3088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351</xdr:row>
      <xdr:rowOff>112394</xdr:rowOff>
    </xdr:from>
    <xdr:ext cx="5632797" cy="3122985"/>
    <xdr:sp macro="" textlink="">
      <xdr:nvSpPr>
        <xdr:cNvPr id="6" name="TextBox 5">
          <a:extLst>
            <a:ext uri="{FF2B5EF4-FFF2-40B4-BE49-F238E27FC236}">
              <a16:creationId xmlns:a16="http://schemas.microsoft.com/office/drawing/2014/main" id="{C59D21B5-9EAE-4BF1-B55B-AA6EF8D09F70}"/>
            </a:ext>
          </a:extLst>
        </xdr:cNvPr>
        <xdr:cNvSpPr txBox="1"/>
      </xdr:nvSpPr>
      <xdr:spPr>
        <a:xfrm>
          <a:off x="1419225" y="168409619"/>
          <a:ext cx="5632797" cy="312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435</xdr:row>
      <xdr:rowOff>35433</xdr:rowOff>
    </xdr:from>
    <xdr:ext cx="5321745" cy="3105883"/>
    <xdr:sp macro="" textlink="">
      <xdr:nvSpPr>
        <xdr:cNvPr id="7" name="TextBox 6">
          <a:extLst>
            <a:ext uri="{FF2B5EF4-FFF2-40B4-BE49-F238E27FC236}">
              <a16:creationId xmlns:a16="http://schemas.microsoft.com/office/drawing/2014/main" id="{0228D3BF-037B-4944-A371-DBBC1F3DB97B}"/>
            </a:ext>
          </a:extLst>
        </xdr:cNvPr>
        <xdr:cNvSpPr txBox="1"/>
      </xdr:nvSpPr>
      <xdr:spPr>
        <a:xfrm>
          <a:off x="1419225" y="212947758"/>
          <a:ext cx="5321745" cy="310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855487</xdr:colOff>
      <xdr:row>512</xdr:row>
      <xdr:rowOff>133225</xdr:rowOff>
    </xdr:from>
    <xdr:ext cx="5321727" cy="3105883"/>
    <xdr:sp macro="" textlink="">
      <xdr:nvSpPr>
        <xdr:cNvPr id="8" name="TextBox 7">
          <a:extLst>
            <a:ext uri="{FF2B5EF4-FFF2-40B4-BE49-F238E27FC236}">
              <a16:creationId xmlns:a16="http://schemas.microsoft.com/office/drawing/2014/main" id="{D97F80D4-9759-4FDD-AAB3-6FA8158D1550}"/>
            </a:ext>
          </a:extLst>
        </xdr:cNvPr>
        <xdr:cNvSpPr txBox="1"/>
      </xdr:nvSpPr>
      <xdr:spPr>
        <a:xfrm>
          <a:off x="2274712" y="255879475"/>
          <a:ext cx="5321727" cy="3105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591</xdr:row>
      <xdr:rowOff>131812</xdr:rowOff>
    </xdr:from>
    <xdr:ext cx="5311926" cy="3097899"/>
    <xdr:sp macro="" textlink="">
      <xdr:nvSpPr>
        <xdr:cNvPr id="9" name="TextBox 8">
          <a:extLst>
            <a:ext uri="{FF2B5EF4-FFF2-40B4-BE49-F238E27FC236}">
              <a16:creationId xmlns:a16="http://schemas.microsoft.com/office/drawing/2014/main" id="{1F6BC8D3-7281-4421-9FF4-2DC7CAB71016}"/>
            </a:ext>
          </a:extLst>
        </xdr:cNvPr>
        <xdr:cNvSpPr txBox="1"/>
      </xdr:nvSpPr>
      <xdr:spPr>
        <a:xfrm>
          <a:off x="1419225" y="297321337"/>
          <a:ext cx="5311926" cy="3097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675</xdr:row>
      <xdr:rowOff>151228</xdr:rowOff>
    </xdr:from>
    <xdr:ext cx="5314336" cy="3074758"/>
    <xdr:sp macro="" textlink="">
      <xdr:nvSpPr>
        <xdr:cNvPr id="10" name="TextBox 9">
          <a:extLst>
            <a:ext uri="{FF2B5EF4-FFF2-40B4-BE49-F238E27FC236}">
              <a16:creationId xmlns:a16="http://schemas.microsoft.com/office/drawing/2014/main" id="{314BFAD4-CBDD-4CC5-9FD9-7B354ADA4745}"/>
            </a:ext>
          </a:extLst>
        </xdr:cNvPr>
        <xdr:cNvSpPr txBox="1"/>
      </xdr:nvSpPr>
      <xdr:spPr>
        <a:xfrm>
          <a:off x="1419225" y="357576853"/>
          <a:ext cx="5314336" cy="307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754</xdr:row>
      <xdr:rowOff>131332</xdr:rowOff>
    </xdr:from>
    <xdr:ext cx="5314715" cy="3074778"/>
    <xdr:sp macro="" textlink="">
      <xdr:nvSpPr>
        <xdr:cNvPr id="11" name="TextBox 10">
          <a:extLst>
            <a:ext uri="{FF2B5EF4-FFF2-40B4-BE49-F238E27FC236}">
              <a16:creationId xmlns:a16="http://schemas.microsoft.com/office/drawing/2014/main" id="{A7CA1F80-BCAF-42A4-9F33-C2C7EA8B8851}"/>
            </a:ext>
          </a:extLst>
        </xdr:cNvPr>
        <xdr:cNvSpPr txBox="1"/>
      </xdr:nvSpPr>
      <xdr:spPr>
        <a:xfrm>
          <a:off x="1419225" y="404219932"/>
          <a:ext cx="5314715" cy="3074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oneCellAnchor>
    <xdr:from>
      <xdr:col>2</xdr:col>
      <xdr:colOff>0</xdr:colOff>
      <xdr:row>830</xdr:row>
      <xdr:rowOff>64657</xdr:rowOff>
    </xdr:from>
    <xdr:ext cx="5314715" cy="3074778"/>
    <xdr:sp macro="" textlink="">
      <xdr:nvSpPr>
        <xdr:cNvPr id="12" name="TextBox 11">
          <a:extLst>
            <a:ext uri="{FF2B5EF4-FFF2-40B4-BE49-F238E27FC236}">
              <a16:creationId xmlns:a16="http://schemas.microsoft.com/office/drawing/2014/main" id="{DFAE0158-CE61-4F07-AE91-45E95141DC61}"/>
            </a:ext>
          </a:extLst>
        </xdr:cNvPr>
        <xdr:cNvSpPr txBox="1"/>
      </xdr:nvSpPr>
      <xdr:spPr>
        <a:xfrm>
          <a:off x="1419225" y="451359157"/>
          <a:ext cx="5314715" cy="3074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TR=1E-06</a:t>
          </a:r>
        </a:p>
        <a:p>
          <a:pPr>
            <a:lnSpc>
              <a:spcPts val="11600"/>
            </a:lnSpc>
          </a:pPr>
          <a:r>
            <a:rPr lang="en-US" sz="9600" b="0" i="0" baseline="0">
              <a:ln>
                <a:solidFill>
                  <a:srgbClr val="FF0000"/>
                </a:solidFill>
                <a:prstDash val="dash"/>
              </a:ln>
              <a:noFill/>
              <a:effectLst>
                <a:outerShdw blurRad="63500" dir="3600000" algn="tl" rotWithShape="0">
                  <a:srgbClr val="000000">
                    <a:alpha val="70000"/>
                  </a:srgbClr>
                </a:outerShdw>
              </a:effectLst>
              <a:latin typeface="Calibri" panose="020F0502020204030204" pitchFamily="34" charset="0"/>
              <a:ea typeface="+mn-ea"/>
              <a:cs typeface="+mn-cs"/>
            </a:rPr>
            <a:t>THQ=1.0</a:t>
          </a:r>
          <a:endParaRPr lang="en-US" sz="9600">
            <a:ln>
              <a:solidFill>
                <a:srgbClr val="FF0000"/>
              </a:solidFill>
              <a:prstDash val="dash"/>
            </a:ln>
            <a:noFill/>
            <a:latin typeface="Calibri" panose="020F050202020403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pa.local\rb2\Users\nfry\Desktop\ESL%20Rev%2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awaterboards-my.sharepoint.com/personal/nicole_fry_waterboards_ca_gov/Documents/Specialist%20Work/ESLs/2.%20ESL%20Team%20Files/3.%20Next%20Update/4.Workbook%20in%20Progress/2024_IP-1_Update.xlsx" TargetMode="External"/><Relationship Id="rId1" Type="http://schemas.openxmlformats.org/officeDocument/2006/relationships/externalLinkPath" Target="/personal/nicole_fry_waterboards_ca_gov/Documents/Specialist%20Work/ESLs/1.%20Interim%20Final%20ESLs/f.%202025%20Update%20-%20Current/2024_IP-1_Updat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cawaterboards-my.sharepoint.com/personal/nicole_fry_waterboards_ca_gov/Documents/Specialist%20Work/ESLs/2.%20ESL%20Team%20Files/3.%20Next%20Update/4.Workbook%20in%20Progress/Comp%202025%20vs%202019%20ESLs.xlsx" TargetMode="External"/><Relationship Id="rId1" Type="http://schemas.openxmlformats.org/officeDocument/2006/relationships/externalLinkPath" Target="/personal/nicole_fry_waterboards_ca_gov/Documents/Specialist%20Work/ESLs/1.%20Interim%20Final%20ESLs/f.%202025%20Update%20-%20Current/Comp%202025%20vs%202019%20ESL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epa.local\rb2\Users\NFry\Desktop\ESLs\201305_ESLs\ESL%20Workbook%20-%20May%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Index"/>
      <sheetName val="Definitions"/>
      <sheetName val="Tier 1 ESL"/>
      <sheetName val="Sheet1"/>
      <sheetName val="GW Summary"/>
      <sheetName val="Soil Summary"/>
      <sheetName val="Vapor Summary"/>
      <sheetName val="Tier-2 Site Spec. Inputs (T2-1)"/>
      <sheetName val="Tier 2 Output Details (T2-2)"/>
      <sheetName val="Tier 2 Specific Concerns (T2-3)"/>
      <sheetName val="Water Direct Exp (GW-1)"/>
      <sheetName val="Water Habitat Goal (GW-2)"/>
      <sheetName val="Water VI HHR (GW-3)"/>
      <sheetName val="Water Gross Contam. (GW-4)"/>
      <sheetName val="Water Odor (GW-5)"/>
      <sheetName val="Soil Direct Exp (S-1)"/>
      <sheetName val="Soil Leaching (S-2)"/>
      <sheetName val="Soil Gross Contam. (S-3)"/>
      <sheetName val="Soil Odor (S-4)"/>
      <sheetName val="Soil Gas VI HHR (SG-1)"/>
      <sheetName val="Soil Gas VI Odor (SG-2)"/>
      <sheetName val="Indoor Air Direct Exp (IA-1)"/>
      <sheetName val="Indoor Air Odor (IA-2)"/>
      <sheetName val="Physical-Chem Constants (IP-1)"/>
      <sheetName val="Toxicity Values (IP-2)"/>
      <sheetName val="Direct Exp Model Factors (IP-3)"/>
      <sheetName val="MCL- Other DW Levels (IP-4)"/>
      <sheetName val=" EcoT-Ca Aq Goals (IP-5)"/>
      <sheetName val="EcoT-US Aq Goals (IP-6)"/>
      <sheetName val="Seafood Ingestion (IP-7)"/>
    </sheetNames>
    <sheetDataSet>
      <sheetData sheetId="0"/>
      <sheetData sheetId="1"/>
      <sheetData sheetId="2"/>
      <sheetData sheetId="3"/>
      <sheetData sheetId="4"/>
      <sheetData sheetId="5"/>
      <sheetData sheetId="6"/>
      <sheetData sheetId="7"/>
      <sheetData sheetId="8">
        <row r="5">
          <cell r="E5" t="str">
            <v>Tetrachloroethene</v>
          </cell>
        </row>
        <row r="17">
          <cell r="E17" t="str">
            <v>Sand Scenario</v>
          </cell>
        </row>
      </sheetData>
      <sheetData sheetId="9">
        <row r="28">
          <cell r="F28">
            <v>2.9763829491293707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P-1 2019"/>
      <sheetName val="IP-1 2024"/>
      <sheetName val="RSL May 2024"/>
      <sheetName val="RSL Calc 2024"/>
      <sheetName val="IP-2"/>
      <sheetName val="IP-1 MP"/>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SLs-Nov '24"/>
      <sheetName val="Note 3-2025"/>
      <sheetName val="Note 10"/>
      <sheetName val="IP-2-ESL-25"/>
      <sheetName val="Tap-25"/>
      <sheetName val="GW-sum-25"/>
      <sheetName val="GW-sum-19"/>
      <sheetName val="GW Comp"/>
      <sheetName val="Soil-sum-25"/>
      <sheetName val="Soil-sum-19"/>
      <sheetName val="Soil Comp"/>
      <sheetName val="Vapor-sum-25"/>
      <sheetName val="Vapor-sum-19"/>
      <sheetName val="Vapor Comp"/>
      <sheetName val="Note 3 RSL 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efinitions"/>
      <sheetName val="Tier 1 ESL Inputs"/>
      <sheetName val="Specific Concerns"/>
      <sheetName val="ESLs Details"/>
      <sheetName val="ESLs Summary Report"/>
      <sheetName val="Chemical Summary"/>
      <sheetName val="Chem Index"/>
      <sheetName val="Tier 1 ESLs"/>
      <sheetName val="Summary Table A"/>
      <sheetName val="Summary Table B"/>
      <sheetName val="Summary Table C"/>
      <sheetName val="Summary Table D"/>
      <sheetName val="Summary Table E"/>
      <sheetName val="Summary Table F"/>
      <sheetName val="Table A-1 (Shallow, DW, Res)"/>
      <sheetName val="Table A-2 (Shallow, DW, CI)"/>
      <sheetName val="Table B-1 (Shallow, NDW, Res)"/>
      <sheetName val="Table B-2 (Shallow, NDW, CI)"/>
      <sheetName val="Table C-1 (Subsurf, DW, Res)"/>
      <sheetName val="Table C-2 (Subsurf, DW, CI)"/>
      <sheetName val="Table D-1 (Subsurf, NDW, Res)"/>
      <sheetName val="Table D-2 (Subsurf, NDW, CI)"/>
      <sheetName val="Table E-1 (GW to IA)"/>
      <sheetName val="Table E-1b (Soil to IA)"/>
      <sheetName val="Table E-2 (Soil Gas to IA)"/>
      <sheetName val="Table E-3 (Indoor Air Goals)"/>
      <sheetName val="Table F-1a (GW- DW)"/>
      <sheetName val="Table F-1b (GW- NDW)"/>
      <sheetName val="Table F-2a (SW-Fresh)"/>
      <sheetName val="Table F-2b (SW-Marine)"/>
      <sheetName val="Table F-2c (SW-Estuary)"/>
      <sheetName val="Table F-3 (Drinking Water)"/>
      <sheetName val="Table F-4a (Aquatic Summary)"/>
      <sheetName val="Table F-4b (Aquatic CalEPA)"/>
      <sheetName val="Table F-4c (Aquatic USEPA, etc)"/>
      <sheetName val="Table F-4d (Aquatic Bioacc.)"/>
      <sheetName val="Table F-5 (Agricultural Use)"/>
      <sheetName val="Table F-6 (USEPA IX Tap Water)"/>
      <sheetName val="Table G (Soil Leaching)"/>
      <sheetName val="Table H-1 (Ceiling Level Index)"/>
      <sheetName val="Table H-2 (Shallow Soils)"/>
      <sheetName val="Table H-3 (Deep Soils)"/>
      <sheetName val="Table I-1 (GW-DW Ceiling)"/>
      <sheetName val="Table I-2 (GW-NDW Ceiling)"/>
      <sheetName val="Table I-3 (SW-DW Ceiling)"/>
      <sheetName val="Table I-4 (SW-NDW Ceiling)"/>
      <sheetName val="Table J (Constants)"/>
      <sheetName val="Table J-1 Constants"/>
      <sheetName val="Table J-2 Tox Values"/>
      <sheetName val="Table K-1 (Residential DE)"/>
      <sheetName val="Table K-2 (C-I DE)"/>
      <sheetName val="Table K-3 (Construction DE)"/>
      <sheetName val="Table L (Target Health Effects)"/>
      <sheetName val="Soil Ecotoxicity"/>
      <sheetName val="DW Goals (Toxicity)"/>
      <sheetName val="Chronic Summary Worksheet"/>
      <sheetName val="Tap Water Exposure Factors"/>
      <sheetName val="Direct Exposure Model Factors"/>
      <sheetName val="Direct Exposure Calculations"/>
      <sheetName val="Toxicity Criteria"/>
      <sheetName val="CS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C1" t="str">
            <v>SFo</v>
          </cell>
          <cell r="D1" t="str">
            <v>Reference1</v>
          </cell>
          <cell r="F1" t="str">
            <v>Reference</v>
          </cell>
          <cell r="G1" t="str">
            <v>IUR</v>
          </cell>
          <cell r="H1" t="str">
            <v>Reference2</v>
          </cell>
          <cell r="I1" t="str">
            <v>RfDo</v>
          </cell>
          <cell r="J1" t="str">
            <v>Reference3</v>
          </cell>
          <cell r="L1" t="str">
            <v>Reference</v>
          </cell>
          <cell r="M1" t="str">
            <v>RfC</v>
          </cell>
          <cell r="N1" t="str">
            <v>Reference4</v>
          </cell>
          <cell r="P1" t="str">
            <v>Reference</v>
          </cell>
          <cell r="Q1" t="str">
            <v>RfDd</v>
          </cell>
          <cell r="R1" t="str">
            <v>GIABS</v>
          </cell>
          <cell r="S1" t="str">
            <v>ABS</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row>
        <row r="3">
          <cell r="A3" t="str">
            <v>Chemical</v>
          </cell>
          <cell r="B3" t="str">
            <v>Order 2</v>
          </cell>
          <cell r="C3" t="str">
            <v>SFo           (mg/kg-day)-1</v>
          </cell>
          <cell r="D3" t="str">
            <v>Reference</v>
          </cell>
          <cell r="E3" t="str">
            <v>SFi          (mg/kg-day)-1</v>
          </cell>
          <cell r="F3" t="str">
            <v>Reference</v>
          </cell>
          <cell r="G3" t="str">
            <v>IUR     (μg/m3)-1</v>
          </cell>
          <cell r="H3" t="str">
            <v>Reference</v>
          </cell>
          <cell r="I3" t="str">
            <v>RfDo                (mg/kg-day)</v>
          </cell>
          <cell r="J3" t="str">
            <v>Reference</v>
          </cell>
          <cell r="K3" t="str">
            <v>RfDi         (mg/kg-day)</v>
          </cell>
          <cell r="L3" t="str">
            <v>Reference</v>
          </cell>
          <cell r="M3" t="str">
            <v>RfC   (μg/m3)</v>
          </cell>
          <cell r="N3" t="str">
            <v>Reference</v>
          </cell>
          <cell r="O3" t="str">
            <v>RfC   (μg/m3)</v>
          </cell>
          <cell r="P3" t="str">
            <v>Reference</v>
          </cell>
          <cell r="Q3" t="str">
            <v>RfDd         (mg/kg-day)</v>
          </cell>
          <cell r="R3" t="str">
            <v>RAGS   Part E     GI ABS</v>
          </cell>
          <cell r="S3" t="str">
            <v>RAGS     Part E    ABS</v>
          </cell>
          <cell r="U3" t="str">
            <v>Order</v>
          </cell>
        </row>
        <row r="4">
          <cell r="A4" t="str">
            <v>Acetone</v>
          </cell>
          <cell r="B4">
            <v>1</v>
          </cell>
          <cell r="D4"/>
          <cell r="F4"/>
          <cell r="H4"/>
          <cell r="I4">
            <v>0.9</v>
          </cell>
          <cell r="J4" t="str">
            <v>IRIS</v>
          </cell>
          <cell r="K4">
            <v>0.9</v>
          </cell>
          <cell r="L4" t="str">
            <v>IRIS</v>
          </cell>
          <cell r="M4">
            <v>31000</v>
          </cell>
          <cell r="N4" t="str">
            <v>ATSDR</v>
          </cell>
          <cell r="O4">
            <v>31000</v>
          </cell>
          <cell r="P4" t="str">
            <v>ATSDR</v>
          </cell>
          <cell r="Q4">
            <v>0.9</v>
          </cell>
          <cell r="R4">
            <v>1</v>
          </cell>
          <cell r="S4">
            <v>0</v>
          </cell>
          <cell r="T4" t="b">
            <v>1</v>
          </cell>
          <cell r="U4">
            <v>1</v>
          </cell>
          <cell r="W4">
            <v>1</v>
          </cell>
          <cell r="X4">
            <v>1</v>
          </cell>
        </row>
        <row r="5">
          <cell r="A5" t="str">
            <v>Acrolein</v>
          </cell>
          <cell r="B5">
            <v>2</v>
          </cell>
          <cell r="D5"/>
          <cell r="F5"/>
          <cell r="H5"/>
          <cell r="I5">
            <v>0.05</v>
          </cell>
          <cell r="J5" t="str">
            <v>IRIS</v>
          </cell>
          <cell r="K5">
            <v>5.7142857142857145E-6</v>
          </cell>
          <cell r="L5" t="str">
            <v>IRIS</v>
          </cell>
          <cell r="M5">
            <v>0.02</v>
          </cell>
          <cell r="N5" t="str">
            <v>IRIS</v>
          </cell>
          <cell r="O5">
            <v>0.02</v>
          </cell>
          <cell r="P5" t="str">
            <v>IRIS</v>
          </cell>
          <cell r="Q5">
            <v>0.05</v>
          </cell>
          <cell r="R5">
            <v>1</v>
          </cell>
          <cell r="S5">
            <v>0</v>
          </cell>
          <cell r="T5" t="b">
            <v>1</v>
          </cell>
          <cell r="U5">
            <v>2</v>
          </cell>
          <cell r="W5" t="e">
            <v>#N/A</v>
          </cell>
          <cell r="X5" t="e">
            <v>#N/A</v>
          </cell>
        </row>
        <row r="6">
          <cell r="A6" t="str">
            <v>Acrylonitrile</v>
          </cell>
          <cell r="B6">
            <v>3</v>
          </cell>
          <cell r="C6">
            <v>1</v>
          </cell>
          <cell r="D6" t="str">
            <v>OEHHA</v>
          </cell>
          <cell r="E6">
            <v>0.23799999999999999</v>
          </cell>
          <cell r="F6" t="str">
            <v>IRIS</v>
          </cell>
          <cell r="G6">
            <v>2.9E-4</v>
          </cell>
          <cell r="H6" t="str">
            <v>OEHHA</v>
          </cell>
          <cell r="I6">
            <v>1E-3</v>
          </cell>
          <cell r="J6" t="str">
            <v>HEAST</v>
          </cell>
          <cell r="K6">
            <v>5.7142857142857104E-4</v>
          </cell>
          <cell r="L6" t="str">
            <v>HEAST</v>
          </cell>
          <cell r="M6">
            <v>5</v>
          </cell>
          <cell r="N6" t="str">
            <v>OEHHA</v>
          </cell>
          <cell r="Q6">
            <v>1E-3</v>
          </cell>
          <cell r="R6">
            <v>1</v>
          </cell>
          <cell r="S6">
            <v>0</v>
          </cell>
          <cell r="T6" t="b">
            <v>1</v>
          </cell>
          <cell r="U6">
            <v>3</v>
          </cell>
          <cell r="W6">
            <v>1</v>
          </cell>
          <cell r="X6">
            <v>1</v>
          </cell>
        </row>
        <row r="7">
          <cell r="A7" t="str">
            <v>Aldrin</v>
          </cell>
          <cell r="B7">
            <v>4</v>
          </cell>
          <cell r="C7">
            <v>17</v>
          </cell>
          <cell r="D7" t="str">
            <v>IRIS</v>
          </cell>
          <cell r="E7">
            <v>17.149999999999999</v>
          </cell>
          <cell r="F7" t="str">
            <v>IRIS</v>
          </cell>
          <cell r="G7">
            <v>4.8999999999999998E-3</v>
          </cell>
          <cell r="H7" t="str">
            <v>OEHHA</v>
          </cell>
          <cell r="I7">
            <v>3.0000000000000001E-5</v>
          </cell>
          <cell r="J7" t="str">
            <v>IRIS</v>
          </cell>
          <cell r="K7">
            <v>3.0000000000000001E-5</v>
          </cell>
          <cell r="L7" t="str">
            <v>IRIS</v>
          </cell>
          <cell r="N7" t="str">
            <v xml:space="preserve"> </v>
          </cell>
          <cell r="Q7">
            <v>3.0000000000000001E-5</v>
          </cell>
          <cell r="R7">
            <v>1</v>
          </cell>
          <cell r="S7">
            <v>0.05</v>
          </cell>
          <cell r="T7" t="b">
            <v>1</v>
          </cell>
          <cell r="U7">
            <v>4</v>
          </cell>
          <cell r="W7">
            <v>1</v>
          </cell>
          <cell r="X7">
            <v>1</v>
          </cell>
        </row>
        <row r="8">
          <cell r="A8" t="str">
            <v>Aluminum</v>
          </cell>
          <cell r="B8">
            <v>5</v>
          </cell>
          <cell r="D8"/>
          <cell r="F8"/>
          <cell r="H8"/>
          <cell r="I8">
            <v>1</v>
          </cell>
          <cell r="J8" t="str">
            <v>PPRTV</v>
          </cell>
          <cell r="M8">
            <v>5.0000000000000001E-3</v>
          </cell>
          <cell r="N8" t="str">
            <v>PPRTV</v>
          </cell>
          <cell r="Q8">
            <v>1</v>
          </cell>
          <cell r="R8">
            <v>1</v>
          </cell>
          <cell r="S8">
            <v>0</v>
          </cell>
          <cell r="T8" t="b">
            <v>1</v>
          </cell>
          <cell r="U8">
            <v>5</v>
          </cell>
          <cell r="W8">
            <v>1</v>
          </cell>
          <cell r="X8">
            <v>1</v>
          </cell>
        </row>
        <row r="9">
          <cell r="A9" t="str">
            <v>Antimony</v>
          </cell>
          <cell r="B9">
            <v>6</v>
          </cell>
          <cell r="D9"/>
          <cell r="F9"/>
          <cell r="H9"/>
          <cell r="I9">
            <v>4.0000000000000002E-4</v>
          </cell>
          <cell r="J9" t="str">
            <v>IRIS</v>
          </cell>
          <cell r="L9"/>
          <cell r="Q9">
            <v>6.4999999999999994E-5</v>
          </cell>
          <cell r="R9">
            <v>0.15</v>
          </cell>
          <cell r="S9">
            <v>0</v>
          </cell>
          <cell r="T9" t="b">
            <v>0</v>
          </cell>
          <cell r="U9">
            <v>6</v>
          </cell>
          <cell r="W9">
            <v>0.15</v>
          </cell>
          <cell r="X9">
            <v>1</v>
          </cell>
        </row>
        <row r="10">
          <cell r="A10" t="str">
            <v>Arsenic</v>
          </cell>
          <cell r="B10">
            <v>7</v>
          </cell>
          <cell r="C10">
            <v>1.5</v>
          </cell>
          <cell r="D10" t="str">
            <v>OEHHA</v>
          </cell>
          <cell r="E10">
            <v>15.05</v>
          </cell>
          <cell r="F10" t="str">
            <v>IRIS</v>
          </cell>
          <cell r="G10">
            <v>4.3E-3</v>
          </cell>
          <cell r="H10" t="str">
            <v>IRIS</v>
          </cell>
          <cell r="I10">
            <v>2.9999999999999997E-4</v>
          </cell>
          <cell r="J10" t="str">
            <v>IRIS</v>
          </cell>
          <cell r="L10"/>
          <cell r="M10">
            <v>1.4999999999999999E-2</v>
          </cell>
          <cell r="N10" t="str">
            <v>OEHHA</v>
          </cell>
          <cell r="O10">
            <v>1.4999999999999999E-2</v>
          </cell>
          <cell r="P10" t="str">
            <v>OEHHA</v>
          </cell>
          <cell r="Q10">
            <v>2.9999999999999997E-4</v>
          </cell>
          <cell r="R10">
            <v>1</v>
          </cell>
          <cell r="S10">
            <v>0.03</v>
          </cell>
          <cell r="T10" t="b">
            <v>1</v>
          </cell>
          <cell r="U10">
            <v>7</v>
          </cell>
          <cell r="W10">
            <v>1</v>
          </cell>
          <cell r="X10">
            <v>1</v>
          </cell>
        </row>
        <row r="11">
          <cell r="A11" t="str">
            <v>Arsenic</v>
          </cell>
          <cell r="B11">
            <v>8</v>
          </cell>
          <cell r="C11">
            <v>1.5</v>
          </cell>
          <cell r="D11" t="str">
            <v>OEHHA</v>
          </cell>
          <cell r="E11">
            <v>11.55</v>
          </cell>
          <cell r="F11" t="str">
            <v>OEHHA</v>
          </cell>
          <cell r="G11">
            <v>3.3E-3</v>
          </cell>
          <cell r="H11" t="str">
            <v>OEHHA</v>
          </cell>
          <cell r="I11">
            <v>2.9999999999999997E-4</v>
          </cell>
          <cell r="J11" t="str">
            <v>IRIS</v>
          </cell>
          <cell r="K11">
            <v>8.5714285714285709E-6</v>
          </cell>
          <cell r="L11" t="str">
            <v>OEHHA</v>
          </cell>
          <cell r="M11">
            <v>1.4999999999999999E-2</v>
          </cell>
          <cell r="N11" t="str">
            <v>OEHHA</v>
          </cell>
          <cell r="O11">
            <v>1.4999999999999999E-2</v>
          </cell>
          <cell r="P11" t="str">
            <v>OEHHA</v>
          </cell>
          <cell r="Q11">
            <v>2.9999999999999997E-4</v>
          </cell>
          <cell r="R11">
            <v>1</v>
          </cell>
          <cell r="S11">
            <v>0.03</v>
          </cell>
          <cell r="T11" t="b">
            <v>1</v>
          </cell>
          <cell r="U11">
            <v>8</v>
          </cell>
          <cell r="W11">
            <v>7.0000000000000007E-2</v>
          </cell>
          <cell r="X11">
            <v>0</v>
          </cell>
        </row>
        <row r="12">
          <cell r="A12" t="str">
            <v>Barium</v>
          </cell>
          <cell r="B12">
            <v>9</v>
          </cell>
          <cell r="D12"/>
          <cell r="F12"/>
          <cell r="H12"/>
          <cell r="I12">
            <v>0.2</v>
          </cell>
          <cell r="J12" t="str">
            <v>IRIS</v>
          </cell>
          <cell r="K12">
            <v>1.42857142857143E-4</v>
          </cell>
          <cell r="L12" t="str">
            <v>IRIS</v>
          </cell>
          <cell r="M12">
            <v>0.5</v>
          </cell>
          <cell r="N12" t="str">
            <v>HEAST</v>
          </cell>
          <cell r="Q12">
            <v>1.4E-2</v>
          </cell>
          <cell r="R12">
            <v>7.0000000000000007E-2</v>
          </cell>
          <cell r="S12">
            <v>0</v>
          </cell>
          <cell r="T12" t="b">
            <v>0</v>
          </cell>
          <cell r="U12">
            <v>9</v>
          </cell>
          <cell r="W12">
            <v>1</v>
          </cell>
          <cell r="X12">
            <v>0</v>
          </cell>
        </row>
        <row r="13">
          <cell r="A13" t="str">
            <v>Benzene</v>
          </cell>
          <cell r="B13">
            <v>10</v>
          </cell>
          <cell r="C13">
            <v>0.1</v>
          </cell>
          <cell r="D13" t="str">
            <v>OEHHA</v>
          </cell>
          <cell r="E13">
            <v>0.10150000000000001</v>
          </cell>
          <cell r="F13" t="str">
            <v>OEHHA</v>
          </cell>
          <cell r="G13">
            <v>2.9E-5</v>
          </cell>
          <cell r="H13" t="str">
            <v>OEHHA</v>
          </cell>
          <cell r="I13">
            <v>4.0000000000000001E-3</v>
          </cell>
          <cell r="J13" t="str">
            <v>IRIS</v>
          </cell>
          <cell r="K13">
            <v>8.5714285714285719E-3</v>
          </cell>
          <cell r="L13" t="str">
            <v>IRIS</v>
          </cell>
          <cell r="M13">
            <v>30</v>
          </cell>
          <cell r="N13" t="str">
            <v>IRIS</v>
          </cell>
          <cell r="O13">
            <v>60</v>
          </cell>
          <cell r="P13" t="str">
            <v>OEHHA</v>
          </cell>
          <cell r="Q13">
            <v>4.0000000000000001E-3</v>
          </cell>
          <cell r="R13">
            <v>1</v>
          </cell>
          <cell r="S13">
            <v>0</v>
          </cell>
          <cell r="T13" t="b">
            <v>1</v>
          </cell>
          <cell r="U13">
            <v>10</v>
          </cell>
          <cell r="W13">
            <v>1</v>
          </cell>
          <cell r="X13">
            <v>1</v>
          </cell>
        </row>
        <row r="14">
          <cell r="A14" t="str">
            <v>Benzidine</v>
          </cell>
          <cell r="B14">
            <v>11</v>
          </cell>
          <cell r="C14">
            <v>500</v>
          </cell>
          <cell r="D14" t="str">
            <v>OEHHA</v>
          </cell>
          <cell r="E14">
            <v>490</v>
          </cell>
          <cell r="F14" t="str">
            <v>OEHHA</v>
          </cell>
          <cell r="G14">
            <v>0.14000000000000001</v>
          </cell>
          <cell r="H14" t="str">
            <v>OEHHA</v>
          </cell>
          <cell r="I14">
            <v>3.0000000000000001E-3</v>
          </cell>
          <cell r="J14" t="str">
            <v>IRIS</v>
          </cell>
          <cell r="Q14">
            <v>3.0000000000000001E-3</v>
          </cell>
          <cell r="R14">
            <v>1</v>
          </cell>
          <cell r="S14">
            <v>0</v>
          </cell>
          <cell r="T14" t="b">
            <v>1</v>
          </cell>
          <cell r="U14">
            <v>11</v>
          </cell>
          <cell r="W14">
            <v>1</v>
          </cell>
          <cell r="X14">
            <v>1</v>
          </cell>
        </row>
        <row r="15">
          <cell r="A15" t="str">
            <v>Beryllium</v>
          </cell>
          <cell r="B15">
            <v>12</v>
          </cell>
          <cell r="D15"/>
          <cell r="E15">
            <v>8.4</v>
          </cell>
          <cell r="F15" t="str">
            <v>IRIS</v>
          </cell>
          <cell r="G15">
            <v>2.3999999999999998E-3</v>
          </cell>
          <cell r="H15" t="str">
            <v>IRIS</v>
          </cell>
          <cell r="I15">
            <v>2E-3</v>
          </cell>
          <cell r="J15" t="str">
            <v>IRIS</v>
          </cell>
          <cell r="K15">
            <v>5.7142857142857145E-6</v>
          </cell>
          <cell r="L15" t="str">
            <v>IRIS</v>
          </cell>
          <cell r="M15">
            <v>0.02</v>
          </cell>
          <cell r="N15" t="str">
            <v>IRIS</v>
          </cell>
          <cell r="O15">
            <v>0.02</v>
          </cell>
          <cell r="P15" t="str">
            <v>IRIS</v>
          </cell>
          <cell r="Q15">
            <v>1.4E-5</v>
          </cell>
          <cell r="R15">
            <v>7.0000000000000001E-3</v>
          </cell>
          <cell r="S15">
            <v>0</v>
          </cell>
          <cell r="T15" t="b">
            <v>0</v>
          </cell>
          <cell r="U15">
            <v>12</v>
          </cell>
          <cell r="W15">
            <v>1</v>
          </cell>
          <cell r="X15">
            <v>0</v>
          </cell>
        </row>
        <row r="16">
          <cell r="A16" t="str">
            <v>a-BHC</v>
          </cell>
          <cell r="B16">
            <v>13</v>
          </cell>
          <cell r="C16">
            <v>6.3</v>
          </cell>
          <cell r="D16" t="str">
            <v>IRIS</v>
          </cell>
          <cell r="E16">
            <v>6.3</v>
          </cell>
          <cell r="F16" t="str">
            <v>IRIS</v>
          </cell>
          <cell r="G16">
            <v>7.6999999999999996E-4</v>
          </cell>
          <cell r="H16" t="str">
            <v>OEHHA</v>
          </cell>
          <cell r="J16"/>
          <cell r="L16"/>
          <cell r="R16">
            <v>1</v>
          </cell>
          <cell r="S16">
            <v>0</v>
          </cell>
          <cell r="T16" t="b">
            <v>1</v>
          </cell>
          <cell r="U16">
            <v>13</v>
          </cell>
          <cell r="W16" t="e">
            <v>#N/A</v>
          </cell>
          <cell r="X16" t="e">
            <v>#N/A</v>
          </cell>
        </row>
        <row r="17">
          <cell r="A17" t="str">
            <v>b-BHC</v>
          </cell>
          <cell r="B17">
            <v>14</v>
          </cell>
          <cell r="C17">
            <v>1.8</v>
          </cell>
          <cell r="D17" t="str">
            <v>IRIS</v>
          </cell>
          <cell r="E17">
            <v>1.855</v>
          </cell>
          <cell r="F17" t="str">
            <v>IRIS</v>
          </cell>
          <cell r="G17">
            <v>4.2999999999999999E-4</v>
          </cell>
          <cell r="H17" t="str">
            <v>OEHHA</v>
          </cell>
          <cell r="Q17">
            <v>2.9999999999999997E-4</v>
          </cell>
          <cell r="R17">
            <v>1</v>
          </cell>
          <cell r="S17">
            <v>0</v>
          </cell>
          <cell r="T17" t="b">
            <v>0</v>
          </cell>
          <cell r="U17">
            <v>14</v>
          </cell>
          <cell r="W17">
            <v>1</v>
          </cell>
          <cell r="X17">
            <v>1</v>
          </cell>
        </row>
        <row r="18">
          <cell r="A18" t="str">
            <v>g-BHC</v>
          </cell>
          <cell r="B18">
            <v>15</v>
          </cell>
          <cell r="C18">
            <v>1.1000000000000001</v>
          </cell>
          <cell r="D18" t="str">
            <v>OEHHA</v>
          </cell>
          <cell r="G18">
            <v>3.1E-4</v>
          </cell>
          <cell r="H18" t="str">
            <v>OEHHA</v>
          </cell>
          <cell r="I18">
            <v>2.9999999999999997E-4</v>
          </cell>
          <cell r="J18" t="str">
            <v>IRIS</v>
          </cell>
          <cell r="Q18">
            <v>2.9999999999999997E-4</v>
          </cell>
          <cell r="R18">
            <v>1</v>
          </cell>
          <cell r="S18">
            <v>0</v>
          </cell>
          <cell r="T18" t="b">
            <v>1</v>
          </cell>
          <cell r="U18">
            <v>15</v>
          </cell>
          <cell r="W18">
            <v>7.0000000000000001E-3</v>
          </cell>
          <cell r="X18">
            <v>0</v>
          </cell>
        </row>
        <row r="19">
          <cell r="A19" t="str">
            <v>1,1-Biphenyl</v>
          </cell>
          <cell r="B19">
            <v>16</v>
          </cell>
          <cell r="D19"/>
          <cell r="F19"/>
          <cell r="H19"/>
          <cell r="I19">
            <v>0.05</v>
          </cell>
          <cell r="J19" t="str">
            <v>IRIS</v>
          </cell>
          <cell r="L19"/>
          <cell r="R19">
            <v>1</v>
          </cell>
          <cell r="S19">
            <v>0.1</v>
          </cell>
          <cell r="T19" t="b">
            <v>0</v>
          </cell>
          <cell r="U19">
            <v>16</v>
          </cell>
          <cell r="W19">
            <v>1</v>
          </cell>
          <cell r="X19">
            <v>1</v>
          </cell>
        </row>
        <row r="20">
          <cell r="A20" t="str">
            <v>Bis(2-chloroethyl) ether</v>
          </cell>
          <cell r="B20">
            <v>17</v>
          </cell>
          <cell r="C20">
            <v>2.5</v>
          </cell>
          <cell r="D20" t="str">
            <v>OEHHA</v>
          </cell>
          <cell r="E20">
            <v>1.155</v>
          </cell>
          <cell r="F20" t="str">
            <v>IRIS</v>
          </cell>
          <cell r="G20">
            <v>7.1000000000000002E-4</v>
          </cell>
          <cell r="H20" t="str">
            <v>OEHHA</v>
          </cell>
          <cell r="J20"/>
          <cell r="L20"/>
          <cell r="R20">
            <v>1</v>
          </cell>
          <cell r="S20">
            <v>0</v>
          </cell>
          <cell r="T20" t="b">
            <v>1</v>
          </cell>
          <cell r="U20">
            <v>17</v>
          </cell>
          <cell r="W20">
            <v>1</v>
          </cell>
          <cell r="X20">
            <v>1</v>
          </cell>
        </row>
        <row r="21">
          <cell r="A21" t="str">
            <v>Bis(2-chloroisopropyl) ether</v>
          </cell>
          <cell r="B21">
            <v>18</v>
          </cell>
          <cell r="Q21">
            <v>0.04</v>
          </cell>
          <cell r="R21">
            <v>1</v>
          </cell>
          <cell r="S21">
            <v>0</v>
          </cell>
          <cell r="T21" t="b">
            <v>0</v>
          </cell>
          <cell r="U21">
            <v>18</v>
          </cell>
          <cell r="W21">
            <v>1</v>
          </cell>
          <cell r="X21">
            <v>1</v>
          </cell>
        </row>
        <row r="22">
          <cell r="A22" t="str">
            <v>Bis(chloromethyl) ether</v>
          </cell>
          <cell r="B22">
            <v>19</v>
          </cell>
          <cell r="C22">
            <v>46</v>
          </cell>
          <cell r="D22" t="str">
            <v>OEHHA</v>
          </cell>
          <cell r="E22">
            <v>217</v>
          </cell>
          <cell r="F22" t="str">
            <v>IRIS</v>
          </cell>
          <cell r="G22">
            <v>1.2999999999999999E-2</v>
          </cell>
          <cell r="H22" t="str">
            <v>OEHHA</v>
          </cell>
          <cell r="J22"/>
          <cell r="L22"/>
          <cell r="R22">
            <v>1</v>
          </cell>
          <cell r="S22">
            <v>0</v>
          </cell>
          <cell r="T22" t="b">
            <v>1</v>
          </cell>
          <cell r="U22">
            <v>19</v>
          </cell>
          <cell r="W22">
            <v>1</v>
          </cell>
          <cell r="X22">
            <v>1</v>
          </cell>
        </row>
        <row r="23">
          <cell r="A23" t="str">
            <v>Boron</v>
          </cell>
          <cell r="B23">
            <v>20</v>
          </cell>
          <cell r="D23"/>
          <cell r="F23"/>
          <cell r="H23"/>
          <cell r="I23">
            <v>0.2</v>
          </cell>
          <cell r="J23" t="str">
            <v>IRIS</v>
          </cell>
          <cell r="K23">
            <v>5.7142857142857099E-3</v>
          </cell>
          <cell r="L23" t="str">
            <v>IRIS</v>
          </cell>
          <cell r="Q23">
            <v>0.09</v>
          </cell>
          <cell r="R23">
            <v>1</v>
          </cell>
          <cell r="S23">
            <v>0</v>
          </cell>
          <cell r="T23" t="b">
            <v>0</v>
          </cell>
          <cell r="U23">
            <v>20</v>
          </cell>
          <cell r="W23">
            <v>1</v>
          </cell>
          <cell r="X23">
            <v>1</v>
          </cell>
        </row>
        <row r="24">
          <cell r="A24" t="str">
            <v>Bromodichloromethane</v>
          </cell>
          <cell r="B24">
            <v>21</v>
          </cell>
          <cell r="C24">
            <v>0.13</v>
          </cell>
          <cell r="D24" t="str">
            <v>OEHHA</v>
          </cell>
          <cell r="G24">
            <v>3.6999999999999998E-5</v>
          </cell>
          <cell r="H24" t="str">
            <v>OEHHA</v>
          </cell>
          <cell r="I24">
            <v>0.02</v>
          </cell>
          <cell r="J24" t="str">
            <v>IRIS</v>
          </cell>
          <cell r="K24">
            <v>0.02</v>
          </cell>
          <cell r="L24" t="str">
            <v>IRIS</v>
          </cell>
          <cell r="Q24">
            <v>0.02</v>
          </cell>
          <cell r="R24">
            <v>1</v>
          </cell>
          <cell r="S24">
            <v>0</v>
          </cell>
          <cell r="T24" t="b">
            <v>1</v>
          </cell>
          <cell r="U24">
            <v>21</v>
          </cell>
          <cell r="W24">
            <v>1</v>
          </cell>
          <cell r="X24">
            <v>1</v>
          </cell>
        </row>
        <row r="25">
          <cell r="A25" t="str">
            <v>Bromomethane</v>
          </cell>
          <cell r="B25">
            <v>22</v>
          </cell>
          <cell r="D25"/>
          <cell r="F25"/>
          <cell r="H25"/>
          <cell r="I25">
            <v>1.4E-3</v>
          </cell>
          <cell r="J25" t="str">
            <v>IRIS</v>
          </cell>
          <cell r="K25">
            <v>1.4285714285714284E-3</v>
          </cell>
          <cell r="L25" t="str">
            <v>IRIS</v>
          </cell>
          <cell r="M25">
            <v>5</v>
          </cell>
          <cell r="N25" t="str">
            <v>IRIS</v>
          </cell>
          <cell r="O25">
            <v>5</v>
          </cell>
          <cell r="P25" t="str">
            <v>IRIS</v>
          </cell>
          <cell r="Q25">
            <v>1.4E-3</v>
          </cell>
          <cell r="R25">
            <v>1</v>
          </cell>
          <cell r="S25">
            <v>0</v>
          </cell>
          <cell r="T25" t="b">
            <v>1</v>
          </cell>
          <cell r="U25">
            <v>22</v>
          </cell>
          <cell r="W25">
            <v>1</v>
          </cell>
          <cell r="X25">
            <v>1</v>
          </cell>
        </row>
        <row r="26">
          <cell r="A26" t="str">
            <v>tert-Butyl alcohol</v>
          </cell>
          <cell r="B26">
            <v>23</v>
          </cell>
          <cell r="D26"/>
          <cell r="F26"/>
          <cell r="H26"/>
          <cell r="L26"/>
          <cell r="R26">
            <v>1</v>
          </cell>
          <cell r="S26">
            <v>0</v>
          </cell>
          <cell r="T26" t="b">
            <v>1</v>
          </cell>
          <cell r="U26">
            <v>23</v>
          </cell>
          <cell r="W26">
            <v>1</v>
          </cell>
          <cell r="X26">
            <v>1</v>
          </cell>
        </row>
        <row r="27">
          <cell r="A27" t="str">
            <v>Methyl ethyl ketone</v>
          </cell>
          <cell r="B27">
            <v>24</v>
          </cell>
          <cell r="D27"/>
          <cell r="F27"/>
          <cell r="H27"/>
          <cell r="I27">
            <v>0.6</v>
          </cell>
          <cell r="J27" t="str">
            <v>IRIS</v>
          </cell>
          <cell r="K27">
            <v>1.4285714285714284</v>
          </cell>
          <cell r="L27" t="str">
            <v>IRIS</v>
          </cell>
          <cell r="M27">
            <v>5000</v>
          </cell>
          <cell r="N27" t="str">
            <v>IRIS</v>
          </cell>
          <cell r="O27">
            <v>5000</v>
          </cell>
          <cell r="P27" t="str">
            <v>IRIS</v>
          </cell>
          <cell r="Q27">
            <v>0.6</v>
          </cell>
          <cell r="R27">
            <v>1</v>
          </cell>
          <cell r="S27">
            <v>0</v>
          </cell>
          <cell r="T27" t="b">
            <v>1</v>
          </cell>
          <cell r="U27">
            <v>24</v>
          </cell>
          <cell r="W27">
            <v>2.5000000000000001E-2</v>
          </cell>
          <cell r="X27">
            <v>0</v>
          </cell>
        </row>
        <row r="28">
          <cell r="A28" t="str">
            <v>tert-Butyl methyl ether</v>
          </cell>
          <cell r="B28">
            <v>25</v>
          </cell>
          <cell r="C28">
            <v>1.8E-3</v>
          </cell>
          <cell r="D28" t="str">
            <v>OEHHA</v>
          </cell>
          <cell r="E28">
            <v>9.1E-4</v>
          </cell>
          <cell r="F28" t="str">
            <v>OEHHA</v>
          </cell>
          <cell r="G28">
            <v>2.6E-7</v>
          </cell>
          <cell r="H28" t="str">
            <v>OEHHA</v>
          </cell>
          <cell r="M28">
            <v>3000</v>
          </cell>
          <cell r="N28" t="str">
            <v>IRIS</v>
          </cell>
          <cell r="O28">
            <v>3000</v>
          </cell>
          <cell r="P28" t="str">
            <v>IRIS</v>
          </cell>
          <cell r="R28">
            <v>1</v>
          </cell>
          <cell r="S28">
            <v>0</v>
          </cell>
          <cell r="T28" t="b">
            <v>1</v>
          </cell>
          <cell r="U28">
            <v>25</v>
          </cell>
          <cell r="W28">
            <v>2.5000000000000001E-2</v>
          </cell>
          <cell r="X28">
            <v>0</v>
          </cell>
        </row>
        <row r="29">
          <cell r="A29" t="str">
            <v>Cadmium (water)</v>
          </cell>
          <cell r="B29">
            <v>26</v>
          </cell>
          <cell r="D29" t="str">
            <v>OEHHA</v>
          </cell>
          <cell r="E29">
            <v>14.7</v>
          </cell>
          <cell r="F29" t="str">
            <v>OEHHA</v>
          </cell>
          <cell r="G29">
            <v>4.1999999999999997E-3</v>
          </cell>
          <cell r="H29" t="str">
            <v>OEHHA</v>
          </cell>
          <cell r="I29">
            <v>5.0000000000000001E-4</v>
          </cell>
          <cell r="J29" t="str">
            <v>IRIS</v>
          </cell>
          <cell r="L29"/>
          <cell r="R29">
            <v>0.05</v>
          </cell>
          <cell r="S29" t="str">
            <v>0.001</v>
          </cell>
          <cell r="T29" t="b">
            <v>0</v>
          </cell>
          <cell r="U29">
            <v>26</v>
          </cell>
          <cell r="W29">
            <v>1</v>
          </cell>
          <cell r="X29">
            <v>0</v>
          </cell>
        </row>
        <row r="30">
          <cell r="A30" t="str">
            <v>Cadmium (soil)</v>
          </cell>
          <cell r="D30" t="str">
            <v>OEHHA</v>
          </cell>
          <cell r="E30">
            <v>14.7</v>
          </cell>
          <cell r="F30" t="str">
            <v>OEHHA</v>
          </cell>
          <cell r="G30">
            <v>4.1999999999999997E-3</v>
          </cell>
          <cell r="H30" t="str">
            <v>OEHHA</v>
          </cell>
          <cell r="I30">
            <v>1E-3</v>
          </cell>
          <cell r="J30" t="str">
            <v>IRIS</v>
          </cell>
          <cell r="L30"/>
          <cell r="R30">
            <v>2.5000000000000001E-2</v>
          </cell>
          <cell r="S30">
            <v>1E-3</v>
          </cell>
          <cell r="T30" t="b">
            <v>0</v>
          </cell>
          <cell r="W30" t="e">
            <v>#N/A</v>
          </cell>
          <cell r="X30" t="e">
            <v>#N/A</v>
          </cell>
        </row>
        <row r="31">
          <cell r="A31" t="str">
            <v>Carbon disulfide</v>
          </cell>
          <cell r="B31">
            <v>27</v>
          </cell>
          <cell r="D31"/>
          <cell r="F31"/>
          <cell r="H31"/>
          <cell r="I31">
            <v>0.1</v>
          </cell>
          <cell r="J31" t="str">
            <v>IRIS</v>
          </cell>
          <cell r="K31">
            <v>0.2</v>
          </cell>
          <cell r="L31" t="str">
            <v>IRIS</v>
          </cell>
          <cell r="M31">
            <v>700</v>
          </cell>
          <cell r="N31" t="str">
            <v>IRIS</v>
          </cell>
          <cell r="O31">
            <v>700</v>
          </cell>
          <cell r="P31" t="str">
            <v>IRIS</v>
          </cell>
          <cell r="R31">
            <v>1</v>
          </cell>
          <cell r="S31">
            <v>0</v>
          </cell>
          <cell r="T31" t="b">
            <v>0</v>
          </cell>
          <cell r="U31">
            <v>27</v>
          </cell>
          <cell r="W31">
            <v>1</v>
          </cell>
          <cell r="X31">
            <v>1</v>
          </cell>
        </row>
        <row r="32">
          <cell r="A32" t="str">
            <v>Carbon tetrachloride</v>
          </cell>
          <cell r="B32">
            <v>28</v>
          </cell>
          <cell r="C32">
            <v>0.15</v>
          </cell>
          <cell r="D32" t="str">
            <v>OEHHA</v>
          </cell>
          <cell r="E32">
            <v>0.45500000000000002</v>
          </cell>
          <cell r="F32" t="str">
            <v>OEHHA</v>
          </cell>
          <cell r="G32">
            <v>4.1999999999999998E-5</v>
          </cell>
          <cell r="H32" t="str">
            <v>OEHHA</v>
          </cell>
          <cell r="I32">
            <v>4.0000000000000001E-3</v>
          </cell>
          <cell r="J32" t="str">
            <v>IRIS</v>
          </cell>
          <cell r="K32">
            <v>1.1428571428571427E-2</v>
          </cell>
          <cell r="L32" t="str">
            <v>OEHHA</v>
          </cell>
          <cell r="M32">
            <v>40</v>
          </cell>
          <cell r="N32" t="str">
            <v>OEHHA</v>
          </cell>
          <cell r="O32">
            <v>40</v>
          </cell>
          <cell r="P32" t="str">
            <v>OEHHA</v>
          </cell>
          <cell r="Q32">
            <v>6.9999999999999999E-4</v>
          </cell>
          <cell r="R32">
            <v>1</v>
          </cell>
          <cell r="S32">
            <v>0</v>
          </cell>
          <cell r="T32" t="b">
            <v>0</v>
          </cell>
          <cell r="U32">
            <v>28</v>
          </cell>
          <cell r="W32">
            <v>1</v>
          </cell>
          <cell r="X32">
            <v>1</v>
          </cell>
        </row>
        <row r="33">
          <cell r="A33" t="str">
            <v>Chlordane</v>
          </cell>
          <cell r="B33">
            <v>29</v>
          </cell>
          <cell r="C33">
            <v>1.3</v>
          </cell>
          <cell r="D33" t="str">
            <v>OEHHA</v>
          </cell>
          <cell r="E33">
            <v>1.19</v>
          </cell>
          <cell r="F33" t="str">
            <v>OEHHA</v>
          </cell>
          <cell r="G33">
            <v>3.4000000000000002E-4</v>
          </cell>
          <cell r="H33" t="str">
            <v>OEHHA</v>
          </cell>
          <cell r="I33">
            <v>5.0000000000000001E-4</v>
          </cell>
          <cell r="J33" t="str">
            <v>IRIS</v>
          </cell>
          <cell r="K33">
            <v>1.9999999999999998E-4</v>
          </cell>
          <cell r="L33" t="str">
            <v>IRIS</v>
          </cell>
          <cell r="M33">
            <v>0.7</v>
          </cell>
          <cell r="N33" t="str">
            <v>IRIS</v>
          </cell>
          <cell r="O33">
            <v>0.7</v>
          </cell>
          <cell r="P33" t="str">
            <v>IRIS</v>
          </cell>
          <cell r="Q33">
            <v>5.0000000000000001E-4</v>
          </cell>
          <cell r="R33">
            <v>1</v>
          </cell>
          <cell r="S33" t="str">
            <v>0.04</v>
          </cell>
          <cell r="T33" t="b">
            <v>1</v>
          </cell>
          <cell r="U33">
            <v>29</v>
          </cell>
          <cell r="W33">
            <v>1</v>
          </cell>
          <cell r="X33">
            <v>1</v>
          </cell>
        </row>
        <row r="34">
          <cell r="A34" t="str">
            <v>4-Chloroaniline</v>
          </cell>
          <cell r="B34">
            <v>30</v>
          </cell>
          <cell r="D34"/>
          <cell r="F34"/>
          <cell r="H34"/>
          <cell r="I34">
            <v>4.0000000000000001E-3</v>
          </cell>
          <cell r="J34" t="str">
            <v>IRIS</v>
          </cell>
          <cell r="L34"/>
          <cell r="R34">
            <v>1</v>
          </cell>
          <cell r="S34">
            <v>0</v>
          </cell>
          <cell r="T34" t="b">
            <v>0</v>
          </cell>
          <cell r="U34">
            <v>30</v>
          </cell>
          <cell r="W34">
            <v>1</v>
          </cell>
          <cell r="X34">
            <v>1</v>
          </cell>
        </row>
        <row r="35">
          <cell r="A35" t="str">
            <v>Chlorobenzene</v>
          </cell>
          <cell r="B35">
            <v>31</v>
          </cell>
          <cell r="D35"/>
          <cell r="F35"/>
          <cell r="H35"/>
          <cell r="I35">
            <v>0.02</v>
          </cell>
          <cell r="J35" t="str">
            <v>IRIS</v>
          </cell>
          <cell r="K35">
            <v>0.28571428571428575</v>
          </cell>
          <cell r="L35" t="str">
            <v>OEHHA</v>
          </cell>
          <cell r="M35">
            <v>1000</v>
          </cell>
          <cell r="N35" t="str">
            <v>OEHHA</v>
          </cell>
          <cell r="O35">
            <v>1000</v>
          </cell>
          <cell r="P35" t="str">
            <v>OEHHA</v>
          </cell>
          <cell r="Q35">
            <v>0.02</v>
          </cell>
          <cell r="R35">
            <v>1</v>
          </cell>
          <cell r="S35">
            <v>0</v>
          </cell>
          <cell r="T35" t="b">
            <v>1</v>
          </cell>
          <cell r="U35">
            <v>31</v>
          </cell>
          <cell r="W35">
            <v>1</v>
          </cell>
          <cell r="X35">
            <v>1</v>
          </cell>
        </row>
        <row r="36">
          <cell r="A36" t="str">
            <v>Chloroethane</v>
          </cell>
          <cell r="B36">
            <v>32</v>
          </cell>
          <cell r="M36">
            <v>30000</v>
          </cell>
          <cell r="N36" t="str">
            <v>OEHHA</v>
          </cell>
          <cell r="O36">
            <v>100</v>
          </cell>
          <cell r="P36" t="str">
            <v>IRIS</v>
          </cell>
          <cell r="Q36">
            <v>0.4</v>
          </cell>
          <cell r="R36">
            <v>1</v>
          </cell>
          <cell r="S36">
            <v>0</v>
          </cell>
          <cell r="T36" t="b">
            <v>0</v>
          </cell>
          <cell r="U36">
            <v>32</v>
          </cell>
          <cell r="W36">
            <v>1</v>
          </cell>
          <cell r="X36">
            <v>1</v>
          </cell>
        </row>
        <row r="37">
          <cell r="A37" t="str">
            <v>Chloroform</v>
          </cell>
          <cell r="B37">
            <v>33</v>
          </cell>
          <cell r="C37">
            <v>3.1E-2</v>
          </cell>
          <cell r="D37" t="str">
            <v>OEHHA</v>
          </cell>
          <cell r="E37">
            <v>1.8550000000000001E-2</v>
          </cell>
          <cell r="F37" t="str">
            <v>OEHHA</v>
          </cell>
          <cell r="G37">
            <v>5.3000000000000001E-6</v>
          </cell>
          <cell r="H37" t="str">
            <v>OEHHA</v>
          </cell>
          <cell r="I37">
            <v>0.01</v>
          </cell>
          <cell r="J37" t="str">
            <v>IRIS</v>
          </cell>
          <cell r="K37">
            <v>8.5714285714285715E-2</v>
          </cell>
          <cell r="L37" t="str">
            <v>OEHHA</v>
          </cell>
          <cell r="M37">
            <v>300</v>
          </cell>
          <cell r="N37" t="str">
            <v>OEHHA</v>
          </cell>
          <cell r="O37">
            <v>300</v>
          </cell>
          <cell r="P37" t="str">
            <v>OEHHA</v>
          </cell>
          <cell r="Q37">
            <v>0.01</v>
          </cell>
          <cell r="R37">
            <v>1</v>
          </cell>
          <cell r="S37">
            <v>0</v>
          </cell>
          <cell r="T37" t="b">
            <v>1</v>
          </cell>
          <cell r="U37">
            <v>33</v>
          </cell>
          <cell r="W37">
            <v>1.2999999999999999E-2</v>
          </cell>
          <cell r="X37">
            <v>0</v>
          </cell>
        </row>
        <row r="38">
          <cell r="A38" t="str">
            <v>Chloromethane</v>
          </cell>
          <cell r="B38">
            <v>34</v>
          </cell>
          <cell r="D38"/>
          <cell r="F38"/>
          <cell r="H38"/>
          <cell r="I38">
            <v>2.5714285714285714E-2</v>
          </cell>
          <cell r="K38">
            <v>2.5714285714285714E-2</v>
          </cell>
          <cell r="L38" t="str">
            <v>IRIS</v>
          </cell>
          <cell r="M38">
            <v>90</v>
          </cell>
          <cell r="N38" t="str">
            <v>IRIS</v>
          </cell>
          <cell r="O38">
            <v>90</v>
          </cell>
          <cell r="P38" t="str">
            <v>IRIS</v>
          </cell>
          <cell r="Q38">
            <v>2.5714285714285714E-2</v>
          </cell>
          <cell r="R38">
            <v>1</v>
          </cell>
          <cell r="S38">
            <v>0</v>
          </cell>
          <cell r="T38" t="b">
            <v>1</v>
          </cell>
          <cell r="U38">
            <v>34</v>
          </cell>
          <cell r="W38">
            <v>1.2999999999999999E-2</v>
          </cell>
          <cell r="X38">
            <v>0</v>
          </cell>
        </row>
        <row r="39">
          <cell r="A39" t="str">
            <v>2-Chlorophenol</v>
          </cell>
          <cell r="D39"/>
          <cell r="F39"/>
          <cell r="H39"/>
          <cell r="I39">
            <v>5.0000000000000001E-3</v>
          </cell>
          <cell r="J39" t="str">
            <v>IRIS</v>
          </cell>
          <cell r="L39"/>
          <cell r="Q39">
            <v>5.0000000000000001E-3</v>
          </cell>
          <cell r="R39">
            <v>1</v>
          </cell>
          <cell r="S39">
            <v>0</v>
          </cell>
          <cell r="T39" t="b">
            <v>1</v>
          </cell>
          <cell r="U39">
            <v>35</v>
          </cell>
          <cell r="W39">
            <v>2.5000000000000001E-2</v>
          </cell>
          <cell r="X39">
            <v>0</v>
          </cell>
        </row>
        <row r="40">
          <cell r="A40" t="str">
            <v>Chromium III</v>
          </cell>
          <cell r="B40">
            <v>36</v>
          </cell>
          <cell r="D40"/>
          <cell r="F40"/>
          <cell r="H40"/>
          <cell r="I40">
            <v>1.5</v>
          </cell>
          <cell r="J40" t="str">
            <v>IRIS</v>
          </cell>
          <cell r="L40"/>
          <cell r="Q40">
            <v>0.02</v>
          </cell>
          <cell r="R40">
            <v>1.2999999999999999E-2</v>
          </cell>
          <cell r="S40">
            <v>0</v>
          </cell>
          <cell r="T40" t="b">
            <v>0</v>
          </cell>
          <cell r="U40">
            <v>36</v>
          </cell>
          <cell r="W40">
            <v>1</v>
          </cell>
          <cell r="X40">
            <v>0</v>
          </cell>
        </row>
        <row r="41">
          <cell r="A41" t="str">
            <v>Chromium VI</v>
          </cell>
          <cell r="B41">
            <v>37</v>
          </cell>
          <cell r="D41"/>
          <cell r="E41">
            <v>525</v>
          </cell>
          <cell r="F41" t="str">
            <v>OEHHA</v>
          </cell>
          <cell r="G41">
            <v>0.15</v>
          </cell>
          <cell r="H41" t="str">
            <v>OEHHA</v>
          </cell>
          <cell r="I41">
            <v>3.0000000000000001E-3</v>
          </cell>
          <cell r="J41" t="str">
            <v>IRIS</v>
          </cell>
          <cell r="K41">
            <v>2.8571428571428572E-8</v>
          </cell>
          <cell r="L41" t="str">
            <v>IRIS</v>
          </cell>
          <cell r="M41">
            <v>0.1</v>
          </cell>
          <cell r="N41" t="str">
            <v>IRIS</v>
          </cell>
          <cell r="O41">
            <v>0.1</v>
          </cell>
          <cell r="P41" t="str">
            <v>IRIS</v>
          </cell>
          <cell r="Q41">
            <v>7.4999999999999993E-5</v>
          </cell>
          <cell r="R41">
            <v>2.5000000000000001E-2</v>
          </cell>
          <cell r="S41">
            <v>0</v>
          </cell>
          <cell r="T41" t="b">
            <v>0</v>
          </cell>
          <cell r="U41">
            <v>37</v>
          </cell>
          <cell r="W41">
            <v>1</v>
          </cell>
          <cell r="X41">
            <v>0</v>
          </cell>
        </row>
        <row r="42">
          <cell r="A42" t="str">
            <v>Cobalt</v>
          </cell>
          <cell r="B42">
            <v>38</v>
          </cell>
          <cell r="D42"/>
          <cell r="G42">
            <v>8.9999999999999993E-3</v>
          </cell>
          <cell r="H42" t="str">
            <v>PPRTV</v>
          </cell>
          <cell r="I42">
            <v>2.9999999999999997E-4</v>
          </cell>
          <cell r="J42" t="str">
            <v>PPRTV</v>
          </cell>
          <cell r="K42">
            <v>5.6999999999999996E-6</v>
          </cell>
          <cell r="L42" t="str">
            <v>PPRTV</v>
          </cell>
          <cell r="M42">
            <v>6.0000000000000001E-3</v>
          </cell>
          <cell r="N42" t="str">
            <v>PPRTV</v>
          </cell>
          <cell r="Q42">
            <v>0.06</v>
          </cell>
          <cell r="R42">
            <v>1</v>
          </cell>
          <cell r="S42">
            <v>0</v>
          </cell>
          <cell r="T42" t="b">
            <v>0</v>
          </cell>
          <cell r="U42">
            <v>38</v>
          </cell>
          <cell r="W42">
            <v>1</v>
          </cell>
          <cell r="X42">
            <v>1</v>
          </cell>
        </row>
        <row r="43">
          <cell r="A43" t="str">
            <v>Copper</v>
          </cell>
          <cell r="B43">
            <v>39</v>
          </cell>
          <cell r="D43"/>
          <cell r="F43"/>
          <cell r="H43"/>
          <cell r="I43">
            <v>0.04</v>
          </cell>
          <cell r="J43" t="str">
            <v>HEAST</v>
          </cell>
          <cell r="L43"/>
          <cell r="Q43">
            <v>3.7142857142857102E-2</v>
          </cell>
          <cell r="R43">
            <v>1</v>
          </cell>
          <cell r="S43">
            <v>0</v>
          </cell>
          <cell r="T43" t="b">
            <v>0</v>
          </cell>
          <cell r="U43">
            <v>39</v>
          </cell>
          <cell r="W43">
            <v>1</v>
          </cell>
          <cell r="X43">
            <v>1</v>
          </cell>
        </row>
        <row r="44">
          <cell r="A44" t="str">
            <v>Cyanide</v>
          </cell>
          <cell r="B44">
            <v>40</v>
          </cell>
          <cell r="D44"/>
          <cell r="F44"/>
          <cell r="H44"/>
          <cell r="I44">
            <v>5.9999999999999995E-4</v>
          </cell>
          <cell r="J44" t="str">
            <v>IRIS</v>
          </cell>
          <cell r="Q44">
            <v>0.02</v>
          </cell>
          <cell r="R44">
            <v>1</v>
          </cell>
          <cell r="S44">
            <v>0.1</v>
          </cell>
          <cell r="T44" t="b">
            <v>0</v>
          </cell>
          <cell r="U44">
            <v>40</v>
          </cell>
          <cell r="W44">
            <v>1</v>
          </cell>
          <cell r="X44">
            <v>1</v>
          </cell>
        </row>
        <row r="45">
          <cell r="A45" t="str">
            <v>Dichlorodiphenyldichloroethane (DDD)</v>
          </cell>
          <cell r="B45">
            <v>41</v>
          </cell>
          <cell r="C45">
            <v>0.24</v>
          </cell>
          <cell r="D45" t="str">
            <v>OEHHA</v>
          </cell>
          <cell r="G45">
            <v>6.8999999999999997E-5</v>
          </cell>
          <cell r="H45" t="str">
            <v>OEHHA</v>
          </cell>
          <cell r="Q45">
            <v>5.0000000000000001E-4</v>
          </cell>
          <cell r="R45">
            <v>1</v>
          </cell>
          <cell r="S45">
            <v>0.03</v>
          </cell>
          <cell r="T45" t="b">
            <v>0</v>
          </cell>
          <cell r="U45" t="e">
            <v>#N/A</v>
          </cell>
          <cell r="W45">
            <v>1</v>
          </cell>
          <cell r="X45">
            <v>1</v>
          </cell>
        </row>
        <row r="46">
          <cell r="A46" t="str">
            <v>Dichlorodiphenyldichloroethene (DDE)</v>
          </cell>
          <cell r="B46">
            <v>42</v>
          </cell>
          <cell r="C46">
            <v>0.34</v>
          </cell>
          <cell r="D46" t="str">
            <v>OEHHA</v>
          </cell>
          <cell r="G46">
            <v>9.7E-5</v>
          </cell>
          <cell r="H46" t="str">
            <v>OEHHA</v>
          </cell>
          <cell r="Q46">
            <v>5.0000000000000001E-4</v>
          </cell>
          <cell r="R46">
            <v>1</v>
          </cell>
          <cell r="S46">
            <v>0.03</v>
          </cell>
          <cell r="T46" t="b">
            <v>0</v>
          </cell>
          <cell r="U46" t="e">
            <v>#N/A</v>
          </cell>
          <cell r="W46">
            <v>1</v>
          </cell>
          <cell r="X46">
            <v>1</v>
          </cell>
        </row>
        <row r="47">
          <cell r="A47" t="str">
            <v>Dichlorodiphenyltrichloroethane (DDT)</v>
          </cell>
          <cell r="B47">
            <v>43</v>
          </cell>
          <cell r="C47">
            <v>0.34</v>
          </cell>
          <cell r="D47" t="str">
            <v>OEHHA</v>
          </cell>
          <cell r="G47">
            <v>9.7E-5</v>
          </cell>
          <cell r="H47" t="str">
            <v>OEHHA</v>
          </cell>
          <cell r="I47">
            <v>5.0000000000000001E-4</v>
          </cell>
          <cell r="J47" t="str">
            <v>IRIS</v>
          </cell>
          <cell r="Q47">
            <v>5.0000000000000001E-4</v>
          </cell>
          <cell r="R47">
            <v>1</v>
          </cell>
          <cell r="S47">
            <v>0.03</v>
          </cell>
          <cell r="T47" t="b">
            <v>1</v>
          </cell>
          <cell r="U47" t="e">
            <v>#N/A</v>
          </cell>
          <cell r="W47">
            <v>1</v>
          </cell>
          <cell r="X47">
            <v>1</v>
          </cell>
        </row>
        <row r="48">
          <cell r="A48" t="str">
            <v>Bis(2-ethylhexyl) phthalate</v>
          </cell>
          <cell r="B48">
            <v>44</v>
          </cell>
          <cell r="C48">
            <v>3.0000000000000001E-3</v>
          </cell>
          <cell r="D48" t="str">
            <v>OEHHA</v>
          </cell>
          <cell r="E48">
            <v>8.3999999999999995E-3</v>
          </cell>
          <cell r="F48" t="str">
            <v>OEHHA</v>
          </cell>
          <cell r="G48">
            <v>2.3999999999999999E-6</v>
          </cell>
          <cell r="H48" t="str">
            <v>OEHHA</v>
          </cell>
          <cell r="I48">
            <v>0.02</v>
          </cell>
          <cell r="J48" t="str">
            <v>IRIS</v>
          </cell>
          <cell r="Q48">
            <v>0.02</v>
          </cell>
          <cell r="R48">
            <v>1</v>
          </cell>
          <cell r="S48">
            <v>0.1</v>
          </cell>
          <cell r="T48" t="b">
            <v>1</v>
          </cell>
          <cell r="U48" t="e">
            <v>#N/A</v>
          </cell>
          <cell r="W48">
            <v>1</v>
          </cell>
          <cell r="X48">
            <v>1</v>
          </cell>
        </row>
        <row r="49">
          <cell r="A49" t="str">
            <v>Dibromochloromethane</v>
          </cell>
          <cell r="B49">
            <v>45</v>
          </cell>
          <cell r="C49">
            <v>8.4000000000000005E-2</v>
          </cell>
          <cell r="D49" t="str">
            <v>IRIS</v>
          </cell>
          <cell r="F49"/>
          <cell r="H49"/>
          <cell r="I49">
            <v>0.02</v>
          </cell>
          <cell r="J49" t="str">
            <v>IRIS</v>
          </cell>
          <cell r="L49"/>
          <cell r="Q49">
            <v>0.02</v>
          </cell>
          <cell r="R49">
            <v>1</v>
          </cell>
          <cell r="S49">
            <v>0</v>
          </cell>
          <cell r="T49" t="b">
            <v>1</v>
          </cell>
          <cell r="U49">
            <v>46</v>
          </cell>
          <cell r="W49" t="e">
            <v>#N/A</v>
          </cell>
          <cell r="X49" t="e">
            <v>#N/A</v>
          </cell>
        </row>
        <row r="50">
          <cell r="A50" t="str">
            <v>1,2-Dibromo-3-chloropropane</v>
          </cell>
          <cell r="B50">
            <v>47</v>
          </cell>
          <cell r="C50">
            <v>7</v>
          </cell>
          <cell r="D50" t="str">
            <v>OEHHA</v>
          </cell>
          <cell r="E50">
            <v>6.65</v>
          </cell>
          <cell r="F50" t="str">
            <v>OEHHA</v>
          </cell>
          <cell r="G50">
            <v>2E-3</v>
          </cell>
          <cell r="H50" t="str">
            <v>OEHHA</v>
          </cell>
          <cell r="I50">
            <v>2.0000000000000001E-4</v>
          </cell>
          <cell r="J50" t="str">
            <v>PPRTV</v>
          </cell>
          <cell r="K50">
            <v>5.7142857142857142E-5</v>
          </cell>
          <cell r="L50" t="str">
            <v>IRIS</v>
          </cell>
          <cell r="M50">
            <v>0.2</v>
          </cell>
          <cell r="N50" t="str">
            <v>IRIS</v>
          </cell>
          <cell r="O50">
            <v>0.2</v>
          </cell>
          <cell r="P50" t="str">
            <v>IRIS</v>
          </cell>
          <cell r="R50">
            <v>1</v>
          </cell>
          <cell r="S50">
            <v>0</v>
          </cell>
          <cell r="T50" t="b">
            <v>0</v>
          </cell>
          <cell r="U50" t="e">
            <v>#N/A</v>
          </cell>
          <cell r="W50">
            <v>1</v>
          </cell>
        </row>
        <row r="51">
          <cell r="A51" t="str">
            <v>1,2-Dibromoethane</v>
          </cell>
          <cell r="B51">
            <v>48</v>
          </cell>
          <cell r="C51">
            <v>3.6</v>
          </cell>
          <cell r="D51" t="str">
            <v>OEHHA</v>
          </cell>
          <cell r="E51">
            <v>2.1</v>
          </cell>
          <cell r="F51" t="str">
            <v>OEHHA</v>
          </cell>
          <cell r="G51">
            <v>7.1000000000000005E-5</v>
          </cell>
          <cell r="H51" t="str">
            <v>OEHHA</v>
          </cell>
          <cell r="I51">
            <v>8.9999999999999993E-3</v>
          </cell>
          <cell r="J51" t="str">
            <v>IRIS</v>
          </cell>
          <cell r="K51">
            <v>2.5714285714285713E-3</v>
          </cell>
          <cell r="M51">
            <v>9</v>
          </cell>
          <cell r="O51">
            <v>9</v>
          </cell>
          <cell r="P51" t="str">
            <v>IRIS</v>
          </cell>
          <cell r="Q51">
            <v>8.9999999999999993E-3</v>
          </cell>
          <cell r="R51">
            <v>1</v>
          </cell>
          <cell r="S51">
            <v>0</v>
          </cell>
          <cell r="T51" t="b">
            <v>1</v>
          </cell>
          <cell r="U51">
            <v>48</v>
          </cell>
          <cell r="W51">
            <v>1</v>
          </cell>
        </row>
        <row r="52">
          <cell r="A52" t="str">
            <v>1,2-Dichlorobenzene</v>
          </cell>
          <cell r="B52">
            <v>49</v>
          </cell>
          <cell r="D52"/>
          <cell r="F52"/>
          <cell r="H52"/>
          <cell r="I52">
            <v>0.09</v>
          </cell>
          <cell r="J52" t="str">
            <v>IRIS</v>
          </cell>
          <cell r="K52">
            <v>5.7142857142857099E-2</v>
          </cell>
          <cell r="L52" t="str">
            <v>IRIS</v>
          </cell>
          <cell r="M52">
            <v>200</v>
          </cell>
          <cell r="N52" t="str">
            <v>HEAST</v>
          </cell>
          <cell r="O52">
            <v>200</v>
          </cell>
          <cell r="P52" t="str">
            <v>HEAST</v>
          </cell>
          <cell r="Q52">
            <v>0.09</v>
          </cell>
          <cell r="R52">
            <v>1</v>
          </cell>
          <cell r="S52">
            <v>0</v>
          </cell>
          <cell r="T52" t="b">
            <v>1</v>
          </cell>
          <cell r="U52">
            <v>49</v>
          </cell>
          <cell r="W52">
            <v>1</v>
          </cell>
        </row>
        <row r="53">
          <cell r="A53" t="str">
            <v>1,3-Dichlorobenzene</v>
          </cell>
          <cell r="B53">
            <v>50</v>
          </cell>
          <cell r="D53"/>
          <cell r="F53"/>
          <cell r="H53"/>
          <cell r="Q53">
            <v>0.03</v>
          </cell>
          <cell r="R53">
            <v>1</v>
          </cell>
          <cell r="S53">
            <v>0</v>
          </cell>
          <cell r="T53" t="b">
            <v>0</v>
          </cell>
          <cell r="U53">
            <v>50</v>
          </cell>
          <cell r="W53">
            <v>1</v>
          </cell>
        </row>
        <row r="54">
          <cell r="A54" t="str">
            <v>1,4-Dichlorobenzene</v>
          </cell>
          <cell r="B54">
            <v>51</v>
          </cell>
          <cell r="C54">
            <v>5.3E-3</v>
          </cell>
          <cell r="D54" t="str">
            <v>OEHHA</v>
          </cell>
          <cell r="E54">
            <v>3.85E-2</v>
          </cell>
          <cell r="F54" t="str">
            <v>OEHHA</v>
          </cell>
          <cell r="G54">
            <v>1.1E-5</v>
          </cell>
          <cell r="H54" t="str">
            <v>OEHHA</v>
          </cell>
          <cell r="I54">
            <v>0.03</v>
          </cell>
          <cell r="J54" t="str">
            <v>NCEA</v>
          </cell>
          <cell r="K54">
            <v>0.22857142857142856</v>
          </cell>
          <cell r="L54" t="str">
            <v>IRIS</v>
          </cell>
          <cell r="M54">
            <v>800</v>
          </cell>
          <cell r="N54" t="str">
            <v>IRIS</v>
          </cell>
          <cell r="O54">
            <v>800</v>
          </cell>
          <cell r="P54" t="str">
            <v>IRIS</v>
          </cell>
          <cell r="Q54">
            <v>0.03</v>
          </cell>
          <cell r="R54">
            <v>1</v>
          </cell>
          <cell r="S54">
            <v>0</v>
          </cell>
          <cell r="T54" t="b">
            <v>1</v>
          </cell>
          <cell r="U54">
            <v>51</v>
          </cell>
          <cell r="W54">
            <v>1</v>
          </cell>
        </row>
        <row r="55">
          <cell r="A55" t="str">
            <v>3,3-Dichlorobenzidine</v>
          </cell>
          <cell r="B55">
            <v>52</v>
          </cell>
          <cell r="C55">
            <v>1.2</v>
          </cell>
          <cell r="D55" t="str">
            <v>OEHHA</v>
          </cell>
          <cell r="E55">
            <v>1.05</v>
          </cell>
          <cell r="F55" t="str">
            <v>OEHHA</v>
          </cell>
          <cell r="G55">
            <v>2.9999999999999997E-4</v>
          </cell>
          <cell r="H55" t="str">
            <v>OEHHA</v>
          </cell>
          <cell r="J55"/>
          <cell r="L55"/>
          <cell r="R55">
            <v>1</v>
          </cell>
          <cell r="S55">
            <v>0</v>
          </cell>
          <cell r="T55" t="b">
            <v>1</v>
          </cell>
          <cell r="U55">
            <v>52</v>
          </cell>
          <cell r="W55">
            <v>1</v>
          </cell>
        </row>
        <row r="56">
          <cell r="A56" t="str">
            <v>Dichlorodifluoromethane</v>
          </cell>
          <cell r="B56">
            <v>53</v>
          </cell>
          <cell r="D56"/>
          <cell r="F56"/>
          <cell r="H56"/>
          <cell r="I56">
            <v>0.2</v>
          </cell>
          <cell r="J56" t="str">
            <v>IRIS</v>
          </cell>
          <cell r="M56">
            <v>0.2</v>
          </cell>
          <cell r="N56" t="str">
            <v>HEAST</v>
          </cell>
          <cell r="Q56">
            <v>0.2</v>
          </cell>
          <cell r="R56">
            <v>1</v>
          </cell>
          <cell r="S56">
            <v>0</v>
          </cell>
          <cell r="T56" t="b">
            <v>1</v>
          </cell>
          <cell r="U56">
            <v>53</v>
          </cell>
          <cell r="W56">
            <v>1</v>
          </cell>
        </row>
        <row r="57">
          <cell r="A57" t="str">
            <v>1,1-Dichloroethane</v>
          </cell>
          <cell r="B57">
            <v>54</v>
          </cell>
          <cell r="C57">
            <v>5.7000000000000002E-3</v>
          </cell>
          <cell r="D57" t="str">
            <v>OEHHA</v>
          </cell>
          <cell r="E57">
            <v>5.5999999999999999E-3</v>
          </cell>
          <cell r="F57" t="str">
            <v>OEHHA</v>
          </cell>
          <cell r="G57">
            <v>1.5999999999999999E-6</v>
          </cell>
          <cell r="H57" t="str">
            <v>OEHHA</v>
          </cell>
          <cell r="I57">
            <v>0.2</v>
          </cell>
          <cell r="J57" t="str">
            <v>PPRTV</v>
          </cell>
          <cell r="Q57">
            <v>0.1</v>
          </cell>
          <cell r="R57">
            <v>1</v>
          </cell>
          <cell r="S57">
            <v>0</v>
          </cell>
          <cell r="T57" t="b">
            <v>0</v>
          </cell>
          <cell r="U57">
            <v>54</v>
          </cell>
          <cell r="W57">
            <v>1</v>
          </cell>
        </row>
        <row r="58">
          <cell r="A58" t="str">
            <v>1,2-Dichloroethane</v>
          </cell>
          <cell r="B58">
            <v>55</v>
          </cell>
          <cell r="C58">
            <v>1.7000000000000001E-2</v>
          </cell>
          <cell r="D58" t="str">
            <v>IRIS</v>
          </cell>
          <cell r="E58">
            <v>9.0999999999999998E-2</v>
          </cell>
          <cell r="F58" t="str">
            <v>OEHHA</v>
          </cell>
          <cell r="G58">
            <v>2.0999999999999999E-5</v>
          </cell>
          <cell r="H58" t="str">
            <v>OEHHA</v>
          </cell>
          <cell r="I58">
            <v>0.02</v>
          </cell>
          <cell r="J58" t="str">
            <v>NCEA</v>
          </cell>
          <cell r="K58">
            <v>1.4E-3</v>
          </cell>
          <cell r="L58" t="str">
            <v>NCEA</v>
          </cell>
          <cell r="M58">
            <v>2.4</v>
          </cell>
          <cell r="N58" t="str">
            <v>ATSDR</v>
          </cell>
          <cell r="O58">
            <v>2.4</v>
          </cell>
          <cell r="P58" t="str">
            <v>ATSDR</v>
          </cell>
          <cell r="Q58">
            <v>0.02</v>
          </cell>
          <cell r="R58">
            <v>1</v>
          </cell>
          <cell r="S58">
            <v>0</v>
          </cell>
          <cell r="T58" t="b">
            <v>1</v>
          </cell>
          <cell r="U58">
            <v>55</v>
          </cell>
          <cell r="W58">
            <v>1</v>
          </cell>
        </row>
        <row r="59">
          <cell r="A59" t="str">
            <v>cis-1,2-Dichloroethene</v>
          </cell>
          <cell r="B59">
            <v>56</v>
          </cell>
          <cell r="D59"/>
          <cell r="F59"/>
          <cell r="H59"/>
          <cell r="I59">
            <v>2E-3</v>
          </cell>
          <cell r="J59" t="str">
            <v>IRIS</v>
          </cell>
          <cell r="K59">
            <v>0.01</v>
          </cell>
          <cell r="L59" t="str">
            <v>HEAST</v>
          </cell>
          <cell r="Q59">
            <v>0.01</v>
          </cell>
          <cell r="R59">
            <v>1</v>
          </cell>
          <cell r="S59">
            <v>0</v>
          </cell>
          <cell r="T59" t="b">
            <v>0</v>
          </cell>
          <cell r="U59">
            <v>56</v>
          </cell>
          <cell r="W59">
            <v>1</v>
          </cell>
        </row>
        <row r="60">
          <cell r="A60" t="str">
            <v>trans-1,2-Dichloroethene</v>
          </cell>
          <cell r="B60">
            <v>57</v>
          </cell>
          <cell r="D60"/>
          <cell r="F60"/>
          <cell r="H60"/>
          <cell r="I60">
            <v>0.02</v>
          </cell>
          <cell r="J60" t="str">
            <v>IRIS</v>
          </cell>
          <cell r="K60">
            <v>0.02</v>
          </cell>
          <cell r="L60" t="str">
            <v>IRIS</v>
          </cell>
          <cell r="M60">
            <v>60</v>
          </cell>
          <cell r="N60" t="str">
            <v>PPRTV</v>
          </cell>
          <cell r="O60">
            <v>6</v>
          </cell>
          <cell r="P60" t="str">
            <v>PPRTV</v>
          </cell>
          <cell r="Q60">
            <v>0.02</v>
          </cell>
          <cell r="R60">
            <v>1</v>
          </cell>
          <cell r="S60">
            <v>0</v>
          </cell>
          <cell r="T60" t="b">
            <v>1</v>
          </cell>
          <cell r="U60">
            <v>57</v>
          </cell>
          <cell r="W60">
            <v>1</v>
          </cell>
        </row>
        <row r="61">
          <cell r="A61" t="str">
            <v>1,1-Dichloroethene</v>
          </cell>
          <cell r="B61">
            <v>58</v>
          </cell>
          <cell r="H61"/>
          <cell r="I61">
            <v>0.05</v>
          </cell>
          <cell r="J61" t="str">
            <v>IRIS</v>
          </cell>
          <cell r="K61">
            <v>5.7142857142857141E-2</v>
          </cell>
          <cell r="L61" t="str">
            <v>IRIS</v>
          </cell>
          <cell r="M61">
            <v>200</v>
          </cell>
          <cell r="N61" t="str">
            <v>IRIS</v>
          </cell>
          <cell r="O61">
            <v>200</v>
          </cell>
          <cell r="P61" t="str">
            <v>IRIS</v>
          </cell>
          <cell r="Q61">
            <v>0.05</v>
          </cell>
          <cell r="R61">
            <v>1</v>
          </cell>
          <cell r="S61">
            <v>0</v>
          </cell>
          <cell r="T61" t="b">
            <v>1</v>
          </cell>
          <cell r="U61">
            <v>58</v>
          </cell>
          <cell r="W61">
            <v>1</v>
          </cell>
        </row>
        <row r="62">
          <cell r="A62" t="str">
            <v>Methylene chloride</v>
          </cell>
          <cell r="B62">
            <v>59</v>
          </cell>
          <cell r="C62">
            <v>1.4E-2</v>
          </cell>
          <cell r="D62" t="str">
            <v>OEHHA</v>
          </cell>
          <cell r="E62">
            <v>1.645E-3</v>
          </cell>
          <cell r="F62" t="str">
            <v>OEHHA</v>
          </cell>
          <cell r="G62">
            <v>4.7E-7</v>
          </cell>
          <cell r="H62" t="str">
            <v>IRIS</v>
          </cell>
          <cell r="I62">
            <v>0.06</v>
          </cell>
          <cell r="J62" t="str">
            <v>IRIS</v>
          </cell>
          <cell r="K62">
            <v>0.11428571428571428</v>
          </cell>
          <cell r="L62" t="str">
            <v>OEHHA</v>
          </cell>
          <cell r="M62">
            <v>400</v>
          </cell>
          <cell r="N62" t="str">
            <v>OEHHA</v>
          </cell>
          <cell r="O62">
            <v>400</v>
          </cell>
          <cell r="P62" t="str">
            <v>OEHHA</v>
          </cell>
          <cell r="Q62">
            <v>0.06</v>
          </cell>
          <cell r="R62">
            <v>1</v>
          </cell>
          <cell r="S62">
            <v>0</v>
          </cell>
          <cell r="T62" t="b">
            <v>1</v>
          </cell>
          <cell r="U62" t="e">
            <v>#N/A</v>
          </cell>
          <cell r="W62">
            <v>1</v>
          </cell>
        </row>
        <row r="63">
          <cell r="A63" t="str">
            <v>2,4-Dichlorophenol</v>
          </cell>
          <cell r="B63">
            <v>60</v>
          </cell>
          <cell r="D63"/>
          <cell r="F63"/>
          <cell r="H63"/>
          <cell r="I63">
            <v>3.0000000000000001E-3</v>
          </cell>
          <cell r="J63" t="str">
            <v>IRIS</v>
          </cell>
          <cell r="Q63">
            <v>3.0000000000000001E-3</v>
          </cell>
          <cell r="R63">
            <v>1</v>
          </cell>
          <cell r="S63">
            <v>0</v>
          </cell>
          <cell r="T63" t="b">
            <v>1</v>
          </cell>
          <cell r="U63">
            <v>60</v>
          </cell>
          <cell r="W63">
            <v>1</v>
          </cell>
        </row>
        <row r="64">
          <cell r="A64" t="str">
            <v>1,2-Dichloropropane</v>
          </cell>
          <cell r="B64">
            <v>61</v>
          </cell>
          <cell r="C64">
            <v>3.5999999999999997E-2</v>
          </cell>
          <cell r="D64" t="str">
            <v>OEHHA</v>
          </cell>
          <cell r="E64">
            <v>3.5000000000000003E-2</v>
          </cell>
          <cell r="F64" t="str">
            <v>OEHHA</v>
          </cell>
          <cell r="G64">
            <v>1.0000000000000001E-5</v>
          </cell>
          <cell r="H64" t="str">
            <v>OEHHA</v>
          </cell>
          <cell r="K64">
            <v>1.1428571428571427E-3</v>
          </cell>
          <cell r="L64" t="str">
            <v>IRIS</v>
          </cell>
          <cell r="M64">
            <v>4</v>
          </cell>
          <cell r="N64" t="str">
            <v>IRIS</v>
          </cell>
          <cell r="O64">
            <v>4</v>
          </cell>
          <cell r="P64" t="str">
            <v>IRIS</v>
          </cell>
          <cell r="R64">
            <v>1</v>
          </cell>
          <cell r="S64">
            <v>0</v>
          </cell>
          <cell r="T64" t="b">
            <v>1</v>
          </cell>
          <cell r="U64">
            <v>61</v>
          </cell>
          <cell r="W64">
            <v>1</v>
          </cell>
        </row>
        <row r="65">
          <cell r="A65" t="str">
            <v>1,3-Dichloropropene</v>
          </cell>
          <cell r="B65">
            <v>62</v>
          </cell>
          <cell r="C65">
            <v>7.0999999999999994E-2</v>
          </cell>
          <cell r="D65" t="str">
            <v>OEHHA</v>
          </cell>
          <cell r="E65">
            <v>5.5999999999999994E-2</v>
          </cell>
          <cell r="F65" t="str">
            <v>OEHHA</v>
          </cell>
          <cell r="G65">
            <v>1.5999999999999999E-5</v>
          </cell>
          <cell r="H65" t="str">
            <v>OEHHA</v>
          </cell>
          <cell r="I65">
            <v>0.03</v>
          </cell>
          <cell r="J65" t="str">
            <v>IRIS</v>
          </cell>
          <cell r="K65">
            <v>5.7142857142857134E-3</v>
          </cell>
          <cell r="L65" t="str">
            <v>IRIS</v>
          </cell>
          <cell r="M65">
            <v>20</v>
          </cell>
          <cell r="N65" t="str">
            <v>IRIS</v>
          </cell>
          <cell r="O65">
            <v>20</v>
          </cell>
          <cell r="P65" t="str">
            <v>IRIS</v>
          </cell>
          <cell r="Q65">
            <v>0.03</v>
          </cell>
          <cell r="R65">
            <v>1</v>
          </cell>
          <cell r="S65">
            <v>0</v>
          </cell>
          <cell r="T65" t="b">
            <v>1</v>
          </cell>
          <cell r="U65">
            <v>62</v>
          </cell>
          <cell r="W65" t="e">
            <v>#N/A</v>
          </cell>
        </row>
        <row r="66">
          <cell r="A66" t="str">
            <v>Dieldrin</v>
          </cell>
          <cell r="B66">
            <v>63</v>
          </cell>
          <cell r="C66">
            <v>16</v>
          </cell>
          <cell r="D66" t="str">
            <v>IRIS</v>
          </cell>
          <cell r="E66">
            <v>16.100000000000001</v>
          </cell>
          <cell r="F66" t="str">
            <v>IRIS</v>
          </cell>
          <cell r="G66">
            <v>4.5999999999999999E-3</v>
          </cell>
          <cell r="H66" t="str">
            <v>IRIS</v>
          </cell>
          <cell r="I66">
            <v>5.0000000000000002E-5</v>
          </cell>
          <cell r="J66" t="str">
            <v>IRIS</v>
          </cell>
          <cell r="Q66">
            <v>5.0000000000000002E-5</v>
          </cell>
          <cell r="R66">
            <v>1</v>
          </cell>
          <cell r="S66">
            <v>0.05</v>
          </cell>
          <cell r="T66" t="b">
            <v>1</v>
          </cell>
          <cell r="U66">
            <v>63</v>
          </cell>
          <cell r="W66">
            <v>1</v>
          </cell>
        </row>
        <row r="67">
          <cell r="A67" t="str">
            <v>Diethyl phthalate</v>
          </cell>
          <cell r="B67">
            <v>64</v>
          </cell>
          <cell r="D67"/>
          <cell r="F67"/>
          <cell r="H67"/>
          <cell r="I67">
            <v>0.8</v>
          </cell>
          <cell r="J67" t="str">
            <v>IRIS</v>
          </cell>
          <cell r="Q67">
            <v>0.8</v>
          </cell>
          <cell r="R67">
            <v>1</v>
          </cell>
          <cell r="S67">
            <v>0.1</v>
          </cell>
          <cell r="T67" t="b">
            <v>1</v>
          </cell>
          <cell r="U67">
            <v>64</v>
          </cell>
          <cell r="W67">
            <v>1</v>
          </cell>
        </row>
        <row r="68">
          <cell r="A68" t="str">
            <v>Dimethyl phthalate</v>
          </cell>
          <cell r="B68">
            <v>65</v>
          </cell>
          <cell r="D68"/>
          <cell r="F68"/>
          <cell r="H68"/>
          <cell r="I68">
            <v>10</v>
          </cell>
          <cell r="J68" t="str">
            <v>HEAST</v>
          </cell>
          <cell r="Q68">
            <v>10</v>
          </cell>
          <cell r="R68">
            <v>1</v>
          </cell>
          <cell r="S68">
            <v>0.1</v>
          </cell>
          <cell r="T68" t="b">
            <v>1</v>
          </cell>
          <cell r="U68">
            <v>65</v>
          </cell>
          <cell r="W68">
            <v>1</v>
          </cell>
        </row>
        <row r="69">
          <cell r="A69" t="str">
            <v>Dibutyl phthalate</v>
          </cell>
          <cell r="B69">
            <v>66</v>
          </cell>
          <cell r="D69"/>
          <cell r="F69"/>
          <cell r="H69"/>
          <cell r="I69">
            <v>0.1</v>
          </cell>
          <cell r="J69" t="str">
            <v>IRIS</v>
          </cell>
          <cell r="Q69">
            <v>0.1</v>
          </cell>
          <cell r="R69">
            <v>1</v>
          </cell>
          <cell r="S69">
            <v>0</v>
          </cell>
          <cell r="T69" t="b">
            <v>1</v>
          </cell>
          <cell r="U69">
            <v>66</v>
          </cell>
          <cell r="W69">
            <v>1</v>
          </cell>
        </row>
        <row r="70">
          <cell r="A70" t="str">
            <v>2,4-Dimethylphenol</v>
          </cell>
          <cell r="B70">
            <v>67</v>
          </cell>
          <cell r="D70"/>
          <cell r="F70"/>
          <cell r="H70"/>
          <cell r="I70">
            <v>0.02</v>
          </cell>
          <cell r="J70" t="str">
            <v>IRIS</v>
          </cell>
          <cell r="L70"/>
          <cell r="Q70">
            <v>0.02</v>
          </cell>
          <cell r="R70">
            <v>1</v>
          </cell>
          <cell r="S70">
            <v>0</v>
          </cell>
          <cell r="T70" t="b">
            <v>1</v>
          </cell>
          <cell r="U70">
            <v>67</v>
          </cell>
          <cell r="W70">
            <v>1</v>
          </cell>
        </row>
        <row r="71">
          <cell r="A71" t="str">
            <v>2,4-Dinitro-2-methylphenol</v>
          </cell>
          <cell r="B71">
            <v>68</v>
          </cell>
          <cell r="D71"/>
          <cell r="F71"/>
          <cell r="H71"/>
          <cell r="R71">
            <v>1</v>
          </cell>
          <cell r="S71">
            <v>0</v>
          </cell>
          <cell r="T71" t="b">
            <v>1</v>
          </cell>
          <cell r="U71">
            <v>68</v>
          </cell>
          <cell r="W71">
            <v>1</v>
          </cell>
        </row>
        <row r="72">
          <cell r="A72" t="str">
            <v>2,4-Dinitrophenol</v>
          </cell>
          <cell r="B72">
            <v>69</v>
          </cell>
          <cell r="D72"/>
          <cell r="F72"/>
          <cell r="H72"/>
          <cell r="I72">
            <v>2E-3</v>
          </cell>
          <cell r="J72" t="str">
            <v>IRIS</v>
          </cell>
          <cell r="K72">
            <v>2E-3</v>
          </cell>
          <cell r="L72" t="str">
            <v>IRIS</v>
          </cell>
          <cell r="Q72">
            <v>0.02</v>
          </cell>
          <cell r="R72">
            <v>1</v>
          </cell>
          <cell r="S72">
            <v>0</v>
          </cell>
          <cell r="T72" t="b">
            <v>0</v>
          </cell>
          <cell r="U72">
            <v>69</v>
          </cell>
          <cell r="W72">
            <v>1</v>
          </cell>
        </row>
        <row r="73">
          <cell r="A73" t="str">
            <v>2,4-Dinitrotoluene</v>
          </cell>
          <cell r="B73">
            <v>70</v>
          </cell>
          <cell r="C73">
            <v>0.68</v>
          </cell>
          <cell r="D73" t="str">
            <v>IRIS</v>
          </cell>
          <cell r="E73">
            <v>0.3115</v>
          </cell>
          <cell r="F73" t="str">
            <v>OEHHA</v>
          </cell>
          <cell r="G73">
            <v>8.8999999999999995E-5</v>
          </cell>
          <cell r="H73" t="str">
            <v>OEHHA</v>
          </cell>
          <cell r="I73">
            <v>2E-3</v>
          </cell>
          <cell r="J73" t="str">
            <v>IRIS</v>
          </cell>
          <cell r="K73">
            <v>2E-3</v>
          </cell>
          <cell r="L73" t="str">
            <v>IRIS</v>
          </cell>
          <cell r="Q73">
            <v>2E-3</v>
          </cell>
          <cell r="R73">
            <v>1</v>
          </cell>
          <cell r="S73">
            <v>0</v>
          </cell>
          <cell r="T73" t="b">
            <v>1</v>
          </cell>
          <cell r="U73">
            <v>70</v>
          </cell>
          <cell r="W73">
            <v>1</v>
          </cell>
        </row>
        <row r="74">
          <cell r="A74" t="str">
            <v>1,2-Diphenylhydrazine</v>
          </cell>
          <cell r="B74">
            <v>71</v>
          </cell>
          <cell r="C74">
            <v>0.8</v>
          </cell>
          <cell r="D74" t="str">
            <v>IRIS</v>
          </cell>
          <cell r="E74">
            <v>0.77</v>
          </cell>
          <cell r="F74" t="str">
            <v>IRIS</v>
          </cell>
          <cell r="G74">
            <v>2.2000000000000001E-4</v>
          </cell>
          <cell r="H74" t="str">
            <v>IRIS</v>
          </cell>
          <cell r="J74"/>
          <cell r="L74"/>
          <cell r="R74">
            <v>1</v>
          </cell>
          <cell r="S74">
            <v>0</v>
          </cell>
          <cell r="T74" t="b">
            <v>1</v>
          </cell>
          <cell r="U74">
            <v>71</v>
          </cell>
          <cell r="W74">
            <v>1</v>
          </cell>
        </row>
        <row r="75">
          <cell r="A75" t="str">
            <v>1,4-Dioxane</v>
          </cell>
          <cell r="B75">
            <v>72</v>
          </cell>
          <cell r="C75">
            <v>2.7E-2</v>
          </cell>
          <cell r="D75" t="str">
            <v>OEHHA</v>
          </cell>
          <cell r="E75">
            <v>2.6950000000000002E-2</v>
          </cell>
          <cell r="F75" t="str">
            <v>OEHHA</v>
          </cell>
          <cell r="G75">
            <v>7.7000000000000008E-6</v>
          </cell>
          <cell r="H75" t="str">
            <v>OEHHA</v>
          </cell>
          <cell r="K75">
            <v>0.8571428571428571</v>
          </cell>
          <cell r="L75" t="str">
            <v>OEHHA</v>
          </cell>
          <cell r="M75">
            <v>3000</v>
          </cell>
          <cell r="N75" t="str">
            <v>OEHHA</v>
          </cell>
          <cell r="O75">
            <v>3000</v>
          </cell>
          <cell r="P75" t="str">
            <v>OEHHA</v>
          </cell>
          <cell r="R75">
            <v>1</v>
          </cell>
          <cell r="S75">
            <v>0</v>
          </cell>
          <cell r="T75" t="b">
            <v>1</v>
          </cell>
          <cell r="U75">
            <v>72</v>
          </cell>
          <cell r="W75">
            <v>1</v>
          </cell>
        </row>
        <row r="76">
          <cell r="A76" t="str">
            <v>1,2,3,4,6,7,8-Heptachlorodibenzofuran</v>
          </cell>
          <cell r="B76">
            <v>74</v>
          </cell>
          <cell r="C76">
            <v>13</v>
          </cell>
          <cell r="D76" t="str">
            <v>OEHHA</v>
          </cell>
          <cell r="E76">
            <v>1330</v>
          </cell>
          <cell r="G76">
            <v>0.38</v>
          </cell>
          <cell r="H76" t="str">
            <v>OEHHA</v>
          </cell>
          <cell r="L76"/>
          <cell r="R76">
            <v>1</v>
          </cell>
          <cell r="S76">
            <v>0</v>
          </cell>
          <cell r="T76" t="b">
            <v>1</v>
          </cell>
          <cell r="U76">
            <v>74</v>
          </cell>
          <cell r="W76">
            <v>1</v>
          </cell>
        </row>
        <row r="77">
          <cell r="A77" t="str">
            <v>1,2,3,4,7,8,9-Heptachlorodibenzofuran</v>
          </cell>
          <cell r="B77">
            <v>75</v>
          </cell>
          <cell r="C77">
            <v>13</v>
          </cell>
          <cell r="D77" t="str">
            <v>OEHHA</v>
          </cell>
          <cell r="E77">
            <v>1330</v>
          </cell>
          <cell r="G77">
            <v>0.38</v>
          </cell>
          <cell r="H77" t="str">
            <v>OEHHA</v>
          </cell>
          <cell r="L77"/>
          <cell r="R77">
            <v>1</v>
          </cell>
          <cell r="S77">
            <v>0</v>
          </cell>
          <cell r="T77" t="b">
            <v>1</v>
          </cell>
          <cell r="U77">
            <v>75</v>
          </cell>
          <cell r="W77">
            <v>1</v>
          </cell>
        </row>
        <row r="78">
          <cell r="A78" t="str">
            <v>1,2,3,4,6,7,8-Heptachlorodibenzo-p-dioxin</v>
          </cell>
          <cell r="B78">
            <v>76</v>
          </cell>
          <cell r="C78">
            <v>13</v>
          </cell>
          <cell r="D78" t="str">
            <v>OEHHA</v>
          </cell>
          <cell r="E78">
            <v>1330</v>
          </cell>
          <cell r="G78">
            <v>0.38</v>
          </cell>
          <cell r="H78" t="str">
            <v>OEHHA</v>
          </cell>
          <cell r="L78"/>
          <cell r="R78">
            <v>1</v>
          </cell>
          <cell r="S78">
            <v>0</v>
          </cell>
          <cell r="T78" t="b">
            <v>1</v>
          </cell>
          <cell r="U78">
            <v>76</v>
          </cell>
          <cell r="W78">
            <v>1</v>
          </cell>
        </row>
        <row r="79">
          <cell r="A79" t="str">
            <v>1,2,3,4,7,8-Hexachlorodibenzofuran</v>
          </cell>
          <cell r="B79">
            <v>77</v>
          </cell>
          <cell r="C79">
            <v>13</v>
          </cell>
          <cell r="D79" t="str">
            <v>OEHHA</v>
          </cell>
          <cell r="E79">
            <v>13300</v>
          </cell>
          <cell r="F79" t="str">
            <v>OEHHA</v>
          </cell>
          <cell r="G79">
            <v>3.8</v>
          </cell>
          <cell r="H79" t="str">
            <v>OEHHA</v>
          </cell>
          <cell r="L79"/>
          <cell r="R79">
            <v>1</v>
          </cell>
          <cell r="S79">
            <v>0</v>
          </cell>
          <cell r="T79" t="b">
            <v>1</v>
          </cell>
          <cell r="U79">
            <v>77</v>
          </cell>
          <cell r="W79">
            <v>1</v>
          </cell>
        </row>
        <row r="80">
          <cell r="A80" t="str">
            <v>1,2,3,6,7,8-Hexachlorodibenzofuran</v>
          </cell>
          <cell r="B80">
            <v>78</v>
          </cell>
          <cell r="C80">
            <v>1300</v>
          </cell>
          <cell r="D80" t="str">
            <v>OEHHA</v>
          </cell>
          <cell r="E80">
            <v>1300</v>
          </cell>
          <cell r="H80"/>
          <cell r="L80"/>
          <cell r="R80">
            <v>1</v>
          </cell>
          <cell r="S80">
            <v>0</v>
          </cell>
          <cell r="T80" t="b">
            <v>1</v>
          </cell>
          <cell r="U80">
            <v>78</v>
          </cell>
          <cell r="W80">
            <v>1</v>
          </cell>
        </row>
        <row r="81">
          <cell r="A81" t="str">
            <v>2,3,4,6,7,8-Hexachlorodibenzofuran</v>
          </cell>
          <cell r="B81">
            <v>79</v>
          </cell>
          <cell r="E81">
            <v>1300</v>
          </cell>
          <cell r="H81"/>
          <cell r="L81"/>
          <cell r="R81">
            <v>1</v>
          </cell>
          <cell r="S81">
            <v>0</v>
          </cell>
          <cell r="T81" t="b">
            <v>1</v>
          </cell>
          <cell r="U81">
            <v>79</v>
          </cell>
          <cell r="W81">
            <v>1</v>
          </cell>
        </row>
        <row r="82">
          <cell r="A82" t="str">
            <v>2,3,4,7,8-Pentachlorodibenzofuran</v>
          </cell>
          <cell r="B82">
            <v>80</v>
          </cell>
          <cell r="E82">
            <v>65000</v>
          </cell>
          <cell r="H82"/>
          <cell r="L82"/>
          <cell r="R82">
            <v>1</v>
          </cell>
          <cell r="S82">
            <v>0</v>
          </cell>
          <cell r="T82" t="b">
            <v>1</v>
          </cell>
          <cell r="U82">
            <v>80</v>
          </cell>
          <cell r="W82">
            <v>1</v>
          </cell>
        </row>
        <row r="83">
          <cell r="A83" t="str">
            <v>Octachlorodibenzo-p-dioxin</v>
          </cell>
          <cell r="B83">
            <v>81</v>
          </cell>
          <cell r="C83">
            <v>13</v>
          </cell>
          <cell r="D83" t="str">
            <v>OEHHA</v>
          </cell>
          <cell r="E83">
            <v>130</v>
          </cell>
          <cell r="G83">
            <v>3.8E-3</v>
          </cell>
          <cell r="H83" t="str">
            <v>OEHHA</v>
          </cell>
          <cell r="L83"/>
          <cell r="R83">
            <v>1</v>
          </cell>
          <cell r="S83">
            <v>0</v>
          </cell>
          <cell r="T83" t="b">
            <v>1</v>
          </cell>
          <cell r="U83">
            <v>81</v>
          </cell>
          <cell r="W83">
            <v>1</v>
          </cell>
        </row>
        <row r="84">
          <cell r="A84" t="str">
            <v>Dioxin (2,3,7,8-TCDD)</v>
          </cell>
          <cell r="B84">
            <v>82</v>
          </cell>
          <cell r="C84">
            <v>130000</v>
          </cell>
          <cell r="D84" t="str">
            <v>OEHHA</v>
          </cell>
          <cell r="E84">
            <v>130000</v>
          </cell>
          <cell r="G84">
            <v>38</v>
          </cell>
          <cell r="H84" t="str">
            <v>OEHHA</v>
          </cell>
          <cell r="L84"/>
          <cell r="R84">
            <v>1</v>
          </cell>
          <cell r="S84">
            <v>0.03</v>
          </cell>
          <cell r="T84" t="b">
            <v>1</v>
          </cell>
          <cell r="U84" t="e">
            <v>#N/A</v>
          </cell>
          <cell r="W84">
            <v>1</v>
          </cell>
        </row>
        <row r="85">
          <cell r="A85" t="str">
            <v>2,3,7,8-Tetrachlorodibenzofuran</v>
          </cell>
          <cell r="B85">
            <v>83</v>
          </cell>
          <cell r="C85">
            <v>13000</v>
          </cell>
          <cell r="E85">
            <v>13000</v>
          </cell>
          <cell r="G85">
            <v>3.8</v>
          </cell>
          <cell r="H85" t="str">
            <v>OEHHA</v>
          </cell>
          <cell r="L85"/>
          <cell r="R85">
            <v>1</v>
          </cell>
          <cell r="S85">
            <v>0</v>
          </cell>
          <cell r="T85" t="b">
            <v>1</v>
          </cell>
          <cell r="U85">
            <v>83</v>
          </cell>
          <cell r="W85">
            <v>1</v>
          </cell>
        </row>
        <row r="86">
          <cell r="A86" t="str">
            <v>Endosulfan</v>
          </cell>
          <cell r="B86">
            <v>84</v>
          </cell>
          <cell r="D86"/>
          <cell r="F86"/>
          <cell r="H86"/>
          <cell r="I86">
            <v>6.0000000000000001E-3</v>
          </cell>
          <cell r="J86" t="str">
            <v>IRIS</v>
          </cell>
          <cell r="R86">
            <v>1</v>
          </cell>
          <cell r="S86">
            <v>0.05</v>
          </cell>
          <cell r="T86" t="b">
            <v>0</v>
          </cell>
          <cell r="U86">
            <v>84</v>
          </cell>
          <cell r="W86">
            <v>1</v>
          </cell>
        </row>
        <row r="87">
          <cell r="A87" t="str">
            <v>Endrin</v>
          </cell>
          <cell r="B87">
            <v>85</v>
          </cell>
          <cell r="D87"/>
          <cell r="F87"/>
          <cell r="H87"/>
          <cell r="I87">
            <v>2.9999999999999997E-4</v>
          </cell>
          <cell r="J87" t="str">
            <v>IRIS</v>
          </cell>
          <cell r="R87">
            <v>1</v>
          </cell>
          <cell r="S87">
            <v>0.05</v>
          </cell>
          <cell r="T87" t="b">
            <v>0</v>
          </cell>
          <cell r="U87">
            <v>85</v>
          </cell>
          <cell r="W87">
            <v>1</v>
          </cell>
        </row>
        <row r="88">
          <cell r="A88" t="str">
            <v>Ethanol</v>
          </cell>
          <cell r="B88">
            <v>86</v>
          </cell>
          <cell r="D88"/>
          <cell r="F88"/>
          <cell r="H88"/>
          <cell r="L88"/>
          <cell r="R88">
            <v>1</v>
          </cell>
          <cell r="S88">
            <v>0</v>
          </cell>
          <cell r="T88" t="b">
            <v>1</v>
          </cell>
          <cell r="U88">
            <v>86</v>
          </cell>
          <cell r="W88">
            <v>1</v>
          </cell>
        </row>
        <row r="89">
          <cell r="A89" t="str">
            <v>Ethylbenzene</v>
          </cell>
          <cell r="B89">
            <v>87</v>
          </cell>
          <cell r="C89">
            <v>1.0999999999999999E-2</v>
          </cell>
          <cell r="D89" t="str">
            <v>OEHHA</v>
          </cell>
          <cell r="E89">
            <v>8.6999999999999994E-3</v>
          </cell>
          <cell r="F89" t="str">
            <v>OEHHA</v>
          </cell>
          <cell r="G89">
            <v>2.5000000000000002E-6</v>
          </cell>
          <cell r="H89" t="str">
            <v>OEHHA</v>
          </cell>
          <cell r="I89">
            <v>0.1</v>
          </cell>
          <cell r="J89" t="str">
            <v>IRIS</v>
          </cell>
          <cell r="K89">
            <v>0.28571428571428575</v>
          </cell>
          <cell r="L89" t="str">
            <v>IRIS</v>
          </cell>
          <cell r="M89">
            <v>1000</v>
          </cell>
          <cell r="N89" t="str">
            <v>IRIS</v>
          </cell>
          <cell r="O89">
            <v>1000</v>
          </cell>
          <cell r="P89" t="str">
            <v>IRIS</v>
          </cell>
          <cell r="Q89">
            <v>0.1</v>
          </cell>
          <cell r="R89">
            <v>1</v>
          </cell>
          <cell r="S89">
            <v>0</v>
          </cell>
          <cell r="T89" t="b">
            <v>1</v>
          </cell>
          <cell r="U89">
            <v>87</v>
          </cell>
          <cell r="W89">
            <v>1</v>
          </cell>
        </row>
        <row r="90">
          <cell r="A90" t="str">
            <v>Flouride</v>
          </cell>
          <cell r="B90">
            <v>88</v>
          </cell>
          <cell r="D90"/>
          <cell r="F90"/>
          <cell r="H90"/>
          <cell r="I90">
            <v>0.06</v>
          </cell>
          <cell r="J90" t="str">
            <v>IRIS</v>
          </cell>
          <cell r="L90"/>
          <cell r="Q90">
            <v>0.06</v>
          </cell>
          <cell r="R90">
            <v>1</v>
          </cell>
          <cell r="S90">
            <v>0</v>
          </cell>
          <cell r="T90" t="b">
            <v>1</v>
          </cell>
          <cell r="U90">
            <v>88</v>
          </cell>
          <cell r="W90">
            <v>1</v>
          </cell>
        </row>
        <row r="91">
          <cell r="A91" t="str">
            <v>Fluorotrichloromethane</v>
          </cell>
          <cell r="B91">
            <v>89</v>
          </cell>
          <cell r="D91"/>
          <cell r="F91"/>
          <cell r="H91"/>
          <cell r="R91">
            <v>1</v>
          </cell>
          <cell r="S91">
            <v>0</v>
          </cell>
          <cell r="T91" t="b">
            <v>1</v>
          </cell>
          <cell r="U91">
            <v>89</v>
          </cell>
          <cell r="W91">
            <v>1</v>
          </cell>
        </row>
        <row r="92">
          <cell r="A92" t="str">
            <v>Heptachlor</v>
          </cell>
          <cell r="B92">
            <v>90</v>
          </cell>
          <cell r="C92">
            <v>4.0999999999999996</v>
          </cell>
          <cell r="D92" t="str">
            <v>OEHHA</v>
          </cell>
          <cell r="E92">
            <v>4.0999999999999996</v>
          </cell>
          <cell r="F92" t="str">
            <v>OEHHA</v>
          </cell>
          <cell r="G92">
            <v>1.1714285714285713E-3</v>
          </cell>
          <cell r="H92" t="str">
            <v>OEHHA</v>
          </cell>
          <cell r="I92">
            <v>5.0000000000000001E-4</v>
          </cell>
          <cell r="J92" t="str">
            <v>IRIS</v>
          </cell>
          <cell r="Q92">
            <v>5.0000000000000001E-4</v>
          </cell>
          <cell r="R92">
            <v>1</v>
          </cell>
          <cell r="S92">
            <v>0.05</v>
          </cell>
          <cell r="T92" t="b">
            <v>1</v>
          </cell>
          <cell r="U92">
            <v>90</v>
          </cell>
          <cell r="W92">
            <v>1</v>
          </cell>
        </row>
        <row r="93">
          <cell r="A93" t="str">
            <v>Hexachlorobenzene</v>
          </cell>
          <cell r="B93">
            <v>91</v>
          </cell>
          <cell r="C93">
            <v>1.8</v>
          </cell>
          <cell r="D93" t="str">
            <v>OEHHA</v>
          </cell>
          <cell r="E93">
            <v>1.61</v>
          </cell>
          <cell r="F93" t="str">
            <v>IRIS</v>
          </cell>
          <cell r="G93">
            <v>5.1000000000000004E-4</v>
          </cell>
          <cell r="H93" t="str">
            <v>OEHHA</v>
          </cell>
          <cell r="I93">
            <v>8.0000000000000004E-4</v>
          </cell>
          <cell r="J93" t="str">
            <v>IRIS</v>
          </cell>
          <cell r="Q93">
            <v>8.0000000000000004E-4</v>
          </cell>
          <cell r="R93">
            <v>1</v>
          </cell>
          <cell r="S93">
            <v>0.05</v>
          </cell>
          <cell r="T93" t="b">
            <v>1</v>
          </cell>
          <cell r="U93">
            <v>91</v>
          </cell>
          <cell r="W93">
            <v>1</v>
          </cell>
        </row>
        <row r="94">
          <cell r="A94" t="str">
            <v>Hexachlorobutadiene</v>
          </cell>
          <cell r="B94">
            <v>92</v>
          </cell>
          <cell r="C94">
            <v>7.8E-2</v>
          </cell>
          <cell r="D94" t="str">
            <v>IRIS</v>
          </cell>
          <cell r="E94">
            <v>7.8E-2</v>
          </cell>
          <cell r="F94" t="str">
            <v>IRIS</v>
          </cell>
          <cell r="H94"/>
          <cell r="I94">
            <v>1E-3</v>
          </cell>
          <cell r="J94" t="str">
            <v>PPRTV</v>
          </cell>
          <cell r="Q94">
            <v>2.0000000000000001E-4</v>
          </cell>
          <cell r="R94">
            <v>1</v>
          </cell>
          <cell r="S94">
            <v>0</v>
          </cell>
          <cell r="T94" t="b">
            <v>0</v>
          </cell>
          <cell r="U94">
            <v>92</v>
          </cell>
          <cell r="W94">
            <v>0.04</v>
          </cell>
        </row>
        <row r="95">
          <cell r="A95" t="str">
            <v>Hexachlorocyclopentadiene</v>
          </cell>
          <cell r="B95">
            <v>93</v>
          </cell>
          <cell r="D95"/>
          <cell r="F95"/>
          <cell r="H95"/>
          <cell r="I95">
            <v>6.0000000000000001E-3</v>
          </cell>
          <cell r="J95" t="str">
            <v>IRIS</v>
          </cell>
          <cell r="K95">
            <v>5.7142857142857142E-5</v>
          </cell>
          <cell r="L95" t="str">
            <v>IRIS</v>
          </cell>
          <cell r="M95">
            <v>0.2</v>
          </cell>
          <cell r="N95" t="str">
            <v>IRIS</v>
          </cell>
          <cell r="O95">
            <v>0.2</v>
          </cell>
          <cell r="P95" t="str">
            <v>IRIS</v>
          </cell>
          <cell r="Q95">
            <v>6.0000000000000001E-3</v>
          </cell>
          <cell r="R95">
            <v>1</v>
          </cell>
          <cell r="S95">
            <v>0</v>
          </cell>
          <cell r="T95" t="b">
            <v>1</v>
          </cell>
          <cell r="U95">
            <v>93</v>
          </cell>
          <cell r="W95">
            <v>1</v>
          </cell>
        </row>
        <row r="96">
          <cell r="A96" t="str">
            <v>Hexachloroethane</v>
          </cell>
          <cell r="B96">
            <v>94</v>
          </cell>
          <cell r="C96">
            <v>3.9E-2</v>
          </cell>
          <cell r="D96" t="str">
            <v>OEHHA</v>
          </cell>
          <cell r="E96">
            <v>3.85E-2</v>
          </cell>
          <cell r="F96" t="str">
            <v>OEHHA</v>
          </cell>
          <cell r="G96">
            <v>1.1E-5</v>
          </cell>
          <cell r="H96" t="str">
            <v>OEHHA</v>
          </cell>
          <cell r="I96">
            <v>1E-3</v>
          </cell>
          <cell r="J96" t="str">
            <v>IRIS</v>
          </cell>
          <cell r="K96">
            <v>1E-3</v>
          </cell>
          <cell r="L96" t="str">
            <v>IRIS</v>
          </cell>
          <cell r="Q96">
            <v>1E-3</v>
          </cell>
          <cell r="R96">
            <v>1</v>
          </cell>
          <cell r="S96">
            <v>0.1</v>
          </cell>
          <cell r="T96" t="b">
            <v>1</v>
          </cell>
          <cell r="U96">
            <v>94</v>
          </cell>
          <cell r="W96">
            <v>1</v>
          </cell>
        </row>
        <row r="97">
          <cell r="A97" t="str">
            <v>n-Hexane</v>
          </cell>
          <cell r="B97">
            <v>95</v>
          </cell>
          <cell r="D97"/>
          <cell r="F97"/>
          <cell r="H97"/>
          <cell r="I97">
            <v>0.06</v>
          </cell>
          <cell r="J97" t="str">
            <v>HEAST</v>
          </cell>
          <cell r="K97">
            <v>0.2</v>
          </cell>
          <cell r="L97" t="str">
            <v>IRIS</v>
          </cell>
          <cell r="M97">
            <v>700</v>
          </cell>
          <cell r="N97" t="str">
            <v>IRIS</v>
          </cell>
          <cell r="O97">
            <v>700</v>
          </cell>
          <cell r="P97" t="str">
            <v>IRIS</v>
          </cell>
          <cell r="Q97">
            <v>11</v>
          </cell>
          <cell r="R97">
            <v>1</v>
          </cell>
          <cell r="S97">
            <v>0</v>
          </cell>
          <cell r="T97" t="b">
            <v>0</v>
          </cell>
          <cell r="U97">
            <v>95</v>
          </cell>
          <cell r="W97" t="e">
            <v>#N/A</v>
          </cell>
        </row>
        <row r="98">
          <cell r="A98" t="str">
            <v>HMX</v>
          </cell>
          <cell r="B98">
            <v>96</v>
          </cell>
          <cell r="D98"/>
          <cell r="F98"/>
          <cell r="H98"/>
          <cell r="I98">
            <v>0.05</v>
          </cell>
          <cell r="J98" t="str">
            <v>IRIS</v>
          </cell>
          <cell r="L98"/>
          <cell r="Q98">
            <v>0.05</v>
          </cell>
          <cell r="R98">
            <v>1</v>
          </cell>
          <cell r="S98">
            <v>0</v>
          </cell>
          <cell r="T98" t="b">
            <v>1</v>
          </cell>
          <cell r="U98">
            <v>96</v>
          </cell>
          <cell r="W98">
            <v>1</v>
          </cell>
        </row>
        <row r="99">
          <cell r="A99" t="str">
            <v>Iron</v>
          </cell>
          <cell r="B99">
            <v>97</v>
          </cell>
          <cell r="D99"/>
          <cell r="F99"/>
          <cell r="H99"/>
          <cell r="I99">
            <v>0.3</v>
          </cell>
          <cell r="J99" t="str">
            <v>NCEA</v>
          </cell>
          <cell r="L99"/>
          <cell r="Q99">
            <v>0.3</v>
          </cell>
          <cell r="R99">
            <v>1</v>
          </cell>
          <cell r="S99">
            <v>0</v>
          </cell>
          <cell r="T99" t="b">
            <v>1</v>
          </cell>
          <cell r="U99">
            <v>97</v>
          </cell>
          <cell r="W99">
            <v>1</v>
          </cell>
        </row>
        <row r="100">
          <cell r="A100" t="str">
            <v>Lead</v>
          </cell>
          <cell r="B100">
            <v>98</v>
          </cell>
          <cell r="D100"/>
          <cell r="F100"/>
          <cell r="H100"/>
          <cell r="L100"/>
          <cell r="R100">
            <v>1</v>
          </cell>
          <cell r="S100">
            <v>0</v>
          </cell>
          <cell r="T100" t="b">
            <v>1</v>
          </cell>
          <cell r="U100">
            <v>98</v>
          </cell>
          <cell r="W100">
            <v>1</v>
          </cell>
        </row>
        <row r="101">
          <cell r="A101" t="str">
            <v>Lead (tetraethyl-)</v>
          </cell>
          <cell r="B101">
            <v>99</v>
          </cell>
          <cell r="D101"/>
          <cell r="F101"/>
          <cell r="H101"/>
          <cell r="I101">
            <v>9.9999999999999995E-8</v>
          </cell>
          <cell r="J101" t="str">
            <v>IRIS</v>
          </cell>
          <cell r="L101"/>
          <cell r="Q101">
            <v>9.9999999999999995E-8</v>
          </cell>
          <cell r="R101">
            <v>1</v>
          </cell>
          <cell r="S101">
            <v>0</v>
          </cell>
          <cell r="T101" t="b">
            <v>1</v>
          </cell>
          <cell r="U101">
            <v>99</v>
          </cell>
          <cell r="W101">
            <v>1</v>
          </cell>
        </row>
        <row r="102">
          <cell r="A102" t="str">
            <v>Manganese</v>
          </cell>
          <cell r="B102">
            <v>100</v>
          </cell>
          <cell r="D102"/>
          <cell r="F102"/>
          <cell r="H102"/>
          <cell r="I102">
            <v>0.14000000000000001</v>
          </cell>
          <cell r="J102" t="str">
            <v>IRIS</v>
          </cell>
          <cell r="K102">
            <v>1.4285714285714285E-5</v>
          </cell>
          <cell r="L102" t="str">
            <v>IRIS</v>
          </cell>
          <cell r="M102">
            <v>0.05</v>
          </cell>
          <cell r="N102" t="str">
            <v>IRIS</v>
          </cell>
          <cell r="O102">
            <v>0.05</v>
          </cell>
          <cell r="P102" t="str">
            <v>IRIS</v>
          </cell>
          <cell r="Q102">
            <v>5.5999999999999999E-3</v>
          </cell>
          <cell r="R102">
            <v>0.04</v>
          </cell>
          <cell r="S102">
            <v>0</v>
          </cell>
          <cell r="T102" t="b">
            <v>0</v>
          </cell>
          <cell r="U102">
            <v>100</v>
          </cell>
          <cell r="W102">
            <v>0.04</v>
          </cell>
        </row>
        <row r="103">
          <cell r="A103" t="str">
            <v>Methoxychlor</v>
          </cell>
          <cell r="B103">
            <v>101</v>
          </cell>
          <cell r="D103"/>
          <cell r="F103"/>
          <cell r="H103"/>
          <cell r="I103">
            <v>5.0000000000000001E-3</v>
          </cell>
          <cell r="J103" t="str">
            <v>IRIS</v>
          </cell>
          <cell r="L103"/>
          <cell r="R103">
            <v>1</v>
          </cell>
          <cell r="S103">
            <v>0.05</v>
          </cell>
          <cell r="T103" t="b">
            <v>0</v>
          </cell>
          <cell r="U103">
            <v>101</v>
          </cell>
          <cell r="W103">
            <v>1</v>
          </cell>
        </row>
        <row r="104">
          <cell r="A104" t="str">
            <v>Methyl isobutyl ketone</v>
          </cell>
          <cell r="B104">
            <v>102</v>
          </cell>
          <cell r="D104"/>
          <cell r="F104"/>
          <cell r="H104"/>
          <cell r="I104">
            <v>0.8571428571428571</v>
          </cell>
          <cell r="K104">
            <v>0.8571428571428571</v>
          </cell>
          <cell r="L104" t="str">
            <v>IRIS</v>
          </cell>
          <cell r="M104">
            <v>3000</v>
          </cell>
          <cell r="N104" t="str">
            <v>IRIS</v>
          </cell>
          <cell r="O104">
            <v>3000</v>
          </cell>
          <cell r="P104" t="str">
            <v>IRIS</v>
          </cell>
          <cell r="R104">
            <v>1</v>
          </cell>
          <cell r="S104">
            <v>0</v>
          </cell>
          <cell r="T104" t="b">
            <v>0</v>
          </cell>
          <cell r="U104" t="e">
            <v>#N/A</v>
          </cell>
          <cell r="W104" t="e">
            <v>#N/A</v>
          </cell>
        </row>
        <row r="105">
          <cell r="A105" t="str">
            <v>Mercury and compounds</v>
          </cell>
          <cell r="B105">
            <v>103</v>
          </cell>
          <cell r="D105"/>
          <cell r="F105"/>
          <cell r="H105"/>
          <cell r="I105">
            <v>2.9999999999999997E-4</v>
          </cell>
          <cell r="J105" t="str">
            <v>IRIS</v>
          </cell>
          <cell r="L105"/>
          <cell r="Q105">
            <v>2.0999999999999999E-5</v>
          </cell>
          <cell r="R105">
            <v>1</v>
          </cell>
          <cell r="S105">
            <v>0</v>
          </cell>
          <cell r="T105" t="b">
            <v>0</v>
          </cell>
          <cell r="U105">
            <v>103</v>
          </cell>
          <cell r="W105">
            <v>1</v>
          </cell>
        </row>
        <row r="106">
          <cell r="A106" t="str">
            <v>Mercury (elemental)</v>
          </cell>
          <cell r="B106">
            <v>104</v>
          </cell>
          <cell r="D106"/>
          <cell r="F106"/>
          <cell r="H106"/>
          <cell r="I106">
            <v>8.5714285714285699E-5</v>
          </cell>
          <cell r="J106" t="str">
            <v>IRIS</v>
          </cell>
          <cell r="K106">
            <v>2.5714285714285711E-5</v>
          </cell>
          <cell r="L106" t="str">
            <v>OEHHA</v>
          </cell>
          <cell r="M106">
            <v>0.03</v>
          </cell>
          <cell r="N106" t="str">
            <v>OEHHA</v>
          </cell>
          <cell r="O106">
            <v>0.03</v>
          </cell>
          <cell r="P106" t="str">
            <v>OEHHA</v>
          </cell>
          <cell r="Q106">
            <v>8.5714285714285699E-5</v>
          </cell>
          <cell r="R106">
            <v>1</v>
          </cell>
          <cell r="S106">
            <v>0</v>
          </cell>
          <cell r="T106" t="b">
            <v>1</v>
          </cell>
          <cell r="U106">
            <v>104</v>
          </cell>
          <cell r="W106">
            <v>1</v>
          </cell>
        </row>
        <row r="107">
          <cell r="A107" t="str">
            <v>Methyl mercury</v>
          </cell>
          <cell r="B107">
            <v>105</v>
          </cell>
          <cell r="D107"/>
          <cell r="F107"/>
          <cell r="H107"/>
          <cell r="I107">
            <v>1E-4</v>
          </cell>
          <cell r="J107" t="str">
            <v>IRIS</v>
          </cell>
          <cell r="L107"/>
          <cell r="Q107">
            <v>1E-4</v>
          </cell>
          <cell r="R107">
            <v>1</v>
          </cell>
          <cell r="S107">
            <v>0.1</v>
          </cell>
          <cell r="T107" t="b">
            <v>1</v>
          </cell>
          <cell r="U107" t="e">
            <v>#N/A</v>
          </cell>
          <cell r="W107">
            <v>1</v>
          </cell>
        </row>
        <row r="108">
          <cell r="A108" t="str">
            <v>Molybdenum</v>
          </cell>
          <cell r="B108">
            <v>106</v>
          </cell>
          <cell r="D108"/>
          <cell r="F108"/>
          <cell r="H108"/>
          <cell r="I108">
            <v>5.0000000000000001E-3</v>
          </cell>
          <cell r="J108" t="str">
            <v>HEAST</v>
          </cell>
          <cell r="L108"/>
          <cell r="Q108">
            <v>5.0000000000000001E-3</v>
          </cell>
          <cell r="R108">
            <v>1</v>
          </cell>
          <cell r="S108">
            <v>0</v>
          </cell>
          <cell r="T108" t="b">
            <v>1</v>
          </cell>
          <cell r="U108">
            <v>106</v>
          </cell>
          <cell r="W108">
            <v>1</v>
          </cell>
        </row>
        <row r="109">
          <cell r="A109" t="str">
            <v>Naphthalene</v>
          </cell>
          <cell r="B109">
            <v>107</v>
          </cell>
          <cell r="D109"/>
          <cell r="E109">
            <v>0.11899999999999999</v>
          </cell>
          <cell r="F109" t="str">
            <v>OEHHA</v>
          </cell>
          <cell r="G109">
            <v>3.4E-5</v>
          </cell>
          <cell r="H109" t="str">
            <v>OEHHA</v>
          </cell>
          <cell r="I109">
            <v>0.02</v>
          </cell>
          <cell r="J109" t="str">
            <v>IRIS</v>
          </cell>
          <cell r="K109">
            <v>8.571428571428571E-4</v>
          </cell>
          <cell r="L109" t="str">
            <v>IRIS</v>
          </cell>
          <cell r="M109">
            <v>3</v>
          </cell>
          <cell r="N109" t="str">
            <v>IRIS</v>
          </cell>
          <cell r="O109">
            <v>3</v>
          </cell>
          <cell r="P109" t="str">
            <v>IRIS</v>
          </cell>
          <cell r="Q109">
            <v>0.02</v>
          </cell>
          <cell r="R109">
            <v>1</v>
          </cell>
          <cell r="S109">
            <v>0.13</v>
          </cell>
          <cell r="T109" t="b">
            <v>1</v>
          </cell>
          <cell r="U109">
            <v>107</v>
          </cell>
          <cell r="W109">
            <v>1</v>
          </cell>
        </row>
        <row r="110">
          <cell r="A110" t="str">
            <v>Nickel</v>
          </cell>
          <cell r="B110">
            <v>108</v>
          </cell>
          <cell r="D110"/>
          <cell r="F110"/>
          <cell r="H110"/>
          <cell r="I110">
            <v>0.02</v>
          </cell>
          <cell r="J110" t="str">
            <v>IRIS</v>
          </cell>
          <cell r="K110">
            <v>1.4285714285714285E-5</v>
          </cell>
          <cell r="L110" t="str">
            <v>OEHHA</v>
          </cell>
          <cell r="M110">
            <v>0.05</v>
          </cell>
          <cell r="N110" t="str">
            <v>OEHHA</v>
          </cell>
          <cell r="O110">
            <v>0.05</v>
          </cell>
          <cell r="P110" t="str">
            <v>OEHHA</v>
          </cell>
          <cell r="Q110">
            <v>8.0000000000000004E-4</v>
          </cell>
          <cell r="R110">
            <v>0.04</v>
          </cell>
          <cell r="S110">
            <v>0</v>
          </cell>
          <cell r="T110" t="b">
            <v>0</v>
          </cell>
          <cell r="U110">
            <v>108</v>
          </cell>
          <cell r="W110">
            <v>1</v>
          </cell>
        </row>
        <row r="111">
          <cell r="A111" t="str">
            <v>Nitrate</v>
          </cell>
          <cell r="B111">
            <v>109</v>
          </cell>
          <cell r="D111"/>
          <cell r="F111"/>
          <cell r="H111"/>
          <cell r="I111">
            <v>1.6</v>
          </cell>
          <cell r="J111" t="str">
            <v>IRIS</v>
          </cell>
          <cell r="Q111">
            <v>1.6</v>
          </cell>
          <cell r="R111">
            <v>1</v>
          </cell>
          <cell r="S111">
            <v>0</v>
          </cell>
          <cell r="T111" t="b">
            <v>1</v>
          </cell>
          <cell r="U111">
            <v>109</v>
          </cell>
          <cell r="W111" t="e">
            <v>#N/A</v>
          </cell>
        </row>
        <row r="112">
          <cell r="A112" t="str">
            <v>Nitrite</v>
          </cell>
          <cell r="B112">
            <v>110</v>
          </cell>
          <cell r="D112"/>
          <cell r="F112"/>
          <cell r="H112"/>
          <cell r="I112">
            <v>0.1</v>
          </cell>
          <cell r="J112" t="str">
            <v>IRIS</v>
          </cell>
          <cell r="Q112">
            <v>0.1</v>
          </cell>
          <cell r="R112">
            <v>1</v>
          </cell>
          <cell r="S112">
            <v>0</v>
          </cell>
          <cell r="T112" t="b">
            <v>1</v>
          </cell>
          <cell r="U112">
            <v>110</v>
          </cell>
          <cell r="W112" t="e">
            <v>#N/A</v>
          </cell>
        </row>
        <row r="113">
          <cell r="A113" t="str">
            <v>Nitrobenzene</v>
          </cell>
          <cell r="B113">
            <v>111</v>
          </cell>
          <cell r="D113"/>
          <cell r="F113"/>
          <cell r="H113"/>
          <cell r="I113">
            <v>2E-3</v>
          </cell>
          <cell r="J113" t="str">
            <v>IRIS</v>
          </cell>
          <cell r="K113">
            <v>8.9999999999999993E-3</v>
          </cell>
          <cell r="L113" t="str">
            <v>IRIS</v>
          </cell>
          <cell r="Q113">
            <v>5.0000000000000001E-4</v>
          </cell>
          <cell r="R113">
            <v>1</v>
          </cell>
          <cell r="S113">
            <v>0</v>
          </cell>
          <cell r="T113" t="b">
            <v>0</v>
          </cell>
          <cell r="U113">
            <v>111</v>
          </cell>
          <cell r="W113" t="e">
            <v>#N/A</v>
          </cell>
        </row>
        <row r="114">
          <cell r="A114" t="str">
            <v>Nitroglycerin</v>
          </cell>
          <cell r="B114">
            <v>112</v>
          </cell>
          <cell r="C114">
            <v>1.4E-2</v>
          </cell>
          <cell r="D114" t="str">
            <v>NCEA</v>
          </cell>
          <cell r="H114"/>
          <cell r="L114"/>
          <cell r="R114">
            <v>1</v>
          </cell>
          <cell r="S114">
            <v>0</v>
          </cell>
          <cell r="T114" t="b">
            <v>1</v>
          </cell>
          <cell r="U114">
            <v>112</v>
          </cell>
          <cell r="W114">
            <v>1</v>
          </cell>
        </row>
        <row r="115">
          <cell r="A115" t="str">
            <v>N-Nitrosodiethylamine</v>
          </cell>
          <cell r="B115">
            <v>113</v>
          </cell>
          <cell r="C115">
            <v>36</v>
          </cell>
          <cell r="D115" t="str">
            <v>OEHHA</v>
          </cell>
          <cell r="E115">
            <v>35</v>
          </cell>
          <cell r="F115" t="str">
            <v>IRIS</v>
          </cell>
          <cell r="G115">
            <v>0.01</v>
          </cell>
          <cell r="H115" t="str">
            <v>OEHHA</v>
          </cell>
          <cell r="J115"/>
          <cell r="L115"/>
          <cell r="R115">
            <v>1</v>
          </cell>
          <cell r="S115">
            <v>0</v>
          </cell>
          <cell r="T115" t="b">
            <v>1</v>
          </cell>
          <cell r="U115">
            <v>113</v>
          </cell>
          <cell r="W115">
            <v>1</v>
          </cell>
        </row>
        <row r="116">
          <cell r="A116" t="str">
            <v>N-Nitrosodimethylamine</v>
          </cell>
          <cell r="B116">
            <v>114</v>
          </cell>
          <cell r="C116">
            <v>51</v>
          </cell>
          <cell r="D116" t="str">
            <v>IRIS</v>
          </cell>
          <cell r="E116">
            <v>49</v>
          </cell>
          <cell r="F116" t="str">
            <v>IRIS</v>
          </cell>
          <cell r="G116">
            <v>4.5999999999999999E-3</v>
          </cell>
          <cell r="H116" t="str">
            <v>OEHHA</v>
          </cell>
          <cell r="I116">
            <v>8.3000000000000002E-6</v>
          </cell>
          <cell r="J116" t="str">
            <v>PPRTV</v>
          </cell>
          <cell r="L116"/>
          <cell r="Q116">
            <v>8.3000000000000002E-6</v>
          </cell>
          <cell r="R116">
            <v>1</v>
          </cell>
          <cell r="S116">
            <v>0</v>
          </cell>
          <cell r="T116" t="b">
            <v>1</v>
          </cell>
          <cell r="U116">
            <v>114</v>
          </cell>
          <cell r="W116">
            <v>1</v>
          </cell>
        </row>
        <row r="117">
          <cell r="A117" t="str">
            <v>N-Nitrosodi-n-butylamine</v>
          </cell>
          <cell r="B117">
            <v>115</v>
          </cell>
          <cell r="C117">
            <v>11</v>
          </cell>
          <cell r="D117" t="str">
            <v>OEHHA</v>
          </cell>
          <cell r="E117">
            <v>10.85</v>
          </cell>
          <cell r="F117" t="str">
            <v>OEHHA</v>
          </cell>
          <cell r="G117">
            <v>3.0999999999999999E-3</v>
          </cell>
          <cell r="H117" t="str">
            <v>OEHHA</v>
          </cell>
          <cell r="J117"/>
          <cell r="L117"/>
          <cell r="R117">
            <v>1</v>
          </cell>
          <cell r="S117">
            <v>0</v>
          </cell>
          <cell r="T117" t="b">
            <v>1</v>
          </cell>
          <cell r="U117">
            <v>115</v>
          </cell>
          <cell r="W117">
            <v>1</v>
          </cell>
        </row>
        <row r="118">
          <cell r="A118" t="str">
            <v>N-Nitrosodiphenylamine</v>
          </cell>
          <cell r="B118">
            <v>116</v>
          </cell>
          <cell r="C118">
            <v>8.9999999999999993E-3</v>
          </cell>
          <cell r="D118" t="str">
            <v>OEHHA</v>
          </cell>
          <cell r="E118">
            <v>9.1000000000000004E-3</v>
          </cell>
          <cell r="F118" t="str">
            <v>OEHHA</v>
          </cell>
          <cell r="G118">
            <v>2.6000000000000001E-6</v>
          </cell>
          <cell r="H118" t="str">
            <v>OEHHA</v>
          </cell>
          <cell r="J118"/>
          <cell r="L118"/>
          <cell r="R118">
            <v>1</v>
          </cell>
          <cell r="S118">
            <v>0</v>
          </cell>
          <cell r="T118" t="b">
            <v>1</v>
          </cell>
          <cell r="U118">
            <v>116</v>
          </cell>
          <cell r="W118">
            <v>1</v>
          </cell>
        </row>
        <row r="119">
          <cell r="A119" t="str">
            <v>N-Nitrosopyrrolidine</v>
          </cell>
          <cell r="B119">
            <v>117</v>
          </cell>
          <cell r="C119">
            <v>2.1</v>
          </cell>
          <cell r="D119" t="str">
            <v>IRIS</v>
          </cell>
          <cell r="E119">
            <v>2.1349999999999998</v>
          </cell>
          <cell r="F119" t="str">
            <v>IRIS</v>
          </cell>
          <cell r="G119">
            <v>6.0999999999999997E-4</v>
          </cell>
          <cell r="H119" t="str">
            <v>OEHHA</v>
          </cell>
          <cell r="J119"/>
          <cell r="L119"/>
          <cell r="R119">
            <v>1</v>
          </cell>
          <cell r="S119">
            <v>0</v>
          </cell>
          <cell r="T119" t="b">
            <v>1</v>
          </cell>
          <cell r="U119">
            <v>117</v>
          </cell>
          <cell r="W119">
            <v>1</v>
          </cell>
        </row>
        <row r="120">
          <cell r="A120" t="str">
            <v>Aroclor 1016</v>
          </cell>
          <cell r="B120">
            <v>119</v>
          </cell>
          <cell r="D120"/>
          <cell r="F120"/>
          <cell r="H120"/>
          <cell r="I120">
            <v>6.9999999999999994E-5</v>
          </cell>
          <cell r="J120" t="str">
            <v>IRIS</v>
          </cell>
          <cell r="Q120">
            <v>6.9999999999999994E-5</v>
          </cell>
          <cell r="R120">
            <v>1</v>
          </cell>
          <cell r="S120">
            <v>0</v>
          </cell>
          <cell r="T120" t="b">
            <v>1</v>
          </cell>
          <cell r="U120">
            <v>119</v>
          </cell>
          <cell r="W120">
            <v>2.5999999999999999E-2</v>
          </cell>
        </row>
        <row r="121">
          <cell r="A121" t="str">
            <v>Aroclor 1221</v>
          </cell>
          <cell r="B121">
            <v>120</v>
          </cell>
          <cell r="C121">
            <v>2</v>
          </cell>
          <cell r="D121" t="str">
            <v>IRIS</v>
          </cell>
          <cell r="E121">
            <v>2</v>
          </cell>
          <cell r="F121" t="str">
            <v>IRIS</v>
          </cell>
          <cell r="G121">
            <v>1E-4</v>
          </cell>
          <cell r="H121" t="str">
            <v>IRIS</v>
          </cell>
          <cell r="J121"/>
          <cell r="L121"/>
          <cell r="R121">
            <v>1</v>
          </cell>
          <cell r="S121">
            <v>0</v>
          </cell>
          <cell r="T121" t="b">
            <v>1</v>
          </cell>
          <cell r="U121">
            <v>120</v>
          </cell>
          <cell r="W121">
            <v>1</v>
          </cell>
        </row>
        <row r="122">
          <cell r="A122" t="str">
            <v>Aroclor 1232</v>
          </cell>
          <cell r="B122">
            <v>121</v>
          </cell>
          <cell r="C122">
            <v>2</v>
          </cell>
          <cell r="D122" t="str">
            <v>IRIS</v>
          </cell>
          <cell r="E122">
            <v>2</v>
          </cell>
          <cell r="F122" t="str">
            <v>IRIS</v>
          </cell>
          <cell r="G122">
            <v>1E-4</v>
          </cell>
          <cell r="H122" t="str">
            <v>IRIS</v>
          </cell>
          <cell r="J122"/>
          <cell r="L122"/>
          <cell r="R122">
            <v>1</v>
          </cell>
          <cell r="S122">
            <v>0</v>
          </cell>
          <cell r="T122" t="b">
            <v>1</v>
          </cell>
          <cell r="U122">
            <v>121</v>
          </cell>
          <cell r="W122">
            <v>1</v>
          </cell>
        </row>
        <row r="123">
          <cell r="A123" t="str">
            <v>Aroclor 1242</v>
          </cell>
          <cell r="B123">
            <v>122</v>
          </cell>
          <cell r="C123">
            <v>2</v>
          </cell>
          <cell r="D123" t="str">
            <v>IRIS</v>
          </cell>
          <cell r="E123">
            <v>2</v>
          </cell>
          <cell r="F123" t="str">
            <v>IRIS</v>
          </cell>
          <cell r="G123">
            <v>1E-4</v>
          </cell>
          <cell r="H123" t="str">
            <v>IRIS</v>
          </cell>
          <cell r="J123"/>
          <cell r="L123"/>
          <cell r="R123">
            <v>1</v>
          </cell>
          <cell r="S123">
            <v>0</v>
          </cell>
          <cell r="T123" t="b">
            <v>1</v>
          </cell>
          <cell r="U123">
            <v>122</v>
          </cell>
          <cell r="W123">
            <v>1</v>
          </cell>
        </row>
        <row r="124">
          <cell r="A124" t="str">
            <v>Aroclor 1248</v>
          </cell>
          <cell r="B124">
            <v>123</v>
          </cell>
          <cell r="C124">
            <v>2</v>
          </cell>
          <cell r="D124" t="str">
            <v>IRIS</v>
          </cell>
          <cell r="E124">
            <v>2</v>
          </cell>
          <cell r="F124" t="str">
            <v>IRIS</v>
          </cell>
          <cell r="G124">
            <v>1E-4</v>
          </cell>
          <cell r="H124" t="str">
            <v>IRIS</v>
          </cell>
          <cell r="Q124">
            <v>2.0000000000000002E-5</v>
          </cell>
          <cell r="R124">
            <v>1</v>
          </cell>
          <cell r="S124">
            <v>0</v>
          </cell>
          <cell r="T124" t="b">
            <v>0</v>
          </cell>
          <cell r="U124">
            <v>123</v>
          </cell>
        </row>
        <row r="125">
          <cell r="A125" t="str">
            <v>Aroclor 1254</v>
          </cell>
          <cell r="B125">
            <v>124</v>
          </cell>
          <cell r="C125">
            <v>2</v>
          </cell>
          <cell r="D125" t="str">
            <v>IRIS</v>
          </cell>
          <cell r="E125">
            <v>2</v>
          </cell>
          <cell r="F125" t="str">
            <v>IRIS</v>
          </cell>
          <cell r="G125">
            <v>1E-4</v>
          </cell>
          <cell r="H125" t="str">
            <v>IRIS</v>
          </cell>
          <cell r="I125">
            <v>2.0000000000000002E-5</v>
          </cell>
          <cell r="J125" t="str">
            <v>IRIS</v>
          </cell>
          <cell r="K125">
            <v>2.0000000000000002E-5</v>
          </cell>
          <cell r="L125" t="str">
            <v>IRIS</v>
          </cell>
          <cell r="Q125">
            <v>2.0000000000000002E-5</v>
          </cell>
          <cell r="R125">
            <v>1</v>
          </cell>
          <cell r="S125">
            <v>0</v>
          </cell>
          <cell r="T125" t="b">
            <v>1</v>
          </cell>
          <cell r="U125">
            <v>124</v>
          </cell>
        </row>
        <row r="126">
          <cell r="A126" t="str">
            <v>Polychlorinated biphenyls (PCBs)</v>
          </cell>
          <cell r="B126">
            <v>125</v>
          </cell>
          <cell r="C126">
            <v>2</v>
          </cell>
          <cell r="D126" t="str">
            <v>IRIS</v>
          </cell>
          <cell r="E126">
            <v>1.9950000000000001</v>
          </cell>
          <cell r="F126" t="str">
            <v>IRIS</v>
          </cell>
          <cell r="G126">
            <v>1E-4</v>
          </cell>
          <cell r="H126" t="str">
            <v>IRIS</v>
          </cell>
          <cell r="I126">
            <v>2.0000000000000002E-5</v>
          </cell>
          <cell r="J126" t="str">
            <v>IRIS</v>
          </cell>
          <cell r="K126">
            <v>2.0000000000000002E-5</v>
          </cell>
          <cell r="L126" t="str">
            <v>IRIS</v>
          </cell>
          <cell r="Q126">
            <v>2.0000000000000002E-5</v>
          </cell>
          <cell r="R126">
            <v>1</v>
          </cell>
          <cell r="S126" t="str">
            <v>0.14</v>
          </cell>
          <cell r="T126" t="b">
            <v>1</v>
          </cell>
          <cell r="U126" t="e">
            <v>#N/A</v>
          </cell>
        </row>
        <row r="127">
          <cell r="A127" t="str">
            <v>Pentachlorobenzene</v>
          </cell>
          <cell r="B127">
            <v>126</v>
          </cell>
          <cell r="D127"/>
          <cell r="F127"/>
          <cell r="H127"/>
          <cell r="I127">
            <v>8.0000000000000004E-4</v>
          </cell>
          <cell r="J127" t="str">
            <v>IRIS</v>
          </cell>
          <cell r="K127">
            <v>8.0000000000000004E-4</v>
          </cell>
          <cell r="L127" t="str">
            <v>IRIS</v>
          </cell>
          <cell r="Q127">
            <v>8.0000000000000004E-4</v>
          </cell>
          <cell r="R127">
            <v>1</v>
          </cell>
          <cell r="S127">
            <v>0</v>
          </cell>
          <cell r="T127" t="b">
            <v>1</v>
          </cell>
          <cell r="U127">
            <v>126</v>
          </cell>
        </row>
        <row r="128">
          <cell r="A128" t="str">
            <v>Pentachlorophenol</v>
          </cell>
          <cell r="B128">
            <v>127</v>
          </cell>
          <cell r="C128">
            <v>0.12</v>
          </cell>
          <cell r="D128" t="str">
            <v>IRIS</v>
          </cell>
          <cell r="E128">
            <v>1.61E-2</v>
          </cell>
          <cell r="F128" t="str">
            <v>OEHHA</v>
          </cell>
          <cell r="G128">
            <v>5.1000000000000003E-6</v>
          </cell>
          <cell r="H128" t="str">
            <v>OEHHA</v>
          </cell>
          <cell r="I128">
            <v>3.0000000000000001E-3</v>
          </cell>
          <cell r="J128" t="str">
            <v>IRIS</v>
          </cell>
          <cell r="L128"/>
          <cell r="Q128">
            <v>3.0000000000000001E-3</v>
          </cell>
          <cell r="R128">
            <v>1</v>
          </cell>
          <cell r="S128" t="str">
            <v>0.25</v>
          </cell>
          <cell r="T128" t="b">
            <v>1</v>
          </cell>
          <cell r="U128">
            <v>127</v>
          </cell>
        </row>
        <row r="129">
          <cell r="A129" t="str">
            <v>Perchlorate</v>
          </cell>
          <cell r="B129">
            <v>128</v>
          </cell>
          <cell r="D129"/>
          <cell r="F129"/>
          <cell r="H129"/>
          <cell r="I129">
            <v>6.9999999999999999E-4</v>
          </cell>
          <cell r="J129" t="str">
            <v>IRIS</v>
          </cell>
          <cell r="L129"/>
          <cell r="R129">
            <v>1</v>
          </cell>
          <cell r="S129">
            <v>0</v>
          </cell>
          <cell r="T129" t="b">
            <v>0</v>
          </cell>
          <cell r="U129">
            <v>128</v>
          </cell>
        </row>
        <row r="130">
          <cell r="A130" t="str">
            <v>Phenol</v>
          </cell>
          <cell r="B130">
            <v>129</v>
          </cell>
          <cell r="D130"/>
          <cell r="F130"/>
          <cell r="H130"/>
          <cell r="I130">
            <v>0.3</v>
          </cell>
          <cell r="J130" t="str">
            <v>IRIS</v>
          </cell>
          <cell r="L130"/>
          <cell r="Q130">
            <v>0.3</v>
          </cell>
          <cell r="R130">
            <v>1</v>
          </cell>
          <cell r="S130">
            <v>0</v>
          </cell>
          <cell r="T130" t="b">
            <v>1</v>
          </cell>
          <cell r="U130">
            <v>129</v>
          </cell>
        </row>
        <row r="131">
          <cell r="A131" t="str">
            <v>Polycyclic Aromaic Hydrocarbons</v>
          </cell>
          <cell r="B131">
            <v>129</v>
          </cell>
          <cell r="I131">
            <v>0.03</v>
          </cell>
          <cell r="Q131">
            <v>0.03</v>
          </cell>
          <cell r="R131">
            <v>1</v>
          </cell>
          <cell r="S131">
            <v>0</v>
          </cell>
          <cell r="T131" t="b">
            <v>1</v>
          </cell>
        </row>
        <row r="132">
          <cell r="A132" t="str">
            <v>Acenaphthene</v>
          </cell>
          <cell r="B132">
            <v>131</v>
          </cell>
          <cell r="D132"/>
          <cell r="F132"/>
          <cell r="H132"/>
          <cell r="I132">
            <v>0.06</v>
          </cell>
          <cell r="J132" t="str">
            <v>IRIS</v>
          </cell>
          <cell r="Q132">
            <v>0.06</v>
          </cell>
          <cell r="R132">
            <v>1</v>
          </cell>
          <cell r="S132">
            <v>0.13</v>
          </cell>
          <cell r="T132" t="b">
            <v>1</v>
          </cell>
          <cell r="U132">
            <v>131</v>
          </cell>
        </row>
        <row r="133">
          <cell r="A133" t="str">
            <v>Acenaphthylene</v>
          </cell>
          <cell r="B133">
            <v>132</v>
          </cell>
          <cell r="D133"/>
          <cell r="F133"/>
          <cell r="H133"/>
          <cell r="Q133">
            <v>0.03</v>
          </cell>
          <cell r="R133">
            <v>1</v>
          </cell>
          <cell r="S133">
            <v>0.13</v>
          </cell>
          <cell r="T133" t="b">
            <v>0</v>
          </cell>
          <cell r="U133">
            <v>132</v>
          </cell>
        </row>
        <row r="134">
          <cell r="A134" t="str">
            <v>Anthracene</v>
          </cell>
          <cell r="B134">
            <v>133</v>
          </cell>
          <cell r="D134"/>
          <cell r="F134"/>
          <cell r="H134"/>
          <cell r="I134">
            <v>0.3</v>
          </cell>
          <cell r="J134" t="str">
            <v>IRIS</v>
          </cell>
          <cell r="R134">
            <v>1</v>
          </cell>
          <cell r="S134">
            <v>0.13</v>
          </cell>
          <cell r="T134" t="b">
            <v>0</v>
          </cell>
          <cell r="U134">
            <v>133</v>
          </cell>
        </row>
        <row r="135">
          <cell r="A135" t="str">
            <v>Benzo(a)anthracene</v>
          </cell>
          <cell r="B135">
            <v>134</v>
          </cell>
          <cell r="C135">
            <v>1.2</v>
          </cell>
          <cell r="D135" t="str">
            <v>OEHHA</v>
          </cell>
          <cell r="E135">
            <v>0.38500000000000001</v>
          </cell>
          <cell r="F135" t="str">
            <v>OEHHA</v>
          </cell>
          <cell r="G135">
            <v>1.1E-4</v>
          </cell>
          <cell r="H135" t="str">
            <v>OEHHA</v>
          </cell>
          <cell r="R135">
            <v>1</v>
          </cell>
          <cell r="S135" t="str">
            <v>0.13</v>
          </cell>
          <cell r="T135" t="b">
            <v>1</v>
          </cell>
          <cell r="U135">
            <v>134</v>
          </cell>
        </row>
        <row r="136">
          <cell r="A136" t="str">
            <v>Benzo(a)pyrene</v>
          </cell>
          <cell r="B136">
            <v>135</v>
          </cell>
          <cell r="C136">
            <v>12</v>
          </cell>
          <cell r="D136" t="str">
            <v>OEHHA</v>
          </cell>
          <cell r="E136">
            <v>3.85</v>
          </cell>
          <cell r="F136" t="str">
            <v>OEHHA</v>
          </cell>
          <cell r="G136">
            <v>1.1000000000000001E-3</v>
          </cell>
          <cell r="H136" t="str">
            <v>OEHHA</v>
          </cell>
          <cell r="R136">
            <v>1</v>
          </cell>
          <cell r="S136" t="str">
            <v>0.13</v>
          </cell>
          <cell r="T136" t="b">
            <v>1</v>
          </cell>
          <cell r="U136">
            <v>135</v>
          </cell>
        </row>
        <row r="137">
          <cell r="A137" t="str">
            <v>Benzo(b)fluoranthene</v>
          </cell>
          <cell r="B137">
            <v>136</v>
          </cell>
          <cell r="C137">
            <v>1.2</v>
          </cell>
          <cell r="D137" t="str">
            <v>OEHHA</v>
          </cell>
          <cell r="E137">
            <v>0.38500000000000001</v>
          </cell>
          <cell r="F137" t="str">
            <v>OEHHA</v>
          </cell>
          <cell r="G137">
            <v>1.1E-4</v>
          </cell>
          <cell r="H137" t="str">
            <v>OEHHA</v>
          </cell>
          <cell r="R137">
            <v>1</v>
          </cell>
          <cell r="S137" t="str">
            <v>0.13</v>
          </cell>
          <cell r="T137" t="b">
            <v>1</v>
          </cell>
          <cell r="U137">
            <v>136</v>
          </cell>
        </row>
        <row r="138">
          <cell r="A138" t="str">
            <v>Benzo(k)fluoranthene</v>
          </cell>
          <cell r="B138">
            <v>137</v>
          </cell>
          <cell r="C138">
            <v>1.2</v>
          </cell>
          <cell r="D138" t="str">
            <v>OEHHA</v>
          </cell>
          <cell r="E138">
            <v>0.38500000000000001</v>
          </cell>
          <cell r="F138" t="str">
            <v>OEHHA</v>
          </cell>
          <cell r="G138">
            <v>1.1E-4</v>
          </cell>
          <cell r="H138" t="str">
            <v>OEHHA</v>
          </cell>
          <cell r="R138">
            <v>1</v>
          </cell>
          <cell r="S138" t="str">
            <v>0.13</v>
          </cell>
          <cell r="T138" t="b">
            <v>1</v>
          </cell>
          <cell r="U138">
            <v>137</v>
          </cell>
        </row>
        <row r="139">
          <cell r="A139" t="str">
            <v>Benzo(g,h,i)perylene</v>
          </cell>
          <cell r="B139">
            <v>138</v>
          </cell>
          <cell r="D139"/>
          <cell r="F139"/>
          <cell r="H139"/>
          <cell r="R139">
            <v>1</v>
          </cell>
          <cell r="S139" t="str">
            <v>0.13</v>
          </cell>
          <cell r="T139" t="b">
            <v>1</v>
          </cell>
          <cell r="U139">
            <v>138</v>
          </cell>
        </row>
        <row r="140">
          <cell r="A140" t="str">
            <v>Chrysene</v>
          </cell>
          <cell r="B140">
            <v>139</v>
          </cell>
          <cell r="C140">
            <v>0.12</v>
          </cell>
          <cell r="D140" t="str">
            <v>OEHHA</v>
          </cell>
          <cell r="E140">
            <v>3.0999999999999999E-3</v>
          </cell>
          <cell r="F140" t="str">
            <v>OEHHA</v>
          </cell>
          <cell r="G140">
            <v>1.1E-5</v>
          </cell>
          <cell r="H140" t="str">
            <v>OEHHA</v>
          </cell>
          <cell r="R140">
            <v>1</v>
          </cell>
          <cell r="S140" t="str">
            <v>0.13</v>
          </cell>
          <cell r="T140" t="b">
            <v>1</v>
          </cell>
          <cell r="U140">
            <v>139</v>
          </cell>
        </row>
        <row r="141">
          <cell r="A141" t="str">
            <v>Dibenz(a,h)anthracene</v>
          </cell>
          <cell r="B141">
            <v>140</v>
          </cell>
          <cell r="C141">
            <v>4.0999999999999996</v>
          </cell>
          <cell r="D141" t="str">
            <v>OEHHA</v>
          </cell>
          <cell r="E141">
            <v>3.1</v>
          </cell>
          <cell r="F141" t="str">
            <v>NCEA</v>
          </cell>
          <cell r="G141">
            <v>1.1999999999999999E-3</v>
          </cell>
          <cell r="H141" t="str">
            <v>OEHHA</v>
          </cell>
          <cell r="R141">
            <v>1</v>
          </cell>
          <cell r="S141" t="str">
            <v>0.13</v>
          </cell>
          <cell r="T141" t="b">
            <v>1</v>
          </cell>
          <cell r="U141">
            <v>140</v>
          </cell>
        </row>
        <row r="142">
          <cell r="A142" t="str">
            <v>Fluorene</v>
          </cell>
          <cell r="B142">
            <v>141</v>
          </cell>
          <cell r="D142"/>
          <cell r="F142"/>
          <cell r="H142"/>
          <cell r="I142">
            <v>0.04</v>
          </cell>
          <cell r="J142" t="str">
            <v>IRIS</v>
          </cell>
          <cell r="R142">
            <v>1</v>
          </cell>
          <cell r="S142">
            <v>0.13</v>
          </cell>
          <cell r="T142" t="b">
            <v>0</v>
          </cell>
          <cell r="U142">
            <v>141</v>
          </cell>
        </row>
        <row r="143">
          <cell r="A143" t="str">
            <v>Fluoranthene</v>
          </cell>
          <cell r="B143">
            <v>142</v>
          </cell>
          <cell r="D143"/>
          <cell r="F143"/>
          <cell r="H143"/>
          <cell r="I143">
            <v>0.04</v>
          </cell>
          <cell r="J143" t="str">
            <v>IRIS</v>
          </cell>
          <cell r="Q143">
            <v>0.04</v>
          </cell>
          <cell r="R143">
            <v>1</v>
          </cell>
          <cell r="S143" t="str">
            <v>0.13</v>
          </cell>
          <cell r="T143" t="b">
            <v>1</v>
          </cell>
          <cell r="U143">
            <v>142</v>
          </cell>
        </row>
        <row r="144">
          <cell r="A144" t="str">
            <v>Indeno(1,2,3-c,d)pyrene</v>
          </cell>
          <cell r="B144">
            <v>143</v>
          </cell>
          <cell r="C144">
            <v>1.2</v>
          </cell>
          <cell r="D144" t="str">
            <v>OEHHA</v>
          </cell>
          <cell r="E144">
            <v>0.31</v>
          </cell>
          <cell r="F144" t="str">
            <v>NCEA</v>
          </cell>
          <cell r="G144">
            <v>1.1E-4</v>
          </cell>
          <cell r="H144" t="str">
            <v>OEHHA</v>
          </cell>
          <cell r="Q144">
            <v>0.03</v>
          </cell>
          <cell r="R144">
            <v>1</v>
          </cell>
          <cell r="S144" t="str">
            <v>0.13</v>
          </cell>
          <cell r="T144" t="b">
            <v>0</v>
          </cell>
          <cell r="U144">
            <v>143</v>
          </cell>
        </row>
        <row r="145">
          <cell r="A145" t="str">
            <v>Phenanthrene</v>
          </cell>
          <cell r="B145">
            <v>145</v>
          </cell>
          <cell r="D145"/>
          <cell r="F145"/>
          <cell r="H145"/>
          <cell r="Q145">
            <v>0.03</v>
          </cell>
          <cell r="R145">
            <v>1</v>
          </cell>
          <cell r="S145">
            <v>0.13</v>
          </cell>
          <cell r="T145" t="b">
            <v>0</v>
          </cell>
          <cell r="U145">
            <v>145</v>
          </cell>
        </row>
        <row r="146">
          <cell r="A146" t="str">
            <v>Pyrene</v>
          </cell>
          <cell r="B146">
            <v>146</v>
          </cell>
          <cell r="D146"/>
          <cell r="F146"/>
          <cell r="H146"/>
          <cell r="I146">
            <v>0.06</v>
          </cell>
          <cell r="J146" t="str">
            <v>IRIS</v>
          </cell>
          <cell r="Q146">
            <v>0.06</v>
          </cell>
          <cell r="R146">
            <v>1</v>
          </cell>
          <cell r="S146">
            <v>0.13</v>
          </cell>
          <cell r="T146" t="b">
            <v>1</v>
          </cell>
          <cell r="U146">
            <v>146</v>
          </cell>
        </row>
        <row r="147">
          <cell r="A147" t="str">
            <v>RDX</v>
          </cell>
          <cell r="B147">
            <v>147</v>
          </cell>
          <cell r="C147">
            <v>0.11</v>
          </cell>
          <cell r="D147" t="str">
            <v>IRIS</v>
          </cell>
          <cell r="H147"/>
          <cell r="I147">
            <v>3.0000000000000001E-3</v>
          </cell>
          <cell r="J147" t="str">
            <v>IRIS</v>
          </cell>
          <cell r="Q147">
            <v>3.0000000000000001E-3</v>
          </cell>
          <cell r="R147">
            <v>1</v>
          </cell>
          <cell r="S147">
            <v>0</v>
          </cell>
          <cell r="T147" t="b">
            <v>1</v>
          </cell>
          <cell r="U147">
            <v>147</v>
          </cell>
        </row>
        <row r="148">
          <cell r="A148" t="str">
            <v>Selenium</v>
          </cell>
          <cell r="B148">
            <v>148</v>
          </cell>
          <cell r="D148"/>
          <cell r="F148"/>
          <cell r="H148"/>
          <cell r="I148">
            <v>5.0000000000000001E-3</v>
          </cell>
          <cell r="J148" t="str">
            <v>IRIS</v>
          </cell>
          <cell r="L148"/>
          <cell r="Q148">
            <v>5.0000000000000001E-3</v>
          </cell>
          <cell r="R148">
            <v>1</v>
          </cell>
          <cell r="S148">
            <v>0</v>
          </cell>
          <cell r="T148" t="b">
            <v>1</v>
          </cell>
          <cell r="U148">
            <v>148</v>
          </cell>
        </row>
        <row r="149">
          <cell r="A149" t="str">
            <v>Silver</v>
          </cell>
          <cell r="B149">
            <v>149</v>
          </cell>
          <cell r="D149"/>
          <cell r="F149"/>
          <cell r="H149"/>
          <cell r="I149">
            <v>5.0000000000000001E-3</v>
          </cell>
          <cell r="J149" t="str">
            <v>IRIS</v>
          </cell>
          <cell r="L149"/>
          <cell r="Q149">
            <v>5.0000000000000001E-3</v>
          </cell>
          <cell r="R149">
            <v>0.04</v>
          </cell>
          <cell r="S149">
            <v>0</v>
          </cell>
          <cell r="T149" t="b">
            <v>1</v>
          </cell>
          <cell r="U149">
            <v>149</v>
          </cell>
        </row>
        <row r="150">
          <cell r="A150" t="str">
            <v>Styrene</v>
          </cell>
          <cell r="B150">
            <v>150</v>
          </cell>
          <cell r="D150"/>
          <cell r="F150"/>
          <cell r="H150"/>
          <cell r="I150">
            <v>0.2</v>
          </cell>
          <cell r="J150" t="str">
            <v>IRIS</v>
          </cell>
          <cell r="K150">
            <v>0.25714285714285712</v>
          </cell>
          <cell r="L150" t="str">
            <v>OEHHA</v>
          </cell>
          <cell r="M150">
            <v>900</v>
          </cell>
          <cell r="N150" t="str">
            <v>OEHHA</v>
          </cell>
          <cell r="O150">
            <v>900</v>
          </cell>
          <cell r="P150" t="str">
            <v>OEHHA</v>
          </cell>
          <cell r="R150">
            <v>1</v>
          </cell>
          <cell r="S150">
            <v>0</v>
          </cell>
          <cell r="T150" t="b">
            <v>0</v>
          </cell>
          <cell r="U150">
            <v>150</v>
          </cell>
        </row>
        <row r="151">
          <cell r="A151" t="str">
            <v>Strontium</v>
          </cell>
          <cell r="B151">
            <v>151</v>
          </cell>
          <cell r="D151"/>
          <cell r="F151"/>
          <cell r="H151"/>
          <cell r="I151">
            <v>0.6</v>
          </cell>
          <cell r="J151" t="str">
            <v>IRIS</v>
          </cell>
          <cell r="L151"/>
          <cell r="Q151">
            <v>0.6</v>
          </cell>
          <cell r="R151">
            <v>1</v>
          </cell>
          <cell r="S151">
            <v>0</v>
          </cell>
          <cell r="T151" t="b">
            <v>1</v>
          </cell>
          <cell r="U151">
            <v>151</v>
          </cell>
        </row>
        <row r="152">
          <cell r="A152" t="str">
            <v>1,2,4,5-Tetrachlorobenzene</v>
          </cell>
          <cell r="B152">
            <v>152</v>
          </cell>
          <cell r="C152">
            <v>0.27</v>
          </cell>
          <cell r="D152" t="str">
            <v>OEHHA</v>
          </cell>
          <cell r="E152">
            <v>0.20300000000000001</v>
          </cell>
          <cell r="F152" t="str">
            <v>OEHHA</v>
          </cell>
          <cell r="G152">
            <v>5.8E-5</v>
          </cell>
          <cell r="H152" t="str">
            <v>OEHHA</v>
          </cell>
          <cell r="I152">
            <v>2.9999999999999997E-4</v>
          </cell>
          <cell r="J152" t="str">
            <v>IRIS</v>
          </cell>
          <cell r="Q152">
            <v>2.9999999999999997E-4</v>
          </cell>
          <cell r="R152">
            <v>1</v>
          </cell>
          <cell r="S152">
            <v>0</v>
          </cell>
          <cell r="T152" t="b">
            <v>1</v>
          </cell>
          <cell r="U152">
            <v>152</v>
          </cell>
        </row>
        <row r="153">
          <cell r="A153" t="str">
            <v>1,1,1,2-Tetrachloroethane</v>
          </cell>
          <cell r="B153">
            <v>153</v>
          </cell>
          <cell r="C153">
            <v>2.5999999999999999E-2</v>
          </cell>
          <cell r="D153" t="str">
            <v>IRIS</v>
          </cell>
          <cell r="E153">
            <v>2.6599999999999999E-2</v>
          </cell>
          <cell r="G153">
            <v>7.6000000000000001E-6</v>
          </cell>
          <cell r="H153" t="str">
            <v>IRIS</v>
          </cell>
          <cell r="I153">
            <v>0.03</v>
          </cell>
          <cell r="J153" t="str">
            <v>IRIS</v>
          </cell>
          <cell r="L153"/>
          <cell r="Q153">
            <v>0.03</v>
          </cell>
          <cell r="R153">
            <v>1</v>
          </cell>
          <cell r="S153">
            <v>0</v>
          </cell>
          <cell r="T153" t="b">
            <v>1</v>
          </cell>
          <cell r="U153">
            <v>153</v>
          </cell>
        </row>
        <row r="154">
          <cell r="A154" t="str">
            <v>1,1,2,2-Tetrachloroethane</v>
          </cell>
          <cell r="B154">
            <v>154</v>
          </cell>
          <cell r="C154">
            <v>0.27</v>
          </cell>
          <cell r="D154" t="str">
            <v>OEHHA</v>
          </cell>
          <cell r="E154">
            <v>0.20300000000000001</v>
          </cell>
          <cell r="G154">
            <v>5.8E-5</v>
          </cell>
          <cell r="H154" t="str">
            <v>OEHHA</v>
          </cell>
          <cell r="I154">
            <v>0.06</v>
          </cell>
          <cell r="J154" t="str">
            <v>PPRTV</v>
          </cell>
          <cell r="Q154">
            <v>0.06</v>
          </cell>
          <cell r="R154">
            <v>1</v>
          </cell>
          <cell r="S154">
            <v>0</v>
          </cell>
          <cell r="T154" t="b">
            <v>1</v>
          </cell>
          <cell r="U154">
            <v>154</v>
          </cell>
        </row>
        <row r="155">
          <cell r="A155" t="str">
            <v>Tetrachloroethene</v>
          </cell>
          <cell r="B155">
            <v>155</v>
          </cell>
          <cell r="C155">
            <v>0.54</v>
          </cell>
          <cell r="D155" t="str">
            <v>OEHHA</v>
          </cell>
          <cell r="E155">
            <v>2.0650000000000002E-2</v>
          </cell>
          <cell r="F155" t="str">
            <v>OEHHA</v>
          </cell>
          <cell r="G155">
            <v>5.9000000000000003E-6</v>
          </cell>
          <cell r="H155" t="str">
            <v>OEHHA</v>
          </cell>
          <cell r="I155">
            <v>0.01</v>
          </cell>
          <cell r="J155" t="str">
            <v>IRIS</v>
          </cell>
          <cell r="K155">
            <v>0.114</v>
          </cell>
          <cell r="L155" t="str">
            <v>IRIS</v>
          </cell>
          <cell r="M155">
            <v>270</v>
          </cell>
          <cell r="N155" t="str">
            <v>ATSDR</v>
          </cell>
          <cell r="O155">
            <v>270</v>
          </cell>
          <cell r="P155" t="str">
            <v>ATSDR</v>
          </cell>
          <cell r="Q155">
            <v>0.01</v>
          </cell>
          <cell r="R155">
            <v>1</v>
          </cell>
          <cell r="S155">
            <v>0</v>
          </cell>
          <cell r="T155" t="b">
            <v>1</v>
          </cell>
          <cell r="U155">
            <v>155</v>
          </cell>
        </row>
        <row r="156">
          <cell r="A156" t="str">
            <v>Thallium</v>
          </cell>
          <cell r="B156">
            <v>156</v>
          </cell>
          <cell r="D156"/>
          <cell r="F156"/>
          <cell r="H156"/>
          <cell r="I156">
            <v>1.0000000000000001E-5</v>
          </cell>
          <cell r="J156" t="str">
            <v>PPRTV</v>
          </cell>
          <cell r="L156"/>
          <cell r="Q156">
            <v>8.0000000000000007E-5</v>
          </cell>
          <cell r="R156">
            <v>1</v>
          </cell>
          <cell r="S156">
            <v>0</v>
          </cell>
          <cell r="T156" t="b">
            <v>0</v>
          </cell>
          <cell r="U156">
            <v>156</v>
          </cell>
        </row>
        <row r="157">
          <cell r="A157" t="str">
            <v>Toluene</v>
          </cell>
          <cell r="B157">
            <v>157</v>
          </cell>
          <cell r="D157"/>
          <cell r="F157"/>
          <cell r="H157"/>
          <cell r="I157">
            <v>0.08</v>
          </cell>
          <cell r="J157" t="str">
            <v>IRIS</v>
          </cell>
          <cell r="K157">
            <v>8.5714285714285715E-2</v>
          </cell>
          <cell r="L157" t="str">
            <v>OEHHA</v>
          </cell>
          <cell r="M157">
            <v>300</v>
          </cell>
          <cell r="N157" t="str">
            <v>OEHHA</v>
          </cell>
          <cell r="O157">
            <v>300</v>
          </cell>
          <cell r="P157" t="str">
            <v>OEHHA</v>
          </cell>
          <cell r="Q157">
            <v>0.2</v>
          </cell>
          <cell r="R157">
            <v>1</v>
          </cell>
          <cell r="S157">
            <v>0</v>
          </cell>
          <cell r="T157" t="b">
            <v>0</v>
          </cell>
          <cell r="U157">
            <v>157</v>
          </cell>
        </row>
        <row r="158">
          <cell r="A158" t="str">
            <v>Toxaphene</v>
          </cell>
          <cell r="B158">
            <v>158</v>
          </cell>
          <cell r="C158">
            <v>1.2</v>
          </cell>
          <cell r="D158" t="str">
            <v>OEHHA</v>
          </cell>
          <cell r="E158">
            <v>1.19</v>
          </cell>
          <cell r="F158" t="str">
            <v>OEHHA</v>
          </cell>
          <cell r="G158">
            <v>3.4000000000000002E-4</v>
          </cell>
          <cell r="H158" t="str">
            <v>OEHHA</v>
          </cell>
          <cell r="J158"/>
          <cell r="L158"/>
          <cell r="R158">
            <v>1</v>
          </cell>
          <cell r="S158">
            <v>0.05</v>
          </cell>
          <cell r="T158" t="b">
            <v>1</v>
          </cell>
          <cell r="U158">
            <v>158</v>
          </cell>
        </row>
        <row r="159">
          <cell r="A159" t="str">
            <v>Bromoform (Tribromomethane)</v>
          </cell>
          <cell r="B159">
            <v>159</v>
          </cell>
          <cell r="C159">
            <v>1.0999999999999999E-2</v>
          </cell>
          <cell r="D159" t="str">
            <v>OEHHA</v>
          </cell>
          <cell r="E159">
            <v>3.8500000000000001E-3</v>
          </cell>
          <cell r="F159" t="str">
            <v>OEHHA</v>
          </cell>
          <cell r="G159">
            <v>1.1000000000000001E-6</v>
          </cell>
          <cell r="H159" t="str">
            <v>OEHHA</v>
          </cell>
          <cell r="I159">
            <v>0.02</v>
          </cell>
          <cell r="J159" t="str">
            <v>IRIS</v>
          </cell>
          <cell r="K159">
            <v>0.02</v>
          </cell>
          <cell r="L159" t="str">
            <v>IRIS</v>
          </cell>
          <cell r="Q159">
            <v>0.02</v>
          </cell>
          <cell r="R159">
            <v>1</v>
          </cell>
          <cell r="S159">
            <v>0</v>
          </cell>
          <cell r="T159" t="b">
            <v>1</v>
          </cell>
          <cell r="U159" t="e">
            <v>#N/A</v>
          </cell>
        </row>
        <row r="160">
          <cell r="A160" t="str">
            <v>1,2,4-Trichlorobenzene</v>
          </cell>
          <cell r="B160">
            <v>160</v>
          </cell>
          <cell r="C160">
            <v>3.5999999999999999E-3</v>
          </cell>
          <cell r="D160" t="str">
            <v>OEHHA</v>
          </cell>
          <cell r="F160"/>
          <cell r="H160"/>
          <cell r="I160">
            <v>0.01</v>
          </cell>
          <cell r="J160" t="str">
            <v>IRIS</v>
          </cell>
          <cell r="K160">
            <v>1.1428571428571427E-3</v>
          </cell>
          <cell r="L160" t="str">
            <v>PPRTV</v>
          </cell>
          <cell r="M160">
            <v>4</v>
          </cell>
          <cell r="N160" t="str">
            <v>PPRTV</v>
          </cell>
          <cell r="O160">
            <v>4</v>
          </cell>
          <cell r="P160" t="str">
            <v>PPRTV</v>
          </cell>
          <cell r="Q160">
            <v>0.01</v>
          </cell>
          <cell r="R160">
            <v>1</v>
          </cell>
          <cell r="S160">
            <v>0</v>
          </cell>
          <cell r="T160" t="b">
            <v>1</v>
          </cell>
          <cell r="U160">
            <v>160</v>
          </cell>
        </row>
        <row r="161">
          <cell r="A161" t="str">
            <v>1,1,1-Trichloroethane</v>
          </cell>
          <cell r="B161">
            <v>161</v>
          </cell>
          <cell r="D161"/>
          <cell r="F161"/>
          <cell r="H161"/>
          <cell r="I161">
            <v>2</v>
          </cell>
          <cell r="J161" t="str">
            <v>IRIS</v>
          </cell>
          <cell r="K161">
            <v>0.62857142857142856</v>
          </cell>
          <cell r="L161" t="str">
            <v>PPRTV</v>
          </cell>
          <cell r="M161">
            <v>5000</v>
          </cell>
          <cell r="N161" t="str">
            <v>IRIS</v>
          </cell>
          <cell r="O161">
            <v>5000</v>
          </cell>
          <cell r="P161" t="str">
            <v>IRIS</v>
          </cell>
          <cell r="Q161">
            <v>0.28000000000000003</v>
          </cell>
          <cell r="R161">
            <v>1</v>
          </cell>
          <cell r="S161">
            <v>0</v>
          </cell>
          <cell r="T161" t="b">
            <v>0</v>
          </cell>
          <cell r="U161">
            <v>161</v>
          </cell>
        </row>
        <row r="162">
          <cell r="A162" t="str">
            <v>1,1,2-Trichloroethane</v>
          </cell>
          <cell r="B162">
            <v>162</v>
          </cell>
          <cell r="C162">
            <v>7.1999999999999995E-2</v>
          </cell>
          <cell r="D162" t="str">
            <v>OEHHA</v>
          </cell>
          <cell r="E162">
            <v>5.5999999999999994E-2</v>
          </cell>
          <cell r="F162" t="str">
            <v>OEHHA</v>
          </cell>
          <cell r="G162">
            <v>1.5999999999999999E-5</v>
          </cell>
          <cell r="H162" t="str">
            <v>IRIS</v>
          </cell>
          <cell r="I162">
            <v>4.0000000000000001E-3</v>
          </cell>
          <cell r="J162" t="str">
            <v>IRIS</v>
          </cell>
          <cell r="K162">
            <v>4.0000000000000001E-3</v>
          </cell>
          <cell r="L162" t="str">
            <v>IRIS</v>
          </cell>
          <cell r="Q162">
            <v>4.0000000000000001E-3</v>
          </cell>
          <cell r="R162">
            <v>1</v>
          </cell>
          <cell r="S162">
            <v>0</v>
          </cell>
          <cell r="T162" t="b">
            <v>1</v>
          </cell>
          <cell r="U162">
            <v>162</v>
          </cell>
        </row>
        <row r="163">
          <cell r="A163" t="str">
            <v>Trichloroethene</v>
          </cell>
          <cell r="B163">
            <v>164</v>
          </cell>
          <cell r="C163">
            <v>4.5999999999999999E-2</v>
          </cell>
          <cell r="D163" t="str">
            <v>IRIS</v>
          </cell>
          <cell r="E163">
            <v>6.9999999999999993E-3</v>
          </cell>
          <cell r="F163" t="str">
            <v>OEHHA</v>
          </cell>
          <cell r="G163">
            <v>4.0999999999999997E-6</v>
          </cell>
          <cell r="H163" t="str">
            <v>IRIS</v>
          </cell>
          <cell r="I163">
            <v>5.0000000000000001E-4</v>
          </cell>
          <cell r="J163" t="str">
            <v>IRIS</v>
          </cell>
          <cell r="K163">
            <v>0.17142857142857143</v>
          </cell>
          <cell r="L163" t="str">
            <v>OEHHA</v>
          </cell>
          <cell r="M163">
            <v>2</v>
          </cell>
          <cell r="N163" t="str">
            <v>IRIS</v>
          </cell>
          <cell r="O163">
            <v>2</v>
          </cell>
          <cell r="P163" t="str">
            <v>IRIS</v>
          </cell>
          <cell r="Q163">
            <v>2.9999999999999997E-4</v>
          </cell>
          <cell r="R163">
            <v>1</v>
          </cell>
          <cell r="S163">
            <v>0</v>
          </cell>
          <cell r="T163" t="b">
            <v>0</v>
          </cell>
          <cell r="U163">
            <v>163</v>
          </cell>
        </row>
        <row r="164">
          <cell r="A164" t="str">
            <v>2,4,5-Trichlorophenol</v>
          </cell>
          <cell r="B164">
            <v>165</v>
          </cell>
          <cell r="D164"/>
          <cell r="F164"/>
          <cell r="H164"/>
          <cell r="I164">
            <v>0.1</v>
          </cell>
          <cell r="J164" t="str">
            <v>IRIS</v>
          </cell>
          <cell r="Q164">
            <v>0.1</v>
          </cell>
          <cell r="R164">
            <v>1</v>
          </cell>
          <cell r="S164">
            <v>0</v>
          </cell>
          <cell r="T164" t="b">
            <v>1</v>
          </cell>
          <cell r="U164">
            <v>165</v>
          </cell>
        </row>
        <row r="165">
          <cell r="A165" t="str">
            <v>2,4,6-Trichlorophenol</v>
          </cell>
          <cell r="B165">
            <v>166</v>
          </cell>
          <cell r="C165">
            <v>1.0999999999999999E-2</v>
          </cell>
          <cell r="D165" t="str">
            <v>IRIS</v>
          </cell>
          <cell r="E165">
            <v>1.085E-2</v>
          </cell>
          <cell r="F165" t="str">
            <v>IRIS</v>
          </cell>
          <cell r="G165">
            <v>3.1E-6</v>
          </cell>
          <cell r="H165" t="str">
            <v>IRIS</v>
          </cell>
          <cell r="I165">
            <v>1E-4</v>
          </cell>
          <cell r="J165" t="str">
            <v>NCEA</v>
          </cell>
          <cell r="L165"/>
          <cell r="Q165">
            <v>1E-4</v>
          </cell>
          <cell r="R165">
            <v>1</v>
          </cell>
          <cell r="S165">
            <v>0</v>
          </cell>
          <cell r="T165" t="b">
            <v>1</v>
          </cell>
          <cell r="U165">
            <v>166</v>
          </cell>
        </row>
        <row r="166">
          <cell r="A166" t="str">
            <v>1,2,4-Trimethylbenzene</v>
          </cell>
          <cell r="B166">
            <v>167</v>
          </cell>
          <cell r="D166"/>
          <cell r="F166"/>
          <cell r="H166"/>
          <cell r="I166">
            <v>0.05</v>
          </cell>
          <cell r="J166" t="str">
            <v>PPRTV</v>
          </cell>
          <cell r="K166">
            <v>1.7142857142857142E-3</v>
          </cell>
          <cell r="L166" t="str">
            <v>PPRTV</v>
          </cell>
          <cell r="M166">
            <v>6</v>
          </cell>
          <cell r="N166" t="str">
            <v>PPRTV</v>
          </cell>
          <cell r="O166">
            <v>6</v>
          </cell>
          <cell r="P166" t="str">
            <v>PPRTV</v>
          </cell>
          <cell r="Q166">
            <v>0.05</v>
          </cell>
          <cell r="R166">
            <v>1</v>
          </cell>
          <cell r="S166">
            <v>0</v>
          </cell>
          <cell r="T166" t="b">
            <v>1</v>
          </cell>
          <cell r="U166">
            <v>167</v>
          </cell>
        </row>
        <row r="167">
          <cell r="A167" t="str">
            <v>1,3,5-Trimethylbenzene</v>
          </cell>
          <cell r="B167">
            <v>168</v>
          </cell>
          <cell r="D167"/>
          <cell r="F167"/>
          <cell r="H167"/>
          <cell r="I167">
            <v>0.5</v>
          </cell>
          <cell r="J167" t="str">
            <v>PPRTV</v>
          </cell>
          <cell r="K167">
            <v>1.7142857142857142E-3</v>
          </cell>
          <cell r="L167" t="str">
            <v>PPRTV</v>
          </cell>
          <cell r="M167">
            <v>6</v>
          </cell>
          <cell r="N167" t="str">
            <v>PPRTV</v>
          </cell>
          <cell r="O167">
            <v>6</v>
          </cell>
          <cell r="P167" t="str">
            <v>PPRTV</v>
          </cell>
          <cell r="Q167">
            <v>0.5</v>
          </cell>
          <cell r="R167">
            <v>1</v>
          </cell>
          <cell r="S167">
            <v>0</v>
          </cell>
          <cell r="T167" t="b">
            <v>1</v>
          </cell>
          <cell r="U167">
            <v>168</v>
          </cell>
        </row>
        <row r="168">
          <cell r="A168" t="str">
            <v>2,4,6-Trinitrotoluene</v>
          </cell>
          <cell r="B168">
            <v>169</v>
          </cell>
          <cell r="C168">
            <v>0.03</v>
          </cell>
          <cell r="D168" t="str">
            <v>IRIS</v>
          </cell>
          <cell r="H168"/>
          <cell r="I168">
            <v>5.0000000000000001E-4</v>
          </cell>
          <cell r="J168" t="str">
            <v>IRIS</v>
          </cell>
          <cell r="Q168">
            <v>5.0000000000000001E-4</v>
          </cell>
          <cell r="R168">
            <v>1</v>
          </cell>
          <cell r="S168">
            <v>0</v>
          </cell>
          <cell r="T168" t="b">
            <v>1</v>
          </cell>
          <cell r="U168">
            <v>169</v>
          </cell>
        </row>
        <row r="169">
          <cell r="A169" t="str">
            <v>Vanadium</v>
          </cell>
          <cell r="B169">
            <v>170</v>
          </cell>
          <cell r="D169"/>
          <cell r="F169"/>
          <cell r="H169"/>
          <cell r="I169">
            <v>5.0000000000000001E-3</v>
          </cell>
          <cell r="J169" t="str">
            <v>IRIS</v>
          </cell>
          <cell r="L169"/>
          <cell r="Q169">
            <v>7.0000000000000001E-3</v>
          </cell>
          <cell r="R169">
            <v>2.5999999999999999E-2</v>
          </cell>
          <cell r="S169">
            <v>0</v>
          </cell>
          <cell r="T169" t="b">
            <v>0</v>
          </cell>
          <cell r="U169">
            <v>170</v>
          </cell>
        </row>
        <row r="170">
          <cell r="A170" t="str">
            <v>Vinyl chloride</v>
          </cell>
          <cell r="B170">
            <v>171</v>
          </cell>
          <cell r="C170">
            <v>0.27</v>
          </cell>
          <cell r="D170" t="str">
            <v>OEHHA</v>
          </cell>
          <cell r="E170">
            <v>0.27300000000000002</v>
          </cell>
          <cell r="F170" t="str">
            <v>OEHHA</v>
          </cell>
          <cell r="G170">
            <v>7.7999999999999999E-5</v>
          </cell>
          <cell r="H170" t="str">
            <v>OEHHA</v>
          </cell>
          <cell r="I170">
            <v>3.0000000000000001E-3</v>
          </cell>
          <cell r="J170" t="str">
            <v>IRIS</v>
          </cell>
          <cell r="K170">
            <v>2.8571428571428571E-2</v>
          </cell>
          <cell r="L170" t="str">
            <v>IRIS</v>
          </cell>
          <cell r="M170">
            <v>100</v>
          </cell>
          <cell r="N170" t="str">
            <v>IRIS</v>
          </cell>
          <cell r="O170">
            <v>100</v>
          </cell>
          <cell r="P170" t="str">
            <v>IRIS</v>
          </cell>
          <cell r="Q170">
            <v>3.0000000000000001E-3</v>
          </cell>
          <cell r="R170">
            <v>1</v>
          </cell>
          <cell r="S170">
            <v>0</v>
          </cell>
          <cell r="T170" t="b">
            <v>1</v>
          </cell>
          <cell r="U170">
            <v>172</v>
          </cell>
        </row>
        <row r="171">
          <cell r="A171" t="str">
            <v>Xylenes</v>
          </cell>
          <cell r="B171">
            <v>173</v>
          </cell>
          <cell r="D171"/>
          <cell r="F171"/>
          <cell r="H171"/>
          <cell r="I171">
            <v>0.2</v>
          </cell>
          <cell r="J171" t="str">
            <v>IRIS</v>
          </cell>
          <cell r="K171">
            <v>2.8571428571428571E-2</v>
          </cell>
          <cell r="L171" t="str">
            <v>IRIS</v>
          </cell>
          <cell r="M171">
            <v>100</v>
          </cell>
          <cell r="N171" t="str">
            <v>IRIS</v>
          </cell>
          <cell r="O171">
            <v>100</v>
          </cell>
          <cell r="P171" t="str">
            <v>IRIS</v>
          </cell>
          <cell r="Q171">
            <v>0.2</v>
          </cell>
          <cell r="R171">
            <v>1</v>
          </cell>
          <cell r="S171">
            <v>0</v>
          </cell>
          <cell r="T171" t="b">
            <v>1</v>
          </cell>
          <cell r="U171">
            <v>173</v>
          </cell>
        </row>
        <row r="172">
          <cell r="A172" t="str">
            <v>Zinc</v>
          </cell>
          <cell r="B172">
            <v>174</v>
          </cell>
          <cell r="D172"/>
          <cell r="F172"/>
          <cell r="H172"/>
          <cell r="I172">
            <v>0.3</v>
          </cell>
          <cell r="J172" t="str">
            <v>IRIS</v>
          </cell>
          <cell r="L172"/>
          <cell r="Q172">
            <v>0.3</v>
          </cell>
          <cell r="R172">
            <v>1</v>
          </cell>
          <cell r="S172">
            <v>0</v>
          </cell>
          <cell r="T172" t="b">
            <v>1</v>
          </cell>
          <cell r="U172">
            <v>174</v>
          </cell>
        </row>
        <row r="173">
          <cell r="A173" t="str">
            <v>Hexachlorobenzene</v>
          </cell>
          <cell r="C173">
            <v>1.6</v>
          </cell>
          <cell r="D173" t="str">
            <v>OEHHA</v>
          </cell>
          <cell r="E173">
            <v>1.61</v>
          </cell>
          <cell r="F173" t="str">
            <v>OEHHA</v>
          </cell>
          <cell r="G173">
            <v>4.6000000000000001E-4</v>
          </cell>
          <cell r="H173" t="str">
            <v>OEHHA</v>
          </cell>
          <cell r="I173">
            <v>8.0000000000000004E-4</v>
          </cell>
          <cell r="J173" t="str">
            <v>IRIS</v>
          </cell>
          <cell r="L173"/>
          <cell r="Q173">
            <v>8.0000000000000004E-4</v>
          </cell>
          <cell r="R173">
            <v>1</v>
          </cell>
          <cell r="S173">
            <v>0.05</v>
          </cell>
          <cell r="T173" t="b">
            <v>1</v>
          </cell>
        </row>
        <row r="174">
          <cell r="A174" t="str">
            <v>g-Hexachlorocyclohexane (Lindane)</v>
          </cell>
          <cell r="D174"/>
          <cell r="F174"/>
          <cell r="H174"/>
          <cell r="I174">
            <v>2.9999999999999997E-4</v>
          </cell>
          <cell r="J174" t="str">
            <v>IRIS</v>
          </cell>
          <cell r="L174"/>
          <cell r="Q174">
            <v>2.9999999999999997E-4</v>
          </cell>
          <cell r="R174">
            <v>1</v>
          </cell>
          <cell r="S174">
            <v>0.05</v>
          </cell>
          <cell r="T174" t="b">
            <v>1</v>
          </cell>
        </row>
        <row r="175">
          <cell r="A175" t="str">
            <v>1-Methylnaphthalene</v>
          </cell>
          <cell r="D175"/>
          <cell r="F175"/>
          <cell r="H175"/>
          <cell r="L175"/>
          <cell r="R175">
            <v>1</v>
          </cell>
          <cell r="S175">
            <v>0</v>
          </cell>
          <cell r="T175" t="b">
            <v>1</v>
          </cell>
        </row>
        <row r="176">
          <cell r="A176" t="str">
            <v>2-Methylnaphthalene</v>
          </cell>
          <cell r="D176"/>
          <cell r="F176"/>
          <cell r="H176"/>
          <cell r="I176">
            <v>4.0000000000000001E-3</v>
          </cell>
          <cell r="J176" t="str">
            <v>IRIS</v>
          </cell>
          <cell r="L176"/>
          <cell r="Q176">
            <v>4.0000000000000001E-3</v>
          </cell>
          <cell r="R176">
            <v>1</v>
          </cell>
          <cell r="S176">
            <v>0.13</v>
          </cell>
          <cell r="T176" t="b">
            <v>1</v>
          </cell>
        </row>
        <row r="177">
          <cell r="A177" t="str">
            <v>p-Chloroaniline</v>
          </cell>
          <cell r="I177">
            <v>4.0000000000000001E-3</v>
          </cell>
          <cell r="J177" t="str">
            <v>IRIS</v>
          </cell>
          <cell r="Q177">
            <v>4.0000000000000001E-3</v>
          </cell>
          <cell r="R177">
            <v>1</v>
          </cell>
          <cell r="S177">
            <v>0</v>
          </cell>
          <cell r="T177" t="b">
            <v>1</v>
          </cell>
        </row>
        <row r="178">
          <cell r="A178" t="str">
            <v>Heptachlor epoxide</v>
          </cell>
          <cell r="C178">
            <v>9.1</v>
          </cell>
          <cell r="D178" t="str">
            <v>IRIS</v>
          </cell>
          <cell r="G178">
            <v>2.5999999999999999E-3</v>
          </cell>
          <cell r="H178" t="str">
            <v>OEHHA</v>
          </cell>
          <cell r="I178">
            <v>1.2999999999999999E-5</v>
          </cell>
          <cell r="J178" t="str">
            <v>IRIS</v>
          </cell>
          <cell r="Q178">
            <v>1.2999999999999999E-5</v>
          </cell>
          <cell r="R178">
            <v>1</v>
          </cell>
          <cell r="S178">
            <v>0.05</v>
          </cell>
          <cell r="T178" t="b">
            <v>1</v>
          </cell>
        </row>
        <row r="179">
          <cell r="A179" t="str">
            <v>TPH (gasolines)</v>
          </cell>
          <cell r="I179">
            <v>3.6999999999999998E-2</v>
          </cell>
          <cell r="J179" t="str">
            <v>weight</v>
          </cell>
          <cell r="M179">
            <v>280</v>
          </cell>
          <cell r="N179" t="str">
            <v>weight</v>
          </cell>
          <cell r="Q179">
            <v>0.03</v>
          </cell>
          <cell r="R179">
            <v>1</v>
          </cell>
          <cell r="S179">
            <v>0.1</v>
          </cell>
          <cell r="T179" t="b">
            <v>0</v>
          </cell>
        </row>
        <row r="180">
          <cell r="A180" t="str">
            <v>TPH (middle distillates)</v>
          </cell>
          <cell r="I180">
            <v>0.02</v>
          </cell>
          <cell r="J180" t="str">
            <v>weight</v>
          </cell>
          <cell r="M180">
            <v>130</v>
          </cell>
          <cell r="N180" t="str">
            <v>weight</v>
          </cell>
          <cell r="Q180">
            <v>0.03</v>
          </cell>
          <cell r="R180">
            <v>1</v>
          </cell>
          <cell r="S180">
            <v>0.1</v>
          </cell>
          <cell r="T180" t="b">
            <v>0</v>
          </cell>
        </row>
        <row r="181">
          <cell r="A181" t="str">
            <v>TPH (residual fuels)</v>
          </cell>
          <cell r="I181">
            <v>0.17</v>
          </cell>
          <cell r="J181" t="str">
            <v>weight</v>
          </cell>
          <cell r="Q181">
            <v>0.03</v>
          </cell>
          <cell r="R181">
            <v>1</v>
          </cell>
          <cell r="S181">
            <v>0.1</v>
          </cell>
          <cell r="T181" t="b">
            <v>0</v>
          </cell>
        </row>
        <row r="182">
          <cell r="A182" t="str">
            <v>Chromium (total)</v>
          </cell>
          <cell r="R182">
            <v>1</v>
          </cell>
          <cell r="S182" t="e">
            <v>#NAME?</v>
          </cell>
          <cell r="T182" t="b">
            <v>1</v>
          </cell>
        </row>
        <row r="184">
          <cell r="A184" t="str">
            <v>July 2009</v>
          </cell>
        </row>
        <row r="185">
          <cell r="A185" t="str">
            <v>Changed OEHHA oral cancer potency for PCE from 0.013 to 0.0059</v>
          </cell>
        </row>
        <row r="186">
          <cell r="A186" t="str">
            <v>Changed OEHHA oral cancer potency for DEHP from 0.014 to 0.003</v>
          </cell>
        </row>
        <row r="187">
          <cell r="A187" t="str">
            <v>Changed OEHHA REL for arsenic from 0.03 to 0.015</v>
          </cell>
        </row>
        <row r="188">
          <cell r="A188" t="str">
            <v>Changed the OEHHA REL for inorganic mercury from 0.09 to 0.03</v>
          </cell>
        </row>
        <row r="189">
          <cell r="A189" t="str">
            <v>December 2009</v>
          </cell>
        </row>
        <row r="190">
          <cell r="A190" t="str">
            <v>Added IUR for PCBs</v>
          </cell>
        </row>
        <row r="191">
          <cell r="A191" t="str">
            <v>deleted RfDi for g-BHC</v>
          </cell>
        </row>
        <row r="192">
          <cell r="A192" t="str">
            <v>Changed oral cancer potency of acrylonitrile to OEHHA value of 1, added IUR and RfC</v>
          </cell>
        </row>
        <row r="193">
          <cell r="A193" t="str">
            <v>April 2010</v>
          </cell>
        </row>
        <row r="194">
          <cell r="A194" t="str">
            <v>Changed oral RfD for carbon tetrachloride per changes in IRIS</v>
          </cell>
        </row>
        <row r="195">
          <cell r="A195" t="str">
            <v>2013 January</v>
          </cell>
        </row>
        <row r="196">
          <cell r="A196" t="str">
            <v>changed toxicity factors for TCE: oral cancer slope factor, IUR, RfD and RfC (duplicate) to IRIS values</v>
          </cell>
        </row>
        <row r="197">
          <cell r="A197" t="str">
            <v>2013 May</v>
          </cell>
        </row>
        <row r="198">
          <cell r="A198" t="str">
            <v>fixed copper RfD (factor 10), Cobalt RfD (3.0 E-04), Cobalt IUR (9.0E-03), 2,4-dinitrophenol (factor 10), toluene RfD (8.0E-02)</v>
          </cell>
        </row>
        <row r="199">
          <cell r="A199" t="str">
            <v>changed RfC and RfD for TPH</v>
          </cell>
        </row>
      </sheetData>
      <sheetData sheetId="6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ls.esls@waterboards.ca.gov"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3DCF1-BC34-474E-951C-2097BD6ED414}">
  <dimension ref="A1:K18"/>
  <sheetViews>
    <sheetView showGridLines="0" tabSelected="1" showWhiteSpace="0" view="pageLayout" zoomScaleNormal="100" workbookViewId="0">
      <selection activeCell="B3" sqref="B3:C3"/>
    </sheetView>
  </sheetViews>
  <sheetFormatPr defaultColWidth="8.85546875" defaultRowHeight="12.75"/>
  <cols>
    <col min="1" max="1" width="3.140625" customWidth="1"/>
    <col min="2" max="2" width="24.5703125" customWidth="1"/>
    <col min="3" max="3" width="58" customWidth="1"/>
  </cols>
  <sheetData>
    <row r="1" spans="1:11" ht="94.7" customHeight="1">
      <c r="A1" s="42"/>
      <c r="B1" s="1115"/>
      <c r="C1" s="59"/>
      <c r="D1" s="59"/>
      <c r="E1" s="59"/>
      <c r="F1" s="59"/>
      <c r="G1" s="59"/>
      <c r="H1" s="59"/>
      <c r="I1" s="60"/>
      <c r="J1" s="42"/>
      <c r="K1" s="42"/>
    </row>
    <row r="2" spans="1:11" ht="27.75" customHeight="1">
      <c r="A2" s="42"/>
      <c r="B2" s="2142" t="s">
        <v>0</v>
      </c>
      <c r="C2" s="2142"/>
      <c r="D2" s="59"/>
      <c r="E2" s="59"/>
      <c r="F2" s="59"/>
      <c r="G2" s="59"/>
      <c r="H2" s="59"/>
      <c r="I2" s="60"/>
      <c r="J2" s="42"/>
      <c r="K2" s="42"/>
    </row>
    <row r="3" spans="1:11" ht="14.25" customHeight="1">
      <c r="A3" s="42"/>
      <c r="B3" s="2143" t="str">
        <f>Update</f>
        <v>2025 (Rev 4)</v>
      </c>
      <c r="C3" s="2143"/>
      <c r="D3" s="59"/>
      <c r="E3" s="59"/>
      <c r="F3" s="59"/>
      <c r="G3" s="59"/>
      <c r="H3" s="59"/>
      <c r="I3" s="60"/>
      <c r="J3" s="42"/>
      <c r="K3" s="42"/>
    </row>
    <row r="4" spans="1:11" ht="5.0999999999999996" customHeight="1">
      <c r="A4" s="42"/>
      <c r="B4" s="1115"/>
      <c r="C4" s="59"/>
      <c r="D4" s="59"/>
      <c r="E4" s="59"/>
      <c r="F4" s="59"/>
      <c r="G4" s="59"/>
      <c r="H4" s="59"/>
      <c r="I4" s="60"/>
      <c r="J4" s="42"/>
      <c r="K4" s="42"/>
    </row>
    <row r="5" spans="1:11" ht="50.25" customHeight="1">
      <c r="B5" s="2144" t="s">
        <v>4306</v>
      </c>
      <c r="C5" s="2144"/>
      <c r="D5" s="1205"/>
      <c r="E5" s="1205"/>
      <c r="F5" s="1205"/>
      <c r="G5" s="1205"/>
      <c r="H5" s="1205"/>
      <c r="I5" s="1205"/>
      <c r="J5" s="1205"/>
      <c r="K5" s="1205"/>
    </row>
    <row r="6" spans="1:11" ht="14.25" customHeight="1">
      <c r="A6" s="61"/>
      <c r="B6" s="1263"/>
      <c r="C6" s="1263"/>
      <c r="D6" s="1204"/>
      <c r="E6" s="1204"/>
      <c r="F6" s="1204"/>
      <c r="G6" s="1204"/>
      <c r="H6" s="1204"/>
      <c r="I6" s="1204"/>
      <c r="J6" s="1204"/>
      <c r="K6" s="61"/>
    </row>
    <row r="7" spans="1:11" ht="51" customHeight="1" thickBot="1">
      <c r="A7" s="61"/>
      <c r="B7" s="2145" t="s">
        <v>1</v>
      </c>
      <c r="C7" s="2145"/>
      <c r="D7" s="1204"/>
      <c r="E7" s="1204"/>
      <c r="F7" s="1204"/>
      <c r="G7" s="1204"/>
      <c r="H7" s="1204"/>
      <c r="I7" s="1204"/>
      <c r="J7" s="1204"/>
      <c r="K7" s="61"/>
    </row>
    <row r="8" spans="1:11" ht="24.75" customHeight="1" thickBot="1">
      <c r="B8" s="2136" t="s">
        <v>2</v>
      </c>
      <c r="C8" s="2137"/>
    </row>
    <row r="9" spans="1:11" ht="18" customHeight="1">
      <c r="B9" s="2138" t="s">
        <v>4274</v>
      </c>
      <c r="C9" s="2139"/>
    </row>
    <row r="10" spans="1:11" ht="18" customHeight="1">
      <c r="B10" s="2132" t="s">
        <v>3</v>
      </c>
      <c r="C10" s="2133"/>
    </row>
    <row r="11" spans="1:11" ht="18" customHeight="1">
      <c r="B11" s="2140" t="s">
        <v>7</v>
      </c>
      <c r="C11" s="2141"/>
    </row>
    <row r="12" spans="1:11" ht="15" customHeight="1">
      <c r="B12" s="2132" t="s">
        <v>4</v>
      </c>
      <c r="C12" s="2133"/>
    </row>
    <row r="13" spans="1:11" ht="19.5" customHeight="1" thickBot="1">
      <c r="B13" s="2134" t="s">
        <v>5</v>
      </c>
      <c r="C13" s="2135"/>
    </row>
    <row r="14" spans="1:11" ht="25.35" customHeight="1" thickBot="1">
      <c r="B14" s="2136" t="s">
        <v>6</v>
      </c>
      <c r="C14" s="2137"/>
    </row>
    <row r="15" spans="1:11" ht="18" customHeight="1">
      <c r="B15" s="1217" t="s">
        <v>7</v>
      </c>
      <c r="C15" s="1218" t="s">
        <v>8</v>
      </c>
    </row>
    <row r="16" spans="1:11" ht="18" customHeight="1" thickBot="1">
      <c r="B16" s="1949" t="s">
        <v>4258</v>
      </c>
      <c r="C16" s="1219" t="s">
        <v>4257</v>
      </c>
    </row>
    <row r="17" spans="2:3" ht="25.35" customHeight="1" thickBot="1">
      <c r="B17" s="2136" t="s">
        <v>9</v>
      </c>
      <c r="C17" s="2137"/>
    </row>
    <row r="18" spans="2:3" ht="18" customHeight="1" thickBot="1">
      <c r="B18" s="2130" t="s">
        <v>10</v>
      </c>
      <c r="C18" s="2131"/>
    </row>
  </sheetData>
  <sheetProtection algorithmName="SHA-512" hashValue="9Uw+JjGiL1q/yHbHLKp8BLOdkPv9O47f78fPMZ871LAqJdBEm2xXOWDGf4kJlD+wAPC6ei49lx+mlDHeimX4xQ==" saltValue="FySO0CE3o9je8BD80+nHyg==" spinCount="100000" sheet="1" objects="1" scenarios="1"/>
  <mergeCells count="13">
    <mergeCell ref="B2:C2"/>
    <mergeCell ref="B3:C3"/>
    <mergeCell ref="B5:C5"/>
    <mergeCell ref="B17:C17"/>
    <mergeCell ref="B7:C7"/>
    <mergeCell ref="B18:C18"/>
    <mergeCell ref="B12:C12"/>
    <mergeCell ref="B13:C13"/>
    <mergeCell ref="B14:C14"/>
    <mergeCell ref="B8:C8"/>
    <mergeCell ref="B9:C9"/>
    <mergeCell ref="B10:C10"/>
    <mergeCell ref="B11:C11"/>
  </mergeCells>
  <hyperlinks>
    <hyperlink ref="B9" r:id="rId1" display="mailto:esls.esls@waterboards.ca.gov" xr:uid="{5B1863A3-965C-4E61-885D-FDF753E11814}"/>
  </hyperlinks>
  <pageMargins left="0.7" right="0.7" top="0.75" bottom="0.75" header="0.3" footer="0.3"/>
  <pageSetup orientation="portrait" r:id="rId2"/>
  <headerFooter>
    <oddHeader xml:space="preserve">&amp;C    </oddHeader>
    <oddFooter>&amp;C&amp;P of &amp;N&amp;R&amp;A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pageSetUpPr fitToPage="1"/>
  </sheetPr>
  <dimension ref="A1:BA50"/>
  <sheetViews>
    <sheetView showGridLines="0" zoomScale="90" zoomScaleNormal="90" workbookViewId="0">
      <selection activeCell="H4" sqref="H4:AB4"/>
    </sheetView>
  </sheetViews>
  <sheetFormatPr defaultColWidth="9.140625" defaultRowHeight="12.75" customHeight="1"/>
  <cols>
    <col min="1" max="2" width="3.5703125" style="846" customWidth="1"/>
    <col min="3" max="3" width="3.5703125" style="847" customWidth="1"/>
    <col min="4" max="4" width="3.5703125" style="848" customWidth="1"/>
    <col min="5" max="8" width="3.5703125" style="846" customWidth="1"/>
    <col min="9" max="9" width="3.140625" style="846" customWidth="1"/>
    <col min="10" max="10" width="3.5703125" style="846" customWidth="1"/>
    <col min="11" max="11" width="3.5703125" style="849" customWidth="1"/>
    <col min="12" max="14" width="3.5703125" style="846" customWidth="1"/>
    <col min="15" max="15" width="3.5703125" style="849" customWidth="1"/>
    <col min="16" max="27" width="3.5703125" style="846" customWidth="1"/>
    <col min="28" max="28" width="8.140625" style="846" customWidth="1"/>
    <col min="29" max="29" width="4.42578125" style="846" customWidth="1"/>
    <col min="30" max="31" width="27" style="846" customWidth="1"/>
    <col min="32" max="16384" width="9.140625" style="846"/>
  </cols>
  <sheetData>
    <row r="1" spans="1:53" ht="76.349999999999994" customHeight="1" thickBot="1">
      <c r="A1" s="42"/>
      <c r="B1" s="42"/>
      <c r="C1" s="42"/>
      <c r="D1" s="42"/>
      <c r="E1" s="42"/>
      <c r="F1" s="533"/>
      <c r="G1" s="42"/>
      <c r="H1" s="533"/>
      <c r="I1" s="42"/>
      <c r="J1" s="42"/>
      <c r="K1" s="42"/>
      <c r="L1" s="42"/>
      <c r="M1" s="42"/>
      <c r="N1" s="42"/>
      <c r="O1" s="55"/>
      <c r="P1" s="55"/>
      <c r="Q1" s="55"/>
      <c r="R1" s="46"/>
      <c r="S1" s="46"/>
      <c r="T1" s="46"/>
      <c r="U1" s="42"/>
      <c r="V1" s="42"/>
    </row>
    <row r="2" spans="1:53" ht="20.100000000000001" customHeight="1" thickTop="1">
      <c r="B2" s="2404" t="str">
        <f>Update</f>
        <v>2025 (Rev 4)</v>
      </c>
      <c r="C2" s="2405"/>
      <c r="D2" s="2405"/>
      <c r="E2" s="2405"/>
      <c r="F2" s="2405"/>
      <c r="G2" s="2406"/>
      <c r="H2" s="2416" t="s">
        <v>629</v>
      </c>
      <c r="I2" s="2417"/>
      <c r="J2" s="2417"/>
      <c r="K2" s="2417"/>
      <c r="L2" s="2417"/>
      <c r="M2" s="2417"/>
      <c r="N2" s="2417"/>
      <c r="O2" s="2417"/>
      <c r="P2" s="2417"/>
      <c r="Q2" s="2417"/>
      <c r="R2" s="2417"/>
      <c r="S2" s="2417"/>
      <c r="T2" s="2417"/>
      <c r="U2" s="2417"/>
      <c r="V2" s="2417"/>
      <c r="W2" s="2417"/>
      <c r="X2" s="2417"/>
      <c r="Y2" s="2417"/>
      <c r="Z2" s="2417"/>
      <c r="AA2" s="2417"/>
      <c r="AB2" s="2418"/>
      <c r="AC2" s="1111"/>
    </row>
    <row r="3" spans="1:53" ht="20.100000000000001" customHeight="1">
      <c r="B3" s="2407"/>
      <c r="C3" s="2408"/>
      <c r="D3" s="2408"/>
      <c r="E3" s="2408"/>
      <c r="F3" s="2408"/>
      <c r="G3" s="2409"/>
      <c r="H3" s="2419"/>
      <c r="I3" s="2420"/>
      <c r="J3" s="2420"/>
      <c r="K3" s="2420"/>
      <c r="L3" s="2420"/>
      <c r="M3" s="2420"/>
      <c r="N3" s="2420"/>
      <c r="O3" s="2420"/>
      <c r="P3" s="2420"/>
      <c r="Q3" s="2420"/>
      <c r="R3" s="2420"/>
      <c r="S3" s="2420"/>
      <c r="T3" s="2420"/>
      <c r="U3" s="2420"/>
      <c r="V3" s="2420"/>
      <c r="W3" s="2420"/>
      <c r="X3" s="2420"/>
      <c r="Y3" s="2420"/>
      <c r="Z3" s="2420"/>
      <c r="AA3" s="2420"/>
      <c r="AB3" s="2421"/>
      <c r="AC3" s="1040"/>
    </row>
    <row r="4" spans="1:53" ht="20.100000000000001" customHeight="1">
      <c r="B4" s="2407"/>
      <c r="C4" s="2408"/>
      <c r="D4" s="2408"/>
      <c r="E4" s="2408"/>
      <c r="F4" s="2408"/>
      <c r="G4" s="2409"/>
      <c r="H4" s="2401" t="str">
        <f>C_1</f>
        <v>Tetrachloroethene</v>
      </c>
      <c r="I4" s="2402"/>
      <c r="J4" s="2402"/>
      <c r="K4" s="2402"/>
      <c r="L4" s="2402"/>
      <c r="M4" s="2402"/>
      <c r="N4" s="2402"/>
      <c r="O4" s="2402"/>
      <c r="P4" s="2402"/>
      <c r="Q4" s="2402"/>
      <c r="R4" s="2402"/>
      <c r="S4" s="2402"/>
      <c r="T4" s="2402"/>
      <c r="U4" s="2402"/>
      <c r="V4" s="2402"/>
      <c r="W4" s="2402"/>
      <c r="X4" s="2402"/>
      <c r="Y4" s="2402"/>
      <c r="Z4" s="2402"/>
      <c r="AA4" s="2402"/>
      <c r="AB4" s="2403"/>
      <c r="AC4" s="1040"/>
    </row>
    <row r="5" spans="1:53" ht="20.100000000000001" customHeight="1" thickBot="1">
      <c r="B5" s="2410"/>
      <c r="C5" s="2411"/>
      <c r="D5" s="2411"/>
      <c r="E5" s="2411"/>
      <c r="F5" s="2411"/>
      <c r="G5" s="2412"/>
      <c r="H5" s="2413" t="s">
        <v>630</v>
      </c>
      <c r="I5" s="2414"/>
      <c r="J5" s="2414"/>
      <c r="K5" s="2414"/>
      <c r="L5" s="2414"/>
      <c r="M5" s="2414"/>
      <c r="N5" s="2414"/>
      <c r="O5" s="2414"/>
      <c r="P5" s="2414"/>
      <c r="Q5" s="2414"/>
      <c r="R5" s="2414"/>
      <c r="S5" s="2414"/>
      <c r="T5" s="2414"/>
      <c r="U5" s="2414"/>
      <c r="V5" s="2414"/>
      <c r="W5" s="2414"/>
      <c r="X5" s="2414"/>
      <c r="Y5" s="2414"/>
      <c r="Z5" s="2414"/>
      <c r="AA5" s="2414"/>
      <c r="AB5" s="2415"/>
      <c r="AC5" s="1113"/>
    </row>
    <row r="6" spans="1:53" ht="11.1" customHeight="1" thickTop="1" thickBot="1">
      <c r="A6" s="1114"/>
      <c r="B6" s="1114"/>
      <c r="C6" s="1114"/>
      <c r="D6" s="1114"/>
      <c r="E6" s="1114"/>
      <c r="F6" s="1114"/>
      <c r="G6" s="1114"/>
      <c r="H6" s="2400"/>
      <c r="I6" s="2400"/>
      <c r="J6" s="2400"/>
      <c r="K6" s="2400"/>
      <c r="L6" s="2400"/>
      <c r="M6" s="2400"/>
      <c r="N6" s="2400"/>
      <c r="O6" s="2400"/>
      <c r="P6" s="2400"/>
      <c r="Q6" s="2400"/>
      <c r="R6" s="2400"/>
      <c r="S6" s="2400"/>
      <c r="T6" s="2400"/>
      <c r="U6" s="2400"/>
      <c r="V6" s="2400"/>
      <c r="W6" s="2400"/>
      <c r="X6" s="2400"/>
      <c r="Y6" s="2400"/>
      <c r="Z6" s="2400"/>
      <c r="AA6" s="2400"/>
      <c r="AB6" s="2400"/>
      <c r="AC6" s="1112"/>
    </row>
    <row r="7" spans="1:53" ht="15.75" customHeight="1" thickTop="1">
      <c r="A7" s="42"/>
      <c r="C7" s="42"/>
      <c r="D7" s="1264" t="str">
        <f>IF(Conc_C1_IA&gt;E9,"X","")</f>
        <v/>
      </c>
      <c r="E7" s="2394" t="s">
        <v>631</v>
      </c>
      <c r="F7" s="2394"/>
      <c r="G7" s="2394"/>
      <c r="H7" s="42"/>
      <c r="I7" s="42"/>
      <c r="J7" s="998"/>
      <c r="K7" s="998"/>
      <c r="L7" s="998"/>
      <c r="M7" s="42"/>
      <c r="N7" s="42"/>
      <c r="O7" s="846"/>
      <c r="T7" s="2393" t="str">
        <f>IF(Conc_C1_IA&gt;U9,"X","")</f>
        <v/>
      </c>
      <c r="U7" s="2392" t="s">
        <v>632</v>
      </c>
      <c r="V7" s="2392"/>
      <c r="W7" s="2392"/>
      <c r="X7" s="2390" t="str">
        <f>IF(AND(Conc_C1_Soil=0,Conc_C1_SG=0,Conc_C1_GW=0,Conc_C1_IA=0),"",IF(OR(I21="x",K10="x",T22="x",N31="x"),"ESLs Exceeded ('X').
Further evaluation of identified concerns recommended.","No ESLs exceeded."))</f>
        <v/>
      </c>
      <c r="Y7" s="2391"/>
      <c r="Z7" s="2391"/>
      <c r="AA7" s="2391"/>
      <c r="AB7" s="2391"/>
      <c r="AD7" s="2384" t="s">
        <v>633</v>
      </c>
      <c r="AE7" s="2385"/>
      <c r="AF7" s="1009"/>
      <c r="AG7" s="1009"/>
      <c r="AH7" s="1009"/>
      <c r="AI7" s="1010"/>
      <c r="AJ7" s="1010"/>
      <c r="AK7" s="1010"/>
      <c r="AL7" s="1010"/>
      <c r="AM7" s="1010"/>
      <c r="AN7" s="1010"/>
      <c r="AO7" s="1010"/>
    </row>
    <row r="8" spans="1:53" ht="12.75" customHeight="1">
      <c r="A8" s="42"/>
      <c r="C8" s="42"/>
      <c r="D8" s="1265"/>
      <c r="E8" s="2394"/>
      <c r="F8" s="2394"/>
      <c r="G8" s="2394"/>
      <c r="H8" s="42"/>
      <c r="I8" s="42"/>
      <c r="J8" s="42"/>
      <c r="K8" s="42"/>
      <c r="L8" s="42"/>
      <c r="M8" s="42"/>
      <c r="N8" s="42"/>
      <c r="O8" s="846"/>
      <c r="T8" s="2393"/>
      <c r="U8" s="2392"/>
      <c r="V8" s="2392"/>
      <c r="W8" s="2392"/>
      <c r="X8" s="2391"/>
      <c r="Y8" s="2391"/>
      <c r="Z8" s="2391"/>
      <c r="AA8" s="2391"/>
      <c r="AB8" s="2391"/>
      <c r="AD8" s="1091" t="s">
        <v>488</v>
      </c>
      <c r="AE8" s="1092" t="str">
        <f>Land_Use</f>
        <v>Residential</v>
      </c>
      <c r="AG8" s="1003"/>
      <c r="AH8" s="1003"/>
      <c r="AI8" s="1003"/>
      <c r="AK8" s="1013"/>
      <c r="AL8" s="1014"/>
      <c r="AM8" s="1012"/>
      <c r="AN8" s="1012"/>
      <c r="AO8" s="1012"/>
      <c r="AP8" s="1012"/>
    </row>
    <row r="9" spans="1:53" ht="12.75" customHeight="1">
      <c r="A9" s="42"/>
      <c r="C9" s="42"/>
      <c r="D9" s="1265"/>
      <c r="E9" s="2398">
        <f>IA_DE_Level</f>
        <v>0.46027742749054212</v>
      </c>
      <c r="F9" s="2398"/>
      <c r="G9" s="2398"/>
      <c r="H9" s="42"/>
      <c r="I9" s="1270"/>
      <c r="J9" s="1270"/>
      <c r="K9" s="1270"/>
      <c r="L9" s="2386" t="s">
        <v>634</v>
      </c>
      <c r="M9" s="2386"/>
      <c r="N9" s="2386"/>
      <c r="O9" s="1006"/>
      <c r="T9" s="1977"/>
      <c r="U9" s="2387">
        <f>IA_NO_Level</f>
        <v>31730</v>
      </c>
      <c r="V9" s="2387"/>
      <c r="W9" s="2387"/>
      <c r="X9" s="2391"/>
      <c r="Y9" s="2391"/>
      <c r="Z9" s="2391"/>
      <c r="AA9" s="2391"/>
      <c r="AB9" s="2391"/>
      <c r="AD9" s="1091" t="s">
        <v>491</v>
      </c>
      <c r="AE9" s="1092" t="str">
        <f>Vegetation</f>
        <v>Minimal</v>
      </c>
      <c r="AG9" s="1003"/>
      <c r="AH9" s="1003"/>
      <c r="AI9" s="1003"/>
      <c r="AK9" s="1013"/>
      <c r="AL9" s="718"/>
      <c r="AM9" s="47"/>
      <c r="AN9" s="47" t="s">
        <v>635</v>
      </c>
      <c r="AO9" s="1012"/>
      <c r="AP9" s="1012"/>
    </row>
    <row r="10" spans="1:53" ht="12.75" customHeight="1">
      <c r="A10" s="42"/>
      <c r="C10" s="42"/>
      <c r="D10" s="1265"/>
      <c r="E10" s="42"/>
      <c r="F10" s="42"/>
      <c r="G10" s="533"/>
      <c r="H10" s="42"/>
      <c r="I10" s="1270"/>
      <c r="J10" s="1270"/>
      <c r="K10" s="1271" t="str">
        <f>IF(Conc_C1_IA&gt;L12,"X","")</f>
        <v/>
      </c>
      <c r="L10" s="2386"/>
      <c r="M10" s="2386"/>
      <c r="N10" s="2386"/>
      <c r="O10" s="1006"/>
      <c r="T10" s="1977"/>
      <c r="U10" s="55"/>
      <c r="V10" s="55"/>
      <c r="W10" s="55"/>
      <c r="X10" s="2391"/>
      <c r="Y10" s="2391"/>
      <c r="Z10" s="2391"/>
      <c r="AA10" s="2391"/>
      <c r="AB10" s="2391"/>
      <c r="AD10" s="1091" t="s">
        <v>494</v>
      </c>
      <c r="AE10" s="1093" t="str">
        <f>Groundwater_Use</f>
        <v>Drinking Water Resource</v>
      </c>
      <c r="AG10" s="1003"/>
      <c r="AH10" s="1003"/>
      <c r="AI10" s="1003"/>
      <c r="AK10" s="1013"/>
      <c r="AL10" s="718"/>
      <c r="AM10" s="47"/>
      <c r="AN10" s="47" t="s">
        <v>635</v>
      </c>
      <c r="AO10" s="1012"/>
      <c r="AP10" s="1012"/>
    </row>
    <row r="11" spans="1:53" ht="12.75" customHeight="1">
      <c r="A11" s="42"/>
      <c r="C11" s="42"/>
      <c r="D11" s="1265"/>
      <c r="E11" s="42"/>
      <c r="F11" s="42"/>
      <c r="G11" s="533"/>
      <c r="H11" s="42"/>
      <c r="I11" s="1270"/>
      <c r="J11" s="1270"/>
      <c r="K11" s="1272"/>
      <c r="L11" s="2386"/>
      <c r="M11" s="2386"/>
      <c r="N11" s="2386"/>
      <c r="O11" s="1006"/>
      <c r="T11" s="999"/>
      <c r="U11" s="55"/>
      <c r="V11" s="55"/>
      <c r="W11" s="55"/>
      <c r="X11" s="2391"/>
      <c r="Y11" s="2391"/>
      <c r="Z11" s="2391"/>
      <c r="AA11" s="2391"/>
      <c r="AB11" s="2391"/>
      <c r="AD11" s="1091" t="s">
        <v>497</v>
      </c>
      <c r="AE11" s="1093" t="str">
        <f>MCL_Priority</f>
        <v>Yes</v>
      </c>
      <c r="AG11" s="1003"/>
      <c r="AH11" s="1003"/>
      <c r="AI11" s="1003"/>
      <c r="AK11" s="1013"/>
      <c r="AL11" s="718"/>
      <c r="AM11" s="47"/>
      <c r="AN11" s="47" t="s">
        <v>635</v>
      </c>
      <c r="AO11" s="1012"/>
      <c r="AP11" s="1012"/>
    </row>
    <row r="12" spans="1:53" ht="12.75" customHeight="1">
      <c r="A12" s="42"/>
      <c r="C12" s="42"/>
      <c r="D12" s="1265"/>
      <c r="E12" s="42"/>
      <c r="F12" s="42"/>
      <c r="G12" s="533"/>
      <c r="H12" s="42"/>
      <c r="I12" s="1272"/>
      <c r="J12" s="1273"/>
      <c r="K12" s="1272"/>
      <c r="L12" s="2388">
        <f>IF((IA_ESL)="--","No Value",(IA_ESL))</f>
        <v>0.46027742749054212</v>
      </c>
      <c r="M12" s="2388"/>
      <c r="N12" s="2388"/>
      <c r="O12" s="1007"/>
      <c r="T12" s="999"/>
      <c r="U12" s="55"/>
      <c r="V12" s="55"/>
      <c r="W12" s="55"/>
      <c r="X12" s="2391"/>
      <c r="Y12" s="2391"/>
      <c r="Z12" s="2391"/>
      <c r="AA12" s="2391"/>
      <c r="AB12" s="2391"/>
      <c r="AD12" s="1094" t="s">
        <v>502</v>
      </c>
      <c r="AE12" s="1093" t="str">
        <f>Discharge</f>
        <v>Saltwater &amp; Freshwater</v>
      </c>
      <c r="AG12" s="733"/>
      <c r="AH12" s="733"/>
      <c r="AI12" s="733"/>
      <c r="AK12" s="1014"/>
      <c r="AL12" s="1014"/>
      <c r="AM12" s="1012"/>
      <c r="AN12" s="1012"/>
      <c r="AO12" s="1012"/>
      <c r="AP12" s="1012"/>
      <c r="AQ12" s="1012"/>
      <c r="AR12" s="1012"/>
      <c r="AS12" s="1012"/>
      <c r="AT12" s="1012"/>
      <c r="AU12" s="1012"/>
      <c r="AV12" s="1012"/>
      <c r="AW12" s="1012"/>
      <c r="AX12" s="1012"/>
      <c r="AY12" s="1012"/>
      <c r="AZ12" s="1012"/>
      <c r="BA12" s="1012"/>
    </row>
    <row r="13" spans="1:53" ht="12.75" customHeight="1">
      <c r="A13" s="42"/>
      <c r="C13" s="42"/>
      <c r="D13" s="1265"/>
      <c r="E13" s="42"/>
      <c r="F13" s="42"/>
      <c r="G13" s="533"/>
      <c r="H13" s="42"/>
      <c r="I13" s="1272"/>
      <c r="J13" s="1273"/>
      <c r="K13" s="1980"/>
      <c r="L13"/>
      <c r="M13" s="42"/>
      <c r="N13" s="999"/>
      <c r="O13" s="846"/>
      <c r="U13" s="55"/>
      <c r="V13" s="55"/>
      <c r="W13" s="55"/>
      <c r="X13" s="2391"/>
      <c r="Y13" s="2391"/>
      <c r="Z13" s="2391"/>
      <c r="AA13" s="2391"/>
      <c r="AB13" s="2391"/>
      <c r="AD13" s="1094" t="s">
        <v>588</v>
      </c>
      <c r="AE13" s="1093" t="str">
        <f>Soil_Depth</f>
        <v>Shallow &amp; Deep Soil</v>
      </c>
      <c r="AG13" s="733"/>
      <c r="AH13" s="733"/>
      <c r="AI13" s="733"/>
      <c r="AK13" s="1014"/>
      <c r="AL13" s="1014"/>
      <c r="AM13" s="1012"/>
      <c r="AN13" s="1012"/>
      <c r="AO13" s="1012"/>
      <c r="AP13" s="1012"/>
      <c r="AQ13" s="1012"/>
      <c r="AR13" s="1012"/>
      <c r="AS13" s="1012"/>
      <c r="AT13" s="1012"/>
      <c r="AU13" s="1012"/>
      <c r="AV13" s="1012"/>
      <c r="AW13" s="1012"/>
      <c r="AX13" s="1012"/>
      <c r="AY13" s="1012"/>
      <c r="AZ13" s="1012"/>
      <c r="BA13" s="1012"/>
    </row>
    <row r="14" spans="1:53" ht="12.75" customHeight="1">
      <c r="A14" s="42"/>
      <c r="C14" s="42"/>
      <c r="D14" s="1265"/>
      <c r="E14" s="42"/>
      <c r="F14" s="42"/>
      <c r="G14" s="533"/>
      <c r="H14" s="42"/>
      <c r="I14" s="1272"/>
      <c r="J14" s="1273"/>
      <c r="K14" s="1980"/>
      <c r="L14"/>
      <c r="M14" s="42"/>
      <c r="N14" s="999"/>
      <c r="O14" s="846"/>
      <c r="U14" s="55"/>
      <c r="V14" s="55"/>
      <c r="W14" s="55"/>
      <c r="X14" s="2391"/>
      <c r="Y14" s="2391"/>
      <c r="Z14" s="2391"/>
      <c r="AA14" s="2391"/>
      <c r="AB14" s="2391"/>
      <c r="AD14" s="1095"/>
      <c r="AE14" s="1096"/>
      <c r="AI14" s="1012"/>
      <c r="AJ14" s="1012"/>
      <c r="AK14" s="1012"/>
      <c r="AL14" s="1012"/>
      <c r="AM14" s="1012"/>
      <c r="AN14" s="1012"/>
      <c r="AO14" s="1012"/>
      <c r="AP14" s="1012"/>
      <c r="AQ14" s="1012"/>
      <c r="AR14" s="1012"/>
      <c r="AS14" s="1012"/>
      <c r="AT14" s="1012"/>
      <c r="AU14" s="1012"/>
      <c r="AV14" s="1012"/>
      <c r="AW14" s="1012"/>
      <c r="AX14" s="1012"/>
      <c r="AY14" s="1012"/>
      <c r="AZ14" s="1012"/>
      <c r="BA14" s="1012"/>
    </row>
    <row r="15" spans="1:53" ht="12.75" customHeight="1">
      <c r="A15" s="42"/>
      <c r="C15" s="42"/>
      <c r="D15" s="1266" t="str">
        <f>IF(Conc_C1_Soil&gt;E17,"X","")</f>
        <v/>
      </c>
      <c r="E15" s="2394" t="s">
        <v>636</v>
      </c>
      <c r="F15" s="2394"/>
      <c r="G15" s="2394"/>
      <c r="H15" s="42"/>
      <c r="I15" s="1265"/>
      <c r="J15" s="1265"/>
      <c r="K15" s="1269" t="str">
        <f>IF(Conc_C1_Soil&gt;L17,"X","")</f>
        <v/>
      </c>
      <c r="L15" s="2392" t="s">
        <v>637</v>
      </c>
      <c r="M15" s="2389"/>
      <c r="N15" s="2389"/>
      <c r="O15" s="846"/>
      <c r="AD15" s="2382" t="s">
        <v>638</v>
      </c>
      <c r="AE15" s="2383"/>
      <c r="AI15" s="1011"/>
      <c r="AJ15" s="1011"/>
      <c r="AK15" s="1011"/>
      <c r="AL15" s="1011"/>
      <c r="AM15" s="1011"/>
      <c r="AO15" s="849"/>
      <c r="AP15" s="849"/>
    </row>
    <row r="16" spans="1:53" ht="12.75" customHeight="1">
      <c r="A16" s="42"/>
      <c r="C16" s="42"/>
      <c r="D16" s="1267"/>
      <c r="E16" s="2394"/>
      <c r="F16" s="2394"/>
      <c r="G16" s="2394"/>
      <c r="H16" s="42"/>
      <c r="I16" s="1265"/>
      <c r="J16" s="1265"/>
      <c r="K16" s="1265"/>
      <c r="L16" s="2389"/>
      <c r="M16" s="2389"/>
      <c r="N16" s="2389"/>
      <c r="O16" s="846"/>
      <c r="R16" s="1277" t="str">
        <f>IF(Conc_C1_SG&gt;S18,"X"," ")</f>
        <v xml:space="preserve"> </v>
      </c>
      <c r="S16" s="2392" t="s">
        <v>639</v>
      </c>
      <c r="T16" s="2392"/>
      <c r="U16" s="2392"/>
      <c r="V16" s="55"/>
      <c r="W16" s="46"/>
      <c r="Y16" s="2393" t="str">
        <f>IF(Conc_C1_SG&gt;Z18,"X"," ")</f>
        <v xml:space="preserve"> </v>
      </c>
      <c r="Z16" s="2394" t="s">
        <v>632</v>
      </c>
      <c r="AA16" s="2394"/>
      <c r="AD16" s="1091" t="s">
        <v>516</v>
      </c>
      <c r="AE16" s="1097" t="str">
        <f>IF(Conc_C1_Soil&gt;0,Conc_C1_Soil,"No Input")</f>
        <v>No Input</v>
      </c>
      <c r="AI16" s="1005"/>
      <c r="AJ16" s="1005"/>
      <c r="AK16" s="1012"/>
      <c r="AL16" s="1012"/>
    </row>
    <row r="17" spans="1:38" ht="12.75" customHeight="1">
      <c r="A17" s="42"/>
      <c r="C17" s="1000"/>
      <c r="D17" s="1265"/>
      <c r="E17" s="2395">
        <f>Soil_DE_Level</f>
        <v>0.58761543617295708</v>
      </c>
      <c r="F17" s="2395"/>
      <c r="G17" s="2395"/>
      <c r="H17" s="42"/>
      <c r="I17" s="1265"/>
      <c r="J17" s="1979"/>
      <c r="K17" s="1979"/>
      <c r="L17" s="2387">
        <f>Soil_EcoT_Level</f>
        <v>43</v>
      </c>
      <c r="M17" s="2387"/>
      <c r="N17" s="2387"/>
      <c r="O17" s="846"/>
      <c r="S17" s="2392"/>
      <c r="T17" s="2392"/>
      <c r="U17" s="2392"/>
      <c r="V17" s="42"/>
      <c r="Y17" s="2393"/>
      <c r="Z17" s="2394"/>
      <c r="AA17" s="2394"/>
      <c r="AD17" s="1091" t="s">
        <v>640</v>
      </c>
      <c r="AE17" s="1097" t="str">
        <f>IF(Conc_C1_GW&gt;0,Conc_C1_GW,"No Input")</f>
        <v>No Input</v>
      </c>
      <c r="AI17" s="1005"/>
      <c r="AJ17" s="1005"/>
      <c r="AK17" s="1012"/>
      <c r="AL17" s="1012"/>
    </row>
    <row r="18" spans="1:38" ht="12.75" customHeight="1">
      <c r="A18" s="42"/>
      <c r="C18" s="42"/>
      <c r="D18" s="1265"/>
      <c r="E18" s="42"/>
      <c r="F18" s="1977"/>
      <c r="G18" s="1977"/>
      <c r="H18" s="42"/>
      <c r="I18" s="1979"/>
      <c r="J18" s="1979"/>
      <c r="K18" s="1979"/>
      <c r="L18" s="42"/>
      <c r="M18" s="42"/>
      <c r="O18" s="846"/>
      <c r="S18" s="2387">
        <f>SG_DE_Level</f>
        <v>15.342580916351405</v>
      </c>
      <c r="T18" s="2389"/>
      <c r="U18" s="2389"/>
      <c r="V18" s="42"/>
      <c r="Z18" s="2395">
        <f>SG_NO_Level</f>
        <v>1057666.6666666667</v>
      </c>
      <c r="AA18" s="2395"/>
      <c r="AD18" s="1094" t="s">
        <v>641</v>
      </c>
      <c r="AE18" s="1100" t="str">
        <f>IF(Conc_C1_SG&gt;0,Conc_C1_SG,"No Input")</f>
        <v>No Input</v>
      </c>
      <c r="AI18" s="1005"/>
      <c r="AJ18" s="1005"/>
      <c r="AK18" s="1012"/>
      <c r="AL18" s="1012"/>
    </row>
    <row r="19" spans="1:38" ht="12.75" customHeight="1" thickBot="1">
      <c r="A19" s="42"/>
      <c r="C19" s="42"/>
      <c r="D19" s="1265"/>
      <c r="E19" s="42"/>
      <c r="F19" s="1977"/>
      <c r="G19" s="1977"/>
      <c r="H19" s="42"/>
      <c r="I19" s="1977"/>
      <c r="J19" s="2386" t="s">
        <v>642</v>
      </c>
      <c r="K19" s="2386"/>
      <c r="L19" s="2386"/>
      <c r="M19" s="2386"/>
      <c r="O19" s="846"/>
      <c r="U19" s="1977"/>
      <c r="V19" s="1977"/>
      <c r="W19" s="1977"/>
      <c r="X19" s="1977"/>
      <c r="AD19" s="1098" t="s">
        <v>643</v>
      </c>
      <c r="AE19" s="1099" t="str">
        <f>IF(Conc_C1_IA&gt;0,Conc_C1_IA,"No Input")</f>
        <v>No Input</v>
      </c>
      <c r="AI19" s="1005"/>
      <c r="AJ19" s="1005"/>
      <c r="AK19" s="1012"/>
      <c r="AL19" s="1012"/>
    </row>
    <row r="20" spans="1:38" ht="12.75" customHeight="1" thickTop="1">
      <c r="A20" s="42"/>
      <c r="C20" s="42"/>
      <c r="D20" s="2381" t="str">
        <f>IF(Conc_C1_Soil&gt;E22,"X","")</f>
        <v/>
      </c>
      <c r="E20" s="2394" t="s">
        <v>632</v>
      </c>
      <c r="F20" s="2394"/>
      <c r="G20" s="2394"/>
      <c r="J20" s="2386"/>
      <c r="K20" s="2386"/>
      <c r="L20" s="2386"/>
      <c r="M20" s="2386"/>
      <c r="O20" s="846"/>
      <c r="R20" s="1978"/>
      <c r="S20"/>
      <c r="T20"/>
      <c r="U20" s="2379" t="s">
        <v>644</v>
      </c>
      <c r="V20" s="2379"/>
      <c r="W20" s="2379"/>
      <c r="X20" s="2379"/>
      <c r="Y20" s="1977"/>
      <c r="Z20" s="42"/>
    </row>
    <row r="21" spans="1:38" ht="12.75" customHeight="1">
      <c r="A21" s="42"/>
      <c r="C21" s="42"/>
      <c r="D21" s="2381"/>
      <c r="E21" s="2394"/>
      <c r="F21" s="2394"/>
      <c r="G21" s="2394"/>
      <c r="I21" s="1274" t="str">
        <f>IF(Conc_C1_Soil&gt;J22,"X","")</f>
        <v/>
      </c>
      <c r="J21" s="2386"/>
      <c r="K21" s="2386"/>
      <c r="L21" s="2386"/>
      <c r="M21" s="2386"/>
      <c r="O21" s="846"/>
      <c r="R21" s="42"/>
      <c r="S21" s="632"/>
      <c r="T21" s="632"/>
      <c r="U21" s="2379"/>
      <c r="V21" s="2379"/>
      <c r="W21" s="2379"/>
      <c r="X21" s="2379"/>
    </row>
    <row r="22" spans="1:38" ht="12.75" customHeight="1">
      <c r="A22" s="42"/>
      <c r="C22" s="42"/>
      <c r="D22" s="1265"/>
      <c r="E22" s="2395">
        <f>Soil_NO_Level</f>
        <v>500</v>
      </c>
      <c r="F22" s="2395"/>
      <c r="G22" s="2395"/>
      <c r="J22" s="2397">
        <f>Soil_ESL</f>
        <v>7.9905242476613736E-2</v>
      </c>
      <c r="K22" s="2397"/>
      <c r="L22" s="2397"/>
      <c r="M22" s="2397"/>
      <c r="O22" s="846"/>
      <c r="R22" s="42"/>
      <c r="S22" s="632"/>
      <c r="T22" s="1278" t="str">
        <f>IF(Conc_C1_SG&gt;V23,"X","")</f>
        <v/>
      </c>
      <c r="U22" s="2379"/>
      <c r="V22" s="2379"/>
      <c r="W22" s="2379"/>
      <c r="X22" s="2379"/>
    </row>
    <row r="23" spans="1:38" ht="12.75" customHeight="1">
      <c r="A23" s="42"/>
      <c r="C23" s="42"/>
      <c r="D23" s="1265"/>
      <c r="E23" s="42"/>
      <c r="F23" s="1978"/>
      <c r="J23" s="1978"/>
      <c r="K23" s="42"/>
      <c r="L23" s="42"/>
      <c r="M23" s="42"/>
      <c r="O23" s="846"/>
      <c r="R23" s="42"/>
      <c r="S23" s="632"/>
      <c r="T23" s="632"/>
      <c r="U23" s="42"/>
      <c r="V23" s="2380">
        <f>SG_ESL</f>
        <v>15.342580916351405</v>
      </c>
      <c r="W23" s="2380"/>
      <c r="X23" s="2380"/>
    </row>
    <row r="24" spans="1:38" ht="12.75" customHeight="1">
      <c r="A24" s="42"/>
      <c r="C24" s="42"/>
      <c r="D24" s="1266" t="str">
        <f>IF(Conc_C1_Soil&gt;E26,"X","")</f>
        <v/>
      </c>
      <c r="E24" s="2394" t="s">
        <v>645</v>
      </c>
      <c r="F24" s="2394"/>
      <c r="G24" s="2394"/>
      <c r="J24" s="42"/>
      <c r="K24" s="42"/>
      <c r="L24" s="533"/>
      <c r="M24" s="42"/>
      <c r="O24" s="846"/>
      <c r="R24" s="42"/>
      <c r="S24" s="632"/>
      <c r="T24" s="632"/>
      <c r="U24" s="632"/>
      <c r="V24" s="632"/>
      <c r="W24" s="46"/>
      <c r="X24" s="42"/>
      <c r="Y24" s="42"/>
      <c r="Z24" s="42"/>
      <c r="AB24" s="42"/>
      <c r="AC24" s="42"/>
    </row>
    <row r="25" spans="1:38" ht="12.75" customHeight="1">
      <c r="A25" s="42"/>
      <c r="C25" s="42"/>
      <c r="D25" s="1265"/>
      <c r="E25" s="2395" t="s">
        <v>646</v>
      </c>
      <c r="F25" s="2395"/>
      <c r="G25" s="2395"/>
      <c r="H25" s="42"/>
      <c r="I25" s="42"/>
      <c r="J25" s="42"/>
      <c r="K25" s="1265"/>
      <c r="L25" s="2399" t="s">
        <v>647</v>
      </c>
      <c r="M25" s="2399"/>
      <c r="N25" s="2399"/>
      <c r="O25" s="42"/>
      <c r="P25" s="55"/>
      <c r="Q25" s="55"/>
      <c r="R25" s="42"/>
      <c r="S25" s="42"/>
      <c r="T25" s="1004"/>
      <c r="U25" s="1004"/>
      <c r="V25" s="1004"/>
      <c r="W25" s="1004"/>
    </row>
    <row r="26" spans="1:38" ht="12.75" customHeight="1">
      <c r="A26" s="42"/>
      <c r="C26" s="42"/>
      <c r="D26" s="1265"/>
      <c r="E26" s="2395">
        <f>Soil_GC_Level</f>
        <v>166.16560580940779</v>
      </c>
      <c r="F26" s="2395"/>
      <c r="G26" s="2395"/>
      <c r="K26" s="1275" t="str">
        <f>IF(Conc_C1_Soil&gt;L27,"X","")</f>
        <v/>
      </c>
      <c r="L26" s="2399"/>
      <c r="M26" s="2399"/>
      <c r="N26" s="2399"/>
      <c r="O26" s="42"/>
      <c r="P26" s="55"/>
      <c r="Q26" s="42"/>
      <c r="R26" s="42"/>
      <c r="W26" s="1004"/>
    </row>
    <row r="27" spans="1:38" ht="12.75" customHeight="1">
      <c r="A27" s="42"/>
      <c r="C27" s="42"/>
      <c r="D27" s="1268"/>
      <c r="E27" s="42"/>
      <c r="F27" s="42"/>
      <c r="G27" s="42"/>
      <c r="K27" s="1265"/>
      <c r="L27" s="2387">
        <f>Soil_Lech_Level</f>
        <v>7.9905242476613736E-2</v>
      </c>
      <c r="M27" s="2389"/>
      <c r="N27" s="2389"/>
      <c r="O27" s="846"/>
      <c r="R27" s="42"/>
      <c r="T27" s="1279" t="str">
        <f>IF(Conc_C1_GW&gt;U29,"X","")</f>
        <v/>
      </c>
      <c r="U27" s="2392" t="s">
        <v>648</v>
      </c>
      <c r="V27" s="2392"/>
      <c r="W27" s="2392"/>
    </row>
    <row r="28" spans="1:38" ht="12.75" customHeight="1">
      <c r="A28" s="42"/>
      <c r="C28" s="42"/>
      <c r="D28" s="1268"/>
      <c r="E28" s="42"/>
      <c r="F28" s="42"/>
      <c r="G28" s="42"/>
      <c r="H28" s="42"/>
      <c r="I28" s="533"/>
      <c r="J28" s="42"/>
      <c r="K28" s="1265"/>
      <c r="L28" s="849"/>
      <c r="O28" s="846"/>
      <c r="R28" s="42"/>
      <c r="S28" s="46"/>
      <c r="T28" s="42"/>
      <c r="U28" s="2392"/>
      <c r="V28" s="2392"/>
      <c r="W28" s="2392"/>
    </row>
    <row r="29" spans="1:38" ht="12.75" customHeight="1">
      <c r="A29" s="42"/>
      <c r="C29" s="42"/>
      <c r="D29" s="1268"/>
      <c r="E29" s="42"/>
      <c r="F29" s="42"/>
      <c r="G29" s="533"/>
      <c r="H29" s="42"/>
      <c r="I29" s="533"/>
      <c r="J29" s="42"/>
      <c r="K29" s="1265"/>
      <c r="L29" s="42"/>
      <c r="M29" s="42"/>
      <c r="N29" s="42"/>
      <c r="O29" s="846"/>
      <c r="R29" s="55"/>
      <c r="S29" s="46"/>
      <c r="T29" s="42"/>
      <c r="U29" s="2387">
        <f>GW_VI_Level</f>
        <v>0.63606699866771998</v>
      </c>
      <c r="V29" s="2387"/>
      <c r="W29" s="2387"/>
    </row>
    <row r="30" spans="1:38" ht="12.75" customHeight="1">
      <c r="A30" s="42"/>
      <c r="C30" s="42"/>
      <c r="D30" s="1269" t="str">
        <f>IF(Conc_C1_GW&gt;E32,"X","")</f>
        <v/>
      </c>
      <c r="E30" s="2394" t="s">
        <v>631</v>
      </c>
      <c r="F30" s="2394"/>
      <c r="G30" s="2394"/>
      <c r="H30" s="42"/>
      <c r="I30" s="533"/>
      <c r="J30" s="42"/>
      <c r="K30" s="1265"/>
      <c r="O30" s="2386" t="s">
        <v>649</v>
      </c>
      <c r="P30" s="2386"/>
      <c r="Q30" s="2386"/>
      <c r="R30" s="2386"/>
      <c r="T30" s="42"/>
      <c r="U30" s="1977"/>
      <c r="V30" s="1977"/>
      <c r="W30" s="1977"/>
    </row>
    <row r="31" spans="1:38" ht="12.75" customHeight="1">
      <c r="A31" s="42"/>
      <c r="C31" s="42"/>
      <c r="D31" s="1268"/>
      <c r="E31" s="2394"/>
      <c r="F31" s="2394"/>
      <c r="G31" s="2394"/>
      <c r="H31" s="42"/>
      <c r="I31" s="42"/>
      <c r="J31" s="42"/>
      <c r="K31" s="42"/>
      <c r="N31" s="1276" t="str">
        <f>IF(Conc_C1_GW&gt;O33,"X","")</f>
        <v/>
      </c>
      <c r="O31" s="2386"/>
      <c r="P31" s="2386"/>
      <c r="Q31" s="2386"/>
      <c r="R31" s="2386"/>
    </row>
    <row r="32" spans="1:38" ht="12.75" customHeight="1">
      <c r="A32" s="42"/>
      <c r="C32" s="42"/>
      <c r="D32" s="1268"/>
      <c r="E32" s="2395">
        <f>GW_DE_Level</f>
        <v>5</v>
      </c>
      <c r="F32" s="2395"/>
      <c r="G32" s="2395"/>
      <c r="H32" s="42"/>
      <c r="I32" s="42"/>
      <c r="J32" s="42"/>
      <c r="K32" s="42"/>
      <c r="O32" s="2386"/>
      <c r="P32" s="2386"/>
      <c r="Q32" s="2386"/>
      <c r="R32" s="2386"/>
    </row>
    <row r="33" spans="1:30" ht="12.75" customHeight="1">
      <c r="A33" s="42"/>
      <c r="C33" s="42"/>
      <c r="D33" s="1268"/>
      <c r="E33" s="533"/>
      <c r="F33" s="533"/>
      <c r="G33" s="42"/>
      <c r="H33" s="42"/>
      <c r="I33" s="42"/>
      <c r="J33" s="42"/>
      <c r="K33" s="42"/>
      <c r="L33" s="42"/>
      <c r="M33" s="42"/>
      <c r="O33" s="2397">
        <f>GW_ESL</f>
        <v>0.63606699866771998</v>
      </c>
      <c r="P33" s="2397"/>
      <c r="Q33" s="2397"/>
      <c r="R33" s="2397"/>
    </row>
    <row r="34" spans="1:30" ht="12.75" customHeight="1">
      <c r="A34" s="42"/>
      <c r="C34" s="42"/>
      <c r="D34" s="1268"/>
      <c r="E34" s="533"/>
      <c r="F34" s="533"/>
      <c r="G34" s="42"/>
      <c r="H34" s="42"/>
      <c r="I34" s="42"/>
      <c r="J34" s="42"/>
      <c r="K34" s="42"/>
      <c r="L34" s="42"/>
      <c r="M34" s="42"/>
      <c r="N34" s="42"/>
      <c r="O34" s="1977"/>
      <c r="P34" s="1977"/>
      <c r="Q34" s="1977"/>
      <c r="R34" s="1977"/>
      <c r="S34" s="1001"/>
      <c r="T34" s="46"/>
      <c r="U34" s="46"/>
      <c r="V34" s="42"/>
      <c r="W34" s="42"/>
    </row>
    <row r="35" spans="1:30" ht="12.75" customHeight="1">
      <c r="A35" s="42"/>
      <c r="C35" s="42"/>
      <c r="D35" s="1268"/>
      <c r="E35" s="42"/>
      <c r="F35" s="1977"/>
      <c r="G35" s="1977"/>
      <c r="H35" s="42"/>
      <c r="I35" s="42"/>
      <c r="J35" s="42"/>
      <c r="K35" s="42"/>
      <c r="L35" s="42"/>
      <c r="M35" s="42"/>
      <c r="N35" s="42"/>
      <c r="O35" s="1977"/>
      <c r="P35" s="1977"/>
      <c r="Q35" s="1977"/>
      <c r="R35" s="1977"/>
      <c r="S35" s="1001"/>
      <c r="T35" s="46"/>
      <c r="U35" s="46"/>
      <c r="V35" s="42"/>
      <c r="W35" s="42"/>
    </row>
    <row r="36" spans="1:30" ht="12.75" customHeight="1">
      <c r="A36" s="42"/>
      <c r="C36" s="42"/>
      <c r="D36" s="1269" t="str">
        <f>IF(Conc_C1_GW&gt;E38,"X","")</f>
        <v/>
      </c>
      <c r="E36" s="2394" t="s">
        <v>650</v>
      </c>
      <c r="F36" s="2394"/>
      <c r="G36" s="2394"/>
      <c r="H36" s="42"/>
      <c r="I36" s="42"/>
      <c r="J36" s="42"/>
      <c r="K36" s="42"/>
      <c r="O36" s="1275" t="str">
        <f>IF(Conc_C1_GW&gt;P38,"X","")</f>
        <v/>
      </c>
      <c r="P36" s="2394" t="s">
        <v>645</v>
      </c>
      <c r="Q36" s="2396"/>
      <c r="R36" s="42"/>
      <c r="V36" s="1977"/>
      <c r="W36" s="1977"/>
      <c r="Y36" s="1275" t="str">
        <f>IF(Conc_C1_GW&gt;Z38,"X","")</f>
        <v/>
      </c>
      <c r="Z36" s="2394" t="s">
        <v>651</v>
      </c>
      <c r="AA36" s="2394"/>
    </row>
    <row r="37" spans="1:30" ht="12.75" customHeight="1">
      <c r="A37" s="42"/>
      <c r="C37" s="42"/>
      <c r="D37" s="1268"/>
      <c r="E37" s="2394"/>
      <c r="F37" s="2394"/>
      <c r="G37" s="2394"/>
      <c r="H37" s="42"/>
      <c r="I37" s="42"/>
      <c r="J37" s="42"/>
      <c r="K37" s="42"/>
      <c r="O37" s="42"/>
      <c r="P37" s="2395" t="s">
        <v>646</v>
      </c>
      <c r="Q37" s="2396"/>
      <c r="R37" s="55"/>
      <c r="V37" s="1977"/>
      <c r="W37" s="1977"/>
      <c r="Y37" s="42"/>
      <c r="Z37" s="2394"/>
      <c r="AA37" s="2394"/>
    </row>
    <row r="38" spans="1:30" ht="12.75" customHeight="1">
      <c r="A38" s="42"/>
      <c r="C38" s="1002"/>
      <c r="D38" s="335"/>
      <c r="E38" s="2395">
        <f>GW_NO_Level</f>
        <v>170</v>
      </c>
      <c r="F38" s="2395"/>
      <c r="G38" s="2395"/>
      <c r="H38" s="42"/>
      <c r="I38" s="42"/>
      <c r="J38" s="42"/>
      <c r="K38" s="42"/>
      <c r="O38" s="42"/>
      <c r="P38" s="2395">
        <f>GW_GC_Level</f>
        <v>50000</v>
      </c>
      <c r="Q38" s="2396"/>
      <c r="R38" s="55"/>
      <c r="V38" s="1978"/>
      <c r="W38" s="1978"/>
      <c r="Y38" s="42"/>
      <c r="Z38" s="2395">
        <f>GW_EcoT_Level</f>
        <v>2</v>
      </c>
      <c r="AA38" s="2395"/>
    </row>
    <row r="39" spans="1:30" ht="12.75" customHeight="1">
      <c r="A39" s="42"/>
      <c r="C39" s="1002"/>
      <c r="D39" s="42"/>
      <c r="E39" s="42"/>
      <c r="F39" s="42"/>
      <c r="G39" s="533"/>
      <c r="H39" s="42"/>
      <c r="I39" s="533"/>
      <c r="J39" s="42"/>
      <c r="K39" s="42"/>
      <c r="L39" s="42"/>
      <c r="M39" s="42"/>
      <c r="N39" s="42"/>
      <c r="O39" s="42"/>
      <c r="P39" s="55"/>
      <c r="Q39" s="55"/>
      <c r="R39" s="55"/>
      <c r="S39" s="46"/>
      <c r="T39" s="46"/>
      <c r="U39" s="46"/>
      <c r="V39" s="42"/>
      <c r="W39" s="42"/>
    </row>
    <row r="40" spans="1:30" ht="19.5" customHeight="1">
      <c r="A40" s="42"/>
      <c r="B40" s="1002"/>
      <c r="C40" s="42"/>
      <c r="D40" s="42"/>
      <c r="E40" s="42"/>
      <c r="F40" s="533"/>
      <c r="G40" s="42"/>
      <c r="H40" s="533"/>
      <c r="I40" s="42"/>
      <c r="J40" s="42"/>
      <c r="K40" s="42"/>
      <c r="L40" s="42"/>
      <c r="M40" s="42"/>
      <c r="N40" s="42"/>
      <c r="O40" s="55"/>
      <c r="P40" s="55"/>
      <c r="Q40" s="55"/>
      <c r="R40" s="46"/>
      <c r="S40" s="46"/>
      <c r="T40" s="46"/>
      <c r="U40" s="42"/>
      <c r="V40" s="42"/>
    </row>
    <row r="41" spans="1:30" ht="19.5" customHeight="1">
      <c r="A41" s="42"/>
      <c r="AB41" s="1010"/>
      <c r="AC41" s="1010"/>
    </row>
    <row r="42" spans="1:30" s="1012" customFormat="1" ht="14.1" customHeight="1">
      <c r="A42" s="536"/>
    </row>
    <row r="43" spans="1:30" s="1012" customFormat="1" ht="14.1" customHeight="1">
      <c r="A43" s="536"/>
      <c r="AB43" s="536"/>
    </row>
    <row r="44" spans="1:30" s="1012" customFormat="1" ht="14.1" customHeight="1">
      <c r="A44" s="536"/>
      <c r="AB44" s="536"/>
    </row>
    <row r="45" spans="1:30" s="1012" customFormat="1" ht="14.1" customHeight="1">
      <c r="A45" s="536"/>
      <c r="AB45" s="536"/>
    </row>
    <row r="46" spans="1:30" s="1012" customFormat="1" ht="14.1" customHeight="1">
      <c r="AD46" s="1008"/>
    </row>
    <row r="47" spans="1:30" s="1012" customFormat="1" ht="14.1" customHeight="1"/>
    <row r="48" spans="1:30" s="1012" customFormat="1" ht="14.1" customHeight="1"/>
    <row r="50" spans="16:16" ht="12.75" customHeight="1">
      <c r="P50" s="849"/>
    </row>
  </sheetData>
  <sheetProtection algorithmName="SHA-512" hashValue="5e4c1jGBup6eraBhvHngmEKQmsefiY5gyOGv5I2Gu7DOjK3QosBC7UJNmQc3c7GM1a5i2NfbKU4nx93oS/6Aig==" saltValue="hOv3egUqM/TKWiVeCeuezg==" spinCount="100000" sheet="1" objects="1" scenarios="1"/>
  <mergeCells count="49">
    <mergeCell ref="H6:AB6"/>
    <mergeCell ref="H4:AB4"/>
    <mergeCell ref="B2:G5"/>
    <mergeCell ref="H5:AB5"/>
    <mergeCell ref="H2:AB3"/>
    <mergeCell ref="O30:R32"/>
    <mergeCell ref="O33:R33"/>
    <mergeCell ref="E7:G8"/>
    <mergeCell ref="E9:G9"/>
    <mergeCell ref="E15:G16"/>
    <mergeCell ref="E17:G17"/>
    <mergeCell ref="E22:G22"/>
    <mergeCell ref="E20:G21"/>
    <mergeCell ref="L15:N16"/>
    <mergeCell ref="L17:N17"/>
    <mergeCell ref="E26:G26"/>
    <mergeCell ref="L25:N26"/>
    <mergeCell ref="L27:N27"/>
    <mergeCell ref="J22:M22"/>
    <mergeCell ref="U27:W28"/>
    <mergeCell ref="S16:U17"/>
    <mergeCell ref="E24:G24"/>
    <mergeCell ref="P38:Q38"/>
    <mergeCell ref="Z38:AA38"/>
    <mergeCell ref="E30:G31"/>
    <mergeCell ref="E32:G32"/>
    <mergeCell ref="E36:G37"/>
    <mergeCell ref="E38:G38"/>
    <mergeCell ref="P36:Q36"/>
    <mergeCell ref="Z36:AA37"/>
    <mergeCell ref="P37:Q37"/>
    <mergeCell ref="U29:W29"/>
    <mergeCell ref="Z16:AA17"/>
    <mergeCell ref="Z18:AA18"/>
    <mergeCell ref="E25:G25"/>
    <mergeCell ref="U20:X22"/>
    <mergeCell ref="V23:X23"/>
    <mergeCell ref="D20:D21"/>
    <mergeCell ref="AD15:AE15"/>
    <mergeCell ref="AD7:AE7"/>
    <mergeCell ref="L9:N11"/>
    <mergeCell ref="J19:M21"/>
    <mergeCell ref="U9:W9"/>
    <mergeCell ref="L12:N12"/>
    <mergeCell ref="S18:U18"/>
    <mergeCell ref="X7:AB14"/>
    <mergeCell ref="U7:W8"/>
    <mergeCell ref="T7:T8"/>
    <mergeCell ref="Y16:Y17"/>
  </mergeCells>
  <pageMargins left="0.7" right="0.7" top="0.75" bottom="0.75" header="0.3" footer="0.3"/>
  <pageSetup scale="5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5">
    <tabColor rgb="FF00B0F0"/>
    <pageSetUpPr fitToPage="1"/>
  </sheetPr>
  <dimension ref="A1:DN240"/>
  <sheetViews>
    <sheetView showGridLines="0" zoomScale="110" zoomScaleNormal="110" workbookViewId="0">
      <pane xSplit="2" ySplit="8" topLeftCell="C9" activePane="bottomRight" state="frozen"/>
      <selection pane="topRight" activeCell="C1" sqref="C1"/>
      <selection pane="bottomLeft" activeCell="A10" sqref="A10"/>
      <selection pane="bottomRight" activeCell="A3" sqref="A3:B3"/>
    </sheetView>
  </sheetViews>
  <sheetFormatPr defaultColWidth="9.140625" defaultRowHeight="12.75"/>
  <cols>
    <col min="1" max="1" width="41.140625" style="4" customWidth="1"/>
    <col min="2" max="2" width="10.42578125" style="4" customWidth="1"/>
    <col min="3" max="3" width="12.5703125" style="4" customWidth="1"/>
    <col min="4" max="4" width="13.42578125" style="4" bestFit="1" customWidth="1"/>
    <col min="5" max="5" width="12.5703125" style="138" customWidth="1"/>
    <col min="6" max="6" width="11.5703125" style="138" customWidth="1"/>
    <col min="7" max="7" width="13.42578125" style="138" customWidth="1"/>
    <col min="8" max="8" width="11.140625" style="98" customWidth="1"/>
    <col min="9" max="9" width="12.5703125" style="98" customWidth="1"/>
    <col min="10" max="10" width="12.140625" style="98" customWidth="1"/>
    <col min="11" max="11" width="12.42578125" style="1" customWidth="1"/>
    <col min="12" max="12" width="12.42578125" style="10" customWidth="1"/>
    <col min="13" max="13" width="11.42578125" style="10" customWidth="1"/>
    <col min="14" max="14" width="12.28515625" style="10" customWidth="1"/>
    <col min="15" max="16" width="9.42578125" style="10" customWidth="1"/>
    <col min="17" max="17" width="10.5703125" style="10" bestFit="1" customWidth="1"/>
    <col min="18" max="18" width="12.85546875" style="10" customWidth="1"/>
    <col min="19" max="19" width="13.42578125" style="10" customWidth="1"/>
    <col min="20" max="20" width="10.140625" style="10" bestFit="1" customWidth="1"/>
    <col min="21" max="21" width="12.140625" style="10" bestFit="1" customWidth="1"/>
    <col min="22" max="22" width="11.5703125" style="1" customWidth="1"/>
    <col min="23" max="23" width="9.140625" style="1"/>
    <col min="24" max="24" width="11.5703125" style="1" customWidth="1"/>
    <col min="25" max="25" width="14.42578125" style="1" bestFit="1" customWidth="1"/>
    <col min="26" max="26" width="12.5703125" customWidth="1"/>
    <col min="27" max="27" width="13.42578125" bestFit="1" customWidth="1"/>
    <col min="28" max="28" width="12.42578125" customWidth="1"/>
    <col min="29" max="31" width="10.85546875" customWidth="1"/>
    <col min="32" max="32" width="17" bestFit="1" customWidth="1"/>
    <col min="33" max="33" width="10.85546875" customWidth="1"/>
    <col min="34" max="36" width="9.140625" style="1"/>
    <col min="37" max="37" width="9.140625" style="4" customWidth="1"/>
    <col min="38" max="38" width="9.140625" style="1"/>
    <col min="39" max="39" width="10" style="1" bestFit="1" customWidth="1"/>
    <col min="40" max="41" width="9.140625" style="1"/>
    <col min="42" max="42" width="8.140625" style="1" customWidth="1"/>
    <col min="43" max="44" width="11.5703125" style="4" customWidth="1"/>
    <col min="45" max="45" width="10.5703125" style="4" customWidth="1"/>
    <col min="46" max="46" width="10.140625" style="4" customWidth="1"/>
    <col min="47" max="47" width="10.5703125" style="4" customWidth="1"/>
    <col min="48" max="48" width="12.5703125" style="1" customWidth="1"/>
    <col min="49" max="49" width="12.140625" style="1" customWidth="1"/>
    <col min="50" max="50" width="13.42578125" style="1" customWidth="1"/>
    <col min="51" max="118" width="9.140625" style="1351"/>
    <col min="119" max="16384" width="9.140625" style="1"/>
  </cols>
  <sheetData>
    <row r="1" spans="1:118" hidden="1">
      <c r="A1" s="4" t="s">
        <v>652</v>
      </c>
      <c r="C1" s="4" t="s">
        <v>653</v>
      </c>
      <c r="E1" s="138" t="s">
        <v>358</v>
      </c>
      <c r="G1" s="138" t="s">
        <v>359</v>
      </c>
      <c r="O1" s="10" t="s">
        <v>654</v>
      </c>
      <c r="V1" s="10" t="s">
        <v>655</v>
      </c>
      <c r="Y1" s="10"/>
      <c r="Z1" s="55" t="s">
        <v>357</v>
      </c>
      <c r="AA1" s="55"/>
      <c r="AB1" s="55"/>
      <c r="AC1" s="55"/>
      <c r="AD1" s="55"/>
      <c r="AE1" s="55"/>
      <c r="AF1" s="55"/>
      <c r="AG1" s="55"/>
    </row>
    <row r="2" spans="1:118" s="21" customFormat="1" ht="45" customHeight="1" thickBot="1">
      <c r="A2" s="2012"/>
      <c r="B2" s="98"/>
      <c r="C2" s="98"/>
      <c r="D2" s="98"/>
      <c r="E2" s="1208" t="s">
        <v>656</v>
      </c>
      <c r="F2" s="2012"/>
      <c r="G2" s="2012"/>
      <c r="H2" s="2012"/>
      <c r="I2" s="2012"/>
      <c r="J2" s="2012"/>
      <c r="K2" s="2012"/>
      <c r="L2" s="2012"/>
      <c r="M2" s="2012"/>
      <c r="N2" s="2012"/>
      <c r="O2" s="2012"/>
      <c r="P2" s="2012"/>
      <c r="Q2" s="2012"/>
      <c r="R2" s="138"/>
      <c r="S2" s="138"/>
      <c r="T2" s="138"/>
      <c r="U2" s="138"/>
      <c r="V2" s="98"/>
      <c r="W2" s="366"/>
      <c r="X2" s="366"/>
      <c r="Y2" s="366"/>
      <c r="Z2" s="366"/>
      <c r="AA2" s="366"/>
      <c r="AB2" s="505"/>
      <c r="AC2" s="505"/>
      <c r="AD2" s="505"/>
      <c r="AE2" s="505"/>
      <c r="AF2" s="505"/>
      <c r="AG2" s="505"/>
      <c r="AK2" s="98"/>
      <c r="AQ2" s="98"/>
      <c r="AR2" s="98"/>
      <c r="AS2" s="98"/>
      <c r="AT2" s="98"/>
      <c r="AU2" s="98"/>
      <c r="AV2" s="85"/>
      <c r="AW2" s="85"/>
      <c r="AX2" s="85"/>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row>
    <row r="3" spans="1:118" ht="16.5" customHeight="1" thickTop="1" thickBot="1">
      <c r="A3" s="2496" t="str">
        <f>'Tier 1 ESL'!A6:F6</f>
        <v>2025 (Rev 4)</v>
      </c>
      <c r="B3" s="2497"/>
      <c r="C3" s="2488" t="s">
        <v>657</v>
      </c>
      <c r="D3" s="2489"/>
      <c r="E3" s="2464" t="s">
        <v>658</v>
      </c>
      <c r="F3" s="2465"/>
      <c r="G3" s="2465"/>
      <c r="H3" s="2465"/>
      <c r="I3" s="2465"/>
      <c r="J3" s="2465"/>
      <c r="K3" s="2465"/>
      <c r="L3" s="2465"/>
      <c r="M3" s="2465"/>
      <c r="N3" s="2465"/>
      <c r="O3" s="2465"/>
      <c r="P3" s="2465"/>
      <c r="Q3" s="2465"/>
      <c r="R3" s="2465"/>
      <c r="S3" s="2465"/>
      <c r="T3" s="2465"/>
      <c r="U3" s="2465"/>
      <c r="V3" s="2465"/>
      <c r="W3" s="2465"/>
      <c r="X3" s="2465"/>
      <c r="Y3" s="2466"/>
      <c r="Z3" s="2455" t="s">
        <v>659</v>
      </c>
      <c r="AA3" s="2456"/>
      <c r="AB3" s="2473" t="s">
        <v>660</v>
      </c>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5"/>
    </row>
    <row r="4" spans="1:118" ht="18" customHeight="1" thickBot="1">
      <c r="A4" s="2498" t="s">
        <v>661</v>
      </c>
      <c r="B4" s="2501" t="s">
        <v>80</v>
      </c>
      <c r="C4" s="2490" t="s">
        <v>662</v>
      </c>
      <c r="D4" s="2493" t="s">
        <v>379</v>
      </c>
      <c r="E4" s="2479" t="s">
        <v>663</v>
      </c>
      <c r="F4" s="2480"/>
      <c r="G4" s="2480"/>
      <c r="H4" s="2481"/>
      <c r="I4" s="2434" t="s">
        <v>664</v>
      </c>
      <c r="J4" s="2435"/>
      <c r="K4" s="2435"/>
      <c r="L4" s="2435"/>
      <c r="M4" s="2435"/>
      <c r="N4" s="2435"/>
      <c r="O4" s="2435"/>
      <c r="P4" s="2435"/>
      <c r="Q4" s="2435"/>
      <c r="R4" s="2435"/>
      <c r="S4" s="2435"/>
      <c r="T4" s="2435"/>
      <c r="U4" s="2435"/>
      <c r="V4" s="2435"/>
      <c r="W4" s="2507" t="s">
        <v>665</v>
      </c>
      <c r="X4" s="2508"/>
      <c r="Y4" s="2509"/>
      <c r="Z4" s="2467" t="s">
        <v>666</v>
      </c>
      <c r="AA4" s="2470" t="s">
        <v>379</v>
      </c>
      <c r="AB4" s="2476"/>
      <c r="AC4" s="2477"/>
      <c r="AD4" s="2477"/>
      <c r="AE4" s="2477"/>
      <c r="AF4" s="2477"/>
      <c r="AG4" s="2477"/>
      <c r="AH4" s="2477"/>
      <c r="AI4" s="2477"/>
      <c r="AJ4" s="2477"/>
      <c r="AK4" s="2477"/>
      <c r="AL4" s="2477"/>
      <c r="AM4" s="2477"/>
      <c r="AN4" s="2477"/>
      <c r="AO4" s="2477"/>
      <c r="AP4" s="2477"/>
      <c r="AQ4" s="2477"/>
      <c r="AR4" s="2477"/>
      <c r="AS4" s="2477"/>
      <c r="AT4" s="2477"/>
      <c r="AU4" s="2477"/>
      <c r="AV4" s="2477"/>
      <c r="AW4" s="2477"/>
      <c r="AX4" s="2478"/>
    </row>
    <row r="5" spans="1:118" ht="24" customHeight="1" thickBot="1">
      <c r="A5" s="2499"/>
      <c r="B5" s="2502"/>
      <c r="C5" s="2491"/>
      <c r="D5" s="2494"/>
      <c r="E5" s="2482"/>
      <c r="F5" s="2483"/>
      <c r="G5" s="2483"/>
      <c r="H5" s="2484"/>
      <c r="I5" s="2436" t="s">
        <v>667</v>
      </c>
      <c r="J5" s="2437"/>
      <c r="K5" s="2437"/>
      <c r="L5" s="2437"/>
      <c r="M5" s="2437"/>
      <c r="N5" s="2437"/>
      <c r="O5" s="2438"/>
      <c r="P5" s="2436" t="s">
        <v>668</v>
      </c>
      <c r="Q5" s="2437"/>
      <c r="R5" s="2437"/>
      <c r="S5" s="2437"/>
      <c r="T5" s="2437"/>
      <c r="U5" s="2437"/>
      <c r="V5" s="2438"/>
      <c r="W5" s="2510"/>
      <c r="X5" s="2511"/>
      <c r="Y5" s="2512"/>
      <c r="Z5" s="2468"/>
      <c r="AA5" s="2471"/>
      <c r="AB5" s="2446" t="s">
        <v>669</v>
      </c>
      <c r="AC5" s="2446" t="s">
        <v>670</v>
      </c>
      <c r="AD5" s="2452" t="s">
        <v>671</v>
      </c>
      <c r="AE5" s="2452" t="s">
        <v>672</v>
      </c>
      <c r="AF5" s="2452" t="s">
        <v>673</v>
      </c>
      <c r="AG5" s="2452" t="s">
        <v>674</v>
      </c>
      <c r="AH5" s="2448" t="s">
        <v>675</v>
      </c>
      <c r="AI5" s="2424" t="s">
        <v>676</v>
      </c>
      <c r="AJ5" s="2427" t="s">
        <v>677</v>
      </c>
      <c r="AK5" s="2422" t="s">
        <v>678</v>
      </c>
      <c r="AL5" s="2424" t="s">
        <v>679</v>
      </c>
      <c r="AM5" s="2424" t="s">
        <v>680</v>
      </c>
      <c r="AN5" s="2424" t="s">
        <v>681</v>
      </c>
      <c r="AO5" s="2424" t="s">
        <v>682</v>
      </c>
      <c r="AP5" s="2427" t="s">
        <v>683</v>
      </c>
      <c r="AQ5" s="2422" t="s">
        <v>684</v>
      </c>
      <c r="AR5" s="2422" t="s">
        <v>685</v>
      </c>
      <c r="AS5" s="2432" t="s">
        <v>686</v>
      </c>
      <c r="AT5" s="2422" t="s">
        <v>687</v>
      </c>
      <c r="AU5" s="2422" t="s">
        <v>688</v>
      </c>
      <c r="AV5" s="2424" t="s">
        <v>689</v>
      </c>
      <c r="AW5" s="2424" t="s">
        <v>690</v>
      </c>
      <c r="AX5" s="2430" t="s">
        <v>691</v>
      </c>
    </row>
    <row r="6" spans="1:118" ht="41.25" customHeight="1">
      <c r="A6" s="2499"/>
      <c r="B6" s="2502"/>
      <c r="C6" s="2491"/>
      <c r="D6" s="2494"/>
      <c r="E6" s="2485" t="s">
        <v>435</v>
      </c>
      <c r="F6" s="2504" t="s">
        <v>379</v>
      </c>
      <c r="G6" s="2485" t="s">
        <v>692</v>
      </c>
      <c r="H6" s="2504" t="s">
        <v>379</v>
      </c>
      <c r="I6" s="2460" t="s">
        <v>693</v>
      </c>
      <c r="J6" s="2463" t="s">
        <v>694</v>
      </c>
      <c r="K6" s="2443" t="s">
        <v>695</v>
      </c>
      <c r="L6" s="2444"/>
      <c r="M6" s="2444"/>
      <c r="N6" s="2445"/>
      <c r="O6" s="2457" t="s">
        <v>696</v>
      </c>
      <c r="P6" s="2460" t="s">
        <v>693</v>
      </c>
      <c r="Q6" s="2463" t="s">
        <v>694</v>
      </c>
      <c r="R6" s="2443" t="s">
        <v>695</v>
      </c>
      <c r="S6" s="2444"/>
      <c r="T6" s="2444"/>
      <c r="U6" s="2445"/>
      <c r="V6" s="2457" t="s">
        <v>697</v>
      </c>
      <c r="W6" s="2513" t="s">
        <v>435</v>
      </c>
      <c r="X6" s="2516" t="s">
        <v>698</v>
      </c>
      <c r="Y6" s="2519" t="s">
        <v>699</v>
      </c>
      <c r="Z6" s="2468"/>
      <c r="AA6" s="2471"/>
      <c r="AB6" s="2447"/>
      <c r="AC6" s="2447"/>
      <c r="AD6" s="2453"/>
      <c r="AE6" s="2453"/>
      <c r="AF6" s="2453"/>
      <c r="AG6" s="2453"/>
      <c r="AH6" s="2449"/>
      <c r="AI6" s="2425"/>
      <c r="AJ6" s="2428"/>
      <c r="AK6" s="2423"/>
      <c r="AL6" s="2425"/>
      <c r="AM6" s="2425"/>
      <c r="AN6" s="2425"/>
      <c r="AO6" s="2425"/>
      <c r="AP6" s="2428"/>
      <c r="AQ6" s="2423"/>
      <c r="AR6" s="2423"/>
      <c r="AS6" s="2433"/>
      <c r="AT6" s="2423"/>
      <c r="AU6" s="2423"/>
      <c r="AV6" s="2425"/>
      <c r="AW6" s="2425"/>
      <c r="AX6" s="2431"/>
    </row>
    <row r="7" spans="1:118" ht="11.25" customHeight="1">
      <c r="A7" s="2499"/>
      <c r="B7" s="2502"/>
      <c r="C7" s="2491"/>
      <c r="D7" s="2494"/>
      <c r="E7" s="2486"/>
      <c r="F7" s="2505"/>
      <c r="G7" s="2486"/>
      <c r="H7" s="2505"/>
      <c r="I7" s="2461"/>
      <c r="J7" s="2428"/>
      <c r="K7" s="1991" t="s">
        <v>700</v>
      </c>
      <c r="L7" s="2439" t="s">
        <v>701</v>
      </c>
      <c r="M7" s="2440"/>
      <c r="N7" s="131" t="s">
        <v>702</v>
      </c>
      <c r="O7" s="2458"/>
      <c r="P7" s="2461"/>
      <c r="Q7" s="2428"/>
      <c r="R7" s="1991" t="s">
        <v>700</v>
      </c>
      <c r="S7" s="2441" t="s">
        <v>701</v>
      </c>
      <c r="T7" s="2442"/>
      <c r="U7" s="131" t="s">
        <v>702</v>
      </c>
      <c r="V7" s="2458"/>
      <c r="W7" s="2514"/>
      <c r="X7" s="2517"/>
      <c r="Y7" s="2520"/>
      <c r="Z7" s="2468"/>
      <c r="AA7" s="2471"/>
      <c r="AB7" s="2447"/>
      <c r="AC7" s="2447"/>
      <c r="AD7" s="2454"/>
      <c r="AE7" s="2454"/>
      <c r="AF7" s="2454"/>
      <c r="AG7" s="2454"/>
      <c r="AH7" s="2449"/>
      <c r="AI7" s="2425"/>
      <c r="AJ7" s="2428"/>
      <c r="AK7" s="2423"/>
      <c r="AL7" s="2425"/>
      <c r="AM7" s="2425"/>
      <c r="AN7" s="2425"/>
      <c r="AO7" s="2425"/>
      <c r="AP7" s="2428"/>
      <c r="AQ7" s="77" t="s">
        <v>703</v>
      </c>
      <c r="AR7" s="77" t="s">
        <v>704</v>
      </c>
      <c r="AS7" s="77" t="s">
        <v>705</v>
      </c>
      <c r="AT7" s="77" t="s">
        <v>706</v>
      </c>
      <c r="AU7" s="77" t="s">
        <v>4286</v>
      </c>
      <c r="AV7" s="1986" t="s">
        <v>708</v>
      </c>
      <c r="AW7" s="1986" t="s">
        <v>708</v>
      </c>
      <c r="AX7" s="1989" t="s">
        <v>708</v>
      </c>
    </row>
    <row r="8" spans="1:118" ht="11.25" customHeight="1" thickBot="1">
      <c r="A8" s="2500"/>
      <c r="B8" s="2503"/>
      <c r="C8" s="2492"/>
      <c r="D8" s="2495"/>
      <c r="E8" s="2487"/>
      <c r="F8" s="2506"/>
      <c r="G8" s="2487"/>
      <c r="H8" s="2506"/>
      <c r="I8" s="2462"/>
      <c r="J8" s="2429"/>
      <c r="K8" s="189"/>
      <c r="L8" s="194" t="s">
        <v>709</v>
      </c>
      <c r="M8" s="194" t="s">
        <v>710</v>
      </c>
      <c r="N8" s="191"/>
      <c r="O8" s="2459"/>
      <c r="P8" s="2462"/>
      <c r="Q8" s="2429"/>
      <c r="R8" s="132"/>
      <c r="S8" s="379" t="s">
        <v>711</v>
      </c>
      <c r="T8" s="379" t="s">
        <v>712</v>
      </c>
      <c r="U8" s="82"/>
      <c r="V8" s="2459"/>
      <c r="W8" s="2515"/>
      <c r="X8" s="2518"/>
      <c r="Y8" s="2521"/>
      <c r="Z8" s="2469"/>
      <c r="AA8" s="2472"/>
      <c r="AB8" s="195" t="s">
        <v>713</v>
      </c>
      <c r="AC8" s="195" t="s">
        <v>713</v>
      </c>
      <c r="AD8" s="195" t="s">
        <v>713</v>
      </c>
      <c r="AE8" s="195" t="s">
        <v>713</v>
      </c>
      <c r="AF8" s="195" t="s">
        <v>713</v>
      </c>
      <c r="AG8" s="195" t="s">
        <v>713</v>
      </c>
      <c r="AH8" s="2450"/>
      <c r="AI8" s="2426"/>
      <c r="AJ8" s="2429"/>
      <c r="AK8" s="2451"/>
      <c r="AL8" s="2426"/>
      <c r="AM8" s="2426"/>
      <c r="AN8" s="2426"/>
      <c r="AO8" s="2426"/>
      <c r="AP8" s="2429"/>
      <c r="AQ8" s="133" t="s">
        <v>714</v>
      </c>
      <c r="AR8" s="133" t="s">
        <v>715</v>
      </c>
      <c r="AS8" s="133" t="s">
        <v>716</v>
      </c>
      <c r="AT8" s="133" t="s">
        <v>717</v>
      </c>
      <c r="AU8" s="133"/>
      <c r="AV8" s="1987" t="s">
        <v>718</v>
      </c>
      <c r="AW8" s="1987" t="s">
        <v>718</v>
      </c>
      <c r="AX8" s="134" t="s">
        <v>718</v>
      </c>
    </row>
    <row r="9" spans="1:118" ht="11.25" customHeight="1">
      <c r="A9" s="2" t="s">
        <v>391</v>
      </c>
      <c r="B9" s="184" t="s">
        <v>392</v>
      </c>
      <c r="C9" s="566" t="str">
        <f>IF(Z9&lt;&gt;"--",Z9,"--")</f>
        <v>--</v>
      </c>
      <c r="D9" s="586" t="str">
        <f>IF(C9="--","--", AA9)</f>
        <v>--</v>
      </c>
      <c r="E9" s="182" t="str">
        <f t="shared" ref="E9" si="0">IF(AND(O9="--",W9="--"),"--", IF(O9="--",W9,IF(W9="--",O9,MIN(O9,W9))))</f>
        <v>--</v>
      </c>
      <c r="F9" s="609" t="str">
        <f t="shared" ref="F9" si="1">IF(E9="--","--",IF(E9=O9,"Tapwater",Y9))</f>
        <v>--</v>
      </c>
      <c r="G9" s="182">
        <f t="shared" ref="G9" si="2">IF(AND(V9="--",X9="--"),"--", IF(V9="--",X9,IF(X9="--",V9,MIN(V9,X9))))</f>
        <v>14065.199496529907</v>
      </c>
      <c r="H9" s="183" t="str">
        <f t="shared" ref="H9" si="3">IF(G9="--","--",IF(G9=V9,"Tapwater",Y9))</f>
        <v>Tapwater</v>
      </c>
      <c r="I9" s="188" t="str">
        <f t="shared" ref="I9" si="4">IF(AQ9="--","--",
IF(AJ9="--",
(TR*365*LT*1000)/(AQ9*IFWadj),
(TR*365*LT*1000)/(AQ9*IFWmadj)))</f>
        <v>--</v>
      </c>
      <c r="J9" s="157" t="str">
        <f t="shared" ref="J9" si="5">IF(AR9="--","--",
IF(AH9="NV","--",
IF(AJ9="--",
(TR*365*LT)/(EFr*EDr*ETr*(1/24)*AR9*0.5),
(TR*365*LT)/(TETmadj*AR9*0.5))))</f>
        <v>--</v>
      </c>
      <c r="K9" s="190" t="str">
        <f t="shared" ref="K9" si="6">IF(AP9="No", "--",
IF(AV9="--","--",
IF(AND(AO9=0, AI9="I"), "--",
IF(AI9&lt;&gt;"I","--",
IF(AJ9="--",
(AV9*1000)/(AO9*ETwadj),
(AW9*1000)/(AO9*ETwadj))))))</f>
        <v>--</v>
      </c>
      <c r="L9" s="157" t="str">
        <f t="shared" ref="L9" si="7">IF(AP9="No", "--",
IF(AV9="--", "--",
IF(AI9&lt;&gt;"O", "--",
IF(ETwadj &gt; AN9, "--",
IF(AJ9="--",
(AV9*1000)/(2*AK9*AO9*SQRT((6*AM9*ETwadj)/PI())),
(AW9*1000)/(2*AK9*AO9*SQRT((6*AM9*ETwadj)/PI())))))))</f>
        <v>--</v>
      </c>
      <c r="M9" s="192" t="str">
        <f t="shared" ref="M9" si="8">IF(AP9="No","--",
IF(AV9="--","--",
IF(AI9&lt;&gt;"O","--",
IF(ETwadj&lt;AN9,"--",
IF(AJ9="--",
(AV9*1000)/(AK9*AO9*(ETwadj/(1+AL9)+(2*AM9*(1+(3*AL9)+(3*(AL9^2)))/((1+AL9)^2)))),
(AW9*1000)/(AK9*AO9*(ETwadj/(1+AL9)+(2*AM9*(1+(3*AL9)+(3*(AL9^2)))/((1+AL9)^2)))))))))</f>
        <v>--</v>
      </c>
      <c r="N9" s="190" t="str">
        <f>IF(AND(M9="--",L9="--"),K9, IF(AND(K9="--",M9="--"), L9, M9))</f>
        <v>--</v>
      </c>
      <c r="O9" s="197" t="str">
        <f>IF(AND(I9="--",J9="--",N9="--"),"--",IF(AND(J9="--",N9="--"),I9,IF(AND(I9="--",N9="--"),J9,IF(AND(I9="--",J9="--"),N9, IF(I9="--", (1/((1/J9)+(1/N9))), IF(J9="--", (1/((1/I9)+(1/N9))), IF(N9="--", (1/((1/I9)+(1/J9))), (1/((1/I9)+(1/J9)+(1/N9))))))))))</f>
        <v>--</v>
      </c>
      <c r="P9" s="199">
        <f t="shared" ref="P9:P30" si="9">IF(AS9="--","--",(THQ*EDc*365*BWc*1000)/(EFr*EDc*(1/AS9)*IRWc))</f>
        <v>18049.450549450547</v>
      </c>
      <c r="Q9" s="196">
        <f t="shared" ref="Q9:Q30" si="10">IF(AT9="--","--",IF(AH9="NV","--",(THQ*EDc*365*1000)/(EFr*EDc*ETr*(1/24)*(1/(AT9/1000))*0.5)))</f>
        <v>64657.142857142862</v>
      </c>
      <c r="R9" s="196" t="str">
        <f t="shared" ref="R9" si="11">IF(AP9="No", "--",
IF(AX9="--","--",IF(AND(AO9="--", AI9="I"), "--", IF(AI9="I", (AX9*1000)/(AO9*ETwc), "--"))))</f>
        <v>--</v>
      </c>
      <c r="S9" s="157" t="str">
        <f t="shared" ref="S9:S23" si="12">IF(AP9="No", "--",IF(OR(AX9="--",AL9="--",AK9="--"),"--",IF(AND(AI9="O", ETwc &lt; AN9), (AX9*1000)/(2*AK9*AO9*SQRT((6*AM9*ETwc)/PI())), "--")))</f>
        <v>--</v>
      </c>
      <c r="T9" s="196">
        <f t="shared" ref="T9" si="13">IF(AP9="No", "--", IF(AX9="--","--",IF(AND(AI9="O", ETwc &gt; AN9), ((AX9*1000)/(AK9*AO9*(ETwc/(1+AL9)+(2*AM9*(1+(3*AL9)+(3*(AL9^2)))/((1+AL9)^2))))), "--")))</f>
        <v>4387522.2191456314</v>
      </c>
      <c r="U9" s="196">
        <f>IF(AND(T9="--",S9="--"),R9, IF(AND(R9="--",T9="--"), S9, T9))</f>
        <v>4387522.2191456314</v>
      </c>
      <c r="V9" s="200">
        <f>IF(AND(P9="--",Q9="--",U9="--"),"--",IF(AND(Q9="--",U9="--"),P9,IF(AND(P9="--",U9="--"),Q9,IF(AND(P9="--",Q9="--"),U9, IF(P9="--", (1/((1/Q9)+(1/U9))), IF(Q9="--", (1/((1/P9)+(1/U9))), IF(U9="--", (1/((1/P9)+(1/Q9))), (1/((1/P9)+(1/Q9)+(1/U9))))))))))</f>
        <v>14065.199496529907</v>
      </c>
      <c r="W9" s="186" t="str">
        <f>IF(OR(AE9="cancer",AG9="cancer"), MIN(AD9,AF9),"--")</f>
        <v>--</v>
      </c>
      <c r="X9" s="596" t="str">
        <f>IF(OR(AE9="noncancer",AG9="noncancer"), MIN(AD9,AF9),"--")</f>
        <v>--</v>
      </c>
      <c r="Y9" s="187" t="str">
        <f>IF(AND(W9="--",X9="--"),"--",IF(AND(W9&lt;&gt;"--",W9=AD9),"OEHHA PHG",IF(AND(X9&lt;&gt;"--",X9=AD9),"OEHHA PHG","DDW NL")))</f>
        <v>--</v>
      </c>
      <c r="Z9" s="567" t="str">
        <f>IF(AND(AB9="--",AC9="--"),"--",MIN(AB9,AC9))</f>
        <v>--</v>
      </c>
      <c r="AA9" s="568" t="str">
        <f t="shared" ref="AA9" si="14">IF(Z9="--","--", IF(Z9=AB9,"MCL (Primary)", IF(Z9=AC9, "MCL (Secondary)", H9)))</f>
        <v>--</v>
      </c>
      <c r="AB9" s="121" t="str">
        <f t="shared" ref="AB9:AB72" si="15">IF(VLOOKUP($A9, Table_IP_4, MATCH("mcl", heading_IP_4, 0), FALSE)=0, "-", VLOOKUP($A9, Table_IP_4, MATCH("mcl", heading_IP_4, 0), FALSE))</f>
        <v>--</v>
      </c>
      <c r="AC9" s="121" t="str">
        <f t="shared" ref="AC9:AC72" si="16">IF(VLOOKUP($A9, Table_IP_4, MATCH("2-mcl", heading_IP_4, 0), FALSE)=0, "-", VLOOKUP($A9, Table_IP_4, MATCH("2-mcl", heading_IP_4, 0), FALSE))</f>
        <v>--</v>
      </c>
      <c r="AD9" s="121" t="str">
        <f t="shared" ref="AD9:AD72" si="17">IF(VLOOKUP($A9, Table_IP_4, MATCH("PHG", heading_IP_4, 0), FALSE)=0, "--", VLOOKUP($A9, Table_IP_4, MATCH("PHG", heading_IP_4, 0), FALSE))</f>
        <v>--</v>
      </c>
      <c r="AE9" s="121" t="str">
        <f t="shared" ref="AE9:AE72" si="18">IF(VLOOKUP($A9, Table_IP_4, MATCH("PHG-b", heading_IP_4, 0), FALSE)=0, "--", VLOOKUP($A9, Table_IP_4, MATCH("PHG-b", heading_IP_4, 0), FALSE))</f>
        <v>--</v>
      </c>
      <c r="AF9" s="121" t="str">
        <f t="shared" ref="AF9:AF72" si="19">IF(VLOOKUP($A9, Table_IP_4, MATCH("NL", heading_IP_4, 0), FALSE)=0, "--", VLOOKUP($A9, Table_IP_4, MATCH("NL", heading_IP_4, 0), FALSE))</f>
        <v>--</v>
      </c>
      <c r="AG9" s="121" t="str">
        <f t="shared" ref="AG9:AG72" si="20">IF(VLOOKUP($A9, Table_IP_4, MATCH("NL-b", heading_IP_4, 0), FALSE)=0, "--", VLOOKUP($A9, Table_IP_4, MATCH("NL-b", heading_IP_4, 0), FALSE))</f>
        <v>--</v>
      </c>
      <c r="AH9" s="120" t="str">
        <f t="shared" ref="AH9:AH72" si="21">VLOOKUP($A9,Table_IP_1,MATCH("volatility",heading_IP_1,0),FALSE)</f>
        <v>V</v>
      </c>
      <c r="AI9" s="120" t="str">
        <f t="shared" ref="AI9:AI72" si="22">VLOOKUP($A9,Table_IP_1,MATCH("OI",heading_IP_1,0),FALSE)</f>
        <v>O</v>
      </c>
      <c r="AJ9" s="120" t="str">
        <f t="shared" ref="AJ9:AJ72" si="23">VLOOKUP($A9,Table_IP_2,MATCH("mut",heading_IP_2,0),FALSE)</f>
        <v>--</v>
      </c>
      <c r="AK9" s="130">
        <f t="shared" ref="AK9" si="24">VLOOKUP(A9,Table_IP_2,MATCH("FA",heading_IP_2,0),FALSE)</f>
        <v>1</v>
      </c>
      <c r="AL9" s="120">
        <f t="shared" ref="AL9:AL72" si="25">VLOOKUP($A9,Table_IP_2,MATCH("B",heading_IP_2,0),FALSE)</f>
        <v>1.50076832709E-3</v>
      </c>
      <c r="AM9" s="120">
        <f t="shared" ref="AM9:AM72" si="26">VLOOKUP($A9,Table_IP_2,MATCH("t_event",heading_IP_2,0),FALSE)</f>
        <v>0.22238339169509</v>
      </c>
      <c r="AN9" s="120">
        <f t="shared" ref="AN9:AN72" si="27">VLOOKUP($A9,Table_IP_2,MATCH("t",heading_IP_2,0),FALSE)</f>
        <v>0.53372014006821</v>
      </c>
      <c r="AO9" s="120">
        <f t="shared" ref="AO9:AO72" si="28">VLOOKUP($A9,Table_IP_2,MATCH("Kp",heading_IP_2,0),FALSE)</f>
        <v>5.1199999999999998E-4</v>
      </c>
      <c r="AP9" s="120" t="str">
        <f t="shared" ref="AP9:AP72" si="29">VLOOKUP($A9,Table_IP_2,MATCH("EPD",heading_IP_2,0),FALSE)</f>
        <v>Yes</v>
      </c>
      <c r="AQ9" s="120" t="str">
        <f t="shared" ref="AQ9" si="30">VLOOKUP(A9,Table_IP_2,MATCH("SFo",heading_IP_2,0),FALSE)</f>
        <v>--</v>
      </c>
      <c r="AR9" s="120" t="str">
        <f t="shared" ref="AR9" si="31">VLOOKUP(A9,Table_IP_2,MATCH("IUR",heading_IP_2,0),FALSE)</f>
        <v>--</v>
      </c>
      <c r="AS9" s="120">
        <f t="shared" ref="AS9" si="32">VLOOKUP(A9,Table_IP_2,MATCH("RfDo",heading_IP_2,0),FALSE)</f>
        <v>0.9</v>
      </c>
      <c r="AT9" s="120">
        <f t="shared" ref="AT9" si="33">VLOOKUP(A9,Table_IP_2,MATCH("RfC",heading_IP_2,0),FALSE)</f>
        <v>31000</v>
      </c>
      <c r="AU9" s="120">
        <f t="shared" ref="AU9" si="34">VLOOKUP(A9,Table_IP_2,MATCH("GIABS",heading_IP_2,0),FALSE)</f>
        <v>1</v>
      </c>
      <c r="AV9" s="120" t="str">
        <f t="shared" ref="AV9:AV30" si="35">IF(AQ9="--","--",(TR*365*LT*1000)/((AQ9/AU9)*DFWadj))</f>
        <v>--</v>
      </c>
      <c r="AW9" s="554" t="str">
        <f t="shared" ref="AW9" si="36">IF(AQ9="--","--",(TR*365*LT*1000)/((AQ9/AU9)*DFWmadj))</f>
        <v>--</v>
      </c>
      <c r="AX9" s="123">
        <f t="shared" ref="AX9:AX30" si="37">IF(AS9="--", "--", (THQ*365*EDc*1000*BWc)/((1/(AS9*AU9))*1*EDc*EFr*SAwc))</f>
        <v>2.2118729659970819</v>
      </c>
    </row>
    <row r="10" spans="1:118" ht="11.25" customHeight="1">
      <c r="A10" s="153" t="s">
        <v>85</v>
      </c>
      <c r="B10" s="185" t="s">
        <v>86</v>
      </c>
      <c r="C10" s="566" t="str">
        <f t="shared" ref="C10:C73" si="38">IF(Z10&lt;&gt;"--",Z10,"--")</f>
        <v>--</v>
      </c>
      <c r="D10" s="586" t="str">
        <f t="shared" ref="D10:D73" si="39">IF(C10="--","--", AA10)</f>
        <v>--</v>
      </c>
      <c r="E10" s="182">
        <f t="shared" ref="E10" si="40">IF(AND(O10="--",W10="--"),"--", IF(O10="--",W10,IF(W10="--",O10,MIN(O10,W10))))</f>
        <v>9.1675143477878659E-4</v>
      </c>
      <c r="F10" s="609" t="str">
        <f t="shared" ref="F10" si="41">IF(E10="--","--",IF(E10=O10,"Tapwater",Y10))</f>
        <v>Tapwater</v>
      </c>
      <c r="G10" s="182">
        <f t="shared" ref="G10" si="42">IF(AND(V10="--",X10="--"),"--", IF(V10="--",X10,IF(X10="--",V10,MIN(V10,X10))))</f>
        <v>2E-3</v>
      </c>
      <c r="H10" s="183" t="str">
        <f t="shared" ref="H10" si="43">IF(G10="--","--",IF(G10=V10,"Tapwater",Y10))</f>
        <v>DDW NL</v>
      </c>
      <c r="I10" s="188">
        <f t="shared" ref="I10" si="44">IF(AQ10="--","--",
IF(AJ10="--",
(TR*365*LT*1000)/(AQ10*IFWadj),
(TR*365*LT*1000)/(AQ10*IFWmadj)))</f>
        <v>4.5828363362420748E-3</v>
      </c>
      <c r="J10" s="157">
        <f t="shared" ref="J10" si="45">IF(AR10="--","--",
IF(AH10="NV","--",
IF(AJ10="--",
(TR*365*LT)/(EFr*EDr*ETr*(1/24)*AR10*0.5),
(TR*365*LT)/(TETmadj*AR10*0.5))))</f>
        <v>1.1459968602825746E-3</v>
      </c>
      <c r="K10" s="190" t="str">
        <f t="shared" ref="K10" si="46">IF(AP10="No", "--",
IF(AV10="--","--",
IF(AND(AO10=0, AI10="I"), "--",
IF(AI10&lt;&gt;"I","--",
IF(AJ10="--",
(AV10*1000)/(AO10*ETwadj),
(AW10*1000)/(AO10*ETwadj))))))</f>
        <v>--</v>
      </c>
      <c r="L10" s="157" t="str">
        <f t="shared" ref="L10" si="47">IF(AP10="No", "--",
IF(AV10="--", "--",
IF(AI10&lt;&gt;"O", "--",
IF(ETwadj &gt; AN10, "--",
IF(AJ10="--",
(AV10*1000)/(2*AK10*AO10*SQRT((6*AM10*ETwadj)/PI())),
(AW10*1000)/(2*AK10*AO10*SQRT((6*AM10*ETwadj)/PI())))))))</f>
        <v>--</v>
      </c>
      <c r="M10" s="192" t="str">
        <f t="shared" ref="M10" si="48">IF(AP10="No","--",
IF(AV10="--","--",
IF(AI10&lt;&gt;"O","--",
IF(ETwadj&lt;AN10,"--",
IF(AJ10="--",
(AV10*1000)/(AK10*AO10*(ETwadj/(1+AL10)+(2*AM10*(1+(3*AL10)+(3*(AL10^2)))/((1+AL10)^2)))),
(AW10*1000)/(AK10*AO10*(ETwadj/(1+AL10)+(2*AM10*(1+(3*AL10)+(3*(AL10^2)))/((1+AL10)^2)))))))))</f>
        <v>--</v>
      </c>
      <c r="N10" s="190" t="str">
        <f>IF(AND(M10="--",L10="--"),K10, IF(AND(K10="--",M10="--"), L10, M10))</f>
        <v>--</v>
      </c>
      <c r="O10" s="198">
        <f>IF(AND(I10="--",J10="--",N10="--"),"--",IF(AND(J10="--",N10="--"),I10,IF(AND(I10="--",N10="--"),J10,IF(AND(I10="--",J10="--"),N10, IF(I10="--", (1/((1/J10)+(1/N10))), IF(J10="--", (1/((1/I10)+(1/N10))), IF(N10="--", (1/((1/I10)+(1/J10))), (1/((1/I10)+(1/J10)+(1/N10))))))))))</f>
        <v>9.1675143477878659E-4</v>
      </c>
      <c r="P10" s="162">
        <f t="shared" si="9"/>
        <v>0.60164835164835162</v>
      </c>
      <c r="Q10" s="157" t="str">
        <f t="shared" si="10"/>
        <v>--</v>
      </c>
      <c r="R10" s="157" t="str">
        <f t="shared" ref="R10" si="49">IF(AP10="No", "--",
IF(AX10="--","--",IF(AND(AO10="--", AI10="I"), "--", IF(AI10="I", (AX10*1000)/(AO10*ETwc), "--"))))</f>
        <v>--</v>
      </c>
      <c r="S10" s="157" t="str">
        <f t="shared" si="12"/>
        <v>--</v>
      </c>
      <c r="T10" s="157" t="str">
        <f t="shared" ref="T10" si="50">IF(AP10="No", "--", IF(AX10="--","--",IF(AND(AI10="O", ETwc &gt; AN10), ((AX10*1000)/(AK10*AO10*(ETwc/(1+AL10)+(2*AM10*(1+(3*AL10)+(3*(AL10^2)))/((1+AL10)^2))))), "--")))</f>
        <v>--</v>
      </c>
      <c r="U10" s="157" t="str">
        <f>IF(AND(T10="--",S10="--"),R10, IF(AND(R10="--",T10="--"), S10, T10))</f>
        <v>--</v>
      </c>
      <c r="V10" s="200">
        <f>IF(AND(P10="--",Q10="--",U10="--"),"--",IF(AND(Q10="--",U10="--"),P10,IF(AND(P10="--",U10="--"),Q10,IF(AND(P10="--",Q10="--"),U10, IF(P10="--", (1/((1/Q10)+(1/U10))), IF(Q10="--", (1/((1/P10)+(1/U10))), IF(U10="--", (1/((1/P10)+(1/Q10))), (1/((1/P10)+(1/Q10)+(1/U10))))))))))</f>
        <v>0.60164835164835162</v>
      </c>
      <c r="W10" s="186" t="str">
        <f t="shared" ref="W10:W30" si="51">IF(OR(AE10="cancer",AG10="cancer"), MIN(AD10,AF10),"--")</f>
        <v>--</v>
      </c>
      <c r="X10" s="596">
        <f t="shared" ref="X10:X30" si="52">IF(OR(AE10="noncancer",AG10="noncancer"), MIN(AD10,AF10),"--")</f>
        <v>2E-3</v>
      </c>
      <c r="Y10" s="187" t="str">
        <f t="shared" ref="Y10:Y30" si="53">IF(AND(W10="--",X10="--"),"--",IF(AND(W10&lt;&gt;"--",W10=AD10),"OEHHA PHG",IF(AND(X10&lt;&gt;"--",X10=AD10),"OEHHA PHG","DDW NL")))</f>
        <v>DDW NL</v>
      </c>
      <c r="Z10" s="567" t="str">
        <f>IF(AND(AB10="--",AC10="--"),"--",MIN(AB10,AC10))</f>
        <v>--</v>
      </c>
      <c r="AA10" s="568" t="str">
        <f t="shared" ref="AA10" si="54">IF(Z10="--","--", IF(Z10=AB10,"MCL (Primary)", IF(Z10=AC10, "MCL (Secondary)", H10)))</f>
        <v>--</v>
      </c>
      <c r="AB10" s="122" t="str">
        <f t="shared" si="15"/>
        <v>--</v>
      </c>
      <c r="AC10" s="121" t="str">
        <f t="shared" si="16"/>
        <v>--</v>
      </c>
      <c r="AD10" s="121" t="str">
        <f t="shared" si="17"/>
        <v>--</v>
      </c>
      <c r="AE10" s="121" t="str">
        <f t="shared" si="18"/>
        <v>--</v>
      </c>
      <c r="AF10" s="121">
        <f t="shared" si="19"/>
        <v>2E-3</v>
      </c>
      <c r="AG10" s="121" t="str">
        <f t="shared" si="20"/>
        <v>Noncancer</v>
      </c>
      <c r="AH10" s="119" t="str">
        <f t="shared" si="21"/>
        <v>V</v>
      </c>
      <c r="AI10" s="119" t="str">
        <f t="shared" si="22"/>
        <v>O</v>
      </c>
      <c r="AJ10" s="120" t="str">
        <f t="shared" si="23"/>
        <v>--</v>
      </c>
      <c r="AK10" s="129">
        <f t="shared" ref="AK10" si="55">VLOOKUP(A10,Table_IP_2,MATCH("FA",heading_IP_2,0),FALSE)</f>
        <v>1</v>
      </c>
      <c r="AL10" s="119">
        <f t="shared" si="25"/>
        <v>2.15274755911009</v>
      </c>
      <c r="AM10" s="119">
        <f t="shared" si="26"/>
        <v>11.6252084690171</v>
      </c>
      <c r="AN10" s="119">
        <f t="shared" si="27"/>
        <v>47.726506161858701</v>
      </c>
      <c r="AO10" s="119">
        <f t="shared" si="28"/>
        <v>0.29299999999999998</v>
      </c>
      <c r="AP10" s="119" t="str">
        <f t="shared" si="29"/>
        <v>No</v>
      </c>
      <c r="AQ10" s="119">
        <f t="shared" ref="AQ10" si="56">VLOOKUP(A10,Table_IP_2,MATCH("SFo",heading_IP_2,0),FALSE)</f>
        <v>17</v>
      </c>
      <c r="AR10" s="119">
        <f t="shared" ref="AR10" si="57">VLOOKUP(A10,Table_IP_2,MATCH("IUR",heading_IP_2,0),FALSE)</f>
        <v>4.8999999999999998E-3</v>
      </c>
      <c r="AS10" s="119">
        <f t="shared" ref="AS10" si="58">VLOOKUP(A10,Table_IP_2,MATCH("RfDo",heading_IP_2,0),FALSE)</f>
        <v>3.0000000000000001E-5</v>
      </c>
      <c r="AT10" s="119" t="str">
        <f t="shared" ref="AT10" si="59">VLOOKUP(A10,Table_IP_2,MATCH("RfC",heading_IP_2,0),FALSE)</f>
        <v>--</v>
      </c>
      <c r="AU10" s="119">
        <f t="shared" ref="AU10" si="60">VLOOKUP(A10,Table_IP_2,MATCH("GIABS",heading_IP_2,0),FALSE)</f>
        <v>1</v>
      </c>
      <c r="AV10" s="119">
        <f t="shared" si="35"/>
        <v>5.7569615860823486E-7</v>
      </c>
      <c r="AW10" s="555">
        <f t="shared" ref="AW10" si="61">IF(AQ10="--","--",(TR*365*LT*1000)/((AQ10/AU10)*DFWmadj))</f>
        <v>1.8347271115698393E-7</v>
      </c>
      <c r="AX10" s="124">
        <f t="shared" si="37"/>
        <v>7.3729098866569403E-5</v>
      </c>
    </row>
    <row r="11" spans="1:118" s="21" customFormat="1" ht="12" customHeight="1">
      <c r="A11" s="153" t="s">
        <v>87</v>
      </c>
      <c r="B11" s="185" t="s">
        <v>88</v>
      </c>
      <c r="C11" s="566">
        <f t="shared" si="38"/>
        <v>6</v>
      </c>
      <c r="D11" s="586" t="str">
        <f t="shared" si="39"/>
        <v>MCL (Primary)</v>
      </c>
      <c r="E11" s="182" t="str">
        <f t="shared" ref="E11:E30" si="62">IF(AND(O11="--",W11="--"),"--", IF(O11="--",W11,IF(W11="--",O11,MIN(O11,W11))))</f>
        <v>--</v>
      </c>
      <c r="F11" s="609" t="str">
        <f t="shared" ref="F11:F30" si="63">IF(E11="--","--",IF(E11=O11,"Tapwater",Y11))</f>
        <v>--</v>
      </c>
      <c r="G11" s="182">
        <f>IF(AND(V11="--",X11="--"),"--", IF(V11="--",X11,IF(X11="--",V11,MIN(V11,X11))))</f>
        <v>1</v>
      </c>
      <c r="H11" s="183" t="str">
        <f t="shared" ref="H11:H30" si="64">IF(G11="--","--",IF(G11=V11,"Tapwater",Y11))</f>
        <v>OEHHA PHG</v>
      </c>
      <c r="I11" s="188" t="str">
        <f t="shared" ref="I11:I30" si="65">IF(AQ11="--","--",
IF(AJ11="--",
(TR*365*LT*1000)/(AQ11*IFWadj),
(TR*365*LT*1000)/(AQ11*IFWmadj)))</f>
        <v>--</v>
      </c>
      <c r="J11" s="157" t="str">
        <f t="shared" ref="J11:J30" si="66">IF(AR11="--","--",
IF(AH11="NV","--",
IF(AJ11="--",
(TR*365*LT)/(EFr*EDr*ETr*(1/24)*AR11*0.5),
(TR*365*LT)/(TETmadj*AR11*0.5))))</f>
        <v>--</v>
      </c>
      <c r="K11" s="190" t="str">
        <f t="shared" ref="K11:K30" si="67">IF(AP11="No", "--",
IF(AV11="--","--",
IF(AND(AO11=0, AI11="I"), "--",
IF(AI11&lt;&gt;"I","--",
IF(AJ11="--",
(AV11*1000)/(AO11*ETwadj),
(AW11*1000)/(AO11*ETwadj))))))</f>
        <v>--</v>
      </c>
      <c r="L11" s="157" t="str">
        <f t="shared" ref="L11:L30" si="68">IF(AP11="No", "--",
IF(AV11="--", "--",
IF(AI11&lt;&gt;"O", "--",
IF(ETwadj &gt; AN11, "--",
IF(AJ11="--",
(AV11*1000)/(2*AK11*AO11*SQRT((6*AM11*ETwadj)/PI())),
(AW11*1000)/(2*AK11*AO11*SQRT((6*AM11*ETwadj)/PI())))))))</f>
        <v>--</v>
      </c>
      <c r="M11" s="192" t="str">
        <f t="shared" ref="M11:M30" si="69">IF(AP11="No","--",
IF(AV11="--","--",
IF(AI11&lt;&gt;"O","--",
IF(ETwadj&lt;AN11,"--",
IF(AJ11="--",
(AV11*1000)/(AK11*AO11*(ETwadj/(1+AL11)+(2*AM11*(1+(3*AL11)+(3*(AL11^2)))/((1+AL11)^2)))),
(AW11*1000)/(AK11*AO11*(ETwadj/(1+AL11)+(2*AM11*(1+(3*AL11)+(3*(AL11^2)))/((1+AL11)^2)))))))))</f>
        <v>--</v>
      </c>
      <c r="N11" s="190" t="str">
        <f t="shared" ref="N11:N30" si="70">IF(AND(M11="--",L11="--"),K11, IF(AND(K11="--",M11="--"), L11, M11))</f>
        <v>--</v>
      </c>
      <c r="O11" s="198" t="str">
        <f t="shared" ref="O11:O30" si="71">IF(AND(I11="--",J11="--",N11="--"),"--",IF(AND(J11="--",N11="--"),I11,IF(AND(I11="--",N11="--"),J11,IF(AND(I11="--",J11="--"),N11, IF(I11="--", (1/((1/J11)+(1/N11))), IF(J11="--", (1/((1/I11)+(1/N11))), IF(N11="--", (1/((1/I11)+(1/J11))), (1/((1/I11)+(1/J11)+(1/N11))))))))))</f>
        <v>--</v>
      </c>
      <c r="P11" s="162">
        <f t="shared" si="9"/>
        <v>8.0219780219780219</v>
      </c>
      <c r="Q11" s="157" t="str">
        <f t="shared" si="10"/>
        <v>--</v>
      </c>
      <c r="R11" s="157">
        <f t="shared" ref="R11:R30" si="72">IF(AP11="No", "--",
IF(AX11="--","--",IF(AND(AO11="--", AI11="I"), "--", IF(AI11="I", (AX11*1000)/(AO11*ETwc), "--"))))</f>
        <v>273.07073654284966</v>
      </c>
      <c r="S11" s="157" t="str">
        <f t="shared" si="12"/>
        <v>--</v>
      </c>
      <c r="T11" s="157" t="str">
        <f t="shared" ref="T11:T30" si="73">IF(AP11="No", "--", IF(AX11="--","--",IF(AND(AI11="O", ETwc &gt; AN11), ((AX11*1000)/(AK11*AO11*(ETwc/(1+AL11)+(2*AM11*(1+(3*AL11)+(3*(AL11^2)))/((1+AL11)^2))))), "--")))</f>
        <v>--</v>
      </c>
      <c r="U11" s="157">
        <f t="shared" ref="U11:U30" si="74">IF(AND(T11="--",S11="--"),R11, IF(AND(R11="--",T11="--"), S11, T11))</f>
        <v>273.07073654284966</v>
      </c>
      <c r="V11" s="200">
        <f t="shared" ref="V11:V30" si="75">IF(AND(P11="--",Q11="--",U11="--"),"--",IF(AND(Q11="--",U11="--"),P11,IF(AND(P11="--",U11="--"),Q11,IF(AND(P11="--",Q11="--"),U11, IF(P11="--", (1/((1/Q11)+(1/U11))), IF(Q11="--", (1/((1/P11)+(1/U11))), IF(U11="--", (1/((1/P11)+(1/Q11))), (1/((1/P11)+(1/Q11)+(1/U11))))))))))</f>
        <v>7.7930424144339954</v>
      </c>
      <c r="W11" s="186" t="str">
        <f t="shared" si="51"/>
        <v>--</v>
      </c>
      <c r="X11" s="596">
        <f t="shared" si="52"/>
        <v>1</v>
      </c>
      <c r="Y11" s="187" t="str">
        <f t="shared" si="53"/>
        <v>OEHHA PHG</v>
      </c>
      <c r="Z11" s="567">
        <f t="shared" ref="Z11:Z30" si="76">IF(AND(AB11="--",AC11="--"),"--",MIN(AB11,AC11))</f>
        <v>6</v>
      </c>
      <c r="AA11" s="568" t="str">
        <f t="shared" ref="AA11:AA30" si="77">IF(Z11="--","--", IF(Z11=AB11,"MCL (Primary)", IF(Z11=AC11, "MCL (Secondary)", H11)))</f>
        <v>MCL (Primary)</v>
      </c>
      <c r="AB11" s="122">
        <f t="shared" si="15"/>
        <v>6</v>
      </c>
      <c r="AC11" s="121" t="str">
        <f t="shared" si="16"/>
        <v>--</v>
      </c>
      <c r="AD11" s="121">
        <f t="shared" si="17"/>
        <v>1</v>
      </c>
      <c r="AE11" s="121" t="str">
        <f t="shared" si="18"/>
        <v>Noncancer</v>
      </c>
      <c r="AF11" s="121" t="str">
        <f t="shared" si="19"/>
        <v>--</v>
      </c>
      <c r="AG11" s="121" t="str">
        <f t="shared" si="20"/>
        <v>--</v>
      </c>
      <c r="AH11" s="119" t="str">
        <f t="shared" si="21"/>
        <v>NV</v>
      </c>
      <c r="AI11" s="119" t="str">
        <f t="shared" si="22"/>
        <v>I</v>
      </c>
      <c r="AJ11" s="120" t="str">
        <f t="shared" si="23"/>
        <v>--</v>
      </c>
      <c r="AK11" s="129">
        <f t="shared" ref="AK11:AK30" si="78">VLOOKUP(A11,Table_IP_2,MATCH("FA",heading_IP_2,0),FALSE)</f>
        <v>1</v>
      </c>
      <c r="AL11" s="119">
        <f t="shared" si="25"/>
        <v>4.2440351458899999E-3</v>
      </c>
      <c r="AM11" s="119">
        <f t="shared" si="26"/>
        <v>0.50548089946876995</v>
      </c>
      <c r="AN11" s="119">
        <f t="shared" si="27"/>
        <v>1.2131541587250401</v>
      </c>
      <c r="AO11" s="119">
        <f t="shared" si="28"/>
        <v>1E-3</v>
      </c>
      <c r="AP11" s="119" t="str">
        <f t="shared" si="29"/>
        <v>Yes</v>
      </c>
      <c r="AQ11" s="119" t="str">
        <f t="shared" ref="AQ11:AQ30" si="79">VLOOKUP(A11,Table_IP_2,MATCH("SFo",heading_IP_2,0),FALSE)</f>
        <v>--</v>
      </c>
      <c r="AR11" s="119" t="str">
        <f t="shared" ref="AR11:AR30" si="80">VLOOKUP(A11,Table_IP_2,MATCH("IUR",heading_IP_2,0),FALSE)</f>
        <v>--</v>
      </c>
      <c r="AS11" s="119">
        <f t="shared" ref="AS11:AS30" si="81">VLOOKUP(A11,Table_IP_2,MATCH("RfDo",heading_IP_2,0),FALSE)</f>
        <v>4.0000000000000002E-4</v>
      </c>
      <c r="AT11" s="119">
        <f t="shared" ref="AT11:AT30" si="82">VLOOKUP(A11,Table_IP_2,MATCH("RfC",heading_IP_2,0),FALSE)</f>
        <v>0.3</v>
      </c>
      <c r="AU11" s="119">
        <f t="shared" ref="AU11:AU30" si="83">VLOOKUP(A11,Table_IP_2,MATCH("GIABS",heading_IP_2,0),FALSE)</f>
        <v>0.15</v>
      </c>
      <c r="AV11" s="119" t="str">
        <f t="shared" si="35"/>
        <v>--</v>
      </c>
      <c r="AW11" s="555" t="str">
        <f t="shared" ref="AW11:AW30" si="84">IF(AQ11="--","--",(TR*365*LT*1000)/((AQ11/AU11)*DFWmadj))</f>
        <v>--</v>
      </c>
      <c r="AX11" s="124">
        <f t="shared" si="37"/>
        <v>1.4745819773313881E-4</v>
      </c>
      <c r="AY11" s="1351"/>
      <c r="AZ11" s="1351"/>
      <c r="BA11" s="1351"/>
      <c r="BB11" s="1351"/>
      <c r="BC11" s="1406"/>
      <c r="BD11" s="1406"/>
      <c r="BE11" s="1406"/>
      <c r="BF11" s="1406"/>
      <c r="BG11" s="1406"/>
      <c r="BH11" s="1406"/>
      <c r="BI11" s="1406"/>
      <c r="BJ11" s="1406"/>
      <c r="BK11" s="1406"/>
      <c r="BL11" s="1406"/>
      <c r="BM11" s="1406"/>
      <c r="BN11" s="1406"/>
      <c r="BO11" s="1406"/>
      <c r="BP11" s="1406"/>
      <c r="BQ11" s="1406"/>
      <c r="BR11" s="1406"/>
      <c r="BS11" s="1406"/>
      <c r="BT11" s="1406"/>
      <c r="BU11" s="1406"/>
      <c r="BV11" s="1406"/>
      <c r="BW11" s="1406"/>
      <c r="BX11" s="1406"/>
      <c r="BY11" s="1406"/>
      <c r="BZ11" s="1406"/>
      <c r="CA11" s="1406"/>
      <c r="CB11" s="1406"/>
      <c r="CC11" s="1406"/>
      <c r="CD11" s="1406"/>
      <c r="CE11" s="1406"/>
      <c r="CF11" s="1406"/>
      <c r="CG11" s="1406"/>
      <c r="CH11" s="1406"/>
      <c r="CI11" s="1406"/>
      <c r="CJ11" s="1406"/>
      <c r="CK11" s="1406"/>
      <c r="CL11" s="1406"/>
      <c r="CM11" s="1406"/>
      <c r="CN11" s="1406"/>
      <c r="CO11" s="1406"/>
      <c r="CP11" s="1406"/>
      <c r="CQ11" s="1406"/>
      <c r="CR11" s="1406"/>
      <c r="CS11" s="1406"/>
      <c r="CT11" s="1406"/>
      <c r="CU11" s="1406"/>
      <c r="CV11" s="1406"/>
      <c r="CW11" s="1406"/>
      <c r="CX11" s="1406"/>
      <c r="CY11" s="1406"/>
      <c r="CZ11" s="1406"/>
      <c r="DA11" s="1406"/>
      <c r="DB11" s="1406"/>
      <c r="DC11" s="1406"/>
      <c r="DD11" s="1406"/>
      <c r="DE11" s="1406"/>
      <c r="DF11" s="1406"/>
      <c r="DG11" s="1406"/>
      <c r="DH11" s="1406"/>
      <c r="DI11" s="1406"/>
      <c r="DJ11" s="1406"/>
      <c r="DK11" s="1406"/>
      <c r="DL11" s="1406"/>
      <c r="DM11" s="1406"/>
      <c r="DN11" s="1406"/>
    </row>
    <row r="12" spans="1:118" ht="13.5" customHeight="1">
      <c r="A12" s="153" t="s">
        <v>89</v>
      </c>
      <c r="B12" s="185" t="s">
        <v>90</v>
      </c>
      <c r="C12" s="566">
        <f t="shared" si="38"/>
        <v>10</v>
      </c>
      <c r="D12" s="586" t="str">
        <f t="shared" si="39"/>
        <v>MCL (Primary)</v>
      </c>
      <c r="E12" s="182">
        <f t="shared" si="62"/>
        <v>2.4217007289035635E-3</v>
      </c>
      <c r="F12" s="609" t="str">
        <f t="shared" si="63"/>
        <v>Tapwater</v>
      </c>
      <c r="G12" s="182">
        <f t="shared" ref="G12:G30" si="85">IF(AND(V12="--",X12="--"),"--", IF(V12="--",X12,IF(X12="--",V12,MIN(V12,X12))))</f>
        <v>6.988435957398495E-2</v>
      </c>
      <c r="H12" s="183" t="str">
        <f t="shared" si="64"/>
        <v>Tapwater</v>
      </c>
      <c r="I12" s="188">
        <f t="shared" si="65"/>
        <v>2.4346318036286021E-3</v>
      </c>
      <c r="J12" s="157" t="str">
        <f t="shared" si="66"/>
        <v>--</v>
      </c>
      <c r="K12" s="190">
        <f t="shared" si="67"/>
        <v>0.45595201781973882</v>
      </c>
      <c r="L12" s="157" t="str">
        <f t="shared" si="68"/>
        <v>--</v>
      </c>
      <c r="M12" s="192" t="str">
        <f t="shared" si="69"/>
        <v>--</v>
      </c>
      <c r="N12" s="190">
        <f t="shared" si="70"/>
        <v>0.45595201781973882</v>
      </c>
      <c r="O12" s="198">
        <f t="shared" si="71"/>
        <v>2.4217007289035635E-3</v>
      </c>
      <c r="P12" s="162">
        <f t="shared" si="9"/>
        <v>7.0192307692307693E-2</v>
      </c>
      <c r="Q12" s="157" t="str">
        <f t="shared" si="10"/>
        <v>--</v>
      </c>
      <c r="R12" s="157">
        <f t="shared" si="72"/>
        <v>15.929126298332895</v>
      </c>
      <c r="S12" s="157" t="str">
        <f t="shared" si="12"/>
        <v>--</v>
      </c>
      <c r="T12" s="157" t="str">
        <f t="shared" si="73"/>
        <v>--</v>
      </c>
      <c r="U12" s="157">
        <f t="shared" si="74"/>
        <v>15.929126298332895</v>
      </c>
      <c r="V12" s="200">
        <f t="shared" si="75"/>
        <v>6.988435957398495E-2</v>
      </c>
      <c r="W12" s="186">
        <f t="shared" si="51"/>
        <v>4.0000000000000001E-3</v>
      </c>
      <c r="X12" s="596" t="str">
        <f t="shared" si="52"/>
        <v>--</v>
      </c>
      <c r="Y12" s="187" t="str">
        <f t="shared" si="53"/>
        <v>OEHHA PHG</v>
      </c>
      <c r="Z12" s="567">
        <f t="shared" si="76"/>
        <v>10</v>
      </c>
      <c r="AA12" s="568" t="str">
        <f t="shared" si="77"/>
        <v>MCL (Primary)</v>
      </c>
      <c r="AB12" s="122">
        <f t="shared" si="15"/>
        <v>10</v>
      </c>
      <c r="AC12" s="121" t="str">
        <f>IF(VLOOKUP($A12, Table_IP_4, MATCH("2-mcl", heading_IP_4, 0), FALSE)=0, "-", VLOOKUP($A12, Table_IP_4, MATCH("2-mcl", heading_IP_4, 0), FALSE))</f>
        <v>--</v>
      </c>
      <c r="AD12" s="121">
        <f t="shared" si="17"/>
        <v>4.0000000000000001E-3</v>
      </c>
      <c r="AE12" s="121" t="str">
        <f t="shared" si="18"/>
        <v>Cancer</v>
      </c>
      <c r="AF12" s="121" t="str">
        <f t="shared" si="19"/>
        <v>--</v>
      </c>
      <c r="AG12" s="121" t="str">
        <f t="shared" si="20"/>
        <v>--</v>
      </c>
      <c r="AH12" s="119" t="str">
        <f t="shared" si="21"/>
        <v>NV</v>
      </c>
      <c r="AI12" s="119" t="str">
        <f t="shared" si="22"/>
        <v>I</v>
      </c>
      <c r="AJ12" s="120" t="str">
        <f t="shared" si="23"/>
        <v>--</v>
      </c>
      <c r="AK12" s="129">
        <f t="shared" si="78"/>
        <v>1</v>
      </c>
      <c r="AL12" s="119">
        <f t="shared" si="25"/>
        <v>3.32913443626E-3</v>
      </c>
      <c r="AM12" s="119">
        <f t="shared" si="26"/>
        <v>0.27631976420125998</v>
      </c>
      <c r="AN12" s="119">
        <f t="shared" si="27"/>
        <v>0.66316743408303003</v>
      </c>
      <c r="AO12" s="119">
        <f t="shared" si="28"/>
        <v>1E-3</v>
      </c>
      <c r="AP12" s="119" t="str">
        <f t="shared" si="29"/>
        <v>Yes</v>
      </c>
      <c r="AQ12" s="119">
        <f t="shared" si="79"/>
        <v>32</v>
      </c>
      <c r="AR12" s="119">
        <f t="shared" si="80"/>
        <v>4.3E-3</v>
      </c>
      <c r="AS12" s="119">
        <f t="shared" si="81"/>
        <v>3.4999999999999999E-6</v>
      </c>
      <c r="AT12" s="119">
        <f t="shared" si="82"/>
        <v>1.4999999999999999E-2</v>
      </c>
      <c r="AU12" s="119">
        <f t="shared" si="83"/>
        <v>1</v>
      </c>
      <c r="AV12" s="119">
        <f t="shared" si="35"/>
        <v>3.0583858426062477E-7</v>
      </c>
      <c r="AW12" s="555">
        <f t="shared" si="84"/>
        <v>9.7469877802147721E-8</v>
      </c>
      <c r="AX12" s="124">
        <f t="shared" si="37"/>
        <v>8.601728201099763E-6</v>
      </c>
    </row>
    <row r="13" spans="1:118" ht="13.5" customHeight="1">
      <c r="A13" s="153" t="s">
        <v>91</v>
      </c>
      <c r="B13" s="185" t="s">
        <v>92</v>
      </c>
      <c r="C13" s="566">
        <f t="shared" si="38"/>
        <v>1000</v>
      </c>
      <c r="D13" s="586" t="str">
        <f t="shared" si="39"/>
        <v>MCL (Primary)</v>
      </c>
      <c r="E13" s="182" t="str">
        <f t="shared" si="62"/>
        <v>--</v>
      </c>
      <c r="F13" s="609" t="str">
        <f t="shared" si="63"/>
        <v>--</v>
      </c>
      <c r="G13" s="182">
        <f t="shared" si="85"/>
        <v>2000</v>
      </c>
      <c r="H13" s="183" t="str">
        <f t="shared" si="64"/>
        <v>OEHHA PHG</v>
      </c>
      <c r="I13" s="188" t="str">
        <f t="shared" si="65"/>
        <v>--</v>
      </c>
      <c r="J13" s="157" t="str">
        <f t="shared" si="66"/>
        <v>--</v>
      </c>
      <c r="K13" s="190" t="str">
        <f t="shared" si="67"/>
        <v>--</v>
      </c>
      <c r="L13" s="157" t="str">
        <f t="shared" si="68"/>
        <v>--</v>
      </c>
      <c r="M13" s="192" t="str">
        <f t="shared" si="69"/>
        <v>--</v>
      </c>
      <c r="N13" s="190" t="str">
        <f t="shared" si="70"/>
        <v>--</v>
      </c>
      <c r="O13" s="198" t="str">
        <f t="shared" si="71"/>
        <v>--</v>
      </c>
      <c r="P13" s="162">
        <f t="shared" si="9"/>
        <v>4010.9890109890111</v>
      </c>
      <c r="Q13" s="157" t="str">
        <f t="shared" si="10"/>
        <v>--</v>
      </c>
      <c r="R13" s="157">
        <f t="shared" si="72"/>
        <v>63716.505193331599</v>
      </c>
      <c r="S13" s="157" t="str">
        <f t="shared" si="12"/>
        <v>--</v>
      </c>
      <c r="T13" s="157" t="str">
        <f t="shared" si="73"/>
        <v>--</v>
      </c>
      <c r="U13" s="157">
        <f t="shared" si="74"/>
        <v>63716.505193331599</v>
      </c>
      <c r="V13" s="200">
        <f t="shared" si="75"/>
        <v>3773.4483632021588</v>
      </c>
      <c r="W13" s="186" t="str">
        <f t="shared" si="51"/>
        <v>--</v>
      </c>
      <c r="X13" s="596">
        <f t="shared" si="52"/>
        <v>2000</v>
      </c>
      <c r="Y13" s="187" t="str">
        <f t="shared" si="53"/>
        <v>OEHHA PHG</v>
      </c>
      <c r="Z13" s="567">
        <f t="shared" si="76"/>
        <v>1000</v>
      </c>
      <c r="AA13" s="568" t="str">
        <f t="shared" si="77"/>
        <v>MCL (Primary)</v>
      </c>
      <c r="AB13" s="122">
        <f t="shared" si="15"/>
        <v>1000</v>
      </c>
      <c r="AC13" s="121" t="str">
        <f t="shared" si="16"/>
        <v>--</v>
      </c>
      <c r="AD13" s="121">
        <f t="shared" si="17"/>
        <v>2000</v>
      </c>
      <c r="AE13" s="121" t="str">
        <f t="shared" si="18"/>
        <v>Noncancer</v>
      </c>
      <c r="AF13" s="121" t="str">
        <f t="shared" si="19"/>
        <v>--</v>
      </c>
      <c r="AG13" s="121" t="str">
        <f t="shared" si="20"/>
        <v>--</v>
      </c>
      <c r="AH13" s="119" t="str">
        <f t="shared" si="21"/>
        <v>NV</v>
      </c>
      <c r="AI13" s="119" t="str">
        <f t="shared" si="22"/>
        <v>I</v>
      </c>
      <c r="AJ13" s="120" t="str">
        <f t="shared" si="23"/>
        <v>--</v>
      </c>
      <c r="AK13" s="129">
        <f t="shared" si="78"/>
        <v>1</v>
      </c>
      <c r="AL13" s="119">
        <f t="shared" si="25"/>
        <v>4.5072262820299996E-3</v>
      </c>
      <c r="AM13" s="119">
        <f t="shared" si="26"/>
        <v>0.61786948865683999</v>
      </c>
      <c r="AN13" s="119">
        <f t="shared" si="27"/>
        <v>1.4828867727764099</v>
      </c>
      <c r="AO13" s="119">
        <f t="shared" si="28"/>
        <v>1E-3</v>
      </c>
      <c r="AP13" s="119" t="str">
        <f t="shared" si="29"/>
        <v>Yes</v>
      </c>
      <c r="AQ13" s="119" t="str">
        <f t="shared" si="79"/>
        <v>--</v>
      </c>
      <c r="AR13" s="119" t="str">
        <f t="shared" si="80"/>
        <v>--</v>
      </c>
      <c r="AS13" s="119">
        <f t="shared" si="81"/>
        <v>0.2</v>
      </c>
      <c r="AT13" s="119">
        <f t="shared" si="82"/>
        <v>0.5</v>
      </c>
      <c r="AU13" s="119">
        <f t="shared" si="83"/>
        <v>7.0000000000000007E-2</v>
      </c>
      <c r="AV13" s="119" t="str">
        <f t="shared" si="35"/>
        <v>--</v>
      </c>
      <c r="AW13" s="555" t="str">
        <f t="shared" si="84"/>
        <v>--</v>
      </c>
      <c r="AX13" s="124">
        <f t="shared" si="37"/>
        <v>3.4406912804399066E-2</v>
      </c>
    </row>
    <row r="14" spans="1:118" ht="13.5" customHeight="1">
      <c r="A14" s="153" t="s">
        <v>93</v>
      </c>
      <c r="B14" s="185" t="s">
        <v>94</v>
      </c>
      <c r="C14" s="566">
        <f t="shared" si="38"/>
        <v>1</v>
      </c>
      <c r="D14" s="586" t="str">
        <f t="shared" si="39"/>
        <v>MCL (Primary)</v>
      </c>
      <c r="E14" s="182">
        <f t="shared" si="62"/>
        <v>0.15</v>
      </c>
      <c r="F14" s="609" t="str">
        <f t="shared" si="63"/>
        <v>OEHHA PHG</v>
      </c>
      <c r="G14" s="182">
        <f t="shared" si="85"/>
        <v>5.7492741399940606</v>
      </c>
      <c r="H14" s="183" t="str">
        <f t="shared" si="64"/>
        <v>Tapwater</v>
      </c>
      <c r="I14" s="188">
        <f t="shared" si="65"/>
        <v>0.77908217716115258</v>
      </c>
      <c r="J14" s="157">
        <f t="shared" si="66"/>
        <v>0.19363395225464189</v>
      </c>
      <c r="K14" s="190" t="str">
        <f t="shared" si="67"/>
        <v>--</v>
      </c>
      <c r="L14" s="157">
        <f t="shared" si="68"/>
        <v>5.407448088776694</v>
      </c>
      <c r="M14" s="192" t="str">
        <f t="shared" si="69"/>
        <v>--</v>
      </c>
      <c r="N14" s="190">
        <f t="shared" si="70"/>
        <v>5.407448088776694</v>
      </c>
      <c r="O14" s="198">
        <f t="shared" si="71"/>
        <v>0.15076417867020536</v>
      </c>
      <c r="P14" s="162">
        <f t="shared" si="9"/>
        <v>80.219780219780219</v>
      </c>
      <c r="Q14" s="157">
        <f t="shared" si="10"/>
        <v>6.2571428571428571</v>
      </c>
      <c r="R14" s="157" t="str">
        <f t="shared" si="72"/>
        <v>--</v>
      </c>
      <c r="S14" s="157">
        <f t="shared" si="12"/>
        <v>605.36520467909293</v>
      </c>
      <c r="T14" s="157" t="str">
        <f t="shared" si="73"/>
        <v>--</v>
      </c>
      <c r="U14" s="157">
        <f t="shared" si="74"/>
        <v>605.36520467909293</v>
      </c>
      <c r="V14" s="200">
        <f t="shared" si="75"/>
        <v>5.7492741399940606</v>
      </c>
      <c r="W14" s="186">
        <f t="shared" si="51"/>
        <v>0.15</v>
      </c>
      <c r="X14" s="596" t="str">
        <f t="shared" si="52"/>
        <v>--</v>
      </c>
      <c r="Y14" s="187" t="str">
        <f t="shared" si="53"/>
        <v>OEHHA PHG</v>
      </c>
      <c r="Z14" s="567">
        <f t="shared" si="76"/>
        <v>1</v>
      </c>
      <c r="AA14" s="568" t="str">
        <f t="shared" si="77"/>
        <v>MCL (Primary)</v>
      </c>
      <c r="AB14" s="122">
        <f t="shared" si="15"/>
        <v>1</v>
      </c>
      <c r="AC14" s="121" t="str">
        <f t="shared" si="16"/>
        <v>--</v>
      </c>
      <c r="AD14" s="121">
        <f t="shared" si="17"/>
        <v>0.15</v>
      </c>
      <c r="AE14" s="121" t="str">
        <f t="shared" si="18"/>
        <v>Cancer</v>
      </c>
      <c r="AF14" s="121" t="str">
        <f t="shared" si="19"/>
        <v>--</v>
      </c>
      <c r="AG14" s="121" t="str">
        <f t="shared" si="20"/>
        <v>--</v>
      </c>
      <c r="AH14" s="119" t="str">
        <f t="shared" si="21"/>
        <v>V</v>
      </c>
      <c r="AI14" s="119" t="str">
        <f t="shared" si="22"/>
        <v>O</v>
      </c>
      <c r="AJ14" s="120" t="str">
        <f t="shared" si="23"/>
        <v>--</v>
      </c>
      <c r="AK14" s="129">
        <f t="shared" si="78"/>
        <v>1</v>
      </c>
      <c r="AL14" s="119">
        <f t="shared" si="25"/>
        <v>5.065008038978E-2</v>
      </c>
      <c r="AM14" s="119">
        <f t="shared" si="26"/>
        <v>0.28793386679265998</v>
      </c>
      <c r="AN14" s="119">
        <f t="shared" si="27"/>
        <v>0.69104128030237</v>
      </c>
      <c r="AO14" s="119">
        <f t="shared" si="28"/>
        <v>1.49E-2</v>
      </c>
      <c r="AP14" s="119" t="str">
        <f t="shared" si="29"/>
        <v>Yes</v>
      </c>
      <c r="AQ14" s="119">
        <f t="shared" si="79"/>
        <v>0.1</v>
      </c>
      <c r="AR14" s="119">
        <f t="shared" si="80"/>
        <v>2.9E-5</v>
      </c>
      <c r="AS14" s="119">
        <f t="shared" si="81"/>
        <v>4.0000000000000001E-3</v>
      </c>
      <c r="AT14" s="119">
        <f t="shared" si="82"/>
        <v>3</v>
      </c>
      <c r="AU14" s="119">
        <f t="shared" si="83"/>
        <v>1</v>
      </c>
      <c r="AV14" s="119">
        <f t="shared" si="35"/>
        <v>9.7868346963399925E-5</v>
      </c>
      <c r="AW14" s="555">
        <f t="shared" si="84"/>
        <v>3.1190360896687268E-5</v>
      </c>
      <c r="AX14" s="124">
        <f t="shared" si="37"/>
        <v>9.8305465155425886E-3</v>
      </c>
    </row>
    <row r="15" spans="1:118" ht="13.5" customHeight="1">
      <c r="A15" s="153" t="s">
        <v>95</v>
      </c>
      <c r="B15" s="185" t="s">
        <v>96</v>
      </c>
      <c r="C15" s="566">
        <f t="shared" si="38"/>
        <v>4</v>
      </c>
      <c r="D15" s="586" t="str">
        <f t="shared" si="39"/>
        <v>MCL (Primary)</v>
      </c>
      <c r="E15" s="182" t="str">
        <f t="shared" si="62"/>
        <v>--</v>
      </c>
      <c r="F15" s="609" t="str">
        <f t="shared" si="63"/>
        <v>--</v>
      </c>
      <c r="G15" s="182">
        <f t="shared" si="85"/>
        <v>1</v>
      </c>
      <c r="H15" s="183" t="str">
        <f t="shared" si="64"/>
        <v>OEHHA PHG</v>
      </c>
      <c r="I15" s="188" t="str">
        <f t="shared" si="65"/>
        <v>--</v>
      </c>
      <c r="J15" s="157" t="str">
        <f t="shared" si="66"/>
        <v>--</v>
      </c>
      <c r="K15" s="190" t="str">
        <f t="shared" si="67"/>
        <v>--</v>
      </c>
      <c r="L15" s="157" t="str">
        <f t="shared" si="68"/>
        <v>--</v>
      </c>
      <c r="M15" s="192" t="str">
        <f t="shared" si="69"/>
        <v>--</v>
      </c>
      <c r="N15" s="190" t="str">
        <f t="shared" si="70"/>
        <v>--</v>
      </c>
      <c r="O15" s="198" t="str">
        <f t="shared" si="71"/>
        <v>--</v>
      </c>
      <c r="P15" s="162">
        <f t="shared" si="9"/>
        <v>4.0109890109890109</v>
      </c>
      <c r="Q15" s="157" t="str">
        <f t="shared" si="10"/>
        <v>--</v>
      </c>
      <c r="R15" s="157">
        <f t="shared" si="72"/>
        <v>6.3716505193331585</v>
      </c>
      <c r="S15" s="157" t="str">
        <f t="shared" si="12"/>
        <v>--</v>
      </c>
      <c r="T15" s="157" t="str">
        <f t="shared" si="73"/>
        <v>--</v>
      </c>
      <c r="U15" s="157">
        <f t="shared" si="74"/>
        <v>6.3716505193331585</v>
      </c>
      <c r="V15" s="200">
        <f t="shared" si="75"/>
        <v>2.4614762113497655</v>
      </c>
      <c r="W15" s="186" t="str">
        <f t="shared" si="51"/>
        <v>--</v>
      </c>
      <c r="X15" s="596">
        <f t="shared" si="52"/>
        <v>1</v>
      </c>
      <c r="Y15" s="187" t="str">
        <f t="shared" si="53"/>
        <v>OEHHA PHG</v>
      </c>
      <c r="Z15" s="567">
        <f t="shared" si="76"/>
        <v>4</v>
      </c>
      <c r="AA15" s="568" t="str">
        <f t="shared" si="77"/>
        <v>MCL (Primary)</v>
      </c>
      <c r="AB15" s="122">
        <f t="shared" si="15"/>
        <v>4</v>
      </c>
      <c r="AC15" s="121" t="str">
        <f t="shared" si="16"/>
        <v>--</v>
      </c>
      <c r="AD15" s="121">
        <f t="shared" si="17"/>
        <v>1</v>
      </c>
      <c r="AE15" s="121" t="str">
        <f t="shared" si="18"/>
        <v>Noncancer</v>
      </c>
      <c r="AF15" s="121" t="str">
        <f t="shared" si="19"/>
        <v>--</v>
      </c>
      <c r="AG15" s="121" t="str">
        <f t="shared" si="20"/>
        <v>--</v>
      </c>
      <c r="AH15" s="119" t="str">
        <f t="shared" si="21"/>
        <v>NV</v>
      </c>
      <c r="AI15" s="119" t="str">
        <f t="shared" si="22"/>
        <v>I</v>
      </c>
      <c r="AJ15" s="120" t="str">
        <f t="shared" si="23"/>
        <v>--</v>
      </c>
      <c r="AK15" s="129">
        <f t="shared" si="78"/>
        <v>1</v>
      </c>
      <c r="AL15" s="119">
        <f t="shared" si="25"/>
        <v>1.1544870015200001E-3</v>
      </c>
      <c r="AM15" s="119">
        <f t="shared" si="26"/>
        <v>0.11811491713783</v>
      </c>
      <c r="AN15" s="119">
        <f t="shared" si="27"/>
        <v>0.28347580113079002</v>
      </c>
      <c r="AO15" s="119">
        <f t="shared" si="28"/>
        <v>1E-3</v>
      </c>
      <c r="AP15" s="119" t="str">
        <f t="shared" si="29"/>
        <v>Yes</v>
      </c>
      <c r="AQ15" s="119" t="str">
        <f t="shared" si="79"/>
        <v>--</v>
      </c>
      <c r="AR15" s="119">
        <f t="shared" si="80"/>
        <v>2.3999999999999998E-3</v>
      </c>
      <c r="AS15" s="119">
        <f t="shared" si="81"/>
        <v>2.0000000000000001E-4</v>
      </c>
      <c r="AT15" s="119">
        <f t="shared" si="82"/>
        <v>7.0000000000000001E-3</v>
      </c>
      <c r="AU15" s="119">
        <f t="shared" si="83"/>
        <v>7.0000000000000001E-3</v>
      </c>
      <c r="AV15" s="119" t="str">
        <f t="shared" si="35"/>
        <v>--</v>
      </c>
      <c r="AW15" s="555" t="str">
        <f t="shared" si="84"/>
        <v>--</v>
      </c>
      <c r="AX15" s="124">
        <f t="shared" si="37"/>
        <v>3.4406912804399058E-6</v>
      </c>
    </row>
    <row r="16" spans="1:118" ht="13.5" customHeight="1">
      <c r="A16" s="153" t="s">
        <v>97</v>
      </c>
      <c r="B16" s="185" t="s">
        <v>98</v>
      </c>
      <c r="C16" s="566" t="str">
        <f t="shared" si="38"/>
        <v>--</v>
      </c>
      <c r="D16" s="586" t="str">
        <f t="shared" si="39"/>
        <v>--</v>
      </c>
      <c r="E16" s="182">
        <f t="shared" si="62"/>
        <v>3.9121541266834634</v>
      </c>
      <c r="F16" s="609" t="str">
        <f t="shared" si="63"/>
        <v>Tapwater</v>
      </c>
      <c r="G16" s="182">
        <f t="shared" si="85"/>
        <v>0.83412125317780383</v>
      </c>
      <c r="H16" s="183" t="str">
        <f t="shared" si="64"/>
        <v>Tapwater</v>
      </c>
      <c r="I16" s="188">
        <f t="shared" si="65"/>
        <v>9.7385272145144075</v>
      </c>
      <c r="J16" s="157" t="str">
        <f t="shared" si="66"/>
        <v>--</v>
      </c>
      <c r="K16" s="190" t="str">
        <f t="shared" si="67"/>
        <v>--</v>
      </c>
      <c r="L16" s="157">
        <f t="shared" si="68"/>
        <v>6.5389941316417142</v>
      </c>
      <c r="M16" s="192" t="str">
        <f t="shared" si="69"/>
        <v>--</v>
      </c>
      <c r="N16" s="190">
        <f t="shared" si="70"/>
        <v>6.5389941316417142</v>
      </c>
      <c r="O16" s="198">
        <f t="shared" si="71"/>
        <v>3.9121541266834634</v>
      </c>
      <c r="P16" s="162">
        <f t="shared" si="9"/>
        <v>10027.472527472528</v>
      </c>
      <c r="Q16" s="157">
        <f t="shared" si="10"/>
        <v>0.8342857142857143</v>
      </c>
      <c r="R16" s="157" t="str">
        <f t="shared" si="72"/>
        <v>--</v>
      </c>
      <c r="S16" s="157">
        <f t="shared" si="12"/>
        <v>7320.4207528364577</v>
      </c>
      <c r="T16" s="157" t="str">
        <f t="shared" si="73"/>
        <v>--</v>
      </c>
      <c r="U16" s="157">
        <f t="shared" si="74"/>
        <v>7320.4207528364577</v>
      </c>
      <c r="V16" s="200">
        <f t="shared" si="75"/>
        <v>0.83412125317780383</v>
      </c>
      <c r="W16" s="186" t="str">
        <f t="shared" si="51"/>
        <v>--</v>
      </c>
      <c r="X16" s="596" t="str">
        <f t="shared" si="52"/>
        <v>--</v>
      </c>
      <c r="Y16" s="187" t="str">
        <f t="shared" si="53"/>
        <v>--</v>
      </c>
      <c r="Z16" s="567" t="str">
        <f t="shared" si="76"/>
        <v>--</v>
      </c>
      <c r="AA16" s="568" t="str">
        <f t="shared" si="77"/>
        <v>--</v>
      </c>
      <c r="AB16" s="122" t="str">
        <f t="shared" si="15"/>
        <v>--</v>
      </c>
      <c r="AC16" s="121" t="str">
        <f t="shared" si="16"/>
        <v>--</v>
      </c>
      <c r="AD16" s="121" t="str">
        <f t="shared" si="17"/>
        <v>--</v>
      </c>
      <c r="AE16" s="121" t="str">
        <f t="shared" si="18"/>
        <v>--</v>
      </c>
      <c r="AF16" s="121" t="str">
        <f t="shared" si="19"/>
        <v>--</v>
      </c>
      <c r="AG16" s="121" t="str">
        <f t="shared" si="20"/>
        <v>--</v>
      </c>
      <c r="AH16" s="119" t="str">
        <f t="shared" si="21"/>
        <v>V</v>
      </c>
      <c r="AI16" s="119" t="str">
        <f t="shared" si="22"/>
        <v>O</v>
      </c>
      <c r="AJ16" s="120" t="str">
        <f t="shared" si="23"/>
        <v>--</v>
      </c>
      <c r="AK16" s="129">
        <f t="shared" si="78"/>
        <v>1</v>
      </c>
      <c r="AL16" s="119">
        <f t="shared" si="25"/>
        <v>0.45039609177062001</v>
      </c>
      <c r="AM16" s="119">
        <f t="shared" si="26"/>
        <v>0.76811235300464997</v>
      </c>
      <c r="AN16" s="119">
        <f t="shared" si="27"/>
        <v>1.84346964721115</v>
      </c>
      <c r="AO16" s="119">
        <f t="shared" si="28"/>
        <v>9.4299999999999995E-2</v>
      </c>
      <c r="AP16" s="119" t="str">
        <f t="shared" si="29"/>
        <v>Yes</v>
      </c>
      <c r="AQ16" s="119">
        <f t="shared" si="79"/>
        <v>8.0000000000000002E-3</v>
      </c>
      <c r="AR16" s="119" t="str">
        <f t="shared" si="80"/>
        <v>--</v>
      </c>
      <c r="AS16" s="119">
        <f t="shared" si="81"/>
        <v>0.5</v>
      </c>
      <c r="AT16" s="119">
        <f t="shared" si="82"/>
        <v>0.4</v>
      </c>
      <c r="AU16" s="119">
        <f t="shared" si="83"/>
        <v>1</v>
      </c>
      <c r="AV16" s="119">
        <f t="shared" si="35"/>
        <v>1.223354337042499E-3</v>
      </c>
      <c r="AW16" s="555">
        <f t="shared" si="84"/>
        <v>3.8987951120859085E-4</v>
      </c>
      <c r="AX16" s="124">
        <f t="shared" si="37"/>
        <v>1.2288183144428235</v>
      </c>
    </row>
    <row r="17" spans="1:118" ht="13.5" customHeight="1">
      <c r="A17" s="153" t="s">
        <v>99</v>
      </c>
      <c r="B17" s="185" t="s">
        <v>100</v>
      </c>
      <c r="C17" s="566" t="str">
        <f t="shared" si="38"/>
        <v>--</v>
      </c>
      <c r="D17" s="586" t="str">
        <f t="shared" si="39"/>
        <v>--</v>
      </c>
      <c r="E17" s="182">
        <f t="shared" si="62"/>
        <v>6.2748389659023776E-3</v>
      </c>
      <c r="F17" s="609" t="str">
        <f t="shared" si="63"/>
        <v>Tapwater</v>
      </c>
      <c r="G17" s="182" t="str">
        <f t="shared" si="85"/>
        <v>--</v>
      </c>
      <c r="H17" s="183" t="str">
        <f t="shared" si="64"/>
        <v>--</v>
      </c>
      <c r="I17" s="188">
        <f t="shared" si="65"/>
        <v>3.1163287086446105E-2</v>
      </c>
      <c r="J17" s="157">
        <f t="shared" si="66"/>
        <v>7.9089924160346686E-3</v>
      </c>
      <c r="K17" s="190" t="str">
        <f t="shared" si="67"/>
        <v>--</v>
      </c>
      <c r="L17" s="157">
        <f t="shared" si="68"/>
        <v>1.1915509475531598</v>
      </c>
      <c r="M17" s="192" t="str">
        <f t="shared" si="69"/>
        <v>--</v>
      </c>
      <c r="N17" s="190">
        <f t="shared" si="70"/>
        <v>1.1915509475531598</v>
      </c>
      <c r="O17" s="198">
        <f t="shared" si="71"/>
        <v>6.2748389659023776E-3</v>
      </c>
      <c r="P17" s="162" t="str">
        <f t="shared" si="9"/>
        <v>--</v>
      </c>
      <c r="Q17" s="157" t="str">
        <f t="shared" si="10"/>
        <v>--</v>
      </c>
      <c r="R17" s="157" t="str">
        <f t="shared" si="72"/>
        <v>--</v>
      </c>
      <c r="S17" s="157" t="str">
        <f t="shared" si="12"/>
        <v>--</v>
      </c>
      <c r="T17" s="157" t="str">
        <f t="shared" si="73"/>
        <v>--</v>
      </c>
      <c r="U17" s="157" t="str">
        <f t="shared" si="74"/>
        <v>--</v>
      </c>
      <c r="V17" s="200" t="str">
        <f t="shared" si="75"/>
        <v>--</v>
      </c>
      <c r="W17" s="186" t="str">
        <f t="shared" si="51"/>
        <v>--</v>
      </c>
      <c r="X17" s="596" t="str">
        <f t="shared" si="52"/>
        <v>--</v>
      </c>
      <c r="Y17" s="187" t="str">
        <f t="shared" si="53"/>
        <v>--</v>
      </c>
      <c r="Z17" s="567" t="str">
        <f t="shared" si="76"/>
        <v>--</v>
      </c>
      <c r="AA17" s="568" t="str">
        <f t="shared" si="77"/>
        <v>--</v>
      </c>
      <c r="AB17" s="122" t="str">
        <f t="shared" si="15"/>
        <v>--</v>
      </c>
      <c r="AC17" s="121" t="str">
        <f t="shared" si="16"/>
        <v>--</v>
      </c>
      <c r="AD17" s="121" t="str">
        <f t="shared" si="17"/>
        <v>--</v>
      </c>
      <c r="AE17" s="121" t="str">
        <f t="shared" si="18"/>
        <v>--</v>
      </c>
      <c r="AF17" s="121" t="str">
        <f t="shared" si="19"/>
        <v>--</v>
      </c>
      <c r="AG17" s="121" t="str">
        <f t="shared" si="20"/>
        <v>--</v>
      </c>
      <c r="AH17" s="119" t="str">
        <f t="shared" si="21"/>
        <v>V</v>
      </c>
      <c r="AI17" s="119" t="str">
        <f t="shared" si="22"/>
        <v>O</v>
      </c>
      <c r="AJ17" s="120" t="str">
        <f t="shared" si="23"/>
        <v>--</v>
      </c>
      <c r="AK17" s="129">
        <f t="shared" si="78"/>
        <v>1</v>
      </c>
      <c r="AL17" s="119">
        <f t="shared" si="25"/>
        <v>8.1870955250399995E-3</v>
      </c>
      <c r="AM17" s="119">
        <f t="shared" si="26"/>
        <v>0.66482103118018998</v>
      </c>
      <c r="AN17" s="119">
        <f t="shared" si="27"/>
        <v>1.59557047483245</v>
      </c>
      <c r="AO17" s="119">
        <f t="shared" si="28"/>
        <v>1.7799999999999999E-3</v>
      </c>
      <c r="AP17" s="119" t="str">
        <f t="shared" si="29"/>
        <v>Yes</v>
      </c>
      <c r="AQ17" s="119">
        <f t="shared" si="79"/>
        <v>2.5</v>
      </c>
      <c r="AR17" s="119">
        <f t="shared" si="80"/>
        <v>7.1000000000000002E-4</v>
      </c>
      <c r="AS17" s="119" t="str">
        <f t="shared" si="81"/>
        <v>--</v>
      </c>
      <c r="AT17" s="119" t="str">
        <f t="shared" si="82"/>
        <v>--</v>
      </c>
      <c r="AU17" s="119">
        <f t="shared" si="83"/>
        <v>1</v>
      </c>
      <c r="AV17" s="119">
        <f t="shared" si="35"/>
        <v>3.9147338785359968E-6</v>
      </c>
      <c r="AW17" s="555">
        <f t="shared" si="84"/>
        <v>1.2476144358674908E-6</v>
      </c>
      <c r="AX17" s="124" t="str">
        <f t="shared" si="37"/>
        <v>--</v>
      </c>
    </row>
    <row r="18" spans="1:118" ht="12.75" customHeight="1">
      <c r="A18" s="153" t="s">
        <v>101</v>
      </c>
      <c r="B18" s="185" t="s">
        <v>102</v>
      </c>
      <c r="C18" s="566" t="str">
        <f t="shared" si="38"/>
        <v>--</v>
      </c>
      <c r="D18" s="586" t="str">
        <f t="shared" si="39"/>
        <v>--</v>
      </c>
      <c r="E18" s="182" t="str">
        <f t="shared" si="62"/>
        <v>--</v>
      </c>
      <c r="F18" s="609" t="str">
        <f t="shared" si="63"/>
        <v>--</v>
      </c>
      <c r="G18" s="182">
        <f t="shared" si="85"/>
        <v>713.87600680014839</v>
      </c>
      <c r="H18" s="183" t="str">
        <f t="shared" si="64"/>
        <v>Tapwater</v>
      </c>
      <c r="I18" s="188" t="str">
        <f t="shared" si="65"/>
        <v>--</v>
      </c>
      <c r="J18" s="157" t="str">
        <f t="shared" si="66"/>
        <v>--</v>
      </c>
      <c r="K18" s="190" t="str">
        <f t="shared" si="67"/>
        <v>--</v>
      </c>
      <c r="L18" s="157" t="str">
        <f t="shared" si="68"/>
        <v>--</v>
      </c>
      <c r="M18" s="192" t="str">
        <f t="shared" si="69"/>
        <v>--</v>
      </c>
      <c r="N18" s="190" t="str">
        <f t="shared" si="70"/>
        <v>--</v>
      </c>
      <c r="O18" s="198" t="str">
        <f t="shared" si="71"/>
        <v>--</v>
      </c>
      <c r="P18" s="162">
        <f t="shared" si="9"/>
        <v>802.19780219780216</v>
      </c>
      <c r="Q18" s="157" t="str">
        <f t="shared" si="10"/>
        <v>--</v>
      </c>
      <c r="R18" s="157" t="str">
        <f t="shared" si="72"/>
        <v>--</v>
      </c>
      <c r="S18" s="157">
        <f t="shared" si="12"/>
        <v>6483.9008437099164</v>
      </c>
      <c r="T18" s="157" t="str">
        <f t="shared" si="73"/>
        <v>--</v>
      </c>
      <c r="U18" s="157">
        <f t="shared" si="74"/>
        <v>6483.9008437099164</v>
      </c>
      <c r="V18" s="200">
        <f t="shared" si="75"/>
        <v>713.87600680014839</v>
      </c>
      <c r="W18" s="186" t="str">
        <f t="shared" si="51"/>
        <v>--</v>
      </c>
      <c r="X18" s="596" t="str">
        <f t="shared" si="52"/>
        <v>--</v>
      </c>
      <c r="Y18" s="187" t="str">
        <f t="shared" si="53"/>
        <v>--</v>
      </c>
      <c r="Z18" s="567" t="str">
        <f t="shared" si="76"/>
        <v>--</v>
      </c>
      <c r="AA18" s="568" t="str">
        <f t="shared" si="77"/>
        <v>--</v>
      </c>
      <c r="AB18" s="122" t="str">
        <f t="shared" si="15"/>
        <v>--</v>
      </c>
      <c r="AC18" s="121" t="str">
        <f t="shared" si="16"/>
        <v>--</v>
      </c>
      <c r="AD18" s="121" t="str">
        <f t="shared" si="17"/>
        <v>--</v>
      </c>
      <c r="AE18" s="121" t="str">
        <f t="shared" si="18"/>
        <v>--</v>
      </c>
      <c r="AF18" s="121" t="str">
        <f t="shared" si="19"/>
        <v>--</v>
      </c>
      <c r="AG18" s="121" t="str">
        <f t="shared" si="20"/>
        <v>--</v>
      </c>
      <c r="AH18" s="119" t="str">
        <f t="shared" si="21"/>
        <v>V</v>
      </c>
      <c r="AI18" s="119" t="str">
        <f t="shared" si="22"/>
        <v>O</v>
      </c>
      <c r="AJ18" s="120" t="str">
        <f t="shared" si="23"/>
        <v>--</v>
      </c>
      <c r="AK18" s="129">
        <f t="shared" si="78"/>
        <v>1</v>
      </c>
      <c r="AL18" s="119">
        <f t="shared" si="25"/>
        <v>3.8433234724140002E-2</v>
      </c>
      <c r="AM18" s="119">
        <f t="shared" si="26"/>
        <v>0.95464246631699001</v>
      </c>
      <c r="AN18" s="119">
        <f t="shared" si="27"/>
        <v>2.29114191916076</v>
      </c>
      <c r="AO18" s="119">
        <f t="shared" si="28"/>
        <v>7.6400000000000001E-3</v>
      </c>
      <c r="AP18" s="119" t="str">
        <f t="shared" si="29"/>
        <v>Yes</v>
      </c>
      <c r="AQ18" s="119" t="str">
        <f t="shared" si="79"/>
        <v>--</v>
      </c>
      <c r="AR18" s="119" t="str">
        <f t="shared" si="80"/>
        <v>--</v>
      </c>
      <c r="AS18" s="119">
        <f t="shared" si="81"/>
        <v>0.04</v>
      </c>
      <c r="AT18" s="119" t="str">
        <f t="shared" si="82"/>
        <v>--</v>
      </c>
      <c r="AU18" s="119">
        <f t="shared" si="83"/>
        <v>1</v>
      </c>
      <c r="AV18" s="119" t="str">
        <f t="shared" si="35"/>
        <v>--</v>
      </c>
      <c r="AW18" s="555" t="str">
        <f t="shared" si="84"/>
        <v>--</v>
      </c>
      <c r="AX18" s="124">
        <f t="shared" si="37"/>
        <v>9.8305465155425875E-2</v>
      </c>
    </row>
    <row r="19" spans="1:118" ht="12.75" customHeight="1">
      <c r="A19" s="153" t="s">
        <v>103</v>
      </c>
      <c r="B19" s="185" t="s">
        <v>104</v>
      </c>
      <c r="C19" s="566">
        <f t="shared" si="38"/>
        <v>4</v>
      </c>
      <c r="D19" s="586" t="str">
        <f t="shared" si="39"/>
        <v>MCL (Primary)</v>
      </c>
      <c r="E19" s="182">
        <f t="shared" si="62"/>
        <v>5.5648726940082334</v>
      </c>
      <c r="F19" s="609" t="str">
        <f t="shared" si="63"/>
        <v>Tapwater</v>
      </c>
      <c r="G19" s="182">
        <f t="shared" si="85"/>
        <v>401.09890109890108</v>
      </c>
      <c r="H19" s="183" t="str">
        <f t="shared" si="64"/>
        <v>Tapwater</v>
      </c>
      <c r="I19" s="188">
        <f t="shared" si="65"/>
        <v>5.5648726940082334</v>
      </c>
      <c r="J19" s="157" t="str">
        <f t="shared" si="66"/>
        <v>--</v>
      </c>
      <c r="K19" s="190" t="str">
        <f t="shared" si="67"/>
        <v>--</v>
      </c>
      <c r="L19" s="157" t="str">
        <f t="shared" si="68"/>
        <v>--</v>
      </c>
      <c r="M19" s="192" t="str">
        <f t="shared" si="69"/>
        <v>--</v>
      </c>
      <c r="N19" s="190" t="str">
        <f t="shared" si="70"/>
        <v>--</v>
      </c>
      <c r="O19" s="198">
        <f t="shared" si="71"/>
        <v>5.5648726940082334</v>
      </c>
      <c r="P19" s="162">
        <f t="shared" si="9"/>
        <v>401.09890109890108</v>
      </c>
      <c r="Q19" s="157" t="str">
        <f t="shared" si="10"/>
        <v>--</v>
      </c>
      <c r="R19" s="157" t="str">
        <f t="shared" si="72"/>
        <v>--</v>
      </c>
      <c r="S19" s="157" t="str">
        <f t="shared" si="12"/>
        <v>--</v>
      </c>
      <c r="T19" s="157" t="str">
        <f t="shared" si="73"/>
        <v>--</v>
      </c>
      <c r="U19" s="157" t="str">
        <f t="shared" si="74"/>
        <v>--</v>
      </c>
      <c r="V19" s="200">
        <f t="shared" si="75"/>
        <v>401.09890109890108</v>
      </c>
      <c r="W19" s="186">
        <f t="shared" si="51"/>
        <v>12</v>
      </c>
      <c r="X19" s="596" t="str">
        <f t="shared" si="52"/>
        <v>--</v>
      </c>
      <c r="Y19" s="187" t="str">
        <f t="shared" si="53"/>
        <v>OEHHA PHG</v>
      </c>
      <c r="Z19" s="567">
        <f t="shared" si="76"/>
        <v>4</v>
      </c>
      <c r="AA19" s="568" t="str">
        <f t="shared" si="77"/>
        <v>MCL (Primary)</v>
      </c>
      <c r="AB19" s="122">
        <f t="shared" si="15"/>
        <v>4</v>
      </c>
      <c r="AC19" s="121" t="str">
        <f t="shared" si="16"/>
        <v>--</v>
      </c>
      <c r="AD19" s="121">
        <f t="shared" si="17"/>
        <v>12</v>
      </c>
      <c r="AE19" s="121" t="str">
        <f t="shared" si="18"/>
        <v>Cancer</v>
      </c>
      <c r="AF19" s="121" t="str">
        <f t="shared" si="19"/>
        <v>--</v>
      </c>
      <c r="AG19" s="121" t="str">
        <f t="shared" si="20"/>
        <v>--</v>
      </c>
      <c r="AH19" s="119" t="str">
        <f t="shared" si="21"/>
        <v>NV</v>
      </c>
      <c r="AI19" s="119" t="str">
        <f t="shared" si="22"/>
        <v>O</v>
      </c>
      <c r="AJ19" s="120" t="str">
        <f t="shared" si="23"/>
        <v>--</v>
      </c>
      <c r="AK19" s="129">
        <f t="shared" si="78"/>
        <v>0.8</v>
      </c>
      <c r="AL19" s="119">
        <f t="shared" si="25"/>
        <v>8.5892360135147108</v>
      </c>
      <c r="AM19" s="119">
        <f t="shared" si="26"/>
        <v>16.182318683408699</v>
      </c>
      <c r="AN19" s="119">
        <f t="shared" si="27"/>
        <v>72.882394847308603</v>
      </c>
      <c r="AO19" s="119">
        <f t="shared" si="28"/>
        <v>1.1299999999999999</v>
      </c>
      <c r="AP19" s="119" t="str">
        <f t="shared" si="29"/>
        <v>No</v>
      </c>
      <c r="AQ19" s="119">
        <f t="shared" si="79"/>
        <v>1.4E-2</v>
      </c>
      <c r="AR19" s="119">
        <f t="shared" si="80"/>
        <v>2.3999999999999999E-6</v>
      </c>
      <c r="AS19" s="119">
        <f t="shared" si="81"/>
        <v>0.02</v>
      </c>
      <c r="AT19" s="119" t="str">
        <f t="shared" si="82"/>
        <v>--</v>
      </c>
      <c r="AU19" s="119">
        <f t="shared" si="83"/>
        <v>1</v>
      </c>
      <c r="AV19" s="119">
        <f t="shared" si="35"/>
        <v>6.9905962116714228E-4</v>
      </c>
      <c r="AW19" s="555">
        <f t="shared" si="84"/>
        <v>2.2278829211919477E-4</v>
      </c>
      <c r="AX19" s="124">
        <f t="shared" si="37"/>
        <v>4.9152732577712938E-2</v>
      </c>
    </row>
    <row r="20" spans="1:118" ht="12.75" customHeight="1">
      <c r="A20" s="153" t="s">
        <v>105</v>
      </c>
      <c r="B20" s="185" t="s">
        <v>106</v>
      </c>
      <c r="C20" s="566" t="str">
        <f t="shared" si="38"/>
        <v>--</v>
      </c>
      <c r="D20" s="586" t="str">
        <f t="shared" si="39"/>
        <v>--</v>
      </c>
      <c r="E20" s="182" t="str">
        <f t="shared" si="62"/>
        <v>--</v>
      </c>
      <c r="F20" s="609" t="str">
        <f t="shared" si="63"/>
        <v>--</v>
      </c>
      <c r="G20" s="182">
        <f t="shared" si="85"/>
        <v>1000</v>
      </c>
      <c r="H20" s="183" t="str">
        <f t="shared" si="64"/>
        <v>DDW NL</v>
      </c>
      <c r="I20" s="188" t="str">
        <f t="shared" si="65"/>
        <v>--</v>
      </c>
      <c r="J20" s="157" t="str">
        <f t="shared" si="66"/>
        <v>--</v>
      </c>
      <c r="K20" s="190" t="str">
        <f t="shared" si="67"/>
        <v>--</v>
      </c>
      <c r="L20" s="157" t="str">
        <f t="shared" si="68"/>
        <v>--</v>
      </c>
      <c r="M20" s="192" t="str">
        <f t="shared" si="69"/>
        <v>--</v>
      </c>
      <c r="N20" s="190" t="str">
        <f t="shared" si="70"/>
        <v>--</v>
      </c>
      <c r="O20" s="198" t="str">
        <f t="shared" si="71"/>
        <v>--</v>
      </c>
      <c r="P20" s="162">
        <f t="shared" si="9"/>
        <v>4010.9890109890111</v>
      </c>
      <c r="Q20" s="157" t="str">
        <f t="shared" si="10"/>
        <v>--</v>
      </c>
      <c r="R20" s="157">
        <f t="shared" si="72"/>
        <v>910235.7884761655</v>
      </c>
      <c r="S20" s="157" t="str">
        <f t="shared" si="12"/>
        <v>--</v>
      </c>
      <c r="T20" s="157" t="str">
        <f t="shared" si="73"/>
        <v>--</v>
      </c>
      <c r="U20" s="157">
        <f t="shared" si="74"/>
        <v>910235.7884761655</v>
      </c>
      <c r="V20" s="200">
        <f t="shared" si="75"/>
        <v>3993.3919756562832</v>
      </c>
      <c r="W20" s="186" t="str">
        <f t="shared" si="51"/>
        <v>--</v>
      </c>
      <c r="X20" s="596">
        <f t="shared" si="52"/>
        <v>1000</v>
      </c>
      <c r="Y20" s="187" t="str">
        <f t="shared" si="53"/>
        <v>DDW NL</v>
      </c>
      <c r="Z20" s="567" t="str">
        <f t="shared" si="76"/>
        <v>--</v>
      </c>
      <c r="AA20" s="568" t="str">
        <f t="shared" si="77"/>
        <v>--</v>
      </c>
      <c r="AB20" s="122" t="str">
        <f t="shared" si="15"/>
        <v>--</v>
      </c>
      <c r="AC20" s="121" t="str">
        <f t="shared" si="16"/>
        <v>--</v>
      </c>
      <c r="AD20" s="121" t="str">
        <f t="shared" si="17"/>
        <v>--</v>
      </c>
      <c r="AE20" s="121" t="str">
        <f t="shared" si="18"/>
        <v>--</v>
      </c>
      <c r="AF20" s="121">
        <f t="shared" si="19"/>
        <v>1000</v>
      </c>
      <c r="AG20" s="121" t="str">
        <f t="shared" si="20"/>
        <v>Noncancer</v>
      </c>
      <c r="AH20" s="119" t="str">
        <f t="shared" si="21"/>
        <v>NV</v>
      </c>
      <c r="AI20" s="119" t="str">
        <f t="shared" si="22"/>
        <v>I</v>
      </c>
      <c r="AJ20" s="120" t="str">
        <f t="shared" si="23"/>
        <v>--</v>
      </c>
      <c r="AK20" s="129">
        <f t="shared" si="78"/>
        <v>1</v>
      </c>
      <c r="AL20" s="119">
        <f t="shared" si="25"/>
        <v>1.4308519413600001E-3</v>
      </c>
      <c r="AM20" s="119">
        <f t="shared" si="26"/>
        <v>0.12570505708895999</v>
      </c>
      <c r="AN20" s="119">
        <f t="shared" si="27"/>
        <v>0.30169213701350001</v>
      </c>
      <c r="AO20" s="119">
        <f t="shared" si="28"/>
        <v>1E-3</v>
      </c>
      <c r="AP20" s="119" t="str">
        <f t="shared" si="29"/>
        <v>Yes</v>
      </c>
      <c r="AQ20" s="119" t="str">
        <f t="shared" si="79"/>
        <v>--</v>
      </c>
      <c r="AR20" s="119" t="str">
        <f t="shared" si="80"/>
        <v>--</v>
      </c>
      <c r="AS20" s="119">
        <f t="shared" si="81"/>
        <v>0.2</v>
      </c>
      <c r="AT20" s="119">
        <f t="shared" si="82"/>
        <v>20</v>
      </c>
      <c r="AU20" s="119">
        <f t="shared" si="83"/>
        <v>1</v>
      </c>
      <c r="AV20" s="119" t="str">
        <f t="shared" si="35"/>
        <v>--</v>
      </c>
      <c r="AW20" s="555" t="str">
        <f t="shared" si="84"/>
        <v>--</v>
      </c>
      <c r="AX20" s="124">
        <f t="shared" si="37"/>
        <v>0.49152732577712938</v>
      </c>
    </row>
    <row r="21" spans="1:118" ht="12.75" customHeight="1">
      <c r="A21" s="153" t="s">
        <v>107</v>
      </c>
      <c r="B21" s="185" t="s">
        <v>108</v>
      </c>
      <c r="C21" s="566">
        <f t="shared" si="38"/>
        <v>80</v>
      </c>
      <c r="D21" s="586" t="str">
        <f t="shared" si="39"/>
        <v>MCL (Primary)</v>
      </c>
      <c r="E21" s="182">
        <f t="shared" si="62"/>
        <v>0.06</v>
      </c>
      <c r="F21" s="609" t="str">
        <f t="shared" si="63"/>
        <v>OEHHA PHG</v>
      </c>
      <c r="G21" s="182">
        <f t="shared" si="85"/>
        <v>151.05445134322525</v>
      </c>
      <c r="H21" s="183" t="str">
        <f t="shared" si="64"/>
        <v>Tapwater</v>
      </c>
      <c r="I21" s="188">
        <f t="shared" si="65"/>
        <v>1.2565841567115366</v>
      </c>
      <c r="J21" s="157">
        <f t="shared" si="66"/>
        <v>0.15176715176715178</v>
      </c>
      <c r="K21" s="190" t="str">
        <f t="shared" si="67"/>
        <v>--</v>
      </c>
      <c r="L21" s="157">
        <f t="shared" si="68"/>
        <v>18.601967649235714</v>
      </c>
      <c r="M21" s="192" t="str">
        <f t="shared" si="69"/>
        <v>--</v>
      </c>
      <c r="N21" s="190">
        <f t="shared" si="70"/>
        <v>18.601967649235714</v>
      </c>
      <c r="O21" s="198">
        <f t="shared" si="71"/>
        <v>0.13443377109728602</v>
      </c>
      <c r="P21" s="162">
        <f t="shared" si="9"/>
        <v>160.43956043956044</v>
      </c>
      <c r="Q21" s="157" t="str">
        <f t="shared" si="10"/>
        <v>--</v>
      </c>
      <c r="R21" s="157" t="str">
        <f t="shared" si="72"/>
        <v>--</v>
      </c>
      <c r="S21" s="157">
        <f t="shared" si="12"/>
        <v>2582.2938792911482</v>
      </c>
      <c r="T21" s="157" t="str">
        <f t="shared" si="73"/>
        <v>--</v>
      </c>
      <c r="U21" s="157">
        <f t="shared" si="74"/>
        <v>2582.2938792911482</v>
      </c>
      <c r="V21" s="200">
        <f t="shared" si="75"/>
        <v>151.05445134322525</v>
      </c>
      <c r="W21" s="186">
        <f t="shared" si="51"/>
        <v>0.06</v>
      </c>
      <c r="X21" s="596" t="str">
        <f t="shared" si="52"/>
        <v>--</v>
      </c>
      <c r="Y21" s="187" t="str">
        <f t="shared" si="53"/>
        <v>OEHHA PHG</v>
      </c>
      <c r="Z21" s="567">
        <f t="shared" si="76"/>
        <v>80</v>
      </c>
      <c r="AA21" s="568" t="str">
        <f t="shared" si="77"/>
        <v>MCL (Primary)</v>
      </c>
      <c r="AB21" s="122">
        <f t="shared" si="15"/>
        <v>80</v>
      </c>
      <c r="AC21" s="121" t="str">
        <f t="shared" si="16"/>
        <v>--</v>
      </c>
      <c r="AD21" s="121">
        <f t="shared" si="17"/>
        <v>0.06</v>
      </c>
      <c r="AE21" s="121" t="str">
        <f t="shared" si="18"/>
        <v>Cancer</v>
      </c>
      <c r="AF21" s="121" t="str">
        <f t="shared" si="19"/>
        <v>--</v>
      </c>
      <c r="AG21" s="121" t="str">
        <f t="shared" si="20"/>
        <v>--</v>
      </c>
      <c r="AH21" s="119" t="str">
        <f t="shared" si="21"/>
        <v>V</v>
      </c>
      <c r="AI21" s="119" t="str">
        <f t="shared" si="22"/>
        <v>O</v>
      </c>
      <c r="AJ21" s="120" t="str">
        <f t="shared" si="23"/>
        <v>--</v>
      </c>
      <c r="AK21" s="129">
        <f t="shared" si="78"/>
        <v>1</v>
      </c>
      <c r="AL21" s="119">
        <f t="shared" si="25"/>
        <v>1.9790165255210001E-2</v>
      </c>
      <c r="AM21" s="119">
        <f t="shared" si="26"/>
        <v>0.86955438523746997</v>
      </c>
      <c r="AN21" s="119">
        <f t="shared" si="27"/>
        <v>2.0869305245699201</v>
      </c>
      <c r="AO21" s="119">
        <f t="shared" si="28"/>
        <v>4.0200000000000001E-3</v>
      </c>
      <c r="AP21" s="119" t="str">
        <f t="shared" si="29"/>
        <v>Yes</v>
      </c>
      <c r="AQ21" s="119">
        <f t="shared" si="79"/>
        <v>6.2E-2</v>
      </c>
      <c r="AR21" s="119">
        <f t="shared" si="80"/>
        <v>3.6999999999999998E-5</v>
      </c>
      <c r="AS21" s="119">
        <f t="shared" si="81"/>
        <v>8.0000000000000002E-3</v>
      </c>
      <c r="AT21" s="119" t="str">
        <f t="shared" si="82"/>
        <v>--</v>
      </c>
      <c r="AU21" s="119">
        <f t="shared" si="83"/>
        <v>1</v>
      </c>
      <c r="AV21" s="119">
        <f t="shared" si="35"/>
        <v>1.5785217252161279E-4</v>
      </c>
      <c r="AW21" s="555">
        <f t="shared" si="84"/>
        <v>5.0307033704334304E-5</v>
      </c>
      <c r="AX21" s="124">
        <f t="shared" si="37"/>
        <v>1.9661093031085177E-2</v>
      </c>
    </row>
    <row r="22" spans="1:118" ht="12.75" customHeight="1">
      <c r="A22" s="153" t="s">
        <v>109</v>
      </c>
      <c r="B22" s="185" t="s">
        <v>110</v>
      </c>
      <c r="C22" s="566">
        <f t="shared" si="38"/>
        <v>80</v>
      </c>
      <c r="D22" s="586" t="str">
        <f t="shared" si="39"/>
        <v>MCL (Primary)</v>
      </c>
      <c r="E22" s="182">
        <f t="shared" si="62"/>
        <v>0.5</v>
      </c>
      <c r="F22" s="609" t="str">
        <f t="shared" si="63"/>
        <v>OEHHA PHG</v>
      </c>
      <c r="G22" s="182">
        <f t="shared" si="85"/>
        <v>376.8214429008363</v>
      </c>
      <c r="H22" s="183" t="str">
        <f t="shared" si="64"/>
        <v>Tapwater</v>
      </c>
      <c r="I22" s="188">
        <f t="shared" si="65"/>
        <v>9.8617997109006659</v>
      </c>
      <c r="J22" s="157">
        <f t="shared" si="66"/>
        <v>5.104895104895105</v>
      </c>
      <c r="K22" s="190" t="str">
        <f t="shared" si="67"/>
        <v>--</v>
      </c>
      <c r="L22" s="157">
        <f t="shared" si="68"/>
        <v>140.78671441391805</v>
      </c>
      <c r="M22" s="192" t="str">
        <f t="shared" si="69"/>
        <v>--</v>
      </c>
      <c r="N22" s="190">
        <f t="shared" si="70"/>
        <v>140.78671441391805</v>
      </c>
      <c r="O22" s="198">
        <f t="shared" si="71"/>
        <v>3.2852080601873319</v>
      </c>
      <c r="P22" s="162">
        <f t="shared" si="9"/>
        <v>401.09890109890108</v>
      </c>
      <c r="Q22" s="157" t="str">
        <f t="shared" si="10"/>
        <v>--</v>
      </c>
      <c r="R22" s="157" t="str">
        <f t="shared" si="72"/>
        <v>--</v>
      </c>
      <c r="S22" s="157">
        <f t="shared" si="12"/>
        <v>6225.6380146944448</v>
      </c>
      <c r="T22" s="157" t="str">
        <f t="shared" si="73"/>
        <v>--</v>
      </c>
      <c r="U22" s="157">
        <f t="shared" si="74"/>
        <v>6225.6380146944448</v>
      </c>
      <c r="V22" s="200">
        <f t="shared" si="75"/>
        <v>376.8214429008363</v>
      </c>
      <c r="W22" s="186">
        <f t="shared" si="51"/>
        <v>0.5</v>
      </c>
      <c r="X22" s="596" t="str">
        <f t="shared" si="52"/>
        <v>--</v>
      </c>
      <c r="Y22" s="187" t="str">
        <f t="shared" si="53"/>
        <v>OEHHA PHG</v>
      </c>
      <c r="Z22" s="567">
        <f t="shared" si="76"/>
        <v>80</v>
      </c>
      <c r="AA22" s="568" t="str">
        <f t="shared" si="77"/>
        <v>MCL (Primary)</v>
      </c>
      <c r="AB22" s="122">
        <f t="shared" si="15"/>
        <v>80</v>
      </c>
      <c r="AC22" s="121" t="str">
        <f t="shared" si="16"/>
        <v>--</v>
      </c>
      <c r="AD22" s="121">
        <f t="shared" si="17"/>
        <v>0.5</v>
      </c>
      <c r="AE22" s="121" t="str">
        <f t="shared" si="18"/>
        <v>Cancer</v>
      </c>
      <c r="AF22" s="121" t="str">
        <f t="shared" si="19"/>
        <v>--</v>
      </c>
      <c r="AG22" s="121" t="str">
        <f t="shared" si="20"/>
        <v>--</v>
      </c>
      <c r="AH22" s="119" t="str">
        <f t="shared" si="21"/>
        <v>V</v>
      </c>
      <c r="AI22" s="119" t="str">
        <f t="shared" si="22"/>
        <v>O</v>
      </c>
      <c r="AJ22" s="120" t="str">
        <f t="shared" si="23"/>
        <v>--</v>
      </c>
      <c r="AK22" s="129">
        <f t="shared" si="78"/>
        <v>1</v>
      </c>
      <c r="AL22" s="119">
        <f t="shared" si="25"/>
        <v>1.4368879839439999E-2</v>
      </c>
      <c r="AM22" s="119">
        <f t="shared" si="26"/>
        <v>2.7361301368477902</v>
      </c>
      <c r="AN22" s="119">
        <f t="shared" si="27"/>
        <v>6.5667123284346998</v>
      </c>
      <c r="AO22" s="119">
        <f t="shared" si="28"/>
        <v>2.3500000000000001E-3</v>
      </c>
      <c r="AP22" s="119" t="str">
        <f t="shared" si="29"/>
        <v>Yes</v>
      </c>
      <c r="AQ22" s="119">
        <f t="shared" si="79"/>
        <v>7.9000000000000008E-3</v>
      </c>
      <c r="AR22" s="119">
        <f t="shared" si="80"/>
        <v>1.1000000000000001E-6</v>
      </c>
      <c r="AS22" s="119">
        <f t="shared" si="81"/>
        <v>0.02</v>
      </c>
      <c r="AT22" s="119" t="str">
        <f t="shared" si="82"/>
        <v>--</v>
      </c>
      <c r="AU22" s="119">
        <f t="shared" si="83"/>
        <v>1</v>
      </c>
      <c r="AV22" s="119">
        <f t="shared" si="35"/>
        <v>1.2388398349797458E-3</v>
      </c>
      <c r="AW22" s="555">
        <f t="shared" si="84"/>
        <v>3.9481469489477552E-4</v>
      </c>
      <c r="AX22" s="124">
        <f t="shared" si="37"/>
        <v>4.9152732577712938E-2</v>
      </c>
    </row>
    <row r="23" spans="1:118" ht="12.75" customHeight="1">
      <c r="A23" s="153" t="s">
        <v>111</v>
      </c>
      <c r="B23" s="185" t="s">
        <v>112</v>
      </c>
      <c r="C23" s="566" t="str">
        <f t="shared" si="38"/>
        <v>--</v>
      </c>
      <c r="D23" s="586" t="str">
        <f t="shared" si="39"/>
        <v>--</v>
      </c>
      <c r="E23" s="182" t="str">
        <f t="shared" si="62"/>
        <v>--</v>
      </c>
      <c r="F23" s="609" t="str">
        <f t="shared" si="63"/>
        <v>--</v>
      </c>
      <c r="G23" s="182">
        <f t="shared" si="85"/>
        <v>7.5466281908805035</v>
      </c>
      <c r="H23" s="183" t="str">
        <f t="shared" si="64"/>
        <v>Tapwater</v>
      </c>
      <c r="I23" s="188" t="str">
        <f t="shared" si="65"/>
        <v>--</v>
      </c>
      <c r="J23" s="157" t="str">
        <f t="shared" si="66"/>
        <v>--</v>
      </c>
      <c r="K23" s="190" t="str">
        <f t="shared" si="67"/>
        <v>--</v>
      </c>
      <c r="L23" s="157" t="str">
        <f t="shared" si="68"/>
        <v>--</v>
      </c>
      <c r="M23" s="192" t="str">
        <f t="shared" si="69"/>
        <v>--</v>
      </c>
      <c r="N23" s="190" t="str">
        <f t="shared" si="70"/>
        <v>--</v>
      </c>
      <c r="O23" s="198" t="str">
        <f t="shared" si="71"/>
        <v>--</v>
      </c>
      <c r="P23" s="162">
        <f t="shared" si="9"/>
        <v>28.076923076923077</v>
      </c>
      <c r="Q23" s="157">
        <f t="shared" si="10"/>
        <v>10.428571428571429</v>
      </c>
      <c r="R23" s="157" t="str">
        <f t="shared" si="72"/>
        <v>--</v>
      </c>
      <c r="S23" s="157">
        <f t="shared" si="12"/>
        <v>997.34686660955583</v>
      </c>
      <c r="T23" s="157" t="str">
        <f t="shared" si="73"/>
        <v>--</v>
      </c>
      <c r="U23" s="157">
        <f t="shared" si="74"/>
        <v>997.34686660955583</v>
      </c>
      <c r="V23" s="200">
        <f t="shared" si="75"/>
        <v>7.5466281908805035</v>
      </c>
      <c r="W23" s="186" t="str">
        <f t="shared" si="51"/>
        <v>--</v>
      </c>
      <c r="X23" s="596" t="str">
        <f t="shared" si="52"/>
        <v>--</v>
      </c>
      <c r="Y23" s="187" t="str">
        <f t="shared" si="53"/>
        <v>--</v>
      </c>
      <c r="Z23" s="567" t="str">
        <f t="shared" si="76"/>
        <v>--</v>
      </c>
      <c r="AA23" s="568" t="str">
        <f t="shared" si="77"/>
        <v>--</v>
      </c>
      <c r="AB23" s="122" t="str">
        <f t="shared" si="15"/>
        <v>--</v>
      </c>
      <c r="AC23" s="121" t="str">
        <f t="shared" si="16"/>
        <v>--</v>
      </c>
      <c r="AD23" s="121" t="str">
        <f t="shared" si="17"/>
        <v>--</v>
      </c>
      <c r="AE23" s="121" t="str">
        <f t="shared" si="18"/>
        <v>--</v>
      </c>
      <c r="AF23" s="121" t="str">
        <f t="shared" si="19"/>
        <v>--</v>
      </c>
      <c r="AG23" s="121" t="str">
        <f t="shared" si="20"/>
        <v>--</v>
      </c>
      <c r="AH23" s="119" t="str">
        <f t="shared" si="21"/>
        <v>V</v>
      </c>
      <c r="AI23" s="119" t="str">
        <f t="shared" si="22"/>
        <v>O</v>
      </c>
      <c r="AJ23" s="120" t="str">
        <f t="shared" si="23"/>
        <v>--</v>
      </c>
      <c r="AK23" s="129">
        <f t="shared" si="78"/>
        <v>1</v>
      </c>
      <c r="AL23" s="119">
        <f t="shared" si="25"/>
        <v>1.0643079802969999E-2</v>
      </c>
      <c r="AM23" s="119">
        <f t="shared" si="26"/>
        <v>0.35769028904016997</v>
      </c>
      <c r="AN23" s="119">
        <f t="shared" si="27"/>
        <v>0.85845669369641997</v>
      </c>
      <c r="AO23" s="119">
        <f t="shared" si="28"/>
        <v>2.8400000000000001E-3</v>
      </c>
      <c r="AP23" s="119" t="str">
        <f t="shared" si="29"/>
        <v>Yes</v>
      </c>
      <c r="AQ23" s="119" t="str">
        <f t="shared" si="79"/>
        <v>--</v>
      </c>
      <c r="AR23" s="119" t="str">
        <f t="shared" si="80"/>
        <v>--</v>
      </c>
      <c r="AS23" s="119">
        <f t="shared" si="81"/>
        <v>1.4E-3</v>
      </c>
      <c r="AT23" s="119">
        <f t="shared" si="82"/>
        <v>5</v>
      </c>
      <c r="AU23" s="119">
        <f t="shared" si="83"/>
        <v>1</v>
      </c>
      <c r="AV23" s="119" t="str">
        <f t="shared" si="35"/>
        <v>--</v>
      </c>
      <c r="AW23" s="555" t="str">
        <f t="shared" si="84"/>
        <v>--</v>
      </c>
      <c r="AX23" s="124">
        <f t="shared" si="37"/>
        <v>3.4406912804399049E-3</v>
      </c>
    </row>
    <row r="24" spans="1:118" ht="12.75" customHeight="1">
      <c r="A24" s="153" t="s">
        <v>116</v>
      </c>
      <c r="B24" s="185" t="s">
        <v>114</v>
      </c>
      <c r="C24" s="566">
        <f t="shared" si="38"/>
        <v>5</v>
      </c>
      <c r="D24" s="586" t="str">
        <f t="shared" si="39"/>
        <v>MCL (Primary)</v>
      </c>
      <c r="E24" s="182" t="str">
        <f t="shared" si="62"/>
        <v>--</v>
      </c>
      <c r="F24" s="609" t="str">
        <f t="shared" si="63"/>
        <v>--</v>
      </c>
      <c r="G24" s="182">
        <f t="shared" si="85"/>
        <v>0.04</v>
      </c>
      <c r="H24" s="183" t="str">
        <f t="shared" si="64"/>
        <v>OEHHA PHG</v>
      </c>
      <c r="I24" s="188" t="str">
        <f t="shared" si="65"/>
        <v>--</v>
      </c>
      <c r="J24" s="157" t="str">
        <f t="shared" si="66"/>
        <v>--</v>
      </c>
      <c r="K24" s="190" t="str">
        <f t="shared" si="67"/>
        <v>--</v>
      </c>
      <c r="L24" s="157" t="str">
        <f t="shared" si="68"/>
        <v>--</v>
      </c>
      <c r="M24" s="192" t="str">
        <f t="shared" si="69"/>
        <v>--</v>
      </c>
      <c r="N24" s="190" t="str">
        <f t="shared" si="70"/>
        <v>--</v>
      </c>
      <c r="O24" s="198" t="str">
        <f t="shared" si="71"/>
        <v>--</v>
      </c>
      <c r="P24" s="162">
        <f t="shared" si="9"/>
        <v>2.0054945054945055</v>
      </c>
      <c r="Q24" s="157" t="str">
        <f t="shared" si="10"/>
        <v>--</v>
      </c>
      <c r="R24" s="157">
        <f t="shared" si="72"/>
        <v>11.377947355952072</v>
      </c>
      <c r="S24" s="157" t="str">
        <f t="shared" ref="S24:S56" si="86">IF(AP24="No", "--",IF(OR(AX24="--",AL24="--",AK24="--"),"--",IF(AND(AI24="O", ETwc &lt; AN24), (AX24*1000)/(2*AK24*AO24*SQRT((6*AM24*ETwc)/PI())), "--")))</f>
        <v>--</v>
      </c>
      <c r="T24" s="157" t="str">
        <f t="shared" si="73"/>
        <v>--</v>
      </c>
      <c r="U24" s="157">
        <f t="shared" si="74"/>
        <v>11.377947355952072</v>
      </c>
      <c r="V24" s="200">
        <f t="shared" si="75"/>
        <v>1.7049732903088384</v>
      </c>
      <c r="W24" s="186" t="str">
        <f t="shared" si="51"/>
        <v>--</v>
      </c>
      <c r="X24" s="596">
        <f t="shared" si="52"/>
        <v>0.04</v>
      </c>
      <c r="Y24" s="187" t="str">
        <f t="shared" si="53"/>
        <v>OEHHA PHG</v>
      </c>
      <c r="Z24" s="567">
        <f t="shared" si="76"/>
        <v>5</v>
      </c>
      <c r="AA24" s="568" t="str">
        <f t="shared" si="77"/>
        <v>MCL (Primary)</v>
      </c>
      <c r="AB24" s="122">
        <f t="shared" si="15"/>
        <v>5</v>
      </c>
      <c r="AC24" s="121" t="str">
        <f t="shared" si="16"/>
        <v>--</v>
      </c>
      <c r="AD24" s="121">
        <f t="shared" si="17"/>
        <v>0.04</v>
      </c>
      <c r="AE24" s="121" t="str">
        <f t="shared" si="18"/>
        <v>Noncancer</v>
      </c>
      <c r="AF24" s="121" t="str">
        <f t="shared" si="19"/>
        <v>--</v>
      </c>
      <c r="AG24" s="121" t="str">
        <f t="shared" si="20"/>
        <v>--</v>
      </c>
      <c r="AH24" s="119" t="str">
        <f t="shared" si="21"/>
        <v>NV</v>
      </c>
      <c r="AI24" s="119" t="str">
        <f t="shared" si="22"/>
        <v>I</v>
      </c>
      <c r="AJ24" s="120" t="str">
        <f t="shared" si="23"/>
        <v>--</v>
      </c>
      <c r="AK24" s="129">
        <f t="shared" si="78"/>
        <v>1</v>
      </c>
      <c r="AL24" s="119">
        <f t="shared" si="25"/>
        <v>4.0776487017499998E-3</v>
      </c>
      <c r="AM24" s="119">
        <f t="shared" si="26"/>
        <v>0.44801107455104</v>
      </c>
      <c r="AN24" s="119">
        <f t="shared" si="27"/>
        <v>1.07522657892249</v>
      </c>
      <c r="AO24" s="119">
        <f t="shared" si="28"/>
        <v>1E-3</v>
      </c>
      <c r="AP24" s="119" t="str">
        <f t="shared" si="29"/>
        <v>Yes</v>
      </c>
      <c r="AQ24" s="119" t="str">
        <f t="shared" si="79"/>
        <v>--</v>
      </c>
      <c r="AR24" s="119">
        <f t="shared" si="80"/>
        <v>4.1999999999999997E-3</v>
      </c>
      <c r="AS24" s="119">
        <f t="shared" si="81"/>
        <v>1E-4</v>
      </c>
      <c r="AT24" s="119">
        <f t="shared" si="82"/>
        <v>0.01</v>
      </c>
      <c r="AU24" s="119">
        <f t="shared" si="83"/>
        <v>2.5000000000000001E-2</v>
      </c>
      <c r="AV24" s="119" t="str">
        <f t="shared" si="35"/>
        <v>--</v>
      </c>
      <c r="AW24" s="555" t="str">
        <f t="shared" si="84"/>
        <v>--</v>
      </c>
      <c r="AX24" s="124">
        <f t="shared" si="37"/>
        <v>6.1440915722141186E-6</v>
      </c>
    </row>
    <row r="25" spans="1:118" ht="12.75" customHeight="1">
      <c r="A25" s="153" t="s">
        <v>117</v>
      </c>
      <c r="B25" s="185" t="s">
        <v>118</v>
      </c>
      <c r="C25" s="566">
        <f t="shared" si="38"/>
        <v>0.5</v>
      </c>
      <c r="D25" s="586" t="str">
        <f t="shared" si="39"/>
        <v>MCL (Primary)</v>
      </c>
      <c r="E25" s="182">
        <f t="shared" si="62"/>
        <v>0.1</v>
      </c>
      <c r="F25" s="609" t="str">
        <f t="shared" si="63"/>
        <v>OEHHA PHG</v>
      </c>
      <c r="G25" s="182">
        <f t="shared" si="85"/>
        <v>36.501424748469837</v>
      </c>
      <c r="H25" s="183" t="str">
        <f t="shared" si="64"/>
        <v>Tapwater</v>
      </c>
      <c r="I25" s="188">
        <f t="shared" si="65"/>
        <v>1.1129745388016465</v>
      </c>
      <c r="J25" s="157">
        <f t="shared" si="66"/>
        <v>0.93589743589743579</v>
      </c>
      <c r="K25" s="190" t="str">
        <f t="shared" si="67"/>
        <v>--</v>
      </c>
      <c r="L25" s="157">
        <f t="shared" si="68"/>
        <v>4.3343001503100673</v>
      </c>
      <c r="M25" s="192" t="str">
        <f t="shared" si="69"/>
        <v>--</v>
      </c>
      <c r="N25" s="190">
        <f t="shared" si="70"/>
        <v>4.3343001503100673</v>
      </c>
      <c r="O25" s="198">
        <f t="shared" si="71"/>
        <v>0.45502031864573761</v>
      </c>
      <c r="P25" s="162">
        <f t="shared" si="9"/>
        <v>80.219780219780219</v>
      </c>
      <c r="Q25" s="157">
        <f t="shared" si="10"/>
        <v>83.428571428571431</v>
      </c>
      <c r="R25" s="157" t="str">
        <f t="shared" si="72"/>
        <v>--</v>
      </c>
      <c r="S25" s="157">
        <f t="shared" si="86"/>
        <v>339.65821181996034</v>
      </c>
      <c r="T25" s="157" t="str">
        <f t="shared" si="73"/>
        <v>--</v>
      </c>
      <c r="U25" s="157">
        <f t="shared" si="74"/>
        <v>339.65821181996034</v>
      </c>
      <c r="V25" s="200">
        <f t="shared" si="75"/>
        <v>36.501424748469837</v>
      </c>
      <c r="W25" s="186">
        <f t="shared" si="51"/>
        <v>0.1</v>
      </c>
      <c r="X25" s="596" t="str">
        <f t="shared" si="52"/>
        <v>--</v>
      </c>
      <c r="Y25" s="187" t="str">
        <f t="shared" si="53"/>
        <v>OEHHA PHG</v>
      </c>
      <c r="Z25" s="567">
        <f t="shared" si="76"/>
        <v>0.5</v>
      </c>
      <c r="AA25" s="568" t="str">
        <f t="shared" si="77"/>
        <v>MCL (Primary)</v>
      </c>
      <c r="AB25" s="122">
        <f t="shared" si="15"/>
        <v>0.5</v>
      </c>
      <c r="AC25" s="121" t="str">
        <f t="shared" si="16"/>
        <v>--</v>
      </c>
      <c r="AD25" s="121">
        <f t="shared" si="17"/>
        <v>0.1</v>
      </c>
      <c r="AE25" s="121" t="str">
        <f t="shared" si="18"/>
        <v>Cancer</v>
      </c>
      <c r="AF25" s="121" t="str">
        <f t="shared" si="19"/>
        <v>--</v>
      </c>
      <c r="AG25" s="121" t="str">
        <f t="shared" si="20"/>
        <v>--</v>
      </c>
      <c r="AH25" s="119" t="str">
        <f t="shared" si="21"/>
        <v>V</v>
      </c>
      <c r="AI25" s="119" t="str">
        <f t="shared" si="22"/>
        <v>O</v>
      </c>
      <c r="AJ25" s="120" t="str">
        <f t="shared" si="23"/>
        <v>--</v>
      </c>
      <c r="AK25" s="129">
        <f t="shared" si="78"/>
        <v>1</v>
      </c>
      <c r="AL25" s="119">
        <f t="shared" si="25"/>
        <v>7.7753627552890003E-2</v>
      </c>
      <c r="AM25" s="119">
        <f t="shared" si="26"/>
        <v>0.76425933063897</v>
      </c>
      <c r="AN25" s="119">
        <f t="shared" si="27"/>
        <v>1.83422239353354</v>
      </c>
      <c r="AO25" s="119">
        <f t="shared" si="28"/>
        <v>1.6299999999999999E-2</v>
      </c>
      <c r="AP25" s="119" t="str">
        <f t="shared" si="29"/>
        <v>Yes</v>
      </c>
      <c r="AQ25" s="119">
        <f t="shared" si="79"/>
        <v>7.0000000000000007E-2</v>
      </c>
      <c r="AR25" s="119">
        <f t="shared" si="80"/>
        <v>6.0000000000000002E-6</v>
      </c>
      <c r="AS25" s="119">
        <f t="shared" si="81"/>
        <v>4.0000000000000001E-3</v>
      </c>
      <c r="AT25" s="119">
        <f t="shared" si="82"/>
        <v>40</v>
      </c>
      <c r="AU25" s="119">
        <f t="shared" si="83"/>
        <v>1</v>
      </c>
      <c r="AV25" s="119">
        <f t="shared" si="35"/>
        <v>1.3981192423342844E-4</v>
      </c>
      <c r="AW25" s="555">
        <f t="shared" si="84"/>
        <v>4.455765842383895E-5</v>
      </c>
      <c r="AX25" s="124">
        <f t="shared" si="37"/>
        <v>9.8305465155425886E-3</v>
      </c>
    </row>
    <row r="26" spans="1:118" ht="12.75" customHeight="1">
      <c r="A26" s="153" t="s">
        <v>119</v>
      </c>
      <c r="B26" s="185" t="s">
        <v>120</v>
      </c>
      <c r="C26" s="566">
        <f t="shared" si="38"/>
        <v>0.1</v>
      </c>
      <c r="D26" s="586" t="str">
        <f t="shared" si="39"/>
        <v>MCL (Primary)</v>
      </c>
      <c r="E26" s="182">
        <f t="shared" si="62"/>
        <v>2.0036636538101203E-2</v>
      </c>
      <c r="F26" s="609" t="str">
        <f t="shared" si="63"/>
        <v>Tapwater</v>
      </c>
      <c r="G26" s="182">
        <f t="shared" si="85"/>
        <v>0.74165587167721603</v>
      </c>
      <c r="H26" s="183" t="str">
        <f t="shared" si="64"/>
        <v>Tapwater</v>
      </c>
      <c r="I26" s="188">
        <f t="shared" si="65"/>
        <v>0.22259490776032936</v>
      </c>
      <c r="J26" s="157">
        <f t="shared" si="66"/>
        <v>5.6153846153846151E-2</v>
      </c>
      <c r="K26" s="190" t="str">
        <f t="shared" si="67"/>
        <v>--</v>
      </c>
      <c r="L26" s="157">
        <f t="shared" si="68"/>
        <v>3.6221527856017857E-2</v>
      </c>
      <c r="M26" s="192" t="str">
        <f t="shared" si="69"/>
        <v>--</v>
      </c>
      <c r="N26" s="190">
        <f t="shared" si="70"/>
        <v>3.6221527856017857E-2</v>
      </c>
      <c r="O26" s="198">
        <f t="shared" si="71"/>
        <v>2.0036636538101203E-2</v>
      </c>
      <c r="P26" s="162">
        <f t="shared" si="9"/>
        <v>10.027472527472527</v>
      </c>
      <c r="Q26" s="157">
        <f t="shared" si="10"/>
        <v>1.46</v>
      </c>
      <c r="R26" s="157" t="str">
        <f t="shared" si="72"/>
        <v>--</v>
      </c>
      <c r="S26" s="157">
        <f t="shared" si="86"/>
        <v>1.7740665958611825</v>
      </c>
      <c r="T26" s="157" t="str">
        <f t="shared" si="73"/>
        <v>--</v>
      </c>
      <c r="U26" s="157">
        <f t="shared" si="74"/>
        <v>1.7740665958611825</v>
      </c>
      <c r="V26" s="200">
        <f t="shared" si="75"/>
        <v>0.74165587167721603</v>
      </c>
      <c r="W26" s="186">
        <f t="shared" si="51"/>
        <v>0.03</v>
      </c>
      <c r="X26" s="596" t="str">
        <f t="shared" si="52"/>
        <v>--</v>
      </c>
      <c r="Y26" s="187" t="str">
        <f t="shared" si="53"/>
        <v>OEHHA PHG</v>
      </c>
      <c r="Z26" s="567">
        <f t="shared" si="76"/>
        <v>0.1</v>
      </c>
      <c r="AA26" s="568" t="str">
        <f t="shared" si="77"/>
        <v>MCL (Primary)</v>
      </c>
      <c r="AB26" s="122">
        <f t="shared" si="15"/>
        <v>0.1</v>
      </c>
      <c r="AC26" s="121" t="str">
        <f t="shared" si="16"/>
        <v>--</v>
      </c>
      <c r="AD26" s="121">
        <f t="shared" si="17"/>
        <v>0.03</v>
      </c>
      <c r="AE26" s="121" t="str">
        <f t="shared" si="18"/>
        <v>Cancer</v>
      </c>
      <c r="AF26" s="121" t="str">
        <f t="shared" si="19"/>
        <v>--</v>
      </c>
      <c r="AG26" s="121" t="str">
        <f t="shared" si="20"/>
        <v>--</v>
      </c>
      <c r="AH26" s="119" t="str">
        <f t="shared" si="21"/>
        <v>V</v>
      </c>
      <c r="AI26" s="119" t="str">
        <f t="shared" si="22"/>
        <v>O</v>
      </c>
      <c r="AJ26" s="120" t="str">
        <f t="shared" si="23"/>
        <v>--</v>
      </c>
      <c r="AK26" s="129">
        <f t="shared" si="78"/>
        <v>0.7</v>
      </c>
      <c r="AL26" s="119">
        <f t="shared" si="25"/>
        <v>0.83307827437919002</v>
      </c>
      <c r="AM26" s="119">
        <f t="shared" si="26"/>
        <v>20.730832832149101</v>
      </c>
      <c r="AN26" s="119">
        <f t="shared" si="27"/>
        <v>79.689721818315903</v>
      </c>
      <c r="AO26" s="119">
        <f t="shared" si="28"/>
        <v>0.107</v>
      </c>
      <c r="AP26" s="119" t="str">
        <f t="shared" si="29"/>
        <v>Yes</v>
      </c>
      <c r="AQ26" s="119">
        <f t="shared" si="79"/>
        <v>0.35</v>
      </c>
      <c r="AR26" s="119">
        <f t="shared" si="80"/>
        <v>1E-4</v>
      </c>
      <c r="AS26" s="119">
        <f t="shared" si="81"/>
        <v>5.0000000000000001E-4</v>
      </c>
      <c r="AT26" s="119">
        <f t="shared" si="82"/>
        <v>0.7</v>
      </c>
      <c r="AU26" s="119">
        <f t="shared" si="83"/>
        <v>1</v>
      </c>
      <c r="AV26" s="119">
        <f t="shared" si="35"/>
        <v>2.7962384846685692E-5</v>
      </c>
      <c r="AW26" s="555">
        <f t="shared" si="84"/>
        <v>8.9115316847677916E-6</v>
      </c>
      <c r="AX26" s="124">
        <f t="shared" si="37"/>
        <v>1.2288183144428236E-3</v>
      </c>
    </row>
    <row r="27" spans="1:118" ht="12.75" customHeight="1">
      <c r="A27" s="153" t="s">
        <v>121</v>
      </c>
      <c r="B27" s="185" t="s">
        <v>122</v>
      </c>
      <c r="C27" s="566" t="str">
        <f t="shared" si="38"/>
        <v>--</v>
      </c>
      <c r="D27" s="586" t="str">
        <f t="shared" si="39"/>
        <v>--</v>
      </c>
      <c r="E27" s="182">
        <f t="shared" si="62"/>
        <v>0.36543272383745468</v>
      </c>
      <c r="F27" s="609" t="str">
        <f t="shared" si="63"/>
        <v>Tapwater</v>
      </c>
      <c r="G27" s="182">
        <f t="shared" si="85"/>
        <v>9.4538301632907622</v>
      </c>
      <c r="H27" s="183" t="str">
        <f t="shared" si="64"/>
        <v>Tapwater</v>
      </c>
      <c r="I27" s="188">
        <f t="shared" si="65"/>
        <v>0.38954108858057629</v>
      </c>
      <c r="J27" s="157" t="str">
        <f t="shared" si="66"/>
        <v>--</v>
      </c>
      <c r="K27" s="190" t="str">
        <f t="shared" si="67"/>
        <v>--</v>
      </c>
      <c r="L27" s="157">
        <f t="shared" si="68"/>
        <v>5.9046336225364069</v>
      </c>
      <c r="M27" s="192" t="str">
        <f t="shared" si="69"/>
        <v>--</v>
      </c>
      <c r="N27" s="190">
        <f t="shared" si="70"/>
        <v>5.9046336225364069</v>
      </c>
      <c r="O27" s="198">
        <f t="shared" si="71"/>
        <v>0.36543272383745468</v>
      </c>
      <c r="P27" s="162">
        <f t="shared" si="9"/>
        <v>10.027472527472527</v>
      </c>
      <c r="Q27" s="157" t="str">
        <f t="shared" si="10"/>
        <v>--</v>
      </c>
      <c r="R27" s="157" t="str">
        <f t="shared" si="72"/>
        <v>--</v>
      </c>
      <c r="S27" s="157">
        <f t="shared" si="86"/>
        <v>165.25631327283082</v>
      </c>
      <c r="T27" s="157" t="str">
        <f t="shared" si="73"/>
        <v>--</v>
      </c>
      <c r="U27" s="157">
        <f t="shared" si="74"/>
        <v>165.25631327283082</v>
      </c>
      <c r="V27" s="200">
        <f t="shared" si="75"/>
        <v>9.4538301632907622</v>
      </c>
      <c r="W27" s="186" t="str">
        <f t="shared" si="51"/>
        <v>--</v>
      </c>
      <c r="X27" s="596" t="str">
        <f t="shared" si="52"/>
        <v>--</v>
      </c>
      <c r="Y27" s="187" t="str">
        <f t="shared" si="53"/>
        <v>--</v>
      </c>
      <c r="Z27" s="567" t="str">
        <f t="shared" si="76"/>
        <v>--</v>
      </c>
      <c r="AA27" s="568" t="str">
        <f t="shared" si="77"/>
        <v>--</v>
      </c>
      <c r="AB27" s="122" t="str">
        <f t="shared" si="15"/>
        <v>--</v>
      </c>
      <c r="AC27" s="121" t="str">
        <f t="shared" si="16"/>
        <v>--</v>
      </c>
      <c r="AD27" s="121" t="str">
        <f t="shared" si="17"/>
        <v>--</v>
      </c>
      <c r="AE27" s="121" t="str">
        <f t="shared" si="18"/>
        <v>--</v>
      </c>
      <c r="AF27" s="121" t="str">
        <f t="shared" si="19"/>
        <v>--</v>
      </c>
      <c r="AG27" s="121" t="str">
        <f t="shared" si="20"/>
        <v>--</v>
      </c>
      <c r="AH27" s="119" t="str">
        <f t="shared" si="21"/>
        <v>NV</v>
      </c>
      <c r="AI27" s="119" t="str">
        <f t="shared" si="22"/>
        <v>O</v>
      </c>
      <c r="AJ27" s="120" t="str">
        <f t="shared" si="23"/>
        <v>--</v>
      </c>
      <c r="AK27" s="129">
        <f t="shared" si="78"/>
        <v>1</v>
      </c>
      <c r="AL27" s="119">
        <f t="shared" si="25"/>
        <v>2.154679135629E-2</v>
      </c>
      <c r="AM27" s="119">
        <f t="shared" si="26"/>
        <v>0.54480457964845996</v>
      </c>
      <c r="AN27" s="119">
        <f t="shared" si="27"/>
        <v>1.3075309911563</v>
      </c>
      <c r="AO27" s="119">
        <f t="shared" si="28"/>
        <v>4.96E-3</v>
      </c>
      <c r="AP27" s="119" t="str">
        <f t="shared" si="29"/>
        <v>Yes</v>
      </c>
      <c r="AQ27" s="119">
        <f t="shared" si="79"/>
        <v>0.2</v>
      </c>
      <c r="AR27" s="119" t="str">
        <f t="shared" si="80"/>
        <v>--</v>
      </c>
      <c r="AS27" s="119">
        <f t="shared" si="81"/>
        <v>5.0000000000000001E-4</v>
      </c>
      <c r="AT27" s="119" t="str">
        <f t="shared" si="82"/>
        <v>--</v>
      </c>
      <c r="AU27" s="119">
        <f t="shared" si="83"/>
        <v>1</v>
      </c>
      <c r="AV27" s="119">
        <f t="shared" si="35"/>
        <v>4.8934173481699962E-5</v>
      </c>
      <c r="AW27" s="555">
        <f t="shared" si="84"/>
        <v>1.5595180448343634E-5</v>
      </c>
      <c r="AX27" s="124">
        <f t="shared" si="37"/>
        <v>1.2288183144428236E-3</v>
      </c>
    </row>
    <row r="28" spans="1:118" ht="12.75" customHeight="1">
      <c r="A28" s="153" t="s">
        <v>123</v>
      </c>
      <c r="B28" s="185" t="s">
        <v>124</v>
      </c>
      <c r="C28" s="566">
        <f t="shared" si="38"/>
        <v>70</v>
      </c>
      <c r="D28" s="586" t="str">
        <f t="shared" si="39"/>
        <v>MCL (Primary)</v>
      </c>
      <c r="E28" s="182" t="str">
        <f t="shared" si="62"/>
        <v>--</v>
      </c>
      <c r="F28" s="609" t="str">
        <f t="shared" si="63"/>
        <v>--</v>
      </c>
      <c r="G28" s="182">
        <f t="shared" si="85"/>
        <v>70</v>
      </c>
      <c r="H28" s="183" t="str">
        <f t="shared" si="64"/>
        <v>OEHHA PHG</v>
      </c>
      <c r="I28" s="188" t="str">
        <f t="shared" si="65"/>
        <v>--</v>
      </c>
      <c r="J28" s="157" t="str">
        <f t="shared" si="66"/>
        <v>--</v>
      </c>
      <c r="K28" s="190" t="str">
        <f t="shared" si="67"/>
        <v>--</v>
      </c>
      <c r="L28" s="157" t="str">
        <f t="shared" si="68"/>
        <v>--</v>
      </c>
      <c r="M28" s="192" t="str">
        <f t="shared" si="69"/>
        <v>--</v>
      </c>
      <c r="N28" s="190" t="str">
        <f t="shared" si="70"/>
        <v>--</v>
      </c>
      <c r="O28" s="198" t="str">
        <f t="shared" si="71"/>
        <v>--</v>
      </c>
      <c r="P28" s="162">
        <f t="shared" si="9"/>
        <v>401.09890109890108</v>
      </c>
      <c r="Q28" s="157">
        <f t="shared" si="10"/>
        <v>104.28571428571429</v>
      </c>
      <c r="R28" s="157" t="str">
        <f t="shared" si="72"/>
        <v>--</v>
      </c>
      <c r="S28" s="157">
        <f t="shared" si="86"/>
        <v>1280.7920384294509</v>
      </c>
      <c r="T28" s="157" t="str">
        <f t="shared" si="73"/>
        <v>--</v>
      </c>
      <c r="U28" s="157">
        <f t="shared" si="74"/>
        <v>1280.7920384294509</v>
      </c>
      <c r="V28" s="200">
        <f t="shared" si="75"/>
        <v>77.742611680378616</v>
      </c>
      <c r="W28" s="186" t="str">
        <f t="shared" si="51"/>
        <v>--</v>
      </c>
      <c r="X28" s="596">
        <f t="shared" si="52"/>
        <v>70</v>
      </c>
      <c r="Y28" s="187" t="str">
        <f t="shared" si="53"/>
        <v>OEHHA PHG</v>
      </c>
      <c r="Z28" s="567">
        <f>IF(AND(AB28="--",AC28="--"),"--",MIN(AB28,AC28))</f>
        <v>70</v>
      </c>
      <c r="AA28" s="568" t="str">
        <f t="shared" si="77"/>
        <v>MCL (Primary)</v>
      </c>
      <c r="AB28" s="122">
        <f t="shared" si="15"/>
        <v>70</v>
      </c>
      <c r="AC28" s="121" t="str">
        <f t="shared" si="16"/>
        <v>--</v>
      </c>
      <c r="AD28" s="121">
        <f t="shared" si="17"/>
        <v>70</v>
      </c>
      <c r="AE28" s="121" t="str">
        <f t="shared" si="18"/>
        <v>Noncancer</v>
      </c>
      <c r="AF28" s="121" t="str">
        <f t="shared" si="19"/>
        <v>--</v>
      </c>
      <c r="AG28" s="121" t="str">
        <f t="shared" si="20"/>
        <v>--</v>
      </c>
      <c r="AH28" s="119" t="str">
        <f t="shared" si="21"/>
        <v>V</v>
      </c>
      <c r="AI28" s="119" t="str">
        <f t="shared" si="22"/>
        <v>O</v>
      </c>
      <c r="AJ28" s="120" t="str">
        <f t="shared" si="23"/>
        <v>--</v>
      </c>
      <c r="AK28" s="129">
        <f t="shared" si="78"/>
        <v>1</v>
      </c>
      <c r="AL28" s="119">
        <f t="shared" si="25"/>
        <v>0.11507150748261</v>
      </c>
      <c r="AM28" s="119">
        <f t="shared" si="26"/>
        <v>0.44893632760023999</v>
      </c>
      <c r="AN28" s="119">
        <f t="shared" si="27"/>
        <v>1.0774471862405699</v>
      </c>
      <c r="AO28" s="119">
        <f t="shared" si="28"/>
        <v>2.8199999999999999E-2</v>
      </c>
      <c r="AP28" s="119" t="str">
        <f t="shared" si="29"/>
        <v>Yes</v>
      </c>
      <c r="AQ28" s="119" t="str">
        <f t="shared" si="79"/>
        <v>--</v>
      </c>
      <c r="AR28" s="119" t="str">
        <f t="shared" si="80"/>
        <v>--</v>
      </c>
      <c r="AS28" s="119">
        <f t="shared" si="81"/>
        <v>0.02</v>
      </c>
      <c r="AT28" s="119">
        <f t="shared" si="82"/>
        <v>50</v>
      </c>
      <c r="AU28" s="119">
        <f t="shared" si="83"/>
        <v>1</v>
      </c>
      <c r="AV28" s="119" t="str">
        <f t="shared" si="35"/>
        <v>--</v>
      </c>
      <c r="AW28" s="555" t="str">
        <f t="shared" si="84"/>
        <v>--</v>
      </c>
      <c r="AX28" s="124">
        <f t="shared" si="37"/>
        <v>4.9152732577712938E-2</v>
      </c>
    </row>
    <row r="29" spans="1:118" ht="12.75" customHeight="1">
      <c r="A29" s="153" t="s">
        <v>125</v>
      </c>
      <c r="B29" s="185" t="s">
        <v>126</v>
      </c>
      <c r="C29" s="566" t="str">
        <f t="shared" si="38"/>
        <v>--</v>
      </c>
      <c r="D29" s="586" t="str">
        <f t="shared" si="39"/>
        <v>--</v>
      </c>
      <c r="E29" s="182" t="str">
        <f t="shared" si="62"/>
        <v>--</v>
      </c>
      <c r="F29" s="609" t="str">
        <f t="shared" si="63"/>
        <v>--</v>
      </c>
      <c r="G29" s="182">
        <f t="shared" si="85"/>
        <v>8342.8571428571431</v>
      </c>
      <c r="H29" s="183" t="str">
        <f t="shared" si="64"/>
        <v>Tapwater</v>
      </c>
      <c r="I29" s="188" t="str">
        <f t="shared" si="65"/>
        <v>--</v>
      </c>
      <c r="J29" s="157" t="str">
        <f t="shared" si="66"/>
        <v>--</v>
      </c>
      <c r="K29" s="190" t="str">
        <f t="shared" si="67"/>
        <v>--</v>
      </c>
      <c r="L29" s="157" t="str">
        <f t="shared" si="68"/>
        <v>--</v>
      </c>
      <c r="M29" s="192" t="str">
        <f t="shared" si="69"/>
        <v>--</v>
      </c>
      <c r="N29" s="190" t="str">
        <f t="shared" si="70"/>
        <v>--</v>
      </c>
      <c r="O29" s="198" t="str">
        <f t="shared" si="71"/>
        <v>--</v>
      </c>
      <c r="P29" s="162" t="str">
        <f t="shared" si="9"/>
        <v>--</v>
      </c>
      <c r="Q29" s="157">
        <f t="shared" si="10"/>
        <v>8342.8571428571431</v>
      </c>
      <c r="R29" s="157" t="str">
        <f t="shared" si="72"/>
        <v>--</v>
      </c>
      <c r="S29" s="157" t="str">
        <f t="shared" si="86"/>
        <v>--</v>
      </c>
      <c r="T29" s="157" t="str">
        <f t="shared" si="73"/>
        <v>--</v>
      </c>
      <c r="U29" s="157" t="str">
        <f t="shared" si="74"/>
        <v>--</v>
      </c>
      <c r="V29" s="200">
        <f t="shared" si="75"/>
        <v>8342.8571428571431</v>
      </c>
      <c r="W29" s="186" t="str">
        <f t="shared" si="51"/>
        <v>--</v>
      </c>
      <c r="X29" s="596" t="str">
        <f t="shared" si="52"/>
        <v>--</v>
      </c>
      <c r="Y29" s="187" t="str">
        <f t="shared" si="53"/>
        <v>--</v>
      </c>
      <c r="Z29" s="567" t="str">
        <f t="shared" si="76"/>
        <v>--</v>
      </c>
      <c r="AA29" s="568" t="str">
        <f t="shared" si="77"/>
        <v>--</v>
      </c>
      <c r="AB29" s="122" t="str">
        <f t="shared" si="15"/>
        <v>--</v>
      </c>
      <c r="AC29" s="121" t="str">
        <f t="shared" si="16"/>
        <v>--</v>
      </c>
      <c r="AD29" s="121" t="str">
        <f t="shared" si="17"/>
        <v>--</v>
      </c>
      <c r="AE29" s="121" t="str">
        <f t="shared" si="18"/>
        <v>--</v>
      </c>
      <c r="AF29" s="121" t="str">
        <f t="shared" si="19"/>
        <v>--</v>
      </c>
      <c r="AG29" s="121" t="str">
        <f t="shared" si="20"/>
        <v>--</v>
      </c>
      <c r="AH29" s="119" t="str">
        <f t="shared" si="21"/>
        <v>V</v>
      </c>
      <c r="AI29" s="119" t="str">
        <f t="shared" si="22"/>
        <v>O</v>
      </c>
      <c r="AJ29" s="120" t="str">
        <f t="shared" si="23"/>
        <v>--</v>
      </c>
      <c r="AK29" s="129">
        <f t="shared" si="78"/>
        <v>1</v>
      </c>
      <c r="AL29" s="119">
        <f t="shared" si="25"/>
        <v>1.8751917943330001E-2</v>
      </c>
      <c r="AM29" s="119">
        <f t="shared" si="26"/>
        <v>0.24161992746596</v>
      </c>
      <c r="AN29" s="119">
        <f t="shared" si="27"/>
        <v>0.57988782591830002</v>
      </c>
      <c r="AO29" s="119">
        <f t="shared" si="28"/>
        <v>6.0699999999999999E-3</v>
      </c>
      <c r="AP29" s="119" t="str">
        <f t="shared" si="29"/>
        <v>Yes</v>
      </c>
      <c r="AQ29" s="119" t="str">
        <f t="shared" si="79"/>
        <v>--</v>
      </c>
      <c r="AR29" s="119" t="str">
        <f t="shared" si="80"/>
        <v>--</v>
      </c>
      <c r="AS29" s="119" t="str">
        <f t="shared" si="81"/>
        <v>--</v>
      </c>
      <c r="AT29" s="119">
        <f t="shared" si="82"/>
        <v>4000</v>
      </c>
      <c r="AU29" s="119">
        <f t="shared" si="83"/>
        <v>1</v>
      </c>
      <c r="AV29" s="119" t="str">
        <f t="shared" si="35"/>
        <v>--</v>
      </c>
      <c r="AW29" s="555" t="str">
        <f t="shared" si="84"/>
        <v>--</v>
      </c>
      <c r="AX29" s="124" t="str">
        <f t="shared" si="37"/>
        <v>--</v>
      </c>
    </row>
    <row r="30" spans="1:118" ht="12.75" customHeight="1">
      <c r="A30" s="153" t="s">
        <v>127</v>
      </c>
      <c r="B30" s="185" t="s">
        <v>128</v>
      </c>
      <c r="C30" s="566">
        <f t="shared" si="38"/>
        <v>80</v>
      </c>
      <c r="D30" s="586" t="str">
        <f t="shared" si="39"/>
        <v>MCL (Primary)</v>
      </c>
      <c r="E30" s="182">
        <f t="shared" si="62"/>
        <v>0.22084401783876592</v>
      </c>
      <c r="F30" s="609" t="str">
        <f t="shared" si="63"/>
        <v>Tapwater</v>
      </c>
      <c r="G30" s="182">
        <f t="shared" si="85"/>
        <v>3.9800305654275552</v>
      </c>
      <c r="H30" s="183" t="str">
        <f t="shared" si="64"/>
        <v>Tapwater</v>
      </c>
      <c r="I30" s="188">
        <f t="shared" si="65"/>
        <v>2.5131683134230731</v>
      </c>
      <c r="J30" s="157">
        <f t="shared" si="66"/>
        <v>0.24414715719063543</v>
      </c>
      <c r="K30" s="190" t="str">
        <f t="shared" si="67"/>
        <v>--</v>
      </c>
      <c r="L30" s="157">
        <f t="shared" si="68"/>
        <v>29.16447949088127</v>
      </c>
      <c r="M30" s="192" t="str">
        <f t="shared" si="69"/>
        <v>--</v>
      </c>
      <c r="N30" s="190">
        <f t="shared" si="70"/>
        <v>29.16447949088127</v>
      </c>
      <c r="O30" s="198">
        <f t="shared" si="71"/>
        <v>0.22084401783876592</v>
      </c>
      <c r="P30" s="162">
        <f t="shared" si="9"/>
        <v>200.54945054945054</v>
      </c>
      <c r="Q30" s="157">
        <f t="shared" si="10"/>
        <v>4.0671428571428567</v>
      </c>
      <c r="R30" s="157" t="str">
        <f t="shared" si="72"/>
        <v>--</v>
      </c>
      <c r="S30" s="157">
        <f t="shared" si="86"/>
        <v>2530.3525110255323</v>
      </c>
      <c r="T30" s="157" t="str">
        <f t="shared" si="73"/>
        <v>--</v>
      </c>
      <c r="U30" s="157">
        <f t="shared" si="74"/>
        <v>2530.3525110255323</v>
      </c>
      <c r="V30" s="200">
        <f t="shared" si="75"/>
        <v>3.9800305654275552</v>
      </c>
      <c r="W30" s="186">
        <f t="shared" si="51"/>
        <v>0.4</v>
      </c>
      <c r="X30" s="596" t="str">
        <f t="shared" si="52"/>
        <v>--</v>
      </c>
      <c r="Y30" s="187" t="str">
        <f t="shared" si="53"/>
        <v>OEHHA PHG</v>
      </c>
      <c r="Z30" s="567">
        <f t="shared" si="76"/>
        <v>80</v>
      </c>
      <c r="AA30" s="568" t="str">
        <f t="shared" si="77"/>
        <v>MCL (Primary)</v>
      </c>
      <c r="AB30" s="122">
        <f t="shared" si="15"/>
        <v>80</v>
      </c>
      <c r="AC30" s="121" t="str">
        <f t="shared" si="16"/>
        <v>--</v>
      </c>
      <c r="AD30" s="121">
        <f t="shared" si="17"/>
        <v>0.4</v>
      </c>
      <c r="AE30" s="121" t="str">
        <f t="shared" si="18"/>
        <v>Cancer</v>
      </c>
      <c r="AF30" s="121" t="str">
        <f t="shared" si="19"/>
        <v>--</v>
      </c>
      <c r="AG30" s="121" t="str">
        <f t="shared" si="20"/>
        <v>--</v>
      </c>
      <c r="AH30" s="119" t="str">
        <f t="shared" si="21"/>
        <v>V</v>
      </c>
      <c r="AI30" s="119" t="str">
        <f t="shared" si="22"/>
        <v>O</v>
      </c>
      <c r="AJ30" s="120" t="str">
        <f t="shared" si="23"/>
        <v>--</v>
      </c>
      <c r="AK30" s="129">
        <f t="shared" si="78"/>
        <v>1</v>
      </c>
      <c r="AL30" s="119">
        <f t="shared" si="25"/>
        <v>2.8702064957770002E-2</v>
      </c>
      <c r="AM30" s="119">
        <f t="shared" si="26"/>
        <v>0.49020388588490998</v>
      </c>
      <c r="AN30" s="119">
        <f t="shared" si="27"/>
        <v>1.1764893261237901</v>
      </c>
      <c r="AO30" s="119">
        <f t="shared" si="28"/>
        <v>6.8300000000000001E-3</v>
      </c>
      <c r="AP30" s="119" t="str">
        <f t="shared" si="29"/>
        <v>Yes</v>
      </c>
      <c r="AQ30" s="119">
        <f t="shared" si="79"/>
        <v>3.1E-2</v>
      </c>
      <c r="AR30" s="119">
        <f t="shared" si="80"/>
        <v>2.3E-5</v>
      </c>
      <c r="AS30" s="119">
        <f t="shared" si="81"/>
        <v>0.01</v>
      </c>
      <c r="AT30" s="119">
        <f t="shared" si="82"/>
        <v>1.95</v>
      </c>
      <c r="AU30" s="119">
        <f t="shared" si="83"/>
        <v>1</v>
      </c>
      <c r="AV30" s="119">
        <f t="shared" si="35"/>
        <v>3.1570434504322558E-4</v>
      </c>
      <c r="AW30" s="555">
        <f t="shared" si="84"/>
        <v>1.0061406740866861E-4</v>
      </c>
      <c r="AX30" s="124">
        <f t="shared" si="37"/>
        <v>2.4576366288856469E-2</v>
      </c>
    </row>
    <row r="31" spans="1:118" s="565" customFormat="1" ht="12.75" customHeight="1">
      <c r="A31" s="153" t="s">
        <v>129</v>
      </c>
      <c r="B31" s="185" t="s">
        <v>130</v>
      </c>
      <c r="C31" s="566" t="str">
        <f t="shared" si="38"/>
        <v>--</v>
      </c>
      <c r="D31" s="586" t="str">
        <f t="shared" si="39"/>
        <v>--</v>
      </c>
      <c r="E31" s="182" t="str">
        <f t="shared" ref="E31:E33" si="87">IF(AND(O31="--",W31="--"),"--", IF(O31="--",W31,IF(W31="--",O31,MIN(O31,W31))))</f>
        <v>--</v>
      </c>
      <c r="F31" s="609" t="str">
        <f t="shared" ref="F31:F33" si="88">IF(E31="--","--",IF(E31=O31,"Tapwater",Y31))</f>
        <v>--</v>
      </c>
      <c r="G31" s="182">
        <f t="shared" ref="G31:G33" si="89">IF(AND(V31="--",X31="--"),"--", IF(V31="--",X31,IF(X31="--",V31,MIN(V31,X31))))</f>
        <v>187.71428571428572</v>
      </c>
      <c r="H31" s="183" t="str">
        <f t="shared" ref="H31:H33" si="90">IF(G31="--","--",IF(G31=V31,"Tapwater",Y31))</f>
        <v>Tapwater</v>
      </c>
      <c r="I31" s="188" t="str">
        <f t="shared" ref="I31:I33" si="91">IF(AQ31="--","--",
IF(AJ31="--",
(TR*365*LT*1000)/(AQ31*IFWadj),
(TR*365*LT*1000)/(AQ31*IFWmadj)))</f>
        <v>--</v>
      </c>
      <c r="J31" s="157" t="str">
        <f t="shared" ref="J31:J33" si="92">IF(AR31="--","--",
IF(AH31="NV","--",
IF(AJ31="--",
(TR*365*LT)/(EFr*EDr*ETr*(1/24)*AR31*0.5),
(TR*365*LT)/(TETmadj*AR31*0.5))))</f>
        <v>--</v>
      </c>
      <c r="K31" s="190" t="str">
        <f t="shared" ref="K31:K33" si="93">IF(AP31="No", "--",
IF(AV31="--","--",
IF(AND(AO31=0, AI31="I"), "--",
IF(AI31&lt;&gt;"I","--",
IF(AJ31="--",
(AV31*1000)/(AO31*ETwadj),
(AW31*1000)/(AO31*ETwadj))))))</f>
        <v>--</v>
      </c>
      <c r="L31" s="157" t="str">
        <f t="shared" ref="L31:L33" si="94">IF(AP31="No", "--",
IF(AV31="--", "--",
IF(AI31&lt;&gt;"O", "--",
IF(ETwadj &gt; AN31, "--",
IF(AJ31="--",
(AV31*1000)/(2*AK31*AO31*SQRT((6*AM31*ETwadj)/PI())),
(AW31*1000)/(2*AK31*AO31*SQRT((6*AM31*ETwadj)/PI())))))))</f>
        <v>--</v>
      </c>
      <c r="M31" s="192" t="str">
        <f t="shared" ref="M31:M33" si="95">IF(AP31="No","--",
IF(AV31="--","--",
IF(AI31&lt;&gt;"O","--",
IF(ETwadj&lt;AN31,"--",
IF(AJ31="--",
(AV31*1000)/(AK31*AO31*(ETwadj/(1+AL31)+(2*AM31*(1+(3*AL31)+(3*(AL31^2)))/((1+AL31)^2)))),
(AW31*1000)/(AK31*AO31*(ETwadj/(1+AL31)+(2*AM31*(1+(3*AL31)+(3*(AL31^2)))/((1+AL31)^2)))))))))</f>
        <v>--</v>
      </c>
      <c r="N31" s="190" t="str">
        <f t="shared" ref="N31:N33" si="96">IF(AND(M31="--",L31="--"),K31, IF(AND(K31="--",M31="--"), L31, M31))</f>
        <v>--</v>
      </c>
      <c r="O31" s="198" t="str">
        <f t="shared" ref="O31:O33" si="97">IF(AND(I31="--",J31="--",N31="--"),"--",IF(AND(J31="--",N31="--"),I31,IF(AND(I31="--",N31="--"),J31,IF(AND(I31="--",J31="--"),N31, IF(I31="--", (1/((1/J31)+(1/N31))), IF(J31="--", (1/((1/I31)+(1/N31))), IF(N31="--", (1/((1/I31)+(1/J31))), (1/((1/I31)+(1/J31)+(1/N31))))))))))</f>
        <v>--</v>
      </c>
      <c r="P31" s="162" t="str">
        <f t="shared" ref="P31:P33" si="98">IF(AS31="--","--",(THQ*EDc*365*BWc*1000)/(EFr*EDc*(1/AS31)*IRWc))</f>
        <v>--</v>
      </c>
      <c r="Q31" s="157">
        <f t="shared" ref="Q31:Q33" si="99">IF(AT31="--","--",IF(AH31="NV","--",(THQ*EDc*365*1000)/(EFr*EDc*ETr*(1/24)*(1/(AT31/1000))*0.5)))</f>
        <v>187.71428571428572</v>
      </c>
      <c r="R31" s="157" t="str">
        <f t="shared" ref="R31:R33" si="100">IF(AP31="No", "--",
IF(AX31="--","--",IF(AND(AO31="--", AI31="I"), "--", IF(AI31="I", (AX31*1000)/(AO31*ETwc), "--"))))</f>
        <v>--</v>
      </c>
      <c r="S31" s="157" t="str">
        <f t="shared" si="86"/>
        <v>--</v>
      </c>
      <c r="T31" s="157" t="str">
        <f t="shared" ref="T31:T33" si="101">IF(AP31="No", "--", IF(AX31="--","--",IF(AND(AI31="O", ETwc &gt; AN31), ((AX31*1000)/(AK31*AO31*(ETwc/(1+AL31)+(2*AM31*(1+(3*AL31)+(3*(AL31^2)))/((1+AL31)^2))))), "--")))</f>
        <v>--</v>
      </c>
      <c r="U31" s="157" t="str">
        <f t="shared" ref="U31:U33" si="102">IF(AND(T31="--",S31="--"),R31, IF(AND(R31="--",T31="--"), S31, T31))</f>
        <v>--</v>
      </c>
      <c r="V31" s="200">
        <f t="shared" ref="V31:V33" si="103">IF(AND(P31="--",Q31="--",U31="--"),"--",IF(AND(Q31="--",U31="--"),P31,IF(AND(P31="--",U31="--"),Q31,IF(AND(P31="--",Q31="--"),U31, IF(P31="--", (1/((1/Q31)+(1/U31))), IF(Q31="--", (1/((1/P31)+(1/U31))), IF(U31="--", (1/((1/P31)+(1/Q31))), (1/((1/P31)+(1/Q31)+(1/U31))))))))))</f>
        <v>187.71428571428572</v>
      </c>
      <c r="W31" s="186" t="str">
        <f t="shared" ref="W31:W33" si="104">IF(OR(AE31="cancer",AG31="cancer"), MIN(AD31,AF31),"--")</f>
        <v>--</v>
      </c>
      <c r="X31" s="596" t="str">
        <f t="shared" ref="X31:X33" si="105">IF(OR(AE31="noncancer",AG31="noncancer"), MIN(AD31,AF31),"--")</f>
        <v>--</v>
      </c>
      <c r="Y31" s="187" t="str">
        <f t="shared" ref="Y31:Y33" si="106">IF(AND(W31="--",X31="--"),"--",IF(AND(W31&lt;&gt;"--",W31=AD31),"OEHHA PHG",IF(AND(X31&lt;&gt;"--",X31=AD31),"OEHHA PHG","DDW NL")))</f>
        <v>--</v>
      </c>
      <c r="Z31" s="567" t="str">
        <f t="shared" ref="Z31:Z33" si="107">IF(AND(AB31="--",AC31="--"),"--",MIN(AB31,AC31))</f>
        <v>--</v>
      </c>
      <c r="AA31" s="568" t="str">
        <f t="shared" ref="AA31:AA33" si="108">IF(Z31="--","--", IF(Z31=AB31,"MCL (Primary)", IF(Z31=AC31, "MCL (Secondary)", H31)))</f>
        <v>--</v>
      </c>
      <c r="AB31" s="122" t="str">
        <f t="shared" si="15"/>
        <v>--</v>
      </c>
      <c r="AC31" s="121" t="str">
        <f t="shared" si="16"/>
        <v>--</v>
      </c>
      <c r="AD31" s="121" t="str">
        <f t="shared" si="17"/>
        <v>--</v>
      </c>
      <c r="AE31" s="121" t="str">
        <f t="shared" si="18"/>
        <v>--</v>
      </c>
      <c r="AF31" s="121" t="str">
        <f t="shared" si="19"/>
        <v>--</v>
      </c>
      <c r="AG31" s="121" t="str">
        <f t="shared" si="20"/>
        <v>--</v>
      </c>
      <c r="AH31" s="119" t="str">
        <f t="shared" si="21"/>
        <v>V</v>
      </c>
      <c r="AI31" s="119" t="str">
        <f t="shared" si="22"/>
        <v>O</v>
      </c>
      <c r="AJ31" s="120" t="str">
        <f t="shared" si="23"/>
        <v>--</v>
      </c>
      <c r="AK31" s="129">
        <f t="shared" ref="AK31:AK33" si="109">VLOOKUP(A31,Table_IP_2,MATCH("FA",heading_IP_2,0),FALSE)</f>
        <v>1</v>
      </c>
      <c r="AL31" s="119">
        <f t="shared" si="25"/>
        <v>8.9638499759099998E-3</v>
      </c>
      <c r="AM31" s="119">
        <f t="shared" si="26"/>
        <v>0.20164225687262999</v>
      </c>
      <c r="AN31" s="119">
        <f t="shared" si="27"/>
        <v>0.4839414164943</v>
      </c>
      <c r="AO31" s="119">
        <f t="shared" si="28"/>
        <v>3.2799999999999999E-3</v>
      </c>
      <c r="AP31" s="119" t="str">
        <f t="shared" si="29"/>
        <v>Yes</v>
      </c>
      <c r="AQ31" s="119" t="str">
        <f t="shared" ref="AQ31:AQ33" si="110">VLOOKUP(A31,Table_IP_2,MATCH("SFo",heading_IP_2,0),FALSE)</f>
        <v>--</v>
      </c>
      <c r="AR31" s="119" t="str">
        <f t="shared" ref="AR31:AR33" si="111">VLOOKUP(A31,Table_IP_2,MATCH("IUR",heading_IP_2,0),FALSE)</f>
        <v>--</v>
      </c>
      <c r="AS31" s="119" t="str">
        <f t="shared" ref="AS31:AS33" si="112">VLOOKUP(A31,Table_IP_2,MATCH("RfDo",heading_IP_2,0),FALSE)</f>
        <v>--</v>
      </c>
      <c r="AT31" s="119">
        <f t="shared" ref="AT31:AT33" si="113">VLOOKUP(A31,Table_IP_2,MATCH("RfC",heading_IP_2,0),FALSE)</f>
        <v>90</v>
      </c>
      <c r="AU31" s="119">
        <f t="shared" ref="AU31:AU33" si="114">VLOOKUP(A31,Table_IP_2,MATCH("GIABS",heading_IP_2,0),FALSE)</f>
        <v>1</v>
      </c>
      <c r="AV31" s="119" t="str">
        <f t="shared" ref="AV31:AV33" si="115">IF(AQ31="--","--",(TR*365*LT*1000)/((AQ31/AU31)*DFWadj))</f>
        <v>--</v>
      </c>
      <c r="AW31" s="555" t="str">
        <f t="shared" ref="AW31:AW33" si="116">IF(AQ31="--","--",(TR*365*LT*1000)/((AQ31/AU31)*DFWmadj))</f>
        <v>--</v>
      </c>
      <c r="AX31" s="124" t="str">
        <f t="shared" ref="AX31:AX33" si="117">IF(AS31="--", "--", (THQ*365*EDc*1000*BWc)/((1/(AS31*AU31))*1*EDc*EFr*SAwc))</f>
        <v>--</v>
      </c>
      <c r="AY31" s="1351"/>
      <c r="AZ31" s="1351"/>
      <c r="BA31" s="1351"/>
      <c r="BB31" s="1351"/>
      <c r="BC31" s="1351"/>
      <c r="BD31" s="1351"/>
      <c r="BE31" s="1351"/>
      <c r="BF31" s="1351"/>
      <c r="BG31" s="1351"/>
      <c r="BH31" s="1351"/>
      <c r="BI31" s="1351"/>
      <c r="BJ31" s="1351"/>
      <c r="BK31" s="1351"/>
      <c r="BL31" s="1351"/>
      <c r="BM31" s="1351"/>
      <c r="BN31" s="1351"/>
      <c r="BO31" s="1351"/>
      <c r="BP31" s="1351"/>
      <c r="BQ31" s="1351"/>
      <c r="BR31" s="1351"/>
      <c r="BS31" s="1351"/>
      <c r="BT31" s="1351"/>
      <c r="BU31" s="1351"/>
      <c r="BV31" s="1351"/>
      <c r="BW31" s="1351"/>
      <c r="BX31" s="1351"/>
      <c r="BY31" s="1351"/>
      <c r="BZ31" s="1351"/>
      <c r="CA31" s="1351"/>
      <c r="CB31" s="1351"/>
      <c r="CC31" s="1351"/>
      <c r="CD31" s="1351"/>
      <c r="CE31" s="1351"/>
      <c r="CF31" s="1351"/>
      <c r="CG31" s="1351"/>
      <c r="CH31" s="1351"/>
      <c r="CI31" s="1351"/>
      <c r="CJ31" s="1351"/>
      <c r="CK31" s="1351"/>
      <c r="CL31" s="1351"/>
      <c r="CM31" s="1351"/>
      <c r="CN31" s="1351"/>
      <c r="CO31" s="1351"/>
      <c r="CP31" s="1351"/>
      <c r="CQ31" s="1351"/>
      <c r="CR31" s="1351"/>
      <c r="CS31" s="1351"/>
      <c r="CT31" s="1351"/>
      <c r="CU31" s="1351"/>
      <c r="CV31" s="1351"/>
      <c r="CW31" s="1351"/>
      <c r="CX31" s="1351"/>
      <c r="CY31" s="1351"/>
      <c r="CZ31" s="1351"/>
      <c r="DA31" s="1351"/>
      <c r="DB31" s="1351"/>
      <c r="DC31" s="1351"/>
      <c r="DD31" s="1351"/>
      <c r="DE31" s="1351"/>
      <c r="DF31" s="1351"/>
      <c r="DG31" s="1351"/>
      <c r="DH31" s="1351"/>
      <c r="DI31" s="1351"/>
      <c r="DJ31" s="1351"/>
      <c r="DK31" s="1351"/>
      <c r="DL31" s="1351"/>
      <c r="DM31" s="1351"/>
      <c r="DN31" s="1351"/>
    </row>
    <row r="32" spans="1:118" ht="12.75" customHeight="1">
      <c r="A32" s="153" t="s">
        <v>131</v>
      </c>
      <c r="B32" s="185" t="s">
        <v>132</v>
      </c>
      <c r="C32" s="566" t="str">
        <f t="shared" si="38"/>
        <v>--</v>
      </c>
      <c r="D32" s="586" t="str">
        <f t="shared" si="39"/>
        <v>--</v>
      </c>
      <c r="E32" s="182" t="str">
        <f t="shared" si="87"/>
        <v>--</v>
      </c>
      <c r="F32" s="609" t="str">
        <f t="shared" si="88"/>
        <v>--</v>
      </c>
      <c r="G32" s="182">
        <f t="shared" si="89"/>
        <v>91.293974613088139</v>
      </c>
      <c r="H32" s="183" t="str">
        <f t="shared" si="90"/>
        <v>Tapwater</v>
      </c>
      <c r="I32" s="188" t="str">
        <f t="shared" si="91"/>
        <v>--</v>
      </c>
      <c r="J32" s="157" t="str">
        <f t="shared" si="92"/>
        <v>--</v>
      </c>
      <c r="K32" s="190" t="str">
        <f t="shared" si="93"/>
        <v>--</v>
      </c>
      <c r="L32" s="157" t="str">
        <f t="shared" si="94"/>
        <v>--</v>
      </c>
      <c r="M32" s="192" t="str">
        <f t="shared" si="95"/>
        <v>--</v>
      </c>
      <c r="N32" s="190" t="str">
        <f t="shared" si="96"/>
        <v>--</v>
      </c>
      <c r="O32" s="198" t="str">
        <f t="shared" si="97"/>
        <v>--</v>
      </c>
      <c r="P32" s="162">
        <f t="shared" si="98"/>
        <v>100.27472527472527</v>
      </c>
      <c r="Q32" s="157" t="str">
        <f t="shared" si="99"/>
        <v>--</v>
      </c>
      <c r="R32" s="157" t="str">
        <f t="shared" si="100"/>
        <v>--</v>
      </c>
      <c r="S32" s="157">
        <f t="shared" si="86"/>
        <v>1019.3444366148742</v>
      </c>
      <c r="T32" s="157" t="str">
        <f t="shared" si="101"/>
        <v>--</v>
      </c>
      <c r="U32" s="157">
        <f t="shared" si="102"/>
        <v>1019.3444366148742</v>
      </c>
      <c r="V32" s="200">
        <f t="shared" si="103"/>
        <v>91.293974613088139</v>
      </c>
      <c r="W32" s="186" t="str">
        <f t="shared" si="104"/>
        <v>--</v>
      </c>
      <c r="X32" s="596" t="str">
        <f t="shared" si="105"/>
        <v>--</v>
      </c>
      <c r="Y32" s="187" t="str">
        <f t="shared" si="106"/>
        <v>--</v>
      </c>
      <c r="Z32" s="567" t="str">
        <f t="shared" si="107"/>
        <v>--</v>
      </c>
      <c r="AA32" s="568" t="str">
        <f t="shared" si="108"/>
        <v>--</v>
      </c>
      <c r="AB32" s="122" t="str">
        <f t="shared" si="15"/>
        <v>--</v>
      </c>
      <c r="AC32" s="121" t="str">
        <f t="shared" si="16"/>
        <v>--</v>
      </c>
      <c r="AD32" s="121" t="str">
        <f t="shared" si="17"/>
        <v>--</v>
      </c>
      <c r="AE32" s="121" t="str">
        <f t="shared" si="18"/>
        <v>--</v>
      </c>
      <c r="AF32" s="121" t="str">
        <f t="shared" si="19"/>
        <v>--</v>
      </c>
      <c r="AG32" s="121" t="str">
        <f t="shared" si="20"/>
        <v>--</v>
      </c>
      <c r="AH32" s="119" t="str">
        <f t="shared" si="21"/>
        <v>V</v>
      </c>
      <c r="AI32" s="119" t="str">
        <f t="shared" si="22"/>
        <v>O</v>
      </c>
      <c r="AJ32" s="120" t="str">
        <f t="shared" si="23"/>
        <v>--</v>
      </c>
      <c r="AK32" s="129">
        <f t="shared" si="109"/>
        <v>1</v>
      </c>
      <c r="AL32" s="119">
        <f t="shared" si="25"/>
        <v>3.4843868272809997E-2</v>
      </c>
      <c r="AM32" s="119">
        <f t="shared" si="26"/>
        <v>0.55180387965424005</v>
      </c>
      <c r="AN32" s="119">
        <f t="shared" si="27"/>
        <v>1.3243293111701799</v>
      </c>
      <c r="AO32" s="119">
        <f t="shared" si="28"/>
        <v>7.9900000000000006E-3</v>
      </c>
      <c r="AP32" s="119" t="str">
        <f t="shared" si="29"/>
        <v>Yes</v>
      </c>
      <c r="AQ32" s="119" t="str">
        <f t="shared" si="110"/>
        <v>--</v>
      </c>
      <c r="AR32" s="119" t="str">
        <f t="shared" si="111"/>
        <v>--</v>
      </c>
      <c r="AS32" s="119">
        <f t="shared" si="112"/>
        <v>5.0000000000000001E-3</v>
      </c>
      <c r="AT32" s="119" t="str">
        <f t="shared" si="113"/>
        <v>--</v>
      </c>
      <c r="AU32" s="119">
        <f t="shared" si="114"/>
        <v>1</v>
      </c>
      <c r="AV32" s="119" t="str">
        <f t="shared" si="115"/>
        <v>--</v>
      </c>
      <c r="AW32" s="555" t="str">
        <f t="shared" si="116"/>
        <v>--</v>
      </c>
      <c r="AX32" s="124">
        <f t="shared" si="117"/>
        <v>1.2288183144428234E-2</v>
      </c>
    </row>
    <row r="33" spans="1:50" ht="12.75" customHeight="1">
      <c r="A33" s="153" t="s">
        <v>133</v>
      </c>
      <c r="B33" s="185" t="s">
        <v>134</v>
      </c>
      <c r="C33" s="566">
        <f t="shared" si="38"/>
        <v>50</v>
      </c>
      <c r="D33" s="586" t="str">
        <f t="shared" si="39"/>
        <v>MCL (Primary)</v>
      </c>
      <c r="E33" s="182" t="str">
        <f t="shared" si="87"/>
        <v>--</v>
      </c>
      <c r="F33" s="609" t="str">
        <f t="shared" si="88"/>
        <v>--</v>
      </c>
      <c r="G33" s="182" t="str">
        <f t="shared" si="89"/>
        <v>--</v>
      </c>
      <c r="H33" s="183" t="str">
        <f t="shared" si="90"/>
        <v>--</v>
      </c>
      <c r="I33" s="188" t="str">
        <f t="shared" si="91"/>
        <v>--</v>
      </c>
      <c r="J33" s="157" t="str">
        <f t="shared" si="92"/>
        <v>--</v>
      </c>
      <c r="K33" s="190" t="str">
        <f t="shared" si="93"/>
        <v>--</v>
      </c>
      <c r="L33" s="157" t="str">
        <f t="shared" si="94"/>
        <v>--</v>
      </c>
      <c r="M33" s="192" t="str">
        <f t="shared" si="95"/>
        <v>--</v>
      </c>
      <c r="N33" s="190" t="str">
        <f t="shared" si="96"/>
        <v>--</v>
      </c>
      <c r="O33" s="198" t="str">
        <f t="shared" si="97"/>
        <v>--</v>
      </c>
      <c r="P33" s="162" t="str">
        <f t="shared" si="98"/>
        <v>--</v>
      </c>
      <c r="Q33" s="157" t="str">
        <f t="shared" si="99"/>
        <v>--</v>
      </c>
      <c r="R33" s="157" t="str">
        <f t="shared" si="100"/>
        <v>--</v>
      </c>
      <c r="S33" s="157" t="str">
        <f t="shared" si="86"/>
        <v>--</v>
      </c>
      <c r="T33" s="157" t="str">
        <f t="shared" si="101"/>
        <v>--</v>
      </c>
      <c r="U33" s="157" t="str">
        <f t="shared" si="102"/>
        <v>--</v>
      </c>
      <c r="V33" s="200" t="str">
        <f t="shared" si="103"/>
        <v>--</v>
      </c>
      <c r="W33" s="186" t="str">
        <f t="shared" si="104"/>
        <v>--</v>
      </c>
      <c r="X33" s="596" t="str">
        <f t="shared" si="105"/>
        <v>--</v>
      </c>
      <c r="Y33" s="187" t="str">
        <f t="shared" si="106"/>
        <v>--</v>
      </c>
      <c r="Z33" s="567">
        <f t="shared" si="107"/>
        <v>50</v>
      </c>
      <c r="AA33" s="568" t="str">
        <f t="shared" si="108"/>
        <v>MCL (Primary)</v>
      </c>
      <c r="AB33" s="122">
        <f t="shared" si="15"/>
        <v>50</v>
      </c>
      <c r="AC33" s="121" t="str">
        <f t="shared" si="16"/>
        <v>--</v>
      </c>
      <c r="AD33" s="121" t="str">
        <f t="shared" si="17"/>
        <v>--</v>
      </c>
      <c r="AE33" s="121" t="str">
        <f t="shared" si="18"/>
        <v>--</v>
      </c>
      <c r="AF33" s="121" t="str">
        <f t="shared" si="19"/>
        <v>--</v>
      </c>
      <c r="AG33" s="121" t="str">
        <f t="shared" si="20"/>
        <v>--</v>
      </c>
      <c r="AH33" s="119" t="str">
        <f t="shared" si="21"/>
        <v>NV</v>
      </c>
      <c r="AI33" s="119" t="str">
        <f t="shared" si="22"/>
        <v>I</v>
      </c>
      <c r="AJ33" s="120" t="str">
        <f t="shared" si="23"/>
        <v>--</v>
      </c>
      <c r="AK33" s="129">
        <f t="shared" si="109"/>
        <v>1</v>
      </c>
      <c r="AL33" s="119">
        <f t="shared" si="25"/>
        <v>2.7733943059600002E-3</v>
      </c>
      <c r="AM33" s="119">
        <f t="shared" si="26"/>
        <v>0.20560153352432001</v>
      </c>
      <c r="AN33" s="119">
        <f t="shared" si="27"/>
        <v>0.49344368045836001</v>
      </c>
      <c r="AO33" s="119">
        <f t="shared" si="28"/>
        <v>1E-3</v>
      </c>
      <c r="AP33" s="605" t="s">
        <v>115</v>
      </c>
      <c r="AQ33" s="119" t="str">
        <f t="shared" si="110"/>
        <v>--</v>
      </c>
      <c r="AR33" s="119" t="str">
        <f t="shared" si="111"/>
        <v>--</v>
      </c>
      <c r="AS33" s="119" t="str">
        <f t="shared" si="112"/>
        <v>--</v>
      </c>
      <c r="AT33" s="119" t="str">
        <f t="shared" si="113"/>
        <v>--</v>
      </c>
      <c r="AU33" s="119">
        <f t="shared" si="114"/>
        <v>1.2999999999999999E-2</v>
      </c>
      <c r="AV33" s="119" t="str">
        <f t="shared" si="115"/>
        <v>--</v>
      </c>
      <c r="AW33" s="555" t="str">
        <f t="shared" si="116"/>
        <v>--</v>
      </c>
      <c r="AX33" s="124" t="str">
        <f t="shared" si="117"/>
        <v>--</v>
      </c>
    </row>
    <row r="34" spans="1:50" ht="12.75" customHeight="1">
      <c r="A34" s="153" t="s">
        <v>439</v>
      </c>
      <c r="B34" s="185" t="s">
        <v>136</v>
      </c>
      <c r="C34" s="566" t="str">
        <f t="shared" si="38"/>
        <v>--</v>
      </c>
      <c r="D34" s="586" t="str">
        <f t="shared" si="39"/>
        <v>--</v>
      </c>
      <c r="E34" s="182" t="str">
        <f t="shared" ref="E34:E98" si="118">IF(AND(O34="--",W34="--"),"--", IF(O34="--",W34,IF(W34="--",O34,MIN(O34,W34))))</f>
        <v>--</v>
      </c>
      <c r="F34" s="609" t="str">
        <f t="shared" ref="F34:F98" si="119">IF(E34="--","--",IF(E34=O34,"Tapwater",Y34))</f>
        <v>--</v>
      </c>
      <c r="G34" s="182" t="str">
        <f t="shared" ref="G34:G98" si="120">IF(AND(V34="--",X34="--"),"--", IF(V34="--",X34,IF(X34="--",V34,MIN(V34,X34))))</f>
        <v>--</v>
      </c>
      <c r="H34" s="183" t="str">
        <f t="shared" ref="H34:H98" si="121">IF(G34="--","--",IF(G34=V34,"Tapwater",Y34))</f>
        <v>--</v>
      </c>
      <c r="I34" s="188" t="str">
        <f t="shared" ref="I34:I98" si="122">IF(AQ34="--","--",
IF(AJ34="--",
(TR*365*LT*1000)/(AQ34*IFWadj),
(TR*365*LT*1000)/(AQ34*IFWmadj)))</f>
        <v>--</v>
      </c>
      <c r="J34" s="157" t="str">
        <f t="shared" ref="J34:J98" si="123">IF(AR34="--","--",
IF(AH34="NV","--",
IF(AJ34="--",
(TR*365*LT)/(EFr*EDr*ETr*(1/24)*AR34*0.5),
(TR*365*LT)/(TETmadj*AR34*0.5))))</f>
        <v>--</v>
      </c>
      <c r="K34" s="190" t="str">
        <f t="shared" ref="K34:K98" si="124">IF(AP34="No", "--",
IF(AV34="--","--",
IF(AND(AO34=0, AI34="I"), "--",
IF(AI34&lt;&gt;"I","--",
IF(AJ34="--",
(AV34*1000)/(AO34*ETwadj),
(AW34*1000)/(AO34*ETwadj))))))</f>
        <v>--</v>
      </c>
      <c r="L34" s="157" t="str">
        <f t="shared" ref="L34:L98" si="125">IF(AP34="No", "--",
IF(AV34="--", "--",
IF(AI34&lt;&gt;"O", "--",
IF(ETwadj &gt; AN34, "--",
IF(AJ34="--",
(AV34*1000)/(2*AK34*AO34*SQRT((6*AM34*ETwadj)/PI())),
(AW34*1000)/(2*AK34*AO34*SQRT((6*AM34*ETwadj)/PI())))))))</f>
        <v>--</v>
      </c>
      <c r="M34" s="192" t="str">
        <f t="shared" ref="M34:M98" si="126">IF(AP34="No","--",
IF(AV34="--","--",
IF(AI34&lt;&gt;"O","--",
IF(ETwadj&lt;AN34,"--",
IF(AJ34="--",
(AV34*1000)/(AK34*AO34*(ETwadj/(1+AL34)+(2*AM34*(1+(3*AL34)+(3*(AL34^2)))/((1+AL34)^2)))),
(AW34*1000)/(AK34*AO34*(ETwadj/(1+AL34)+(2*AM34*(1+(3*AL34)+(3*(AL34^2)))/((1+AL34)^2)))))))))</f>
        <v>--</v>
      </c>
      <c r="N34" s="190" t="str">
        <f t="shared" ref="N34:N98" si="127">IF(AND(M34="--",L34="--"),K34, IF(AND(K34="--",M34="--"), L34, M34))</f>
        <v>--</v>
      </c>
      <c r="O34" s="198" t="str">
        <f t="shared" ref="O34:O98" si="128">IF(AND(I34="--",J34="--",N34="--"),"--",IF(AND(J34="--",N34="--"),I34,IF(AND(I34="--",N34="--"),J34,IF(AND(I34="--",J34="--"),N34, IF(I34="--", (1/((1/J34)+(1/N34))), IF(J34="--", (1/((1/I34)+(1/N34))), IF(N34="--", (1/((1/I34)+(1/J34))), (1/((1/I34)+(1/J34)+(1/N34))))))))))</f>
        <v>--</v>
      </c>
      <c r="P34" s="162" t="str">
        <f t="shared" ref="P34:P98" si="129">IF(AS34="--","--",(THQ*EDc*365*BWc*1000)/(EFr*EDc*(1/AS34)*IRWc))</f>
        <v>--</v>
      </c>
      <c r="Q34" s="157" t="str">
        <f t="shared" ref="Q34:Q98" si="130">IF(AT34="--","--",IF(AH34="NV","--",(THQ*EDc*365*1000)/(EFr*EDc*ETr*(1/24)*(1/(AT34/1000))*0.5)))</f>
        <v>--</v>
      </c>
      <c r="R34" s="157" t="str">
        <f t="shared" ref="R34:R98" si="131">IF(AP34="No", "--",
IF(AX34="--","--",IF(AND(AO34="--", AI34="I"), "--", IF(AI34="I", (AX34*1000)/(AO34*ETwc), "--"))))</f>
        <v>--</v>
      </c>
      <c r="S34" s="157" t="str">
        <f t="shared" si="86"/>
        <v>--</v>
      </c>
      <c r="T34" s="157" t="str">
        <f t="shared" ref="T34:T98" si="132">IF(AP34="No", "--", IF(AX34="--","--",IF(AND(AI34="O", ETwc &gt; AN34), ((AX34*1000)/(AK34*AO34*(ETwc/(1+AL34)+(2*AM34*(1+(3*AL34)+(3*(AL34^2)))/((1+AL34)^2))))), "--")))</f>
        <v>--</v>
      </c>
      <c r="U34" s="157" t="str">
        <f t="shared" ref="U34:U98" si="133">IF(AND(T34="--",S34="--"),R34, IF(AND(R34="--",T34="--"), S34, T34))</f>
        <v>--</v>
      </c>
      <c r="V34" s="200" t="str">
        <f t="shared" ref="V34:V98" si="134">IF(AND(P34="--",Q34="--",U34="--"),"--",IF(AND(Q34="--",U34="--"),P34,IF(AND(P34="--",U34="--"),Q34,IF(AND(P34="--",Q34="--"),U34, IF(P34="--", (1/((1/Q34)+(1/U34))), IF(Q34="--", (1/((1/P34)+(1/U34))), IF(U34="--", (1/((1/P34)+(1/Q34))), (1/((1/P34)+(1/Q34)+(1/U34))))))))))</f>
        <v>--</v>
      </c>
      <c r="W34" s="186" t="str">
        <f t="shared" ref="W34:W98" si="135">IF(OR(AE34="cancer",AG34="cancer"), MIN(AD34,AF34),"--")</f>
        <v>--</v>
      </c>
      <c r="X34" s="596" t="str">
        <f t="shared" ref="X34:X98" si="136">IF(OR(AE34="noncancer",AG34="noncancer"), MIN(AD34,AF34),"--")</f>
        <v>--</v>
      </c>
      <c r="Y34" s="187" t="str">
        <f t="shared" ref="Y34:Y98" si="137">IF(AND(W34="--",X34="--"),"--",IF(AND(W34&lt;&gt;"--",W34=AD34),"OEHHA PHG",IF(AND(X34&lt;&gt;"--",X34=AD34),"OEHHA PHG","DDW NL")))</f>
        <v>--</v>
      </c>
      <c r="Z34" s="567" t="str">
        <f t="shared" ref="Z34:Z98" si="138">IF(AND(AB34="--",AC34="--"),"--",MIN(AB34,AC34))</f>
        <v>--</v>
      </c>
      <c r="AA34" s="568" t="str">
        <f t="shared" ref="AA34:AA98" si="139">IF(Z34="--","--", IF(Z34=AB34,"MCL (Primary)", IF(Z34=AC34, "MCL (Secondary)", H34)))</f>
        <v>--</v>
      </c>
      <c r="AB34" s="122" t="str">
        <f>IF(VLOOKUP("chromium iii", Table_IP_4, MATCH("mcl", heading_IP_4, 0), FALSE)=0, "-", VLOOKUP("chromium iii", Table_IP_4, MATCH("mcl", heading_IP_4, 0), FALSE))</f>
        <v>--</v>
      </c>
      <c r="AC34" s="121" t="str">
        <f>IF(VLOOKUP("chromium iii", Table_IP_4, MATCH("2-mcl", heading_IP_4, 0), FALSE)=0, "-", VLOOKUP("chromium iii", Table_IP_4, MATCH("2-mcl", heading_IP_4, 0), FALSE))</f>
        <v>--</v>
      </c>
      <c r="AD34" s="121" t="str">
        <f>IF(VLOOKUP("chromium iii", Table_IP_4, MATCH("PHG", heading_IP_4, 0), FALSE)=0, "--", VLOOKUP("chromium iii", Table_IP_4, MATCH("PHG", heading_IP_4, 0), FALSE))</f>
        <v>--</v>
      </c>
      <c r="AE34" s="121" t="str">
        <f>IF(VLOOKUP("chromium iii", Table_IP_4, MATCH("PHG-b", heading_IP_4, 0), FALSE)=0, "--", VLOOKUP("chromium iii", Table_IP_4, MATCH("PHG-b", heading_IP_4, 0), FALSE))</f>
        <v>--</v>
      </c>
      <c r="AF34" s="121" t="str">
        <f>IF(VLOOKUP("chromium iii", Table_IP_4, MATCH("NL", heading_IP_4, 0), FALSE)=0, "--", VLOOKUP("chromium iii", Table_IP_4, MATCH("NL", heading_IP_4, 0), FALSE))</f>
        <v>--</v>
      </c>
      <c r="AG34" s="121" t="str">
        <f>IF(VLOOKUP("chromium iii", Table_IP_4, MATCH("NL-b", heading_IP_4, 0), FALSE)=0, "--", VLOOKUP("chromium iii", Table_IP_4, MATCH("NL-b", heading_IP_4, 0), FALSE))</f>
        <v>--</v>
      </c>
      <c r="AH34" s="119" t="str">
        <f>VLOOKUP("chromium iii",Table_IP_1,MATCH("volatility",heading_IP_1,0),FALSE)</f>
        <v>NV</v>
      </c>
      <c r="AI34" s="119" t="str">
        <f>VLOOKUP("chromium iii",Table_IP_1,MATCH("OI",heading_IP_1,0),FALSE)</f>
        <v>I</v>
      </c>
      <c r="AJ34" s="120" t="str">
        <f t="shared" si="23"/>
        <v>--</v>
      </c>
      <c r="AK34" s="129">
        <f t="shared" ref="AK34:AK98" si="140">VLOOKUP(A34,Table_IP_2,MATCH("FA",heading_IP_2,0),FALSE)</f>
        <v>1</v>
      </c>
      <c r="AL34" s="119">
        <f t="shared" si="25"/>
        <v>2.7733969728899999E-3</v>
      </c>
      <c r="AM34" s="119">
        <f t="shared" si="26"/>
        <v>0.20560179863690001</v>
      </c>
      <c r="AN34" s="119">
        <f t="shared" si="27"/>
        <v>0.49344431672856998</v>
      </c>
      <c r="AO34" s="119">
        <f t="shared" si="28"/>
        <v>1E-3</v>
      </c>
      <c r="AP34" s="119" t="str">
        <f t="shared" si="29"/>
        <v>Yes</v>
      </c>
      <c r="AQ34" s="119" t="str">
        <f t="shared" ref="AQ34:AQ98" si="141">VLOOKUP(A34,Table_IP_2,MATCH("SFo",heading_IP_2,0),FALSE)</f>
        <v>--</v>
      </c>
      <c r="AR34" s="119" t="str">
        <f t="shared" ref="AR34:AR98" si="142">VLOOKUP(A34,Table_IP_2,MATCH("IUR",heading_IP_2,0),FALSE)</f>
        <v>--</v>
      </c>
      <c r="AS34" s="119" t="str">
        <f t="shared" ref="AS34:AS97" si="143">VLOOKUP(A34,Table_IP_2,MATCH("RfDo",heading_IP_2,0),FALSE)</f>
        <v>--</v>
      </c>
      <c r="AT34" s="119">
        <f t="shared" ref="AT34:AT98" si="144">VLOOKUP(A34,Table_IP_2,MATCH("RfC",heading_IP_2,0),FALSE)</f>
        <v>0.06</v>
      </c>
      <c r="AU34" s="119">
        <f t="shared" ref="AU34:AU98" si="145">VLOOKUP(A34,Table_IP_2,MATCH("GIABS",heading_IP_2,0),FALSE)</f>
        <v>1.2999999999999999E-2</v>
      </c>
      <c r="AV34" s="119" t="str">
        <f t="shared" ref="AV34:AV98" si="146">IF(AQ34="--","--",(TR*365*LT*1000)/((AQ34/AU34)*DFWadj))</f>
        <v>--</v>
      </c>
      <c r="AW34" s="555" t="str">
        <f t="shared" ref="AW34:AW98" si="147">IF(AQ34="--","--",(TR*365*LT*1000)/((AQ34/AU34)*DFWmadj))</f>
        <v>--</v>
      </c>
      <c r="AX34" s="124" t="str">
        <f t="shared" ref="AX34:AX98" si="148">IF(AS34="--", "--", (THQ*365*EDc*1000*BWc)/((1/(AS34*AU34))*1*EDc*EFr*SAwc))</f>
        <v>--</v>
      </c>
    </row>
    <row r="35" spans="1:50" ht="12.75" customHeight="1">
      <c r="A35" s="153" t="s">
        <v>440</v>
      </c>
      <c r="B35" s="185" t="s">
        <v>136</v>
      </c>
      <c r="C35" s="566" t="str">
        <f t="shared" ref="C35" si="149">IF(Z35&lt;&gt;"--",Z35,"--")</f>
        <v>--</v>
      </c>
      <c r="D35" s="586" t="str">
        <f t="shared" ref="D35" si="150">IF(C35="--","--", AA35)</f>
        <v>--</v>
      </c>
      <c r="E35" s="182" t="str">
        <f t="shared" ref="E35" si="151">IF(AND(O35="--",W35="--"),"--", IF(O35="--",W35,IF(W35="--",O35,MIN(O35,W35))))</f>
        <v>--</v>
      </c>
      <c r="F35" s="609" t="str">
        <f t="shared" ref="F35" si="152">IF(E35="--","--",IF(E35=O35,"Tapwater",Y35))</f>
        <v>--</v>
      </c>
      <c r="G35" s="182">
        <f t="shared" ref="G35" si="153">IF(AND(V35="--",X35="--"),"--", IF(V35="--",X35,IF(X35="--",V35,MIN(V35,X35))))</f>
        <v>22466.926978936172</v>
      </c>
      <c r="H35" s="183" t="str">
        <f t="shared" ref="H35" si="154">IF(G35="--","--",IF(G35=V35,"Tapwater",Y35))</f>
        <v>Tapwater</v>
      </c>
      <c r="I35" s="188" t="str">
        <f t="shared" ref="I35" si="155">IF(AQ35="--","--",
IF(AJ35="--",
(TR*365*LT*1000)/(AQ35*IFWadj),
(TR*365*LT*1000)/(AQ35*IFWmadj)))</f>
        <v>--</v>
      </c>
      <c r="J35" s="157" t="str">
        <f t="shared" ref="J35" si="156">IF(AR35="--","--",
IF(AH35="NV","--",
IF(AJ35="--",
(TR*365*LT)/(EFr*EDr*ETr*(1/24)*AR35*0.5),
(TR*365*LT)/(TETmadj*AR35*0.5))))</f>
        <v>--</v>
      </c>
      <c r="K35" s="190" t="str">
        <f t="shared" ref="K35" si="157">IF(AP35="No", "--",
IF(AV35="--","--",
IF(AND(AO35=0, AI35="I"), "--",
IF(AI35&lt;&gt;"I","--",
IF(AJ35="--",
(AV35*1000)/(AO35*ETwadj),
(AW35*1000)/(AO35*ETwadj))))))</f>
        <v>--</v>
      </c>
      <c r="L35" s="157" t="str">
        <f t="shared" ref="L35" si="158">IF(AP35="No", "--",
IF(AV35="--", "--",
IF(AI35&lt;&gt;"O", "--",
IF(ETwadj &gt; AN35, "--",
IF(AJ35="--",
(AV35*1000)/(2*AK35*AO35*SQRT((6*AM35*ETwadj)/PI())),
(AW35*1000)/(2*AK35*AO35*SQRT((6*AM35*ETwadj)/PI())))))))</f>
        <v>--</v>
      </c>
      <c r="M35" s="192" t="str">
        <f t="shared" ref="M35" si="159">IF(AP35="No","--",
IF(AV35="--","--",
IF(AI35&lt;&gt;"O","--",
IF(ETwadj&lt;AN35,"--",
IF(AJ35="--",
(AV35*1000)/(AK35*AO35*(ETwadj/(1+AL35)+(2*AM35*(1+(3*AL35)+(3*(AL35^2)))/((1+AL35)^2)))),
(AW35*1000)/(AK35*AO35*(ETwadj/(1+AL35)+(2*AM35*(1+(3*AL35)+(3*(AL35^2)))/((1+AL35)^2)))))))))</f>
        <v>--</v>
      </c>
      <c r="N35" s="190" t="str">
        <f t="shared" ref="N35" si="160">IF(AND(M35="--",L35="--"),K35, IF(AND(K35="--",M35="--"), L35, M35))</f>
        <v>--</v>
      </c>
      <c r="O35" s="198" t="str">
        <f t="shared" ref="O35" si="161">IF(AND(I35="--",J35="--",N35="--"),"--",IF(AND(J35="--",N35="--"),I35,IF(AND(I35="--",N35="--"),J35,IF(AND(I35="--",J35="--"),N35, IF(I35="--", (1/((1/J35)+(1/N35))), IF(J35="--", (1/((1/I35)+(1/N35))), IF(N35="--", (1/((1/I35)+(1/J35))), (1/((1/I35)+(1/J35)+(1/N35))))))))))</f>
        <v>--</v>
      </c>
      <c r="P35" s="162">
        <f t="shared" ref="P35" si="162">IF(AS35="--","--",(THQ*EDc*365*BWc*1000)/(EFr*EDc*(1/AS35)*IRWc))</f>
        <v>30082.417582417584</v>
      </c>
      <c r="Q35" s="157" t="str">
        <f t="shared" ref="Q35" si="163">IF(AT35="--","--",IF(AH35="NV","--",(THQ*EDc*365*1000)/(EFr*EDc*ETr*(1/24)*(1/(AT35/1000))*0.5)))</f>
        <v>--</v>
      </c>
      <c r="R35" s="157">
        <f t="shared" ref="R35" si="164">IF(AP35="No", "--",
IF(AX35="--","--",IF(AND(AO35="--", AI35="I"), "--", IF(AI35="I", (AX35*1000)/(AO35*ETwc), "--"))))</f>
        <v>88747.989376426136</v>
      </c>
      <c r="S35" s="157" t="str">
        <f t="shared" ref="S35" si="165">IF(AP35="No", "--",IF(OR(AX35="--",AL35="--",AK35="--"),"--",IF(AND(AI35="O", ETwc &lt; AN35), (AX35*1000)/(2*AK35*AO35*SQRT((6*AM35*ETwc)/PI())), "--")))</f>
        <v>--</v>
      </c>
      <c r="T35" s="157" t="str">
        <f t="shared" ref="T35" si="166">IF(AP35="No", "--", IF(AX35="--","--",IF(AND(AI35="O", ETwc &gt; AN35), ((AX35*1000)/(AK35*AO35*(ETwc/(1+AL35)+(2*AM35*(1+(3*AL35)+(3*(AL35^2)))/((1+AL35)^2))))), "--")))</f>
        <v>--</v>
      </c>
      <c r="U35" s="157">
        <f t="shared" ref="U35" si="167">IF(AND(T35="--",S35="--"),R35, IF(AND(R35="--",T35="--"), S35, T35))</f>
        <v>88747.989376426136</v>
      </c>
      <c r="V35" s="200">
        <f t="shared" ref="V35" si="168">IF(AND(P35="--",Q35="--",U35="--"),"--",IF(AND(Q35="--",U35="--"),P35,IF(AND(P35="--",U35="--"),Q35,IF(AND(P35="--",Q35="--"),U35, IF(P35="--", (1/((1/Q35)+(1/U35))), IF(Q35="--", (1/((1/P35)+(1/U35))), IF(U35="--", (1/((1/P35)+(1/Q35))), (1/((1/P35)+(1/Q35)+(1/U35))))))))))</f>
        <v>22466.926978936172</v>
      </c>
      <c r="W35" s="186" t="str">
        <f t="shared" ref="W35" si="169">IF(OR(AE35="cancer",AG35="cancer"), MIN(AD35,AF35),"--")</f>
        <v>--</v>
      </c>
      <c r="X35" s="596" t="str">
        <f t="shared" ref="X35" si="170">IF(OR(AE35="noncancer",AG35="noncancer"), MIN(AD35,AF35),"--")</f>
        <v>--</v>
      </c>
      <c r="Y35" s="187" t="str">
        <f t="shared" ref="Y35" si="171">IF(AND(W35="--",X35="--"),"--",IF(AND(W35&lt;&gt;"--",W35=AD35),"OEHHA PHG",IF(AND(X35&lt;&gt;"--",X35=AD35),"OEHHA PHG","DDW NL")))</f>
        <v>--</v>
      </c>
      <c r="Z35" s="567" t="str">
        <f t="shared" ref="Z35" si="172">IF(AND(AB35="--",AC35="--"),"--",MIN(AB35,AC35))</f>
        <v>--</v>
      </c>
      <c r="AA35" s="568" t="str">
        <f t="shared" ref="AA35" si="173">IF(Z35="--","--", IF(Z35=AB35,"MCL (Primary)", IF(Z35=AC35, "MCL (Secondary)", H35)))</f>
        <v>--</v>
      </c>
      <c r="AB35" s="122" t="str">
        <f>IF(VLOOKUP("chromium iii", Table_IP_4, MATCH("mcl", heading_IP_4, 0), FALSE)=0, "-", VLOOKUP("chromium iii", Table_IP_4, MATCH("mcl", heading_IP_4, 0), FALSE))</f>
        <v>--</v>
      </c>
      <c r="AC35" s="121" t="str">
        <f>IF(VLOOKUP("chromium iii", Table_IP_4, MATCH("2-mcl", heading_IP_4, 0), FALSE)=0, "-", VLOOKUP("chromium iii", Table_IP_4, MATCH("2-mcl", heading_IP_4, 0), FALSE))</f>
        <v>--</v>
      </c>
      <c r="AD35" s="121" t="str">
        <f>IF(VLOOKUP("chromium iii", Table_IP_4, MATCH("PHG", heading_IP_4, 0), FALSE)=0, "--", VLOOKUP("chromium iii", Table_IP_4, MATCH("PHG", heading_IP_4, 0), FALSE))</f>
        <v>--</v>
      </c>
      <c r="AE35" s="121" t="str">
        <f>IF(VLOOKUP("chromium iii", Table_IP_4, MATCH("PHG-b", heading_IP_4, 0), FALSE)=0, "--", VLOOKUP("chromium iii", Table_IP_4, MATCH("PHG-b", heading_IP_4, 0), FALSE))</f>
        <v>--</v>
      </c>
      <c r="AF35" s="121" t="str">
        <f>IF(VLOOKUP("chromium iii", Table_IP_4, MATCH("NL", heading_IP_4, 0), FALSE)=0, "--", VLOOKUP("chromium iii", Table_IP_4, MATCH("NL", heading_IP_4, 0), FALSE))</f>
        <v>--</v>
      </c>
      <c r="AG35" s="121" t="str">
        <f>IF(VLOOKUP("chromium iii", Table_IP_4, MATCH("NL-b", heading_IP_4, 0), FALSE)=0, "--", VLOOKUP("chromium iii", Table_IP_4, MATCH("NL-b", heading_IP_4, 0), FALSE))</f>
        <v>--</v>
      </c>
      <c r="AH35" s="119" t="str">
        <f>VLOOKUP("chromium iii",Table_IP_1,MATCH("volatility",heading_IP_1,0),FALSE)</f>
        <v>NV</v>
      </c>
      <c r="AI35" s="119" t="str">
        <f>VLOOKUP("chromium iii",Table_IP_1,MATCH("OI",heading_IP_1,0),FALSE)</f>
        <v>I</v>
      </c>
      <c r="AJ35" s="120" t="str">
        <f t="shared" si="23"/>
        <v>--</v>
      </c>
      <c r="AK35" s="129">
        <f t="shared" ref="AK35" si="174">VLOOKUP(A35,Table_IP_2,MATCH("FA",heading_IP_2,0),FALSE)</f>
        <v>1</v>
      </c>
      <c r="AL35" s="119">
        <f t="shared" si="25"/>
        <v>2.7733969728899999E-3</v>
      </c>
      <c r="AM35" s="119">
        <f t="shared" si="26"/>
        <v>0.20560179863690001</v>
      </c>
      <c r="AN35" s="119">
        <f t="shared" si="27"/>
        <v>0.49344431672856998</v>
      </c>
      <c r="AO35" s="119">
        <f t="shared" si="28"/>
        <v>1E-3</v>
      </c>
      <c r="AP35" s="119" t="str">
        <f t="shared" si="29"/>
        <v>Yes</v>
      </c>
      <c r="AQ35" s="119" t="str">
        <f t="shared" ref="AQ35" si="175">VLOOKUP(A35,Table_IP_2,MATCH("SFo",heading_IP_2,0),FALSE)</f>
        <v>--</v>
      </c>
      <c r="AR35" s="119" t="str">
        <f t="shared" ref="AR35" si="176">VLOOKUP(A35,Table_IP_2,MATCH("IUR",heading_IP_2,0),FALSE)</f>
        <v>--</v>
      </c>
      <c r="AS35" s="119">
        <f t="shared" ref="AS35" si="177">VLOOKUP(A35,Table_IP_2,MATCH("RfDo",heading_IP_2,0),FALSE)</f>
        <v>1.5</v>
      </c>
      <c r="AT35" s="119" t="str">
        <f t="shared" ref="AT35" si="178">VLOOKUP(A35,Table_IP_2,MATCH("RfC",heading_IP_2,0),FALSE)</f>
        <v>--</v>
      </c>
      <c r="AU35" s="119">
        <f t="shared" ref="AU35" si="179">VLOOKUP(A35,Table_IP_2,MATCH("GIABS",heading_IP_2,0),FALSE)</f>
        <v>1.2999999999999999E-2</v>
      </c>
      <c r="AV35" s="119" t="str">
        <f t="shared" ref="AV35" si="180">IF(AQ35="--","--",(TR*365*LT*1000)/((AQ35/AU35)*DFWadj))</f>
        <v>--</v>
      </c>
      <c r="AW35" s="555" t="str">
        <f t="shared" ref="AW35" si="181">IF(AQ35="--","--",(TR*365*LT*1000)/((AQ35/AU35)*DFWmadj))</f>
        <v>--</v>
      </c>
      <c r="AX35" s="124">
        <f t="shared" ref="AX35" si="182">IF(AS35="--", "--", (THQ*365*EDc*1000*BWc)/((1/(AS35*AU35))*1*EDc*EFr*SAwc))</f>
        <v>4.7923914263270112E-2</v>
      </c>
    </row>
    <row r="36" spans="1:50" ht="12.75" customHeight="1">
      <c r="A36" s="153" t="s">
        <v>137</v>
      </c>
      <c r="B36" s="185" t="s">
        <v>138</v>
      </c>
      <c r="C36" s="566">
        <f t="shared" si="38"/>
        <v>10</v>
      </c>
      <c r="D36" s="586" t="str">
        <f t="shared" si="39"/>
        <v>MCL (Primary)</v>
      </c>
      <c r="E36" s="182">
        <f t="shared" si="118"/>
        <v>0.02</v>
      </c>
      <c r="F36" s="609" t="str">
        <f t="shared" si="119"/>
        <v>OEHHA PHG</v>
      </c>
      <c r="G36" s="182">
        <f t="shared" si="120"/>
        <v>13.345022245766152</v>
      </c>
      <c r="H36" s="183" t="str">
        <f t="shared" si="121"/>
        <v>Tapwater</v>
      </c>
      <c r="I36" s="188">
        <f t="shared" si="122"/>
        <v>5.0102951269732326E-2</v>
      </c>
      <c r="J36" s="157" t="str">
        <f t="shared" si="123"/>
        <v>--</v>
      </c>
      <c r="K36" s="190">
        <f t="shared" si="124"/>
        <v>0.11624847811265326</v>
      </c>
      <c r="L36" s="157" t="str">
        <f t="shared" si="125"/>
        <v>--</v>
      </c>
      <c r="M36" s="192" t="str">
        <f t="shared" si="126"/>
        <v>--</v>
      </c>
      <c r="N36" s="190">
        <f t="shared" si="127"/>
        <v>0.11624847811265326</v>
      </c>
      <c r="O36" s="198">
        <f t="shared" si="128"/>
        <v>3.5012574617982434E-2</v>
      </c>
      <c r="P36" s="162">
        <f t="shared" si="129"/>
        <v>18.049450549450547</v>
      </c>
      <c r="Q36" s="157" t="str">
        <f t="shared" si="130"/>
        <v>--</v>
      </c>
      <c r="R36" s="157">
        <f t="shared" si="131"/>
        <v>51.200763101784304</v>
      </c>
      <c r="S36" s="157" t="str">
        <f t="shared" si="86"/>
        <v>--</v>
      </c>
      <c r="T36" s="157" t="str">
        <f t="shared" si="132"/>
        <v>--</v>
      </c>
      <c r="U36" s="157">
        <f t="shared" si="133"/>
        <v>51.200763101784304</v>
      </c>
      <c r="V36" s="200">
        <f t="shared" si="134"/>
        <v>13.345022245766152</v>
      </c>
      <c r="W36" s="186">
        <f t="shared" si="135"/>
        <v>0.02</v>
      </c>
      <c r="X36" s="596" t="str">
        <f t="shared" si="136"/>
        <v>--</v>
      </c>
      <c r="Y36" s="187" t="str">
        <f t="shared" si="137"/>
        <v>OEHHA PHG</v>
      </c>
      <c r="Z36" s="567">
        <f t="shared" si="138"/>
        <v>10</v>
      </c>
      <c r="AA36" s="568" t="str">
        <f t="shared" si="139"/>
        <v>MCL (Primary)</v>
      </c>
      <c r="AB36" s="122">
        <f t="shared" si="15"/>
        <v>10</v>
      </c>
      <c r="AC36" s="121" t="str">
        <f t="shared" si="16"/>
        <v>--</v>
      </c>
      <c r="AD36" s="121">
        <f t="shared" si="17"/>
        <v>0.02</v>
      </c>
      <c r="AE36" s="121" t="str">
        <f t="shared" si="18"/>
        <v>Cancer</v>
      </c>
      <c r="AF36" s="121" t="str">
        <f t="shared" si="19"/>
        <v>--</v>
      </c>
      <c r="AG36" s="121" t="str">
        <f t="shared" si="20"/>
        <v>--</v>
      </c>
      <c r="AH36" s="119" t="str">
        <f t="shared" si="21"/>
        <v>NV</v>
      </c>
      <c r="AI36" s="119" t="str">
        <f t="shared" si="22"/>
        <v>I</v>
      </c>
      <c r="AJ36" s="120" t="str">
        <f t="shared" si="23"/>
        <v>Yes</v>
      </c>
      <c r="AK36" s="129">
        <f t="shared" si="140"/>
        <v>1</v>
      </c>
      <c r="AL36" s="119">
        <f t="shared" si="25"/>
        <v>5.5470019622500004E-3</v>
      </c>
      <c r="AM36" s="119">
        <f t="shared" si="26"/>
        <v>0.20561213829439001</v>
      </c>
      <c r="AN36" s="119">
        <f t="shared" si="27"/>
        <v>0.49346913190653002</v>
      </c>
      <c r="AO36" s="119">
        <f t="shared" si="28"/>
        <v>2E-3</v>
      </c>
      <c r="AP36" s="119" t="str">
        <f t="shared" si="29"/>
        <v>Yes</v>
      </c>
      <c r="AQ36" s="119">
        <f t="shared" si="141"/>
        <v>0.5</v>
      </c>
      <c r="AR36" s="119">
        <f t="shared" si="142"/>
        <v>0.15</v>
      </c>
      <c r="AS36" s="119">
        <f t="shared" si="143"/>
        <v>8.9999999999999998E-4</v>
      </c>
      <c r="AT36" s="119">
        <f t="shared" si="144"/>
        <v>0.03</v>
      </c>
      <c r="AU36" s="119">
        <f t="shared" si="145"/>
        <v>2.5000000000000001E-2</v>
      </c>
      <c r="AV36" s="119">
        <f t="shared" si="146"/>
        <v>4.893417348169996E-7</v>
      </c>
      <c r="AW36" s="555">
        <f t="shared" si="147"/>
        <v>1.5595180448343635E-7</v>
      </c>
      <c r="AX36" s="124">
        <f t="shared" si="148"/>
        <v>5.5296824149927049E-5</v>
      </c>
    </row>
    <row r="37" spans="1:50" ht="11.25">
      <c r="A37" s="153" t="s">
        <v>139</v>
      </c>
      <c r="B37" s="185" t="s">
        <v>140</v>
      </c>
      <c r="C37" s="566" t="str">
        <f t="shared" si="38"/>
        <v>--</v>
      </c>
      <c r="D37" s="586" t="str">
        <f t="shared" si="39"/>
        <v>--</v>
      </c>
      <c r="E37" s="182" t="str">
        <f t="shared" si="118"/>
        <v>--</v>
      </c>
      <c r="F37" s="609" t="str">
        <f t="shared" si="119"/>
        <v>--</v>
      </c>
      <c r="G37" s="182">
        <f t="shared" si="120"/>
        <v>6.0058974292762528</v>
      </c>
      <c r="H37" s="183" t="str">
        <f t="shared" si="121"/>
        <v>Tapwater</v>
      </c>
      <c r="I37" s="188" t="str">
        <f t="shared" si="122"/>
        <v>--</v>
      </c>
      <c r="J37" s="157" t="str">
        <f t="shared" si="123"/>
        <v>--</v>
      </c>
      <c r="K37" s="190" t="str">
        <f t="shared" si="124"/>
        <v>--</v>
      </c>
      <c r="L37" s="157" t="str">
        <f t="shared" si="125"/>
        <v>--</v>
      </c>
      <c r="M37" s="192" t="str">
        <f t="shared" si="126"/>
        <v>--</v>
      </c>
      <c r="N37" s="190" t="str">
        <f t="shared" si="127"/>
        <v>--</v>
      </c>
      <c r="O37" s="198" t="str">
        <f t="shared" si="128"/>
        <v>--</v>
      </c>
      <c r="P37" s="162">
        <f t="shared" si="129"/>
        <v>6.0164835164835164</v>
      </c>
      <c r="Q37" s="157" t="str">
        <f t="shared" si="130"/>
        <v>--</v>
      </c>
      <c r="R37" s="157">
        <f t="shared" si="131"/>
        <v>3413.3842067856203</v>
      </c>
      <c r="S37" s="157" t="str">
        <f t="shared" si="86"/>
        <v>--</v>
      </c>
      <c r="T37" s="157" t="str">
        <f t="shared" si="132"/>
        <v>--</v>
      </c>
      <c r="U37" s="157">
        <f t="shared" si="133"/>
        <v>3413.3842067856203</v>
      </c>
      <c r="V37" s="200">
        <f t="shared" si="134"/>
        <v>6.0058974292762528</v>
      </c>
      <c r="W37" s="186" t="str">
        <f t="shared" si="135"/>
        <v>--</v>
      </c>
      <c r="X37" s="596" t="str">
        <f t="shared" si="136"/>
        <v>--</v>
      </c>
      <c r="Y37" s="187" t="str">
        <f t="shared" si="137"/>
        <v>--</v>
      </c>
      <c r="Z37" s="567" t="str">
        <f t="shared" si="138"/>
        <v>--</v>
      </c>
      <c r="AA37" s="568" t="str">
        <f t="shared" si="139"/>
        <v>--</v>
      </c>
      <c r="AB37" s="122" t="str">
        <f t="shared" si="15"/>
        <v>--</v>
      </c>
      <c r="AC37" s="121" t="str">
        <f t="shared" si="16"/>
        <v>--</v>
      </c>
      <c r="AD37" s="121" t="str">
        <f t="shared" si="17"/>
        <v>--</v>
      </c>
      <c r="AE37" s="121" t="str">
        <f t="shared" si="18"/>
        <v>--</v>
      </c>
      <c r="AF37" s="121" t="str">
        <f t="shared" si="19"/>
        <v>--</v>
      </c>
      <c r="AG37" s="121" t="str">
        <f t="shared" si="20"/>
        <v>--</v>
      </c>
      <c r="AH37" s="119" t="str">
        <f t="shared" si="21"/>
        <v>NV</v>
      </c>
      <c r="AI37" s="119" t="str">
        <f t="shared" si="22"/>
        <v>I</v>
      </c>
      <c r="AJ37" s="120" t="str">
        <f t="shared" si="23"/>
        <v>--</v>
      </c>
      <c r="AK37" s="129">
        <f t="shared" si="140"/>
        <v>1</v>
      </c>
      <c r="AL37" s="119">
        <f t="shared" si="25"/>
        <v>1.1810135051799999E-3</v>
      </c>
      <c r="AM37" s="119">
        <f t="shared" si="26"/>
        <v>0.22483128860585</v>
      </c>
      <c r="AN37" s="119">
        <f t="shared" si="27"/>
        <v>0.53959509265405003</v>
      </c>
      <c r="AO37" s="119">
        <f t="shared" si="28"/>
        <v>4.0000000000000002E-4</v>
      </c>
      <c r="AP37" s="119" t="str">
        <f t="shared" si="29"/>
        <v>Yes</v>
      </c>
      <c r="AQ37" s="119" t="str">
        <f t="shared" si="141"/>
        <v>--</v>
      </c>
      <c r="AR37" s="119">
        <f t="shared" si="142"/>
        <v>8.9999999999999993E-3</v>
      </c>
      <c r="AS37" s="119">
        <f t="shared" si="143"/>
        <v>2.9999999999999997E-4</v>
      </c>
      <c r="AT37" s="119">
        <f t="shared" si="144"/>
        <v>6.0000000000000001E-3</v>
      </c>
      <c r="AU37" s="119">
        <f t="shared" si="145"/>
        <v>1</v>
      </c>
      <c r="AV37" s="119" t="str">
        <f t="shared" si="146"/>
        <v>--</v>
      </c>
      <c r="AW37" s="555" t="str">
        <f t="shared" si="147"/>
        <v>--</v>
      </c>
      <c r="AX37" s="124">
        <f t="shared" si="148"/>
        <v>7.3729098866569406E-4</v>
      </c>
    </row>
    <row r="38" spans="1:50" ht="12.75" customHeight="1">
      <c r="A38" s="153" t="s">
        <v>141</v>
      </c>
      <c r="B38" s="185" t="s">
        <v>142</v>
      </c>
      <c r="C38" s="566">
        <f t="shared" si="38"/>
        <v>1000</v>
      </c>
      <c r="D38" s="586" t="str">
        <f t="shared" si="39"/>
        <v>MCL (Secondary)</v>
      </c>
      <c r="E38" s="182" t="str">
        <f t="shared" si="118"/>
        <v>--</v>
      </c>
      <c r="F38" s="609" t="str">
        <f t="shared" si="119"/>
        <v>--</v>
      </c>
      <c r="G38" s="182">
        <f t="shared" si="120"/>
        <v>300</v>
      </c>
      <c r="H38" s="183" t="str">
        <f t="shared" si="121"/>
        <v>OEHHA PHG</v>
      </c>
      <c r="I38" s="188" t="str">
        <f t="shared" si="122"/>
        <v>--</v>
      </c>
      <c r="J38" s="157" t="str">
        <f t="shared" si="123"/>
        <v>--</v>
      </c>
      <c r="K38" s="190" t="str">
        <f t="shared" si="124"/>
        <v>--</v>
      </c>
      <c r="L38" s="157" t="str">
        <f t="shared" si="125"/>
        <v>--</v>
      </c>
      <c r="M38" s="192" t="str">
        <f t="shared" si="126"/>
        <v>--</v>
      </c>
      <c r="N38" s="190" t="str">
        <f t="shared" si="127"/>
        <v>--</v>
      </c>
      <c r="O38" s="198" t="str">
        <f t="shared" si="128"/>
        <v>--</v>
      </c>
      <c r="P38" s="162">
        <f t="shared" si="129"/>
        <v>802.19780219780216</v>
      </c>
      <c r="Q38" s="157" t="str">
        <f t="shared" si="130"/>
        <v>--</v>
      </c>
      <c r="R38" s="157">
        <f t="shared" si="131"/>
        <v>182047.15769523309</v>
      </c>
      <c r="S38" s="157" t="str">
        <f t="shared" si="86"/>
        <v>--</v>
      </c>
      <c r="T38" s="157" t="str">
        <f t="shared" si="132"/>
        <v>--</v>
      </c>
      <c r="U38" s="157">
        <f t="shared" si="133"/>
        <v>182047.15769523309</v>
      </c>
      <c r="V38" s="200">
        <f t="shared" si="134"/>
        <v>798.67839513125648</v>
      </c>
      <c r="W38" s="186" t="str">
        <f t="shared" si="135"/>
        <v>--</v>
      </c>
      <c r="X38" s="596">
        <f t="shared" si="136"/>
        <v>300</v>
      </c>
      <c r="Y38" s="187" t="str">
        <f t="shared" si="137"/>
        <v>OEHHA PHG</v>
      </c>
      <c r="Z38" s="567">
        <f t="shared" si="138"/>
        <v>1000</v>
      </c>
      <c r="AA38" s="568" t="str">
        <f t="shared" si="139"/>
        <v>MCL (Secondary)</v>
      </c>
      <c r="AB38" s="122">
        <f t="shared" si="15"/>
        <v>1300</v>
      </c>
      <c r="AC38" s="121">
        <f t="shared" si="16"/>
        <v>1000</v>
      </c>
      <c r="AD38" s="121">
        <f t="shared" si="17"/>
        <v>300</v>
      </c>
      <c r="AE38" s="121" t="str">
        <f t="shared" si="18"/>
        <v>Noncancer</v>
      </c>
      <c r="AF38" s="121" t="str">
        <f t="shared" si="19"/>
        <v>--</v>
      </c>
      <c r="AG38" s="121" t="str">
        <f t="shared" si="20"/>
        <v>--</v>
      </c>
      <c r="AH38" s="119" t="str">
        <f t="shared" si="21"/>
        <v>NV</v>
      </c>
      <c r="AI38" s="119" t="str">
        <f t="shared" si="22"/>
        <v>I</v>
      </c>
      <c r="AJ38" s="120" t="str">
        <f t="shared" si="23"/>
        <v>--</v>
      </c>
      <c r="AK38" s="129">
        <f t="shared" si="140"/>
        <v>1</v>
      </c>
      <c r="AL38" s="119">
        <f t="shared" si="25"/>
        <v>3.0659901920899999E-3</v>
      </c>
      <c r="AM38" s="119">
        <f t="shared" si="26"/>
        <v>0.23861972980983001</v>
      </c>
      <c r="AN38" s="119">
        <f t="shared" si="27"/>
        <v>0.57268735154359995</v>
      </c>
      <c r="AO38" s="119">
        <f t="shared" si="28"/>
        <v>1E-3</v>
      </c>
      <c r="AP38" s="119" t="str">
        <f t="shared" si="29"/>
        <v>Yes</v>
      </c>
      <c r="AQ38" s="119" t="str">
        <f t="shared" si="141"/>
        <v>--</v>
      </c>
      <c r="AR38" s="119" t="str">
        <f t="shared" si="142"/>
        <v>--</v>
      </c>
      <c r="AS38" s="119">
        <f t="shared" si="143"/>
        <v>0.04</v>
      </c>
      <c r="AT38" s="119" t="str">
        <f t="shared" si="144"/>
        <v>--</v>
      </c>
      <c r="AU38" s="119">
        <f t="shared" si="145"/>
        <v>1</v>
      </c>
      <c r="AV38" s="119" t="str">
        <f t="shared" si="146"/>
        <v>--</v>
      </c>
      <c r="AW38" s="555" t="str">
        <f t="shared" si="147"/>
        <v>--</v>
      </c>
      <c r="AX38" s="124">
        <f t="shared" si="148"/>
        <v>9.8305465155425875E-2</v>
      </c>
    </row>
    <row r="39" spans="1:50" ht="12.75" customHeight="1">
      <c r="A39" s="153" t="s">
        <v>143</v>
      </c>
      <c r="B39" s="185" t="s">
        <v>144</v>
      </c>
      <c r="C39" s="566">
        <f t="shared" si="38"/>
        <v>150</v>
      </c>
      <c r="D39" s="586" t="str">
        <f t="shared" si="39"/>
        <v>MCL (Primary)</v>
      </c>
      <c r="E39" s="182" t="str">
        <f t="shared" si="118"/>
        <v>--</v>
      </c>
      <c r="F39" s="609" t="str">
        <f t="shared" si="119"/>
        <v>--</v>
      </c>
      <c r="G39" s="182">
        <f t="shared" si="120"/>
        <v>1.4645870965503094</v>
      </c>
      <c r="H39" s="183" t="str">
        <f t="shared" si="121"/>
        <v>Tapwater</v>
      </c>
      <c r="I39" s="188" t="str">
        <f t="shared" si="122"/>
        <v>--</v>
      </c>
      <c r="J39" s="157" t="str">
        <f t="shared" si="123"/>
        <v>--</v>
      </c>
      <c r="K39" s="190" t="str">
        <f t="shared" si="124"/>
        <v>--</v>
      </c>
      <c r="L39" s="157" t="str">
        <f t="shared" si="125"/>
        <v>--</v>
      </c>
      <c r="M39" s="192" t="str">
        <f t="shared" si="126"/>
        <v>--</v>
      </c>
      <c r="N39" s="190" t="str">
        <f t="shared" si="127"/>
        <v>--</v>
      </c>
      <c r="O39" s="198" t="str">
        <f t="shared" si="128"/>
        <v>--</v>
      </c>
      <c r="P39" s="162">
        <f t="shared" si="129"/>
        <v>12.032967032967033</v>
      </c>
      <c r="Q39" s="157">
        <f t="shared" si="130"/>
        <v>1.6685714285714286</v>
      </c>
      <c r="R39" s="157">
        <f t="shared" si="131"/>
        <v>2730.7073654284968</v>
      </c>
      <c r="S39" s="157" t="str">
        <f t="shared" si="86"/>
        <v>--</v>
      </c>
      <c r="T39" s="157" t="str">
        <f t="shared" si="132"/>
        <v>--</v>
      </c>
      <c r="U39" s="157">
        <f t="shared" si="133"/>
        <v>2730.7073654284968</v>
      </c>
      <c r="V39" s="200">
        <f t="shared" si="134"/>
        <v>1.4645870965503094</v>
      </c>
      <c r="W39" s="186" t="str">
        <f t="shared" si="135"/>
        <v>--</v>
      </c>
      <c r="X39" s="596">
        <f t="shared" si="136"/>
        <v>150</v>
      </c>
      <c r="Y39" s="187" t="str">
        <f t="shared" si="137"/>
        <v>OEHHA PHG</v>
      </c>
      <c r="Z39" s="567">
        <f t="shared" si="138"/>
        <v>150</v>
      </c>
      <c r="AA39" s="568" t="str">
        <f t="shared" si="139"/>
        <v>MCL (Primary)</v>
      </c>
      <c r="AB39" s="122">
        <f t="shared" si="15"/>
        <v>150</v>
      </c>
      <c r="AC39" s="121" t="str">
        <f t="shared" si="16"/>
        <v>--</v>
      </c>
      <c r="AD39" s="121">
        <f t="shared" si="17"/>
        <v>150</v>
      </c>
      <c r="AE39" s="121" t="str">
        <f t="shared" si="18"/>
        <v>Noncancer</v>
      </c>
      <c r="AF39" s="121" t="str">
        <f t="shared" si="19"/>
        <v>--</v>
      </c>
      <c r="AG39" s="121" t="str">
        <f t="shared" si="20"/>
        <v>--</v>
      </c>
      <c r="AH39" s="119" t="str">
        <f t="shared" si="21"/>
        <v>V</v>
      </c>
      <c r="AI39" s="119" t="str">
        <f t="shared" si="22"/>
        <v>I</v>
      </c>
      <c r="AJ39" s="120" t="str">
        <f t="shared" si="23"/>
        <v>--</v>
      </c>
      <c r="AK39" s="129">
        <f t="shared" si="140"/>
        <v>1</v>
      </c>
      <c r="AL39" s="119">
        <f t="shared" si="25"/>
        <v>1.9618400974699998E-3</v>
      </c>
      <c r="AM39" s="119">
        <f t="shared" si="26"/>
        <v>0.14707862110785999</v>
      </c>
      <c r="AN39" s="119">
        <f t="shared" si="27"/>
        <v>0.35298869065886002</v>
      </c>
      <c r="AO39" s="119">
        <f t="shared" si="28"/>
        <v>1E-3</v>
      </c>
      <c r="AP39" s="119" t="str">
        <f t="shared" si="29"/>
        <v>Yes</v>
      </c>
      <c r="AQ39" s="119" t="str">
        <f t="shared" si="141"/>
        <v>--</v>
      </c>
      <c r="AR39" s="119" t="str">
        <f t="shared" si="142"/>
        <v>--</v>
      </c>
      <c r="AS39" s="119">
        <f t="shared" si="143"/>
        <v>5.9999999999999995E-4</v>
      </c>
      <c r="AT39" s="119">
        <f t="shared" si="144"/>
        <v>0.8</v>
      </c>
      <c r="AU39" s="119">
        <f t="shared" si="145"/>
        <v>1</v>
      </c>
      <c r="AV39" s="119" t="str">
        <f t="shared" si="146"/>
        <v>--</v>
      </c>
      <c r="AW39" s="555" t="str">
        <f t="shared" si="147"/>
        <v>--</v>
      </c>
      <c r="AX39" s="124">
        <f t="shared" si="148"/>
        <v>1.4745819773313881E-3</v>
      </c>
    </row>
    <row r="40" spans="1:50" ht="12.75" customHeight="1">
      <c r="A40" s="153" t="s">
        <v>145</v>
      </c>
      <c r="B40" s="185" t="s">
        <v>146</v>
      </c>
      <c r="C40" s="566">
        <f t="shared" si="38"/>
        <v>80</v>
      </c>
      <c r="D40" s="586" t="str">
        <f t="shared" si="39"/>
        <v>MCL (Primary)</v>
      </c>
      <c r="E40" s="182">
        <f t="shared" si="118"/>
        <v>0.1</v>
      </c>
      <c r="F40" s="609" t="str">
        <f t="shared" si="119"/>
        <v>OEHHA PHG</v>
      </c>
      <c r="G40" s="182">
        <f t="shared" si="120"/>
        <v>378.5776477689576</v>
      </c>
      <c r="H40" s="183" t="str">
        <f t="shared" si="121"/>
        <v>Tapwater</v>
      </c>
      <c r="I40" s="188">
        <f t="shared" si="122"/>
        <v>0.92747878233470549</v>
      </c>
      <c r="J40" s="157" t="str">
        <f t="shared" si="123"/>
        <v>--</v>
      </c>
      <c r="K40" s="190" t="str">
        <f t="shared" si="124"/>
        <v>--</v>
      </c>
      <c r="L40" s="157">
        <f t="shared" si="125"/>
        <v>14.339681276682365</v>
      </c>
      <c r="M40" s="192" t="str">
        <f t="shared" si="126"/>
        <v>--</v>
      </c>
      <c r="N40" s="190">
        <f t="shared" si="127"/>
        <v>14.339681276682365</v>
      </c>
      <c r="O40" s="198">
        <f t="shared" si="128"/>
        <v>0.87113451867625191</v>
      </c>
      <c r="P40" s="162">
        <f t="shared" si="129"/>
        <v>401.09890109890108</v>
      </c>
      <c r="Q40" s="157" t="str">
        <f t="shared" si="130"/>
        <v>--</v>
      </c>
      <c r="R40" s="157" t="str">
        <f t="shared" si="131"/>
        <v>--</v>
      </c>
      <c r="S40" s="157">
        <f t="shared" si="86"/>
        <v>6742.3902336219144</v>
      </c>
      <c r="T40" s="157" t="str">
        <f t="shared" si="132"/>
        <v>--</v>
      </c>
      <c r="U40" s="157">
        <f t="shared" si="133"/>
        <v>6742.3902336219144</v>
      </c>
      <c r="V40" s="200">
        <f t="shared" si="134"/>
        <v>378.5776477689576</v>
      </c>
      <c r="W40" s="186">
        <f t="shared" si="135"/>
        <v>0.1</v>
      </c>
      <c r="X40" s="596" t="str">
        <f t="shared" si="136"/>
        <v>--</v>
      </c>
      <c r="Y40" s="187" t="str">
        <f t="shared" si="137"/>
        <v>OEHHA PHG</v>
      </c>
      <c r="Z40" s="567">
        <f t="shared" si="138"/>
        <v>80</v>
      </c>
      <c r="AA40" s="568" t="str">
        <f t="shared" si="139"/>
        <v>MCL (Primary)</v>
      </c>
      <c r="AB40" s="122">
        <f t="shared" si="15"/>
        <v>80</v>
      </c>
      <c r="AC40" s="121" t="str">
        <f t="shared" si="16"/>
        <v>--</v>
      </c>
      <c r="AD40" s="121">
        <f t="shared" si="17"/>
        <v>0.1</v>
      </c>
      <c r="AE40" s="121" t="str">
        <f t="shared" si="18"/>
        <v>Cancer</v>
      </c>
      <c r="AF40" s="121" t="str">
        <f t="shared" si="19"/>
        <v>--</v>
      </c>
      <c r="AG40" s="121" t="str">
        <f t="shared" si="20"/>
        <v>--</v>
      </c>
      <c r="AH40" s="119" t="str">
        <f t="shared" si="21"/>
        <v>V</v>
      </c>
      <c r="AI40" s="119" t="str">
        <f t="shared" si="22"/>
        <v>O</v>
      </c>
      <c r="AJ40" s="120" t="str">
        <f t="shared" si="23"/>
        <v>--</v>
      </c>
      <c r="AK40" s="129">
        <f t="shared" si="140"/>
        <v>1</v>
      </c>
      <c r="AL40" s="119">
        <f t="shared" si="25"/>
        <v>1.6041622027649999E-2</v>
      </c>
      <c r="AM40" s="119">
        <f t="shared" si="26"/>
        <v>1.54247008368927</v>
      </c>
      <c r="AN40" s="119">
        <f t="shared" si="27"/>
        <v>3.7019282008542498</v>
      </c>
      <c r="AO40" s="119">
        <f t="shared" si="28"/>
        <v>2.8900000000000002E-3</v>
      </c>
      <c r="AP40" s="119" t="str">
        <f t="shared" si="29"/>
        <v>Yes</v>
      </c>
      <c r="AQ40" s="119">
        <f t="shared" si="141"/>
        <v>8.4000000000000005E-2</v>
      </c>
      <c r="AR40" s="119" t="str">
        <f t="shared" si="142"/>
        <v>--</v>
      </c>
      <c r="AS40" s="119">
        <f t="shared" si="143"/>
        <v>0.02</v>
      </c>
      <c r="AT40" s="119" t="str">
        <f t="shared" si="144"/>
        <v>--</v>
      </c>
      <c r="AU40" s="119">
        <f t="shared" si="145"/>
        <v>1</v>
      </c>
      <c r="AV40" s="119">
        <f t="shared" si="146"/>
        <v>1.1650993686119038E-4</v>
      </c>
      <c r="AW40" s="555">
        <f t="shared" si="147"/>
        <v>3.7131382019865795E-5</v>
      </c>
      <c r="AX40" s="124">
        <f t="shared" si="148"/>
        <v>4.9152732577712938E-2</v>
      </c>
    </row>
    <row r="41" spans="1:50" ht="12.75" customHeight="1">
      <c r="A41" s="153" t="s">
        <v>147</v>
      </c>
      <c r="B41" s="185" t="s">
        <v>148</v>
      </c>
      <c r="C41" s="566">
        <f t="shared" si="38"/>
        <v>0.2</v>
      </c>
      <c r="D41" s="586" t="str">
        <f t="shared" si="39"/>
        <v>MCL (Primary)</v>
      </c>
      <c r="E41" s="182">
        <f t="shared" si="118"/>
        <v>3.0394052871379507E-4</v>
      </c>
      <c r="F41" s="609" t="str">
        <f t="shared" si="119"/>
        <v>Tapwater</v>
      </c>
      <c r="G41" s="182">
        <f t="shared" si="120"/>
        <v>0.37192718887264564</v>
      </c>
      <c r="H41" s="183" t="str">
        <f t="shared" si="121"/>
        <v>Tapwater</v>
      </c>
      <c r="I41" s="188">
        <f t="shared" si="122"/>
        <v>3.578782233552309E-3</v>
      </c>
      <c r="J41" s="157">
        <f t="shared" si="123"/>
        <v>3.3796296296296292E-4</v>
      </c>
      <c r="K41" s="190" t="str">
        <f t="shared" si="124"/>
        <v>--</v>
      </c>
      <c r="L41" s="157">
        <f t="shared" si="125"/>
        <v>1.9309283670974293E-2</v>
      </c>
      <c r="M41" s="192" t="str">
        <f t="shared" si="126"/>
        <v>--</v>
      </c>
      <c r="N41" s="190">
        <f t="shared" si="127"/>
        <v>1.9309283670974293E-2</v>
      </c>
      <c r="O41" s="198">
        <f t="shared" si="128"/>
        <v>3.0394052871379507E-4</v>
      </c>
      <c r="P41" s="162">
        <f t="shared" si="129"/>
        <v>4.0109890109890109</v>
      </c>
      <c r="Q41" s="157">
        <f t="shared" si="130"/>
        <v>0.41714285714285715</v>
      </c>
      <c r="R41" s="157" t="str">
        <f t="shared" si="131"/>
        <v>--</v>
      </c>
      <c r="S41" s="157">
        <f t="shared" si="86"/>
        <v>23.740024133714758</v>
      </c>
      <c r="T41" s="157" t="str">
        <f t="shared" si="132"/>
        <v>--</v>
      </c>
      <c r="U41" s="157">
        <f t="shared" si="133"/>
        <v>23.740024133714758</v>
      </c>
      <c r="V41" s="200">
        <f t="shared" si="134"/>
        <v>0.37192718887264564</v>
      </c>
      <c r="W41" s="186">
        <f t="shared" si="135"/>
        <v>3.0000000000000001E-3</v>
      </c>
      <c r="X41" s="596" t="str">
        <f t="shared" si="136"/>
        <v>--</v>
      </c>
      <c r="Y41" s="187" t="str">
        <f t="shared" si="137"/>
        <v>OEHHA PHG</v>
      </c>
      <c r="Z41" s="567">
        <f t="shared" si="138"/>
        <v>0.2</v>
      </c>
      <c r="AA41" s="568" t="str">
        <f t="shared" si="139"/>
        <v>MCL (Primary)</v>
      </c>
      <c r="AB41" s="122">
        <f t="shared" si="15"/>
        <v>0.2</v>
      </c>
      <c r="AC41" s="121" t="str">
        <f t="shared" si="16"/>
        <v>--</v>
      </c>
      <c r="AD41" s="121">
        <f t="shared" si="17"/>
        <v>3.0000000000000001E-3</v>
      </c>
      <c r="AE41" s="121" t="str">
        <f t="shared" si="18"/>
        <v>Cancer</v>
      </c>
      <c r="AF41" s="121" t="str">
        <f t="shared" si="19"/>
        <v>--</v>
      </c>
      <c r="AG41" s="121" t="str">
        <f t="shared" si="20"/>
        <v>--</v>
      </c>
      <c r="AH41" s="119" t="str">
        <f t="shared" si="21"/>
        <v>V</v>
      </c>
      <c r="AI41" s="119" t="str">
        <f t="shared" si="22"/>
        <v>O</v>
      </c>
      <c r="AJ41" s="120" t="str">
        <f t="shared" si="23"/>
        <v>Yes</v>
      </c>
      <c r="AK41" s="129">
        <f t="shared" si="140"/>
        <v>1</v>
      </c>
      <c r="AL41" s="119">
        <f t="shared" si="25"/>
        <v>4.0502016943349997E-2</v>
      </c>
      <c r="AM41" s="119">
        <f t="shared" si="26"/>
        <v>2.2146074145907599</v>
      </c>
      <c r="AN41" s="119">
        <f t="shared" si="27"/>
        <v>5.3150577950178297</v>
      </c>
      <c r="AO41" s="119">
        <f t="shared" si="28"/>
        <v>6.8500000000000002E-3</v>
      </c>
      <c r="AP41" s="119" t="str">
        <f t="shared" si="29"/>
        <v>Yes</v>
      </c>
      <c r="AQ41" s="119">
        <f t="shared" si="141"/>
        <v>7</v>
      </c>
      <c r="AR41" s="119">
        <f t="shared" si="142"/>
        <v>6.0000000000000001E-3</v>
      </c>
      <c r="AS41" s="119">
        <f t="shared" si="143"/>
        <v>2.0000000000000001E-4</v>
      </c>
      <c r="AT41" s="119">
        <f t="shared" si="144"/>
        <v>0.2</v>
      </c>
      <c r="AU41" s="119">
        <f t="shared" si="145"/>
        <v>1</v>
      </c>
      <c r="AV41" s="119">
        <f t="shared" si="146"/>
        <v>1.3981192423342847E-6</v>
      </c>
      <c r="AW41" s="555">
        <f t="shared" si="147"/>
        <v>4.4557658423838958E-7</v>
      </c>
      <c r="AX41" s="124">
        <f t="shared" si="148"/>
        <v>4.9152732577712941E-4</v>
      </c>
    </row>
    <row r="42" spans="1:50" ht="12.75" customHeight="1">
      <c r="A42" s="153" t="s">
        <v>149</v>
      </c>
      <c r="B42" s="185" t="s">
        <v>150</v>
      </c>
      <c r="C42" s="566">
        <f t="shared" si="38"/>
        <v>0.05</v>
      </c>
      <c r="D42" s="586" t="str">
        <f t="shared" si="39"/>
        <v>MCL (Primary)</v>
      </c>
      <c r="E42" s="182">
        <f t="shared" si="118"/>
        <v>7.4671042818152374E-3</v>
      </c>
      <c r="F42" s="609" t="str">
        <f t="shared" si="119"/>
        <v>Tapwater</v>
      </c>
      <c r="G42" s="182">
        <f t="shared" si="120"/>
        <v>1.6525283524111283</v>
      </c>
      <c r="H42" s="183" t="str">
        <f t="shared" si="121"/>
        <v>Tapwater</v>
      </c>
      <c r="I42" s="188">
        <f t="shared" si="122"/>
        <v>3.8954108858057633E-2</v>
      </c>
      <c r="J42" s="157">
        <f t="shared" si="123"/>
        <v>9.3589743589743597E-3</v>
      </c>
      <c r="K42" s="190" t="str">
        <f t="shared" si="124"/>
        <v>--</v>
      </c>
      <c r="L42" s="157">
        <f t="shared" si="125"/>
        <v>0.71419669438546862</v>
      </c>
      <c r="M42" s="192" t="str">
        <f t="shared" si="126"/>
        <v>--</v>
      </c>
      <c r="N42" s="190">
        <f t="shared" si="127"/>
        <v>0.71419669438546862</v>
      </c>
      <c r="O42" s="198">
        <f t="shared" si="128"/>
        <v>7.4671042818152374E-3</v>
      </c>
      <c r="P42" s="162">
        <f t="shared" si="129"/>
        <v>180.49450549450549</v>
      </c>
      <c r="Q42" s="157">
        <f t="shared" si="130"/>
        <v>1.6685714285714286</v>
      </c>
      <c r="R42" s="157" t="str">
        <f t="shared" si="131"/>
        <v>--</v>
      </c>
      <c r="S42" s="157">
        <f t="shared" si="86"/>
        <v>3597.9526653027897</v>
      </c>
      <c r="T42" s="157" t="str">
        <f t="shared" si="132"/>
        <v>--</v>
      </c>
      <c r="U42" s="157">
        <f t="shared" si="133"/>
        <v>3597.9526653027897</v>
      </c>
      <c r="V42" s="200">
        <f t="shared" si="134"/>
        <v>1.6525283524111283</v>
      </c>
      <c r="W42" s="186">
        <f t="shared" si="135"/>
        <v>0.01</v>
      </c>
      <c r="X42" s="596" t="str">
        <f t="shared" si="136"/>
        <v>--</v>
      </c>
      <c r="Y42" s="187" t="str">
        <f t="shared" si="137"/>
        <v>OEHHA PHG</v>
      </c>
      <c r="Z42" s="567">
        <f t="shared" si="138"/>
        <v>0.05</v>
      </c>
      <c r="AA42" s="568" t="str">
        <f t="shared" si="139"/>
        <v>MCL (Primary)</v>
      </c>
      <c r="AB42" s="122">
        <f t="shared" si="15"/>
        <v>0.05</v>
      </c>
      <c r="AC42" s="121" t="str">
        <f t="shared" si="16"/>
        <v>--</v>
      </c>
      <c r="AD42" s="121">
        <f t="shared" si="17"/>
        <v>0.01</v>
      </c>
      <c r="AE42" s="121" t="str">
        <f t="shared" si="18"/>
        <v>Cancer</v>
      </c>
      <c r="AF42" s="121" t="str">
        <f t="shared" si="19"/>
        <v>--</v>
      </c>
      <c r="AG42" s="121" t="str">
        <f t="shared" si="20"/>
        <v>--</v>
      </c>
      <c r="AH42" s="119" t="str">
        <f t="shared" si="21"/>
        <v>V</v>
      </c>
      <c r="AI42" s="119" t="str">
        <f t="shared" si="22"/>
        <v>O</v>
      </c>
      <c r="AJ42" s="120" t="str">
        <f t="shared" si="23"/>
        <v>--</v>
      </c>
      <c r="AK42" s="129">
        <f t="shared" si="140"/>
        <v>1</v>
      </c>
      <c r="AL42" s="119">
        <f t="shared" si="25"/>
        <v>1.465509395051E-2</v>
      </c>
      <c r="AM42" s="119">
        <f t="shared" si="26"/>
        <v>1.18539952701691</v>
      </c>
      <c r="AN42" s="119">
        <f t="shared" si="27"/>
        <v>2.8449588648405899</v>
      </c>
      <c r="AO42" s="119">
        <f t="shared" si="28"/>
        <v>2.7799999999999999E-3</v>
      </c>
      <c r="AP42" s="119" t="str">
        <f t="shared" si="29"/>
        <v>Yes</v>
      </c>
      <c r="AQ42" s="119">
        <f t="shared" si="141"/>
        <v>2</v>
      </c>
      <c r="AR42" s="119">
        <f t="shared" si="142"/>
        <v>5.9999999999999995E-4</v>
      </c>
      <c r="AS42" s="119">
        <f t="shared" si="143"/>
        <v>8.9999999999999993E-3</v>
      </c>
      <c r="AT42" s="119">
        <f t="shared" si="144"/>
        <v>0.8</v>
      </c>
      <c r="AU42" s="119">
        <f t="shared" si="145"/>
        <v>1</v>
      </c>
      <c r="AV42" s="119">
        <f t="shared" si="146"/>
        <v>4.8934173481699964E-6</v>
      </c>
      <c r="AW42" s="555">
        <f t="shared" si="147"/>
        <v>1.5595180448343635E-6</v>
      </c>
      <c r="AX42" s="124">
        <f t="shared" si="148"/>
        <v>2.2118729659970818E-2</v>
      </c>
    </row>
    <row r="43" spans="1:50" ht="12.75" customHeight="1">
      <c r="A43" s="153" t="s">
        <v>151</v>
      </c>
      <c r="B43" s="185" t="s">
        <v>152</v>
      </c>
      <c r="C43" s="566">
        <f t="shared" si="38"/>
        <v>600</v>
      </c>
      <c r="D43" s="586" t="str">
        <f t="shared" si="39"/>
        <v>MCL (Primary)</v>
      </c>
      <c r="E43" s="182" t="str">
        <f t="shared" si="118"/>
        <v>--</v>
      </c>
      <c r="F43" s="609" t="str">
        <f t="shared" si="119"/>
        <v>--</v>
      </c>
      <c r="G43" s="182">
        <f t="shared" si="120"/>
        <v>303.58920793298864</v>
      </c>
      <c r="H43" s="183" t="str">
        <f t="shared" si="121"/>
        <v>Tapwater</v>
      </c>
      <c r="I43" s="188" t="str">
        <f t="shared" si="122"/>
        <v>--</v>
      </c>
      <c r="J43" s="157" t="str">
        <f t="shared" si="123"/>
        <v>--</v>
      </c>
      <c r="K43" s="190" t="str">
        <f t="shared" si="124"/>
        <v>--</v>
      </c>
      <c r="L43" s="157" t="str">
        <f t="shared" si="125"/>
        <v>--</v>
      </c>
      <c r="M43" s="192" t="str">
        <f t="shared" si="126"/>
        <v>--</v>
      </c>
      <c r="N43" s="190" t="str">
        <f t="shared" si="127"/>
        <v>--</v>
      </c>
      <c r="O43" s="198" t="str">
        <f t="shared" si="128"/>
        <v>--</v>
      </c>
      <c r="P43" s="162">
        <f t="shared" si="129"/>
        <v>1804.9450549450548</v>
      </c>
      <c r="Q43" s="157">
        <f t="shared" si="130"/>
        <v>417.14285714285717</v>
      </c>
      <c r="R43" s="157" t="str">
        <f t="shared" si="131"/>
        <v>--</v>
      </c>
      <c r="S43" s="157">
        <f t="shared" si="86"/>
        <v>2918.5919661102239</v>
      </c>
      <c r="T43" s="157" t="str">
        <f t="shared" si="132"/>
        <v>--</v>
      </c>
      <c r="U43" s="157">
        <f t="shared" si="133"/>
        <v>2918.5919661102239</v>
      </c>
      <c r="V43" s="200">
        <f t="shared" si="134"/>
        <v>303.58920793298864</v>
      </c>
      <c r="W43" s="186" t="str">
        <f t="shared" si="135"/>
        <v>--</v>
      </c>
      <c r="X43" s="596">
        <f t="shared" si="136"/>
        <v>600</v>
      </c>
      <c r="Y43" s="187" t="str">
        <f t="shared" si="137"/>
        <v>OEHHA PHG</v>
      </c>
      <c r="Z43" s="567">
        <f t="shared" si="138"/>
        <v>600</v>
      </c>
      <c r="AA43" s="568" t="str">
        <f t="shared" si="139"/>
        <v>MCL (Primary)</v>
      </c>
      <c r="AB43" s="122">
        <f t="shared" si="15"/>
        <v>600</v>
      </c>
      <c r="AC43" s="121" t="str">
        <f t="shared" si="16"/>
        <v>--</v>
      </c>
      <c r="AD43" s="121">
        <f t="shared" si="17"/>
        <v>600</v>
      </c>
      <c r="AE43" s="121" t="str">
        <f t="shared" si="18"/>
        <v>Noncancer</v>
      </c>
      <c r="AF43" s="121" t="str">
        <f t="shared" si="19"/>
        <v>--</v>
      </c>
      <c r="AG43" s="121" t="str">
        <f t="shared" si="20"/>
        <v>--</v>
      </c>
      <c r="AH43" s="119" t="str">
        <f t="shared" si="21"/>
        <v>V</v>
      </c>
      <c r="AI43" s="119" t="str">
        <f t="shared" si="22"/>
        <v>O</v>
      </c>
      <c r="AJ43" s="120" t="str">
        <f t="shared" si="23"/>
        <v>--</v>
      </c>
      <c r="AK43" s="129">
        <f t="shared" si="140"/>
        <v>1</v>
      </c>
      <c r="AL43" s="119">
        <f t="shared" si="25"/>
        <v>0.20797933158577001</v>
      </c>
      <c r="AM43" s="119">
        <f t="shared" si="26"/>
        <v>0.69992055777343998</v>
      </c>
      <c r="AN43" s="119">
        <f t="shared" si="27"/>
        <v>1.67980933865626</v>
      </c>
      <c r="AO43" s="119">
        <f t="shared" si="28"/>
        <v>4.4600000000000001E-2</v>
      </c>
      <c r="AP43" s="119" t="str">
        <f t="shared" si="29"/>
        <v>Yes</v>
      </c>
      <c r="AQ43" s="119" t="str">
        <f t="shared" si="141"/>
        <v>--</v>
      </c>
      <c r="AR43" s="119" t="str">
        <f t="shared" si="142"/>
        <v>--</v>
      </c>
      <c r="AS43" s="119">
        <f t="shared" si="143"/>
        <v>0.09</v>
      </c>
      <c r="AT43" s="119">
        <f t="shared" si="144"/>
        <v>200</v>
      </c>
      <c r="AU43" s="119">
        <f t="shared" si="145"/>
        <v>1</v>
      </c>
      <c r="AV43" s="119" t="str">
        <f t="shared" si="146"/>
        <v>--</v>
      </c>
      <c r="AW43" s="555" t="str">
        <f t="shared" si="147"/>
        <v>--</v>
      </c>
      <c r="AX43" s="124">
        <f t="shared" si="148"/>
        <v>0.22118729659970829</v>
      </c>
    </row>
    <row r="44" spans="1:50" ht="12.75" customHeight="1">
      <c r="A44" s="153" t="s">
        <v>153</v>
      </c>
      <c r="B44" s="185" t="s">
        <v>154</v>
      </c>
      <c r="C44" s="566">
        <f t="shared" si="38"/>
        <v>5</v>
      </c>
      <c r="D44" s="586" t="str">
        <f t="shared" si="39"/>
        <v>MCL (Primary)</v>
      </c>
      <c r="E44" s="182">
        <f t="shared" si="118"/>
        <v>0.48179944441109085</v>
      </c>
      <c r="F44" s="609" t="str">
        <f t="shared" si="119"/>
        <v>Tapwater</v>
      </c>
      <c r="G44" s="182">
        <f t="shared" si="120"/>
        <v>568.47786337736659</v>
      </c>
      <c r="H44" s="183" t="str">
        <f t="shared" si="121"/>
        <v>Tapwater</v>
      </c>
      <c r="I44" s="188">
        <f t="shared" si="122"/>
        <v>14.427447725206529</v>
      </c>
      <c r="J44" s="157">
        <f t="shared" si="123"/>
        <v>0.51048951048951052</v>
      </c>
      <c r="K44" s="190" t="str">
        <f t="shared" si="124"/>
        <v>--</v>
      </c>
      <c r="L44" s="157">
        <f t="shared" si="125"/>
        <v>21.125581178147876</v>
      </c>
      <c r="M44" s="192" t="str">
        <f t="shared" si="126"/>
        <v>--</v>
      </c>
      <c r="N44" s="190">
        <f t="shared" si="127"/>
        <v>21.125581178147876</v>
      </c>
      <c r="O44" s="198">
        <f t="shared" si="128"/>
        <v>0.48179944441109085</v>
      </c>
      <c r="P44" s="162">
        <f t="shared" si="129"/>
        <v>1403.846153846154</v>
      </c>
      <c r="Q44" s="157">
        <f t="shared" si="130"/>
        <v>1668.5714285714287</v>
      </c>
      <c r="R44" s="157" t="str">
        <f t="shared" si="131"/>
        <v>--</v>
      </c>
      <c r="S44" s="157">
        <f t="shared" si="86"/>
        <v>2234.9384641148195</v>
      </c>
      <c r="T44" s="157" t="str">
        <f t="shared" si="132"/>
        <v>--</v>
      </c>
      <c r="U44" s="157">
        <f t="shared" si="133"/>
        <v>2234.9384641148195</v>
      </c>
      <c r="V44" s="200">
        <f t="shared" si="134"/>
        <v>568.47786337736659</v>
      </c>
      <c r="W44" s="186">
        <f t="shared" si="135"/>
        <v>6</v>
      </c>
      <c r="X44" s="596" t="str">
        <f t="shared" si="136"/>
        <v>--</v>
      </c>
      <c r="Y44" s="187" t="str">
        <f t="shared" si="137"/>
        <v>OEHHA PHG</v>
      </c>
      <c r="Z44" s="567">
        <f t="shared" si="138"/>
        <v>5</v>
      </c>
      <c r="AA44" s="568" t="str">
        <f t="shared" si="139"/>
        <v>MCL (Primary)</v>
      </c>
      <c r="AB44" s="122">
        <f t="shared" si="15"/>
        <v>5</v>
      </c>
      <c r="AC44" s="121" t="str">
        <f t="shared" si="16"/>
        <v>--</v>
      </c>
      <c r="AD44" s="121">
        <f t="shared" si="17"/>
        <v>6</v>
      </c>
      <c r="AE44" s="121" t="str">
        <f t="shared" si="18"/>
        <v>Cancer</v>
      </c>
      <c r="AF44" s="121" t="str">
        <f t="shared" si="19"/>
        <v>--</v>
      </c>
      <c r="AG44" s="121" t="str">
        <f t="shared" si="20"/>
        <v>--</v>
      </c>
      <c r="AH44" s="119" t="str">
        <f t="shared" si="21"/>
        <v>V</v>
      </c>
      <c r="AI44" s="119" t="str">
        <f t="shared" si="22"/>
        <v>O</v>
      </c>
      <c r="AJ44" s="120" t="str">
        <f t="shared" si="23"/>
        <v>--</v>
      </c>
      <c r="AK44" s="129">
        <f t="shared" si="140"/>
        <v>1</v>
      </c>
      <c r="AL44" s="119">
        <f t="shared" si="25"/>
        <v>0.21124358118465</v>
      </c>
      <c r="AM44" s="119">
        <f t="shared" si="26"/>
        <v>0.69992055777343998</v>
      </c>
      <c r="AN44" s="119">
        <f t="shared" si="27"/>
        <v>1.67980933865626</v>
      </c>
      <c r="AO44" s="119">
        <f t="shared" si="28"/>
        <v>4.53E-2</v>
      </c>
      <c r="AP44" s="119" t="str">
        <f t="shared" si="29"/>
        <v>Yes</v>
      </c>
      <c r="AQ44" s="119">
        <f t="shared" si="141"/>
        <v>5.4000000000000003E-3</v>
      </c>
      <c r="AR44" s="119">
        <f t="shared" si="142"/>
        <v>1.1E-5</v>
      </c>
      <c r="AS44" s="119">
        <f t="shared" si="143"/>
        <v>7.0000000000000007E-2</v>
      </c>
      <c r="AT44" s="119">
        <f t="shared" si="144"/>
        <v>800</v>
      </c>
      <c r="AU44" s="119">
        <f t="shared" si="145"/>
        <v>1</v>
      </c>
      <c r="AV44" s="119">
        <f t="shared" si="146"/>
        <v>1.8123767956185171E-3</v>
      </c>
      <c r="AW44" s="555">
        <f t="shared" si="147"/>
        <v>5.7759927586457905E-4</v>
      </c>
      <c r="AX44" s="124">
        <f t="shared" si="148"/>
        <v>0.17203456402199532</v>
      </c>
    </row>
    <row r="45" spans="1:50" ht="12.75" customHeight="1">
      <c r="A45" s="153" t="s">
        <v>155</v>
      </c>
      <c r="B45" s="185" t="s">
        <v>156</v>
      </c>
      <c r="C45" s="566" t="str">
        <f t="shared" si="38"/>
        <v>--</v>
      </c>
      <c r="D45" s="586" t="str">
        <f t="shared" si="39"/>
        <v>--</v>
      </c>
      <c r="E45" s="182">
        <f t="shared" si="118"/>
        <v>4.6960197920817265E-2</v>
      </c>
      <c r="F45" s="609" t="str">
        <f t="shared" si="119"/>
        <v>Tapwater</v>
      </c>
      <c r="G45" s="182" t="str">
        <f t="shared" si="120"/>
        <v>--</v>
      </c>
      <c r="H45" s="183" t="str">
        <f t="shared" si="121"/>
        <v>--</v>
      </c>
      <c r="I45" s="188">
        <f t="shared" si="122"/>
        <v>6.4923514763429391E-2</v>
      </c>
      <c r="J45" s="157" t="str">
        <f t="shared" si="123"/>
        <v>--</v>
      </c>
      <c r="K45" s="190" t="str">
        <f t="shared" si="124"/>
        <v>--</v>
      </c>
      <c r="L45" s="157">
        <f t="shared" si="125"/>
        <v>0.16972484144873565</v>
      </c>
      <c r="M45" s="192" t="str">
        <f t="shared" si="126"/>
        <v>--</v>
      </c>
      <c r="N45" s="190">
        <f t="shared" si="127"/>
        <v>0.16972484144873565</v>
      </c>
      <c r="O45" s="198">
        <f t="shared" si="128"/>
        <v>4.6960197920817265E-2</v>
      </c>
      <c r="P45" s="162" t="str">
        <f t="shared" si="129"/>
        <v>--</v>
      </c>
      <c r="Q45" s="157" t="str">
        <f t="shared" si="130"/>
        <v>--</v>
      </c>
      <c r="R45" s="157" t="str">
        <f t="shared" si="131"/>
        <v>--</v>
      </c>
      <c r="S45" s="157" t="str">
        <f t="shared" si="86"/>
        <v>--</v>
      </c>
      <c r="T45" s="157" t="str">
        <f t="shared" si="132"/>
        <v>--</v>
      </c>
      <c r="U45" s="157" t="str">
        <f t="shared" si="133"/>
        <v>--</v>
      </c>
      <c r="V45" s="200" t="str">
        <f t="shared" si="134"/>
        <v>--</v>
      </c>
      <c r="W45" s="186" t="str">
        <f t="shared" si="135"/>
        <v>--</v>
      </c>
      <c r="X45" s="596" t="str">
        <f t="shared" si="136"/>
        <v>--</v>
      </c>
      <c r="Y45" s="187" t="str">
        <f t="shared" si="137"/>
        <v>--</v>
      </c>
      <c r="Z45" s="567" t="str">
        <f t="shared" si="138"/>
        <v>--</v>
      </c>
      <c r="AA45" s="568" t="str">
        <f t="shared" si="139"/>
        <v>--</v>
      </c>
      <c r="AB45" s="122" t="str">
        <f t="shared" si="15"/>
        <v>--</v>
      </c>
      <c r="AC45" s="121" t="str">
        <f t="shared" si="16"/>
        <v>--</v>
      </c>
      <c r="AD45" s="121" t="str">
        <f t="shared" si="17"/>
        <v>--</v>
      </c>
      <c r="AE45" s="121" t="str">
        <f t="shared" si="18"/>
        <v>--</v>
      </c>
      <c r="AF45" s="121" t="str">
        <f t="shared" si="19"/>
        <v>--</v>
      </c>
      <c r="AG45" s="121" t="str">
        <f t="shared" si="20"/>
        <v>--</v>
      </c>
      <c r="AH45" s="119" t="str">
        <f t="shared" si="21"/>
        <v>NV</v>
      </c>
      <c r="AI45" s="119" t="str">
        <f t="shared" si="22"/>
        <v>O</v>
      </c>
      <c r="AJ45" s="120" t="str">
        <f t="shared" si="23"/>
        <v>--</v>
      </c>
      <c r="AK45" s="129">
        <f t="shared" si="140"/>
        <v>1</v>
      </c>
      <c r="AL45" s="119">
        <f t="shared" si="25"/>
        <v>7.8326447806829999E-2</v>
      </c>
      <c r="AM45" s="119">
        <f t="shared" si="26"/>
        <v>2.7502789801898202</v>
      </c>
      <c r="AN45" s="119">
        <f t="shared" si="27"/>
        <v>6.6006695524555701</v>
      </c>
      <c r="AO45" s="119">
        <f t="shared" si="28"/>
        <v>1.2800000000000001E-2</v>
      </c>
      <c r="AP45" s="119" t="str">
        <f t="shared" si="29"/>
        <v>Yes</v>
      </c>
      <c r="AQ45" s="119">
        <f t="shared" si="141"/>
        <v>1.2</v>
      </c>
      <c r="AR45" s="119">
        <f t="shared" si="142"/>
        <v>3.4000000000000002E-4</v>
      </c>
      <c r="AS45" s="119" t="str">
        <f t="shared" si="143"/>
        <v>--</v>
      </c>
      <c r="AT45" s="119" t="str">
        <f t="shared" si="144"/>
        <v>--</v>
      </c>
      <c r="AU45" s="119">
        <f t="shared" si="145"/>
        <v>1</v>
      </c>
      <c r="AV45" s="119">
        <f t="shared" si="146"/>
        <v>8.1556955802833276E-6</v>
      </c>
      <c r="AW45" s="555">
        <f t="shared" si="147"/>
        <v>2.5991967413906058E-6</v>
      </c>
      <c r="AX45" s="124" t="str">
        <f t="shared" si="148"/>
        <v>--</v>
      </c>
    </row>
    <row r="46" spans="1:50" ht="12.75" customHeight="1">
      <c r="A46" s="153" t="s">
        <v>157</v>
      </c>
      <c r="B46" s="185" t="s">
        <v>158</v>
      </c>
      <c r="C46" s="566" t="str">
        <f t="shared" si="38"/>
        <v>--</v>
      </c>
      <c r="D46" s="586" t="str">
        <f t="shared" si="39"/>
        <v>--</v>
      </c>
      <c r="E46" s="182">
        <f t="shared" si="118"/>
        <v>3.1706574873866973E-2</v>
      </c>
      <c r="F46" s="609" t="str">
        <f t="shared" si="119"/>
        <v>Tapwater</v>
      </c>
      <c r="G46" s="182">
        <f t="shared" si="120"/>
        <v>1.0558702631786985</v>
      </c>
      <c r="H46" s="183" t="str">
        <f t="shared" si="121"/>
        <v>Tapwater</v>
      </c>
      <c r="I46" s="188">
        <f t="shared" si="122"/>
        <v>0.32461757381714695</v>
      </c>
      <c r="J46" s="157" t="str">
        <f t="shared" si="123"/>
        <v>--</v>
      </c>
      <c r="K46" s="190" t="str">
        <f t="shared" si="124"/>
        <v>--</v>
      </c>
      <c r="L46" s="157">
        <f t="shared" si="125"/>
        <v>3.5138698945202378E-2</v>
      </c>
      <c r="M46" s="192" t="str">
        <f t="shared" si="126"/>
        <v>--</v>
      </c>
      <c r="N46" s="190">
        <f t="shared" si="127"/>
        <v>3.5138698945202378E-2</v>
      </c>
      <c r="O46" s="198">
        <f t="shared" si="128"/>
        <v>3.1706574873866973E-2</v>
      </c>
      <c r="P46" s="162">
        <f t="shared" si="129"/>
        <v>10.027472527472527</v>
      </c>
      <c r="Q46" s="157" t="str">
        <f t="shared" si="130"/>
        <v>--</v>
      </c>
      <c r="R46" s="157" t="str">
        <f t="shared" si="131"/>
        <v>--</v>
      </c>
      <c r="S46" s="157">
        <f t="shared" si="86"/>
        <v>1.1801359160489895</v>
      </c>
      <c r="T46" s="157" t="str">
        <f t="shared" si="132"/>
        <v>--</v>
      </c>
      <c r="U46" s="157">
        <f t="shared" si="133"/>
        <v>1.1801359160489895</v>
      </c>
      <c r="V46" s="200">
        <f t="shared" si="134"/>
        <v>1.0558702631786985</v>
      </c>
      <c r="W46" s="186" t="str">
        <f t="shared" si="135"/>
        <v>--</v>
      </c>
      <c r="X46" s="596" t="str">
        <f t="shared" si="136"/>
        <v>--</v>
      </c>
      <c r="Y46" s="187" t="str">
        <f t="shared" si="137"/>
        <v>--</v>
      </c>
      <c r="Z46" s="567" t="str">
        <f t="shared" si="138"/>
        <v>--</v>
      </c>
      <c r="AA46" s="568" t="str">
        <f t="shared" si="139"/>
        <v>--</v>
      </c>
      <c r="AB46" s="122" t="str">
        <f t="shared" si="15"/>
        <v>--</v>
      </c>
      <c r="AC46" s="121" t="str">
        <f t="shared" si="16"/>
        <v>--</v>
      </c>
      <c r="AD46" s="121" t="str">
        <f t="shared" si="17"/>
        <v>--</v>
      </c>
      <c r="AE46" s="121" t="str">
        <f t="shared" si="18"/>
        <v>--</v>
      </c>
      <c r="AF46" s="121" t="str">
        <f t="shared" si="19"/>
        <v>--</v>
      </c>
      <c r="AG46" s="121" t="str">
        <f t="shared" si="20"/>
        <v>--</v>
      </c>
      <c r="AH46" s="119" t="str">
        <f t="shared" si="21"/>
        <v>NV</v>
      </c>
      <c r="AI46" s="119" t="str">
        <f t="shared" si="22"/>
        <v>O</v>
      </c>
      <c r="AJ46" s="120" t="str">
        <f t="shared" si="23"/>
        <v>--</v>
      </c>
      <c r="AK46" s="129">
        <f t="shared" si="140"/>
        <v>0.8</v>
      </c>
      <c r="AL46" s="119">
        <f t="shared" si="25"/>
        <v>1.72706741087775</v>
      </c>
      <c r="AM46" s="119">
        <f t="shared" si="26"/>
        <v>6.5182160246292398</v>
      </c>
      <c r="AN46" s="119">
        <f t="shared" si="27"/>
        <v>26.2267968690931</v>
      </c>
      <c r="AO46" s="119">
        <f t="shared" si="28"/>
        <v>0.251</v>
      </c>
      <c r="AP46" s="119" t="str">
        <f t="shared" si="29"/>
        <v>Yes</v>
      </c>
      <c r="AQ46" s="119">
        <f t="shared" si="141"/>
        <v>0.24</v>
      </c>
      <c r="AR46" s="119">
        <f t="shared" si="142"/>
        <v>6.8999999999999997E-5</v>
      </c>
      <c r="AS46" s="119">
        <f t="shared" si="143"/>
        <v>5.0000000000000001E-4</v>
      </c>
      <c r="AT46" s="119" t="str">
        <f t="shared" si="144"/>
        <v>--</v>
      </c>
      <c r="AU46" s="119">
        <f t="shared" si="145"/>
        <v>1</v>
      </c>
      <c r="AV46" s="119">
        <f t="shared" si="146"/>
        <v>4.0778477901416636E-5</v>
      </c>
      <c r="AW46" s="555">
        <f t="shared" si="147"/>
        <v>1.299598370695303E-5</v>
      </c>
      <c r="AX46" s="124">
        <f t="shared" si="148"/>
        <v>1.2288183144428236E-3</v>
      </c>
    </row>
    <row r="47" spans="1:50" ht="12.75" customHeight="1">
      <c r="A47" s="153" t="s">
        <v>159</v>
      </c>
      <c r="B47" s="185" t="s">
        <v>160</v>
      </c>
      <c r="C47" s="566" t="str">
        <f t="shared" si="38"/>
        <v>--</v>
      </c>
      <c r="D47" s="586" t="str">
        <f t="shared" si="39"/>
        <v>--</v>
      </c>
      <c r="E47" s="182">
        <f t="shared" si="118"/>
        <v>4.6214816596816873E-2</v>
      </c>
      <c r="F47" s="609" t="str">
        <f t="shared" si="119"/>
        <v>Tapwater</v>
      </c>
      <c r="G47" s="182">
        <f t="shared" si="120"/>
        <v>10.027472527472527</v>
      </c>
      <c r="H47" s="183" t="str">
        <f t="shared" si="121"/>
        <v>Tapwater</v>
      </c>
      <c r="I47" s="188">
        <f t="shared" si="122"/>
        <v>0.22914181681210372</v>
      </c>
      <c r="J47" s="157">
        <f t="shared" si="123"/>
        <v>5.7890563045202216E-2</v>
      </c>
      <c r="K47" s="190" t="str">
        <f t="shared" si="124"/>
        <v>--</v>
      </c>
      <c r="L47" s="157" t="str">
        <f t="shared" si="125"/>
        <v>--</v>
      </c>
      <c r="M47" s="192" t="str">
        <f t="shared" si="126"/>
        <v>--</v>
      </c>
      <c r="N47" s="190" t="str">
        <f t="shared" si="127"/>
        <v>--</v>
      </c>
      <c r="O47" s="198">
        <f t="shared" si="128"/>
        <v>4.6214816596816873E-2</v>
      </c>
      <c r="P47" s="162">
        <f t="shared" si="129"/>
        <v>10.027472527472527</v>
      </c>
      <c r="Q47" s="157" t="str">
        <f t="shared" si="130"/>
        <v>--</v>
      </c>
      <c r="R47" s="157" t="str">
        <f t="shared" si="131"/>
        <v>--</v>
      </c>
      <c r="S47" s="157" t="str">
        <f t="shared" si="86"/>
        <v>--</v>
      </c>
      <c r="T47" s="157" t="str">
        <f t="shared" si="132"/>
        <v>--</v>
      </c>
      <c r="U47" s="157" t="str">
        <f t="shared" si="133"/>
        <v>--</v>
      </c>
      <c r="V47" s="200">
        <f t="shared" si="134"/>
        <v>10.027472527472527</v>
      </c>
      <c r="W47" s="186" t="str">
        <f t="shared" si="135"/>
        <v>--</v>
      </c>
      <c r="X47" s="596" t="str">
        <f t="shared" si="136"/>
        <v>--</v>
      </c>
      <c r="Y47" s="187" t="str">
        <f t="shared" si="137"/>
        <v>--</v>
      </c>
      <c r="Z47" s="567" t="str">
        <f t="shared" si="138"/>
        <v>--</v>
      </c>
      <c r="AA47" s="568" t="str">
        <f t="shared" si="139"/>
        <v>--</v>
      </c>
      <c r="AB47" s="122" t="str">
        <f t="shared" si="15"/>
        <v>--</v>
      </c>
      <c r="AC47" s="121" t="str">
        <f t="shared" si="16"/>
        <v>--</v>
      </c>
      <c r="AD47" s="121" t="str">
        <f t="shared" si="17"/>
        <v>--</v>
      </c>
      <c r="AE47" s="121" t="str">
        <f t="shared" si="18"/>
        <v>--</v>
      </c>
      <c r="AF47" s="121" t="str">
        <f t="shared" si="19"/>
        <v>--</v>
      </c>
      <c r="AG47" s="121" t="str">
        <f t="shared" si="20"/>
        <v>--</v>
      </c>
      <c r="AH47" s="119" t="str">
        <f t="shared" si="21"/>
        <v>V</v>
      </c>
      <c r="AI47" s="119" t="str">
        <f t="shared" si="22"/>
        <v>O</v>
      </c>
      <c r="AJ47" s="120" t="str">
        <f t="shared" si="23"/>
        <v>--</v>
      </c>
      <c r="AK47" s="129">
        <f t="shared" si="140"/>
        <v>0.8</v>
      </c>
      <c r="AL47" s="119">
        <f t="shared" si="25"/>
        <v>3.7381540857667899</v>
      </c>
      <c r="AM47" s="119">
        <f t="shared" si="26"/>
        <v>6.3506291076779702</v>
      </c>
      <c r="AN47" s="119">
        <f t="shared" si="27"/>
        <v>27.291554395341301</v>
      </c>
      <c r="AO47" s="119">
        <f t="shared" si="28"/>
        <v>0.54500000000000004</v>
      </c>
      <c r="AP47" s="119" t="str">
        <f t="shared" si="29"/>
        <v>No</v>
      </c>
      <c r="AQ47" s="119">
        <f t="shared" si="141"/>
        <v>0.34</v>
      </c>
      <c r="AR47" s="119">
        <f t="shared" si="142"/>
        <v>9.7E-5</v>
      </c>
      <c r="AS47" s="119">
        <f t="shared" si="143"/>
        <v>5.0000000000000001E-4</v>
      </c>
      <c r="AT47" s="119" t="str">
        <f t="shared" si="144"/>
        <v>--</v>
      </c>
      <c r="AU47" s="119">
        <f t="shared" si="145"/>
        <v>1</v>
      </c>
      <c r="AV47" s="119">
        <f t="shared" si="146"/>
        <v>2.8784807930411738E-5</v>
      </c>
      <c r="AW47" s="555">
        <f t="shared" si="147"/>
        <v>9.1736355578491961E-6</v>
      </c>
      <c r="AX47" s="124">
        <f t="shared" si="148"/>
        <v>1.2288183144428236E-3</v>
      </c>
    </row>
    <row r="48" spans="1:50" ht="12.75" customHeight="1">
      <c r="A48" s="153" t="s">
        <v>161</v>
      </c>
      <c r="B48" s="185" t="s">
        <v>162</v>
      </c>
      <c r="C48" s="566" t="str">
        <f t="shared" si="38"/>
        <v>--</v>
      </c>
      <c r="D48" s="586" t="str">
        <f t="shared" si="39"/>
        <v>--</v>
      </c>
      <c r="E48" s="182">
        <f t="shared" si="118"/>
        <v>0.22914181681210372</v>
      </c>
      <c r="F48" s="609" t="str">
        <f t="shared" si="119"/>
        <v>Tapwater</v>
      </c>
      <c r="G48" s="182">
        <f t="shared" si="120"/>
        <v>10.027472527472527</v>
      </c>
      <c r="H48" s="183" t="str">
        <f t="shared" si="121"/>
        <v>Tapwater</v>
      </c>
      <c r="I48" s="188">
        <f t="shared" si="122"/>
        <v>0.22914181681210372</v>
      </c>
      <c r="J48" s="157" t="str">
        <f t="shared" si="123"/>
        <v>--</v>
      </c>
      <c r="K48" s="190" t="str">
        <f t="shared" si="124"/>
        <v>--</v>
      </c>
      <c r="L48" s="157" t="str">
        <f t="shared" si="125"/>
        <v>--</v>
      </c>
      <c r="M48" s="192" t="str">
        <f t="shared" si="126"/>
        <v>--</v>
      </c>
      <c r="N48" s="190" t="str">
        <f t="shared" si="127"/>
        <v>--</v>
      </c>
      <c r="O48" s="198">
        <f t="shared" si="128"/>
        <v>0.22914181681210372</v>
      </c>
      <c r="P48" s="162">
        <f t="shared" si="129"/>
        <v>10.027472527472527</v>
      </c>
      <c r="Q48" s="157" t="str">
        <f t="shared" si="130"/>
        <v>--</v>
      </c>
      <c r="R48" s="157" t="str">
        <f t="shared" si="131"/>
        <v>--</v>
      </c>
      <c r="S48" s="157" t="str">
        <f t="shared" si="86"/>
        <v>--</v>
      </c>
      <c r="T48" s="157" t="str">
        <f t="shared" si="132"/>
        <v>--</v>
      </c>
      <c r="U48" s="157" t="str">
        <f t="shared" si="133"/>
        <v>--</v>
      </c>
      <c r="V48" s="200">
        <f t="shared" si="134"/>
        <v>10.027472527472527</v>
      </c>
      <c r="W48" s="186" t="str">
        <f t="shared" si="135"/>
        <v>--</v>
      </c>
      <c r="X48" s="596" t="str">
        <f t="shared" si="136"/>
        <v>--</v>
      </c>
      <c r="Y48" s="187" t="str">
        <f t="shared" si="137"/>
        <v>--</v>
      </c>
      <c r="Z48" s="567" t="str">
        <f t="shared" si="138"/>
        <v>--</v>
      </c>
      <c r="AA48" s="568" t="str">
        <f t="shared" si="139"/>
        <v>--</v>
      </c>
      <c r="AB48" s="122" t="str">
        <f t="shared" si="15"/>
        <v>--</v>
      </c>
      <c r="AC48" s="121" t="str">
        <f t="shared" si="16"/>
        <v>--</v>
      </c>
      <c r="AD48" s="121" t="str">
        <f t="shared" si="17"/>
        <v>--</v>
      </c>
      <c r="AE48" s="121" t="str">
        <f t="shared" si="18"/>
        <v>--</v>
      </c>
      <c r="AF48" s="121" t="str">
        <f t="shared" si="19"/>
        <v>--</v>
      </c>
      <c r="AG48" s="121" t="str">
        <f t="shared" si="20"/>
        <v>--</v>
      </c>
      <c r="AH48" s="119" t="str">
        <f t="shared" si="21"/>
        <v>NV</v>
      </c>
      <c r="AI48" s="119" t="str">
        <f t="shared" si="22"/>
        <v>O</v>
      </c>
      <c r="AJ48" s="120" t="str">
        <f t="shared" si="23"/>
        <v>--</v>
      </c>
      <c r="AK48" s="129">
        <f t="shared" si="140"/>
        <v>0.7</v>
      </c>
      <c r="AL48" s="119">
        <f t="shared" si="25"/>
        <v>4.5476631647863996</v>
      </c>
      <c r="AM48" s="119">
        <f t="shared" si="26"/>
        <v>10.1623172712118</v>
      </c>
      <c r="AN48" s="119">
        <f t="shared" si="27"/>
        <v>44.266796804437</v>
      </c>
      <c r="AO48" s="119">
        <f t="shared" si="28"/>
        <v>0.628</v>
      </c>
      <c r="AP48" s="119" t="str">
        <f t="shared" si="29"/>
        <v>No</v>
      </c>
      <c r="AQ48" s="119">
        <f t="shared" si="141"/>
        <v>0.34</v>
      </c>
      <c r="AR48" s="119">
        <f t="shared" si="142"/>
        <v>9.7E-5</v>
      </c>
      <c r="AS48" s="119">
        <f t="shared" si="143"/>
        <v>5.0000000000000001E-4</v>
      </c>
      <c r="AT48" s="119" t="str">
        <f t="shared" si="144"/>
        <v>--</v>
      </c>
      <c r="AU48" s="119">
        <f t="shared" si="145"/>
        <v>1</v>
      </c>
      <c r="AV48" s="119">
        <f t="shared" si="146"/>
        <v>2.8784807930411738E-5</v>
      </c>
      <c r="AW48" s="555">
        <f t="shared" si="147"/>
        <v>9.1736355578491961E-6</v>
      </c>
      <c r="AX48" s="124">
        <f t="shared" si="148"/>
        <v>1.2288183144428236E-3</v>
      </c>
    </row>
    <row r="49" spans="1:50" ht="12.75" customHeight="1">
      <c r="A49" s="153" t="s">
        <v>163</v>
      </c>
      <c r="B49" s="185" t="s">
        <v>164</v>
      </c>
      <c r="C49" s="566">
        <f t="shared" si="38"/>
        <v>5</v>
      </c>
      <c r="D49" s="586" t="str">
        <f t="shared" si="39"/>
        <v>MCL (Primary)</v>
      </c>
      <c r="E49" s="182">
        <f t="shared" si="118"/>
        <v>2.7506025847406992</v>
      </c>
      <c r="F49" s="609" t="str">
        <f t="shared" si="119"/>
        <v>Tapwater</v>
      </c>
      <c r="G49" s="182">
        <f t="shared" si="120"/>
        <v>3753.2639645857175</v>
      </c>
      <c r="H49" s="183" t="str">
        <f t="shared" si="121"/>
        <v>Tapwater</v>
      </c>
      <c r="I49" s="188">
        <f t="shared" si="122"/>
        <v>13.668108371248291</v>
      </c>
      <c r="J49" s="157">
        <f t="shared" si="123"/>
        <v>3.5096153846153846</v>
      </c>
      <c r="K49" s="190" t="str">
        <f t="shared" si="124"/>
        <v>--</v>
      </c>
      <c r="L49" s="157">
        <f t="shared" si="125"/>
        <v>183.07708920384147</v>
      </c>
      <c r="M49" s="192" t="str">
        <f t="shared" si="126"/>
        <v>--</v>
      </c>
      <c r="N49" s="190">
        <f t="shared" si="127"/>
        <v>183.07708920384147</v>
      </c>
      <c r="O49" s="198">
        <f t="shared" si="128"/>
        <v>2.7506025847406992</v>
      </c>
      <c r="P49" s="162">
        <f t="shared" si="129"/>
        <v>4010.9890109890111</v>
      </c>
      <c r="Q49" s="157" t="str">
        <f t="shared" si="130"/>
        <v>--</v>
      </c>
      <c r="R49" s="157" t="str">
        <f t="shared" si="131"/>
        <v>--</v>
      </c>
      <c r="S49" s="157">
        <f t="shared" si="86"/>
        <v>58412.252621101674</v>
      </c>
      <c r="T49" s="157" t="str">
        <f t="shared" si="132"/>
        <v>--</v>
      </c>
      <c r="U49" s="157">
        <f t="shared" si="133"/>
        <v>58412.252621101674</v>
      </c>
      <c r="V49" s="200">
        <f t="shared" si="134"/>
        <v>3753.2639645857175</v>
      </c>
      <c r="W49" s="186">
        <f t="shared" si="135"/>
        <v>3</v>
      </c>
      <c r="X49" s="596" t="str">
        <f t="shared" si="136"/>
        <v>--</v>
      </c>
      <c r="Y49" s="187" t="str">
        <f t="shared" si="137"/>
        <v>OEHHA PHG</v>
      </c>
      <c r="Z49" s="567">
        <f t="shared" si="138"/>
        <v>5</v>
      </c>
      <c r="AA49" s="568" t="str">
        <f t="shared" si="139"/>
        <v>MCL (Primary)</v>
      </c>
      <c r="AB49" s="122">
        <f t="shared" si="15"/>
        <v>5</v>
      </c>
      <c r="AC49" s="121" t="str">
        <f t="shared" si="16"/>
        <v>--</v>
      </c>
      <c r="AD49" s="121">
        <f t="shared" si="17"/>
        <v>3</v>
      </c>
      <c r="AE49" s="121" t="str">
        <f t="shared" si="18"/>
        <v>Cancer</v>
      </c>
      <c r="AF49" s="121" t="str">
        <f t="shared" si="19"/>
        <v>--</v>
      </c>
      <c r="AG49" s="121" t="str">
        <f t="shared" si="20"/>
        <v>--</v>
      </c>
      <c r="AH49" s="119" t="str">
        <f t="shared" si="21"/>
        <v>V</v>
      </c>
      <c r="AI49" s="119" t="str">
        <f t="shared" si="22"/>
        <v>O</v>
      </c>
      <c r="AJ49" s="120" t="str">
        <f t="shared" si="23"/>
        <v>--</v>
      </c>
      <c r="AK49" s="129">
        <f t="shared" si="140"/>
        <v>1</v>
      </c>
      <c r="AL49" s="119">
        <f t="shared" si="25"/>
        <v>2.582618562439E-2</v>
      </c>
      <c r="AM49" s="119">
        <f t="shared" si="26"/>
        <v>0.37672526722851002</v>
      </c>
      <c r="AN49" s="119">
        <f t="shared" si="27"/>
        <v>0.90414064134842997</v>
      </c>
      <c r="AO49" s="119">
        <f t="shared" si="28"/>
        <v>6.7499999999999999E-3</v>
      </c>
      <c r="AP49" s="119" t="str">
        <f t="shared" si="29"/>
        <v>Yes</v>
      </c>
      <c r="AQ49" s="119">
        <f t="shared" si="141"/>
        <v>5.7000000000000002E-3</v>
      </c>
      <c r="AR49" s="119">
        <f t="shared" si="142"/>
        <v>1.5999999999999999E-6</v>
      </c>
      <c r="AS49" s="119">
        <f t="shared" si="143"/>
        <v>0.2</v>
      </c>
      <c r="AT49" s="119" t="str">
        <f t="shared" si="144"/>
        <v>--</v>
      </c>
      <c r="AU49" s="119">
        <f t="shared" si="145"/>
        <v>1</v>
      </c>
      <c r="AV49" s="119">
        <f t="shared" si="146"/>
        <v>1.7169885432175426E-3</v>
      </c>
      <c r="AW49" s="555">
        <f t="shared" si="147"/>
        <v>5.4719931397696959E-4</v>
      </c>
      <c r="AX49" s="124">
        <f t="shared" si="148"/>
        <v>0.49152732577712938</v>
      </c>
    </row>
    <row r="50" spans="1:50" ht="12.75" customHeight="1">
      <c r="A50" s="153" t="s">
        <v>165</v>
      </c>
      <c r="B50" s="185" t="s">
        <v>166</v>
      </c>
      <c r="C50" s="566">
        <f t="shared" si="38"/>
        <v>0.5</v>
      </c>
      <c r="D50" s="586" t="str">
        <f t="shared" si="39"/>
        <v>MCL (Primary)</v>
      </c>
      <c r="E50" s="182">
        <f t="shared" si="118"/>
        <v>0.17086896486121286</v>
      </c>
      <c r="F50" s="609" t="str">
        <f t="shared" si="119"/>
        <v>Tapwater</v>
      </c>
      <c r="G50" s="182">
        <f t="shared" si="120"/>
        <v>12.960296574149602</v>
      </c>
      <c r="H50" s="183" t="str">
        <f t="shared" si="121"/>
        <v>Tapwater</v>
      </c>
      <c r="I50" s="188">
        <f t="shared" si="122"/>
        <v>0.85613426061665132</v>
      </c>
      <c r="J50" s="157">
        <f t="shared" si="123"/>
        <v>0.21597633136094677</v>
      </c>
      <c r="K50" s="190" t="str">
        <f t="shared" si="124"/>
        <v>--</v>
      </c>
      <c r="L50" s="157">
        <f t="shared" si="125"/>
        <v>18.429856114907903</v>
      </c>
      <c r="M50" s="192" t="str">
        <f t="shared" si="126"/>
        <v>--</v>
      </c>
      <c r="N50" s="190">
        <f t="shared" si="127"/>
        <v>18.429856114907903</v>
      </c>
      <c r="O50" s="198">
        <f t="shared" si="128"/>
        <v>0.17086896486121286</v>
      </c>
      <c r="P50" s="162">
        <f t="shared" si="129"/>
        <v>120.32967032967034</v>
      </c>
      <c r="Q50" s="157">
        <f t="shared" si="130"/>
        <v>14.6</v>
      </c>
      <c r="R50" s="157" t="str">
        <f t="shared" si="131"/>
        <v>--</v>
      </c>
      <c r="S50" s="157">
        <f t="shared" si="86"/>
        <v>2816.3050370888309</v>
      </c>
      <c r="T50" s="157" t="str">
        <f t="shared" si="132"/>
        <v>--</v>
      </c>
      <c r="U50" s="157">
        <f t="shared" si="133"/>
        <v>2816.3050370888309</v>
      </c>
      <c r="V50" s="200">
        <f t="shared" si="134"/>
        <v>12.960296574149602</v>
      </c>
      <c r="W50" s="186">
        <f t="shared" si="135"/>
        <v>0.4</v>
      </c>
      <c r="X50" s="596" t="str">
        <f t="shared" si="136"/>
        <v>--</v>
      </c>
      <c r="Y50" s="187" t="str">
        <f t="shared" si="137"/>
        <v>OEHHA PHG</v>
      </c>
      <c r="Z50" s="567">
        <f t="shared" si="138"/>
        <v>0.5</v>
      </c>
      <c r="AA50" s="568" t="str">
        <f t="shared" si="139"/>
        <v>MCL (Primary)</v>
      </c>
      <c r="AB50" s="122">
        <f t="shared" si="15"/>
        <v>0.5</v>
      </c>
      <c r="AC50" s="121" t="str">
        <f t="shared" si="16"/>
        <v>--</v>
      </c>
      <c r="AD50" s="121">
        <f t="shared" si="17"/>
        <v>0.4</v>
      </c>
      <c r="AE50" s="121" t="str">
        <f t="shared" si="18"/>
        <v>Cancer</v>
      </c>
      <c r="AF50" s="121" t="str">
        <f t="shared" si="19"/>
        <v>--</v>
      </c>
      <c r="AG50" s="121" t="str">
        <f t="shared" si="20"/>
        <v>--</v>
      </c>
      <c r="AH50" s="119" t="str">
        <f t="shared" si="21"/>
        <v>V</v>
      </c>
      <c r="AI50" s="119" t="str">
        <f t="shared" si="22"/>
        <v>O</v>
      </c>
      <c r="AJ50" s="120" t="str">
        <f t="shared" si="23"/>
        <v>--</v>
      </c>
      <c r="AK50" s="129">
        <f t="shared" si="140"/>
        <v>1</v>
      </c>
      <c r="AL50" s="119">
        <f t="shared" si="25"/>
        <v>1.6069626610730001E-2</v>
      </c>
      <c r="AM50" s="119">
        <f t="shared" si="26"/>
        <v>0.37672526722851002</v>
      </c>
      <c r="AN50" s="119">
        <f t="shared" si="27"/>
        <v>0.90414064134842997</v>
      </c>
      <c r="AO50" s="119">
        <f t="shared" si="28"/>
        <v>4.1999999999999997E-3</v>
      </c>
      <c r="AP50" s="119" t="str">
        <f t="shared" si="29"/>
        <v>Yes</v>
      </c>
      <c r="AQ50" s="119">
        <f t="shared" si="141"/>
        <v>9.0999999999999998E-2</v>
      </c>
      <c r="AR50" s="119">
        <f t="shared" si="142"/>
        <v>2.5999999999999998E-5</v>
      </c>
      <c r="AS50" s="119">
        <f t="shared" si="143"/>
        <v>6.0000000000000001E-3</v>
      </c>
      <c r="AT50" s="119">
        <f t="shared" si="144"/>
        <v>7</v>
      </c>
      <c r="AU50" s="119">
        <f t="shared" si="145"/>
        <v>1</v>
      </c>
      <c r="AV50" s="119">
        <f t="shared" si="146"/>
        <v>1.0754763402571421E-4</v>
      </c>
      <c r="AW50" s="555">
        <f t="shared" si="147"/>
        <v>3.42751218644915E-5</v>
      </c>
      <c r="AX50" s="124">
        <f t="shared" si="148"/>
        <v>1.4745819773313882E-2</v>
      </c>
    </row>
    <row r="51" spans="1:50" ht="12.75" customHeight="1">
      <c r="A51" s="153" t="s">
        <v>167</v>
      </c>
      <c r="B51" s="185" t="s">
        <v>168</v>
      </c>
      <c r="C51" s="566">
        <f t="shared" si="38"/>
        <v>6</v>
      </c>
      <c r="D51" s="586" t="str">
        <f t="shared" si="39"/>
        <v>MCL (Primary)</v>
      </c>
      <c r="E51" s="182" t="str">
        <f t="shared" si="118"/>
        <v>--</v>
      </c>
      <c r="F51" s="609" t="str">
        <f t="shared" si="119"/>
        <v>--</v>
      </c>
      <c r="G51" s="182">
        <f t="shared" si="120"/>
        <v>8.1840979942799947</v>
      </c>
      <c r="H51" s="183" t="str">
        <f t="shared" si="121"/>
        <v>Tapwater</v>
      </c>
      <c r="I51" s="188" t="str">
        <f t="shared" si="122"/>
        <v>--</v>
      </c>
      <c r="J51" s="157" t="str">
        <f t="shared" si="123"/>
        <v>--</v>
      </c>
      <c r="K51" s="190" t="str">
        <f t="shared" si="124"/>
        <v>--</v>
      </c>
      <c r="L51" s="157" t="str">
        <f t="shared" si="125"/>
        <v>--</v>
      </c>
      <c r="M51" s="192" t="str">
        <f t="shared" si="126"/>
        <v>--</v>
      </c>
      <c r="N51" s="190" t="str">
        <f t="shared" si="127"/>
        <v>--</v>
      </c>
      <c r="O51" s="198" t="str">
        <f t="shared" si="128"/>
        <v>--</v>
      </c>
      <c r="P51" s="162">
        <f t="shared" si="129"/>
        <v>1002.7472527472528</v>
      </c>
      <c r="Q51" s="157">
        <f t="shared" si="130"/>
        <v>8.25942857142857</v>
      </c>
      <c r="R51" s="157" t="str">
        <f t="shared" si="131"/>
        <v>--</v>
      </c>
      <c r="S51" s="157">
        <f t="shared" si="86"/>
        <v>8535.061887777103</v>
      </c>
      <c r="T51" s="157" t="str">
        <f t="shared" si="132"/>
        <v>--</v>
      </c>
      <c r="U51" s="157">
        <f t="shared" si="133"/>
        <v>8535.061887777103</v>
      </c>
      <c r="V51" s="200">
        <f t="shared" si="134"/>
        <v>8.1840979942799947</v>
      </c>
      <c r="W51" s="186" t="str">
        <f t="shared" si="135"/>
        <v>--</v>
      </c>
      <c r="X51" s="596">
        <f t="shared" si="136"/>
        <v>10</v>
      </c>
      <c r="Y51" s="187" t="str">
        <f t="shared" si="137"/>
        <v>OEHHA PHG</v>
      </c>
      <c r="Z51" s="567">
        <f t="shared" si="138"/>
        <v>6</v>
      </c>
      <c r="AA51" s="568" t="str">
        <f t="shared" si="139"/>
        <v>MCL (Primary)</v>
      </c>
      <c r="AB51" s="122">
        <f t="shared" si="15"/>
        <v>6</v>
      </c>
      <c r="AC51" s="121" t="str">
        <f t="shared" si="16"/>
        <v>--</v>
      </c>
      <c r="AD51" s="121">
        <f t="shared" si="17"/>
        <v>10</v>
      </c>
      <c r="AE51" s="121" t="str">
        <f t="shared" si="18"/>
        <v>Noncancer</v>
      </c>
      <c r="AF51" s="121" t="str">
        <f t="shared" si="19"/>
        <v>--</v>
      </c>
      <c r="AG51" s="121" t="str">
        <f t="shared" si="20"/>
        <v>--</v>
      </c>
      <c r="AH51" s="119" t="str">
        <f t="shared" si="21"/>
        <v>V</v>
      </c>
      <c r="AI51" s="119" t="str">
        <f t="shared" si="22"/>
        <v>O</v>
      </c>
      <c r="AJ51" s="120" t="str">
        <f t="shared" si="23"/>
        <v>--</v>
      </c>
      <c r="AK51" s="129">
        <f t="shared" si="140"/>
        <v>1</v>
      </c>
      <c r="AL51" s="119">
        <f t="shared" si="25"/>
        <v>4.4307064899399999E-2</v>
      </c>
      <c r="AM51" s="119">
        <f t="shared" si="26"/>
        <v>0.36705838514296002</v>
      </c>
      <c r="AN51" s="119">
        <f t="shared" si="27"/>
        <v>0.88094012434309998</v>
      </c>
      <c r="AO51" s="119">
        <f t="shared" si="28"/>
        <v>1.17E-2</v>
      </c>
      <c r="AP51" s="119" t="str">
        <f t="shared" si="29"/>
        <v>Yes</v>
      </c>
      <c r="AQ51" s="119" t="str">
        <f t="shared" si="141"/>
        <v>--</v>
      </c>
      <c r="AR51" s="119" t="str">
        <f t="shared" si="142"/>
        <v>--</v>
      </c>
      <c r="AS51" s="119">
        <f t="shared" si="143"/>
        <v>0.05</v>
      </c>
      <c r="AT51" s="119">
        <f t="shared" si="144"/>
        <v>3.96</v>
      </c>
      <c r="AU51" s="119">
        <f t="shared" si="145"/>
        <v>1</v>
      </c>
      <c r="AV51" s="119" t="str">
        <f t="shared" si="146"/>
        <v>--</v>
      </c>
      <c r="AW51" s="555" t="str">
        <f t="shared" si="147"/>
        <v>--</v>
      </c>
      <c r="AX51" s="124">
        <f t="shared" si="148"/>
        <v>0.12288183144428234</v>
      </c>
    </row>
    <row r="52" spans="1:50" ht="12.75" customHeight="1">
      <c r="A52" s="153" t="s">
        <v>169</v>
      </c>
      <c r="B52" s="185" t="s">
        <v>170</v>
      </c>
      <c r="C52" s="566">
        <f t="shared" si="38"/>
        <v>6</v>
      </c>
      <c r="D52" s="586" t="str">
        <f t="shared" si="39"/>
        <v>MCL (Primary)</v>
      </c>
      <c r="E52" s="182" t="str">
        <f t="shared" si="118"/>
        <v>--</v>
      </c>
      <c r="F52" s="609" t="str">
        <f t="shared" si="119"/>
        <v>--</v>
      </c>
      <c r="G52" s="182">
        <f t="shared" si="120"/>
        <v>13</v>
      </c>
      <c r="H52" s="183" t="str">
        <f t="shared" si="121"/>
        <v>OEHHA PHG</v>
      </c>
      <c r="I52" s="188" t="str">
        <f t="shared" si="122"/>
        <v>--</v>
      </c>
      <c r="J52" s="157" t="str">
        <f t="shared" si="123"/>
        <v>--</v>
      </c>
      <c r="K52" s="190" t="str">
        <f t="shared" si="124"/>
        <v>--</v>
      </c>
      <c r="L52" s="157" t="str">
        <f t="shared" si="125"/>
        <v>--</v>
      </c>
      <c r="M52" s="192" t="str">
        <f t="shared" si="126"/>
        <v>--</v>
      </c>
      <c r="N52" s="190" t="str">
        <f t="shared" si="127"/>
        <v>--</v>
      </c>
      <c r="O52" s="198" t="str">
        <f t="shared" si="128"/>
        <v>--</v>
      </c>
      <c r="P52" s="162">
        <f t="shared" si="129"/>
        <v>40.109890109890109</v>
      </c>
      <c r="Q52" s="157">
        <f t="shared" si="130"/>
        <v>83.428571428571431</v>
      </c>
      <c r="R52" s="157" t="str">
        <f t="shared" si="131"/>
        <v>--</v>
      </c>
      <c r="S52" s="157">
        <f t="shared" si="86"/>
        <v>363.1280875890622</v>
      </c>
      <c r="T52" s="157" t="str">
        <f t="shared" si="132"/>
        <v>--</v>
      </c>
      <c r="U52" s="157">
        <f t="shared" si="133"/>
        <v>363.1280875890622</v>
      </c>
      <c r="V52" s="200">
        <f t="shared" si="134"/>
        <v>25.206912556814419</v>
      </c>
      <c r="W52" s="186" t="str">
        <f t="shared" si="135"/>
        <v>--</v>
      </c>
      <c r="X52" s="596">
        <f t="shared" si="136"/>
        <v>13</v>
      </c>
      <c r="Y52" s="187" t="str">
        <f t="shared" si="137"/>
        <v>OEHHA PHG</v>
      </c>
      <c r="Z52" s="567">
        <f t="shared" si="138"/>
        <v>6</v>
      </c>
      <c r="AA52" s="568" t="str">
        <f t="shared" si="139"/>
        <v>MCL (Primary)</v>
      </c>
      <c r="AB52" s="122">
        <f t="shared" si="15"/>
        <v>6</v>
      </c>
      <c r="AC52" s="121" t="str">
        <f t="shared" si="16"/>
        <v>--</v>
      </c>
      <c r="AD52" s="121">
        <f t="shared" si="17"/>
        <v>13</v>
      </c>
      <c r="AE52" s="121" t="str">
        <f t="shared" si="18"/>
        <v>Noncancer</v>
      </c>
      <c r="AF52" s="121" t="str">
        <f t="shared" si="19"/>
        <v>--</v>
      </c>
      <c r="AG52" s="121" t="str">
        <f t="shared" si="20"/>
        <v>--</v>
      </c>
      <c r="AH52" s="119" t="str">
        <f t="shared" si="21"/>
        <v>V</v>
      </c>
      <c r="AI52" s="119" t="str">
        <f t="shared" si="22"/>
        <v>O</v>
      </c>
      <c r="AJ52" s="120" t="str">
        <f t="shared" si="23"/>
        <v>--</v>
      </c>
      <c r="AK52" s="129">
        <f t="shared" si="140"/>
        <v>1</v>
      </c>
      <c r="AL52" s="119">
        <f t="shared" si="25"/>
        <v>4.165621486269E-2</v>
      </c>
      <c r="AM52" s="119">
        <f t="shared" si="26"/>
        <v>0.36705838514296002</v>
      </c>
      <c r="AN52" s="119">
        <f t="shared" si="27"/>
        <v>0.88094012434309998</v>
      </c>
      <c r="AO52" s="119">
        <f t="shared" si="28"/>
        <v>1.0999999999999999E-2</v>
      </c>
      <c r="AP52" s="119" t="str">
        <f t="shared" si="29"/>
        <v>Yes</v>
      </c>
      <c r="AQ52" s="119" t="str">
        <f t="shared" si="141"/>
        <v>--</v>
      </c>
      <c r="AR52" s="119" t="str">
        <f t="shared" si="142"/>
        <v>--</v>
      </c>
      <c r="AS52" s="119">
        <f t="shared" si="143"/>
        <v>2E-3</v>
      </c>
      <c r="AT52" s="119">
        <f t="shared" si="144"/>
        <v>40</v>
      </c>
      <c r="AU52" s="119">
        <f t="shared" si="145"/>
        <v>1</v>
      </c>
      <c r="AV52" s="119" t="str">
        <f t="shared" si="146"/>
        <v>--</v>
      </c>
      <c r="AW52" s="555" t="str">
        <f t="shared" si="147"/>
        <v>--</v>
      </c>
      <c r="AX52" s="124">
        <f t="shared" si="148"/>
        <v>4.9152732577712943E-3</v>
      </c>
    </row>
    <row r="53" spans="1:50" ht="12.75" customHeight="1">
      <c r="A53" s="153" t="s">
        <v>171</v>
      </c>
      <c r="B53" s="185" t="s">
        <v>172</v>
      </c>
      <c r="C53" s="566">
        <f t="shared" si="38"/>
        <v>10</v>
      </c>
      <c r="D53" s="586" t="str">
        <f t="shared" si="39"/>
        <v>MCL (Primary)</v>
      </c>
      <c r="E53" s="182" t="str">
        <f t="shared" si="118"/>
        <v>--</v>
      </c>
      <c r="F53" s="609" t="str">
        <f t="shared" si="119"/>
        <v>--</v>
      </c>
      <c r="G53" s="182">
        <f t="shared" si="120"/>
        <v>50</v>
      </c>
      <c r="H53" s="183" t="str">
        <f t="shared" si="121"/>
        <v>OEHHA PHG</v>
      </c>
      <c r="I53" s="188" t="str">
        <f t="shared" si="122"/>
        <v>--</v>
      </c>
      <c r="J53" s="157" t="str">
        <f t="shared" si="123"/>
        <v>--</v>
      </c>
      <c r="K53" s="190" t="str">
        <f t="shared" si="124"/>
        <v>--</v>
      </c>
      <c r="L53" s="157" t="str">
        <f t="shared" si="125"/>
        <v>--</v>
      </c>
      <c r="M53" s="192" t="str">
        <f t="shared" si="126"/>
        <v>--</v>
      </c>
      <c r="N53" s="190" t="str">
        <f t="shared" si="127"/>
        <v>--</v>
      </c>
      <c r="O53" s="198" t="str">
        <f t="shared" si="128"/>
        <v>--</v>
      </c>
      <c r="P53" s="162">
        <f t="shared" si="129"/>
        <v>401.09890109890108</v>
      </c>
      <c r="Q53" s="157">
        <f t="shared" si="130"/>
        <v>83.428571428571431</v>
      </c>
      <c r="R53" s="157" t="str">
        <f t="shared" si="131"/>
        <v>--</v>
      </c>
      <c r="S53" s="157">
        <f t="shared" si="86"/>
        <v>3631.2808758906217</v>
      </c>
      <c r="T53" s="157" t="str">
        <f t="shared" si="132"/>
        <v>--</v>
      </c>
      <c r="U53" s="157">
        <f t="shared" si="133"/>
        <v>3631.2808758906217</v>
      </c>
      <c r="V53" s="200">
        <f t="shared" si="134"/>
        <v>67.774384873723562</v>
      </c>
      <c r="W53" s="186" t="str">
        <f t="shared" si="135"/>
        <v>--</v>
      </c>
      <c r="X53" s="596">
        <f t="shared" si="136"/>
        <v>50</v>
      </c>
      <c r="Y53" s="187" t="str">
        <f t="shared" si="137"/>
        <v>OEHHA PHG</v>
      </c>
      <c r="Z53" s="567">
        <f t="shared" si="138"/>
        <v>10</v>
      </c>
      <c r="AA53" s="568" t="str">
        <f t="shared" si="139"/>
        <v>MCL (Primary)</v>
      </c>
      <c r="AB53" s="122">
        <f t="shared" si="15"/>
        <v>10</v>
      </c>
      <c r="AC53" s="121" t="str">
        <f t="shared" si="16"/>
        <v>--</v>
      </c>
      <c r="AD53" s="121">
        <f t="shared" si="17"/>
        <v>50</v>
      </c>
      <c r="AE53" s="121" t="str">
        <f t="shared" si="18"/>
        <v>Noncancer</v>
      </c>
      <c r="AF53" s="121" t="str">
        <f t="shared" si="19"/>
        <v>--</v>
      </c>
      <c r="AG53" s="121" t="str">
        <f t="shared" si="20"/>
        <v>--</v>
      </c>
      <c r="AH53" s="119" t="str">
        <f t="shared" si="21"/>
        <v>V</v>
      </c>
      <c r="AI53" s="119" t="str">
        <f t="shared" si="22"/>
        <v>O</v>
      </c>
      <c r="AJ53" s="120" t="str">
        <f t="shared" si="23"/>
        <v>--</v>
      </c>
      <c r="AK53" s="129">
        <f t="shared" si="140"/>
        <v>1</v>
      </c>
      <c r="AL53" s="119">
        <f t="shared" si="25"/>
        <v>4.165621486269E-2</v>
      </c>
      <c r="AM53" s="119">
        <f t="shared" si="26"/>
        <v>0.36705838514296002</v>
      </c>
      <c r="AN53" s="119">
        <f t="shared" si="27"/>
        <v>0.88094012434309998</v>
      </c>
      <c r="AO53" s="119">
        <f t="shared" si="28"/>
        <v>1.0999999999999999E-2</v>
      </c>
      <c r="AP53" s="119" t="str">
        <f t="shared" si="29"/>
        <v>Yes</v>
      </c>
      <c r="AQ53" s="119" t="str">
        <f t="shared" si="141"/>
        <v>--</v>
      </c>
      <c r="AR53" s="119" t="str">
        <f t="shared" si="142"/>
        <v>--</v>
      </c>
      <c r="AS53" s="119">
        <f t="shared" si="143"/>
        <v>0.02</v>
      </c>
      <c r="AT53" s="119">
        <f t="shared" si="144"/>
        <v>40</v>
      </c>
      <c r="AU53" s="119">
        <f t="shared" si="145"/>
        <v>1</v>
      </c>
      <c r="AV53" s="119" t="str">
        <f t="shared" si="146"/>
        <v>--</v>
      </c>
      <c r="AW53" s="555" t="str">
        <f t="shared" si="147"/>
        <v>--</v>
      </c>
      <c r="AX53" s="124">
        <f t="shared" si="148"/>
        <v>4.9152732577712938E-2</v>
      </c>
    </row>
    <row r="54" spans="1:50" ht="12.75" customHeight="1">
      <c r="A54" s="153" t="s">
        <v>173</v>
      </c>
      <c r="B54" s="185" t="s">
        <v>174</v>
      </c>
      <c r="C54" s="566" t="str">
        <f t="shared" si="38"/>
        <v>--</v>
      </c>
      <c r="D54" s="586" t="str">
        <f t="shared" si="39"/>
        <v>--</v>
      </c>
      <c r="E54" s="182" t="str">
        <f t="shared" si="118"/>
        <v>--</v>
      </c>
      <c r="F54" s="609" t="str">
        <f t="shared" si="119"/>
        <v>--</v>
      </c>
      <c r="G54" s="182">
        <f t="shared" si="120"/>
        <v>45.694289862312644</v>
      </c>
      <c r="H54" s="183" t="str">
        <f t="shared" si="121"/>
        <v>Tapwater</v>
      </c>
      <c r="I54" s="188" t="str">
        <f t="shared" si="122"/>
        <v>--</v>
      </c>
      <c r="J54" s="157" t="str">
        <f t="shared" si="123"/>
        <v>--</v>
      </c>
      <c r="K54" s="190" t="str">
        <f t="shared" si="124"/>
        <v>--</v>
      </c>
      <c r="L54" s="157" t="str">
        <f t="shared" si="125"/>
        <v>--</v>
      </c>
      <c r="M54" s="192" t="str">
        <f t="shared" si="126"/>
        <v>--</v>
      </c>
      <c r="N54" s="190" t="str">
        <f t="shared" si="127"/>
        <v>--</v>
      </c>
      <c r="O54" s="198" t="str">
        <f t="shared" si="128"/>
        <v>--</v>
      </c>
      <c r="P54" s="162">
        <f t="shared" si="129"/>
        <v>60.164835164835168</v>
      </c>
      <c r="Q54" s="157" t="str">
        <f t="shared" si="130"/>
        <v>--</v>
      </c>
      <c r="R54" s="157" t="str">
        <f t="shared" si="131"/>
        <v>--</v>
      </c>
      <c r="S54" s="157">
        <f t="shared" si="86"/>
        <v>189.98519821232978</v>
      </c>
      <c r="T54" s="157" t="str">
        <f t="shared" si="132"/>
        <v>--</v>
      </c>
      <c r="U54" s="157">
        <f t="shared" si="133"/>
        <v>189.98519821232978</v>
      </c>
      <c r="V54" s="200">
        <f t="shared" si="134"/>
        <v>45.694289862312644</v>
      </c>
      <c r="W54" s="186" t="str">
        <f t="shared" si="135"/>
        <v>--</v>
      </c>
      <c r="X54" s="596" t="str">
        <f t="shared" si="136"/>
        <v>--</v>
      </c>
      <c r="Y54" s="187" t="str">
        <f t="shared" si="137"/>
        <v>--</v>
      </c>
      <c r="Z54" s="567" t="str">
        <f t="shared" si="138"/>
        <v>--</v>
      </c>
      <c r="AA54" s="568" t="str">
        <f t="shared" si="139"/>
        <v>--</v>
      </c>
      <c r="AB54" s="122" t="str">
        <f t="shared" si="15"/>
        <v>--</v>
      </c>
      <c r="AC54" s="121" t="str">
        <f t="shared" si="16"/>
        <v>--</v>
      </c>
      <c r="AD54" s="121" t="str">
        <f t="shared" si="17"/>
        <v>--</v>
      </c>
      <c r="AE54" s="121" t="str">
        <f t="shared" si="18"/>
        <v>--</v>
      </c>
      <c r="AF54" s="121" t="str">
        <f t="shared" si="19"/>
        <v>--</v>
      </c>
      <c r="AG54" s="121" t="str">
        <f t="shared" si="20"/>
        <v>--</v>
      </c>
      <c r="AH54" s="119" t="str">
        <f t="shared" si="21"/>
        <v>NV</v>
      </c>
      <c r="AI54" s="119" t="str">
        <f t="shared" si="22"/>
        <v>O</v>
      </c>
      <c r="AJ54" s="120" t="str">
        <f t="shared" si="23"/>
        <v>--</v>
      </c>
      <c r="AK54" s="129">
        <f t="shared" si="140"/>
        <v>1</v>
      </c>
      <c r="AL54" s="119">
        <f t="shared" si="25"/>
        <v>0.10115507457575</v>
      </c>
      <c r="AM54" s="119">
        <f t="shared" si="26"/>
        <v>0.86029767582779004</v>
      </c>
      <c r="AN54" s="119">
        <f t="shared" si="27"/>
        <v>2.06471442198669</v>
      </c>
      <c r="AO54" s="119">
        <f t="shared" si="28"/>
        <v>2.06E-2</v>
      </c>
      <c r="AP54" s="119" t="str">
        <f t="shared" si="29"/>
        <v>Yes</v>
      </c>
      <c r="AQ54" s="119" t="str">
        <f t="shared" si="141"/>
        <v>--</v>
      </c>
      <c r="AR54" s="119" t="str">
        <f t="shared" si="142"/>
        <v>--</v>
      </c>
      <c r="AS54" s="119">
        <f t="shared" si="143"/>
        <v>3.0000000000000001E-3</v>
      </c>
      <c r="AT54" s="119" t="str">
        <f t="shared" si="144"/>
        <v>--</v>
      </c>
      <c r="AU54" s="119">
        <f t="shared" si="145"/>
        <v>1</v>
      </c>
      <c r="AV54" s="119" t="str">
        <f t="shared" si="146"/>
        <v>--</v>
      </c>
      <c r="AW54" s="555" t="str">
        <f t="shared" si="147"/>
        <v>--</v>
      </c>
      <c r="AX54" s="124">
        <f t="shared" si="148"/>
        <v>7.372909886656941E-3</v>
      </c>
    </row>
    <row r="55" spans="1:50" ht="12.75" customHeight="1">
      <c r="A55" s="153" t="s">
        <v>175</v>
      </c>
      <c r="B55" s="185" t="s">
        <v>176</v>
      </c>
      <c r="C55" s="566">
        <f t="shared" si="38"/>
        <v>5</v>
      </c>
      <c r="D55" s="586" t="str">
        <f t="shared" si="39"/>
        <v>MCL (Primary)</v>
      </c>
      <c r="E55" s="182">
        <f t="shared" si="118"/>
        <v>0.5</v>
      </c>
      <c r="F55" s="609" t="str">
        <f t="shared" si="119"/>
        <v>OEHHA PHG</v>
      </c>
      <c r="G55" s="182">
        <f t="shared" si="120"/>
        <v>8.249864020050655</v>
      </c>
      <c r="H55" s="183" t="str">
        <f t="shared" si="121"/>
        <v>Tapwater</v>
      </c>
      <c r="I55" s="188">
        <f t="shared" si="122"/>
        <v>2.1056275058409533</v>
      </c>
      <c r="J55" s="157">
        <f t="shared" si="123"/>
        <v>1.5176715176715176</v>
      </c>
      <c r="K55" s="190" t="str">
        <f t="shared" si="124"/>
        <v>--</v>
      </c>
      <c r="L55" s="157">
        <f t="shared" si="125"/>
        <v>23.095742405619223</v>
      </c>
      <c r="M55" s="192" t="str">
        <f t="shared" si="126"/>
        <v>--</v>
      </c>
      <c r="N55" s="190">
        <f t="shared" si="127"/>
        <v>23.095742405619223</v>
      </c>
      <c r="O55" s="198">
        <f t="shared" si="128"/>
        <v>0.84953110113319263</v>
      </c>
      <c r="P55" s="162">
        <f t="shared" si="129"/>
        <v>802.19780219780216</v>
      </c>
      <c r="Q55" s="157">
        <f t="shared" si="130"/>
        <v>8.3428571428571434</v>
      </c>
      <c r="R55" s="157" t="str">
        <f t="shared" si="131"/>
        <v>--</v>
      </c>
      <c r="S55" s="157">
        <f t="shared" si="86"/>
        <v>9566.6249248262411</v>
      </c>
      <c r="T55" s="157" t="str">
        <f t="shared" si="132"/>
        <v>--</v>
      </c>
      <c r="U55" s="157">
        <f t="shared" si="133"/>
        <v>9566.6249248262411</v>
      </c>
      <c r="V55" s="200">
        <f t="shared" si="134"/>
        <v>8.249864020050655</v>
      </c>
      <c r="W55" s="186">
        <f t="shared" si="135"/>
        <v>0.5</v>
      </c>
      <c r="X55" s="596" t="str">
        <f t="shared" si="136"/>
        <v>--</v>
      </c>
      <c r="Y55" s="187" t="str">
        <f t="shared" si="137"/>
        <v>OEHHA PHG</v>
      </c>
      <c r="Z55" s="567">
        <f t="shared" si="138"/>
        <v>5</v>
      </c>
      <c r="AA55" s="568" t="str">
        <f t="shared" si="139"/>
        <v>MCL (Primary)</v>
      </c>
      <c r="AB55" s="122">
        <f t="shared" si="15"/>
        <v>5</v>
      </c>
      <c r="AC55" s="121" t="str">
        <f t="shared" si="16"/>
        <v>--</v>
      </c>
      <c r="AD55" s="121">
        <f t="shared" si="17"/>
        <v>0.5</v>
      </c>
      <c r="AE55" s="121" t="str">
        <f t="shared" si="18"/>
        <v>Cancer</v>
      </c>
      <c r="AF55" s="121" t="str">
        <f t="shared" si="19"/>
        <v>--</v>
      </c>
      <c r="AG55" s="121" t="str">
        <f t="shared" si="20"/>
        <v>--</v>
      </c>
      <c r="AH55" s="119" t="str">
        <f t="shared" si="21"/>
        <v>V</v>
      </c>
      <c r="AI55" s="119" t="str">
        <f t="shared" si="22"/>
        <v>O</v>
      </c>
      <c r="AJ55" s="120" t="str">
        <f t="shared" si="23"/>
        <v>--</v>
      </c>
      <c r="AK55" s="129">
        <f t="shared" si="140"/>
        <v>1</v>
      </c>
      <c r="AL55" s="119">
        <f t="shared" si="25"/>
        <v>3.0785175414410001E-2</v>
      </c>
      <c r="AM55" s="119">
        <f t="shared" si="26"/>
        <v>0.45143242470886003</v>
      </c>
      <c r="AN55" s="119">
        <f t="shared" si="27"/>
        <v>1.0834378193012699</v>
      </c>
      <c r="AO55" s="119">
        <f t="shared" si="28"/>
        <v>7.5300000000000002E-3</v>
      </c>
      <c r="AP55" s="119" t="str">
        <f t="shared" si="29"/>
        <v>Yes</v>
      </c>
      <c r="AQ55" s="119">
        <f t="shared" si="141"/>
        <v>3.6999999999999998E-2</v>
      </c>
      <c r="AR55" s="119">
        <f t="shared" si="142"/>
        <v>3.7000000000000002E-6</v>
      </c>
      <c r="AS55" s="119">
        <f t="shared" si="143"/>
        <v>0.04</v>
      </c>
      <c r="AT55" s="119">
        <f t="shared" si="144"/>
        <v>4</v>
      </c>
      <c r="AU55" s="119">
        <f t="shared" si="145"/>
        <v>1</v>
      </c>
      <c r="AV55" s="119">
        <f t="shared" si="146"/>
        <v>2.6450904584702687E-4</v>
      </c>
      <c r="AW55" s="555">
        <f t="shared" si="147"/>
        <v>8.4298272693749375E-5</v>
      </c>
      <c r="AX55" s="124">
        <f t="shared" si="148"/>
        <v>9.8305465155425875E-2</v>
      </c>
    </row>
    <row r="56" spans="1:50" ht="12.75" customHeight="1">
      <c r="A56" s="153" t="s">
        <v>177</v>
      </c>
      <c r="B56" s="185" t="s">
        <v>178</v>
      </c>
      <c r="C56" s="566">
        <f t="shared" si="38"/>
        <v>0.5</v>
      </c>
      <c r="D56" s="586" t="str">
        <f t="shared" si="39"/>
        <v>MCL (Primary)</v>
      </c>
      <c r="E56" s="182">
        <f t="shared" si="118"/>
        <v>0.2</v>
      </c>
      <c r="F56" s="609" t="str">
        <f t="shared" si="119"/>
        <v>OEHHA PHG</v>
      </c>
      <c r="G56" s="182">
        <f t="shared" si="120"/>
        <v>38.779122093390228</v>
      </c>
      <c r="H56" s="183" t="str">
        <f t="shared" si="121"/>
        <v>Tapwater</v>
      </c>
      <c r="I56" s="188">
        <f t="shared" si="122"/>
        <v>0.77908217716115258</v>
      </c>
      <c r="J56" s="157">
        <f t="shared" si="123"/>
        <v>1.4038461538461537</v>
      </c>
      <c r="K56" s="190" t="str">
        <f t="shared" si="124"/>
        <v>--</v>
      </c>
      <c r="L56" s="157">
        <f t="shared" si="125"/>
        <v>7.8166123899096922</v>
      </c>
      <c r="M56" s="192" t="str">
        <f t="shared" si="126"/>
        <v>--</v>
      </c>
      <c r="N56" s="190">
        <f t="shared" si="127"/>
        <v>7.8166123899096922</v>
      </c>
      <c r="O56" s="198">
        <f t="shared" si="128"/>
        <v>0.4708490149633397</v>
      </c>
      <c r="P56" s="162">
        <f t="shared" si="129"/>
        <v>601.64835164835165</v>
      </c>
      <c r="Q56" s="157">
        <f t="shared" si="130"/>
        <v>41.714285714285715</v>
      </c>
      <c r="R56" s="157" t="str">
        <f t="shared" si="131"/>
        <v>--</v>
      </c>
      <c r="S56" s="157">
        <f t="shared" si="86"/>
        <v>6563.0382598623728</v>
      </c>
      <c r="T56" s="157" t="str">
        <f t="shared" si="132"/>
        <v>--</v>
      </c>
      <c r="U56" s="157">
        <f t="shared" si="133"/>
        <v>6563.0382598623728</v>
      </c>
      <c r="V56" s="200">
        <f t="shared" si="134"/>
        <v>38.779122093390228</v>
      </c>
      <c r="W56" s="186">
        <f t="shared" si="135"/>
        <v>0.2</v>
      </c>
      <c r="X56" s="596" t="str">
        <f t="shared" si="136"/>
        <v>--</v>
      </c>
      <c r="Y56" s="187" t="str">
        <f t="shared" si="137"/>
        <v>OEHHA PHG</v>
      </c>
      <c r="Z56" s="567">
        <f t="shared" si="138"/>
        <v>0.5</v>
      </c>
      <c r="AA56" s="568" t="str">
        <f t="shared" si="139"/>
        <v>MCL (Primary)</v>
      </c>
      <c r="AB56" s="122">
        <f t="shared" si="15"/>
        <v>0.5</v>
      </c>
      <c r="AC56" s="121" t="str">
        <f t="shared" si="16"/>
        <v>--</v>
      </c>
      <c r="AD56" s="121">
        <f t="shared" si="17"/>
        <v>0.2</v>
      </c>
      <c r="AE56" s="121" t="str">
        <f t="shared" si="18"/>
        <v>Cancer</v>
      </c>
      <c r="AF56" s="121" t="str">
        <f t="shared" si="19"/>
        <v>--</v>
      </c>
      <c r="AG56" s="121" t="str">
        <f t="shared" si="20"/>
        <v>--</v>
      </c>
      <c r="AH56" s="119" t="str">
        <f t="shared" si="21"/>
        <v>V</v>
      </c>
      <c r="AI56" s="119" t="str">
        <f t="shared" si="22"/>
        <v>O</v>
      </c>
      <c r="AJ56" s="120" t="str">
        <f t="shared" si="23"/>
        <v>--</v>
      </c>
      <c r="AK56" s="129">
        <f t="shared" si="140"/>
        <v>1</v>
      </c>
      <c r="AL56" s="119">
        <f t="shared" si="25"/>
        <v>3.3790568280720003E-2</v>
      </c>
      <c r="AM56" s="119">
        <f t="shared" si="26"/>
        <v>0.43982584892449</v>
      </c>
      <c r="AN56" s="119">
        <f t="shared" si="27"/>
        <v>1.0555820374187701</v>
      </c>
      <c r="AO56" s="119">
        <f t="shared" si="28"/>
        <v>8.3400000000000002E-3</v>
      </c>
      <c r="AP56" s="119" t="str">
        <f t="shared" si="29"/>
        <v>Yes</v>
      </c>
      <c r="AQ56" s="119">
        <f t="shared" si="141"/>
        <v>0.1</v>
      </c>
      <c r="AR56" s="119">
        <f t="shared" si="142"/>
        <v>3.9999999999999998E-6</v>
      </c>
      <c r="AS56" s="119">
        <f t="shared" si="143"/>
        <v>0.03</v>
      </c>
      <c r="AT56" s="119">
        <f t="shared" si="144"/>
        <v>20</v>
      </c>
      <c r="AU56" s="119">
        <f t="shared" si="145"/>
        <v>1</v>
      </c>
      <c r="AV56" s="119">
        <f t="shared" si="146"/>
        <v>9.7868346963399925E-5</v>
      </c>
      <c r="AW56" s="555">
        <f t="shared" si="147"/>
        <v>3.1190360896687268E-5</v>
      </c>
      <c r="AX56" s="124">
        <f t="shared" si="148"/>
        <v>7.3729098866569406E-2</v>
      </c>
    </row>
    <row r="57" spans="1:50" ht="12.75" customHeight="1">
      <c r="A57" s="153" t="s">
        <v>179</v>
      </c>
      <c r="B57" s="185" t="s">
        <v>180</v>
      </c>
      <c r="C57" s="566" t="str">
        <f t="shared" si="38"/>
        <v>--</v>
      </c>
      <c r="D57" s="586" t="str">
        <f t="shared" si="39"/>
        <v>--</v>
      </c>
      <c r="E57" s="182">
        <f t="shared" si="118"/>
        <v>1.7538113370915019E-3</v>
      </c>
      <c r="F57" s="609" t="str">
        <f t="shared" si="119"/>
        <v>Tapwater</v>
      </c>
      <c r="G57" s="182">
        <f t="shared" si="120"/>
        <v>2E-3</v>
      </c>
      <c r="H57" s="183" t="str">
        <f t="shared" si="121"/>
        <v>DDW NL</v>
      </c>
      <c r="I57" s="188">
        <f t="shared" si="122"/>
        <v>4.8692636072572041E-3</v>
      </c>
      <c r="J57" s="157" t="str">
        <f t="shared" si="123"/>
        <v>--</v>
      </c>
      <c r="K57" s="190" t="str">
        <f t="shared" si="124"/>
        <v>--</v>
      </c>
      <c r="L57" s="157">
        <f t="shared" si="125"/>
        <v>2.7411011234142707E-3</v>
      </c>
      <c r="M57" s="192" t="str">
        <f t="shared" si="126"/>
        <v>--</v>
      </c>
      <c r="N57" s="190">
        <f t="shared" si="127"/>
        <v>2.7411011234142707E-3</v>
      </c>
      <c r="O57" s="198">
        <f t="shared" si="128"/>
        <v>1.7538113370915019E-3</v>
      </c>
      <c r="P57" s="162">
        <f t="shared" si="129"/>
        <v>1.0027472527472527</v>
      </c>
      <c r="Q57" s="157" t="str">
        <f t="shared" si="130"/>
        <v>--</v>
      </c>
      <c r="R57" s="157" t="str">
        <f t="shared" si="131"/>
        <v>--</v>
      </c>
      <c r="S57" s="157">
        <f t="shared" ref="S57:S88" si="183">IF(AP57="No", "--",IF(OR(AX57="--",AL57="--",AK57="--"),"--",IF(AND(AI57="O", ETwc &lt; AN57), (AX57*1000)/(2*AK57*AO57*SQRT((6*AM57*ETwc)/PI())), "--")))</f>
        <v>0.61373395190453472</v>
      </c>
      <c r="T57" s="157" t="str">
        <f t="shared" si="132"/>
        <v>--</v>
      </c>
      <c r="U57" s="157">
        <f t="shared" si="133"/>
        <v>0.61373395190453472</v>
      </c>
      <c r="V57" s="200">
        <f t="shared" si="134"/>
        <v>0.38071586135302871</v>
      </c>
      <c r="W57" s="186" t="str">
        <f t="shared" si="135"/>
        <v>--</v>
      </c>
      <c r="X57" s="596">
        <f t="shared" si="136"/>
        <v>2E-3</v>
      </c>
      <c r="Y57" s="187" t="str">
        <f t="shared" si="137"/>
        <v>DDW NL</v>
      </c>
      <c r="Z57" s="567" t="str">
        <f t="shared" si="138"/>
        <v>--</v>
      </c>
      <c r="AA57" s="568" t="str">
        <f t="shared" si="139"/>
        <v>--</v>
      </c>
      <c r="AB57" s="122" t="str">
        <f t="shared" si="15"/>
        <v>--</v>
      </c>
      <c r="AC57" s="121" t="str">
        <f t="shared" si="16"/>
        <v>--</v>
      </c>
      <c r="AD57" s="121" t="str">
        <f t="shared" si="17"/>
        <v>--</v>
      </c>
      <c r="AE57" s="121" t="str">
        <f t="shared" si="18"/>
        <v>--</v>
      </c>
      <c r="AF57" s="121">
        <f t="shared" si="19"/>
        <v>2E-3</v>
      </c>
      <c r="AG57" s="121" t="str">
        <f t="shared" si="20"/>
        <v>Noncancer</v>
      </c>
      <c r="AH57" s="119" t="str">
        <f t="shared" si="21"/>
        <v>NV</v>
      </c>
      <c r="AI57" s="119" t="str">
        <f t="shared" si="22"/>
        <v>O</v>
      </c>
      <c r="AJ57" s="120" t="str">
        <f t="shared" si="23"/>
        <v>--</v>
      </c>
      <c r="AK57" s="129">
        <f t="shared" si="140"/>
        <v>0.8</v>
      </c>
      <c r="AL57" s="119">
        <f t="shared" si="25"/>
        <v>0.24471209735466001</v>
      </c>
      <c r="AM57" s="119">
        <f t="shared" si="26"/>
        <v>14.287121880278701</v>
      </c>
      <c r="AN57" s="119">
        <f t="shared" si="27"/>
        <v>34.289092512668802</v>
      </c>
      <c r="AO57" s="119">
        <f t="shared" si="28"/>
        <v>3.2599999999999997E-2</v>
      </c>
      <c r="AP57" s="119" t="str">
        <f t="shared" si="29"/>
        <v>Yes</v>
      </c>
      <c r="AQ57" s="119">
        <f t="shared" si="141"/>
        <v>16</v>
      </c>
      <c r="AR57" s="119">
        <f t="shared" si="142"/>
        <v>4.5999999999999999E-3</v>
      </c>
      <c r="AS57" s="119">
        <f t="shared" si="143"/>
        <v>5.0000000000000002E-5</v>
      </c>
      <c r="AT57" s="119" t="str">
        <f t="shared" si="144"/>
        <v>--</v>
      </c>
      <c r="AU57" s="119">
        <f t="shared" si="145"/>
        <v>1</v>
      </c>
      <c r="AV57" s="119">
        <f t="shared" si="146"/>
        <v>6.1167716852124955E-7</v>
      </c>
      <c r="AW57" s="555">
        <f t="shared" si="147"/>
        <v>1.9493975560429544E-7</v>
      </c>
      <c r="AX57" s="124">
        <f t="shared" si="148"/>
        <v>1.2288183144428235E-4</v>
      </c>
    </row>
    <row r="58" spans="1:50" ht="12.75" customHeight="1">
      <c r="A58" s="153" t="s">
        <v>181</v>
      </c>
      <c r="B58" s="185" t="s">
        <v>182</v>
      </c>
      <c r="C58" s="566" t="str">
        <f t="shared" si="38"/>
        <v>--</v>
      </c>
      <c r="D58" s="586" t="str">
        <f t="shared" si="39"/>
        <v>--</v>
      </c>
      <c r="E58" s="182" t="str">
        <f t="shared" si="118"/>
        <v>--</v>
      </c>
      <c r="F58" s="609" t="str">
        <f t="shared" si="119"/>
        <v>--</v>
      </c>
      <c r="G58" s="182">
        <f t="shared" si="120"/>
        <v>14840.631879910537</v>
      </c>
      <c r="H58" s="183" t="str">
        <f t="shared" si="121"/>
        <v>Tapwater</v>
      </c>
      <c r="I58" s="188" t="str">
        <f t="shared" si="122"/>
        <v>--</v>
      </c>
      <c r="J58" s="157" t="str">
        <f t="shared" si="123"/>
        <v>--</v>
      </c>
      <c r="K58" s="190" t="str">
        <f t="shared" si="124"/>
        <v>--</v>
      </c>
      <c r="L58" s="157" t="str">
        <f t="shared" si="125"/>
        <v>--</v>
      </c>
      <c r="M58" s="192" t="str">
        <f t="shared" si="126"/>
        <v>--</v>
      </c>
      <c r="N58" s="190" t="str">
        <f t="shared" si="127"/>
        <v>--</v>
      </c>
      <c r="O58" s="198" t="str">
        <f t="shared" si="128"/>
        <v>--</v>
      </c>
      <c r="P58" s="162">
        <f t="shared" si="129"/>
        <v>16043.956043956045</v>
      </c>
      <c r="Q58" s="157" t="str">
        <f t="shared" si="130"/>
        <v>--</v>
      </c>
      <c r="R58" s="157" t="str">
        <f t="shared" si="131"/>
        <v>--</v>
      </c>
      <c r="S58" s="157">
        <f t="shared" si="183"/>
        <v>197870.57607596804</v>
      </c>
      <c r="T58" s="157" t="str">
        <f t="shared" si="132"/>
        <v>--</v>
      </c>
      <c r="U58" s="157">
        <f t="shared" si="133"/>
        <v>197870.57607596804</v>
      </c>
      <c r="V58" s="200">
        <f t="shared" si="134"/>
        <v>14840.631879910537</v>
      </c>
      <c r="W58" s="186" t="str">
        <f t="shared" si="135"/>
        <v>--</v>
      </c>
      <c r="X58" s="596" t="str">
        <f t="shared" si="136"/>
        <v>--</v>
      </c>
      <c r="Y58" s="187" t="str">
        <f t="shared" si="137"/>
        <v>--</v>
      </c>
      <c r="Z58" s="567" t="str">
        <f t="shared" si="138"/>
        <v>--</v>
      </c>
      <c r="AA58" s="568" t="str">
        <f t="shared" si="139"/>
        <v>--</v>
      </c>
      <c r="AB58" s="122" t="str">
        <f t="shared" si="15"/>
        <v>--</v>
      </c>
      <c r="AC58" s="121" t="str">
        <f t="shared" si="16"/>
        <v>--</v>
      </c>
      <c r="AD58" s="121" t="str">
        <f t="shared" si="17"/>
        <v>--</v>
      </c>
      <c r="AE58" s="121" t="str">
        <f t="shared" si="18"/>
        <v>--</v>
      </c>
      <c r="AF58" s="121" t="str">
        <f t="shared" si="19"/>
        <v>--</v>
      </c>
      <c r="AG58" s="121" t="str">
        <f t="shared" si="20"/>
        <v>--</v>
      </c>
      <c r="AH58" s="119" t="str">
        <f t="shared" si="21"/>
        <v>NV</v>
      </c>
      <c r="AI58" s="119" t="str">
        <f t="shared" si="22"/>
        <v>O</v>
      </c>
      <c r="AJ58" s="120" t="str">
        <f t="shared" si="23"/>
        <v>--</v>
      </c>
      <c r="AK58" s="129">
        <f t="shared" si="140"/>
        <v>1</v>
      </c>
      <c r="AL58" s="119">
        <f t="shared" si="25"/>
        <v>2.06414530932E-2</v>
      </c>
      <c r="AM58" s="119">
        <f t="shared" si="26"/>
        <v>1.8466846940203501</v>
      </c>
      <c r="AN58" s="119">
        <f t="shared" si="27"/>
        <v>4.4320432656488498</v>
      </c>
      <c r="AO58" s="119">
        <f t="shared" si="28"/>
        <v>3.5999999999999999E-3</v>
      </c>
      <c r="AP58" s="119" t="str">
        <f t="shared" si="29"/>
        <v>Yes</v>
      </c>
      <c r="AQ58" s="119" t="str">
        <f t="shared" si="141"/>
        <v>--</v>
      </c>
      <c r="AR58" s="119" t="str">
        <f t="shared" si="142"/>
        <v>--</v>
      </c>
      <c r="AS58" s="119">
        <f t="shared" si="143"/>
        <v>0.8</v>
      </c>
      <c r="AT58" s="119" t="str">
        <f t="shared" si="144"/>
        <v>--</v>
      </c>
      <c r="AU58" s="119">
        <f t="shared" si="145"/>
        <v>1</v>
      </c>
      <c r="AV58" s="119" t="str">
        <f t="shared" si="146"/>
        <v>--</v>
      </c>
      <c r="AW58" s="555" t="str">
        <f t="shared" si="147"/>
        <v>--</v>
      </c>
      <c r="AX58" s="124">
        <f t="shared" si="148"/>
        <v>1.9661093031085175</v>
      </c>
    </row>
    <row r="59" spans="1:50" ht="12.75" customHeight="1">
      <c r="A59" s="153" t="s">
        <v>183</v>
      </c>
      <c r="B59" s="185" t="s">
        <v>184</v>
      </c>
      <c r="C59" s="566" t="str">
        <f t="shared" si="38"/>
        <v>--</v>
      </c>
      <c r="D59" s="586" t="str">
        <f t="shared" si="39"/>
        <v>--</v>
      </c>
      <c r="E59" s="182" t="str">
        <f t="shared" si="118"/>
        <v>--</v>
      </c>
      <c r="F59" s="609" t="str">
        <f t="shared" si="119"/>
        <v>--</v>
      </c>
      <c r="G59" s="182">
        <f t="shared" si="120"/>
        <v>100</v>
      </c>
      <c r="H59" s="183" t="str">
        <f t="shared" si="121"/>
        <v>DDW NL</v>
      </c>
      <c r="I59" s="188" t="str">
        <f t="shared" si="122"/>
        <v>--</v>
      </c>
      <c r="J59" s="157" t="str">
        <f t="shared" si="123"/>
        <v>--</v>
      </c>
      <c r="K59" s="190" t="str">
        <f t="shared" si="124"/>
        <v>--</v>
      </c>
      <c r="L59" s="157" t="str">
        <f t="shared" si="125"/>
        <v>--</v>
      </c>
      <c r="M59" s="192" t="str">
        <f t="shared" si="126"/>
        <v>--</v>
      </c>
      <c r="N59" s="190" t="str">
        <f t="shared" si="127"/>
        <v>--</v>
      </c>
      <c r="O59" s="198" t="str">
        <f t="shared" si="128"/>
        <v>--</v>
      </c>
      <c r="P59" s="162">
        <f t="shared" si="129"/>
        <v>401.09890109890108</v>
      </c>
      <c r="Q59" s="157" t="str">
        <f t="shared" si="130"/>
        <v>--</v>
      </c>
      <c r="R59" s="157" t="str">
        <f t="shared" si="131"/>
        <v>--</v>
      </c>
      <c r="S59" s="157">
        <f t="shared" si="183"/>
        <v>3114.5351003129872</v>
      </c>
      <c r="T59" s="157" t="str">
        <f t="shared" si="132"/>
        <v>--</v>
      </c>
      <c r="U59" s="157">
        <f t="shared" si="133"/>
        <v>3114.5351003129872</v>
      </c>
      <c r="V59" s="200">
        <f t="shared" si="134"/>
        <v>355.33750261483362</v>
      </c>
      <c r="W59" s="186" t="str">
        <f t="shared" si="135"/>
        <v>--</v>
      </c>
      <c r="X59" s="596">
        <f t="shared" si="136"/>
        <v>100</v>
      </c>
      <c r="Y59" s="187" t="str">
        <f t="shared" si="137"/>
        <v>DDW NL</v>
      </c>
      <c r="Z59" s="567" t="str">
        <f t="shared" si="138"/>
        <v>--</v>
      </c>
      <c r="AA59" s="568" t="str">
        <f t="shared" si="139"/>
        <v>--</v>
      </c>
      <c r="AB59" s="122" t="str">
        <f t="shared" si="15"/>
        <v>--</v>
      </c>
      <c r="AC59" s="121" t="str">
        <f t="shared" si="16"/>
        <v>--</v>
      </c>
      <c r="AD59" s="121" t="str">
        <f t="shared" si="17"/>
        <v>--</v>
      </c>
      <c r="AE59" s="121" t="str">
        <f t="shared" si="18"/>
        <v>--</v>
      </c>
      <c r="AF59" s="121">
        <f t="shared" si="19"/>
        <v>100</v>
      </c>
      <c r="AG59" s="121" t="str">
        <f t="shared" si="20"/>
        <v>Noncancer</v>
      </c>
      <c r="AH59" s="119" t="str">
        <f t="shared" si="21"/>
        <v>NV</v>
      </c>
      <c r="AI59" s="119" t="str">
        <f t="shared" si="22"/>
        <v>O</v>
      </c>
      <c r="AJ59" s="120" t="str">
        <f t="shared" si="23"/>
        <v>--</v>
      </c>
      <c r="AK59" s="129">
        <f t="shared" si="140"/>
        <v>1</v>
      </c>
      <c r="AL59" s="119">
        <f t="shared" si="25"/>
        <v>4.6337802790549998E-2</v>
      </c>
      <c r="AM59" s="119">
        <f t="shared" si="26"/>
        <v>0.50816031967269004</v>
      </c>
      <c r="AN59" s="119">
        <f t="shared" si="27"/>
        <v>1.21958476721446</v>
      </c>
      <c r="AO59" s="119">
        <f t="shared" si="28"/>
        <v>1.09E-2</v>
      </c>
      <c r="AP59" s="119" t="str">
        <f t="shared" si="29"/>
        <v>Yes</v>
      </c>
      <c r="AQ59" s="119" t="str">
        <f t="shared" si="141"/>
        <v>--</v>
      </c>
      <c r="AR59" s="119" t="str">
        <f t="shared" si="142"/>
        <v>--</v>
      </c>
      <c r="AS59" s="119">
        <f t="shared" si="143"/>
        <v>0.02</v>
      </c>
      <c r="AT59" s="119" t="str">
        <f t="shared" si="144"/>
        <v>--</v>
      </c>
      <c r="AU59" s="119">
        <f t="shared" si="145"/>
        <v>1</v>
      </c>
      <c r="AV59" s="119" t="str">
        <f t="shared" si="146"/>
        <v>--</v>
      </c>
      <c r="AW59" s="555" t="str">
        <f t="shared" si="147"/>
        <v>--</v>
      </c>
      <c r="AX59" s="124">
        <f t="shared" si="148"/>
        <v>4.9152732577712938E-2</v>
      </c>
    </row>
    <row r="60" spans="1:50" ht="12.75" customHeight="1">
      <c r="A60" s="153" t="s">
        <v>185</v>
      </c>
      <c r="B60" s="185" t="s">
        <v>186</v>
      </c>
      <c r="C60" s="566" t="str">
        <f t="shared" si="38"/>
        <v>--</v>
      </c>
      <c r="D60" s="586" t="str">
        <f t="shared" si="39"/>
        <v>--</v>
      </c>
      <c r="E60" s="182" t="str">
        <f t="shared" si="118"/>
        <v>--</v>
      </c>
      <c r="F60" s="609" t="str">
        <f t="shared" si="119"/>
        <v>--</v>
      </c>
      <c r="G60" s="182">
        <f t="shared" si="120"/>
        <v>38.830855461586651</v>
      </c>
      <c r="H60" s="183" t="str">
        <f t="shared" si="121"/>
        <v>Tapwater</v>
      </c>
      <c r="I60" s="188" t="str">
        <f t="shared" si="122"/>
        <v>--</v>
      </c>
      <c r="J60" s="157" t="str">
        <f t="shared" si="123"/>
        <v>--</v>
      </c>
      <c r="K60" s="190" t="str">
        <f t="shared" si="124"/>
        <v>--</v>
      </c>
      <c r="L60" s="157" t="str">
        <f t="shared" si="125"/>
        <v>--</v>
      </c>
      <c r="M60" s="192" t="str">
        <f t="shared" si="126"/>
        <v>--</v>
      </c>
      <c r="N60" s="190" t="str">
        <f t="shared" si="127"/>
        <v>--</v>
      </c>
      <c r="O60" s="198" t="str">
        <f t="shared" si="128"/>
        <v>--</v>
      </c>
      <c r="P60" s="162">
        <f t="shared" si="129"/>
        <v>40.109890109890109</v>
      </c>
      <c r="Q60" s="157" t="str">
        <f t="shared" si="130"/>
        <v>--</v>
      </c>
      <c r="R60" s="157" t="str">
        <f t="shared" si="131"/>
        <v>--</v>
      </c>
      <c r="S60" s="157">
        <f t="shared" si="183"/>
        <v>1217.7163046389494</v>
      </c>
      <c r="T60" s="157" t="str">
        <f t="shared" si="132"/>
        <v>--</v>
      </c>
      <c r="U60" s="157">
        <f t="shared" si="133"/>
        <v>1217.7163046389494</v>
      </c>
      <c r="V60" s="200">
        <f t="shared" si="134"/>
        <v>38.830855461586651</v>
      </c>
      <c r="W60" s="186" t="str">
        <f t="shared" si="135"/>
        <v>--</v>
      </c>
      <c r="X60" s="596" t="str">
        <f t="shared" si="136"/>
        <v>--</v>
      </c>
      <c r="Y60" s="187" t="str">
        <f t="shared" si="137"/>
        <v>--</v>
      </c>
      <c r="Z60" s="567" t="str">
        <f t="shared" si="138"/>
        <v>--</v>
      </c>
      <c r="AA60" s="568" t="str">
        <f t="shared" si="139"/>
        <v>--</v>
      </c>
      <c r="AB60" s="122" t="str">
        <f t="shared" si="15"/>
        <v>--</v>
      </c>
      <c r="AC60" s="121" t="str">
        <f t="shared" si="16"/>
        <v>--</v>
      </c>
      <c r="AD60" s="121" t="str">
        <f t="shared" si="17"/>
        <v>--</v>
      </c>
      <c r="AE60" s="121" t="str">
        <f t="shared" si="18"/>
        <v>--</v>
      </c>
      <c r="AF60" s="121" t="str">
        <f t="shared" si="19"/>
        <v>--</v>
      </c>
      <c r="AG60" s="121" t="str">
        <f t="shared" si="20"/>
        <v>--</v>
      </c>
      <c r="AH60" s="119" t="str">
        <f t="shared" si="21"/>
        <v>NV</v>
      </c>
      <c r="AI60" s="119" t="str">
        <f t="shared" si="22"/>
        <v>O</v>
      </c>
      <c r="AJ60" s="120" t="str">
        <f t="shared" si="23"/>
        <v>--</v>
      </c>
      <c r="AK60" s="129">
        <f t="shared" si="140"/>
        <v>1</v>
      </c>
      <c r="AL60" s="119">
        <f t="shared" si="25"/>
        <v>9.7590366179299993E-3</v>
      </c>
      <c r="AM60" s="119">
        <f t="shared" si="26"/>
        <v>1.1294441221771601</v>
      </c>
      <c r="AN60" s="119">
        <f t="shared" si="27"/>
        <v>2.7106658932251899</v>
      </c>
      <c r="AO60" s="119">
        <f t="shared" si="28"/>
        <v>1.8699999999999999E-3</v>
      </c>
      <c r="AP60" s="119" t="str">
        <f t="shared" si="29"/>
        <v>Yes</v>
      </c>
      <c r="AQ60" s="119" t="str">
        <f t="shared" si="141"/>
        <v>--</v>
      </c>
      <c r="AR60" s="119" t="str">
        <f t="shared" si="142"/>
        <v>--</v>
      </c>
      <c r="AS60" s="119">
        <f t="shared" si="143"/>
        <v>2E-3</v>
      </c>
      <c r="AT60" s="119" t="str">
        <f t="shared" si="144"/>
        <v>--</v>
      </c>
      <c r="AU60" s="119">
        <f t="shared" si="145"/>
        <v>1</v>
      </c>
      <c r="AV60" s="119" t="str">
        <f t="shared" si="146"/>
        <v>--</v>
      </c>
      <c r="AW60" s="555" t="str">
        <f t="shared" si="147"/>
        <v>--</v>
      </c>
      <c r="AX60" s="124">
        <f t="shared" si="148"/>
        <v>4.9152732577712943E-3</v>
      </c>
    </row>
    <row r="61" spans="1:50" ht="12.75" customHeight="1">
      <c r="A61" s="153" t="s">
        <v>187</v>
      </c>
      <c r="B61" s="185" t="s">
        <v>188</v>
      </c>
      <c r="C61" s="566" t="str">
        <f t="shared" si="38"/>
        <v>--</v>
      </c>
      <c r="D61" s="586" t="str">
        <f t="shared" si="39"/>
        <v>--</v>
      </c>
      <c r="E61" s="182">
        <f t="shared" si="118"/>
        <v>0.23748554600466867</v>
      </c>
      <c r="F61" s="609" t="str">
        <f t="shared" si="119"/>
        <v>Tapwater</v>
      </c>
      <c r="G61" s="182">
        <f t="shared" si="120"/>
        <v>38.070559132271825</v>
      </c>
      <c r="H61" s="183" t="str">
        <f t="shared" si="121"/>
        <v>Tapwater</v>
      </c>
      <c r="I61" s="188">
        <f t="shared" si="122"/>
        <v>0.25131683134230731</v>
      </c>
      <c r="J61" s="157" t="str">
        <f t="shared" si="123"/>
        <v>--</v>
      </c>
      <c r="K61" s="190" t="str">
        <f t="shared" si="124"/>
        <v>--</v>
      </c>
      <c r="L61" s="157">
        <f t="shared" si="125"/>
        <v>4.3151531802380436</v>
      </c>
      <c r="M61" s="192" t="str">
        <f t="shared" si="126"/>
        <v>--</v>
      </c>
      <c r="N61" s="190">
        <f t="shared" si="127"/>
        <v>4.3151531802380436</v>
      </c>
      <c r="O61" s="198">
        <f t="shared" si="128"/>
        <v>0.23748554600466867</v>
      </c>
      <c r="P61" s="162">
        <f t="shared" si="129"/>
        <v>40.109890109890109</v>
      </c>
      <c r="Q61" s="157" t="str">
        <f t="shared" si="130"/>
        <v>--</v>
      </c>
      <c r="R61" s="157" t="str">
        <f t="shared" si="131"/>
        <v>--</v>
      </c>
      <c r="S61" s="157">
        <f t="shared" si="183"/>
        <v>748.77788842342261</v>
      </c>
      <c r="T61" s="157" t="str">
        <f t="shared" si="132"/>
        <v>--</v>
      </c>
      <c r="U61" s="157">
        <f t="shared" si="133"/>
        <v>748.77788842342261</v>
      </c>
      <c r="V61" s="200">
        <f t="shared" si="134"/>
        <v>38.070559132271825</v>
      </c>
      <c r="W61" s="186" t="str">
        <f t="shared" si="135"/>
        <v>--</v>
      </c>
      <c r="X61" s="596" t="str">
        <f t="shared" si="136"/>
        <v>--</v>
      </c>
      <c r="Y61" s="187" t="str">
        <f t="shared" si="137"/>
        <v>--</v>
      </c>
      <c r="Z61" s="567" t="str">
        <f t="shared" si="138"/>
        <v>--</v>
      </c>
      <c r="AA61" s="568" t="str">
        <f t="shared" si="139"/>
        <v>--</v>
      </c>
      <c r="AB61" s="122" t="str">
        <f t="shared" si="15"/>
        <v>--</v>
      </c>
      <c r="AC61" s="121" t="str">
        <f t="shared" si="16"/>
        <v>--</v>
      </c>
      <c r="AD61" s="121" t="str">
        <f t="shared" si="17"/>
        <v>--</v>
      </c>
      <c r="AE61" s="121" t="str">
        <f t="shared" si="18"/>
        <v>--</v>
      </c>
      <c r="AF61" s="121" t="str">
        <f t="shared" si="19"/>
        <v>--</v>
      </c>
      <c r="AG61" s="121" t="str">
        <f t="shared" si="20"/>
        <v>--</v>
      </c>
      <c r="AH61" s="119" t="str">
        <f t="shared" si="21"/>
        <v>NV</v>
      </c>
      <c r="AI61" s="119" t="str">
        <f t="shared" si="22"/>
        <v>O</v>
      </c>
      <c r="AJ61" s="120" t="str">
        <f t="shared" si="23"/>
        <v>--</v>
      </c>
      <c r="AK61" s="129">
        <f t="shared" si="140"/>
        <v>1</v>
      </c>
      <c r="AL61" s="119">
        <f t="shared" si="25"/>
        <v>1.5987480753030001E-2</v>
      </c>
      <c r="AM61" s="119">
        <f t="shared" si="26"/>
        <v>1.1011151793496901</v>
      </c>
      <c r="AN61" s="119">
        <f t="shared" si="27"/>
        <v>2.64267643043926</v>
      </c>
      <c r="AO61" s="119">
        <f t="shared" si="28"/>
        <v>3.0799999999999998E-3</v>
      </c>
      <c r="AP61" s="119" t="str">
        <f t="shared" si="29"/>
        <v>Yes</v>
      </c>
      <c r="AQ61" s="119">
        <f t="shared" si="141"/>
        <v>0.31</v>
      </c>
      <c r="AR61" s="119">
        <f t="shared" si="142"/>
        <v>8.8999999999999995E-5</v>
      </c>
      <c r="AS61" s="119">
        <f t="shared" si="143"/>
        <v>2E-3</v>
      </c>
      <c r="AT61" s="119" t="str">
        <f t="shared" si="144"/>
        <v>--</v>
      </c>
      <c r="AU61" s="119">
        <f t="shared" si="145"/>
        <v>1</v>
      </c>
      <c r="AV61" s="119">
        <f t="shared" si="146"/>
        <v>3.1570434504322554E-5</v>
      </c>
      <c r="AW61" s="555">
        <f t="shared" si="147"/>
        <v>1.0061406740866861E-5</v>
      </c>
      <c r="AX61" s="124">
        <f t="shared" si="148"/>
        <v>4.9152732577712943E-3</v>
      </c>
    </row>
    <row r="62" spans="1:50" ht="12.75" customHeight="1">
      <c r="A62" s="153" t="s">
        <v>189</v>
      </c>
      <c r="B62" s="185" t="s">
        <v>190</v>
      </c>
      <c r="C62" s="566" t="str">
        <f t="shared" si="38"/>
        <v>--</v>
      </c>
      <c r="D62" s="586" t="str">
        <f t="shared" si="39"/>
        <v>--</v>
      </c>
      <c r="E62" s="182">
        <f t="shared" si="118"/>
        <v>0.4590593892974133</v>
      </c>
      <c r="F62" s="609" t="str">
        <f t="shared" si="119"/>
        <v>Tapwater</v>
      </c>
      <c r="G62" s="182">
        <f t="shared" si="120"/>
        <v>56.660209865928671</v>
      </c>
      <c r="H62" s="183" t="str">
        <f t="shared" si="121"/>
        <v>Tapwater</v>
      </c>
      <c r="I62" s="188">
        <f t="shared" si="122"/>
        <v>0.77908217716115258</v>
      </c>
      <c r="J62" s="157">
        <f t="shared" si="123"/>
        <v>1.1230769230769229</v>
      </c>
      <c r="K62" s="190" t="str">
        <f t="shared" si="124"/>
        <v>--</v>
      </c>
      <c r="L62" s="157">
        <f t="shared" si="125"/>
        <v>227.54271915346513</v>
      </c>
      <c r="M62" s="192" t="str">
        <f t="shared" si="126"/>
        <v>--</v>
      </c>
      <c r="N62" s="190">
        <f t="shared" si="127"/>
        <v>227.54271915346513</v>
      </c>
      <c r="O62" s="198">
        <f t="shared" si="128"/>
        <v>0.4590593892974133</v>
      </c>
      <c r="P62" s="162">
        <f t="shared" si="129"/>
        <v>601.64835164835165</v>
      </c>
      <c r="Q62" s="157">
        <f t="shared" si="130"/>
        <v>62.571428571428569</v>
      </c>
      <c r="R62" s="157" t="str">
        <f t="shared" si="131"/>
        <v>--</v>
      </c>
      <c r="S62" s="157">
        <f t="shared" si="183"/>
        <v>191050.9946079806</v>
      </c>
      <c r="T62" s="157" t="str">
        <f t="shared" si="132"/>
        <v>--</v>
      </c>
      <c r="U62" s="157">
        <f t="shared" si="133"/>
        <v>191050.9946079806</v>
      </c>
      <c r="V62" s="200">
        <f t="shared" si="134"/>
        <v>56.660209865928671</v>
      </c>
      <c r="W62" s="186">
        <f t="shared" si="135"/>
        <v>1</v>
      </c>
      <c r="X62" s="596" t="str">
        <f t="shared" si="136"/>
        <v>--</v>
      </c>
      <c r="Y62" s="187" t="str">
        <f t="shared" si="137"/>
        <v>DDW NL</v>
      </c>
      <c r="Z62" s="567" t="str">
        <f t="shared" si="138"/>
        <v>--</v>
      </c>
      <c r="AA62" s="568" t="str">
        <f t="shared" si="139"/>
        <v>--</v>
      </c>
      <c r="AB62" s="122" t="str">
        <f t="shared" si="15"/>
        <v>--</v>
      </c>
      <c r="AC62" s="121" t="str">
        <f t="shared" si="16"/>
        <v>--</v>
      </c>
      <c r="AD62" s="121" t="str">
        <f t="shared" si="17"/>
        <v>--</v>
      </c>
      <c r="AE62" s="121" t="str">
        <f t="shared" si="18"/>
        <v>--</v>
      </c>
      <c r="AF62" s="121">
        <f t="shared" si="19"/>
        <v>1</v>
      </c>
      <c r="AG62" s="121" t="str">
        <f t="shared" si="20"/>
        <v>Cancer</v>
      </c>
      <c r="AH62" s="119" t="str">
        <f t="shared" si="21"/>
        <v>V</v>
      </c>
      <c r="AI62" s="119" t="str">
        <f t="shared" si="22"/>
        <v>O</v>
      </c>
      <c r="AJ62" s="120" t="str">
        <f t="shared" si="23"/>
        <v>--</v>
      </c>
      <c r="AK62" s="129">
        <f t="shared" si="140"/>
        <v>1</v>
      </c>
      <c r="AL62" s="119">
        <f t="shared" si="25"/>
        <v>1.1985880480299999E-3</v>
      </c>
      <c r="AM62" s="119">
        <f t="shared" si="26"/>
        <v>0.32752763525405998</v>
      </c>
      <c r="AN62" s="119">
        <f t="shared" si="27"/>
        <v>0.78606632460975001</v>
      </c>
      <c r="AO62" s="119">
        <f t="shared" si="28"/>
        <v>3.3199999999999999E-4</v>
      </c>
      <c r="AP62" s="119" t="str">
        <f t="shared" si="29"/>
        <v>Yes</v>
      </c>
      <c r="AQ62" s="119">
        <f t="shared" si="141"/>
        <v>0.1</v>
      </c>
      <c r="AR62" s="119">
        <f t="shared" si="142"/>
        <v>5.0000000000000004E-6</v>
      </c>
      <c r="AS62" s="119">
        <f t="shared" si="143"/>
        <v>0.03</v>
      </c>
      <c r="AT62" s="119">
        <f t="shared" si="144"/>
        <v>30</v>
      </c>
      <c r="AU62" s="119">
        <f t="shared" si="145"/>
        <v>1</v>
      </c>
      <c r="AV62" s="119">
        <f t="shared" si="146"/>
        <v>9.7868346963399925E-5</v>
      </c>
      <c r="AW62" s="555">
        <f t="shared" si="147"/>
        <v>3.1190360896687268E-5</v>
      </c>
      <c r="AX62" s="124">
        <f t="shared" si="148"/>
        <v>7.3729098866569406E-2</v>
      </c>
    </row>
    <row r="63" spans="1:50" ht="12.75" customHeight="1">
      <c r="A63" s="153" t="s">
        <v>191</v>
      </c>
      <c r="B63" s="185" t="s">
        <v>192</v>
      </c>
      <c r="C63" s="566">
        <f t="shared" si="38"/>
        <v>3.0000000000000001E-5</v>
      </c>
      <c r="D63" s="586" t="str">
        <f t="shared" si="39"/>
        <v>MCL (Primary)</v>
      </c>
      <c r="E63" s="182">
        <f t="shared" si="118"/>
        <v>1.1854305711177148E-7</v>
      </c>
      <c r="F63" s="609" t="str">
        <f t="shared" si="119"/>
        <v>Tapwater</v>
      </c>
      <c r="G63" s="182">
        <f t="shared" si="120"/>
        <v>1.2016460905349795E-5</v>
      </c>
      <c r="H63" s="183" t="str">
        <f t="shared" si="121"/>
        <v>Tapwater</v>
      </c>
      <c r="I63" s="188">
        <f t="shared" si="122"/>
        <v>5.9929398243165583E-7</v>
      </c>
      <c r="J63" s="157">
        <f t="shared" si="123"/>
        <v>1.4777327935222673E-7</v>
      </c>
      <c r="K63" s="190" t="str">
        <f t="shared" si="124"/>
        <v>--</v>
      </c>
      <c r="L63" s="157" t="str">
        <f t="shared" si="125"/>
        <v>--</v>
      </c>
      <c r="M63" s="192" t="str">
        <f t="shared" si="126"/>
        <v>--</v>
      </c>
      <c r="N63" s="190" t="str">
        <f t="shared" si="127"/>
        <v>--</v>
      </c>
      <c r="O63" s="198">
        <f t="shared" si="128"/>
        <v>1.1854305711177148E-7</v>
      </c>
      <c r="P63" s="162">
        <f t="shared" si="129"/>
        <v>1.4038461538461538E-5</v>
      </c>
      <c r="Q63" s="157">
        <f t="shared" si="130"/>
        <v>8.3428571428571427E-5</v>
      </c>
      <c r="R63" s="157" t="str">
        <f t="shared" si="131"/>
        <v>--</v>
      </c>
      <c r="S63" s="157" t="str">
        <f t="shared" si="183"/>
        <v>--</v>
      </c>
      <c r="T63" s="157" t="str">
        <f t="shared" si="132"/>
        <v>--</v>
      </c>
      <c r="U63" s="157" t="str">
        <f t="shared" si="133"/>
        <v>--</v>
      </c>
      <c r="V63" s="200">
        <f t="shared" si="134"/>
        <v>1.2016460905349795E-5</v>
      </c>
      <c r="W63" s="186" t="str">
        <f t="shared" si="135"/>
        <v>--</v>
      </c>
      <c r="X63" s="596" t="str">
        <f t="shared" si="136"/>
        <v>--</v>
      </c>
      <c r="Y63" s="187" t="str">
        <f t="shared" si="137"/>
        <v>--</v>
      </c>
      <c r="Z63" s="567">
        <f t="shared" si="138"/>
        <v>3.0000000000000001E-5</v>
      </c>
      <c r="AA63" s="568" t="str">
        <f t="shared" si="139"/>
        <v>MCL (Primary)</v>
      </c>
      <c r="AB63" s="122">
        <f t="shared" si="15"/>
        <v>3.0000000000000001E-5</v>
      </c>
      <c r="AC63" s="121" t="str">
        <f t="shared" si="16"/>
        <v>--</v>
      </c>
      <c r="AD63" s="121">
        <f t="shared" si="17"/>
        <v>4.9999999999999998E-8</v>
      </c>
      <c r="AE63" s="121" t="str">
        <f t="shared" si="18"/>
        <v>--</v>
      </c>
      <c r="AF63" s="121" t="str">
        <f t="shared" si="19"/>
        <v>--</v>
      </c>
      <c r="AG63" s="121" t="str">
        <f t="shared" si="20"/>
        <v>--</v>
      </c>
      <c r="AH63" s="119" t="str">
        <f t="shared" si="21"/>
        <v>V</v>
      </c>
      <c r="AI63" s="119" t="str">
        <f t="shared" si="22"/>
        <v>O</v>
      </c>
      <c r="AJ63" s="120" t="str">
        <f t="shared" si="23"/>
        <v>--</v>
      </c>
      <c r="AK63" s="129">
        <f t="shared" si="140"/>
        <v>0.5</v>
      </c>
      <c r="AL63" s="119">
        <f t="shared" si="25"/>
        <v>5.5763812829663797</v>
      </c>
      <c r="AM63" s="119">
        <f t="shared" si="26"/>
        <v>6.6824658745553398</v>
      </c>
      <c r="AN63" s="119">
        <f t="shared" si="27"/>
        <v>29.471893843615899</v>
      </c>
      <c r="AO63" s="119">
        <f t="shared" si="28"/>
        <v>0.80800000000000005</v>
      </c>
      <c r="AP63" s="119" t="str">
        <f t="shared" si="29"/>
        <v>No</v>
      </c>
      <c r="AQ63" s="119">
        <f t="shared" si="141"/>
        <v>130000</v>
      </c>
      <c r="AR63" s="119">
        <f t="shared" si="142"/>
        <v>38</v>
      </c>
      <c r="AS63" s="119">
        <f t="shared" si="143"/>
        <v>6.9999999999999996E-10</v>
      </c>
      <c r="AT63" s="119">
        <f t="shared" si="144"/>
        <v>4.0000000000000003E-5</v>
      </c>
      <c r="AU63" s="119">
        <f t="shared" si="145"/>
        <v>1</v>
      </c>
      <c r="AV63" s="119">
        <f t="shared" si="146"/>
        <v>7.5283343817999937E-11</v>
      </c>
      <c r="AW63" s="555">
        <f t="shared" si="147"/>
        <v>2.3992585305144054E-11</v>
      </c>
      <c r="AX63" s="124">
        <f t="shared" si="148"/>
        <v>1.7203456402199529E-9</v>
      </c>
    </row>
    <row r="64" spans="1:50" ht="12.75" customHeight="1">
      <c r="A64" s="153" t="s">
        <v>193</v>
      </c>
      <c r="B64" s="185" t="s">
        <v>194</v>
      </c>
      <c r="C64" s="566" t="str">
        <f t="shared" si="38"/>
        <v>--</v>
      </c>
      <c r="D64" s="586" t="str">
        <f t="shared" si="39"/>
        <v>--</v>
      </c>
      <c r="E64" s="182" t="str">
        <f t="shared" si="118"/>
        <v>--</v>
      </c>
      <c r="F64" s="609" t="str">
        <f t="shared" si="119"/>
        <v>--</v>
      </c>
      <c r="G64" s="182">
        <f t="shared" si="120"/>
        <v>101.05726848563953</v>
      </c>
      <c r="H64" s="183" t="str">
        <f t="shared" si="121"/>
        <v>Tapwater</v>
      </c>
      <c r="I64" s="188" t="str">
        <f t="shared" si="122"/>
        <v>--</v>
      </c>
      <c r="J64" s="157" t="str">
        <f t="shared" si="123"/>
        <v>--</v>
      </c>
      <c r="K64" s="190" t="str">
        <f t="shared" si="124"/>
        <v>--</v>
      </c>
      <c r="L64" s="157" t="str">
        <f t="shared" si="125"/>
        <v>--</v>
      </c>
      <c r="M64" s="192" t="str">
        <f t="shared" si="126"/>
        <v>--</v>
      </c>
      <c r="N64" s="190" t="str">
        <f t="shared" si="127"/>
        <v>--</v>
      </c>
      <c r="O64" s="198" t="str">
        <f t="shared" si="128"/>
        <v>--</v>
      </c>
      <c r="P64" s="162">
        <f t="shared" si="129"/>
        <v>120.32967032967034</v>
      </c>
      <c r="Q64" s="157" t="str">
        <f t="shared" si="130"/>
        <v>--</v>
      </c>
      <c r="R64" s="157" t="str">
        <f t="shared" si="131"/>
        <v>--</v>
      </c>
      <c r="S64" s="157">
        <f t="shared" si="183"/>
        <v>630.96379474156424</v>
      </c>
      <c r="T64" s="157" t="str">
        <f t="shared" si="132"/>
        <v>--</v>
      </c>
      <c r="U64" s="157">
        <f t="shared" si="133"/>
        <v>630.96379474156424</v>
      </c>
      <c r="V64" s="200">
        <f t="shared" si="134"/>
        <v>101.05726848563953</v>
      </c>
      <c r="W64" s="186" t="str">
        <f t="shared" si="135"/>
        <v>--</v>
      </c>
      <c r="X64" s="596" t="str">
        <f t="shared" si="136"/>
        <v>--</v>
      </c>
      <c r="Y64" s="187" t="str">
        <f t="shared" si="137"/>
        <v>--</v>
      </c>
      <c r="Z64" s="567" t="str">
        <f t="shared" si="138"/>
        <v>--</v>
      </c>
      <c r="AA64" s="568" t="str">
        <f t="shared" si="139"/>
        <v>--</v>
      </c>
      <c r="AB64" s="122" t="str">
        <f t="shared" si="15"/>
        <v>--</v>
      </c>
      <c r="AC64" s="121" t="str">
        <f t="shared" si="16"/>
        <v>--</v>
      </c>
      <c r="AD64" s="121" t="str">
        <f t="shared" si="17"/>
        <v>--</v>
      </c>
      <c r="AE64" s="121" t="str">
        <f t="shared" si="18"/>
        <v>--</v>
      </c>
      <c r="AF64" s="121" t="str">
        <f t="shared" si="19"/>
        <v>--</v>
      </c>
      <c r="AG64" s="121" t="str">
        <f t="shared" si="20"/>
        <v>--</v>
      </c>
      <c r="AH64" s="119" t="str">
        <f t="shared" si="21"/>
        <v>V</v>
      </c>
      <c r="AI64" s="119" t="str">
        <f t="shared" si="22"/>
        <v>O</v>
      </c>
      <c r="AJ64" s="120" t="str">
        <f t="shared" si="23"/>
        <v>--</v>
      </c>
      <c r="AK64" s="129">
        <f t="shared" si="140"/>
        <v>0.9</v>
      </c>
      <c r="AL64" s="119">
        <f t="shared" si="25"/>
        <v>2.2189756645800002E-2</v>
      </c>
      <c r="AM64" s="119">
        <f t="shared" si="26"/>
        <v>19.982818768391599</v>
      </c>
      <c r="AN64" s="119">
        <f t="shared" si="27"/>
        <v>47.958765044139902</v>
      </c>
      <c r="AO64" s="119">
        <f t="shared" si="28"/>
        <v>2.8600000000000001E-3</v>
      </c>
      <c r="AP64" s="119" t="str">
        <f t="shared" si="29"/>
        <v>Yes</v>
      </c>
      <c r="AQ64" s="119" t="str">
        <f t="shared" si="141"/>
        <v>--</v>
      </c>
      <c r="AR64" s="119" t="str">
        <f t="shared" si="142"/>
        <v>--</v>
      </c>
      <c r="AS64" s="119">
        <f t="shared" si="143"/>
        <v>6.0000000000000001E-3</v>
      </c>
      <c r="AT64" s="119" t="str">
        <f t="shared" si="144"/>
        <v>--</v>
      </c>
      <c r="AU64" s="119">
        <f t="shared" si="145"/>
        <v>1</v>
      </c>
      <c r="AV64" s="119" t="str">
        <f t="shared" si="146"/>
        <v>--</v>
      </c>
      <c r="AW64" s="555" t="str">
        <f t="shared" si="147"/>
        <v>--</v>
      </c>
      <c r="AX64" s="124">
        <f t="shared" si="148"/>
        <v>1.4745819773313882E-2</v>
      </c>
    </row>
    <row r="65" spans="1:50" ht="12.75" customHeight="1">
      <c r="A65" s="153" t="s">
        <v>195</v>
      </c>
      <c r="B65" s="185" t="s">
        <v>196</v>
      </c>
      <c r="C65" s="566">
        <f t="shared" si="38"/>
        <v>2</v>
      </c>
      <c r="D65" s="586" t="str">
        <f t="shared" si="39"/>
        <v>MCL (Primary)</v>
      </c>
      <c r="E65" s="182" t="str">
        <f t="shared" si="118"/>
        <v>--</v>
      </c>
      <c r="F65" s="609" t="str">
        <f t="shared" si="119"/>
        <v>--</v>
      </c>
      <c r="G65" s="182">
        <f t="shared" si="120"/>
        <v>0.3</v>
      </c>
      <c r="H65" s="183" t="str">
        <f t="shared" si="121"/>
        <v>OEHHA PHG</v>
      </c>
      <c r="I65" s="188" t="str">
        <f t="shared" si="122"/>
        <v>--</v>
      </c>
      <c r="J65" s="157" t="str">
        <f t="shared" si="123"/>
        <v>--</v>
      </c>
      <c r="K65" s="190" t="str">
        <f t="shared" si="124"/>
        <v>--</v>
      </c>
      <c r="L65" s="157" t="str">
        <f t="shared" si="125"/>
        <v>--</v>
      </c>
      <c r="M65" s="192" t="str">
        <f t="shared" si="126"/>
        <v>--</v>
      </c>
      <c r="N65" s="190" t="str">
        <f t="shared" si="127"/>
        <v>--</v>
      </c>
      <c r="O65" s="198" t="str">
        <f t="shared" si="128"/>
        <v>--</v>
      </c>
      <c r="P65" s="162">
        <f t="shared" si="129"/>
        <v>6.0164835164835164</v>
      </c>
      <c r="Q65" s="157" t="str">
        <f t="shared" si="130"/>
        <v>--</v>
      </c>
      <c r="R65" s="157" t="str">
        <f t="shared" si="131"/>
        <v>--</v>
      </c>
      <c r="S65" s="157">
        <f t="shared" si="183"/>
        <v>3.6824037114272081</v>
      </c>
      <c r="T65" s="157" t="str">
        <f t="shared" si="132"/>
        <v>--</v>
      </c>
      <c r="U65" s="157">
        <f t="shared" si="133"/>
        <v>3.6824037114272081</v>
      </c>
      <c r="V65" s="200">
        <f t="shared" si="134"/>
        <v>2.284295168118172</v>
      </c>
      <c r="W65" s="186" t="str">
        <f t="shared" si="135"/>
        <v>--</v>
      </c>
      <c r="X65" s="596">
        <f t="shared" si="136"/>
        <v>0.3</v>
      </c>
      <c r="Y65" s="187" t="str">
        <f t="shared" si="137"/>
        <v>OEHHA PHG</v>
      </c>
      <c r="Z65" s="567">
        <f t="shared" si="138"/>
        <v>2</v>
      </c>
      <c r="AA65" s="568" t="str">
        <f t="shared" si="139"/>
        <v>MCL (Primary)</v>
      </c>
      <c r="AB65" s="122">
        <f t="shared" si="15"/>
        <v>2</v>
      </c>
      <c r="AC65" s="121" t="str">
        <f t="shared" si="16"/>
        <v>--</v>
      </c>
      <c r="AD65" s="121">
        <f t="shared" si="17"/>
        <v>0.3</v>
      </c>
      <c r="AE65" s="121" t="str">
        <f t="shared" si="18"/>
        <v>Noncancer</v>
      </c>
      <c r="AF65" s="121" t="str">
        <f t="shared" si="19"/>
        <v>--</v>
      </c>
      <c r="AG65" s="121" t="str">
        <f t="shared" si="20"/>
        <v>--</v>
      </c>
      <c r="AH65" s="119" t="str">
        <f t="shared" si="21"/>
        <v>NV</v>
      </c>
      <c r="AI65" s="119" t="str">
        <f t="shared" si="22"/>
        <v>O</v>
      </c>
      <c r="AJ65" s="120" t="str">
        <f t="shared" si="23"/>
        <v>--</v>
      </c>
      <c r="AK65" s="129">
        <f t="shared" si="140"/>
        <v>0.8</v>
      </c>
      <c r="AL65" s="119">
        <f t="shared" si="25"/>
        <v>0.24471209735466001</v>
      </c>
      <c r="AM65" s="119">
        <f t="shared" si="26"/>
        <v>14.287121880278701</v>
      </c>
      <c r="AN65" s="119">
        <f t="shared" si="27"/>
        <v>34.289092512668802</v>
      </c>
      <c r="AO65" s="119">
        <f t="shared" si="28"/>
        <v>3.2599999999999997E-2</v>
      </c>
      <c r="AP65" s="119" t="str">
        <f t="shared" si="29"/>
        <v>Yes</v>
      </c>
      <c r="AQ65" s="119" t="str">
        <f t="shared" si="141"/>
        <v>--</v>
      </c>
      <c r="AR65" s="119" t="str">
        <f t="shared" si="142"/>
        <v>--</v>
      </c>
      <c r="AS65" s="119">
        <f t="shared" si="143"/>
        <v>2.9999999999999997E-4</v>
      </c>
      <c r="AT65" s="119" t="str">
        <f t="shared" si="144"/>
        <v>--</v>
      </c>
      <c r="AU65" s="119">
        <f t="shared" si="145"/>
        <v>1</v>
      </c>
      <c r="AV65" s="119" t="str">
        <f t="shared" si="146"/>
        <v>--</v>
      </c>
      <c r="AW65" s="555" t="str">
        <f t="shared" si="147"/>
        <v>--</v>
      </c>
      <c r="AX65" s="124">
        <f t="shared" si="148"/>
        <v>7.3729098866569406E-4</v>
      </c>
    </row>
    <row r="66" spans="1:50" ht="12.75" customHeight="1">
      <c r="A66" s="153" t="s">
        <v>197</v>
      </c>
      <c r="B66" s="185" t="s">
        <v>198</v>
      </c>
      <c r="C66" s="566">
        <f t="shared" si="38"/>
        <v>300</v>
      </c>
      <c r="D66" s="586" t="str">
        <f t="shared" si="39"/>
        <v>MCL (Primary)</v>
      </c>
      <c r="E66" s="182">
        <f t="shared" si="118"/>
        <v>1.4991397267199893</v>
      </c>
      <c r="F66" s="609" t="str">
        <f t="shared" si="119"/>
        <v>Tapwater</v>
      </c>
      <c r="G66" s="182">
        <f t="shared" si="120"/>
        <v>300</v>
      </c>
      <c r="H66" s="183" t="str">
        <f t="shared" si="121"/>
        <v>OEHHA PHG</v>
      </c>
      <c r="I66" s="188">
        <f t="shared" si="122"/>
        <v>7.0825652469195699</v>
      </c>
      <c r="J66" s="157">
        <f t="shared" si="123"/>
        <v>2.2461538461538457</v>
      </c>
      <c r="K66" s="190" t="str">
        <f t="shared" si="124"/>
        <v>--</v>
      </c>
      <c r="L66" s="157">
        <f t="shared" si="125"/>
        <v>12.398953261342992</v>
      </c>
      <c r="M66" s="192" t="str">
        <f t="shared" si="126"/>
        <v>--</v>
      </c>
      <c r="N66" s="190">
        <f t="shared" si="127"/>
        <v>12.398953261342992</v>
      </c>
      <c r="O66" s="198">
        <f t="shared" si="128"/>
        <v>1.4991397267199893</v>
      </c>
      <c r="P66" s="162">
        <f t="shared" si="129"/>
        <v>1002.7472527472528</v>
      </c>
      <c r="Q66" s="157">
        <f t="shared" si="130"/>
        <v>2085.7142857142858</v>
      </c>
      <c r="R66" s="157" t="str">
        <f t="shared" si="131"/>
        <v>--</v>
      </c>
      <c r="S66" s="157">
        <f t="shared" si="183"/>
        <v>1908.5907601873018</v>
      </c>
      <c r="T66" s="157" t="str">
        <f t="shared" si="132"/>
        <v>--</v>
      </c>
      <c r="U66" s="157">
        <f t="shared" si="133"/>
        <v>1908.5907601873018</v>
      </c>
      <c r="V66" s="200">
        <f t="shared" si="134"/>
        <v>499.83527488611799</v>
      </c>
      <c r="W66" s="186" t="str">
        <f t="shared" si="135"/>
        <v>--</v>
      </c>
      <c r="X66" s="596">
        <f t="shared" si="136"/>
        <v>300</v>
      </c>
      <c r="Y66" s="187" t="str">
        <f t="shared" si="137"/>
        <v>OEHHA PHG</v>
      </c>
      <c r="Z66" s="567">
        <f t="shared" si="138"/>
        <v>300</v>
      </c>
      <c r="AA66" s="568" t="str">
        <f t="shared" si="139"/>
        <v>MCL (Primary)</v>
      </c>
      <c r="AB66" s="122">
        <f t="shared" si="15"/>
        <v>300</v>
      </c>
      <c r="AC66" s="121" t="str">
        <f t="shared" si="16"/>
        <v>--</v>
      </c>
      <c r="AD66" s="121">
        <f t="shared" si="17"/>
        <v>300</v>
      </c>
      <c r="AE66" s="121" t="str">
        <f t="shared" si="18"/>
        <v>Noncancer</v>
      </c>
      <c r="AF66" s="121" t="str">
        <f t="shared" si="19"/>
        <v>--</v>
      </c>
      <c r="AG66" s="121" t="str">
        <f t="shared" si="20"/>
        <v>--</v>
      </c>
      <c r="AH66" s="119" t="str">
        <f t="shared" si="21"/>
        <v>V</v>
      </c>
      <c r="AI66" s="119" t="str">
        <f t="shared" si="22"/>
        <v>O</v>
      </c>
      <c r="AJ66" s="120" t="str">
        <f t="shared" si="23"/>
        <v>--</v>
      </c>
      <c r="AK66" s="129">
        <f t="shared" si="140"/>
        <v>1</v>
      </c>
      <c r="AL66" s="119">
        <f t="shared" si="25"/>
        <v>0.19537746931965</v>
      </c>
      <c r="AM66" s="119">
        <f t="shared" si="26"/>
        <v>0.41342882164758998</v>
      </c>
      <c r="AN66" s="119">
        <f t="shared" si="27"/>
        <v>0.99222917195421001</v>
      </c>
      <c r="AO66" s="119">
        <f t="shared" si="28"/>
        <v>4.9299999999999997E-2</v>
      </c>
      <c r="AP66" s="119" t="str">
        <f t="shared" si="29"/>
        <v>Yes</v>
      </c>
      <c r="AQ66" s="119">
        <f t="shared" si="141"/>
        <v>1.0999999999999999E-2</v>
      </c>
      <c r="AR66" s="119">
        <f t="shared" si="142"/>
        <v>2.5000000000000002E-6</v>
      </c>
      <c r="AS66" s="119">
        <f t="shared" si="143"/>
        <v>0.05</v>
      </c>
      <c r="AT66" s="119">
        <f t="shared" si="144"/>
        <v>1000</v>
      </c>
      <c r="AU66" s="119">
        <f t="shared" si="145"/>
        <v>1</v>
      </c>
      <c r="AV66" s="119">
        <f t="shared" si="146"/>
        <v>8.8971224512181756E-4</v>
      </c>
      <c r="AW66" s="555">
        <f t="shared" si="147"/>
        <v>2.8354873542442969E-4</v>
      </c>
      <c r="AX66" s="124">
        <f t="shared" si="148"/>
        <v>0.12288183144428234</v>
      </c>
    </row>
    <row r="67" spans="1:50" ht="12.75" customHeight="1">
      <c r="A67" s="153" t="s">
        <v>199</v>
      </c>
      <c r="B67" s="185" t="s">
        <v>200</v>
      </c>
      <c r="C67" s="566">
        <f t="shared" si="38"/>
        <v>0.01</v>
      </c>
      <c r="D67" s="586" t="str">
        <f t="shared" si="39"/>
        <v>MCL (Primary)</v>
      </c>
      <c r="E67" s="182">
        <f t="shared" si="118"/>
        <v>1.3930504195594853E-3</v>
      </c>
      <c r="F67" s="609" t="str">
        <f t="shared" si="119"/>
        <v>Tapwater</v>
      </c>
      <c r="G67" s="182">
        <f t="shared" si="120"/>
        <v>0.25630603751169218</v>
      </c>
      <c r="H67" s="183" t="str">
        <f t="shared" si="121"/>
        <v>Tapwater</v>
      </c>
      <c r="I67" s="188">
        <f t="shared" si="122"/>
        <v>1.7312937270247838E-2</v>
      </c>
      <c r="J67" s="157">
        <f t="shared" si="123"/>
        <v>4.3195266272189345E-3</v>
      </c>
      <c r="K67" s="190" t="str">
        <f t="shared" si="124"/>
        <v>--</v>
      </c>
      <c r="L67" s="157">
        <f t="shared" si="125"/>
        <v>2.333275866646192E-3</v>
      </c>
      <c r="M67" s="192" t="str">
        <f t="shared" si="126"/>
        <v>--</v>
      </c>
      <c r="N67" s="190">
        <f t="shared" si="127"/>
        <v>2.333275866646192E-3</v>
      </c>
      <c r="O67" s="198">
        <f t="shared" si="128"/>
        <v>1.3930504195594853E-3</v>
      </c>
      <c r="P67" s="162">
        <f t="shared" si="129"/>
        <v>2.0054945054945055</v>
      </c>
      <c r="Q67" s="157" t="str">
        <f t="shared" si="130"/>
        <v>--</v>
      </c>
      <c r="R67" s="157" t="str">
        <f t="shared" si="131"/>
        <v>--</v>
      </c>
      <c r="S67" s="157">
        <f t="shared" si="183"/>
        <v>0.29386218773071499</v>
      </c>
      <c r="T67" s="157" t="str">
        <f t="shared" si="132"/>
        <v>--</v>
      </c>
      <c r="U67" s="157">
        <f t="shared" si="133"/>
        <v>0.29386218773071499</v>
      </c>
      <c r="V67" s="200">
        <f t="shared" si="134"/>
        <v>0.25630603751169218</v>
      </c>
      <c r="W67" s="186">
        <f t="shared" si="135"/>
        <v>8.0000000000000002E-3</v>
      </c>
      <c r="X67" s="596" t="str">
        <f t="shared" si="136"/>
        <v>--</v>
      </c>
      <c r="Y67" s="187" t="str">
        <f t="shared" si="137"/>
        <v>OEHHA PHG</v>
      </c>
      <c r="Z67" s="567">
        <f t="shared" si="138"/>
        <v>0.01</v>
      </c>
      <c r="AA67" s="568" t="str">
        <f t="shared" si="139"/>
        <v>MCL (Primary)</v>
      </c>
      <c r="AB67" s="122">
        <f t="shared" si="15"/>
        <v>0.01</v>
      </c>
      <c r="AC67" s="121" t="str">
        <f t="shared" si="16"/>
        <v>--</v>
      </c>
      <c r="AD67" s="121">
        <f t="shared" si="17"/>
        <v>8.0000000000000002E-3</v>
      </c>
      <c r="AE67" s="121" t="str">
        <f t="shared" si="18"/>
        <v>Cancer</v>
      </c>
      <c r="AF67" s="121" t="str">
        <f t="shared" si="19"/>
        <v>--</v>
      </c>
      <c r="AG67" s="121" t="str">
        <f t="shared" si="20"/>
        <v>--</v>
      </c>
      <c r="AH67" s="119" t="str">
        <f t="shared" si="21"/>
        <v>V</v>
      </c>
      <c r="AI67" s="119" t="str">
        <f t="shared" si="22"/>
        <v>O</v>
      </c>
      <c r="AJ67" s="120" t="str">
        <f t="shared" si="23"/>
        <v>--</v>
      </c>
      <c r="AK67" s="129">
        <f t="shared" si="140"/>
        <v>0.8</v>
      </c>
      <c r="AL67" s="119">
        <f t="shared" si="25"/>
        <v>1.06268198441491</v>
      </c>
      <c r="AM67" s="119">
        <f t="shared" si="26"/>
        <v>12.9550994026929</v>
      </c>
      <c r="AN67" s="119">
        <f t="shared" si="27"/>
        <v>50.142248344350897</v>
      </c>
      <c r="AO67" s="119">
        <f t="shared" si="28"/>
        <v>0.14299999999999999</v>
      </c>
      <c r="AP67" s="119" t="str">
        <f t="shared" si="29"/>
        <v>Yes</v>
      </c>
      <c r="AQ67" s="119">
        <f t="shared" si="141"/>
        <v>4.5</v>
      </c>
      <c r="AR67" s="119">
        <f t="shared" si="142"/>
        <v>1.2999999999999999E-3</v>
      </c>
      <c r="AS67" s="119">
        <f t="shared" si="143"/>
        <v>1E-4</v>
      </c>
      <c r="AT67" s="119" t="str">
        <f t="shared" si="144"/>
        <v>--</v>
      </c>
      <c r="AU67" s="119">
        <f t="shared" si="145"/>
        <v>1</v>
      </c>
      <c r="AV67" s="119">
        <f t="shared" si="146"/>
        <v>2.1748521547422207E-6</v>
      </c>
      <c r="AW67" s="555">
        <f t="shared" si="147"/>
        <v>6.9311913103749489E-7</v>
      </c>
      <c r="AX67" s="124">
        <f t="shared" si="148"/>
        <v>2.457636628885647E-4</v>
      </c>
    </row>
    <row r="68" spans="1:50" ht="12.75" customHeight="1">
      <c r="A68" s="153" t="s">
        <v>201</v>
      </c>
      <c r="B68" s="185" t="s">
        <v>202</v>
      </c>
      <c r="C68" s="566">
        <f t="shared" si="38"/>
        <v>0.01</v>
      </c>
      <c r="D68" s="586" t="str">
        <f t="shared" si="39"/>
        <v>MCL (Primary)</v>
      </c>
      <c r="E68" s="182">
        <f t="shared" si="118"/>
        <v>1.3884028363364219E-3</v>
      </c>
      <c r="F68" s="609" t="str">
        <f t="shared" si="119"/>
        <v>Tapwater</v>
      </c>
      <c r="G68" s="182">
        <f t="shared" si="120"/>
        <v>0.12380600336940729</v>
      </c>
      <c r="H68" s="183" t="str">
        <f t="shared" si="121"/>
        <v>Tapwater</v>
      </c>
      <c r="I68" s="188">
        <f t="shared" si="122"/>
        <v>8.5613426061665124E-3</v>
      </c>
      <c r="J68" s="157">
        <f t="shared" si="123"/>
        <v>2.1597633136094673E-3</v>
      </c>
      <c r="K68" s="190" t="str">
        <f t="shared" si="124"/>
        <v>--</v>
      </c>
      <c r="L68" s="157">
        <f t="shared" si="125"/>
        <v>7.1207700586484561E-3</v>
      </c>
      <c r="M68" s="192" t="str">
        <f t="shared" si="126"/>
        <v>--</v>
      </c>
      <c r="N68" s="190">
        <f t="shared" si="127"/>
        <v>7.1207700586484561E-3</v>
      </c>
      <c r="O68" s="198">
        <f t="shared" si="128"/>
        <v>1.3884028363364219E-3</v>
      </c>
      <c r="P68" s="162">
        <f t="shared" si="129"/>
        <v>0.26071428571428573</v>
      </c>
      <c r="Q68" s="157" t="str">
        <f t="shared" si="130"/>
        <v>--</v>
      </c>
      <c r="R68" s="157" t="str">
        <f t="shared" si="131"/>
        <v>--</v>
      </c>
      <c r="S68" s="157">
        <f t="shared" si="183"/>
        <v>0.2357636308246544</v>
      </c>
      <c r="T68" s="157" t="str">
        <f t="shared" si="132"/>
        <v>--</v>
      </c>
      <c r="U68" s="157">
        <f t="shared" si="133"/>
        <v>0.2357636308246544</v>
      </c>
      <c r="V68" s="200">
        <f t="shared" si="134"/>
        <v>0.12380600336940729</v>
      </c>
      <c r="W68" s="186">
        <f t="shared" si="135"/>
        <v>6.0000000000000001E-3</v>
      </c>
      <c r="X68" s="596" t="str">
        <f t="shared" si="136"/>
        <v>--</v>
      </c>
      <c r="Y68" s="187" t="str">
        <f t="shared" si="137"/>
        <v>OEHHA PHG</v>
      </c>
      <c r="Z68" s="567">
        <f t="shared" si="138"/>
        <v>0.01</v>
      </c>
      <c r="AA68" s="568" t="str">
        <f t="shared" si="139"/>
        <v>MCL (Primary)</v>
      </c>
      <c r="AB68" s="122">
        <f t="shared" si="15"/>
        <v>0.01</v>
      </c>
      <c r="AC68" s="121" t="str">
        <f t="shared" si="16"/>
        <v>--</v>
      </c>
      <c r="AD68" s="121">
        <f t="shared" si="17"/>
        <v>6.0000000000000001E-3</v>
      </c>
      <c r="AE68" s="121" t="str">
        <f t="shared" si="18"/>
        <v>Cancer</v>
      </c>
      <c r="AF68" s="121" t="str">
        <f t="shared" si="19"/>
        <v>--</v>
      </c>
      <c r="AG68" s="121" t="str">
        <f t="shared" si="20"/>
        <v>--</v>
      </c>
      <c r="AH68" s="119" t="str">
        <f t="shared" si="21"/>
        <v>V</v>
      </c>
      <c r="AI68" s="119" t="str">
        <f t="shared" si="22"/>
        <v>O</v>
      </c>
      <c r="AJ68" s="120" t="str">
        <f t="shared" si="23"/>
        <v>--</v>
      </c>
      <c r="AK68" s="129">
        <f t="shared" si="140"/>
        <v>0.8</v>
      </c>
      <c r="AL68" s="119">
        <f t="shared" si="25"/>
        <v>0.15860844068214</v>
      </c>
      <c r="AM68" s="119">
        <f t="shared" si="26"/>
        <v>15.9235813014401</v>
      </c>
      <c r="AN68" s="119">
        <f t="shared" si="27"/>
        <v>38.216595123456102</v>
      </c>
      <c r="AO68" s="119">
        <f t="shared" si="28"/>
        <v>2.0899999999999998E-2</v>
      </c>
      <c r="AP68" s="119" t="str">
        <f t="shared" si="29"/>
        <v>Yes</v>
      </c>
      <c r="AQ68" s="119">
        <f t="shared" si="141"/>
        <v>9.1</v>
      </c>
      <c r="AR68" s="119">
        <f t="shared" si="142"/>
        <v>2.5999999999999999E-3</v>
      </c>
      <c r="AS68" s="119">
        <f t="shared" si="143"/>
        <v>1.2999999999999999E-5</v>
      </c>
      <c r="AT68" s="119" t="str">
        <f t="shared" si="144"/>
        <v>--</v>
      </c>
      <c r="AU68" s="119">
        <f t="shared" si="145"/>
        <v>1</v>
      </c>
      <c r="AV68" s="119">
        <f t="shared" si="146"/>
        <v>1.0754763402571421E-6</v>
      </c>
      <c r="AW68" s="555">
        <f t="shared" si="147"/>
        <v>3.42751218644915E-7</v>
      </c>
      <c r="AX68" s="124">
        <f t="shared" si="148"/>
        <v>3.1949276175513416E-5</v>
      </c>
    </row>
    <row r="69" spans="1:50" ht="12.75" customHeight="1">
      <c r="A69" s="153" t="s">
        <v>203</v>
      </c>
      <c r="B69" s="185" t="s">
        <v>204</v>
      </c>
      <c r="C69" s="566">
        <f t="shared" si="38"/>
        <v>1</v>
      </c>
      <c r="D69" s="586" t="str">
        <f t="shared" si="39"/>
        <v>MCL (Primary)</v>
      </c>
      <c r="E69" s="182">
        <f t="shared" si="118"/>
        <v>8.7776254719476709E-3</v>
      </c>
      <c r="F69" s="609" t="str">
        <f t="shared" si="119"/>
        <v>Tapwater</v>
      </c>
      <c r="G69" s="182">
        <f t="shared" si="120"/>
        <v>0.20054945054945059</v>
      </c>
      <c r="H69" s="183" t="str">
        <f t="shared" si="121"/>
        <v>Tapwater</v>
      </c>
      <c r="I69" s="188">
        <f t="shared" si="122"/>
        <v>4.3282343175619596E-2</v>
      </c>
      <c r="J69" s="157">
        <f t="shared" si="123"/>
        <v>1.1010558069381598E-2</v>
      </c>
      <c r="K69" s="190" t="str">
        <f t="shared" si="124"/>
        <v>--</v>
      </c>
      <c r="L69" s="157" t="str">
        <f t="shared" si="125"/>
        <v>--</v>
      </c>
      <c r="M69" s="192" t="str">
        <f t="shared" si="126"/>
        <v>--</v>
      </c>
      <c r="N69" s="190" t="str">
        <f t="shared" si="127"/>
        <v>--</v>
      </c>
      <c r="O69" s="198">
        <f t="shared" si="128"/>
        <v>8.7776254719476709E-3</v>
      </c>
      <c r="P69" s="162">
        <f t="shared" si="129"/>
        <v>0.20054945054945059</v>
      </c>
      <c r="Q69" s="157" t="str">
        <f t="shared" si="130"/>
        <v>--</v>
      </c>
      <c r="R69" s="157" t="str">
        <f t="shared" si="131"/>
        <v>--</v>
      </c>
      <c r="S69" s="157" t="str">
        <f t="shared" si="183"/>
        <v>--</v>
      </c>
      <c r="T69" s="157" t="str">
        <f t="shared" si="132"/>
        <v>--</v>
      </c>
      <c r="U69" s="157" t="str">
        <f t="shared" si="133"/>
        <v>--</v>
      </c>
      <c r="V69" s="200">
        <f t="shared" si="134"/>
        <v>0.20054945054945059</v>
      </c>
      <c r="W69" s="186">
        <f t="shared" si="135"/>
        <v>0.03</v>
      </c>
      <c r="X69" s="596" t="str">
        <f t="shared" si="136"/>
        <v>--</v>
      </c>
      <c r="Y69" s="187" t="str">
        <f t="shared" si="137"/>
        <v>OEHHA PHG</v>
      </c>
      <c r="Z69" s="567">
        <f t="shared" si="138"/>
        <v>1</v>
      </c>
      <c r="AA69" s="568" t="str">
        <f t="shared" si="139"/>
        <v>MCL (Primary)</v>
      </c>
      <c r="AB69" s="122">
        <f t="shared" si="15"/>
        <v>1</v>
      </c>
      <c r="AC69" s="121" t="str">
        <f t="shared" si="16"/>
        <v>--</v>
      </c>
      <c r="AD69" s="121">
        <f t="shared" si="17"/>
        <v>0.03</v>
      </c>
      <c r="AE69" s="121" t="str">
        <f t="shared" si="18"/>
        <v>Cancer</v>
      </c>
      <c r="AF69" s="121" t="str">
        <f t="shared" si="19"/>
        <v>--</v>
      </c>
      <c r="AG69" s="121" t="str">
        <f t="shared" si="20"/>
        <v>--</v>
      </c>
      <c r="AH69" s="119" t="str">
        <f t="shared" si="21"/>
        <v>V</v>
      </c>
      <c r="AI69" s="119" t="str">
        <f t="shared" si="22"/>
        <v>O</v>
      </c>
      <c r="AJ69" s="120" t="str">
        <f t="shared" si="23"/>
        <v>--</v>
      </c>
      <c r="AK69" s="129">
        <f t="shared" si="140"/>
        <v>0.9</v>
      </c>
      <c r="AL69" s="119">
        <f t="shared" si="25"/>
        <v>1.6485993014692</v>
      </c>
      <c r="AM69" s="119">
        <f t="shared" si="26"/>
        <v>4.1363449507906704</v>
      </c>
      <c r="AN69" s="119">
        <f t="shared" si="27"/>
        <v>16.572823901394202</v>
      </c>
      <c r="AO69" s="119">
        <f t="shared" si="28"/>
        <v>0.254</v>
      </c>
      <c r="AP69" s="119" t="str">
        <f t="shared" si="29"/>
        <v>No</v>
      </c>
      <c r="AQ69" s="119">
        <f t="shared" si="141"/>
        <v>1.8</v>
      </c>
      <c r="AR69" s="119">
        <f t="shared" si="142"/>
        <v>5.1000000000000004E-4</v>
      </c>
      <c r="AS69" s="119">
        <f t="shared" si="143"/>
        <v>1.0000000000000001E-5</v>
      </c>
      <c r="AT69" s="119" t="str">
        <f t="shared" si="144"/>
        <v>--</v>
      </c>
      <c r="AU69" s="119">
        <f t="shared" si="145"/>
        <v>1</v>
      </c>
      <c r="AV69" s="119">
        <f t="shared" si="146"/>
        <v>5.4371303868555515E-6</v>
      </c>
      <c r="AW69" s="555">
        <f t="shared" si="147"/>
        <v>1.7327978275937371E-6</v>
      </c>
      <c r="AX69" s="124">
        <f t="shared" si="148"/>
        <v>2.4576366288856474E-5</v>
      </c>
    </row>
    <row r="70" spans="1:50" ht="12.75" customHeight="1">
      <c r="A70" s="153" t="s">
        <v>205</v>
      </c>
      <c r="B70" s="185" t="s">
        <v>206</v>
      </c>
      <c r="C70" s="566" t="str">
        <f t="shared" si="38"/>
        <v>--</v>
      </c>
      <c r="D70" s="586" t="str">
        <f t="shared" si="39"/>
        <v>--</v>
      </c>
      <c r="E70" s="182">
        <f t="shared" si="118"/>
        <v>0.13869404115936773</v>
      </c>
      <c r="F70" s="609" t="str">
        <f t="shared" si="119"/>
        <v>Tapwater</v>
      </c>
      <c r="G70" s="182">
        <f t="shared" si="120"/>
        <v>6.4593311487380403</v>
      </c>
      <c r="H70" s="183" t="str">
        <f t="shared" si="121"/>
        <v>Tapwater</v>
      </c>
      <c r="I70" s="188">
        <f t="shared" si="122"/>
        <v>0.99882330405275987</v>
      </c>
      <c r="J70" s="157">
        <f t="shared" si="123"/>
        <v>0.25524475524475526</v>
      </c>
      <c r="K70" s="190" t="str">
        <f t="shared" si="124"/>
        <v>--</v>
      </c>
      <c r="L70" s="157">
        <f t="shared" si="125"/>
        <v>0.43646607820239924</v>
      </c>
      <c r="M70" s="192" t="str">
        <f t="shared" si="126"/>
        <v>--</v>
      </c>
      <c r="N70" s="190">
        <f t="shared" si="127"/>
        <v>0.43646607820239924</v>
      </c>
      <c r="O70" s="198">
        <f t="shared" si="128"/>
        <v>0.13869404115936773</v>
      </c>
      <c r="P70" s="162">
        <f t="shared" si="129"/>
        <v>20.054945054945055</v>
      </c>
      <c r="Q70" s="157" t="str">
        <f t="shared" si="130"/>
        <v>--</v>
      </c>
      <c r="R70" s="157" t="str">
        <f t="shared" si="131"/>
        <v>--</v>
      </c>
      <c r="S70" s="157">
        <f t="shared" si="183"/>
        <v>9.5281854996260904</v>
      </c>
      <c r="T70" s="157" t="str">
        <f t="shared" si="132"/>
        <v>--</v>
      </c>
      <c r="U70" s="157">
        <f t="shared" si="133"/>
        <v>9.5281854996260904</v>
      </c>
      <c r="V70" s="200">
        <f t="shared" si="134"/>
        <v>6.4593311487380403</v>
      </c>
      <c r="W70" s="186" t="str">
        <f t="shared" si="135"/>
        <v>--</v>
      </c>
      <c r="X70" s="596" t="str">
        <f t="shared" si="136"/>
        <v>--</v>
      </c>
      <c r="Y70" s="187" t="str">
        <f t="shared" si="137"/>
        <v>--</v>
      </c>
      <c r="Z70" s="567" t="str">
        <f t="shared" si="138"/>
        <v>--</v>
      </c>
      <c r="AA70" s="568" t="str">
        <f t="shared" si="139"/>
        <v>--</v>
      </c>
      <c r="AB70" s="122" t="str">
        <f t="shared" si="15"/>
        <v>--</v>
      </c>
      <c r="AC70" s="121" t="str">
        <f t="shared" si="16"/>
        <v>--</v>
      </c>
      <c r="AD70" s="121" t="str">
        <f t="shared" si="17"/>
        <v>--</v>
      </c>
      <c r="AE70" s="121" t="str">
        <f t="shared" si="18"/>
        <v>--</v>
      </c>
      <c r="AF70" s="121" t="str">
        <f t="shared" si="19"/>
        <v>--</v>
      </c>
      <c r="AG70" s="121" t="str">
        <f t="shared" si="20"/>
        <v>--</v>
      </c>
      <c r="AH70" s="119" t="str">
        <f t="shared" si="21"/>
        <v>V</v>
      </c>
      <c r="AI70" s="119" t="str">
        <f t="shared" si="22"/>
        <v>O</v>
      </c>
      <c r="AJ70" s="120" t="str">
        <f t="shared" si="23"/>
        <v>--</v>
      </c>
      <c r="AK70" s="129">
        <f t="shared" si="140"/>
        <v>0.9</v>
      </c>
      <c r="AL70" s="119">
        <f t="shared" si="25"/>
        <v>0.50307432956283005</v>
      </c>
      <c r="AM70" s="119">
        <f t="shared" si="26"/>
        <v>3.0346230315459599</v>
      </c>
      <c r="AN70" s="119">
        <f t="shared" si="27"/>
        <v>7.28309527571031</v>
      </c>
      <c r="AO70" s="119">
        <f t="shared" si="28"/>
        <v>8.1000000000000003E-2</v>
      </c>
      <c r="AP70" s="119" t="str">
        <f t="shared" si="29"/>
        <v>Yes</v>
      </c>
      <c r="AQ70" s="119">
        <f t="shared" si="141"/>
        <v>7.8E-2</v>
      </c>
      <c r="AR70" s="119">
        <f t="shared" si="142"/>
        <v>2.1999999999999999E-5</v>
      </c>
      <c r="AS70" s="119">
        <f t="shared" si="143"/>
        <v>1E-3</v>
      </c>
      <c r="AT70" s="119" t="str">
        <f t="shared" si="144"/>
        <v>--</v>
      </c>
      <c r="AU70" s="119">
        <f t="shared" si="145"/>
        <v>1</v>
      </c>
      <c r="AV70" s="119">
        <f t="shared" si="146"/>
        <v>1.2547223969666655E-4</v>
      </c>
      <c r="AW70" s="555">
        <f t="shared" si="147"/>
        <v>3.998764217524009E-5</v>
      </c>
      <c r="AX70" s="124">
        <f t="shared" si="148"/>
        <v>2.4576366288856471E-3</v>
      </c>
    </row>
    <row r="71" spans="1:50" ht="12.75" customHeight="1">
      <c r="A71" s="2105" t="s">
        <v>4279</v>
      </c>
      <c r="B71" s="185" t="s">
        <v>208</v>
      </c>
      <c r="C71" s="566">
        <f t="shared" si="38"/>
        <v>0.2</v>
      </c>
      <c r="D71" s="586" t="str">
        <f t="shared" si="39"/>
        <v>MCL (Primary)</v>
      </c>
      <c r="E71" s="182">
        <f t="shared" si="118"/>
        <v>3.2000000000000001E-2</v>
      </c>
      <c r="F71" s="609" t="str">
        <f t="shared" si="119"/>
        <v>OEHHA PHG</v>
      </c>
      <c r="G71" s="182">
        <f t="shared" si="120"/>
        <v>9.7247023426446713E-3</v>
      </c>
      <c r="H71" s="183" t="str">
        <f t="shared" si="121"/>
        <v>Tapwater</v>
      </c>
      <c r="I71" s="188">
        <f t="shared" si="122"/>
        <v>7.0825652469195699E-2</v>
      </c>
      <c r="J71" s="157" t="str">
        <f t="shared" si="123"/>
        <v>--</v>
      </c>
      <c r="K71" s="190" t="str">
        <f t="shared" si="124"/>
        <v>--</v>
      </c>
      <c r="L71" s="157">
        <f t="shared" si="125"/>
        <v>0.1002476526933789</v>
      </c>
      <c r="M71" s="192" t="str">
        <f t="shared" si="126"/>
        <v>--</v>
      </c>
      <c r="N71" s="190">
        <f t="shared" si="127"/>
        <v>0.1002476526933789</v>
      </c>
      <c r="O71" s="198">
        <f t="shared" si="128"/>
        <v>4.1503292426404596E-2</v>
      </c>
      <c r="P71" s="162">
        <f t="shared" si="129"/>
        <v>1.6043956043956045E-2</v>
      </c>
      <c r="Q71" s="157" t="str">
        <f t="shared" si="130"/>
        <v>--</v>
      </c>
      <c r="R71" s="157" t="str">
        <f t="shared" si="131"/>
        <v>--</v>
      </c>
      <c r="S71" s="157">
        <f t="shared" si="183"/>
        <v>2.4690051120050713E-2</v>
      </c>
      <c r="T71" s="157" t="str">
        <f t="shared" si="132"/>
        <v>--</v>
      </c>
      <c r="U71" s="157">
        <f t="shared" si="133"/>
        <v>2.4690051120050713E-2</v>
      </c>
      <c r="V71" s="200">
        <f t="shared" si="134"/>
        <v>9.7247023426446713E-3</v>
      </c>
      <c r="W71" s="186">
        <f t="shared" si="135"/>
        <v>3.2000000000000001E-2</v>
      </c>
      <c r="X71" s="596" t="str">
        <f t="shared" si="136"/>
        <v>--</v>
      </c>
      <c r="Y71" s="187" t="str">
        <f t="shared" si="137"/>
        <v>OEHHA PHG</v>
      </c>
      <c r="Z71" s="567">
        <f t="shared" si="138"/>
        <v>0.2</v>
      </c>
      <c r="AA71" s="568" t="str">
        <f t="shared" si="139"/>
        <v>MCL (Primary)</v>
      </c>
      <c r="AB71" s="122">
        <f t="shared" si="15"/>
        <v>0.2</v>
      </c>
      <c r="AC71" s="121" t="str">
        <f t="shared" si="16"/>
        <v>--</v>
      </c>
      <c r="AD71" s="121">
        <f t="shared" si="17"/>
        <v>3.2000000000000001E-2</v>
      </c>
      <c r="AE71" s="121" t="str">
        <f t="shared" si="18"/>
        <v>Cancer</v>
      </c>
      <c r="AF71" s="121" t="str">
        <f t="shared" si="19"/>
        <v>--</v>
      </c>
      <c r="AG71" s="121" t="str">
        <f t="shared" si="20"/>
        <v>--</v>
      </c>
      <c r="AH71" s="119" t="str">
        <f t="shared" si="21"/>
        <v>NV</v>
      </c>
      <c r="AI71" s="119" t="str">
        <f t="shared" si="22"/>
        <v>O</v>
      </c>
      <c r="AJ71" s="120" t="str">
        <f t="shared" si="23"/>
        <v>--</v>
      </c>
      <c r="AK71" s="129">
        <f t="shared" si="140"/>
        <v>0.9</v>
      </c>
      <c r="AL71" s="119">
        <f t="shared" si="25"/>
        <v>0.13511808269875999</v>
      </c>
      <c r="AM71" s="119">
        <f t="shared" si="26"/>
        <v>4.4719480484289003</v>
      </c>
      <c r="AN71" s="119">
        <f t="shared" si="27"/>
        <v>10.7326753162294</v>
      </c>
      <c r="AO71" s="119">
        <f t="shared" si="28"/>
        <v>2.06E-2</v>
      </c>
      <c r="AP71" s="119" t="str">
        <f t="shared" si="29"/>
        <v>Yes</v>
      </c>
      <c r="AQ71" s="119">
        <f t="shared" si="141"/>
        <v>1.1000000000000001</v>
      </c>
      <c r="AR71" s="119">
        <f t="shared" si="142"/>
        <v>3.1E-4</v>
      </c>
      <c r="AS71" s="119">
        <f t="shared" si="143"/>
        <v>7.9999999999999996E-7</v>
      </c>
      <c r="AT71" s="119" t="str">
        <f t="shared" si="144"/>
        <v>--</v>
      </c>
      <c r="AU71" s="119">
        <f t="shared" si="145"/>
        <v>1</v>
      </c>
      <c r="AV71" s="119">
        <f t="shared" si="146"/>
        <v>8.8971224512181747E-6</v>
      </c>
      <c r="AW71" s="555">
        <f t="shared" si="147"/>
        <v>2.8354873542442969E-6</v>
      </c>
      <c r="AX71" s="124">
        <f t="shared" si="148"/>
        <v>1.9661093031085177E-6</v>
      </c>
    </row>
    <row r="72" spans="1:50" ht="12.75" customHeight="1">
      <c r="A72" s="153" t="s">
        <v>209</v>
      </c>
      <c r="B72" s="185" t="s">
        <v>210</v>
      </c>
      <c r="C72" s="566" t="str">
        <f t="shared" si="38"/>
        <v>--</v>
      </c>
      <c r="D72" s="586" t="str">
        <f t="shared" si="39"/>
        <v>--</v>
      </c>
      <c r="E72" s="182">
        <f t="shared" si="118"/>
        <v>0.32838246315927444</v>
      </c>
      <c r="F72" s="609" t="str">
        <f t="shared" si="119"/>
        <v>Tapwater</v>
      </c>
      <c r="G72" s="182">
        <f t="shared" si="120"/>
        <v>6.2374795144245558</v>
      </c>
      <c r="H72" s="183" t="str">
        <f t="shared" si="121"/>
        <v>Tapwater</v>
      </c>
      <c r="I72" s="188">
        <f t="shared" si="122"/>
        <v>1.9477054429028815</v>
      </c>
      <c r="J72" s="157">
        <f t="shared" si="123"/>
        <v>0.51048951048951052</v>
      </c>
      <c r="K72" s="190" t="str">
        <f t="shared" si="124"/>
        <v>--</v>
      </c>
      <c r="L72" s="157">
        <f t="shared" si="125"/>
        <v>1.7455027577443258</v>
      </c>
      <c r="M72" s="192" t="str">
        <f t="shared" si="126"/>
        <v>--</v>
      </c>
      <c r="N72" s="190">
        <f t="shared" si="127"/>
        <v>1.7455027577443258</v>
      </c>
      <c r="O72" s="198">
        <f t="shared" si="128"/>
        <v>0.32838246315927444</v>
      </c>
      <c r="P72" s="162">
        <f t="shared" si="129"/>
        <v>14.038461538461538</v>
      </c>
      <c r="Q72" s="157">
        <f t="shared" si="130"/>
        <v>62.571428571428569</v>
      </c>
      <c r="R72" s="157" t="str">
        <f t="shared" si="131"/>
        <v>--</v>
      </c>
      <c r="S72" s="157">
        <f t="shared" si="183"/>
        <v>13.678663794888175</v>
      </c>
      <c r="T72" s="157" t="str">
        <f t="shared" si="132"/>
        <v>--</v>
      </c>
      <c r="U72" s="157">
        <f t="shared" si="133"/>
        <v>13.678663794888175</v>
      </c>
      <c r="V72" s="200">
        <f t="shared" si="134"/>
        <v>6.2374795144245558</v>
      </c>
      <c r="W72" s="186" t="str">
        <f t="shared" si="135"/>
        <v>--</v>
      </c>
      <c r="X72" s="596" t="str">
        <f t="shared" si="136"/>
        <v>--</v>
      </c>
      <c r="Y72" s="187" t="str">
        <f t="shared" si="137"/>
        <v>--</v>
      </c>
      <c r="Z72" s="567" t="str">
        <f t="shared" si="138"/>
        <v>--</v>
      </c>
      <c r="AA72" s="568" t="str">
        <f t="shared" si="139"/>
        <v>--</v>
      </c>
      <c r="AB72" s="122" t="str">
        <f t="shared" si="15"/>
        <v>--</v>
      </c>
      <c r="AC72" s="121" t="str">
        <f t="shared" si="16"/>
        <v>--</v>
      </c>
      <c r="AD72" s="121" t="str">
        <f t="shared" si="17"/>
        <v>--</v>
      </c>
      <c r="AE72" s="121" t="str">
        <f t="shared" si="18"/>
        <v>--</v>
      </c>
      <c r="AF72" s="121" t="str">
        <f t="shared" si="19"/>
        <v>--</v>
      </c>
      <c r="AG72" s="121" t="str">
        <f t="shared" si="20"/>
        <v>--</v>
      </c>
      <c r="AH72" s="119" t="str">
        <f t="shared" si="21"/>
        <v>V</v>
      </c>
      <c r="AI72" s="119" t="str">
        <f t="shared" si="22"/>
        <v>O</v>
      </c>
      <c r="AJ72" s="120" t="str">
        <f t="shared" si="23"/>
        <v>--</v>
      </c>
      <c r="AK72" s="129">
        <f t="shared" si="140"/>
        <v>1</v>
      </c>
      <c r="AL72" s="119">
        <f t="shared" si="25"/>
        <v>0.2455899385142</v>
      </c>
      <c r="AM72" s="119">
        <f t="shared" si="26"/>
        <v>2.2263464612227</v>
      </c>
      <c r="AN72" s="119">
        <f t="shared" si="27"/>
        <v>5.3432315069344902</v>
      </c>
      <c r="AO72" s="119">
        <f t="shared" si="28"/>
        <v>4.1500000000000002E-2</v>
      </c>
      <c r="AP72" s="119" t="str">
        <f t="shared" si="29"/>
        <v>Yes</v>
      </c>
      <c r="AQ72" s="119">
        <f t="shared" si="141"/>
        <v>0.04</v>
      </c>
      <c r="AR72" s="119">
        <f t="shared" si="142"/>
        <v>1.1E-5</v>
      </c>
      <c r="AS72" s="119">
        <f t="shared" si="143"/>
        <v>6.9999999999999999E-4</v>
      </c>
      <c r="AT72" s="119">
        <f t="shared" si="144"/>
        <v>30</v>
      </c>
      <c r="AU72" s="119">
        <f t="shared" si="145"/>
        <v>1</v>
      </c>
      <c r="AV72" s="119">
        <f t="shared" si="146"/>
        <v>2.4467086740849979E-4</v>
      </c>
      <c r="AW72" s="555">
        <f t="shared" si="147"/>
        <v>7.797590224171817E-5</v>
      </c>
      <c r="AX72" s="124">
        <f t="shared" si="148"/>
        <v>1.7203456402199524E-3</v>
      </c>
    </row>
    <row r="73" spans="1:50" ht="12.75" customHeight="1">
      <c r="A73" s="153" t="s">
        <v>211</v>
      </c>
      <c r="B73" s="185" t="s">
        <v>212</v>
      </c>
      <c r="C73" s="566">
        <f t="shared" si="38"/>
        <v>15</v>
      </c>
      <c r="D73" s="586" t="str">
        <f t="shared" si="39"/>
        <v>MCL (Primary)</v>
      </c>
      <c r="E73" s="182" t="str">
        <f t="shared" si="118"/>
        <v>--</v>
      </c>
      <c r="F73" s="609" t="str">
        <f t="shared" si="119"/>
        <v>--</v>
      </c>
      <c r="G73" s="182">
        <f t="shared" si="120"/>
        <v>0.2</v>
      </c>
      <c r="H73" s="183" t="str">
        <f t="shared" si="121"/>
        <v>OEHHA PHG</v>
      </c>
      <c r="I73" s="188" t="str">
        <f t="shared" si="122"/>
        <v>--</v>
      </c>
      <c r="J73" s="157" t="str">
        <f t="shared" si="123"/>
        <v>--</v>
      </c>
      <c r="K73" s="190" t="str">
        <f t="shared" si="124"/>
        <v>--</v>
      </c>
      <c r="L73" s="157" t="str">
        <f t="shared" si="125"/>
        <v>--</v>
      </c>
      <c r="M73" s="192" t="str">
        <f t="shared" si="126"/>
        <v>--</v>
      </c>
      <c r="N73" s="190" t="str">
        <f t="shared" si="127"/>
        <v>--</v>
      </c>
      <c r="O73" s="198" t="str">
        <f t="shared" si="128"/>
        <v>--</v>
      </c>
      <c r="P73" s="162" t="str">
        <f t="shared" si="129"/>
        <v>--</v>
      </c>
      <c r="Q73" s="157" t="str">
        <f t="shared" si="130"/>
        <v>--</v>
      </c>
      <c r="R73" s="157" t="str">
        <f t="shared" si="131"/>
        <v>--</v>
      </c>
      <c r="S73" s="157" t="str">
        <f t="shared" si="183"/>
        <v>--</v>
      </c>
      <c r="T73" s="157" t="str">
        <f t="shared" si="132"/>
        <v>--</v>
      </c>
      <c r="U73" s="157" t="str">
        <f t="shared" si="133"/>
        <v>--</v>
      </c>
      <c r="V73" s="200" t="str">
        <f t="shared" si="134"/>
        <v>--</v>
      </c>
      <c r="W73" s="186" t="str">
        <f t="shared" si="135"/>
        <v>--</v>
      </c>
      <c r="X73" s="596">
        <f t="shared" si="136"/>
        <v>0.2</v>
      </c>
      <c r="Y73" s="187" t="str">
        <f t="shared" si="137"/>
        <v>OEHHA PHG</v>
      </c>
      <c r="Z73" s="567">
        <f t="shared" si="138"/>
        <v>15</v>
      </c>
      <c r="AA73" s="568" t="str">
        <f t="shared" si="139"/>
        <v>MCL (Primary)</v>
      </c>
      <c r="AB73" s="122">
        <f t="shared" ref="AB73:AB137" si="184">IF(VLOOKUP($A73, Table_IP_4, MATCH("mcl", heading_IP_4, 0), FALSE)=0, "-", VLOOKUP($A73, Table_IP_4, MATCH("mcl", heading_IP_4, 0), FALSE))</f>
        <v>15</v>
      </c>
      <c r="AC73" s="121" t="str">
        <f t="shared" ref="AC73:AC137" si="185">IF(VLOOKUP($A73, Table_IP_4, MATCH("2-mcl", heading_IP_4, 0), FALSE)=0, "-", VLOOKUP($A73, Table_IP_4, MATCH("2-mcl", heading_IP_4, 0), FALSE))</f>
        <v>--</v>
      </c>
      <c r="AD73" s="121">
        <f t="shared" ref="AD73:AD137" si="186">IF(VLOOKUP($A73, Table_IP_4, MATCH("PHG", heading_IP_4, 0), FALSE)=0, "--", VLOOKUP($A73, Table_IP_4, MATCH("PHG", heading_IP_4, 0), FALSE))</f>
        <v>0.2</v>
      </c>
      <c r="AE73" s="121" t="str">
        <f t="shared" ref="AE73:AE137" si="187">IF(VLOOKUP($A73, Table_IP_4, MATCH("PHG-b", heading_IP_4, 0), FALSE)=0, "--", VLOOKUP($A73, Table_IP_4, MATCH("PHG-b", heading_IP_4, 0), FALSE))</f>
        <v>Noncancer</v>
      </c>
      <c r="AF73" s="121" t="str">
        <f t="shared" ref="AF73:AF137" si="188">IF(VLOOKUP($A73, Table_IP_4, MATCH("NL", heading_IP_4, 0), FALSE)=0, "--", VLOOKUP($A73, Table_IP_4, MATCH("NL", heading_IP_4, 0), FALSE))</f>
        <v>--</v>
      </c>
      <c r="AG73" s="121" t="str">
        <f t="shared" ref="AG73:AG137" si="189">IF(VLOOKUP($A73, Table_IP_4, MATCH("NL-b", heading_IP_4, 0), FALSE)=0, "--", VLOOKUP($A73, Table_IP_4, MATCH("NL-b", heading_IP_4, 0), FALSE))</f>
        <v>--</v>
      </c>
      <c r="AH73" s="119" t="str">
        <f t="shared" ref="AH73:AH137" si="190">VLOOKUP($A73,Table_IP_1,MATCH("volatility",heading_IP_1,0),FALSE)</f>
        <v>NV</v>
      </c>
      <c r="AI73" s="119" t="str">
        <f t="shared" ref="AI73:AI137" si="191">VLOOKUP($A73,Table_IP_1,MATCH("OI",heading_IP_1,0),FALSE)</f>
        <v>I</v>
      </c>
      <c r="AJ73" s="120" t="str">
        <f t="shared" ref="AJ73:AJ137" si="192">VLOOKUP($A73,Table_IP_2,MATCH("mut",heading_IP_2,0),FALSE)</f>
        <v>--</v>
      </c>
      <c r="AK73" s="129" t="str">
        <f t="shared" si="140"/>
        <v>--</v>
      </c>
      <c r="AL73" s="119">
        <f t="shared" ref="AL73:AL137" si="193">VLOOKUP($A73,Table_IP_2,MATCH("B",heading_IP_2,0),FALSE)</f>
        <v>5.5363243739999998E-4</v>
      </c>
      <c r="AM73" s="119">
        <f t="shared" ref="AM73:AM137" si="194">VLOOKUP($A73,Table_IP_2,MATCH("t_event",heading_IP_2,0),FALSE)</f>
        <v>1.52113846901482</v>
      </c>
      <c r="AN73" s="119">
        <f t="shared" ref="AN73:AN137" si="195">VLOOKUP($A73,Table_IP_2,MATCH("t",heading_IP_2,0),FALSE)</f>
        <v>3.6507323256355702</v>
      </c>
      <c r="AO73" s="119">
        <f t="shared" ref="AO73:AO137" si="196">VLOOKUP($A73,Table_IP_2,MATCH("Kp",heading_IP_2,0),FALSE)</f>
        <v>1E-4</v>
      </c>
      <c r="AP73" s="119" t="str">
        <f t="shared" ref="AP73:AP137" si="197">VLOOKUP($A73,Table_IP_2,MATCH("EPD",heading_IP_2,0),FALSE)</f>
        <v>--</v>
      </c>
      <c r="AQ73" s="119" t="str">
        <f t="shared" si="141"/>
        <v>--</v>
      </c>
      <c r="AR73" s="119" t="str">
        <f t="shared" si="142"/>
        <v>--</v>
      </c>
      <c r="AS73" s="119" t="str">
        <f t="shared" si="143"/>
        <v>--</v>
      </c>
      <c r="AT73" s="119" t="str">
        <f t="shared" si="144"/>
        <v>--</v>
      </c>
      <c r="AU73" s="119">
        <f t="shared" si="145"/>
        <v>1</v>
      </c>
      <c r="AV73" s="119" t="str">
        <f t="shared" si="146"/>
        <v>--</v>
      </c>
      <c r="AW73" s="555" t="str">
        <f t="shared" si="147"/>
        <v>--</v>
      </c>
      <c r="AX73" s="124" t="str">
        <f t="shared" si="148"/>
        <v>--</v>
      </c>
    </row>
    <row r="74" spans="1:50" ht="12.75" customHeight="1">
      <c r="A74" s="153" t="s">
        <v>213</v>
      </c>
      <c r="B74" s="185" t="s">
        <v>214</v>
      </c>
      <c r="C74" s="566">
        <f t="shared" ref="C74:C137" si="198">IF(Z74&lt;&gt;"--",Z74,"--")</f>
        <v>2</v>
      </c>
      <c r="D74" s="586" t="str">
        <f t="shared" ref="D74:D137" si="199">IF(C74="--","--", AA74)</f>
        <v>MCL (Primary)</v>
      </c>
      <c r="E74" s="182" t="str">
        <f t="shared" si="118"/>
        <v>--</v>
      </c>
      <c r="F74" s="609" t="str">
        <f t="shared" si="119"/>
        <v>--</v>
      </c>
      <c r="G74" s="182">
        <f t="shared" si="120"/>
        <v>6.1369450954322405E-2</v>
      </c>
      <c r="H74" s="183" t="str">
        <f t="shared" si="121"/>
        <v>Tapwater</v>
      </c>
      <c r="I74" s="188" t="str">
        <f t="shared" si="122"/>
        <v>--</v>
      </c>
      <c r="J74" s="157" t="str">
        <f t="shared" si="123"/>
        <v>--</v>
      </c>
      <c r="K74" s="190" t="str">
        <f t="shared" si="124"/>
        <v>--</v>
      </c>
      <c r="L74" s="157" t="str">
        <f t="shared" si="125"/>
        <v>--</v>
      </c>
      <c r="M74" s="192" t="str">
        <f t="shared" si="126"/>
        <v>--</v>
      </c>
      <c r="N74" s="190" t="str">
        <f t="shared" si="127"/>
        <v>--</v>
      </c>
      <c r="O74" s="198" t="str">
        <f t="shared" si="128"/>
        <v>--</v>
      </c>
      <c r="P74" s="162">
        <f t="shared" si="129"/>
        <v>3.2087912087912094</v>
      </c>
      <c r="Q74" s="157">
        <f t="shared" si="130"/>
        <v>6.257142857142857E-2</v>
      </c>
      <c r="R74" s="157">
        <f t="shared" si="131"/>
        <v>728.18863078093261</v>
      </c>
      <c r="S74" s="157" t="str">
        <f t="shared" si="183"/>
        <v>--</v>
      </c>
      <c r="T74" s="157" t="str">
        <f t="shared" si="132"/>
        <v>--</v>
      </c>
      <c r="U74" s="157">
        <f t="shared" si="133"/>
        <v>728.18863078093261</v>
      </c>
      <c r="V74" s="200">
        <f t="shared" si="134"/>
        <v>6.1369450954322405E-2</v>
      </c>
      <c r="W74" s="186" t="str">
        <f t="shared" si="135"/>
        <v>--</v>
      </c>
      <c r="X74" s="596">
        <f t="shared" si="136"/>
        <v>1.2</v>
      </c>
      <c r="Y74" s="187" t="str">
        <f t="shared" si="137"/>
        <v>OEHHA PHG</v>
      </c>
      <c r="Z74" s="567">
        <f t="shared" si="138"/>
        <v>2</v>
      </c>
      <c r="AA74" s="568" t="str">
        <f t="shared" si="139"/>
        <v>MCL (Primary)</v>
      </c>
      <c r="AB74" s="122">
        <f t="shared" si="184"/>
        <v>2</v>
      </c>
      <c r="AC74" s="121" t="str">
        <f t="shared" si="185"/>
        <v>--</v>
      </c>
      <c r="AD74" s="121">
        <f t="shared" si="186"/>
        <v>1.2</v>
      </c>
      <c r="AE74" s="121" t="str">
        <f t="shared" si="187"/>
        <v>Noncancer</v>
      </c>
      <c r="AF74" s="121" t="str">
        <f t="shared" si="188"/>
        <v>--</v>
      </c>
      <c r="AG74" s="121" t="str">
        <f t="shared" si="189"/>
        <v>--</v>
      </c>
      <c r="AH74" s="119" t="str">
        <f t="shared" si="190"/>
        <v>V</v>
      </c>
      <c r="AI74" s="119" t="str">
        <f t="shared" si="191"/>
        <v>I</v>
      </c>
      <c r="AJ74" s="120" t="str">
        <f t="shared" si="192"/>
        <v>--</v>
      </c>
      <c r="AK74" s="129">
        <f t="shared" si="140"/>
        <v>1</v>
      </c>
      <c r="AL74" s="119">
        <f t="shared" si="193"/>
        <v>5.4472999663199998E-3</v>
      </c>
      <c r="AM74" s="119">
        <f t="shared" si="194"/>
        <v>1.3968595767048499</v>
      </c>
      <c r="AN74" s="119">
        <f t="shared" si="195"/>
        <v>3.35246298409163</v>
      </c>
      <c r="AO74" s="119">
        <f t="shared" si="196"/>
        <v>1E-3</v>
      </c>
      <c r="AP74" s="119" t="str">
        <f t="shared" si="197"/>
        <v>Yes</v>
      </c>
      <c r="AQ74" s="119" t="str">
        <f t="shared" si="141"/>
        <v>--</v>
      </c>
      <c r="AR74" s="119" t="str">
        <f t="shared" si="142"/>
        <v>--</v>
      </c>
      <c r="AS74" s="119">
        <f t="shared" si="143"/>
        <v>1.6000000000000001E-4</v>
      </c>
      <c r="AT74" s="119">
        <f t="shared" si="144"/>
        <v>0.03</v>
      </c>
      <c r="AU74" s="119">
        <f t="shared" si="145"/>
        <v>1</v>
      </c>
      <c r="AV74" s="119" t="str">
        <f t="shared" si="146"/>
        <v>--</v>
      </c>
      <c r="AW74" s="555" t="str">
        <f t="shared" si="147"/>
        <v>--</v>
      </c>
      <c r="AX74" s="124">
        <f t="shared" si="148"/>
        <v>3.9322186062170359E-4</v>
      </c>
    </row>
    <row r="75" spans="1:50" ht="12.75" customHeight="1">
      <c r="A75" s="153" t="s">
        <v>215</v>
      </c>
      <c r="B75" s="185" t="s">
        <v>216</v>
      </c>
      <c r="C75" s="566">
        <f t="shared" si="198"/>
        <v>30</v>
      </c>
      <c r="D75" s="586" t="str">
        <f t="shared" si="199"/>
        <v>MCL (Primary)</v>
      </c>
      <c r="E75" s="182" t="str">
        <f t="shared" si="118"/>
        <v>--</v>
      </c>
      <c r="F75" s="609" t="str">
        <f t="shared" si="119"/>
        <v>--</v>
      </c>
      <c r="G75" s="182">
        <f t="shared" si="120"/>
        <v>0.09</v>
      </c>
      <c r="H75" s="183" t="str">
        <f t="shared" si="121"/>
        <v>OEHHA PHG</v>
      </c>
      <c r="I75" s="188" t="str">
        <f t="shared" si="122"/>
        <v>--</v>
      </c>
      <c r="J75" s="157" t="str">
        <f t="shared" si="123"/>
        <v>--</v>
      </c>
      <c r="K75" s="190" t="str">
        <f t="shared" si="124"/>
        <v>--</v>
      </c>
      <c r="L75" s="157" t="str">
        <f t="shared" si="125"/>
        <v>--</v>
      </c>
      <c r="M75" s="192" t="str">
        <f t="shared" si="126"/>
        <v>--</v>
      </c>
      <c r="N75" s="190" t="str">
        <f t="shared" si="127"/>
        <v>--</v>
      </c>
      <c r="O75" s="198" t="str">
        <f t="shared" si="128"/>
        <v>--</v>
      </c>
      <c r="P75" s="162">
        <f t="shared" si="129"/>
        <v>100.27472527472527</v>
      </c>
      <c r="Q75" s="157" t="str">
        <f t="shared" si="130"/>
        <v>--</v>
      </c>
      <c r="R75" s="157" t="str">
        <f t="shared" si="131"/>
        <v>--</v>
      </c>
      <c r="S75" s="157">
        <f t="shared" si="183"/>
        <v>58.675119162559355</v>
      </c>
      <c r="T75" s="157" t="str">
        <f t="shared" si="132"/>
        <v>--</v>
      </c>
      <c r="U75" s="157">
        <f t="shared" si="133"/>
        <v>58.675119162559355</v>
      </c>
      <c r="V75" s="200">
        <f t="shared" si="134"/>
        <v>37.015647768116303</v>
      </c>
      <c r="W75" s="186" t="str">
        <f t="shared" si="135"/>
        <v>--</v>
      </c>
      <c r="X75" s="596">
        <f t="shared" si="136"/>
        <v>0.09</v>
      </c>
      <c r="Y75" s="187" t="str">
        <f t="shared" si="137"/>
        <v>OEHHA PHG</v>
      </c>
      <c r="Z75" s="567">
        <f t="shared" si="138"/>
        <v>30</v>
      </c>
      <c r="AA75" s="568" t="str">
        <f t="shared" si="139"/>
        <v>MCL (Primary)</v>
      </c>
      <c r="AB75" s="122">
        <f t="shared" si="184"/>
        <v>30</v>
      </c>
      <c r="AC75" s="121" t="str">
        <f t="shared" si="185"/>
        <v>--</v>
      </c>
      <c r="AD75" s="121">
        <f t="shared" si="186"/>
        <v>0.09</v>
      </c>
      <c r="AE75" s="121" t="str">
        <f t="shared" si="187"/>
        <v>Noncancer</v>
      </c>
      <c r="AF75" s="121" t="str">
        <f t="shared" si="188"/>
        <v>--</v>
      </c>
      <c r="AG75" s="121" t="str">
        <f t="shared" si="189"/>
        <v>--</v>
      </c>
      <c r="AH75" s="119" t="str">
        <f t="shared" si="190"/>
        <v>NV</v>
      </c>
      <c r="AI75" s="119" t="str">
        <f t="shared" si="191"/>
        <v>O</v>
      </c>
      <c r="AJ75" s="120" t="str">
        <f t="shared" si="192"/>
        <v>--</v>
      </c>
      <c r="AK75" s="129">
        <f t="shared" si="140"/>
        <v>0.8</v>
      </c>
      <c r="AL75" s="119">
        <f t="shared" si="193"/>
        <v>0.30605183225013999</v>
      </c>
      <c r="AM75" s="119">
        <f t="shared" si="194"/>
        <v>9.0686940341139906</v>
      </c>
      <c r="AN75" s="119">
        <f t="shared" si="195"/>
        <v>21.764865681873601</v>
      </c>
      <c r="AO75" s="119">
        <f t="shared" si="196"/>
        <v>4.2799999999999998E-2</v>
      </c>
      <c r="AP75" s="119" t="str">
        <f t="shared" si="197"/>
        <v>Yes</v>
      </c>
      <c r="AQ75" s="119" t="str">
        <f t="shared" si="141"/>
        <v>--</v>
      </c>
      <c r="AR75" s="119" t="str">
        <f t="shared" si="142"/>
        <v>--</v>
      </c>
      <c r="AS75" s="119">
        <f t="shared" si="143"/>
        <v>5.0000000000000001E-3</v>
      </c>
      <c r="AT75" s="119" t="str">
        <f t="shared" si="144"/>
        <v>--</v>
      </c>
      <c r="AU75" s="119">
        <f t="shared" si="145"/>
        <v>1</v>
      </c>
      <c r="AV75" s="119" t="str">
        <f t="shared" si="146"/>
        <v>--</v>
      </c>
      <c r="AW75" s="555" t="str">
        <f t="shared" si="147"/>
        <v>--</v>
      </c>
      <c r="AX75" s="124">
        <f t="shared" si="148"/>
        <v>1.2288183144428234E-2</v>
      </c>
    </row>
    <row r="76" spans="1:50" ht="12.75" customHeight="1">
      <c r="A76" s="153" t="s">
        <v>217</v>
      </c>
      <c r="B76" s="185" t="s">
        <v>218</v>
      </c>
      <c r="C76" s="566">
        <f t="shared" si="198"/>
        <v>5</v>
      </c>
      <c r="D76" s="586" t="str">
        <f t="shared" si="199"/>
        <v>MCL (Primary)</v>
      </c>
      <c r="E76" s="182">
        <f t="shared" si="118"/>
        <v>1.7365106951938476</v>
      </c>
      <c r="F76" s="609" t="str">
        <f t="shared" si="119"/>
        <v>Tapwater</v>
      </c>
      <c r="G76" s="182">
        <f t="shared" si="120"/>
        <v>102.22301814616738</v>
      </c>
      <c r="H76" s="183" t="str">
        <f t="shared" si="121"/>
        <v>Tapwater</v>
      </c>
      <c r="I76" s="188">
        <f t="shared" si="122"/>
        <v>12.525737817433082</v>
      </c>
      <c r="J76" s="157">
        <f t="shared" si="123"/>
        <v>2.0277777777777777</v>
      </c>
      <c r="K76" s="190" t="str">
        <f t="shared" si="124"/>
        <v>--</v>
      </c>
      <c r="L76" s="157">
        <f t="shared" si="125"/>
        <v>347.08281937194153</v>
      </c>
      <c r="M76" s="192" t="str">
        <f t="shared" si="126"/>
        <v>--</v>
      </c>
      <c r="N76" s="190">
        <f t="shared" si="127"/>
        <v>347.08281937194153</v>
      </c>
      <c r="O76" s="198">
        <f t="shared" si="128"/>
        <v>1.7365106951938476</v>
      </c>
      <c r="P76" s="162">
        <f t="shared" si="129"/>
        <v>120.32967032967034</v>
      </c>
      <c r="Q76" s="157">
        <f t="shared" si="130"/>
        <v>834.28571428571433</v>
      </c>
      <c r="R76" s="157" t="str">
        <f t="shared" si="131"/>
        <v>--</v>
      </c>
      <c r="S76" s="157">
        <f t="shared" si="183"/>
        <v>3657.6430497035899</v>
      </c>
      <c r="T76" s="157" t="str">
        <f t="shared" si="132"/>
        <v>--</v>
      </c>
      <c r="U76" s="157">
        <f t="shared" si="133"/>
        <v>3657.6430497035899</v>
      </c>
      <c r="V76" s="200">
        <f t="shared" si="134"/>
        <v>102.22301814616738</v>
      </c>
      <c r="W76" s="186">
        <f t="shared" si="135"/>
        <v>4</v>
      </c>
      <c r="X76" s="596" t="str">
        <f t="shared" si="136"/>
        <v>--</v>
      </c>
      <c r="Y76" s="187" t="str">
        <f t="shared" si="137"/>
        <v>OEHHA PHG</v>
      </c>
      <c r="Z76" s="567">
        <f t="shared" si="138"/>
        <v>5</v>
      </c>
      <c r="AA76" s="568" t="str">
        <f t="shared" si="139"/>
        <v>MCL (Primary)</v>
      </c>
      <c r="AB76" s="122">
        <f t="shared" si="184"/>
        <v>5</v>
      </c>
      <c r="AC76" s="121" t="str">
        <f t="shared" si="185"/>
        <v>--</v>
      </c>
      <c r="AD76" s="121">
        <f t="shared" si="186"/>
        <v>4</v>
      </c>
      <c r="AE76" s="121" t="str">
        <f t="shared" si="187"/>
        <v>Cancer</v>
      </c>
      <c r="AF76" s="121" t="str">
        <f t="shared" si="188"/>
        <v>--</v>
      </c>
      <c r="AG76" s="121" t="str">
        <f t="shared" si="189"/>
        <v>--</v>
      </c>
      <c r="AH76" s="119" t="str">
        <f t="shared" si="190"/>
        <v>V</v>
      </c>
      <c r="AI76" s="119" t="str">
        <f t="shared" si="191"/>
        <v>O</v>
      </c>
      <c r="AJ76" s="120" t="str">
        <f t="shared" si="192"/>
        <v>Yes</v>
      </c>
      <c r="AK76" s="129">
        <f t="shared" si="140"/>
        <v>1</v>
      </c>
      <c r="AL76" s="119">
        <f t="shared" si="193"/>
        <v>1.254781613522E-2</v>
      </c>
      <c r="AM76" s="119">
        <f t="shared" si="194"/>
        <v>0.31439349353999002</v>
      </c>
      <c r="AN76" s="119">
        <f t="shared" si="195"/>
        <v>0.75454438449597006</v>
      </c>
      <c r="AO76" s="119">
        <f t="shared" si="196"/>
        <v>3.5400000000000002E-3</v>
      </c>
      <c r="AP76" s="119" t="str">
        <f t="shared" si="197"/>
        <v>Yes</v>
      </c>
      <c r="AQ76" s="119">
        <f t="shared" si="141"/>
        <v>2E-3</v>
      </c>
      <c r="AR76" s="119">
        <f t="shared" si="142"/>
        <v>9.9999999999999995E-7</v>
      </c>
      <c r="AS76" s="119">
        <f t="shared" si="143"/>
        <v>6.0000000000000001E-3</v>
      </c>
      <c r="AT76" s="119">
        <f t="shared" si="144"/>
        <v>400</v>
      </c>
      <c r="AU76" s="119">
        <f t="shared" si="145"/>
        <v>1</v>
      </c>
      <c r="AV76" s="119">
        <f t="shared" si="146"/>
        <v>4.893417348169996E-3</v>
      </c>
      <c r="AW76" s="555">
        <f t="shared" si="147"/>
        <v>1.5595180448343634E-3</v>
      </c>
      <c r="AX76" s="124">
        <f t="shared" si="148"/>
        <v>1.4745819773313882E-2</v>
      </c>
    </row>
    <row r="77" spans="1:50" ht="12.75" customHeight="1">
      <c r="A77" s="153" t="s">
        <v>219</v>
      </c>
      <c r="B77" s="185" t="s">
        <v>220</v>
      </c>
      <c r="C77" s="566" t="str">
        <f t="shared" si="198"/>
        <v>--</v>
      </c>
      <c r="D77" s="586" t="str">
        <f t="shared" si="199"/>
        <v>--</v>
      </c>
      <c r="E77" s="182" t="str">
        <f t="shared" si="118"/>
        <v>--</v>
      </c>
      <c r="F77" s="609" t="str">
        <f t="shared" si="119"/>
        <v>--</v>
      </c>
      <c r="G77" s="182">
        <f t="shared" si="120"/>
        <v>5565.4670122467714</v>
      </c>
      <c r="H77" s="183" t="str">
        <f t="shared" si="121"/>
        <v>Tapwater</v>
      </c>
      <c r="I77" s="188" t="str">
        <f t="shared" si="122"/>
        <v>--</v>
      </c>
      <c r="J77" s="157" t="str">
        <f t="shared" si="123"/>
        <v>--</v>
      </c>
      <c r="K77" s="190" t="str">
        <f t="shared" si="124"/>
        <v>--</v>
      </c>
      <c r="L77" s="157" t="str">
        <f t="shared" si="125"/>
        <v>--</v>
      </c>
      <c r="M77" s="192" t="str">
        <f t="shared" si="126"/>
        <v>--</v>
      </c>
      <c r="N77" s="190" t="str">
        <f t="shared" si="127"/>
        <v>--</v>
      </c>
      <c r="O77" s="198" t="str">
        <f t="shared" si="128"/>
        <v>--</v>
      </c>
      <c r="P77" s="162">
        <f t="shared" si="129"/>
        <v>12032.967032967033</v>
      </c>
      <c r="Q77" s="157">
        <f t="shared" si="130"/>
        <v>10428.571428571429</v>
      </c>
      <c r="R77" s="157" t="str">
        <f t="shared" si="131"/>
        <v>--</v>
      </c>
      <c r="S77" s="157">
        <f t="shared" si="183"/>
        <v>1461973.5326463678</v>
      </c>
      <c r="T77" s="157" t="str">
        <f t="shared" si="132"/>
        <v>--</v>
      </c>
      <c r="U77" s="157">
        <f t="shared" si="133"/>
        <v>1461973.5326463678</v>
      </c>
      <c r="V77" s="200">
        <f t="shared" si="134"/>
        <v>5565.4670122467714</v>
      </c>
      <c r="W77" s="186" t="str">
        <f t="shared" si="135"/>
        <v>--</v>
      </c>
      <c r="X77" s="596" t="str">
        <f t="shared" si="136"/>
        <v>--</v>
      </c>
      <c r="Y77" s="187" t="str">
        <f t="shared" si="137"/>
        <v>--</v>
      </c>
      <c r="Z77" s="567" t="str">
        <f t="shared" si="138"/>
        <v>--</v>
      </c>
      <c r="AA77" s="568" t="str">
        <f t="shared" si="139"/>
        <v>--</v>
      </c>
      <c r="AB77" s="122" t="str">
        <f t="shared" si="184"/>
        <v>--</v>
      </c>
      <c r="AC77" s="121" t="str">
        <f t="shared" si="185"/>
        <v>--</v>
      </c>
      <c r="AD77" s="121" t="str">
        <f t="shared" si="186"/>
        <v>--</v>
      </c>
      <c r="AE77" s="121" t="str">
        <f t="shared" si="187"/>
        <v>--</v>
      </c>
      <c r="AF77" s="121" t="str">
        <f t="shared" si="188"/>
        <v>--</v>
      </c>
      <c r="AG77" s="121" t="str">
        <f t="shared" si="189"/>
        <v>--</v>
      </c>
      <c r="AH77" s="119" t="str">
        <f t="shared" si="190"/>
        <v>V</v>
      </c>
      <c r="AI77" s="119" t="str">
        <f t="shared" si="191"/>
        <v>O</v>
      </c>
      <c r="AJ77" s="120" t="str">
        <f t="shared" si="192"/>
        <v>--</v>
      </c>
      <c r="AK77" s="129">
        <f t="shared" si="140"/>
        <v>1</v>
      </c>
      <c r="AL77" s="119">
        <f t="shared" si="193"/>
        <v>3.1419078917099999E-3</v>
      </c>
      <c r="AM77" s="119">
        <f t="shared" si="194"/>
        <v>0.26647320757247001</v>
      </c>
      <c r="AN77" s="119">
        <f t="shared" si="195"/>
        <v>0.63953569817392997</v>
      </c>
      <c r="AO77" s="119">
        <f t="shared" si="196"/>
        <v>9.6199999999999996E-4</v>
      </c>
      <c r="AP77" s="119" t="str">
        <f t="shared" si="197"/>
        <v>Yes</v>
      </c>
      <c r="AQ77" s="119" t="str">
        <f t="shared" si="141"/>
        <v>--</v>
      </c>
      <c r="AR77" s="119" t="str">
        <f t="shared" si="142"/>
        <v>--</v>
      </c>
      <c r="AS77" s="119">
        <f t="shared" si="143"/>
        <v>0.6</v>
      </c>
      <c r="AT77" s="119">
        <f t="shared" si="144"/>
        <v>5000</v>
      </c>
      <c r="AU77" s="119">
        <f t="shared" si="145"/>
        <v>1</v>
      </c>
      <c r="AV77" s="119" t="str">
        <f t="shared" si="146"/>
        <v>--</v>
      </c>
      <c r="AW77" s="555" t="str">
        <f t="shared" si="147"/>
        <v>--</v>
      </c>
      <c r="AX77" s="124">
        <f t="shared" si="148"/>
        <v>1.4745819773313882</v>
      </c>
    </row>
    <row r="78" spans="1:50" ht="12.75" customHeight="1">
      <c r="A78" s="153" t="s">
        <v>221</v>
      </c>
      <c r="B78" s="185" t="s">
        <v>222</v>
      </c>
      <c r="C78" s="566" t="str">
        <f t="shared" si="198"/>
        <v>--</v>
      </c>
      <c r="D78" s="586" t="str">
        <f t="shared" si="199"/>
        <v>--</v>
      </c>
      <c r="E78" s="182" t="str">
        <f t="shared" si="118"/>
        <v>--</v>
      </c>
      <c r="F78" s="609" t="str">
        <f t="shared" si="119"/>
        <v>--</v>
      </c>
      <c r="G78" s="182">
        <f t="shared" si="120"/>
        <v>120</v>
      </c>
      <c r="H78" s="183" t="str">
        <f t="shared" si="121"/>
        <v>DDW NL</v>
      </c>
      <c r="I78" s="188" t="str">
        <f t="shared" si="122"/>
        <v>--</v>
      </c>
      <c r="J78" s="157" t="str">
        <f t="shared" si="123"/>
        <v>--</v>
      </c>
      <c r="K78" s="190" t="str">
        <f t="shared" si="124"/>
        <v>--</v>
      </c>
      <c r="L78" s="157" t="str">
        <f t="shared" si="125"/>
        <v>--</v>
      </c>
      <c r="M78" s="192" t="str">
        <f t="shared" si="126"/>
        <v>--</v>
      </c>
      <c r="N78" s="190" t="str">
        <f t="shared" si="127"/>
        <v>--</v>
      </c>
      <c r="O78" s="198" t="str">
        <f t="shared" si="128"/>
        <v>--</v>
      </c>
      <c r="P78" s="162" t="str">
        <f t="shared" si="129"/>
        <v>--</v>
      </c>
      <c r="Q78" s="157">
        <f t="shared" si="130"/>
        <v>6257.1428571428569</v>
      </c>
      <c r="R78" s="157" t="str">
        <f t="shared" si="131"/>
        <v>--</v>
      </c>
      <c r="S78" s="157" t="str">
        <f t="shared" si="183"/>
        <v>--</v>
      </c>
      <c r="T78" s="157" t="str">
        <f t="shared" si="132"/>
        <v>--</v>
      </c>
      <c r="U78" s="157" t="str">
        <f t="shared" si="133"/>
        <v>--</v>
      </c>
      <c r="V78" s="200">
        <f t="shared" si="134"/>
        <v>6257.1428571428569</v>
      </c>
      <c r="W78" s="186" t="str">
        <f t="shared" si="135"/>
        <v>--</v>
      </c>
      <c r="X78" s="596">
        <f t="shared" si="136"/>
        <v>120</v>
      </c>
      <c r="Y78" s="187" t="str">
        <f t="shared" si="137"/>
        <v>DDW NL</v>
      </c>
      <c r="Z78" s="567" t="str">
        <f t="shared" si="138"/>
        <v>--</v>
      </c>
      <c r="AA78" s="568" t="str">
        <f t="shared" si="139"/>
        <v>--</v>
      </c>
      <c r="AB78" s="122" t="str">
        <f t="shared" si="184"/>
        <v>--</v>
      </c>
      <c r="AC78" s="121" t="str">
        <f t="shared" si="185"/>
        <v>--</v>
      </c>
      <c r="AD78" s="121" t="str">
        <f t="shared" si="186"/>
        <v>--</v>
      </c>
      <c r="AE78" s="121" t="str">
        <f t="shared" si="187"/>
        <v>--</v>
      </c>
      <c r="AF78" s="121">
        <f t="shared" si="188"/>
        <v>120</v>
      </c>
      <c r="AG78" s="121" t="str">
        <f t="shared" si="189"/>
        <v>Noncancer</v>
      </c>
      <c r="AH78" s="119" t="str">
        <f t="shared" si="190"/>
        <v>V</v>
      </c>
      <c r="AI78" s="119" t="str">
        <f t="shared" si="191"/>
        <v>O</v>
      </c>
      <c r="AJ78" s="120" t="str">
        <f t="shared" si="192"/>
        <v>--</v>
      </c>
      <c r="AK78" s="129">
        <f t="shared" si="140"/>
        <v>1</v>
      </c>
      <c r="AL78" s="119">
        <f t="shared" si="193"/>
        <v>1.227904223083E-2</v>
      </c>
      <c r="AM78" s="119">
        <f t="shared" si="194"/>
        <v>0.38259980964473</v>
      </c>
      <c r="AN78" s="119">
        <f t="shared" si="195"/>
        <v>0.91823954314735001</v>
      </c>
      <c r="AO78" s="119">
        <f t="shared" si="196"/>
        <v>3.1900000000000001E-3</v>
      </c>
      <c r="AP78" s="119" t="str">
        <f t="shared" si="197"/>
        <v>Yes</v>
      </c>
      <c r="AQ78" s="119" t="str">
        <f t="shared" si="141"/>
        <v>--</v>
      </c>
      <c r="AR78" s="119" t="str">
        <f t="shared" si="142"/>
        <v>--</v>
      </c>
      <c r="AS78" s="119" t="str">
        <f t="shared" si="143"/>
        <v>--</v>
      </c>
      <c r="AT78" s="119">
        <f t="shared" si="144"/>
        <v>3000</v>
      </c>
      <c r="AU78" s="119">
        <f t="shared" si="145"/>
        <v>1</v>
      </c>
      <c r="AV78" s="119" t="str">
        <f t="shared" si="146"/>
        <v>--</v>
      </c>
      <c r="AW78" s="555" t="str">
        <f t="shared" si="147"/>
        <v>--</v>
      </c>
      <c r="AX78" s="124" t="str">
        <f t="shared" si="148"/>
        <v>--</v>
      </c>
    </row>
    <row r="79" spans="1:50" ht="12.75" customHeight="1">
      <c r="A79" s="153" t="s">
        <v>223</v>
      </c>
      <c r="B79" s="185" t="s">
        <v>224</v>
      </c>
      <c r="C79" s="566" t="str">
        <f t="shared" si="198"/>
        <v>--</v>
      </c>
      <c r="D79" s="586" t="str">
        <f t="shared" si="199"/>
        <v>--</v>
      </c>
      <c r="E79" s="182" t="str">
        <f t="shared" si="118"/>
        <v>--</v>
      </c>
      <c r="F79" s="609" t="str">
        <f t="shared" si="119"/>
        <v>--</v>
      </c>
      <c r="G79" s="182">
        <f t="shared" si="120"/>
        <v>1.9966959878281414</v>
      </c>
      <c r="H79" s="183" t="str">
        <f t="shared" si="121"/>
        <v>Tapwater</v>
      </c>
      <c r="I79" s="188" t="str">
        <f t="shared" si="122"/>
        <v>--</v>
      </c>
      <c r="J79" s="157" t="str">
        <f t="shared" si="123"/>
        <v>--</v>
      </c>
      <c r="K79" s="190" t="str">
        <f t="shared" si="124"/>
        <v>--</v>
      </c>
      <c r="L79" s="157" t="str">
        <f t="shared" si="125"/>
        <v>--</v>
      </c>
      <c r="M79" s="192" t="str">
        <f t="shared" si="126"/>
        <v>--</v>
      </c>
      <c r="N79" s="190" t="str">
        <f t="shared" si="127"/>
        <v>--</v>
      </c>
      <c r="O79" s="198" t="str">
        <f t="shared" si="128"/>
        <v>--</v>
      </c>
      <c r="P79" s="162">
        <f t="shared" si="129"/>
        <v>2.0054945054945055</v>
      </c>
      <c r="Q79" s="157" t="str">
        <f t="shared" si="130"/>
        <v>--</v>
      </c>
      <c r="R79" s="157">
        <f t="shared" si="131"/>
        <v>455.11789423808278</v>
      </c>
      <c r="S79" s="157" t="str">
        <f t="shared" si="183"/>
        <v>--</v>
      </c>
      <c r="T79" s="157" t="str">
        <f t="shared" si="132"/>
        <v>--</v>
      </c>
      <c r="U79" s="157">
        <f t="shared" si="133"/>
        <v>455.11789423808278</v>
      </c>
      <c r="V79" s="200">
        <f t="shared" si="134"/>
        <v>1.9966959878281414</v>
      </c>
      <c r="W79" s="186" t="str">
        <f t="shared" si="135"/>
        <v>--</v>
      </c>
      <c r="X79" s="596" t="str">
        <f t="shared" si="136"/>
        <v>--</v>
      </c>
      <c r="Y79" s="187" t="str">
        <f t="shared" si="137"/>
        <v>--</v>
      </c>
      <c r="Z79" s="567" t="str">
        <f t="shared" si="138"/>
        <v>--</v>
      </c>
      <c r="AA79" s="568" t="str">
        <f t="shared" si="139"/>
        <v>--</v>
      </c>
      <c r="AB79" s="122" t="str">
        <f t="shared" si="184"/>
        <v>--</v>
      </c>
      <c r="AC79" s="121" t="str">
        <f t="shared" si="185"/>
        <v>--</v>
      </c>
      <c r="AD79" s="121" t="str">
        <f t="shared" si="186"/>
        <v>--</v>
      </c>
      <c r="AE79" s="121" t="str">
        <f t="shared" si="187"/>
        <v>--</v>
      </c>
      <c r="AF79" s="121" t="str">
        <f t="shared" si="188"/>
        <v>--</v>
      </c>
      <c r="AG79" s="121" t="str">
        <f t="shared" si="189"/>
        <v>--</v>
      </c>
      <c r="AH79" s="119" t="str">
        <f t="shared" si="190"/>
        <v>NV</v>
      </c>
      <c r="AI79" s="119" t="str">
        <f t="shared" si="191"/>
        <v>I</v>
      </c>
      <c r="AJ79" s="120" t="str">
        <f t="shared" si="192"/>
        <v>--</v>
      </c>
      <c r="AK79" s="129">
        <f t="shared" si="140"/>
        <v>1</v>
      </c>
      <c r="AL79" s="119">
        <f t="shared" si="193"/>
        <v>5.6609400812500004E-3</v>
      </c>
      <c r="AM79" s="119">
        <f t="shared" si="194"/>
        <v>1.71787401155715</v>
      </c>
      <c r="AN79" s="119">
        <f t="shared" si="195"/>
        <v>4.1228976277371698</v>
      </c>
      <c r="AO79" s="119">
        <f t="shared" si="196"/>
        <v>1E-3</v>
      </c>
      <c r="AP79" s="119" t="str">
        <f t="shared" si="197"/>
        <v>Yes</v>
      </c>
      <c r="AQ79" s="119" t="str">
        <f t="shared" si="141"/>
        <v>--</v>
      </c>
      <c r="AR79" s="119" t="str">
        <f t="shared" si="142"/>
        <v>--</v>
      </c>
      <c r="AS79" s="119">
        <f t="shared" si="143"/>
        <v>1E-4</v>
      </c>
      <c r="AT79" s="119" t="str">
        <f t="shared" si="144"/>
        <v>--</v>
      </c>
      <c r="AU79" s="119">
        <f t="shared" si="145"/>
        <v>1</v>
      </c>
      <c r="AV79" s="119" t="str">
        <f t="shared" si="146"/>
        <v>--</v>
      </c>
      <c r="AW79" s="555" t="str">
        <f t="shared" si="147"/>
        <v>--</v>
      </c>
      <c r="AX79" s="124">
        <f t="shared" si="148"/>
        <v>2.457636628885647E-4</v>
      </c>
    </row>
    <row r="80" spans="1:50" ht="12.75" customHeight="1">
      <c r="A80" s="153" t="s">
        <v>225</v>
      </c>
      <c r="B80" s="185" t="s">
        <v>226</v>
      </c>
      <c r="C80" s="566" t="str">
        <f t="shared" si="198"/>
        <v>--</v>
      </c>
      <c r="D80" s="586" t="str">
        <f t="shared" si="199"/>
        <v>--</v>
      </c>
      <c r="E80" s="182" t="str">
        <f t="shared" si="118"/>
        <v>--</v>
      </c>
      <c r="F80" s="609" t="str">
        <f t="shared" si="119"/>
        <v>--</v>
      </c>
      <c r="G80" s="182">
        <f t="shared" si="120"/>
        <v>35.928229020099174</v>
      </c>
      <c r="H80" s="183" t="str">
        <f t="shared" si="121"/>
        <v>Tapwater</v>
      </c>
      <c r="I80" s="188" t="str">
        <f t="shared" si="122"/>
        <v>--</v>
      </c>
      <c r="J80" s="157" t="str">
        <f t="shared" si="123"/>
        <v>--</v>
      </c>
      <c r="K80" s="190" t="str">
        <f t="shared" si="124"/>
        <v>--</v>
      </c>
      <c r="L80" s="157" t="str">
        <f t="shared" si="125"/>
        <v>--</v>
      </c>
      <c r="M80" s="192" t="str">
        <f t="shared" si="126"/>
        <v>--</v>
      </c>
      <c r="N80" s="190" t="str">
        <f t="shared" si="127"/>
        <v>--</v>
      </c>
      <c r="O80" s="198" t="str">
        <f t="shared" si="128"/>
        <v>--</v>
      </c>
      <c r="P80" s="162">
        <f t="shared" si="129"/>
        <v>80.219780219780219</v>
      </c>
      <c r="Q80" s="157" t="str">
        <f t="shared" si="130"/>
        <v>--</v>
      </c>
      <c r="R80" s="157" t="str">
        <f t="shared" si="131"/>
        <v>--</v>
      </c>
      <c r="S80" s="157">
        <f t="shared" si="183"/>
        <v>65.072334511035152</v>
      </c>
      <c r="T80" s="157" t="str">
        <f t="shared" si="132"/>
        <v>--</v>
      </c>
      <c r="U80" s="157">
        <f t="shared" si="133"/>
        <v>65.072334511035152</v>
      </c>
      <c r="V80" s="200">
        <f t="shared" si="134"/>
        <v>35.928229020099174</v>
      </c>
      <c r="W80" s="186" t="str">
        <f t="shared" si="135"/>
        <v>--</v>
      </c>
      <c r="X80" s="596" t="str">
        <f t="shared" si="136"/>
        <v>--</v>
      </c>
      <c r="Y80" s="187" t="str">
        <f t="shared" si="137"/>
        <v>--</v>
      </c>
      <c r="Z80" s="567" t="str">
        <f t="shared" si="138"/>
        <v>--</v>
      </c>
      <c r="AA80" s="568" t="str">
        <f t="shared" si="139"/>
        <v>--</v>
      </c>
      <c r="AB80" s="122" t="str">
        <f t="shared" si="184"/>
        <v>--</v>
      </c>
      <c r="AC80" s="121" t="str">
        <f t="shared" si="185"/>
        <v>--</v>
      </c>
      <c r="AD80" s="121" t="str">
        <f t="shared" si="186"/>
        <v>--</v>
      </c>
      <c r="AE80" s="121" t="str">
        <f t="shared" si="187"/>
        <v>--</v>
      </c>
      <c r="AF80" s="121" t="str">
        <f t="shared" si="188"/>
        <v>--</v>
      </c>
      <c r="AG80" s="121" t="str">
        <f t="shared" si="189"/>
        <v>--</v>
      </c>
      <c r="AH80" s="119" t="str">
        <f t="shared" si="190"/>
        <v>V</v>
      </c>
      <c r="AI80" s="119" t="str">
        <f t="shared" si="191"/>
        <v>O</v>
      </c>
      <c r="AJ80" s="120" t="str">
        <f t="shared" si="192"/>
        <v>--</v>
      </c>
      <c r="AK80" s="129">
        <f t="shared" si="140"/>
        <v>1</v>
      </c>
      <c r="AL80" s="119">
        <f t="shared" si="193"/>
        <v>0.42057725862600998</v>
      </c>
      <c r="AM80" s="119">
        <f t="shared" si="194"/>
        <v>0.65791342676832998</v>
      </c>
      <c r="AN80" s="119">
        <f t="shared" si="195"/>
        <v>1.57899222424399</v>
      </c>
      <c r="AO80" s="119">
        <f t="shared" si="196"/>
        <v>9.1700000000000004E-2</v>
      </c>
      <c r="AP80" s="119" t="str">
        <f t="shared" si="197"/>
        <v>Yes</v>
      </c>
      <c r="AQ80" s="119" t="str">
        <f t="shared" si="141"/>
        <v>--</v>
      </c>
      <c r="AR80" s="119" t="str">
        <f t="shared" si="142"/>
        <v>--</v>
      </c>
      <c r="AS80" s="119">
        <f t="shared" si="143"/>
        <v>4.0000000000000001E-3</v>
      </c>
      <c r="AT80" s="119" t="str">
        <f t="shared" si="144"/>
        <v>--</v>
      </c>
      <c r="AU80" s="119">
        <f t="shared" si="145"/>
        <v>1</v>
      </c>
      <c r="AV80" s="119" t="str">
        <f t="shared" si="146"/>
        <v>--</v>
      </c>
      <c r="AW80" s="555" t="str">
        <f t="shared" si="147"/>
        <v>--</v>
      </c>
      <c r="AX80" s="124">
        <f t="shared" si="148"/>
        <v>9.8305465155425886E-3</v>
      </c>
    </row>
    <row r="81" spans="1:50" ht="12.75" customHeight="1">
      <c r="A81" s="153" t="s">
        <v>227</v>
      </c>
      <c r="B81" s="185" t="s">
        <v>228</v>
      </c>
      <c r="C81" s="566">
        <f t="shared" si="198"/>
        <v>5</v>
      </c>
      <c r="D81" s="586" t="str">
        <f t="shared" si="199"/>
        <v>MCL (Secondary)</v>
      </c>
      <c r="E81" s="182">
        <f t="shared" si="118"/>
        <v>13</v>
      </c>
      <c r="F81" s="609" t="str">
        <f t="shared" si="119"/>
        <v>OEHHA PHG</v>
      </c>
      <c r="G81" s="182">
        <f t="shared" si="120"/>
        <v>6257.1428571428569</v>
      </c>
      <c r="H81" s="183" t="str">
        <f t="shared" si="121"/>
        <v>Tapwater</v>
      </c>
      <c r="I81" s="188">
        <f t="shared" si="122"/>
        <v>43.282343175619587</v>
      </c>
      <c r="J81" s="157">
        <f t="shared" si="123"/>
        <v>21.597633136094675</v>
      </c>
      <c r="K81" s="190" t="str">
        <f t="shared" si="124"/>
        <v>--</v>
      </c>
      <c r="L81" s="157">
        <f t="shared" si="125"/>
        <v>1988.4875076123062</v>
      </c>
      <c r="M81" s="192" t="str">
        <f t="shared" si="126"/>
        <v>--</v>
      </c>
      <c r="N81" s="190">
        <f t="shared" si="127"/>
        <v>1988.4875076123062</v>
      </c>
      <c r="O81" s="198">
        <f t="shared" si="128"/>
        <v>14.304437928879793</v>
      </c>
      <c r="P81" s="162" t="str">
        <f t="shared" si="129"/>
        <v>--</v>
      </c>
      <c r="Q81" s="157">
        <f t="shared" si="130"/>
        <v>6257.1428571428569</v>
      </c>
      <c r="R81" s="157" t="str">
        <f t="shared" si="131"/>
        <v>--</v>
      </c>
      <c r="S81" s="157" t="str">
        <f t="shared" si="183"/>
        <v>--</v>
      </c>
      <c r="T81" s="157" t="str">
        <f t="shared" si="132"/>
        <v>--</v>
      </c>
      <c r="U81" s="157" t="str">
        <f t="shared" si="133"/>
        <v>--</v>
      </c>
      <c r="V81" s="200">
        <f t="shared" si="134"/>
        <v>6257.1428571428569</v>
      </c>
      <c r="W81" s="186">
        <f t="shared" si="135"/>
        <v>13</v>
      </c>
      <c r="X81" s="596" t="str">
        <f t="shared" si="136"/>
        <v>--</v>
      </c>
      <c r="Y81" s="187" t="str">
        <f t="shared" si="137"/>
        <v>OEHHA PHG</v>
      </c>
      <c r="Z81" s="567">
        <f t="shared" si="138"/>
        <v>5</v>
      </c>
      <c r="AA81" s="568" t="str">
        <f t="shared" si="139"/>
        <v>MCL (Secondary)</v>
      </c>
      <c r="AB81" s="122">
        <f t="shared" si="184"/>
        <v>13</v>
      </c>
      <c r="AC81" s="121">
        <f t="shared" si="185"/>
        <v>5</v>
      </c>
      <c r="AD81" s="121">
        <f t="shared" si="186"/>
        <v>13</v>
      </c>
      <c r="AE81" s="121" t="str">
        <f t="shared" si="187"/>
        <v>Cancer</v>
      </c>
      <c r="AF81" s="121" t="str">
        <f t="shared" si="188"/>
        <v>--</v>
      </c>
      <c r="AG81" s="121" t="str">
        <f t="shared" si="189"/>
        <v>--</v>
      </c>
      <c r="AH81" s="119" t="str">
        <f t="shared" si="190"/>
        <v>V</v>
      </c>
      <c r="AI81" s="119" t="str">
        <f t="shared" si="191"/>
        <v>O</v>
      </c>
      <c r="AJ81" s="120" t="str">
        <f t="shared" si="192"/>
        <v>--</v>
      </c>
      <c r="AK81" s="129">
        <f t="shared" si="140"/>
        <v>1</v>
      </c>
      <c r="AL81" s="119">
        <f t="shared" si="193"/>
        <v>7.6194343068800002E-3</v>
      </c>
      <c r="AM81" s="119">
        <f t="shared" si="194"/>
        <v>0.32771351306433</v>
      </c>
      <c r="AN81" s="119">
        <f t="shared" si="195"/>
        <v>0.78651243135438997</v>
      </c>
      <c r="AO81" s="119">
        <f t="shared" si="196"/>
        <v>2.1099999999999999E-3</v>
      </c>
      <c r="AP81" s="119" t="str">
        <f t="shared" si="197"/>
        <v>Yes</v>
      </c>
      <c r="AQ81" s="119">
        <f t="shared" si="141"/>
        <v>1.8E-3</v>
      </c>
      <c r="AR81" s="119">
        <f t="shared" si="142"/>
        <v>2.6E-7</v>
      </c>
      <c r="AS81" s="119" t="str">
        <f t="shared" si="143"/>
        <v>--</v>
      </c>
      <c r="AT81" s="119">
        <f t="shared" si="144"/>
        <v>3000</v>
      </c>
      <c r="AU81" s="119">
        <f t="shared" si="145"/>
        <v>1</v>
      </c>
      <c r="AV81" s="119">
        <f t="shared" si="146"/>
        <v>5.4371303868555512E-3</v>
      </c>
      <c r="AW81" s="555">
        <f t="shared" si="147"/>
        <v>1.7327978275937371E-3</v>
      </c>
      <c r="AX81" s="124" t="str">
        <f t="shared" si="148"/>
        <v>--</v>
      </c>
    </row>
    <row r="82" spans="1:50" ht="12.75" customHeight="1">
      <c r="A82" s="153" t="s">
        <v>229</v>
      </c>
      <c r="B82" s="185" t="s">
        <v>230</v>
      </c>
      <c r="C82" s="566" t="str">
        <f t="shared" si="198"/>
        <v>--</v>
      </c>
      <c r="D82" s="586" t="str">
        <f t="shared" si="199"/>
        <v>--</v>
      </c>
      <c r="E82" s="182" t="str">
        <f t="shared" si="118"/>
        <v>--</v>
      </c>
      <c r="F82" s="609" t="str">
        <f t="shared" si="119"/>
        <v>--</v>
      </c>
      <c r="G82" s="182">
        <f t="shared" si="120"/>
        <v>99.83479939140706</v>
      </c>
      <c r="H82" s="183" t="str">
        <f t="shared" si="121"/>
        <v>Tapwater</v>
      </c>
      <c r="I82" s="188" t="str">
        <f t="shared" si="122"/>
        <v>--</v>
      </c>
      <c r="J82" s="157" t="str">
        <f t="shared" si="123"/>
        <v>--</v>
      </c>
      <c r="K82" s="190" t="str">
        <f t="shared" si="124"/>
        <v>--</v>
      </c>
      <c r="L82" s="157" t="str">
        <f t="shared" si="125"/>
        <v>--</v>
      </c>
      <c r="M82" s="192" t="str">
        <f t="shared" si="126"/>
        <v>--</v>
      </c>
      <c r="N82" s="190" t="str">
        <f t="shared" si="127"/>
        <v>--</v>
      </c>
      <c r="O82" s="198" t="str">
        <f t="shared" si="128"/>
        <v>--</v>
      </c>
      <c r="P82" s="162">
        <f t="shared" si="129"/>
        <v>100.27472527472527</v>
      </c>
      <c r="Q82" s="157" t="str">
        <f t="shared" si="130"/>
        <v>--</v>
      </c>
      <c r="R82" s="157">
        <f t="shared" si="131"/>
        <v>22755.894711904137</v>
      </c>
      <c r="S82" s="157" t="str">
        <f t="shared" si="183"/>
        <v>--</v>
      </c>
      <c r="T82" s="157" t="str">
        <f t="shared" si="132"/>
        <v>--</v>
      </c>
      <c r="U82" s="157">
        <f t="shared" si="133"/>
        <v>22755.894711904137</v>
      </c>
      <c r="V82" s="200">
        <f t="shared" si="134"/>
        <v>99.83479939140706</v>
      </c>
      <c r="W82" s="186" t="str">
        <f t="shared" si="135"/>
        <v>--</v>
      </c>
      <c r="X82" s="596" t="str">
        <f t="shared" si="136"/>
        <v>--</v>
      </c>
      <c r="Y82" s="187" t="str">
        <f t="shared" si="137"/>
        <v>--</v>
      </c>
      <c r="Z82" s="567" t="str">
        <f t="shared" si="138"/>
        <v>--</v>
      </c>
      <c r="AA82" s="568" t="str">
        <f t="shared" si="139"/>
        <v>--</v>
      </c>
      <c r="AB82" s="122" t="str">
        <f t="shared" si="184"/>
        <v>--</v>
      </c>
      <c r="AC82" s="121" t="str">
        <f t="shared" si="185"/>
        <v>--</v>
      </c>
      <c r="AD82" s="121" t="str">
        <f t="shared" si="186"/>
        <v>--</v>
      </c>
      <c r="AE82" s="121" t="str">
        <f t="shared" si="187"/>
        <v>--</v>
      </c>
      <c r="AF82" s="121" t="str">
        <f t="shared" si="188"/>
        <v>--</v>
      </c>
      <c r="AG82" s="121" t="str">
        <f t="shared" si="189"/>
        <v>--</v>
      </c>
      <c r="AH82" s="119" t="str">
        <f t="shared" si="190"/>
        <v>NV</v>
      </c>
      <c r="AI82" s="119" t="str">
        <f t="shared" si="191"/>
        <v>I</v>
      </c>
      <c r="AJ82" s="120" t="str">
        <f t="shared" si="192"/>
        <v>--</v>
      </c>
      <c r="AK82" s="129">
        <f t="shared" si="140"/>
        <v>1</v>
      </c>
      <c r="AL82" s="119">
        <f t="shared" si="193"/>
        <v>3.7672679347599998E-3</v>
      </c>
      <c r="AM82" s="119">
        <f t="shared" si="194"/>
        <v>0.36233705455365001</v>
      </c>
      <c r="AN82" s="119">
        <f t="shared" si="195"/>
        <v>0.86960893092876002</v>
      </c>
      <c r="AO82" s="119">
        <f t="shared" si="196"/>
        <v>1E-3</v>
      </c>
      <c r="AP82" s="119" t="str">
        <f t="shared" si="197"/>
        <v>Yes</v>
      </c>
      <c r="AQ82" s="119" t="str">
        <f t="shared" si="141"/>
        <v>--</v>
      </c>
      <c r="AR82" s="119" t="str">
        <f t="shared" si="142"/>
        <v>--</v>
      </c>
      <c r="AS82" s="119">
        <f t="shared" si="143"/>
        <v>5.0000000000000001E-3</v>
      </c>
      <c r="AT82" s="119">
        <f t="shared" si="144"/>
        <v>2</v>
      </c>
      <c r="AU82" s="119">
        <f t="shared" si="145"/>
        <v>1</v>
      </c>
      <c r="AV82" s="119" t="str">
        <f t="shared" si="146"/>
        <v>--</v>
      </c>
      <c r="AW82" s="555" t="str">
        <f t="shared" si="147"/>
        <v>--</v>
      </c>
      <c r="AX82" s="124">
        <f t="shared" si="148"/>
        <v>1.2288183144428234E-2</v>
      </c>
    </row>
    <row r="83" spans="1:50" ht="12.75" customHeight="1">
      <c r="A83" s="153" t="s">
        <v>231</v>
      </c>
      <c r="B83" s="185" t="s">
        <v>232</v>
      </c>
      <c r="C83" s="566">
        <f t="shared" si="198"/>
        <v>100</v>
      </c>
      <c r="D83" s="586" t="str">
        <f t="shared" si="199"/>
        <v>MCL (Primary)</v>
      </c>
      <c r="E83" s="182">
        <f t="shared" si="118"/>
        <v>12</v>
      </c>
      <c r="F83" s="609" t="str">
        <f t="shared" si="119"/>
        <v>OEHHA PHG</v>
      </c>
      <c r="G83" s="182">
        <f t="shared" si="120"/>
        <v>215.84866831048549</v>
      </c>
      <c r="H83" s="183" t="str">
        <f t="shared" si="121"/>
        <v>Tapwater</v>
      </c>
      <c r="I83" s="188" t="str">
        <f t="shared" si="122"/>
        <v>--</v>
      </c>
      <c r="J83" s="157" t="str">
        <f t="shared" si="123"/>
        <v>--</v>
      </c>
      <c r="K83" s="190" t="str">
        <f t="shared" si="124"/>
        <v>--</v>
      </c>
      <c r="L83" s="157" t="str">
        <f t="shared" si="125"/>
        <v>--</v>
      </c>
      <c r="M83" s="192" t="str">
        <f t="shared" si="126"/>
        <v>--</v>
      </c>
      <c r="N83" s="190" t="str">
        <f t="shared" si="127"/>
        <v>--</v>
      </c>
      <c r="O83" s="198" t="str">
        <f t="shared" si="128"/>
        <v>--</v>
      </c>
      <c r="P83" s="162">
        <f t="shared" si="129"/>
        <v>220.60439560439556</v>
      </c>
      <c r="Q83" s="157" t="str">
        <f t="shared" si="130"/>
        <v>--</v>
      </c>
      <c r="R83" s="157">
        <f t="shared" si="131"/>
        <v>10012.593673237818</v>
      </c>
      <c r="S83" s="157" t="str">
        <f t="shared" si="183"/>
        <v>--</v>
      </c>
      <c r="T83" s="157" t="str">
        <f t="shared" si="132"/>
        <v>--</v>
      </c>
      <c r="U83" s="157">
        <f t="shared" si="133"/>
        <v>10012.593673237818</v>
      </c>
      <c r="V83" s="200">
        <f t="shared" si="134"/>
        <v>215.84866831048549</v>
      </c>
      <c r="W83" s="186">
        <f t="shared" si="135"/>
        <v>12</v>
      </c>
      <c r="X83" s="596" t="str">
        <f t="shared" si="136"/>
        <v>--</v>
      </c>
      <c r="Y83" s="187" t="str">
        <f t="shared" si="137"/>
        <v>OEHHA PHG</v>
      </c>
      <c r="Z83" s="567">
        <f t="shared" si="138"/>
        <v>100</v>
      </c>
      <c r="AA83" s="568" t="str">
        <f t="shared" si="139"/>
        <v>MCL (Primary)</v>
      </c>
      <c r="AB83" s="122">
        <f t="shared" si="184"/>
        <v>100</v>
      </c>
      <c r="AC83" s="121" t="str">
        <f t="shared" si="185"/>
        <v>--</v>
      </c>
      <c r="AD83" s="121">
        <f t="shared" si="186"/>
        <v>12</v>
      </c>
      <c r="AE83" s="121" t="str">
        <f t="shared" si="187"/>
        <v>Cancer</v>
      </c>
      <c r="AF83" s="121" t="str">
        <f t="shared" si="188"/>
        <v>--</v>
      </c>
      <c r="AG83" s="121" t="str">
        <f t="shared" si="189"/>
        <v>--</v>
      </c>
      <c r="AH83" s="119" t="str">
        <f t="shared" si="190"/>
        <v>NV</v>
      </c>
      <c r="AI83" s="119" t="str">
        <f t="shared" si="191"/>
        <v>I</v>
      </c>
      <c r="AJ83" s="120" t="str">
        <f>VLOOKUP($A83,Table_IP_2,MATCH("mut",heading_IP_2,0),FALSE)</f>
        <v>--</v>
      </c>
      <c r="AK83" s="129">
        <f t="shared" si="140"/>
        <v>1</v>
      </c>
      <c r="AL83" s="119">
        <f t="shared" si="193"/>
        <v>5.8940346936999996E-4</v>
      </c>
      <c r="AM83" s="119">
        <f t="shared" si="194"/>
        <v>0.22419439440901001</v>
      </c>
      <c r="AN83" s="119">
        <f t="shared" si="195"/>
        <v>0.53806654658162001</v>
      </c>
      <c r="AO83" s="119">
        <f t="shared" si="196"/>
        <v>2.0000000000000001E-4</v>
      </c>
      <c r="AP83" s="119" t="str">
        <f t="shared" si="197"/>
        <v>Yes</v>
      </c>
      <c r="AQ83" s="119" t="str">
        <f t="shared" si="141"/>
        <v>--</v>
      </c>
      <c r="AR83" s="119">
        <f t="shared" si="142"/>
        <v>2.5999999999999998E-4</v>
      </c>
      <c r="AS83" s="119">
        <f t="shared" si="143"/>
        <v>1.0999999999999999E-2</v>
      </c>
      <c r="AT83" s="119">
        <f t="shared" si="144"/>
        <v>1.4E-2</v>
      </c>
      <c r="AU83" s="119">
        <f t="shared" si="145"/>
        <v>0.04</v>
      </c>
      <c r="AV83" s="119" t="str">
        <f t="shared" si="146"/>
        <v>--</v>
      </c>
      <c r="AW83" s="555" t="str">
        <f t="shared" si="147"/>
        <v>--</v>
      </c>
      <c r="AX83" s="124">
        <f t="shared" si="148"/>
        <v>1.0813601167096844E-3</v>
      </c>
    </row>
    <row r="84" spans="1:50" ht="12.75" customHeight="1">
      <c r="A84" s="153" t="s">
        <v>233</v>
      </c>
      <c r="B84" s="185" t="s">
        <v>234</v>
      </c>
      <c r="C84" s="566" t="str">
        <f t="shared" si="198"/>
        <v>--</v>
      </c>
      <c r="D84" s="586" t="str">
        <f t="shared" si="199"/>
        <v>--</v>
      </c>
      <c r="E84" s="182" t="str">
        <f t="shared" si="118"/>
        <v>--</v>
      </c>
      <c r="F84" s="609" t="str">
        <f t="shared" si="119"/>
        <v>--</v>
      </c>
      <c r="G84" s="182">
        <f t="shared" si="120"/>
        <v>534.98176066436667</v>
      </c>
      <c r="H84" s="183" t="str">
        <f t="shared" si="121"/>
        <v>Tapwater</v>
      </c>
      <c r="I84" s="188" t="str">
        <f t="shared" si="122"/>
        <v>--</v>
      </c>
      <c r="J84" s="157" t="str">
        <f t="shared" si="123"/>
        <v>--</v>
      </c>
      <c r="K84" s="190" t="str">
        <f t="shared" si="124"/>
        <v>--</v>
      </c>
      <c r="L84" s="157" t="str">
        <f t="shared" si="125"/>
        <v>--</v>
      </c>
      <c r="M84" s="192" t="str">
        <f t="shared" si="126"/>
        <v>--</v>
      </c>
      <c r="N84" s="190" t="str">
        <f t="shared" si="127"/>
        <v>--</v>
      </c>
      <c r="O84" s="198" t="str">
        <f t="shared" si="128"/>
        <v>--</v>
      </c>
      <c r="P84" s="162">
        <f t="shared" si="129"/>
        <v>1203.2967032967033</v>
      </c>
      <c r="Q84" s="157" t="str">
        <f t="shared" si="130"/>
        <v>--</v>
      </c>
      <c r="R84" s="157" t="str">
        <f t="shared" si="131"/>
        <v>--</v>
      </c>
      <c r="S84" s="157">
        <f t="shared" si="183"/>
        <v>963.23117719880622</v>
      </c>
      <c r="T84" s="157" t="str">
        <f>IF(AP84="No", "--", IF(AX84="--","--",IF(AND(AI84="O", ETwc &gt; AN84), ((AX84*1000)/(AK84*AO84*(ETwc/(1+AL84)+(2*AM84*(1+(3*AL84)+(3*(AL84^2)))/((1+AL84)^2))))), "--")))</f>
        <v>--</v>
      </c>
      <c r="U84" s="157">
        <f t="shared" si="133"/>
        <v>963.23117719880622</v>
      </c>
      <c r="V84" s="200">
        <f t="shared" si="134"/>
        <v>534.98176066436667</v>
      </c>
      <c r="W84" s="186" t="str">
        <f t="shared" si="135"/>
        <v>--</v>
      </c>
      <c r="X84" s="596" t="str">
        <f t="shared" si="136"/>
        <v>--</v>
      </c>
      <c r="Y84" s="187" t="str">
        <f t="shared" si="137"/>
        <v>--</v>
      </c>
      <c r="Z84" s="567" t="str">
        <f t="shared" si="138"/>
        <v>--</v>
      </c>
      <c r="AA84" s="568" t="str">
        <f t="shared" si="139"/>
        <v>--</v>
      </c>
      <c r="AB84" s="122" t="str">
        <f>IF(VLOOKUP($A84, Table_IP_4, MATCH("mcl", heading_IP_4, 0), FALSE)=0, "-", VLOOKUP($A84, Table_IP_4, MATCH("mcl", heading_IP_4, 0), FALSE))</f>
        <v>--</v>
      </c>
      <c r="AC84" s="121" t="str">
        <f t="shared" si="185"/>
        <v>--</v>
      </c>
      <c r="AD84" s="121" t="str">
        <f t="shared" si="186"/>
        <v>--</v>
      </c>
      <c r="AE84" s="121" t="str">
        <f t="shared" si="187"/>
        <v>--</v>
      </c>
      <c r="AF84" s="121" t="str">
        <f t="shared" si="188"/>
        <v>--</v>
      </c>
      <c r="AG84" s="121" t="str">
        <f t="shared" si="189"/>
        <v>--</v>
      </c>
      <c r="AH84" s="119" t="str">
        <f t="shared" si="190"/>
        <v>V</v>
      </c>
      <c r="AI84" s="119" t="str">
        <f t="shared" si="191"/>
        <v>O</v>
      </c>
      <c r="AJ84" s="120" t="str">
        <f>VLOOKUP($A84,Table_IP_2,MATCH("mut",heading_IP_2,0),FALSE)</f>
        <v>--</v>
      </c>
      <c r="AK84" s="129">
        <f t="shared" si="140"/>
        <v>1</v>
      </c>
      <c r="AL84" s="119">
        <f t="shared" si="193"/>
        <v>0.41075359376748</v>
      </c>
      <c r="AM84" s="119">
        <f t="shared" si="194"/>
        <v>0.76811235300464997</v>
      </c>
      <c r="AN84" s="119">
        <f t="shared" si="195"/>
        <v>1.84346964721115</v>
      </c>
      <c r="AO84" s="119">
        <f t="shared" si="196"/>
        <v>8.5999999999999993E-2</v>
      </c>
      <c r="AP84" s="119" t="str">
        <f t="shared" si="197"/>
        <v>Yes</v>
      </c>
      <c r="AQ84" s="119" t="str">
        <f t="shared" si="141"/>
        <v>--</v>
      </c>
      <c r="AR84" s="119" t="str">
        <f t="shared" si="142"/>
        <v>--</v>
      </c>
      <c r="AS84" s="119">
        <f t="shared" si="143"/>
        <v>0.06</v>
      </c>
      <c r="AT84" s="119" t="str">
        <f t="shared" si="144"/>
        <v>--</v>
      </c>
      <c r="AU84" s="119">
        <f t="shared" si="145"/>
        <v>1</v>
      </c>
      <c r="AV84" s="119" t="str">
        <f t="shared" si="146"/>
        <v>--</v>
      </c>
      <c r="AW84" s="555" t="str">
        <f t="shared" si="147"/>
        <v>--</v>
      </c>
      <c r="AX84" s="124">
        <f t="shared" si="148"/>
        <v>0.14745819773313881</v>
      </c>
    </row>
    <row r="85" spans="1:50" ht="12.75" customHeight="1">
      <c r="A85" s="153" t="s">
        <v>235</v>
      </c>
      <c r="B85" s="185" t="s">
        <v>236</v>
      </c>
      <c r="C85" s="566" t="str">
        <f t="shared" si="198"/>
        <v>--</v>
      </c>
      <c r="D85" s="586" t="str">
        <f t="shared" si="199"/>
        <v>--</v>
      </c>
      <c r="E85" s="182" t="str">
        <f t="shared" si="118"/>
        <v>--</v>
      </c>
      <c r="F85" s="609" t="str">
        <f t="shared" si="119"/>
        <v>--</v>
      </c>
      <c r="G85" s="182">
        <f t="shared" si="120"/>
        <v>1765.228896017758</v>
      </c>
      <c r="H85" s="183" t="str">
        <f t="shared" si="121"/>
        <v>Tapwater</v>
      </c>
      <c r="I85" s="188" t="str">
        <f t="shared" si="122"/>
        <v>--</v>
      </c>
      <c r="J85" s="157" t="str">
        <f t="shared" si="123"/>
        <v>--</v>
      </c>
      <c r="K85" s="190" t="str">
        <f t="shared" si="124"/>
        <v>--</v>
      </c>
      <c r="L85" s="157" t="str">
        <f t="shared" si="125"/>
        <v>--</v>
      </c>
      <c r="M85" s="192" t="str">
        <f t="shared" si="126"/>
        <v>--</v>
      </c>
      <c r="N85" s="190" t="str">
        <f t="shared" si="127"/>
        <v>--</v>
      </c>
      <c r="O85" s="198" t="str">
        <f t="shared" si="128"/>
        <v>--</v>
      </c>
      <c r="P85" s="162">
        <f t="shared" si="129"/>
        <v>6016.4835164835167</v>
      </c>
      <c r="Q85" s="157" t="str">
        <f t="shared" si="130"/>
        <v>--</v>
      </c>
      <c r="R85" s="157" t="str">
        <f t="shared" si="131"/>
        <v>--</v>
      </c>
      <c r="S85" s="157">
        <f t="shared" si="183"/>
        <v>2498.1967686865296</v>
      </c>
      <c r="T85" s="157" t="str">
        <f t="shared" si="132"/>
        <v>--</v>
      </c>
      <c r="U85" s="157">
        <f t="shared" si="133"/>
        <v>2498.1967686865296</v>
      </c>
      <c r="V85" s="200">
        <f t="shared" si="134"/>
        <v>1765.228896017758</v>
      </c>
      <c r="W85" s="186" t="str">
        <f t="shared" si="135"/>
        <v>--</v>
      </c>
      <c r="X85" s="596" t="str">
        <f t="shared" si="136"/>
        <v>--</v>
      </c>
      <c r="Y85" s="187" t="str">
        <f t="shared" si="137"/>
        <v>--</v>
      </c>
      <c r="Z85" s="567" t="str">
        <f t="shared" si="138"/>
        <v>--</v>
      </c>
      <c r="AA85" s="568" t="str">
        <f t="shared" si="139"/>
        <v>--</v>
      </c>
      <c r="AB85" s="122" t="str">
        <f t="shared" si="184"/>
        <v>--</v>
      </c>
      <c r="AC85" s="121" t="str">
        <f t="shared" si="185"/>
        <v>--</v>
      </c>
      <c r="AD85" s="121" t="str">
        <f t="shared" si="186"/>
        <v>--</v>
      </c>
      <c r="AE85" s="121" t="str">
        <f t="shared" si="187"/>
        <v>--</v>
      </c>
      <c r="AF85" s="121" t="str">
        <f t="shared" si="188"/>
        <v>--</v>
      </c>
      <c r="AG85" s="121" t="str">
        <f t="shared" si="189"/>
        <v>--</v>
      </c>
      <c r="AH85" s="119" t="str">
        <f t="shared" si="190"/>
        <v>V</v>
      </c>
      <c r="AI85" s="119" t="str">
        <f t="shared" si="191"/>
        <v>O</v>
      </c>
      <c r="AJ85" s="120" t="str">
        <f t="shared" si="192"/>
        <v>--</v>
      </c>
      <c r="AK85" s="129">
        <f t="shared" si="140"/>
        <v>1</v>
      </c>
      <c r="AL85" s="119">
        <f t="shared" si="193"/>
        <v>0.72915118033710002</v>
      </c>
      <c r="AM85" s="119">
        <f t="shared" si="194"/>
        <v>1.0471110667780701</v>
      </c>
      <c r="AN85" s="119">
        <f t="shared" si="195"/>
        <v>4.0502150728380801</v>
      </c>
      <c r="AO85" s="119">
        <f t="shared" si="196"/>
        <v>0.14199999999999999</v>
      </c>
      <c r="AP85" s="119" t="str">
        <f t="shared" si="197"/>
        <v>Yes</v>
      </c>
      <c r="AQ85" s="119" t="str">
        <f t="shared" si="141"/>
        <v>--</v>
      </c>
      <c r="AR85" s="119" t="str">
        <f t="shared" si="142"/>
        <v>--</v>
      </c>
      <c r="AS85" s="119">
        <f t="shared" si="143"/>
        <v>0.3</v>
      </c>
      <c r="AT85" s="119" t="str">
        <f t="shared" si="144"/>
        <v>--</v>
      </c>
      <c r="AU85" s="119">
        <f t="shared" si="145"/>
        <v>1</v>
      </c>
      <c r="AV85" s="119" t="str">
        <f t="shared" si="146"/>
        <v>--</v>
      </c>
      <c r="AW85" s="555" t="str">
        <f t="shared" si="147"/>
        <v>--</v>
      </c>
      <c r="AX85" s="124">
        <f t="shared" si="148"/>
        <v>0.73729098866569409</v>
      </c>
    </row>
    <row r="86" spans="1:50" ht="12.75" customHeight="1">
      <c r="A86" s="153" t="s">
        <v>237</v>
      </c>
      <c r="B86" s="185" t="s">
        <v>238</v>
      </c>
      <c r="C86" s="566" t="str">
        <f t="shared" si="198"/>
        <v>--</v>
      </c>
      <c r="D86" s="586" t="str">
        <f t="shared" si="199"/>
        <v>--</v>
      </c>
      <c r="E86" s="182">
        <f t="shared" si="118"/>
        <v>1.7170814319988709E-2</v>
      </c>
      <c r="F86" s="609" t="str">
        <f t="shared" si="119"/>
        <v>Tapwater</v>
      </c>
      <c r="G86" s="182" t="str">
        <f t="shared" si="120"/>
        <v>--</v>
      </c>
      <c r="H86" s="183" t="str">
        <f t="shared" si="121"/>
        <v>--</v>
      </c>
      <c r="I86" s="188">
        <f t="shared" si="122"/>
        <v>0.2505147563486616</v>
      </c>
      <c r="J86" s="157">
        <f t="shared" si="123"/>
        <v>1.8434343434343432E-2</v>
      </c>
      <c r="K86" s="190" t="str">
        <f t="shared" si="124"/>
        <v>--</v>
      </c>
      <c r="L86" s="157" t="str">
        <f t="shared" si="125"/>
        <v>--</v>
      </c>
      <c r="M86" s="192" t="str">
        <f t="shared" si="126"/>
        <v>--</v>
      </c>
      <c r="N86" s="190" t="str">
        <f t="shared" si="127"/>
        <v>--</v>
      </c>
      <c r="O86" s="198">
        <f t="shared" si="128"/>
        <v>1.7170814319988709E-2</v>
      </c>
      <c r="P86" s="162" t="str">
        <f t="shared" si="129"/>
        <v>--</v>
      </c>
      <c r="Q86" s="157" t="str">
        <f t="shared" si="130"/>
        <v>--</v>
      </c>
      <c r="R86" s="157" t="str">
        <f t="shared" si="131"/>
        <v>--</v>
      </c>
      <c r="S86" s="157" t="str">
        <f t="shared" si="183"/>
        <v>--</v>
      </c>
      <c r="T86" s="157" t="str">
        <f t="shared" si="132"/>
        <v>--</v>
      </c>
      <c r="U86" s="157" t="str">
        <f t="shared" si="133"/>
        <v>--</v>
      </c>
      <c r="V86" s="200" t="str">
        <f t="shared" si="134"/>
        <v>--</v>
      </c>
      <c r="W86" s="186" t="str">
        <f t="shared" si="135"/>
        <v>--</v>
      </c>
      <c r="X86" s="596" t="str">
        <f t="shared" si="136"/>
        <v>--</v>
      </c>
      <c r="Y86" s="187" t="str">
        <f t="shared" si="137"/>
        <v>--</v>
      </c>
      <c r="Z86" s="567" t="str">
        <f t="shared" si="138"/>
        <v>--</v>
      </c>
      <c r="AA86" s="568" t="str">
        <f t="shared" si="139"/>
        <v>--</v>
      </c>
      <c r="AB86" s="122" t="str">
        <f t="shared" si="184"/>
        <v>--</v>
      </c>
      <c r="AC86" s="121" t="str">
        <f t="shared" si="185"/>
        <v>--</v>
      </c>
      <c r="AD86" s="121" t="str">
        <f t="shared" si="186"/>
        <v>--</v>
      </c>
      <c r="AE86" s="121" t="str">
        <f t="shared" si="187"/>
        <v>--</v>
      </c>
      <c r="AF86" s="121" t="str">
        <f t="shared" si="188"/>
        <v>--</v>
      </c>
      <c r="AG86" s="121" t="str">
        <f t="shared" si="189"/>
        <v>--</v>
      </c>
      <c r="AH86" s="119" t="str">
        <f t="shared" si="190"/>
        <v>V</v>
      </c>
      <c r="AI86" s="119" t="str">
        <f t="shared" si="191"/>
        <v>O</v>
      </c>
      <c r="AJ86" s="120" t="str">
        <f t="shared" si="192"/>
        <v>Yes</v>
      </c>
      <c r="AK86" s="129">
        <f t="shared" si="140"/>
        <v>1</v>
      </c>
      <c r="AL86" s="119">
        <f t="shared" si="193"/>
        <v>3.2078842222611401</v>
      </c>
      <c r="AM86" s="119">
        <f t="shared" si="194"/>
        <v>1.99677324839304</v>
      </c>
      <c r="AN86" s="119">
        <f t="shared" si="195"/>
        <v>8.4818237910935093</v>
      </c>
      <c r="AO86" s="119">
        <f t="shared" si="196"/>
        <v>0.55200000000000005</v>
      </c>
      <c r="AP86" s="119" t="str">
        <f t="shared" si="197"/>
        <v>No</v>
      </c>
      <c r="AQ86" s="119">
        <f t="shared" si="141"/>
        <v>0.1</v>
      </c>
      <c r="AR86" s="119">
        <f t="shared" si="142"/>
        <v>1.1E-4</v>
      </c>
      <c r="AS86" s="119" t="str">
        <f t="shared" si="143"/>
        <v>--</v>
      </c>
      <c r="AT86" s="119" t="str">
        <f t="shared" si="144"/>
        <v>--</v>
      </c>
      <c r="AU86" s="119">
        <f t="shared" si="145"/>
        <v>1</v>
      </c>
      <c r="AV86" s="119">
        <f t="shared" si="146"/>
        <v>9.7868346963399925E-5</v>
      </c>
      <c r="AW86" s="555">
        <f t="shared" si="147"/>
        <v>3.1190360896687268E-5</v>
      </c>
      <c r="AX86" s="124" t="str">
        <f t="shared" si="148"/>
        <v>--</v>
      </c>
    </row>
    <row r="87" spans="1:50" ht="12.75" customHeight="1">
      <c r="A87" s="153" t="s">
        <v>239</v>
      </c>
      <c r="B87" s="185" t="s">
        <v>240</v>
      </c>
      <c r="C87" s="566">
        <f t="shared" si="198"/>
        <v>0.2</v>
      </c>
      <c r="D87" s="586" t="str">
        <f t="shared" si="199"/>
        <v>MCL (Primary)</v>
      </c>
      <c r="E87" s="182">
        <f t="shared" si="118"/>
        <v>7.0000000000000001E-3</v>
      </c>
      <c r="F87" s="609" t="str">
        <f t="shared" si="119"/>
        <v>OEHHA PHG</v>
      </c>
      <c r="G87" s="182">
        <f t="shared" si="120"/>
        <v>6.0164835164835164</v>
      </c>
      <c r="H87" s="183" t="str">
        <f t="shared" si="121"/>
        <v>Tapwater</v>
      </c>
      <c r="I87" s="188">
        <f t="shared" si="122"/>
        <v>2.5051475634866163E-2</v>
      </c>
      <c r="J87" s="157" t="str">
        <f t="shared" si="123"/>
        <v>--</v>
      </c>
      <c r="K87" s="190" t="str">
        <f t="shared" si="124"/>
        <v>--</v>
      </c>
      <c r="L87" s="157" t="str">
        <f t="shared" si="125"/>
        <v>--</v>
      </c>
      <c r="M87" s="192" t="str">
        <f t="shared" si="126"/>
        <v>--</v>
      </c>
      <c r="N87" s="190" t="str">
        <f t="shared" si="127"/>
        <v>--</v>
      </c>
      <c r="O87" s="198">
        <f t="shared" si="128"/>
        <v>2.5051475634866163E-2</v>
      </c>
      <c r="P87" s="162">
        <f t="shared" si="129"/>
        <v>6.0164835164835164</v>
      </c>
      <c r="Q87" s="157" t="str">
        <f t="shared" si="130"/>
        <v>--</v>
      </c>
      <c r="R87" s="157" t="str">
        <f t="shared" si="131"/>
        <v>--</v>
      </c>
      <c r="S87" s="157" t="str">
        <f t="shared" si="183"/>
        <v>--</v>
      </c>
      <c r="T87" s="157" t="str">
        <f t="shared" si="132"/>
        <v>--</v>
      </c>
      <c r="U87" s="157" t="str">
        <f t="shared" si="133"/>
        <v>--</v>
      </c>
      <c r="V87" s="200">
        <f t="shared" si="134"/>
        <v>6.0164835164835164</v>
      </c>
      <c r="W87" s="186">
        <f t="shared" si="135"/>
        <v>7.0000000000000001E-3</v>
      </c>
      <c r="X87" s="596" t="str">
        <f t="shared" si="136"/>
        <v>--</v>
      </c>
      <c r="Y87" s="187" t="str">
        <f t="shared" si="137"/>
        <v>OEHHA PHG</v>
      </c>
      <c r="Z87" s="567">
        <f t="shared" si="138"/>
        <v>0.2</v>
      </c>
      <c r="AA87" s="568" t="str">
        <f t="shared" si="139"/>
        <v>MCL (Primary)</v>
      </c>
      <c r="AB87" s="122">
        <f t="shared" si="184"/>
        <v>0.2</v>
      </c>
      <c r="AC87" s="121" t="str">
        <f t="shared" si="185"/>
        <v>--</v>
      </c>
      <c r="AD87" s="121">
        <f t="shared" si="186"/>
        <v>7.0000000000000001E-3</v>
      </c>
      <c r="AE87" s="121" t="str">
        <f t="shared" si="187"/>
        <v>Cancer</v>
      </c>
      <c r="AF87" s="121" t="str">
        <f t="shared" si="188"/>
        <v>--</v>
      </c>
      <c r="AG87" s="121" t="str">
        <f t="shared" si="189"/>
        <v>--</v>
      </c>
      <c r="AH87" s="119" t="str">
        <f t="shared" si="190"/>
        <v>NV</v>
      </c>
      <c r="AI87" s="119" t="str">
        <f t="shared" si="191"/>
        <v>O</v>
      </c>
      <c r="AJ87" s="120" t="str">
        <f t="shared" si="192"/>
        <v>Yes</v>
      </c>
      <c r="AK87" s="129">
        <f t="shared" si="140"/>
        <v>1</v>
      </c>
      <c r="AL87" s="119">
        <f t="shared" si="193"/>
        <v>4.3560416128113797</v>
      </c>
      <c r="AM87" s="119">
        <f t="shared" si="194"/>
        <v>2.72170311040471</v>
      </c>
      <c r="AN87" s="119">
        <f t="shared" si="195"/>
        <v>11.8221045485476</v>
      </c>
      <c r="AO87" s="119">
        <f t="shared" si="196"/>
        <v>0.71299999999999997</v>
      </c>
      <c r="AP87" s="119" t="str">
        <f t="shared" si="197"/>
        <v>No</v>
      </c>
      <c r="AQ87" s="119">
        <f t="shared" si="141"/>
        <v>1</v>
      </c>
      <c r="AR87" s="119">
        <f t="shared" si="142"/>
        <v>1.1000000000000001E-3</v>
      </c>
      <c r="AS87" s="119">
        <f t="shared" si="143"/>
        <v>2.9999999999999997E-4</v>
      </c>
      <c r="AT87" s="119">
        <f t="shared" si="144"/>
        <v>2E-3</v>
      </c>
      <c r="AU87" s="119">
        <f t="shared" si="145"/>
        <v>1</v>
      </c>
      <c r="AV87" s="119">
        <f t="shared" si="146"/>
        <v>9.7868346963399928E-6</v>
      </c>
      <c r="AW87" s="555">
        <f t="shared" si="147"/>
        <v>3.1190360896687271E-6</v>
      </c>
      <c r="AX87" s="124">
        <f t="shared" si="148"/>
        <v>7.3729098866569406E-4</v>
      </c>
    </row>
    <row r="88" spans="1:50" ht="12.75" customHeight="1">
      <c r="A88" s="153" t="s">
        <v>241</v>
      </c>
      <c r="B88" s="185" t="s">
        <v>242</v>
      </c>
      <c r="C88" s="566" t="str">
        <f t="shared" si="198"/>
        <v>--</v>
      </c>
      <c r="D88" s="586" t="str">
        <f t="shared" si="199"/>
        <v>--</v>
      </c>
      <c r="E88" s="182">
        <f t="shared" si="118"/>
        <v>0.2505147563486616</v>
      </c>
      <c r="F88" s="609" t="str">
        <f t="shared" si="119"/>
        <v>Tapwater</v>
      </c>
      <c r="G88" s="182" t="str">
        <f t="shared" si="120"/>
        <v>--</v>
      </c>
      <c r="H88" s="183" t="str">
        <f t="shared" si="121"/>
        <v>--</v>
      </c>
      <c r="I88" s="188">
        <f t="shared" si="122"/>
        <v>0.2505147563486616</v>
      </c>
      <c r="J88" s="157" t="str">
        <f t="shared" si="123"/>
        <v>--</v>
      </c>
      <c r="K88" s="190" t="str">
        <f t="shared" si="124"/>
        <v>--</v>
      </c>
      <c r="L88" s="157" t="str">
        <f t="shared" si="125"/>
        <v>--</v>
      </c>
      <c r="M88" s="192" t="str">
        <f t="shared" si="126"/>
        <v>--</v>
      </c>
      <c r="N88" s="190" t="str">
        <f t="shared" si="127"/>
        <v>--</v>
      </c>
      <c r="O88" s="198">
        <f t="shared" si="128"/>
        <v>0.2505147563486616</v>
      </c>
      <c r="P88" s="162" t="str">
        <f t="shared" si="129"/>
        <v>--</v>
      </c>
      <c r="Q88" s="157" t="str">
        <f t="shared" si="130"/>
        <v>--</v>
      </c>
      <c r="R88" s="157" t="str">
        <f t="shared" si="131"/>
        <v>--</v>
      </c>
      <c r="S88" s="157" t="str">
        <f t="shared" si="183"/>
        <v>--</v>
      </c>
      <c r="T88" s="157" t="str">
        <f t="shared" si="132"/>
        <v>--</v>
      </c>
      <c r="U88" s="157" t="str">
        <f t="shared" si="133"/>
        <v>--</v>
      </c>
      <c r="V88" s="200" t="str">
        <f t="shared" si="134"/>
        <v>--</v>
      </c>
      <c r="W88" s="186" t="str">
        <f t="shared" si="135"/>
        <v>--</v>
      </c>
      <c r="X88" s="596" t="str">
        <f t="shared" si="136"/>
        <v>--</v>
      </c>
      <c r="Y88" s="187" t="str">
        <f t="shared" si="137"/>
        <v>--</v>
      </c>
      <c r="Z88" s="567" t="str">
        <f t="shared" si="138"/>
        <v>--</v>
      </c>
      <c r="AA88" s="568" t="str">
        <f t="shared" si="139"/>
        <v>--</v>
      </c>
      <c r="AB88" s="122" t="str">
        <f t="shared" si="184"/>
        <v>--</v>
      </c>
      <c r="AC88" s="121" t="str">
        <f t="shared" si="185"/>
        <v>--</v>
      </c>
      <c r="AD88" s="121" t="str">
        <f t="shared" si="186"/>
        <v>--</v>
      </c>
      <c r="AE88" s="121" t="str">
        <f t="shared" si="187"/>
        <v>--</v>
      </c>
      <c r="AF88" s="121" t="str">
        <f t="shared" si="188"/>
        <v>--</v>
      </c>
      <c r="AG88" s="121" t="str">
        <f t="shared" si="189"/>
        <v>--</v>
      </c>
      <c r="AH88" s="119" t="str">
        <f t="shared" si="190"/>
        <v>NV</v>
      </c>
      <c r="AI88" s="119" t="str">
        <f t="shared" si="191"/>
        <v>O</v>
      </c>
      <c r="AJ88" s="120" t="str">
        <f t="shared" si="192"/>
        <v>Yes</v>
      </c>
      <c r="AK88" s="129">
        <f t="shared" si="140"/>
        <v>1</v>
      </c>
      <c r="AL88" s="119">
        <f t="shared" si="193"/>
        <v>2.5476428506905302</v>
      </c>
      <c r="AM88" s="119">
        <f t="shared" si="194"/>
        <v>2.72170311040471</v>
      </c>
      <c r="AN88" s="119">
        <f t="shared" si="195"/>
        <v>11.342074091747</v>
      </c>
      <c r="AO88" s="119">
        <f t="shared" si="196"/>
        <v>0.41699999999999998</v>
      </c>
      <c r="AP88" s="119" t="str">
        <f t="shared" si="197"/>
        <v>No</v>
      </c>
      <c r="AQ88" s="119">
        <f t="shared" si="141"/>
        <v>0.1</v>
      </c>
      <c r="AR88" s="119">
        <f t="shared" si="142"/>
        <v>1.1E-4</v>
      </c>
      <c r="AS88" s="119" t="str">
        <f t="shared" si="143"/>
        <v>--</v>
      </c>
      <c r="AT88" s="119" t="str">
        <f t="shared" si="144"/>
        <v>--</v>
      </c>
      <c r="AU88" s="119">
        <f t="shared" si="145"/>
        <v>1</v>
      </c>
      <c r="AV88" s="119">
        <f t="shared" si="146"/>
        <v>9.7868346963399925E-5</v>
      </c>
      <c r="AW88" s="555">
        <f t="shared" si="147"/>
        <v>3.1190360896687268E-5</v>
      </c>
      <c r="AX88" s="124" t="str">
        <f t="shared" si="148"/>
        <v>--</v>
      </c>
    </row>
    <row r="89" spans="1:50" ht="12.75" customHeight="1">
      <c r="A89" s="153" t="s">
        <v>243</v>
      </c>
      <c r="B89" s="185" t="s">
        <v>244</v>
      </c>
      <c r="C89" s="566" t="str">
        <f t="shared" si="198"/>
        <v>--</v>
      </c>
      <c r="D89" s="586" t="str">
        <f t="shared" si="199"/>
        <v>--</v>
      </c>
      <c r="E89" s="182">
        <f t="shared" si="118"/>
        <v>2.5051475634866165</v>
      </c>
      <c r="F89" s="609" t="str">
        <f t="shared" si="119"/>
        <v>Tapwater</v>
      </c>
      <c r="G89" s="182" t="str">
        <f t="shared" si="120"/>
        <v>--</v>
      </c>
      <c r="H89" s="183" t="str">
        <f t="shared" si="121"/>
        <v>--</v>
      </c>
      <c r="I89" s="188">
        <f t="shared" si="122"/>
        <v>2.5051475634866165</v>
      </c>
      <c r="J89" s="157" t="str">
        <f t="shared" si="123"/>
        <v>--</v>
      </c>
      <c r="K89" s="190" t="str">
        <f t="shared" si="124"/>
        <v>--</v>
      </c>
      <c r="L89" s="157" t="str">
        <f t="shared" si="125"/>
        <v>--</v>
      </c>
      <c r="M89" s="192" t="str">
        <f t="shared" si="126"/>
        <v>--</v>
      </c>
      <c r="N89" s="190" t="str">
        <f t="shared" si="127"/>
        <v>--</v>
      </c>
      <c r="O89" s="198">
        <f t="shared" si="128"/>
        <v>2.5051475634866165</v>
      </c>
      <c r="P89" s="162" t="str">
        <f t="shared" si="129"/>
        <v>--</v>
      </c>
      <c r="Q89" s="157" t="str">
        <f t="shared" si="130"/>
        <v>--</v>
      </c>
      <c r="R89" s="157" t="str">
        <f t="shared" si="131"/>
        <v>--</v>
      </c>
      <c r="S89" s="157" t="str">
        <f t="shared" ref="S89:S123" si="200">IF(AP89="No", "--",IF(OR(AX89="--",AL89="--",AK89="--"),"--",IF(AND(AI89="O", ETwc &lt; AN89), (AX89*1000)/(2*AK89*AO89*SQRT((6*AM89*ETwc)/PI())), "--")))</f>
        <v>--</v>
      </c>
      <c r="T89" s="157" t="str">
        <f t="shared" si="132"/>
        <v>--</v>
      </c>
      <c r="U89" s="157" t="str">
        <f t="shared" si="133"/>
        <v>--</v>
      </c>
      <c r="V89" s="200" t="str">
        <f t="shared" si="134"/>
        <v>--</v>
      </c>
      <c r="W89" s="186" t="str">
        <f t="shared" si="135"/>
        <v>--</v>
      </c>
      <c r="X89" s="596" t="str">
        <f t="shared" si="136"/>
        <v>--</v>
      </c>
      <c r="Y89" s="187" t="str">
        <f t="shared" si="137"/>
        <v>--</v>
      </c>
      <c r="Z89" s="567" t="str">
        <f t="shared" si="138"/>
        <v>--</v>
      </c>
      <c r="AA89" s="568" t="str">
        <f t="shared" si="139"/>
        <v>--</v>
      </c>
      <c r="AB89" s="122" t="str">
        <f t="shared" si="184"/>
        <v>--</v>
      </c>
      <c r="AC89" s="121" t="str">
        <f t="shared" si="185"/>
        <v>--</v>
      </c>
      <c r="AD89" s="121" t="str">
        <f t="shared" si="186"/>
        <v>--</v>
      </c>
      <c r="AE89" s="121" t="str">
        <f t="shared" si="187"/>
        <v>--</v>
      </c>
      <c r="AF89" s="121" t="str">
        <f t="shared" si="188"/>
        <v>--</v>
      </c>
      <c r="AG89" s="121" t="str">
        <f t="shared" si="189"/>
        <v>--</v>
      </c>
      <c r="AH89" s="119" t="str">
        <f t="shared" si="190"/>
        <v>NV</v>
      </c>
      <c r="AI89" s="119" t="str">
        <f t="shared" si="191"/>
        <v>O</v>
      </c>
      <c r="AJ89" s="120" t="str">
        <f t="shared" si="192"/>
        <v>Yes</v>
      </c>
      <c r="AK89" s="129">
        <f t="shared" si="140"/>
        <v>0.9</v>
      </c>
      <c r="AL89" s="119">
        <f t="shared" si="193"/>
        <v>4.22163359670781</v>
      </c>
      <c r="AM89" s="119">
        <f t="shared" si="194"/>
        <v>2.72170311040471</v>
      </c>
      <c r="AN89" s="119">
        <f t="shared" si="195"/>
        <v>11.7971618300472</v>
      </c>
      <c r="AO89" s="119">
        <f t="shared" si="196"/>
        <v>0.69099999999999995</v>
      </c>
      <c r="AP89" s="119" t="str">
        <f t="shared" si="197"/>
        <v>No</v>
      </c>
      <c r="AQ89" s="119">
        <f t="shared" si="141"/>
        <v>0.01</v>
      </c>
      <c r="AR89" s="119">
        <f t="shared" si="142"/>
        <v>1.1E-4</v>
      </c>
      <c r="AS89" s="119" t="str">
        <f t="shared" si="143"/>
        <v>--</v>
      </c>
      <c r="AT89" s="119" t="str">
        <f t="shared" si="144"/>
        <v>--</v>
      </c>
      <c r="AU89" s="119">
        <f t="shared" si="145"/>
        <v>1</v>
      </c>
      <c r="AV89" s="119">
        <f t="shared" si="146"/>
        <v>9.7868346963399916E-4</v>
      </c>
      <c r="AW89" s="555">
        <f t="shared" si="147"/>
        <v>3.1190360896687268E-4</v>
      </c>
      <c r="AX89" s="124" t="str">
        <f t="shared" si="148"/>
        <v>--</v>
      </c>
    </row>
    <row r="90" spans="1:50" ht="12.75" customHeight="1">
      <c r="A90" s="153" t="s">
        <v>245</v>
      </c>
      <c r="B90" s="185" t="s">
        <v>246</v>
      </c>
      <c r="C90" s="566" t="str">
        <f t="shared" si="198"/>
        <v>--</v>
      </c>
      <c r="D90" s="586" t="str">
        <f t="shared" si="199"/>
        <v>--</v>
      </c>
      <c r="E90" s="182">
        <f t="shared" si="118"/>
        <v>25.051475634866165</v>
      </c>
      <c r="F90" s="609" t="str">
        <f t="shared" si="119"/>
        <v>Tapwater</v>
      </c>
      <c r="G90" s="182" t="str">
        <f t="shared" si="120"/>
        <v>--</v>
      </c>
      <c r="H90" s="183" t="str">
        <f t="shared" si="121"/>
        <v>--</v>
      </c>
      <c r="I90" s="188">
        <f t="shared" si="122"/>
        <v>25.051475634866165</v>
      </c>
      <c r="J90" s="157" t="str">
        <f t="shared" si="123"/>
        <v>--</v>
      </c>
      <c r="K90" s="190" t="str">
        <f t="shared" si="124"/>
        <v>--</v>
      </c>
      <c r="L90" s="157" t="str">
        <f t="shared" si="125"/>
        <v>--</v>
      </c>
      <c r="M90" s="192" t="str">
        <f t="shared" si="126"/>
        <v>--</v>
      </c>
      <c r="N90" s="190" t="str">
        <f t="shared" si="127"/>
        <v>--</v>
      </c>
      <c r="O90" s="198">
        <f t="shared" si="128"/>
        <v>25.051475634866165</v>
      </c>
      <c r="P90" s="162" t="str">
        <f t="shared" si="129"/>
        <v>--</v>
      </c>
      <c r="Q90" s="157" t="str">
        <f t="shared" si="130"/>
        <v>--</v>
      </c>
      <c r="R90" s="157" t="str">
        <f t="shared" si="131"/>
        <v>--</v>
      </c>
      <c r="S90" s="157" t="str">
        <f t="shared" si="200"/>
        <v>--</v>
      </c>
      <c r="T90" s="157" t="str">
        <f t="shared" si="132"/>
        <v>--</v>
      </c>
      <c r="U90" s="157" t="str">
        <f t="shared" si="133"/>
        <v>--</v>
      </c>
      <c r="V90" s="200" t="str">
        <f t="shared" si="134"/>
        <v>--</v>
      </c>
      <c r="W90" s="186" t="str">
        <f t="shared" si="135"/>
        <v>--</v>
      </c>
      <c r="X90" s="596" t="str">
        <f t="shared" si="136"/>
        <v>--</v>
      </c>
      <c r="Y90" s="187" t="str">
        <f t="shared" si="137"/>
        <v>--</v>
      </c>
      <c r="Z90" s="567" t="str">
        <f t="shared" si="138"/>
        <v>--</v>
      </c>
      <c r="AA90" s="568" t="str">
        <f t="shared" si="139"/>
        <v>--</v>
      </c>
      <c r="AB90" s="122" t="str">
        <f t="shared" si="184"/>
        <v>--</v>
      </c>
      <c r="AC90" s="121" t="str">
        <f t="shared" si="185"/>
        <v>--</v>
      </c>
      <c r="AD90" s="121" t="str">
        <f t="shared" si="186"/>
        <v>--</v>
      </c>
      <c r="AE90" s="121" t="str">
        <f t="shared" si="187"/>
        <v>--</v>
      </c>
      <c r="AF90" s="121" t="str">
        <f t="shared" si="188"/>
        <v>--</v>
      </c>
      <c r="AG90" s="121" t="str">
        <f t="shared" si="189"/>
        <v>--</v>
      </c>
      <c r="AH90" s="119" t="str">
        <f t="shared" si="190"/>
        <v>NV</v>
      </c>
      <c r="AI90" s="119" t="str">
        <f t="shared" si="191"/>
        <v>O</v>
      </c>
      <c r="AJ90" s="120" t="str">
        <f t="shared" si="192"/>
        <v>Yes</v>
      </c>
      <c r="AK90" s="129">
        <f t="shared" si="140"/>
        <v>1</v>
      </c>
      <c r="AL90" s="119">
        <f t="shared" si="193"/>
        <v>3.4635851385283298</v>
      </c>
      <c r="AM90" s="119">
        <f t="shared" si="194"/>
        <v>1.99677324839304</v>
      </c>
      <c r="AN90" s="119">
        <f t="shared" si="195"/>
        <v>8.5324002686394103</v>
      </c>
      <c r="AO90" s="119">
        <f t="shared" si="196"/>
        <v>0.59599999999999997</v>
      </c>
      <c r="AP90" s="119" t="str">
        <f t="shared" si="197"/>
        <v>No</v>
      </c>
      <c r="AQ90" s="119">
        <f t="shared" si="141"/>
        <v>1E-3</v>
      </c>
      <c r="AR90" s="119">
        <f t="shared" si="142"/>
        <v>1.1E-5</v>
      </c>
      <c r="AS90" s="119" t="str">
        <f t="shared" si="143"/>
        <v>--</v>
      </c>
      <c r="AT90" s="119" t="str">
        <f t="shared" si="144"/>
        <v>--</v>
      </c>
      <c r="AU90" s="119">
        <f t="shared" si="145"/>
        <v>1</v>
      </c>
      <c r="AV90" s="119">
        <f t="shared" si="146"/>
        <v>9.7868346963399921E-3</v>
      </c>
      <c r="AW90" s="555">
        <f t="shared" si="147"/>
        <v>3.1190360896687268E-3</v>
      </c>
      <c r="AX90" s="124" t="str">
        <f t="shared" si="148"/>
        <v>--</v>
      </c>
    </row>
    <row r="91" spans="1:50" ht="12.75" customHeight="1">
      <c r="A91" s="153" t="s">
        <v>247</v>
      </c>
      <c r="B91" s="185" t="s">
        <v>248</v>
      </c>
      <c r="C91" s="566" t="str">
        <f t="shared" si="198"/>
        <v>--</v>
      </c>
      <c r="D91" s="586" t="str">
        <f t="shared" si="199"/>
        <v>--</v>
      </c>
      <c r="E91" s="182">
        <f t="shared" si="118"/>
        <v>6.1101160085039437E-3</v>
      </c>
      <c r="F91" s="609" t="str">
        <f t="shared" si="119"/>
        <v>Tapwater</v>
      </c>
      <c r="G91" s="182" t="str">
        <f t="shared" si="120"/>
        <v>--</v>
      </c>
      <c r="H91" s="183" t="str">
        <f t="shared" si="121"/>
        <v>--</v>
      </c>
      <c r="I91" s="188">
        <f t="shared" si="122"/>
        <v>6.1101160085039437E-3</v>
      </c>
      <c r="J91" s="157" t="str">
        <f t="shared" si="123"/>
        <v>--</v>
      </c>
      <c r="K91" s="190" t="str">
        <f t="shared" si="124"/>
        <v>--</v>
      </c>
      <c r="L91" s="157" t="str">
        <f t="shared" si="125"/>
        <v>--</v>
      </c>
      <c r="M91" s="192" t="str">
        <f t="shared" si="126"/>
        <v>--</v>
      </c>
      <c r="N91" s="190" t="str">
        <f t="shared" si="127"/>
        <v>--</v>
      </c>
      <c r="O91" s="198">
        <f t="shared" si="128"/>
        <v>6.1101160085039437E-3</v>
      </c>
      <c r="P91" s="162" t="str">
        <f t="shared" si="129"/>
        <v>--</v>
      </c>
      <c r="Q91" s="157" t="str">
        <f t="shared" si="130"/>
        <v>--</v>
      </c>
      <c r="R91" s="157" t="str">
        <f t="shared" si="131"/>
        <v>--</v>
      </c>
      <c r="S91" s="157" t="str">
        <f t="shared" si="200"/>
        <v>--</v>
      </c>
      <c r="T91" s="157" t="str">
        <f t="shared" si="132"/>
        <v>--</v>
      </c>
      <c r="U91" s="157" t="str">
        <f t="shared" si="133"/>
        <v>--</v>
      </c>
      <c r="V91" s="200" t="str">
        <f t="shared" si="134"/>
        <v>--</v>
      </c>
      <c r="W91" s="186" t="str">
        <f t="shared" si="135"/>
        <v>--</v>
      </c>
      <c r="X91" s="596" t="str">
        <f t="shared" si="136"/>
        <v>--</v>
      </c>
      <c r="Y91" s="187" t="str">
        <f t="shared" si="137"/>
        <v>--</v>
      </c>
      <c r="Z91" s="567" t="str">
        <f t="shared" si="138"/>
        <v>--</v>
      </c>
      <c r="AA91" s="568" t="str">
        <f t="shared" si="139"/>
        <v>--</v>
      </c>
      <c r="AB91" s="122" t="str">
        <f t="shared" si="184"/>
        <v>--</v>
      </c>
      <c r="AC91" s="121" t="str">
        <f t="shared" si="185"/>
        <v>--</v>
      </c>
      <c r="AD91" s="121" t="str">
        <f t="shared" si="186"/>
        <v>--</v>
      </c>
      <c r="AE91" s="121" t="str">
        <f t="shared" si="187"/>
        <v>--</v>
      </c>
      <c r="AF91" s="121" t="str">
        <f t="shared" si="188"/>
        <v>--</v>
      </c>
      <c r="AG91" s="121" t="str">
        <f t="shared" si="189"/>
        <v>--</v>
      </c>
      <c r="AH91" s="119" t="str">
        <f t="shared" si="190"/>
        <v>NV</v>
      </c>
      <c r="AI91" s="119" t="str">
        <f t="shared" si="191"/>
        <v>O</v>
      </c>
      <c r="AJ91" s="120" t="str">
        <f t="shared" si="192"/>
        <v>Yes</v>
      </c>
      <c r="AK91" s="129">
        <f t="shared" si="140"/>
        <v>0.6</v>
      </c>
      <c r="AL91" s="119">
        <f t="shared" si="193"/>
        <v>6.1153732128582599</v>
      </c>
      <c r="AM91" s="119">
        <f t="shared" si="194"/>
        <v>3.8077177598421001</v>
      </c>
      <c r="AN91" s="119">
        <f t="shared" si="195"/>
        <v>16.878565185445101</v>
      </c>
      <c r="AO91" s="119">
        <f t="shared" si="196"/>
        <v>0.95299999999999996</v>
      </c>
      <c r="AP91" s="119" t="str">
        <f t="shared" si="197"/>
        <v>No</v>
      </c>
      <c r="AQ91" s="119">
        <f t="shared" si="141"/>
        <v>4.0999999999999996</v>
      </c>
      <c r="AR91" s="119">
        <f t="shared" si="142"/>
        <v>1.1999999999999999E-3</v>
      </c>
      <c r="AS91" s="119" t="str">
        <f t="shared" si="143"/>
        <v>--</v>
      </c>
      <c r="AT91" s="119" t="str">
        <f t="shared" si="144"/>
        <v>--</v>
      </c>
      <c r="AU91" s="119">
        <f t="shared" si="145"/>
        <v>1</v>
      </c>
      <c r="AV91" s="119">
        <f t="shared" si="146"/>
        <v>2.387032852765852E-6</v>
      </c>
      <c r="AW91" s="555">
        <f t="shared" si="147"/>
        <v>7.6074050967529931E-7</v>
      </c>
      <c r="AX91" s="124" t="str">
        <f t="shared" si="148"/>
        <v>--</v>
      </c>
    </row>
    <row r="92" spans="1:50" ht="12.75" customHeight="1">
      <c r="A92" s="153" t="s">
        <v>249</v>
      </c>
      <c r="B92" s="185" t="s">
        <v>250</v>
      </c>
      <c r="C92" s="566" t="str">
        <f t="shared" si="198"/>
        <v>--</v>
      </c>
      <c r="D92" s="586" t="str">
        <f t="shared" si="199"/>
        <v>--</v>
      </c>
      <c r="E92" s="182" t="str">
        <f t="shared" si="118"/>
        <v>--</v>
      </c>
      <c r="F92" s="609" t="str">
        <f t="shared" si="119"/>
        <v>--</v>
      </c>
      <c r="G92" s="182">
        <f t="shared" si="120"/>
        <v>802.19780219780216</v>
      </c>
      <c r="H92" s="183" t="str">
        <f t="shared" si="121"/>
        <v>Tapwater</v>
      </c>
      <c r="I92" s="188" t="str">
        <f t="shared" si="122"/>
        <v>--</v>
      </c>
      <c r="J92" s="157" t="str">
        <f t="shared" si="123"/>
        <v>--</v>
      </c>
      <c r="K92" s="190" t="str">
        <f t="shared" si="124"/>
        <v>--</v>
      </c>
      <c r="L92" s="157" t="str">
        <f t="shared" si="125"/>
        <v>--</v>
      </c>
      <c r="M92" s="192" t="str">
        <f t="shared" si="126"/>
        <v>--</v>
      </c>
      <c r="N92" s="190" t="str">
        <f t="shared" si="127"/>
        <v>--</v>
      </c>
      <c r="O92" s="198" t="str">
        <f t="shared" si="128"/>
        <v>--</v>
      </c>
      <c r="P92" s="162">
        <f t="shared" si="129"/>
        <v>802.19780219780216</v>
      </c>
      <c r="Q92" s="157" t="str">
        <f t="shared" si="130"/>
        <v>--</v>
      </c>
      <c r="R92" s="157" t="str">
        <f t="shared" si="131"/>
        <v>--</v>
      </c>
      <c r="S92" s="157" t="str">
        <f t="shared" si="200"/>
        <v>--</v>
      </c>
      <c r="T92" s="157" t="str">
        <f t="shared" si="132"/>
        <v>--</v>
      </c>
      <c r="U92" s="157" t="str">
        <f t="shared" si="133"/>
        <v>--</v>
      </c>
      <c r="V92" s="200">
        <f t="shared" si="134"/>
        <v>802.19780219780216</v>
      </c>
      <c r="W92" s="186" t="str">
        <f t="shared" si="135"/>
        <v>--</v>
      </c>
      <c r="X92" s="596" t="str">
        <f t="shared" si="136"/>
        <v>--</v>
      </c>
      <c r="Y92" s="187" t="str">
        <f t="shared" si="137"/>
        <v>--</v>
      </c>
      <c r="Z92" s="567" t="str">
        <f t="shared" si="138"/>
        <v>--</v>
      </c>
      <c r="AA92" s="568" t="str">
        <f t="shared" si="139"/>
        <v>--</v>
      </c>
      <c r="AB92" s="122" t="str">
        <f t="shared" si="184"/>
        <v>--</v>
      </c>
      <c r="AC92" s="121" t="str">
        <f t="shared" si="185"/>
        <v>--</v>
      </c>
      <c r="AD92" s="121" t="str">
        <f t="shared" si="186"/>
        <v>--</v>
      </c>
      <c r="AE92" s="121" t="str">
        <f t="shared" si="187"/>
        <v>--</v>
      </c>
      <c r="AF92" s="121" t="str">
        <f t="shared" si="188"/>
        <v>--</v>
      </c>
      <c r="AG92" s="121" t="str">
        <f t="shared" si="189"/>
        <v>--</v>
      </c>
      <c r="AH92" s="119" t="str">
        <f t="shared" si="190"/>
        <v>NV</v>
      </c>
      <c r="AI92" s="119" t="str">
        <f t="shared" si="191"/>
        <v>O</v>
      </c>
      <c r="AJ92" s="120" t="str">
        <f t="shared" si="192"/>
        <v>--</v>
      </c>
      <c r="AK92" s="129">
        <f t="shared" si="140"/>
        <v>1</v>
      </c>
      <c r="AL92" s="119">
        <f t="shared" si="193"/>
        <v>1.6847379934306901</v>
      </c>
      <c r="AM92" s="119">
        <f t="shared" si="194"/>
        <v>1.42726543921932</v>
      </c>
      <c r="AN92" s="119">
        <f t="shared" si="195"/>
        <v>5.7297979152854701</v>
      </c>
      <c r="AO92" s="119">
        <f t="shared" si="196"/>
        <v>0.308</v>
      </c>
      <c r="AP92" s="119" t="str">
        <f t="shared" si="197"/>
        <v>No</v>
      </c>
      <c r="AQ92" s="119" t="str">
        <f t="shared" si="141"/>
        <v>--</v>
      </c>
      <c r="AR92" s="119" t="str">
        <f t="shared" si="142"/>
        <v>--</v>
      </c>
      <c r="AS92" s="119">
        <f t="shared" si="143"/>
        <v>0.04</v>
      </c>
      <c r="AT92" s="119" t="str">
        <f t="shared" si="144"/>
        <v>--</v>
      </c>
      <c r="AU92" s="119">
        <f t="shared" si="145"/>
        <v>1</v>
      </c>
      <c r="AV92" s="119" t="str">
        <f t="shared" si="146"/>
        <v>--</v>
      </c>
      <c r="AW92" s="555" t="str">
        <f t="shared" si="147"/>
        <v>--</v>
      </c>
      <c r="AX92" s="124">
        <f t="shared" si="148"/>
        <v>9.8305465155425875E-2</v>
      </c>
    </row>
    <row r="93" spans="1:50" ht="12.75" customHeight="1">
      <c r="A93" s="153" t="s">
        <v>251</v>
      </c>
      <c r="B93" s="185" t="s">
        <v>252</v>
      </c>
      <c r="C93" s="566" t="str">
        <f t="shared" si="198"/>
        <v>--</v>
      </c>
      <c r="D93" s="586" t="str">
        <f t="shared" si="199"/>
        <v>--</v>
      </c>
      <c r="E93" s="182" t="str">
        <f t="shared" si="118"/>
        <v>--</v>
      </c>
      <c r="F93" s="609" t="str">
        <f t="shared" si="119"/>
        <v>--</v>
      </c>
      <c r="G93" s="182">
        <f t="shared" si="120"/>
        <v>294.22348082483762</v>
      </c>
      <c r="H93" s="183" t="str">
        <f t="shared" si="121"/>
        <v>Tapwater</v>
      </c>
      <c r="I93" s="188" t="str">
        <f t="shared" si="122"/>
        <v>--</v>
      </c>
      <c r="J93" s="157" t="str">
        <f t="shared" si="123"/>
        <v>--</v>
      </c>
      <c r="K93" s="190" t="str">
        <f t="shared" si="124"/>
        <v>--</v>
      </c>
      <c r="L93" s="157" t="str">
        <f t="shared" si="125"/>
        <v>--</v>
      </c>
      <c r="M93" s="192" t="str">
        <f t="shared" si="126"/>
        <v>--</v>
      </c>
      <c r="N93" s="190" t="str">
        <f t="shared" si="127"/>
        <v>--</v>
      </c>
      <c r="O93" s="198" t="str">
        <f t="shared" si="128"/>
        <v>--</v>
      </c>
      <c r="P93" s="162">
        <f t="shared" si="129"/>
        <v>802.19780219780216</v>
      </c>
      <c r="Q93" s="157" t="str">
        <f t="shared" si="130"/>
        <v>--</v>
      </c>
      <c r="R93" s="157" t="str">
        <f t="shared" si="131"/>
        <v>--</v>
      </c>
      <c r="S93" s="157">
        <f t="shared" si="200"/>
        <v>464.64047441362197</v>
      </c>
      <c r="T93" s="157" t="str">
        <f t="shared" si="132"/>
        <v>--</v>
      </c>
      <c r="U93" s="157">
        <f t="shared" si="133"/>
        <v>464.64047441362197</v>
      </c>
      <c r="V93" s="200">
        <f t="shared" si="134"/>
        <v>294.22348082483762</v>
      </c>
      <c r="W93" s="186" t="str">
        <f t="shared" si="135"/>
        <v>--</v>
      </c>
      <c r="X93" s="596" t="str">
        <f t="shared" si="136"/>
        <v>--</v>
      </c>
      <c r="Y93" s="187" t="str">
        <f t="shared" si="137"/>
        <v>--</v>
      </c>
      <c r="Z93" s="567" t="str">
        <f t="shared" si="138"/>
        <v>--</v>
      </c>
      <c r="AA93" s="568" t="str">
        <f t="shared" si="139"/>
        <v>--</v>
      </c>
      <c r="AB93" s="122" t="str">
        <f t="shared" si="184"/>
        <v>--</v>
      </c>
      <c r="AC93" s="121" t="str">
        <f t="shared" si="185"/>
        <v>--</v>
      </c>
      <c r="AD93" s="121" t="str">
        <f t="shared" si="186"/>
        <v>--</v>
      </c>
      <c r="AE93" s="121" t="str">
        <f t="shared" si="187"/>
        <v>--</v>
      </c>
      <c r="AF93" s="121" t="str">
        <f t="shared" si="188"/>
        <v>--</v>
      </c>
      <c r="AG93" s="121" t="str">
        <f t="shared" si="189"/>
        <v>--</v>
      </c>
      <c r="AH93" s="119" t="str">
        <f t="shared" si="190"/>
        <v>V</v>
      </c>
      <c r="AI93" s="119" t="str">
        <f t="shared" si="191"/>
        <v>O</v>
      </c>
      <c r="AJ93" s="120" t="str">
        <f t="shared" si="192"/>
        <v>--</v>
      </c>
      <c r="AK93" s="129">
        <f t="shared" si="140"/>
        <v>1</v>
      </c>
      <c r="AL93" s="119">
        <f t="shared" si="193"/>
        <v>0.54545757350781998</v>
      </c>
      <c r="AM93" s="119">
        <f t="shared" si="194"/>
        <v>0.89676933595412001</v>
      </c>
      <c r="AN93" s="119">
        <f t="shared" si="195"/>
        <v>2.1522464062898998</v>
      </c>
      <c r="AO93" s="119">
        <f t="shared" si="196"/>
        <v>0.11</v>
      </c>
      <c r="AP93" s="119" t="str">
        <f t="shared" si="197"/>
        <v>Yes</v>
      </c>
      <c r="AQ93" s="119" t="str">
        <f t="shared" si="141"/>
        <v>--</v>
      </c>
      <c r="AR93" s="119" t="str">
        <f t="shared" si="142"/>
        <v>--</v>
      </c>
      <c r="AS93" s="119">
        <f t="shared" si="143"/>
        <v>0.04</v>
      </c>
      <c r="AT93" s="119" t="str">
        <f t="shared" si="144"/>
        <v>--</v>
      </c>
      <c r="AU93" s="119">
        <f t="shared" si="145"/>
        <v>1</v>
      </c>
      <c r="AV93" s="119" t="str">
        <f t="shared" si="146"/>
        <v>--</v>
      </c>
      <c r="AW93" s="555" t="str">
        <f t="shared" si="147"/>
        <v>--</v>
      </c>
      <c r="AX93" s="124">
        <f t="shared" si="148"/>
        <v>9.8305465155425875E-2</v>
      </c>
    </row>
    <row r="94" spans="1:50" ht="12.75" customHeight="1">
      <c r="A94" s="153" t="s">
        <v>253</v>
      </c>
      <c r="B94" s="185" t="s">
        <v>254</v>
      </c>
      <c r="C94" s="566" t="str">
        <f t="shared" si="198"/>
        <v>--</v>
      </c>
      <c r="D94" s="586" t="str">
        <f t="shared" si="199"/>
        <v>--</v>
      </c>
      <c r="E94" s="182">
        <f t="shared" si="118"/>
        <v>0.2505147563486616</v>
      </c>
      <c r="F94" s="609" t="str">
        <f t="shared" si="119"/>
        <v>Tapwater</v>
      </c>
      <c r="G94" s="182" t="str">
        <f t="shared" si="120"/>
        <v>--</v>
      </c>
      <c r="H94" s="183" t="str">
        <f t="shared" si="121"/>
        <v>--</v>
      </c>
      <c r="I94" s="188">
        <f t="shared" si="122"/>
        <v>0.2505147563486616</v>
      </c>
      <c r="J94" s="157" t="str">
        <f t="shared" si="123"/>
        <v>--</v>
      </c>
      <c r="K94" s="190" t="str">
        <f t="shared" si="124"/>
        <v>--</v>
      </c>
      <c r="L94" s="157" t="str">
        <f t="shared" si="125"/>
        <v>--</v>
      </c>
      <c r="M94" s="192" t="str">
        <f t="shared" si="126"/>
        <v>--</v>
      </c>
      <c r="N94" s="190" t="str">
        <f t="shared" si="127"/>
        <v>--</v>
      </c>
      <c r="O94" s="198">
        <f t="shared" si="128"/>
        <v>0.2505147563486616</v>
      </c>
      <c r="P94" s="162" t="str">
        <f t="shared" si="129"/>
        <v>--</v>
      </c>
      <c r="Q94" s="157" t="str">
        <f t="shared" si="130"/>
        <v>--</v>
      </c>
      <c r="R94" s="157" t="str">
        <f t="shared" si="131"/>
        <v>--</v>
      </c>
      <c r="S94" s="157" t="str">
        <f t="shared" si="200"/>
        <v>--</v>
      </c>
      <c r="T94" s="157" t="str">
        <f t="shared" si="132"/>
        <v>--</v>
      </c>
      <c r="U94" s="157" t="str">
        <f t="shared" si="133"/>
        <v>--</v>
      </c>
      <c r="V94" s="200" t="str">
        <f t="shared" si="134"/>
        <v>--</v>
      </c>
      <c r="W94" s="186" t="str">
        <f t="shared" si="135"/>
        <v>--</v>
      </c>
      <c r="X94" s="596" t="str">
        <f t="shared" si="136"/>
        <v>--</v>
      </c>
      <c r="Y94" s="187" t="str">
        <f t="shared" si="137"/>
        <v>--</v>
      </c>
      <c r="Z94" s="567" t="str">
        <f t="shared" si="138"/>
        <v>--</v>
      </c>
      <c r="AA94" s="568" t="str">
        <f t="shared" si="139"/>
        <v>--</v>
      </c>
      <c r="AB94" s="122" t="str">
        <f t="shared" si="184"/>
        <v>--</v>
      </c>
      <c r="AC94" s="121" t="str">
        <f t="shared" si="185"/>
        <v>--</v>
      </c>
      <c r="AD94" s="121" t="str">
        <f t="shared" si="186"/>
        <v>--</v>
      </c>
      <c r="AE94" s="121" t="str">
        <f t="shared" si="187"/>
        <v>--</v>
      </c>
      <c r="AF94" s="121" t="str">
        <f t="shared" si="188"/>
        <v>--</v>
      </c>
      <c r="AG94" s="121" t="str">
        <f t="shared" si="189"/>
        <v>--</v>
      </c>
      <c r="AH94" s="119" t="str">
        <f t="shared" si="190"/>
        <v>NV</v>
      </c>
      <c r="AI94" s="119" t="str">
        <f t="shared" si="191"/>
        <v>O</v>
      </c>
      <c r="AJ94" s="120" t="str">
        <f t="shared" si="192"/>
        <v>Yes</v>
      </c>
      <c r="AK94" s="129">
        <f t="shared" si="140"/>
        <v>0.6</v>
      </c>
      <c r="AL94" s="119">
        <f t="shared" si="193"/>
        <v>7.92811997831343</v>
      </c>
      <c r="AM94" s="119">
        <f t="shared" si="194"/>
        <v>3.7098192431956001</v>
      </c>
      <c r="AN94" s="119">
        <f t="shared" si="195"/>
        <v>16.651939304483601</v>
      </c>
      <c r="AO94" s="119">
        <f t="shared" si="196"/>
        <v>1.24</v>
      </c>
      <c r="AP94" s="119" t="str">
        <f t="shared" si="197"/>
        <v>No</v>
      </c>
      <c r="AQ94" s="119">
        <f t="shared" si="141"/>
        <v>0.1</v>
      </c>
      <c r="AR94" s="119">
        <f t="shared" si="142"/>
        <v>1.1E-4</v>
      </c>
      <c r="AS94" s="119" t="str">
        <f t="shared" si="143"/>
        <v>--</v>
      </c>
      <c r="AT94" s="119" t="str">
        <f t="shared" si="144"/>
        <v>--</v>
      </c>
      <c r="AU94" s="119">
        <f t="shared" si="145"/>
        <v>1</v>
      </c>
      <c r="AV94" s="119">
        <f t="shared" si="146"/>
        <v>9.7868346963399925E-5</v>
      </c>
      <c r="AW94" s="555">
        <f t="shared" si="147"/>
        <v>3.1190360896687268E-5</v>
      </c>
      <c r="AX94" s="124" t="str">
        <f t="shared" si="148"/>
        <v>--</v>
      </c>
    </row>
    <row r="95" spans="1:50" ht="12.75" customHeight="1">
      <c r="A95" s="153" t="s">
        <v>255</v>
      </c>
      <c r="B95" s="185" t="s">
        <v>256</v>
      </c>
      <c r="C95" s="566" t="str">
        <f t="shared" si="198"/>
        <v>--</v>
      </c>
      <c r="D95" s="586" t="str">
        <f t="shared" si="199"/>
        <v>--</v>
      </c>
      <c r="E95" s="182">
        <f t="shared" si="118"/>
        <v>0.11691092078404149</v>
      </c>
      <c r="F95" s="609" t="str">
        <f t="shared" si="119"/>
        <v>Tapwater</v>
      </c>
      <c r="G95" s="182">
        <f t="shared" si="120"/>
        <v>6.1073400028997504</v>
      </c>
      <c r="H95" s="183" t="str">
        <f t="shared" si="121"/>
        <v>Tapwater</v>
      </c>
      <c r="I95" s="188">
        <f t="shared" si="122"/>
        <v>0.64923514763429391</v>
      </c>
      <c r="J95" s="157">
        <f t="shared" si="123"/>
        <v>0.16515837104072398</v>
      </c>
      <c r="K95" s="190" t="str">
        <f t="shared" si="124"/>
        <v>--</v>
      </c>
      <c r="L95" s="157">
        <f t="shared" si="125"/>
        <v>1.0433486647894983</v>
      </c>
      <c r="M95" s="192" t="str">
        <f t="shared" si="126"/>
        <v>--</v>
      </c>
      <c r="N95" s="190">
        <f t="shared" si="127"/>
        <v>1.0433486647894983</v>
      </c>
      <c r="O95" s="198">
        <f t="shared" si="128"/>
        <v>0.11691092078404149</v>
      </c>
      <c r="P95" s="162">
        <f t="shared" si="129"/>
        <v>401.09890109890108</v>
      </c>
      <c r="Q95" s="157">
        <f t="shared" si="130"/>
        <v>6.2571428571428571</v>
      </c>
      <c r="R95" s="157" t="str">
        <f t="shared" si="131"/>
        <v>--</v>
      </c>
      <c r="S95" s="157">
        <f t="shared" si="200"/>
        <v>700.81890863404169</v>
      </c>
      <c r="T95" s="157" t="str">
        <f t="shared" si="132"/>
        <v>--</v>
      </c>
      <c r="U95" s="157">
        <f t="shared" si="133"/>
        <v>700.81890863404169</v>
      </c>
      <c r="V95" s="200">
        <f t="shared" si="134"/>
        <v>6.1073400028997504</v>
      </c>
      <c r="W95" s="186" t="str">
        <f t="shared" si="135"/>
        <v>--</v>
      </c>
      <c r="X95" s="596">
        <f t="shared" si="136"/>
        <v>17</v>
      </c>
      <c r="Y95" s="187" t="str">
        <f t="shared" si="137"/>
        <v>DDW NL</v>
      </c>
      <c r="Z95" s="567" t="str">
        <f t="shared" si="138"/>
        <v>--</v>
      </c>
      <c r="AA95" s="568" t="str">
        <f t="shared" si="139"/>
        <v>--</v>
      </c>
      <c r="AB95" s="122" t="str">
        <f t="shared" si="184"/>
        <v>--</v>
      </c>
      <c r="AC95" s="121" t="str">
        <f t="shared" si="185"/>
        <v>--</v>
      </c>
      <c r="AD95" s="121" t="str">
        <f t="shared" si="186"/>
        <v>--</v>
      </c>
      <c r="AE95" s="121" t="str">
        <f t="shared" si="187"/>
        <v>--</v>
      </c>
      <c r="AF95" s="121">
        <f t="shared" si="188"/>
        <v>17</v>
      </c>
      <c r="AG95" s="121" t="str">
        <f t="shared" si="189"/>
        <v>Noncancer</v>
      </c>
      <c r="AH95" s="119" t="str">
        <f t="shared" si="190"/>
        <v>V</v>
      </c>
      <c r="AI95" s="119" t="str">
        <f t="shared" si="191"/>
        <v>O</v>
      </c>
      <c r="AJ95" s="120" t="str">
        <f t="shared" si="192"/>
        <v>--</v>
      </c>
      <c r="AK95" s="129">
        <f t="shared" si="140"/>
        <v>1</v>
      </c>
      <c r="AL95" s="119">
        <f t="shared" si="193"/>
        <v>0.20291899482685</v>
      </c>
      <c r="AM95" s="119">
        <f t="shared" si="194"/>
        <v>0.54910670856167998</v>
      </c>
      <c r="AN95" s="119">
        <f t="shared" si="195"/>
        <v>1.31785610054804</v>
      </c>
      <c r="AO95" s="119">
        <f t="shared" si="196"/>
        <v>4.6600000000000003E-2</v>
      </c>
      <c r="AP95" s="119" t="str">
        <f t="shared" si="197"/>
        <v>Yes</v>
      </c>
      <c r="AQ95" s="119">
        <f t="shared" si="141"/>
        <v>0.12</v>
      </c>
      <c r="AR95" s="119">
        <f t="shared" si="142"/>
        <v>3.4E-5</v>
      </c>
      <c r="AS95" s="119">
        <f t="shared" si="143"/>
        <v>0.02</v>
      </c>
      <c r="AT95" s="119">
        <f t="shared" si="144"/>
        <v>3</v>
      </c>
      <c r="AU95" s="119">
        <f t="shared" si="145"/>
        <v>1</v>
      </c>
      <c r="AV95" s="119">
        <f t="shared" si="146"/>
        <v>8.1556955802833273E-5</v>
      </c>
      <c r="AW95" s="555">
        <f t="shared" si="147"/>
        <v>2.5991967413906059E-5</v>
      </c>
      <c r="AX95" s="124">
        <f t="shared" si="148"/>
        <v>4.9152732577712938E-2</v>
      </c>
    </row>
    <row r="96" spans="1:50" ht="12.75" customHeight="1">
      <c r="A96" s="153" t="s">
        <v>257</v>
      </c>
      <c r="B96" s="185" t="s">
        <v>258</v>
      </c>
      <c r="C96" s="566" t="str">
        <f t="shared" si="198"/>
        <v>--</v>
      </c>
      <c r="D96" s="586" t="str">
        <f t="shared" si="199"/>
        <v>--</v>
      </c>
      <c r="E96" s="182" t="str">
        <f t="shared" si="118"/>
        <v>--</v>
      </c>
      <c r="F96" s="609" t="str">
        <f t="shared" si="119"/>
        <v>--</v>
      </c>
      <c r="G96" s="182">
        <f t="shared" si="120"/>
        <v>120.81364904085669</v>
      </c>
      <c r="H96" s="183" t="str">
        <f t="shared" si="121"/>
        <v>Tapwater</v>
      </c>
      <c r="I96" s="188" t="str">
        <f t="shared" si="122"/>
        <v>--</v>
      </c>
      <c r="J96" s="157" t="str">
        <f t="shared" si="123"/>
        <v>--</v>
      </c>
      <c r="K96" s="190" t="str">
        <f t="shared" si="124"/>
        <v>--</v>
      </c>
      <c r="L96" s="157" t="str">
        <f t="shared" si="125"/>
        <v>--</v>
      </c>
      <c r="M96" s="192" t="str">
        <f t="shared" si="126"/>
        <v>--</v>
      </c>
      <c r="N96" s="190" t="str">
        <f t="shared" si="127"/>
        <v>--</v>
      </c>
      <c r="O96" s="198" t="str">
        <f t="shared" si="128"/>
        <v>--</v>
      </c>
      <c r="P96" s="162">
        <f t="shared" si="129"/>
        <v>601.64835164835165</v>
      </c>
      <c r="Q96" s="157" t="str">
        <f t="shared" si="130"/>
        <v>--</v>
      </c>
      <c r="R96" s="157" t="str">
        <f t="shared" si="131"/>
        <v>--</v>
      </c>
      <c r="S96" s="157">
        <f t="shared" si="200"/>
        <v>151.16906580968742</v>
      </c>
      <c r="T96" s="157" t="str">
        <f t="shared" si="132"/>
        <v>--</v>
      </c>
      <c r="U96" s="157">
        <f t="shared" si="133"/>
        <v>151.16906580968742</v>
      </c>
      <c r="V96" s="200">
        <f t="shared" si="134"/>
        <v>120.81364904085669</v>
      </c>
      <c r="W96" s="186" t="str">
        <f t="shared" si="135"/>
        <v>--</v>
      </c>
      <c r="X96" s="596" t="str">
        <f t="shared" si="136"/>
        <v>--</v>
      </c>
      <c r="Y96" s="187" t="str">
        <f t="shared" si="137"/>
        <v>--</v>
      </c>
      <c r="Z96" s="567" t="str">
        <f t="shared" si="138"/>
        <v>--</v>
      </c>
      <c r="AA96" s="568" t="str">
        <f t="shared" si="139"/>
        <v>--</v>
      </c>
      <c r="AB96" s="122" t="str">
        <f t="shared" si="184"/>
        <v>--</v>
      </c>
      <c r="AC96" s="121" t="str">
        <f t="shared" si="185"/>
        <v>--</v>
      </c>
      <c r="AD96" s="121" t="str">
        <f t="shared" si="186"/>
        <v>--</v>
      </c>
      <c r="AE96" s="121" t="str">
        <f t="shared" si="187"/>
        <v>--</v>
      </c>
      <c r="AF96" s="121" t="str">
        <f t="shared" si="188"/>
        <v>--</v>
      </c>
      <c r="AG96" s="121" t="str">
        <f t="shared" si="189"/>
        <v>--</v>
      </c>
      <c r="AH96" s="119" t="str">
        <f t="shared" si="190"/>
        <v>V</v>
      </c>
      <c r="AI96" s="119" t="str">
        <f t="shared" si="191"/>
        <v>O</v>
      </c>
      <c r="AJ96" s="120" t="str">
        <f t="shared" si="192"/>
        <v>--</v>
      </c>
      <c r="AK96" s="129">
        <f t="shared" si="140"/>
        <v>1</v>
      </c>
      <c r="AL96" s="119">
        <f t="shared" si="193"/>
        <v>1.09945563857003</v>
      </c>
      <c r="AM96" s="119">
        <f t="shared" si="194"/>
        <v>1.42726543921932</v>
      </c>
      <c r="AN96" s="119">
        <f t="shared" si="195"/>
        <v>5.53530713863268</v>
      </c>
      <c r="AO96" s="119">
        <f t="shared" si="196"/>
        <v>0.20100000000000001</v>
      </c>
      <c r="AP96" s="119" t="str">
        <f t="shared" si="197"/>
        <v>Yes</v>
      </c>
      <c r="AQ96" s="119" t="str">
        <f t="shared" si="141"/>
        <v>--</v>
      </c>
      <c r="AR96" s="119" t="str">
        <f t="shared" si="142"/>
        <v>--</v>
      </c>
      <c r="AS96" s="119">
        <f t="shared" si="143"/>
        <v>0.03</v>
      </c>
      <c r="AT96" s="119" t="str">
        <f t="shared" si="144"/>
        <v>--</v>
      </c>
      <c r="AU96" s="119">
        <f t="shared" si="145"/>
        <v>1</v>
      </c>
      <c r="AV96" s="119" t="str">
        <f t="shared" si="146"/>
        <v>--</v>
      </c>
      <c r="AW96" s="555" t="str">
        <f t="shared" si="147"/>
        <v>--</v>
      </c>
      <c r="AX96" s="124">
        <f t="shared" si="148"/>
        <v>7.3729098866569406E-2</v>
      </c>
    </row>
    <row r="97" spans="1:50" ht="12.75" customHeight="1">
      <c r="A97" s="153" t="s">
        <v>259</v>
      </c>
      <c r="B97" s="185" t="s">
        <v>260</v>
      </c>
      <c r="C97" s="566">
        <f t="shared" si="198"/>
        <v>1</v>
      </c>
      <c r="D97" s="586" t="str">
        <f t="shared" si="199"/>
        <v>MCL (Primary)</v>
      </c>
      <c r="E97" s="182">
        <f t="shared" si="118"/>
        <v>4.1269593980201587E-2</v>
      </c>
      <c r="F97" s="609" t="str">
        <f t="shared" si="119"/>
        <v>Tapwater</v>
      </c>
      <c r="G97" s="182">
        <f t="shared" si="120"/>
        <v>22.681421475775775</v>
      </c>
      <c r="H97" s="183" t="str">
        <f t="shared" si="121"/>
        <v>Tapwater</v>
      </c>
      <c r="I97" s="188">
        <f t="shared" si="122"/>
        <v>0.19477054429028814</v>
      </c>
      <c r="J97" s="157" t="str">
        <f t="shared" si="123"/>
        <v>--</v>
      </c>
      <c r="K97" s="190" t="str">
        <f t="shared" si="124"/>
        <v>--</v>
      </c>
      <c r="L97" s="157">
        <f t="shared" si="125"/>
        <v>5.2365156475743829E-2</v>
      </c>
      <c r="M97" s="192" t="str">
        <f t="shared" si="126"/>
        <v>--</v>
      </c>
      <c r="N97" s="190">
        <f t="shared" si="127"/>
        <v>5.2365156475743829E-2</v>
      </c>
      <c r="O97" s="198">
        <f t="shared" si="128"/>
        <v>4.1269593980201587E-2</v>
      </c>
      <c r="P97" s="162">
        <f t="shared" si="129"/>
        <v>100.27472527472527</v>
      </c>
      <c r="Q97" s="157" t="str">
        <f t="shared" si="130"/>
        <v>--</v>
      </c>
      <c r="R97" s="157" t="str">
        <f t="shared" si="131"/>
        <v>--</v>
      </c>
      <c r="S97" s="157">
        <f t="shared" si="200"/>
        <v>29.311463695588404</v>
      </c>
      <c r="T97" s="157" t="str">
        <f t="shared" si="132"/>
        <v>--</v>
      </c>
      <c r="U97" s="157">
        <f t="shared" si="133"/>
        <v>29.311463695588404</v>
      </c>
      <c r="V97" s="200">
        <f t="shared" si="134"/>
        <v>22.681421475775775</v>
      </c>
      <c r="W97" s="186">
        <f t="shared" si="135"/>
        <v>0.3</v>
      </c>
      <c r="X97" s="596" t="str">
        <f t="shared" si="136"/>
        <v>--</v>
      </c>
      <c r="Y97" s="187" t="str">
        <f t="shared" si="137"/>
        <v>OEHHA PHG</v>
      </c>
      <c r="Z97" s="567">
        <f t="shared" si="138"/>
        <v>1</v>
      </c>
      <c r="AA97" s="568" t="str">
        <f t="shared" si="139"/>
        <v>MCL (Primary)</v>
      </c>
      <c r="AB97" s="122">
        <f t="shared" si="184"/>
        <v>1</v>
      </c>
      <c r="AC97" s="121" t="str">
        <f t="shared" si="185"/>
        <v>--</v>
      </c>
      <c r="AD97" s="121">
        <f t="shared" si="186"/>
        <v>0.3</v>
      </c>
      <c r="AE97" s="121" t="str">
        <f t="shared" si="187"/>
        <v>Cancer</v>
      </c>
      <c r="AF97" s="121" t="str">
        <f t="shared" si="188"/>
        <v>--</v>
      </c>
      <c r="AG97" s="121" t="str">
        <f t="shared" si="189"/>
        <v>--</v>
      </c>
      <c r="AH97" s="119" t="str">
        <f t="shared" si="190"/>
        <v>NV</v>
      </c>
      <c r="AI97" s="119" t="str">
        <f t="shared" si="191"/>
        <v>O</v>
      </c>
      <c r="AJ97" s="120" t="str">
        <f t="shared" si="192"/>
        <v>--</v>
      </c>
      <c r="AK97" s="129">
        <f t="shared" si="140"/>
        <v>0.9</v>
      </c>
      <c r="AL97" s="119">
        <f t="shared" si="193"/>
        <v>0.79716563913217997</v>
      </c>
      <c r="AM97" s="119">
        <f t="shared" si="194"/>
        <v>3.2610146481414501</v>
      </c>
      <c r="AN97" s="119">
        <f t="shared" si="195"/>
        <v>12.5468979093956</v>
      </c>
      <c r="AO97" s="119">
        <f t="shared" si="196"/>
        <v>0.127</v>
      </c>
      <c r="AP97" s="119" t="str">
        <f t="shared" si="197"/>
        <v>Yes</v>
      </c>
      <c r="AQ97" s="119">
        <f t="shared" si="141"/>
        <v>0.4</v>
      </c>
      <c r="AR97" s="119">
        <f t="shared" si="142"/>
        <v>5.1000000000000003E-6</v>
      </c>
      <c r="AS97" s="119">
        <f t="shared" si="143"/>
        <v>5.0000000000000001E-3</v>
      </c>
      <c r="AT97" s="119" t="str">
        <f t="shared" si="144"/>
        <v>--</v>
      </c>
      <c r="AU97" s="119">
        <f t="shared" si="145"/>
        <v>1</v>
      </c>
      <c r="AV97" s="119">
        <f t="shared" si="146"/>
        <v>2.4467086740849981E-5</v>
      </c>
      <c r="AW97" s="555">
        <f t="shared" si="147"/>
        <v>7.797590224171817E-6</v>
      </c>
      <c r="AX97" s="124">
        <f t="shared" si="148"/>
        <v>1.2288183144428234E-2</v>
      </c>
    </row>
    <row r="98" spans="1:50" ht="12.75" customHeight="1">
      <c r="A98" s="153" t="s">
        <v>261</v>
      </c>
      <c r="B98" s="185" t="s">
        <v>1261</v>
      </c>
      <c r="C98" s="566">
        <f t="shared" si="198"/>
        <v>6</v>
      </c>
      <c r="D98" s="586" t="str">
        <f t="shared" si="199"/>
        <v>MCL (Primary)</v>
      </c>
      <c r="E98" s="182" t="str">
        <f t="shared" si="118"/>
        <v>--</v>
      </c>
      <c r="F98" s="609" t="str">
        <f t="shared" si="119"/>
        <v>--</v>
      </c>
      <c r="G98" s="182">
        <f t="shared" si="120"/>
        <v>1</v>
      </c>
      <c r="H98" s="183" t="str">
        <f t="shared" si="121"/>
        <v>OEHHA PHG</v>
      </c>
      <c r="I98" s="188" t="str">
        <f t="shared" si="122"/>
        <v>--</v>
      </c>
      <c r="J98" s="157" t="str">
        <f t="shared" si="123"/>
        <v>--</v>
      </c>
      <c r="K98" s="190" t="str">
        <f t="shared" si="124"/>
        <v>--</v>
      </c>
      <c r="L98" s="157" t="str">
        <f t="shared" si="125"/>
        <v>--</v>
      </c>
      <c r="M98" s="192" t="str">
        <f t="shared" si="126"/>
        <v>--</v>
      </c>
      <c r="N98" s="190" t="str">
        <f t="shared" si="127"/>
        <v>--</v>
      </c>
      <c r="O98" s="198" t="str">
        <f t="shared" si="128"/>
        <v>--</v>
      </c>
      <c r="P98" s="162">
        <f t="shared" si="129"/>
        <v>14.038461538461538</v>
      </c>
      <c r="Q98" s="157" t="str">
        <f t="shared" si="130"/>
        <v>--</v>
      </c>
      <c r="R98" s="157">
        <f t="shared" si="131"/>
        <v>3185.8252596665784</v>
      </c>
      <c r="S98" s="157" t="str">
        <f t="shared" si="200"/>
        <v>--</v>
      </c>
      <c r="T98" s="157" t="str">
        <f t="shared" si="132"/>
        <v>--</v>
      </c>
      <c r="U98" s="157">
        <f t="shared" si="133"/>
        <v>3185.8252596665784</v>
      </c>
      <c r="V98" s="200">
        <f t="shared" si="134"/>
        <v>13.976871914796989</v>
      </c>
      <c r="W98" s="186" t="str">
        <f t="shared" si="135"/>
        <v>--</v>
      </c>
      <c r="X98" s="596">
        <f t="shared" si="136"/>
        <v>1</v>
      </c>
      <c r="Y98" s="187" t="str">
        <f t="shared" si="137"/>
        <v>OEHHA PHG</v>
      </c>
      <c r="Z98" s="567">
        <f t="shared" si="138"/>
        <v>6</v>
      </c>
      <c r="AA98" s="568" t="str">
        <f t="shared" si="139"/>
        <v>MCL (Primary)</v>
      </c>
      <c r="AB98" s="122">
        <f t="shared" si="184"/>
        <v>6</v>
      </c>
      <c r="AC98" s="121" t="str">
        <f t="shared" si="185"/>
        <v>--</v>
      </c>
      <c r="AD98" s="121">
        <f t="shared" si="186"/>
        <v>1</v>
      </c>
      <c r="AE98" s="121" t="str">
        <f t="shared" si="187"/>
        <v>Noncancer</v>
      </c>
      <c r="AF98" s="121" t="str">
        <f t="shared" si="188"/>
        <v>--</v>
      </c>
      <c r="AG98" s="121" t="str">
        <f t="shared" si="189"/>
        <v>--</v>
      </c>
      <c r="AH98" s="119" t="str">
        <f t="shared" si="190"/>
        <v>NV</v>
      </c>
      <c r="AI98" s="119" t="str">
        <f t="shared" si="191"/>
        <v>I</v>
      </c>
      <c r="AJ98" s="120" t="str">
        <f t="shared" si="192"/>
        <v>--</v>
      </c>
      <c r="AK98" s="129">
        <f t="shared" si="140"/>
        <v>1</v>
      </c>
      <c r="AL98" s="119">
        <f t="shared" si="193"/>
        <v>4.1689540072800003E-3</v>
      </c>
      <c r="AM98" s="119">
        <f t="shared" si="194"/>
        <v>0.47840173896024002</v>
      </c>
      <c r="AN98" s="119">
        <f t="shared" si="195"/>
        <v>1.14816417350457</v>
      </c>
      <c r="AO98" s="119">
        <f t="shared" si="196"/>
        <v>1E-3</v>
      </c>
      <c r="AP98" s="119" t="str">
        <f t="shared" si="197"/>
        <v>Yes</v>
      </c>
      <c r="AQ98" s="119" t="str">
        <f t="shared" si="141"/>
        <v>--</v>
      </c>
      <c r="AR98" s="119" t="str">
        <f t="shared" si="142"/>
        <v>--</v>
      </c>
      <c r="AS98" s="119">
        <f t="shared" ref="AS98" si="201">VLOOKUP(A98,Table_IP_2,MATCH("RfDo",heading_IP_2,0),FALSE)</f>
        <v>6.9999999999999999E-4</v>
      </c>
      <c r="AT98" s="119" t="str">
        <f t="shared" si="144"/>
        <v>--</v>
      </c>
      <c r="AU98" s="119">
        <f t="shared" si="145"/>
        <v>1</v>
      </c>
      <c r="AV98" s="119" t="str">
        <f t="shared" si="146"/>
        <v>--</v>
      </c>
      <c r="AW98" s="555" t="str">
        <f t="shared" si="147"/>
        <v>--</v>
      </c>
      <c r="AX98" s="124">
        <f t="shared" si="148"/>
        <v>1.7203456402199524E-3</v>
      </c>
    </row>
    <row r="99" spans="1:50" ht="12.75" customHeight="1">
      <c r="A99" s="1408" t="s">
        <v>263</v>
      </c>
      <c r="B99" s="185" t="s">
        <v>115</v>
      </c>
      <c r="C99" s="566" t="str">
        <f t="shared" si="198"/>
        <v>--</v>
      </c>
      <c r="D99" s="586" t="str">
        <f t="shared" si="199"/>
        <v>--</v>
      </c>
      <c r="E99" s="182" t="str">
        <f t="shared" ref="E99:E148" si="202">IF(AND(O99="--",W99="--"),"--", IF(O99="--",W99,IF(W99="--",O99,MIN(O99,W99))))</f>
        <v>--</v>
      </c>
      <c r="F99" s="609" t="str">
        <f t="shared" ref="F99:F148" si="203">IF(E99="--","--",IF(E99=O99,"Tapwater",Y99))</f>
        <v>--</v>
      </c>
      <c r="G99" s="182">
        <f t="shared" ref="G99:G148" si="204">IF(AND(V99="--",X99="--"),"--", IF(V99="--",X99,IF(X99="--",V99,MIN(V99,X99))))</f>
        <v>798.81669063090976</v>
      </c>
      <c r="H99" s="183" t="str">
        <f t="shared" ref="H99:H148" si="205">IF(G99="--","--",IF(G99=V99,"Tapwater",Y99))</f>
        <v>Tapwater</v>
      </c>
      <c r="I99" s="188" t="str">
        <f t="shared" ref="I99:I148" si="206">IF(AQ99="--","--",
IF(AJ99="--",
(TR*365*LT*1000)/(AQ99*IFWadj),
(TR*365*LT*1000)/(AQ99*IFWmadj)))</f>
        <v>--</v>
      </c>
      <c r="J99" s="157" t="str">
        <f t="shared" ref="J99:J148" si="207">IF(AR99="--","--",
IF(AH99="NV","--",
IF(AJ99="--",
(TR*365*LT)/(EFr*EDr*ETr*(1/24)*AR99*0.5),
(TR*365*LT)/(TETmadj*AR99*0.5))))</f>
        <v>--</v>
      </c>
      <c r="K99" s="190" t="str">
        <f t="shared" ref="K99:K148" si="208">IF(AP99="No", "--",
IF(AV99="--","--",
IF(AND(AO99=0, AI99="I"), "--",
IF(AI99&lt;&gt;"I","--",
IF(AJ99="--",
(AV99*1000)/(AO99*ETwadj),
(AW99*1000)/(AO99*ETwadj))))))</f>
        <v>--</v>
      </c>
      <c r="L99" s="157" t="str">
        <f t="shared" ref="L99:L148" si="209">IF(AP99="No", "--",
IF(AV99="--", "--",
IF(AI99&lt;&gt;"O", "--",
IF(ETwadj &gt; AN99, "--",
IF(AJ99="--",
(AV99*1000)/(2*AK99*AO99*SQRT((6*AM99*ETwadj)/PI())),
(AW99*1000)/(2*AK99*AO99*SQRT((6*AM99*ETwadj)/PI())))))))</f>
        <v>--</v>
      </c>
      <c r="M99" s="192" t="str">
        <f t="shared" ref="M99:M148" si="210">IF(AP99="No","--",
IF(AV99="--","--",
IF(AI99&lt;&gt;"O","--",
IF(ETwadj&lt;AN99,"--",
IF(AJ99="--",
(AV99*1000)/(AK99*AO99*(ETwadj/(1+AL99)+(2*AM99*(1+(3*AL99)+(3*(AL99^2)))/((1+AL99)^2)))),
(AW99*1000)/(AK99*AO99*(ETwadj/(1+AL99)+(2*AM99*(1+(3*AL99)+(3*(AL99^2)))/((1+AL99)^2)))))))))</f>
        <v>--</v>
      </c>
      <c r="N99" s="190" t="str">
        <f t="shared" ref="N99:N148" si="211">IF(AND(M99="--",L99="--"),K99, IF(AND(K99="--",M99="--"), L99, M99))</f>
        <v>--</v>
      </c>
      <c r="O99" s="198" t="str">
        <f t="shared" ref="O99:O148" si="212">IF(AND(I99="--",J99="--",N99="--"),"--",IF(AND(J99="--",N99="--"),I99,IF(AND(I99="--",N99="--"),J99,IF(AND(I99="--",J99="--"),N99, IF(I99="--", (1/((1/J99)+(1/N99))), IF(J99="--", (1/((1/I99)+(1/N99))), IF(N99="--", (1/((1/I99)+(1/J99))), (1/((1/I99)+(1/J99)+(1/N99))))))))))</f>
        <v>--</v>
      </c>
      <c r="P99" s="162">
        <f t="shared" ref="P99:P148" si="213">IF(AS99="--","--",(THQ*EDc*365*BWc*1000)/(EFr*EDc*(1/AS99)*IRWc))</f>
        <v>6016.4835164835167</v>
      </c>
      <c r="Q99" s="157">
        <f t="shared" ref="Q99:Q148" si="214">IF(AT99="--","--",IF(AH99="NV","--",(THQ*EDc*365*1000)/(EFr*EDc*ETr*(1/24)*(1/(AT99/1000))*0.5)))</f>
        <v>1292.0353982300885</v>
      </c>
      <c r="R99" s="157" t="str">
        <f t="shared" ref="R99:R148" si="215">IF(AP99="No", "--",
IF(AX99="--","--",IF(AND(AO99="--", AI99="I"), "--", IF(AI99="I", (AX99*1000)/(AO99*ETwc), "--"))))</f>
        <v>--</v>
      </c>
      <c r="S99" s="157">
        <f t="shared" si="200"/>
        <v>3208.5320118404047</v>
      </c>
      <c r="T99" s="157" t="str">
        <f t="shared" ref="T99:T148" si="216">IF(AP99="No", "--", IF(AX99="--","--",IF(AND(AI99="O", ETwc &gt; AN99), ((AX99*1000)/(AK99*AO99*(ETwc/(1+AL99)+(2*AM99*(1+(3*AL99)+(3*(AL99^2)))/((1+AL99)^2))))), "--")))</f>
        <v>--</v>
      </c>
      <c r="U99" s="157">
        <f t="shared" ref="U99:U148" si="217">IF(AND(T99="--",S99="--"),R99, IF(AND(R99="--",T99="--"), S99, T99))</f>
        <v>3208.5320118404047</v>
      </c>
      <c r="V99" s="200">
        <f t="shared" ref="V99:V148" si="218">IF(AND(P99="--",Q99="--",U99="--"),"--",IF(AND(Q99="--",U99="--"),P99,IF(AND(P99="--",U99="--"),Q99,IF(AND(P99="--",Q99="--"),U99, IF(P99="--", (1/((1/Q99)+(1/U99))), IF(Q99="--", (1/((1/P99)+(1/U99))), IF(U99="--", (1/((1/P99)+(1/Q99))), (1/((1/P99)+(1/Q99)+(1/U99))))))))))</f>
        <v>798.81669063090976</v>
      </c>
      <c r="W99" s="186" t="str">
        <f t="shared" ref="W99:W148" si="219">IF(OR(AE99="cancer",AG99="cancer"), MIN(AD99,AF99),"--")</f>
        <v>--</v>
      </c>
      <c r="X99" s="596" t="str">
        <f t="shared" ref="X99:X148" si="220">IF(OR(AE99="noncancer",AG99="noncancer"), MIN(AD99,AF99),"--")</f>
        <v>--</v>
      </c>
      <c r="Y99" s="187" t="str">
        <f t="shared" ref="Y99:Y148" si="221">IF(AND(W99="--",X99="--"),"--",IF(AND(W99&lt;&gt;"--",W99=AD99),"OEHHA PHG",IF(AND(X99&lt;&gt;"--",X99=AD99),"OEHHA PHG","DDW NL")))</f>
        <v>--</v>
      </c>
      <c r="Z99" s="567" t="str">
        <f t="shared" ref="Z99:Z148" si="222">IF(AND(AB99="--",AC99="--"),"--",MIN(AB99,AC99))</f>
        <v>--</v>
      </c>
      <c r="AA99" s="568" t="str">
        <f t="shared" ref="AA99:AA148" si="223">IF(Z99="--","--", IF(Z99=AB99,"MCL (Primary)", IF(Z99=AC99, "MCL (Secondary)", H99)))</f>
        <v>--</v>
      </c>
      <c r="AB99" s="122" t="str">
        <f t="shared" si="184"/>
        <v>--</v>
      </c>
      <c r="AC99" s="121" t="str">
        <f t="shared" si="185"/>
        <v>--</v>
      </c>
      <c r="AD99" s="121" t="str">
        <f t="shared" si="186"/>
        <v>--</v>
      </c>
      <c r="AE99" s="121" t="str">
        <f t="shared" si="187"/>
        <v>--</v>
      </c>
      <c r="AF99" s="121" t="str">
        <f t="shared" si="188"/>
        <v>--</v>
      </c>
      <c r="AG99" s="121" t="str">
        <f t="shared" si="189"/>
        <v>--</v>
      </c>
      <c r="AH99" s="119" t="str">
        <f t="shared" si="190"/>
        <v>V</v>
      </c>
      <c r="AI99" s="119" t="str">
        <f t="shared" si="191"/>
        <v>O</v>
      </c>
      <c r="AJ99" s="871" t="str">
        <f>VLOOKUP("Petroleum: Gasoline (water)",Table_IP_2,MATCH("mut",heading_IP_2,0),FALSE)</f>
        <v>--</v>
      </c>
      <c r="AK99" s="345">
        <f>VLOOKUP("Petroleum: Gasoline (water)",Table_IP_2,MATCH("FA",heading_IP_2,0),FALSE)</f>
        <v>1</v>
      </c>
      <c r="AL99" s="344">
        <f>VLOOKUP("Petroleum: Gasoline (water)",Table_IP_2,MATCH("B",heading_IP_2,0),FALSE)</f>
        <v>0.72</v>
      </c>
      <c r="AM99" s="344">
        <f>VLOOKUP("Petroleum: Gasoline (water)",Table_IP_2,MATCH("t_event",heading_IP_2,0),FALSE)</f>
        <v>0.32</v>
      </c>
      <c r="AN99" s="344">
        <f>VLOOKUP("Petroleum: Gasoline (water)",Table_IP_2,MATCH("t",heading_IP_2,0),FALSE)</f>
        <v>1.2</v>
      </c>
      <c r="AO99" s="344">
        <f>VLOOKUP("Petroleum: Gasoline (water)",Table_IP_2,MATCH("Kp",heading_IP_2,0),FALSE)</f>
        <v>0.2</v>
      </c>
      <c r="AP99" s="344" t="str">
        <f>VLOOKUP("Petroleum: Gasoline (water)",Table_IP_2,MATCH("EPD",heading_IP_2,0),FALSE)</f>
        <v>Yes</v>
      </c>
      <c r="AQ99" s="344" t="str">
        <f>VLOOKUP("Petroleum: Gasoline (water)",Table_IP_2,MATCH("SFo",heading_IP_2,0),FALSE)</f>
        <v>--</v>
      </c>
      <c r="AR99" s="344" t="str">
        <f>VLOOKUP("Petroleum: Gasoline (water)",Table_IP_2,MATCH("IUR",heading_IP_2,0),FALSE)</f>
        <v>--</v>
      </c>
      <c r="AS99" s="344">
        <f>VLOOKUP("Petroleum: Gasoline (water)",Table_IP_2,MATCH("RfDo",heading_IP_2,0),FALSE)</f>
        <v>0.3</v>
      </c>
      <c r="AT99" s="344">
        <f>VLOOKUP("Petroleum: Gasoline (water)",Table_IP_2,MATCH("RfC",heading_IP_2,0),FALSE)</f>
        <v>619.46902654867256</v>
      </c>
      <c r="AU99" s="344">
        <f>VLOOKUP("Petroleum: Gasoline (water)",Table_IP_2,MATCH("GIABS",heading_IP_2,0),FALSE)</f>
        <v>1</v>
      </c>
      <c r="AV99" s="119" t="str">
        <f>IF(AQ99="--","--",(TR*365*LT*1000)/((AQ99/AU99)*DFWadj))</f>
        <v>--</v>
      </c>
      <c r="AW99" s="555" t="str">
        <f t="shared" ref="AW99:AW148" si="224">IF(AQ99="--","--",(TR*365*LT*1000)/((AQ99/AU99)*DFWmadj))</f>
        <v>--</v>
      </c>
      <c r="AX99" s="124">
        <f t="shared" ref="AX99:AX148" si="225">IF(AS99="--", "--", (THQ*365*EDc*1000*BWc)/((1/(AS99*AU99))*1*EDc*EFr*SAwc))</f>
        <v>0.73729098866569409</v>
      </c>
    </row>
    <row r="100" spans="1:50" ht="12.75" customHeight="1">
      <c r="A100" s="1408" t="s">
        <v>264</v>
      </c>
      <c r="B100" s="185" t="s">
        <v>115</v>
      </c>
      <c r="C100" s="566" t="str">
        <f t="shared" si="198"/>
        <v>--</v>
      </c>
      <c r="D100" s="586" t="str">
        <f t="shared" si="199"/>
        <v>--</v>
      </c>
      <c r="E100" s="182" t="str">
        <f t="shared" si="202"/>
        <v>--</v>
      </c>
      <c r="F100" s="609" t="str">
        <f t="shared" si="203"/>
        <v>--</v>
      </c>
      <c r="G100" s="182">
        <f t="shared" si="204"/>
        <v>210.48658526371332</v>
      </c>
      <c r="H100" s="183" t="str">
        <f t="shared" si="205"/>
        <v>Tapwater</v>
      </c>
      <c r="I100" s="188" t="str">
        <f t="shared" si="206"/>
        <v>--</v>
      </c>
      <c r="J100" s="157" t="str">
        <f t="shared" si="207"/>
        <v>--</v>
      </c>
      <c r="K100" s="190" t="str">
        <f t="shared" si="208"/>
        <v>--</v>
      </c>
      <c r="L100" s="157" t="str">
        <f t="shared" si="209"/>
        <v>--</v>
      </c>
      <c r="M100" s="192" t="str">
        <f t="shared" si="210"/>
        <v>--</v>
      </c>
      <c r="N100" s="190" t="str">
        <f t="shared" si="211"/>
        <v>--</v>
      </c>
      <c r="O100" s="198" t="str">
        <f t="shared" si="212"/>
        <v>--</v>
      </c>
      <c r="P100" s="162">
        <f t="shared" si="213"/>
        <v>601.64835164835165</v>
      </c>
      <c r="Q100" s="157">
        <f t="shared" si="214"/>
        <v>618.64406779661022</v>
      </c>
      <c r="R100" s="157" t="str">
        <f t="shared" si="215"/>
        <v>--</v>
      </c>
      <c r="S100" s="157">
        <f t="shared" si="200"/>
        <v>679.18274757968004</v>
      </c>
      <c r="T100" s="157" t="str">
        <f t="shared" si="216"/>
        <v>--</v>
      </c>
      <c r="U100" s="157">
        <f t="shared" si="217"/>
        <v>679.18274757968004</v>
      </c>
      <c r="V100" s="200">
        <f t="shared" si="218"/>
        <v>210.48658526371332</v>
      </c>
      <c r="W100" s="186" t="str">
        <f t="shared" si="219"/>
        <v>--</v>
      </c>
      <c r="X100" s="596" t="str">
        <f t="shared" si="220"/>
        <v>--</v>
      </c>
      <c r="Y100" s="187" t="str">
        <f t="shared" si="221"/>
        <v>--</v>
      </c>
      <c r="Z100" s="567" t="str">
        <f t="shared" si="222"/>
        <v>--</v>
      </c>
      <c r="AA100" s="568" t="str">
        <f t="shared" si="223"/>
        <v>--</v>
      </c>
      <c r="AB100" s="122" t="str">
        <f t="shared" si="184"/>
        <v>--</v>
      </c>
      <c r="AC100" s="121" t="str">
        <f t="shared" si="185"/>
        <v>--</v>
      </c>
      <c r="AD100" s="121" t="str">
        <f t="shared" si="186"/>
        <v>--</v>
      </c>
      <c r="AE100" s="121" t="str">
        <f t="shared" si="187"/>
        <v>--</v>
      </c>
      <c r="AF100" s="121" t="str">
        <f t="shared" si="188"/>
        <v>--</v>
      </c>
      <c r="AG100" s="121" t="str">
        <f t="shared" si="189"/>
        <v>--</v>
      </c>
      <c r="AH100" s="119" t="str">
        <f t="shared" si="190"/>
        <v>V</v>
      </c>
      <c r="AI100" s="119" t="str">
        <f t="shared" si="191"/>
        <v>O</v>
      </c>
      <c r="AJ100" s="871" t="str">
        <f>VLOOKUP("Petroleum: Stoddard Solvent (water)",Table_IP_2,MATCH("mut",heading_IP_2,0),FALSE)</f>
        <v>--</v>
      </c>
      <c r="AK100" s="345">
        <f>VLOOKUP("Petroleum: Stoddard Solvent (water)",Table_IP_2,MATCH("FA",heading_IP_2,0),FALSE)</f>
        <v>1</v>
      </c>
      <c r="AL100" s="344">
        <f>VLOOKUP("Petroleum: Stoddard Solvent (water)",Table_IP_2,MATCH("B",heading_IP_2,0),FALSE)</f>
        <v>0.31</v>
      </c>
      <c r="AM100" s="344">
        <f>VLOOKUP("Petroleum: Stoddard Solvent (water)",Table_IP_2,MATCH("t_event",heading_IP_2,0),FALSE)</f>
        <v>0.6</v>
      </c>
      <c r="AN100" s="344">
        <f>VLOOKUP("Petroleum: Stoddard Solvent (water)",Table_IP_2,MATCH("t",heading_IP_2,0),FALSE)</f>
        <v>1.4</v>
      </c>
      <c r="AO100" s="344">
        <f>VLOOKUP("Petroleum: Stoddard Solvent (water)",Table_IP_2,MATCH("Kp",heading_IP_2,0),FALSE)</f>
        <v>6.9000000000000006E-2</v>
      </c>
      <c r="AP100" s="344" t="str">
        <f>VLOOKUP("Petroleum: Stoddard Solvent (water)",Table_IP_2,MATCH("EPD",heading_IP_2,0),FALSE)</f>
        <v>Yes</v>
      </c>
      <c r="AQ100" s="344" t="str">
        <f>VLOOKUP("Petroleum: Stoddard Solvent (water)",Table_IP_2,MATCH("SFo",heading_IP_2,0),FALSE)</f>
        <v>--</v>
      </c>
      <c r="AR100" s="344" t="str">
        <f>VLOOKUP("Petroleum: Stoddard Solvent (water)",Table_IP_2,MATCH("IUR",heading_IP_2,0),FALSE)</f>
        <v>--</v>
      </c>
      <c r="AS100" s="344">
        <f>VLOOKUP("Petroleum: Stoddard Solvent (water)",Table_IP_2,MATCH("RfDo",heading_IP_2,0),FALSE)</f>
        <v>0.03</v>
      </c>
      <c r="AT100" s="344">
        <f>VLOOKUP("Petroleum: Stoddard Solvent (water)",Table_IP_2,MATCH("RfC",heading_IP_2,0),FALSE)</f>
        <v>296.61016949152543</v>
      </c>
      <c r="AU100" s="344">
        <f>VLOOKUP("Petroleum: Stoddard Solvent (water)",Table_IP_2,MATCH("GIABS",heading_IP_2,0),FALSE)</f>
        <v>1</v>
      </c>
      <c r="AV100" s="119" t="str">
        <f t="shared" ref="AV100:AV148" si="226">IF(AQ100="--","--",(TR*365*LT*1000)/((AQ100/AU100)*DFWadj))</f>
        <v>--</v>
      </c>
      <c r="AW100" s="555" t="str">
        <f t="shared" si="224"/>
        <v>--</v>
      </c>
      <c r="AX100" s="124">
        <f t="shared" si="225"/>
        <v>7.3729098866569406E-2</v>
      </c>
    </row>
    <row r="101" spans="1:50" ht="12.75" customHeight="1">
      <c r="A101" s="1408" t="s">
        <v>265</v>
      </c>
      <c r="B101" s="185" t="s">
        <v>115</v>
      </c>
      <c r="C101" s="566" t="str">
        <f t="shared" si="198"/>
        <v>--</v>
      </c>
      <c r="D101" s="586" t="str">
        <f t="shared" si="199"/>
        <v>--</v>
      </c>
      <c r="E101" s="182" t="str">
        <f t="shared" si="202"/>
        <v>--</v>
      </c>
      <c r="F101" s="609" t="str">
        <f t="shared" si="203"/>
        <v>--</v>
      </c>
      <c r="G101" s="182">
        <f t="shared" si="204"/>
        <v>210.48658526371332</v>
      </c>
      <c r="H101" s="183" t="str">
        <f t="shared" si="205"/>
        <v>Tapwater</v>
      </c>
      <c r="I101" s="188" t="str">
        <f t="shared" si="206"/>
        <v>--</v>
      </c>
      <c r="J101" s="157" t="str">
        <f t="shared" si="207"/>
        <v>--</v>
      </c>
      <c r="K101" s="190" t="str">
        <f t="shared" si="208"/>
        <v>--</v>
      </c>
      <c r="L101" s="157" t="str">
        <f t="shared" si="209"/>
        <v>--</v>
      </c>
      <c r="M101" s="192" t="str">
        <f t="shared" si="210"/>
        <v>--</v>
      </c>
      <c r="N101" s="190" t="str">
        <f t="shared" si="211"/>
        <v>--</v>
      </c>
      <c r="O101" s="198" t="str">
        <f t="shared" si="212"/>
        <v>--</v>
      </c>
      <c r="P101" s="162">
        <f t="shared" si="213"/>
        <v>601.64835164835165</v>
      </c>
      <c r="Q101" s="157">
        <f t="shared" si="214"/>
        <v>618.64406779661022</v>
      </c>
      <c r="R101" s="157" t="str">
        <f t="shared" si="215"/>
        <v>--</v>
      </c>
      <c r="S101" s="157">
        <f t="shared" si="200"/>
        <v>679.18274757968004</v>
      </c>
      <c r="T101" s="157" t="str">
        <f t="shared" si="216"/>
        <v>--</v>
      </c>
      <c r="U101" s="157">
        <f t="shared" si="217"/>
        <v>679.18274757968004</v>
      </c>
      <c r="V101" s="200">
        <f t="shared" si="218"/>
        <v>210.48658526371332</v>
      </c>
      <c r="W101" s="186" t="str">
        <f t="shared" si="219"/>
        <v>--</v>
      </c>
      <c r="X101" s="596" t="str">
        <f t="shared" si="220"/>
        <v>--</v>
      </c>
      <c r="Y101" s="187" t="str">
        <f t="shared" si="221"/>
        <v>--</v>
      </c>
      <c r="Z101" s="567" t="str">
        <f t="shared" si="222"/>
        <v>--</v>
      </c>
      <c r="AA101" s="568" t="str">
        <f t="shared" si="223"/>
        <v>--</v>
      </c>
      <c r="AB101" s="122" t="str">
        <f t="shared" si="184"/>
        <v>--</v>
      </c>
      <c r="AC101" s="121" t="str">
        <f t="shared" si="185"/>
        <v>--</v>
      </c>
      <c r="AD101" s="121" t="str">
        <f t="shared" si="186"/>
        <v>--</v>
      </c>
      <c r="AE101" s="121" t="str">
        <f t="shared" si="187"/>
        <v>--</v>
      </c>
      <c r="AF101" s="121" t="str">
        <f t="shared" si="188"/>
        <v>--</v>
      </c>
      <c r="AG101" s="121" t="str">
        <f t="shared" si="189"/>
        <v>--</v>
      </c>
      <c r="AH101" s="119" t="str">
        <f t="shared" si="190"/>
        <v>V</v>
      </c>
      <c r="AI101" s="119" t="str">
        <f t="shared" si="191"/>
        <v>O</v>
      </c>
      <c r="AJ101" s="871" t="str">
        <f>VLOOKUP("Petroleum: Jet Fuel (water)",Table_IP_2,MATCH("mut",heading_IP_2,0),FALSE)</f>
        <v>--</v>
      </c>
      <c r="AK101" s="345">
        <f>VLOOKUP("Petroleum: Jet Fuel (water)",Table_IP_2,MATCH("FA",heading_IP_2,0),FALSE)</f>
        <v>1</v>
      </c>
      <c r="AL101" s="344">
        <f>VLOOKUP("Petroleum: Jet Fuel (water)",Table_IP_2,MATCH("B",heading_IP_2,0),FALSE)</f>
        <v>0.31</v>
      </c>
      <c r="AM101" s="344">
        <f>VLOOKUP("Petroleum: Jet Fuel (water)",Table_IP_2,MATCH("t_event",heading_IP_2,0),FALSE)</f>
        <v>0.6</v>
      </c>
      <c r="AN101" s="344">
        <f>VLOOKUP("Petroleum: Jet Fuel (water)",Table_IP_2,MATCH("t",heading_IP_2,0),FALSE)</f>
        <v>1.4</v>
      </c>
      <c r="AO101" s="344">
        <f>VLOOKUP("Petroleum: Jet Fuel (water)",Table_IP_2,MATCH("Kp",heading_IP_2,0),FALSE)</f>
        <v>6.9000000000000006E-2</v>
      </c>
      <c r="AP101" s="344" t="str">
        <f>VLOOKUP("Petroleum: Jet Fuel (water)",Table_IP_2,MATCH("EPD",heading_IP_2,0),FALSE)</f>
        <v>Yes</v>
      </c>
      <c r="AQ101" s="344" t="str">
        <f>VLOOKUP("Petroleum: Jet Fuel (water)",Table_IP_2,MATCH("SFo",heading_IP_2,0),FALSE)</f>
        <v>--</v>
      </c>
      <c r="AR101" s="344" t="str">
        <f>VLOOKUP("Petroleum: Jet Fuel (water)",Table_IP_2,MATCH("IUR",heading_IP_2,0),FALSE)</f>
        <v>--</v>
      </c>
      <c r="AS101" s="344">
        <f>VLOOKUP("Petroleum: Jet Fuel (water)",Table_IP_2,MATCH("RfDo",heading_IP_2,0),FALSE)</f>
        <v>0.03</v>
      </c>
      <c r="AT101" s="344">
        <f>VLOOKUP("Petroleum: Jet Fuel (water)",Table_IP_2,MATCH("RfC",heading_IP_2,0),FALSE)</f>
        <v>296.61016949152543</v>
      </c>
      <c r="AU101" s="344">
        <f>VLOOKUP("Petroleum: Jet Fuel (water)",Table_IP_2,MATCH("GIABS",heading_IP_2,0),FALSE)</f>
        <v>1</v>
      </c>
      <c r="AV101" s="119" t="str">
        <f t="shared" si="226"/>
        <v>--</v>
      </c>
      <c r="AW101" s="555" t="str">
        <f t="shared" si="224"/>
        <v>--</v>
      </c>
      <c r="AX101" s="124">
        <f t="shared" si="225"/>
        <v>7.3729098866569406E-2</v>
      </c>
    </row>
    <row r="102" spans="1:50" ht="12.75" customHeight="1">
      <c r="A102" s="1408" t="s">
        <v>266</v>
      </c>
      <c r="B102" s="185" t="s">
        <v>115</v>
      </c>
      <c r="C102" s="566" t="str">
        <f t="shared" si="198"/>
        <v>--</v>
      </c>
      <c r="D102" s="586" t="str">
        <f t="shared" si="199"/>
        <v>--</v>
      </c>
      <c r="E102" s="182" t="str">
        <f t="shared" si="202"/>
        <v>--</v>
      </c>
      <c r="F102" s="609" t="str">
        <f t="shared" si="203"/>
        <v>--</v>
      </c>
      <c r="G102" s="182">
        <f t="shared" si="204"/>
        <v>178.56467953809269</v>
      </c>
      <c r="H102" s="183" t="str">
        <f t="shared" si="205"/>
        <v>Tapwater</v>
      </c>
      <c r="I102" s="188" t="str">
        <f t="shared" si="206"/>
        <v>--</v>
      </c>
      <c r="J102" s="157" t="str">
        <f t="shared" si="207"/>
        <v>--</v>
      </c>
      <c r="K102" s="190" t="str">
        <f t="shared" si="208"/>
        <v>--</v>
      </c>
      <c r="L102" s="157" t="str">
        <f t="shared" si="209"/>
        <v>--</v>
      </c>
      <c r="M102" s="192" t="str">
        <f t="shared" si="210"/>
        <v>--</v>
      </c>
      <c r="N102" s="190" t="str">
        <f t="shared" si="211"/>
        <v>--</v>
      </c>
      <c r="O102" s="198" t="str">
        <f t="shared" si="212"/>
        <v>--</v>
      </c>
      <c r="P102" s="162">
        <f t="shared" si="213"/>
        <v>601.64835164835165</v>
      </c>
      <c r="Q102" s="157">
        <f t="shared" si="214"/>
        <v>405.55555555555554</v>
      </c>
      <c r="R102" s="157" t="str">
        <f t="shared" si="215"/>
        <v>--</v>
      </c>
      <c r="S102" s="157">
        <f t="shared" si="200"/>
        <v>679.18274757968004</v>
      </c>
      <c r="T102" s="157" t="str">
        <f t="shared" si="216"/>
        <v>--</v>
      </c>
      <c r="U102" s="157">
        <f t="shared" si="217"/>
        <v>679.18274757968004</v>
      </c>
      <c r="V102" s="200">
        <f t="shared" si="218"/>
        <v>178.56467953809269</v>
      </c>
      <c r="W102" s="186" t="str">
        <f t="shared" si="219"/>
        <v>--</v>
      </c>
      <c r="X102" s="596" t="str">
        <f t="shared" si="220"/>
        <v>--</v>
      </c>
      <c r="Y102" s="187" t="str">
        <f t="shared" si="221"/>
        <v>--</v>
      </c>
      <c r="Z102" s="567" t="str">
        <f t="shared" si="222"/>
        <v>--</v>
      </c>
      <c r="AA102" s="568" t="str">
        <f t="shared" si="223"/>
        <v>--</v>
      </c>
      <c r="AB102" s="122" t="str">
        <f t="shared" si="184"/>
        <v>--</v>
      </c>
      <c r="AC102" s="121" t="str">
        <f t="shared" si="185"/>
        <v>--</v>
      </c>
      <c r="AD102" s="121" t="str">
        <f t="shared" si="186"/>
        <v>--</v>
      </c>
      <c r="AE102" s="121" t="str">
        <f t="shared" si="187"/>
        <v>--</v>
      </c>
      <c r="AF102" s="121" t="str">
        <f t="shared" si="188"/>
        <v>--</v>
      </c>
      <c r="AG102" s="121" t="str">
        <f t="shared" si="189"/>
        <v>--</v>
      </c>
      <c r="AH102" s="119" t="str">
        <f t="shared" si="190"/>
        <v>V</v>
      </c>
      <c r="AI102" s="119" t="str">
        <f t="shared" si="191"/>
        <v>O</v>
      </c>
      <c r="AJ102" s="871" t="str">
        <f>VLOOKUP("Petroleum: Diesel (water)",Table_IP_2,MATCH("mut",heading_IP_2,0),FALSE)</f>
        <v>--</v>
      </c>
      <c r="AK102" s="345">
        <f>VLOOKUP("Petroleum: Diesel (water)",Table_IP_2,MATCH("FA",heading_IP_2,0),FALSE)</f>
        <v>1</v>
      </c>
      <c r="AL102" s="344">
        <f>VLOOKUP("Petroleum: Diesel (water)",Table_IP_2,MATCH("B",heading_IP_2,0),FALSE)</f>
        <v>0.31</v>
      </c>
      <c r="AM102" s="344">
        <f>VLOOKUP("Petroleum: Diesel (water)",Table_IP_2,MATCH("t_event",heading_IP_2,0),FALSE)</f>
        <v>0.6</v>
      </c>
      <c r="AN102" s="344">
        <f>VLOOKUP("Petroleum: Diesel (water)",Table_IP_2,MATCH("t",heading_IP_2,0),FALSE)</f>
        <v>1.4</v>
      </c>
      <c r="AO102" s="344">
        <f>VLOOKUP("Petroleum: Diesel (water)",Table_IP_2,MATCH("Kp",heading_IP_2,0),FALSE)</f>
        <v>6.9000000000000006E-2</v>
      </c>
      <c r="AP102" s="344" t="str">
        <f>VLOOKUP("Petroleum: Diesel (water)",Table_IP_2,MATCH("EPD",heading_IP_2,0),FALSE)</f>
        <v>Yes</v>
      </c>
      <c r="AQ102" s="344" t="str">
        <f>VLOOKUP("Petroleum: Diesel (water)",Table_IP_2,MATCH("SFo",heading_IP_2,0),FALSE)</f>
        <v>--</v>
      </c>
      <c r="AR102" s="344" t="str">
        <f>VLOOKUP("Petroleum: Diesel (water)",Table_IP_2,MATCH("IUR",heading_IP_2,0),FALSE)</f>
        <v>--</v>
      </c>
      <c r="AS102" s="344">
        <f>VLOOKUP("Petroleum: Diesel (water)",Table_IP_2,MATCH("RfDo",heading_IP_2,0),FALSE)</f>
        <v>0.03</v>
      </c>
      <c r="AT102" s="344">
        <f>VLOOKUP("Petroleum: Diesel (water)",Table_IP_2,MATCH("RfC",heading_IP_2,0),FALSE)</f>
        <v>194.44444444444443</v>
      </c>
      <c r="AU102" s="344">
        <f>VLOOKUP("Petroleum: Diesel (water)",Table_IP_2,MATCH("GIABS",heading_IP_2,0),FALSE)</f>
        <v>1</v>
      </c>
      <c r="AV102" s="119" t="str">
        <f t="shared" si="226"/>
        <v>--</v>
      </c>
      <c r="AW102" s="555" t="str">
        <f t="shared" si="224"/>
        <v>--</v>
      </c>
      <c r="AX102" s="124">
        <f t="shared" si="225"/>
        <v>7.3729098866569406E-2</v>
      </c>
    </row>
    <row r="103" spans="1:50" ht="12.75" customHeight="1">
      <c r="A103" s="1408" t="s">
        <v>267</v>
      </c>
      <c r="B103" s="185" t="s">
        <v>115</v>
      </c>
      <c r="C103" s="566" t="str">
        <f t="shared" si="198"/>
        <v>--</v>
      </c>
      <c r="D103" s="586" t="str">
        <f t="shared" si="199"/>
        <v>--</v>
      </c>
      <c r="E103" s="182" t="str">
        <f t="shared" si="202"/>
        <v>--</v>
      </c>
      <c r="F103" s="609" t="str">
        <f t="shared" si="203"/>
        <v>--</v>
      </c>
      <c r="G103" s="182">
        <f t="shared" si="204"/>
        <v>409.72309098470822</v>
      </c>
      <c r="H103" s="183" t="str">
        <f t="shared" si="205"/>
        <v>Tapwater</v>
      </c>
      <c r="I103" s="188" t="str">
        <f t="shared" si="206"/>
        <v>--</v>
      </c>
      <c r="J103" s="157" t="str">
        <f t="shared" si="207"/>
        <v>--</v>
      </c>
      <c r="K103" s="190" t="str">
        <f t="shared" si="208"/>
        <v>--</v>
      </c>
      <c r="L103" s="157" t="str">
        <f t="shared" si="209"/>
        <v>--</v>
      </c>
      <c r="M103" s="192" t="str">
        <f t="shared" si="210"/>
        <v>--</v>
      </c>
      <c r="N103" s="190" t="str">
        <f t="shared" si="211"/>
        <v>--</v>
      </c>
      <c r="O103" s="198" t="str">
        <f t="shared" si="212"/>
        <v>--</v>
      </c>
      <c r="P103" s="162">
        <f t="shared" si="213"/>
        <v>601.64835164835165</v>
      </c>
      <c r="Q103" s="157" t="str">
        <f t="shared" si="214"/>
        <v>--</v>
      </c>
      <c r="R103" s="157" t="str">
        <f t="shared" si="215"/>
        <v>--</v>
      </c>
      <c r="S103" s="157">
        <f t="shared" si="200"/>
        <v>1284.402175465764</v>
      </c>
      <c r="T103" s="157" t="str">
        <f t="shared" si="216"/>
        <v>--</v>
      </c>
      <c r="U103" s="157">
        <f t="shared" si="217"/>
        <v>1284.402175465764</v>
      </c>
      <c r="V103" s="200">
        <f t="shared" si="218"/>
        <v>409.72309098470822</v>
      </c>
      <c r="W103" s="186" t="str">
        <f t="shared" si="219"/>
        <v>--</v>
      </c>
      <c r="X103" s="596" t="str">
        <f t="shared" si="220"/>
        <v>--</v>
      </c>
      <c r="Y103" s="187" t="str">
        <f t="shared" si="221"/>
        <v>--</v>
      </c>
      <c r="Z103" s="567" t="str">
        <f t="shared" si="222"/>
        <v>--</v>
      </c>
      <c r="AA103" s="568" t="str">
        <f t="shared" si="223"/>
        <v>--</v>
      </c>
      <c r="AB103" s="122" t="str">
        <f t="shared" si="184"/>
        <v>--</v>
      </c>
      <c r="AC103" s="121" t="str">
        <f t="shared" si="185"/>
        <v>--</v>
      </c>
      <c r="AD103" s="121" t="str">
        <f t="shared" si="186"/>
        <v>--</v>
      </c>
      <c r="AE103" s="121" t="str">
        <f t="shared" si="187"/>
        <v>--</v>
      </c>
      <c r="AF103" s="121" t="str">
        <f t="shared" si="188"/>
        <v>--</v>
      </c>
      <c r="AG103" s="121" t="str">
        <f t="shared" si="189"/>
        <v>--</v>
      </c>
      <c r="AH103" s="119" t="str">
        <f t="shared" si="190"/>
        <v>NV</v>
      </c>
      <c r="AI103" s="119" t="str">
        <f t="shared" si="191"/>
        <v>O</v>
      </c>
      <c r="AJ103" s="871" t="str">
        <f>VLOOKUP("Petroleum: HOPs (water)",Table_IP_2,MATCH("mut",heading_IP_2,0),FALSE)</f>
        <v>--</v>
      </c>
      <c r="AK103" s="345">
        <f>VLOOKUP("Petroleum: HOPs (water)",Table_IP_2,MATCH("FA",heading_IP_2,0),FALSE)</f>
        <v>1</v>
      </c>
      <c r="AL103" s="344">
        <f>VLOOKUP("Petroleum: HOPs (water)",Table_IP_2,MATCH("B",heading_IP_2,0),FALSE)</f>
        <v>0.13600000000000001</v>
      </c>
      <c r="AM103" s="344">
        <f>VLOOKUP("Petroleum: HOPs (water)",Table_IP_2,MATCH("t_event",heading_IP_2,0),FALSE)</f>
        <v>1.2</v>
      </c>
      <c r="AN103" s="344">
        <f>VLOOKUP("Petroleum: HOPs (water)",Table_IP_2,MATCH("t",heading_IP_2,0),FALSE)</f>
        <v>2.91</v>
      </c>
      <c r="AO103" s="344">
        <f>VLOOKUP("Petroleum: HOPs (water)",Table_IP_2,MATCH("Kp",heading_IP_2,0),FALSE)</f>
        <v>2.58E-2</v>
      </c>
      <c r="AP103" s="344" t="str">
        <f>VLOOKUP("Petroleum: HOPs (water)",Table_IP_2,MATCH("EPD",heading_IP_2,0),FALSE)</f>
        <v>Yes</v>
      </c>
      <c r="AQ103" s="344" t="str">
        <f>VLOOKUP("Petroleum: HOPs (water)",Table_IP_2,MATCH("SFo",heading_IP_2,0),FALSE)</f>
        <v>--</v>
      </c>
      <c r="AR103" s="344" t="str">
        <f>VLOOKUP("Petroleum: HOPs (water)",Table_IP_2,MATCH("IUR",heading_IP_2,0),FALSE)</f>
        <v>--</v>
      </c>
      <c r="AS103" s="344">
        <f>VLOOKUP("Petroleum: HOPs (water)",Table_IP_2,MATCH("RfDo",heading_IP_2,0),FALSE)</f>
        <v>0.03</v>
      </c>
      <c r="AT103" s="344" t="str">
        <f>VLOOKUP("Petroleum: HOPs (water)",Table_IP_2,MATCH("RfC",heading_IP_2,0),FALSE)</f>
        <v>--</v>
      </c>
      <c r="AU103" s="344">
        <f>VLOOKUP("Petroleum: HOPs (water)",Table_IP_2,MATCH("GIABS",heading_IP_2,0),FALSE)</f>
        <v>1</v>
      </c>
      <c r="AV103" s="119" t="str">
        <f t="shared" si="226"/>
        <v>--</v>
      </c>
      <c r="AW103" s="555" t="str">
        <f t="shared" si="224"/>
        <v>--</v>
      </c>
      <c r="AX103" s="124">
        <f t="shared" si="225"/>
        <v>7.3729098866569406E-2</v>
      </c>
    </row>
    <row r="104" spans="1:50" ht="12.75" customHeight="1">
      <c r="A104" s="1408" t="s">
        <v>268</v>
      </c>
      <c r="B104" s="185" t="s">
        <v>115</v>
      </c>
      <c r="C104" s="566" t="str">
        <f t="shared" si="198"/>
        <v>--</v>
      </c>
      <c r="D104" s="586" t="str">
        <f t="shared" si="199"/>
        <v>--</v>
      </c>
      <c r="E104" s="182" t="str">
        <f t="shared" si="202"/>
        <v>--</v>
      </c>
      <c r="F104" s="609" t="str">
        <f t="shared" si="203"/>
        <v>--</v>
      </c>
      <c r="G104" s="182" t="str">
        <f t="shared" si="204"/>
        <v>--</v>
      </c>
      <c r="H104" s="183" t="str">
        <f t="shared" si="205"/>
        <v>--</v>
      </c>
      <c r="I104" s="188" t="str">
        <f t="shared" si="206"/>
        <v>--</v>
      </c>
      <c r="J104" s="157" t="str">
        <f t="shared" si="207"/>
        <v>--</v>
      </c>
      <c r="K104" s="190" t="str">
        <f t="shared" si="208"/>
        <v>--</v>
      </c>
      <c r="L104" s="157" t="str">
        <f t="shared" si="209"/>
        <v>--</v>
      </c>
      <c r="M104" s="192" t="str">
        <f t="shared" si="210"/>
        <v>--</v>
      </c>
      <c r="N104" s="190" t="str">
        <f t="shared" si="211"/>
        <v>--</v>
      </c>
      <c r="O104" s="198" t="str">
        <f t="shared" si="212"/>
        <v>--</v>
      </c>
      <c r="P104" s="162" t="str">
        <f t="shared" si="213"/>
        <v>--</v>
      </c>
      <c r="Q104" s="157" t="str">
        <f t="shared" si="214"/>
        <v>--</v>
      </c>
      <c r="R104" s="157" t="str">
        <f t="shared" si="215"/>
        <v>--</v>
      </c>
      <c r="S104" s="157" t="str">
        <f t="shared" si="200"/>
        <v>--</v>
      </c>
      <c r="T104" s="157" t="str">
        <f t="shared" si="216"/>
        <v>--</v>
      </c>
      <c r="U104" s="157" t="str">
        <f t="shared" si="217"/>
        <v>--</v>
      </c>
      <c r="V104" s="200" t="str">
        <f t="shared" si="218"/>
        <v>--</v>
      </c>
      <c r="W104" s="186" t="str">
        <f t="shared" si="219"/>
        <v>--</v>
      </c>
      <c r="X104" s="596" t="str">
        <f t="shared" si="220"/>
        <v>--</v>
      </c>
      <c r="Y104" s="187" t="str">
        <f t="shared" si="221"/>
        <v>--</v>
      </c>
      <c r="Z104" s="567" t="str">
        <f t="shared" si="222"/>
        <v>--</v>
      </c>
      <c r="AA104" s="568" t="str">
        <f t="shared" si="223"/>
        <v>--</v>
      </c>
      <c r="AB104" s="122" t="str">
        <f t="shared" si="184"/>
        <v>--</v>
      </c>
      <c r="AC104" s="121" t="str">
        <f t="shared" si="185"/>
        <v>--</v>
      </c>
      <c r="AD104" s="121" t="str">
        <f t="shared" si="186"/>
        <v>--</v>
      </c>
      <c r="AE104" s="121" t="str">
        <f t="shared" si="187"/>
        <v>--</v>
      </c>
      <c r="AF104" s="121" t="str">
        <f t="shared" si="188"/>
        <v>--</v>
      </c>
      <c r="AG104" s="121" t="str">
        <f t="shared" si="189"/>
        <v>--</v>
      </c>
      <c r="AH104" s="119" t="str">
        <f t="shared" si="190"/>
        <v>NV</v>
      </c>
      <c r="AI104" s="119" t="str">
        <f t="shared" si="191"/>
        <v>O</v>
      </c>
      <c r="AJ104" s="871" t="str">
        <f>VLOOKUP("Petroleum: Motor Oil (water)",Table_IP_2,MATCH("mut",heading_IP_2,0),FALSE)</f>
        <v>--</v>
      </c>
      <c r="AK104" s="345" t="str">
        <f>VLOOKUP("Petroleum: Motor Oil (water)",Table_IP_2,MATCH("FA",heading_IP_2,0),FALSE)</f>
        <v>--</v>
      </c>
      <c r="AL104" s="344" t="str">
        <f>VLOOKUP("Petroleum: Motor Oil (water)",Table_IP_2,MATCH("B",heading_IP_2,0),FALSE)</f>
        <v>--</v>
      </c>
      <c r="AM104" s="344" t="str">
        <f>VLOOKUP("Petroleum: Motor Oil (water)",Table_IP_2,MATCH("t_event",heading_IP_2,0),FALSE)</f>
        <v>--</v>
      </c>
      <c r="AN104" s="344" t="str">
        <f>VLOOKUP("Petroleum: Motor Oil (water)",Table_IP_2,MATCH("t",heading_IP_2,0),FALSE)</f>
        <v>--</v>
      </c>
      <c r="AO104" s="344" t="str">
        <f>VLOOKUP("Petroleum: Motor Oil (water)",Table_IP_2,MATCH("Kp",heading_IP_2,0),FALSE)</f>
        <v>--</v>
      </c>
      <c r="AP104" s="344" t="str">
        <f>VLOOKUP("Petroleum: Motor Oil (water)",Table_IP_2,MATCH("EPD",heading_IP_2,0),FALSE)</f>
        <v>No</v>
      </c>
      <c r="AQ104" s="344" t="str">
        <f>VLOOKUP("Petroleum: Motor Oil (water)",Table_IP_2,MATCH("SFo",heading_IP_2,0),FALSE)</f>
        <v>--</v>
      </c>
      <c r="AR104" s="344" t="str">
        <f>VLOOKUP("Petroleum: Motor Oil (water)",Table_IP_2,MATCH("IUR",heading_IP_2,0),FALSE)</f>
        <v>--</v>
      </c>
      <c r="AS104" s="344" t="str">
        <f>VLOOKUP("Petroleum: Motor Oil (water)",Table_IP_2,MATCH("RfDo",heading_IP_2,0),FALSE)</f>
        <v>--</v>
      </c>
      <c r="AT104" s="344" t="str">
        <f>VLOOKUP("Petroleum: Motor Oil (water)",Table_IP_2,MATCH("RfC",heading_IP_2,0),FALSE)</f>
        <v>--</v>
      </c>
      <c r="AU104" s="344">
        <f>VLOOKUP("Petroleum: Motor Oil (water)",Table_IP_2,MATCH("GIABS",heading_IP_2,0),FALSE)</f>
        <v>1</v>
      </c>
      <c r="AV104" s="119" t="str">
        <f t="shared" si="226"/>
        <v>--</v>
      </c>
      <c r="AW104" s="555" t="str">
        <f t="shared" si="224"/>
        <v>--</v>
      </c>
      <c r="AX104" s="124" t="str">
        <f t="shared" si="225"/>
        <v>--</v>
      </c>
    </row>
    <row r="105" spans="1:50" ht="12.75" customHeight="1">
      <c r="A105" s="1408" t="s">
        <v>719</v>
      </c>
      <c r="B105" s="1468" t="s">
        <v>115</v>
      </c>
      <c r="C105" s="566" t="str">
        <f t="shared" si="198"/>
        <v>--</v>
      </c>
      <c r="D105" s="586" t="str">
        <f t="shared" si="199"/>
        <v>--</v>
      </c>
      <c r="E105" s="182" t="str">
        <f t="shared" ref="E105:E109" si="227">IF(AND(O105="--",W105="--"),"--", IF(O105="--",W105,IF(W105="--",O105,MIN(O105,W105))))</f>
        <v>--</v>
      </c>
      <c r="F105" s="609" t="str">
        <f t="shared" ref="F105:F109" si="228">IF(E105="--","--",IF(E105=O105,"Tapwater",Y105))</f>
        <v>--</v>
      </c>
      <c r="G105" s="182">
        <f t="shared" ref="G105:G109" si="229">IF(AND(V105="--",X105="--"),"--", IF(V105="--",X105,IF(X105="--",V105,MIN(V105,X105))))</f>
        <v>790.67190217625296</v>
      </c>
      <c r="H105" s="183" t="str">
        <f t="shared" ref="H105:H109" si="230">IF(G105="--","--",IF(G105=V105,"Tapwater",Y105))</f>
        <v>Tapwater</v>
      </c>
      <c r="I105" s="188" t="str">
        <f t="shared" ref="I105:I109" si="231">IF(AQ105="--","--",
IF(AJ105="--",
(TR*365*LT*1000)/(AQ105*IFWadj),
(TR*365*LT*1000)/(AQ105*IFWmadj)))</f>
        <v>--</v>
      </c>
      <c r="J105" s="157" t="str">
        <f t="shared" ref="J105:J109" si="232">IF(AR105="--","--",
IF(AH105="NV","--",
IF(AJ105="--",
(TR*365*LT)/(EFr*EDr*ETr*(1/24)*AR105*0.5),
(TR*365*LT)/(TETmadj*AR105*0.5))))</f>
        <v>--</v>
      </c>
      <c r="K105" s="190" t="str">
        <f t="shared" ref="K105:K109" si="233">IF(AP105="No", "--",
IF(AV105="--","--",
IF(AND(AO105=0, AI105="I"), "--",
IF(AI105&lt;&gt;"I","--",
IF(AJ105="--",
(AV105*1000)/(AO105*ETwadj),
(AW105*1000)/(AO105*ETwadj))))))</f>
        <v>--</v>
      </c>
      <c r="L105" s="157" t="str">
        <f t="shared" ref="L105:L109" si="234">IF(AP105="No", "--",
IF(AV105="--", "--",
IF(AI105&lt;&gt;"O", "--",
IF(ETwadj &gt; AN105, "--",
IF(AJ105="--",
(AV105*1000)/(2*AK105*AO105*SQRT((6*AM105*ETwadj)/PI())),
(AW105*1000)/(2*AK105*AO105*SQRT((6*AM105*ETwadj)/PI())))))))</f>
        <v>--</v>
      </c>
      <c r="M105" s="192" t="str">
        <f t="shared" ref="M105:M109" si="235">IF(AP105="No","--",
IF(AV105="--","--",
IF(AI105&lt;&gt;"O","--",
IF(ETwadj&lt;AN105,"--",
IF(AJ105="--",
(AV105*1000)/(AK105*AO105*(ETwadj/(1+AL105)+(2*AM105*(1+(3*AL105)+(3*(AL105^2)))/((1+AL105)^2)))),
(AW105*1000)/(AK105*AO105*(ETwadj/(1+AL105)+(2*AM105*(1+(3*AL105)+(3*(AL105^2)))/((1+AL105)^2)))))))))</f>
        <v>--</v>
      </c>
      <c r="N105" s="190" t="str">
        <f t="shared" ref="N105:N109" si="236">IF(AND(M105="--",L105="--"),K105, IF(AND(K105="--",M105="--"), L105, M105))</f>
        <v>--</v>
      </c>
      <c r="O105" s="198" t="str">
        <f t="shared" ref="O105:O109" si="237">IF(AND(I105="--",J105="--",N105="--"),"--",IF(AND(J105="--",N105="--"),I105,IF(AND(I105="--",N105="--"),J105,IF(AND(I105="--",J105="--"),N105, IF(I105="--", (1/((1/J105)+(1/N105))), IF(J105="--", (1/((1/I105)+(1/N105))), IF(N105="--", (1/((1/I105)+(1/J105))), (1/((1/I105)+(1/J105)+(1/N105))))))))))</f>
        <v>--</v>
      </c>
      <c r="P105" s="162">
        <f t="shared" ref="P105:P109" si="238">IF(AS105="--","--",(THQ*EDc*365*BWc*1000)/(EFr*EDc*(1/AS105)*IRWc))</f>
        <v>6016.4835164835167</v>
      </c>
      <c r="Q105" s="157">
        <f t="shared" ref="Q105:Q109" si="239">IF(AT105="--","--",IF(AH105="NV","--",(THQ*EDc*365*1000)/(EFr*EDc*ETr*(1/24)*(1/(AT105/1000))*0.5)))</f>
        <v>1460</v>
      </c>
      <c r="R105" s="157" t="str">
        <f t="shared" ref="R105:R109" si="240">IF(AP105="No", "--",
IF(AX105="--","--",IF(AND(AO105="--", AI105="I"), "--", IF(AI105="I", (AX105*1000)/(AO105*ETwc), "--"))))</f>
        <v>--</v>
      </c>
      <c r="S105" s="157">
        <f t="shared" ref="S105:S109" si="241">IF(AP105="No", "--",IF(OR(AX105="--",AL105="--",AK105="--"),"--",IF(AND(AI105="O", ETwc &lt; AN105), (AX105*1000)/(2*AK105*AO105*SQRT((6*AM105*ETwc)/PI())), "--")))</f>
        <v>2417.7625077527218</v>
      </c>
      <c r="T105" s="157" t="str">
        <f t="shared" ref="T105:T109" si="242">IF(AP105="No", "--", IF(AX105="--","--",IF(AND(AI105="O", ETwc &gt; AN105), ((AX105*1000)/(AK105*AO105*(ETwc/(1+AL105)+(2*AM105*(1+(3*AL105)+(3*(AL105^2)))/((1+AL105)^2))))), "--")))</f>
        <v>--</v>
      </c>
      <c r="U105" s="157">
        <f t="shared" ref="U105:U109" si="243">IF(AND(T105="--",S105="--"),R105, IF(AND(R105="--",T105="--"), S105, T105))</f>
        <v>2417.7625077527218</v>
      </c>
      <c r="V105" s="200">
        <f t="shared" ref="V105:V109" si="244">IF(AND(P105="--",Q105="--",U105="--"),"--",IF(AND(Q105="--",U105="--"),P105,IF(AND(P105="--",U105="--"),Q105,IF(AND(P105="--",Q105="--"),U105, IF(P105="--", (1/((1/Q105)+(1/U105))), IF(Q105="--", (1/((1/P105)+(1/U105))), IF(U105="--", (1/((1/P105)+(1/Q105))), (1/((1/P105)+(1/Q105)+(1/U105))))))))))</f>
        <v>790.67190217625296</v>
      </c>
      <c r="W105" s="186" t="str">
        <f t="shared" ref="W105:W109" si="245">IF(OR(AE105="cancer",AG105="cancer"), MIN(AD105,AF105),"--")</f>
        <v>--</v>
      </c>
      <c r="X105" s="596" t="str">
        <f t="shared" ref="X105:X109" si="246">IF(OR(AE105="noncancer",AG105="noncancer"), MIN(AD105,AF105),"--")</f>
        <v>--</v>
      </c>
      <c r="Y105" s="187" t="str">
        <f t="shared" ref="Y105:Y109" si="247">IF(AND(W105="--",X105="--"),"--",IF(AND(W105&lt;&gt;"--",W105=AD105),"OEHHA PHG",IF(AND(X105&lt;&gt;"--",X105=AD105),"OEHHA PHG","DDW NL")))</f>
        <v>--</v>
      </c>
      <c r="Z105" s="567" t="str">
        <f t="shared" ref="Z105:Z109" si="248">IF(AND(AB105="--",AC105="--"),"--",MIN(AB105,AC105))</f>
        <v>--</v>
      </c>
      <c r="AA105" s="568" t="str">
        <f t="shared" ref="AA105:AA109" si="249">IF(Z105="--","--", IF(Z105=AB105,"MCL (Primary)", IF(Z105=AC105, "MCL (Secondary)", H105)))</f>
        <v>--</v>
      </c>
      <c r="AB105" s="1607" t="s">
        <v>115</v>
      </c>
      <c r="AC105" s="1471" t="s">
        <v>115</v>
      </c>
      <c r="AD105" s="1471" t="s">
        <v>115</v>
      </c>
      <c r="AE105" s="1471" t="s">
        <v>115</v>
      </c>
      <c r="AF105" s="1471" t="s">
        <v>115</v>
      </c>
      <c r="AG105" s="1471" t="s">
        <v>115</v>
      </c>
      <c r="AH105" s="119" t="str">
        <f t="shared" ref="AH105:AH109" si="250">VLOOKUP($A105,Table_IP_1,MATCH("volatility",heading_IP_1,0),FALSE)</f>
        <v>V</v>
      </c>
      <c r="AI105" s="119" t="str">
        <f t="shared" ref="AI105:AI109" si="251">VLOOKUP($A105,Table_IP_1,MATCH("OI",heading_IP_1,0),FALSE)</f>
        <v>O</v>
      </c>
      <c r="AJ105" s="120" t="str">
        <f t="shared" ref="AJ105:AJ109" si="252">VLOOKUP($A105,Table_IP_2,MATCH("mut",heading_IP_2,0),FALSE)</f>
        <v>--</v>
      </c>
      <c r="AK105" s="129">
        <f t="shared" ref="AK105:AK109" si="253">VLOOKUP(A105,Table_IP_2,MATCH("FA",heading_IP_2,0),FALSE)</f>
        <v>1</v>
      </c>
      <c r="AL105" s="119">
        <f t="shared" ref="AL105:AL109" si="254">VLOOKUP($A105,Table_IP_2,MATCH("B",heading_IP_2,0),FALSE)</f>
        <v>0.94604439642122995</v>
      </c>
      <c r="AM105" s="119">
        <f t="shared" ref="AM105:AM109" si="255">VLOOKUP($A105,Table_IP_2,MATCH("t_event",heading_IP_2,0),FALSE)</f>
        <v>0.33346384202540003</v>
      </c>
      <c r="AN105" s="119">
        <f t="shared" ref="AN105:AN109" si="256">VLOOKUP($A105,Table_IP_2,MATCH("t",heading_IP_2,0),FALSE)</f>
        <v>1.28390082056411</v>
      </c>
      <c r="AO105" s="119">
        <f t="shared" ref="AO105:AO109" si="257">VLOOKUP($A105,Table_IP_2,MATCH("Kp",heading_IP_2,0),FALSE)</f>
        <v>0.26</v>
      </c>
      <c r="AP105" s="119" t="str">
        <f t="shared" ref="AP105:AP109" si="258">VLOOKUP($A105,Table_IP_2,MATCH("EPD",heading_IP_2,0),FALSE)</f>
        <v>Yes</v>
      </c>
      <c r="AQ105" s="119" t="str">
        <f t="shared" ref="AQ105:AQ109" si="259">VLOOKUP(A105,Table_IP_2,MATCH("SFo",heading_IP_2,0),FALSE)</f>
        <v>--</v>
      </c>
      <c r="AR105" s="119" t="str">
        <f t="shared" ref="AR105:AR109" si="260">VLOOKUP(A105,Table_IP_2,MATCH("IUR",heading_IP_2,0),FALSE)</f>
        <v>--</v>
      </c>
      <c r="AS105" s="119">
        <f t="shared" ref="AS105:AS109" si="261">VLOOKUP(A105,Table_IP_2,MATCH("RfDo",heading_IP_2,0),FALSE)</f>
        <v>0.3</v>
      </c>
      <c r="AT105" s="119">
        <f t="shared" ref="AT105:AT109" si="262">VLOOKUP(A105,Table_IP_2,MATCH("RfC",heading_IP_2,0),FALSE)</f>
        <v>700</v>
      </c>
      <c r="AU105" s="119">
        <f t="shared" ref="AU105:AU109" si="263">VLOOKUP(A105,Table_IP_2,MATCH("GIABS",heading_IP_2,0),FALSE)</f>
        <v>1</v>
      </c>
      <c r="AV105" s="119" t="str">
        <f t="shared" ref="AV105:AV109" si="264">IF(AQ105="--","--",(TR*365*LT*1000)/((AQ105/AU105)*DFWadj))</f>
        <v>--</v>
      </c>
      <c r="AW105" s="555" t="str">
        <f t="shared" ref="AW105:AW109" si="265">IF(AQ105="--","--",(TR*365*LT*1000)/((AQ105/AU105)*DFWmadj))</f>
        <v>--</v>
      </c>
      <c r="AX105" s="124">
        <f t="shared" ref="AX105:AX109" si="266">IF(AS105="--", "--", (THQ*365*EDc*1000*BWc)/((1/(AS105*AU105))*1*EDc*EFr*SAwc))</f>
        <v>0.73729098866569409</v>
      </c>
    </row>
    <row r="106" spans="1:50" ht="12.75" customHeight="1">
      <c r="A106" s="1408" t="s">
        <v>720</v>
      </c>
      <c r="B106" s="1468" t="s">
        <v>115</v>
      </c>
      <c r="C106" s="566" t="str">
        <f t="shared" si="198"/>
        <v>--</v>
      </c>
      <c r="D106" s="586" t="str">
        <f t="shared" si="199"/>
        <v>--</v>
      </c>
      <c r="E106" s="182" t="str">
        <f t="shared" si="227"/>
        <v>--</v>
      </c>
      <c r="F106" s="609" t="str">
        <f t="shared" si="228"/>
        <v>--</v>
      </c>
      <c r="G106" s="182">
        <f t="shared" si="229"/>
        <v>102.24089635854342</v>
      </c>
      <c r="H106" s="183" t="str">
        <f t="shared" si="230"/>
        <v>Tapwater</v>
      </c>
      <c r="I106" s="188" t="str">
        <f t="shared" si="231"/>
        <v>--</v>
      </c>
      <c r="J106" s="157" t="str">
        <f t="shared" si="232"/>
        <v>--</v>
      </c>
      <c r="K106" s="190" t="str">
        <f t="shared" si="233"/>
        <v>--</v>
      </c>
      <c r="L106" s="157" t="str">
        <f t="shared" si="234"/>
        <v>--</v>
      </c>
      <c r="M106" s="192" t="str">
        <f t="shared" si="235"/>
        <v>--</v>
      </c>
      <c r="N106" s="190" t="str">
        <f t="shared" si="236"/>
        <v>--</v>
      </c>
      <c r="O106" s="198" t="str">
        <f t="shared" si="237"/>
        <v>--</v>
      </c>
      <c r="P106" s="162">
        <f t="shared" si="238"/>
        <v>200.54945054945054</v>
      </c>
      <c r="Q106" s="157">
        <f t="shared" si="239"/>
        <v>208.57142857142858</v>
      </c>
      <c r="R106" s="157" t="str">
        <f t="shared" si="240"/>
        <v>--</v>
      </c>
      <c r="S106" s="157" t="str">
        <f t="shared" si="241"/>
        <v>--</v>
      </c>
      <c r="T106" s="157" t="str">
        <f t="shared" si="242"/>
        <v>--</v>
      </c>
      <c r="U106" s="157" t="str">
        <f t="shared" si="243"/>
        <v>--</v>
      </c>
      <c r="V106" s="200">
        <f t="shared" si="244"/>
        <v>102.24089635854342</v>
      </c>
      <c r="W106" s="186" t="str">
        <f t="shared" si="245"/>
        <v>--</v>
      </c>
      <c r="X106" s="596" t="str">
        <f t="shared" si="246"/>
        <v>--</v>
      </c>
      <c r="Y106" s="187" t="str">
        <f t="shared" si="247"/>
        <v>--</v>
      </c>
      <c r="Z106" s="567" t="str">
        <f t="shared" si="248"/>
        <v>--</v>
      </c>
      <c r="AA106" s="568" t="str">
        <f t="shared" si="249"/>
        <v>--</v>
      </c>
      <c r="AB106" s="1607" t="s">
        <v>115</v>
      </c>
      <c r="AC106" s="1471" t="s">
        <v>115</v>
      </c>
      <c r="AD106" s="1471" t="s">
        <v>115</v>
      </c>
      <c r="AE106" s="1471" t="s">
        <v>115</v>
      </c>
      <c r="AF106" s="1471" t="s">
        <v>115</v>
      </c>
      <c r="AG106" s="1471" t="s">
        <v>115</v>
      </c>
      <c r="AH106" s="119" t="str">
        <f t="shared" si="250"/>
        <v>V</v>
      </c>
      <c r="AI106" s="119" t="str">
        <f t="shared" si="251"/>
        <v>O</v>
      </c>
      <c r="AJ106" s="120" t="str">
        <f t="shared" si="252"/>
        <v>--</v>
      </c>
      <c r="AK106" s="129">
        <f t="shared" si="253"/>
        <v>1</v>
      </c>
      <c r="AL106" s="119">
        <f t="shared" si="254"/>
        <v>7.4049339860175696</v>
      </c>
      <c r="AM106" s="119">
        <f t="shared" si="255"/>
        <v>0.54967343630260002</v>
      </c>
      <c r="AN106" s="119">
        <f t="shared" si="256"/>
        <v>2.4597368290978299</v>
      </c>
      <c r="AO106" s="119">
        <f t="shared" si="257"/>
        <v>1.7</v>
      </c>
      <c r="AP106" s="119" t="str">
        <f t="shared" si="258"/>
        <v>No</v>
      </c>
      <c r="AQ106" s="119" t="str">
        <f t="shared" si="259"/>
        <v>--</v>
      </c>
      <c r="AR106" s="119" t="str">
        <f t="shared" si="260"/>
        <v>--</v>
      </c>
      <c r="AS106" s="119">
        <f t="shared" si="261"/>
        <v>0.01</v>
      </c>
      <c r="AT106" s="119">
        <f t="shared" si="262"/>
        <v>100</v>
      </c>
      <c r="AU106" s="119">
        <f t="shared" si="263"/>
        <v>1</v>
      </c>
      <c r="AV106" s="119" t="str">
        <f t="shared" si="264"/>
        <v>--</v>
      </c>
      <c r="AW106" s="555" t="str">
        <f t="shared" si="265"/>
        <v>--</v>
      </c>
      <c r="AX106" s="124">
        <f t="shared" si="266"/>
        <v>2.4576366288856469E-2</v>
      </c>
    </row>
    <row r="107" spans="1:50" ht="12.75" customHeight="1">
      <c r="A107" s="1408" t="s">
        <v>721</v>
      </c>
      <c r="B107" s="1468" t="s">
        <v>115</v>
      </c>
      <c r="C107" s="566" t="str">
        <f t="shared" si="198"/>
        <v>--</v>
      </c>
      <c r="D107" s="586" t="str">
        <f t="shared" si="199"/>
        <v>--</v>
      </c>
      <c r="E107" s="182" t="str">
        <f t="shared" si="227"/>
        <v>--</v>
      </c>
      <c r="F107" s="609" t="str">
        <f t="shared" si="228"/>
        <v>--</v>
      </c>
      <c r="G107" s="182">
        <f t="shared" si="229"/>
        <v>60164.835164835167</v>
      </c>
      <c r="H107" s="183" t="str">
        <f t="shared" si="230"/>
        <v>Tapwater</v>
      </c>
      <c r="I107" s="188" t="str">
        <f t="shared" si="231"/>
        <v>--</v>
      </c>
      <c r="J107" s="157" t="str">
        <f t="shared" si="232"/>
        <v>--</v>
      </c>
      <c r="K107" s="190" t="str">
        <f t="shared" si="233"/>
        <v>--</v>
      </c>
      <c r="L107" s="157" t="str">
        <f t="shared" si="234"/>
        <v>--</v>
      </c>
      <c r="M107" s="192" t="str">
        <f t="shared" si="235"/>
        <v>--</v>
      </c>
      <c r="N107" s="190" t="str">
        <f t="shared" si="236"/>
        <v>--</v>
      </c>
      <c r="O107" s="198" t="str">
        <f t="shared" si="237"/>
        <v>--</v>
      </c>
      <c r="P107" s="162">
        <f t="shared" si="238"/>
        <v>60164.835164835167</v>
      </c>
      <c r="Q107" s="157" t="str">
        <f t="shared" si="239"/>
        <v>--</v>
      </c>
      <c r="R107" s="157" t="str">
        <f t="shared" si="240"/>
        <v>--</v>
      </c>
      <c r="S107" s="157" t="str">
        <f t="shared" si="241"/>
        <v>--</v>
      </c>
      <c r="T107" s="157" t="str">
        <f t="shared" si="242"/>
        <v>--</v>
      </c>
      <c r="U107" s="157" t="str">
        <f t="shared" si="243"/>
        <v>--</v>
      </c>
      <c r="V107" s="200">
        <f t="shared" si="244"/>
        <v>60164.835164835167</v>
      </c>
      <c r="W107" s="186" t="str">
        <f t="shared" si="245"/>
        <v>--</v>
      </c>
      <c r="X107" s="596" t="str">
        <f t="shared" si="246"/>
        <v>--</v>
      </c>
      <c r="Y107" s="187" t="str">
        <f t="shared" si="247"/>
        <v>--</v>
      </c>
      <c r="Z107" s="567" t="str">
        <f t="shared" si="248"/>
        <v>--</v>
      </c>
      <c r="AA107" s="568" t="str">
        <f t="shared" si="249"/>
        <v>--</v>
      </c>
      <c r="AB107" s="1607" t="s">
        <v>115</v>
      </c>
      <c r="AC107" s="1471" t="s">
        <v>115</v>
      </c>
      <c r="AD107" s="1471" t="s">
        <v>115</v>
      </c>
      <c r="AE107" s="1471" t="s">
        <v>115</v>
      </c>
      <c r="AF107" s="1471" t="s">
        <v>115</v>
      </c>
      <c r="AG107" s="1471" t="s">
        <v>115</v>
      </c>
      <c r="AH107" s="119" t="str">
        <f t="shared" si="250"/>
        <v>V</v>
      </c>
      <c r="AI107" s="119" t="str">
        <f t="shared" si="251"/>
        <v>O</v>
      </c>
      <c r="AJ107" s="120" t="str">
        <f t="shared" si="252"/>
        <v>--</v>
      </c>
      <c r="AK107" s="129">
        <f t="shared" si="253"/>
        <v>1</v>
      </c>
      <c r="AL107" s="119">
        <f t="shared" si="254"/>
        <v>9.8387753603645205</v>
      </c>
      <c r="AM107" s="119">
        <f t="shared" si="255"/>
        <v>0.94569860762913005</v>
      </c>
      <c r="AN107" s="119">
        <f t="shared" si="256"/>
        <v>4.2817373398877798</v>
      </c>
      <c r="AO107" s="119">
        <f t="shared" si="257"/>
        <v>1.96</v>
      </c>
      <c r="AP107" s="119" t="str">
        <f t="shared" si="258"/>
        <v>No</v>
      </c>
      <c r="AQ107" s="119" t="str">
        <f t="shared" si="259"/>
        <v>--</v>
      </c>
      <c r="AR107" s="119" t="str">
        <f t="shared" si="260"/>
        <v>--</v>
      </c>
      <c r="AS107" s="119">
        <f t="shared" si="261"/>
        <v>3</v>
      </c>
      <c r="AT107" s="119" t="str">
        <f t="shared" si="262"/>
        <v>--</v>
      </c>
      <c r="AU107" s="119">
        <f t="shared" si="263"/>
        <v>1</v>
      </c>
      <c r="AV107" s="119" t="str">
        <f t="shared" si="264"/>
        <v>--</v>
      </c>
      <c r="AW107" s="555" t="str">
        <f t="shared" si="265"/>
        <v>--</v>
      </c>
      <c r="AX107" s="124">
        <f t="shared" si="266"/>
        <v>7.3729098866569407</v>
      </c>
    </row>
    <row r="108" spans="1:50" ht="12.75" customHeight="1">
      <c r="A108" s="1408" t="s">
        <v>722</v>
      </c>
      <c r="B108" s="1468" t="s">
        <v>115</v>
      </c>
      <c r="C108" s="566" t="str">
        <f t="shared" si="198"/>
        <v>--</v>
      </c>
      <c r="D108" s="586" t="str">
        <f t="shared" si="199"/>
        <v>--</v>
      </c>
      <c r="E108" s="182" t="str">
        <f t="shared" si="227"/>
        <v>--</v>
      </c>
      <c r="F108" s="609" t="str">
        <f t="shared" si="228"/>
        <v>--</v>
      </c>
      <c r="G108" s="182">
        <f t="shared" si="229"/>
        <v>78.209525709426927</v>
      </c>
      <c r="H108" s="183" t="str">
        <f t="shared" si="230"/>
        <v>Tapwater</v>
      </c>
      <c r="I108" s="188" t="str">
        <f t="shared" si="231"/>
        <v>--</v>
      </c>
      <c r="J108" s="157" t="str">
        <f t="shared" si="232"/>
        <v>--</v>
      </c>
      <c r="K108" s="190" t="str">
        <f t="shared" si="233"/>
        <v>--</v>
      </c>
      <c r="L108" s="157" t="str">
        <f t="shared" si="234"/>
        <v>--</v>
      </c>
      <c r="M108" s="192" t="str">
        <f t="shared" si="235"/>
        <v>--</v>
      </c>
      <c r="N108" s="190" t="str">
        <f t="shared" si="236"/>
        <v>--</v>
      </c>
      <c r="O108" s="198" t="str">
        <f t="shared" si="237"/>
        <v>--</v>
      </c>
      <c r="P108" s="162">
        <f t="shared" si="238"/>
        <v>601.64835164835165</v>
      </c>
      <c r="Q108" s="157">
        <f t="shared" si="239"/>
        <v>104.28571428571429</v>
      </c>
      <c r="R108" s="157" t="str">
        <f t="shared" si="240"/>
        <v>--</v>
      </c>
      <c r="S108" s="157">
        <f t="shared" si="241"/>
        <v>651.45530585261702</v>
      </c>
      <c r="T108" s="157" t="str">
        <f t="shared" si="242"/>
        <v>--</v>
      </c>
      <c r="U108" s="157">
        <f t="shared" si="243"/>
        <v>651.45530585261702</v>
      </c>
      <c r="V108" s="200">
        <f t="shared" si="244"/>
        <v>78.209525709426927</v>
      </c>
      <c r="W108" s="186" t="str">
        <f t="shared" si="245"/>
        <v>--</v>
      </c>
      <c r="X108" s="596" t="str">
        <f t="shared" si="246"/>
        <v>--</v>
      </c>
      <c r="Y108" s="187" t="str">
        <f t="shared" si="247"/>
        <v>--</v>
      </c>
      <c r="Z108" s="567" t="str">
        <f t="shared" si="248"/>
        <v>--</v>
      </c>
      <c r="AA108" s="568" t="str">
        <f t="shared" si="249"/>
        <v>--</v>
      </c>
      <c r="AB108" s="1607" t="s">
        <v>115</v>
      </c>
      <c r="AC108" s="1471" t="s">
        <v>115</v>
      </c>
      <c r="AD108" s="1471" t="s">
        <v>115</v>
      </c>
      <c r="AE108" s="1471" t="s">
        <v>115</v>
      </c>
      <c r="AF108" s="1471" t="s">
        <v>115</v>
      </c>
      <c r="AG108" s="1471" t="s">
        <v>115</v>
      </c>
      <c r="AH108" s="119" t="str">
        <f t="shared" si="250"/>
        <v>V</v>
      </c>
      <c r="AI108" s="119" t="str">
        <f t="shared" si="251"/>
        <v>O</v>
      </c>
      <c r="AJ108" s="120" t="str">
        <f t="shared" si="252"/>
        <v>--</v>
      </c>
      <c r="AK108" s="129">
        <f t="shared" si="253"/>
        <v>1</v>
      </c>
      <c r="AL108" s="119">
        <f t="shared" si="254"/>
        <v>0.33382683653334</v>
      </c>
      <c r="AM108" s="119">
        <f t="shared" si="255"/>
        <v>0.49541454114276001</v>
      </c>
      <c r="AN108" s="119">
        <f t="shared" si="256"/>
        <v>1.18899489874263</v>
      </c>
      <c r="AO108" s="119">
        <f t="shared" si="257"/>
        <v>7.9166666999999996E-2</v>
      </c>
      <c r="AP108" s="119" t="str">
        <f t="shared" si="258"/>
        <v>Yes</v>
      </c>
      <c r="AQ108" s="119" t="str">
        <f t="shared" si="259"/>
        <v>--</v>
      </c>
      <c r="AR108" s="119" t="str">
        <f t="shared" si="260"/>
        <v>--</v>
      </c>
      <c r="AS108" s="119">
        <f t="shared" si="261"/>
        <v>0.03</v>
      </c>
      <c r="AT108" s="119">
        <f t="shared" si="262"/>
        <v>50</v>
      </c>
      <c r="AU108" s="119">
        <f t="shared" si="263"/>
        <v>1</v>
      </c>
      <c r="AV108" s="119" t="str">
        <f t="shared" si="264"/>
        <v>--</v>
      </c>
      <c r="AW108" s="555" t="str">
        <f t="shared" si="265"/>
        <v>--</v>
      </c>
      <c r="AX108" s="124">
        <f t="shared" si="266"/>
        <v>7.3729098866569406E-2</v>
      </c>
    </row>
    <row r="109" spans="1:50" ht="12.75" customHeight="1">
      <c r="A109" s="1408" t="s">
        <v>723</v>
      </c>
      <c r="B109" s="1468" t="s">
        <v>115</v>
      </c>
      <c r="C109" s="566" t="str">
        <f t="shared" si="198"/>
        <v>--</v>
      </c>
      <c r="D109" s="586" t="str">
        <f t="shared" si="199"/>
        <v>--</v>
      </c>
      <c r="E109" s="182" t="str">
        <f t="shared" si="227"/>
        <v>--</v>
      </c>
      <c r="F109" s="609" t="str">
        <f t="shared" si="228"/>
        <v>--</v>
      </c>
      <c r="G109" s="182">
        <f t="shared" si="229"/>
        <v>802.19780219780216</v>
      </c>
      <c r="H109" s="183" t="str">
        <f t="shared" si="230"/>
        <v>Tapwater</v>
      </c>
      <c r="I109" s="188" t="str">
        <f t="shared" si="231"/>
        <v>--</v>
      </c>
      <c r="J109" s="157" t="str">
        <f t="shared" si="232"/>
        <v>--</v>
      </c>
      <c r="K109" s="190" t="str">
        <f t="shared" si="233"/>
        <v>--</v>
      </c>
      <c r="L109" s="157" t="str">
        <f t="shared" si="234"/>
        <v>--</v>
      </c>
      <c r="M109" s="192" t="str">
        <f t="shared" si="235"/>
        <v>--</v>
      </c>
      <c r="N109" s="190" t="str">
        <f t="shared" si="236"/>
        <v>--</v>
      </c>
      <c r="O109" s="198" t="str">
        <f t="shared" si="237"/>
        <v>--</v>
      </c>
      <c r="P109" s="162">
        <f t="shared" si="238"/>
        <v>802.19780219780216</v>
      </c>
      <c r="Q109" s="157" t="str">
        <f t="shared" si="239"/>
        <v>--</v>
      </c>
      <c r="R109" s="157" t="str">
        <f t="shared" si="240"/>
        <v>--</v>
      </c>
      <c r="S109" s="157" t="str">
        <f t="shared" si="241"/>
        <v>--</v>
      </c>
      <c r="T109" s="157" t="str">
        <f t="shared" si="242"/>
        <v>--</v>
      </c>
      <c r="U109" s="157" t="str">
        <f t="shared" si="243"/>
        <v>--</v>
      </c>
      <c r="V109" s="200">
        <f t="shared" si="244"/>
        <v>802.19780219780216</v>
      </c>
      <c r="W109" s="186" t="str">
        <f t="shared" si="245"/>
        <v>--</v>
      </c>
      <c r="X109" s="596" t="str">
        <f t="shared" si="246"/>
        <v>--</v>
      </c>
      <c r="Y109" s="187" t="str">
        <f t="shared" si="247"/>
        <v>--</v>
      </c>
      <c r="Z109" s="567" t="str">
        <f t="shared" si="248"/>
        <v>--</v>
      </c>
      <c r="AA109" s="568" t="str">
        <f t="shared" si="249"/>
        <v>--</v>
      </c>
      <c r="AB109" s="1607" t="s">
        <v>115</v>
      </c>
      <c r="AC109" s="1471" t="s">
        <v>115</v>
      </c>
      <c r="AD109" s="1471" t="s">
        <v>115</v>
      </c>
      <c r="AE109" s="1471" t="s">
        <v>115</v>
      </c>
      <c r="AF109" s="1471" t="s">
        <v>115</v>
      </c>
      <c r="AG109" s="1471" t="s">
        <v>115</v>
      </c>
      <c r="AH109" s="119" t="str">
        <f t="shared" si="250"/>
        <v>NV</v>
      </c>
      <c r="AI109" s="119" t="str">
        <f t="shared" si="251"/>
        <v>O</v>
      </c>
      <c r="AJ109" s="120" t="str">
        <f t="shared" si="252"/>
        <v>Yes</v>
      </c>
      <c r="AK109" s="129">
        <f t="shared" si="253"/>
        <v>1</v>
      </c>
      <c r="AL109" s="119">
        <f t="shared" si="254"/>
        <v>4.3560416128113797</v>
      </c>
      <c r="AM109" s="119">
        <f t="shared" si="255"/>
        <v>2.72170311040471</v>
      </c>
      <c r="AN109" s="119">
        <f t="shared" si="256"/>
        <v>11.8221045485476</v>
      </c>
      <c r="AO109" s="119">
        <f t="shared" si="257"/>
        <v>0.71299999999999997</v>
      </c>
      <c r="AP109" s="119" t="str">
        <f t="shared" si="258"/>
        <v>No</v>
      </c>
      <c r="AQ109" s="119" t="str">
        <f t="shared" si="259"/>
        <v>--</v>
      </c>
      <c r="AR109" s="119" t="str">
        <f t="shared" si="260"/>
        <v>--</v>
      </c>
      <c r="AS109" s="119">
        <f t="shared" si="261"/>
        <v>0.04</v>
      </c>
      <c r="AT109" s="119" t="str">
        <f t="shared" si="262"/>
        <v>--</v>
      </c>
      <c r="AU109" s="119">
        <f t="shared" si="263"/>
        <v>1</v>
      </c>
      <c r="AV109" s="119" t="str">
        <f t="shared" si="264"/>
        <v>--</v>
      </c>
      <c r="AW109" s="555" t="str">
        <f t="shared" si="265"/>
        <v>--</v>
      </c>
      <c r="AX109" s="124">
        <f t="shared" si="266"/>
        <v>9.8305465155425875E-2</v>
      </c>
    </row>
    <row r="110" spans="1:50" ht="12.75" customHeight="1">
      <c r="A110" s="153" t="s">
        <v>269</v>
      </c>
      <c r="B110" s="185" t="s">
        <v>270</v>
      </c>
      <c r="C110" s="566" t="str">
        <f t="shared" si="198"/>
        <v>--</v>
      </c>
      <c r="D110" s="586" t="str">
        <f t="shared" si="199"/>
        <v>--</v>
      </c>
      <c r="E110" s="182" t="str">
        <f t="shared" si="202"/>
        <v>--</v>
      </c>
      <c r="F110" s="609" t="str">
        <f t="shared" si="203"/>
        <v>--</v>
      </c>
      <c r="G110" s="182">
        <f t="shared" si="204"/>
        <v>9.7587103357656151</v>
      </c>
      <c r="H110" s="183" t="str">
        <f t="shared" si="205"/>
        <v>Tapwater</v>
      </c>
      <c r="I110" s="188" t="str">
        <f t="shared" si="206"/>
        <v>--</v>
      </c>
      <c r="J110" s="157" t="str">
        <f t="shared" si="207"/>
        <v>--</v>
      </c>
      <c r="K110" s="190" t="str">
        <f t="shared" si="208"/>
        <v>--</v>
      </c>
      <c r="L110" s="157" t="str">
        <f t="shared" si="209"/>
        <v>--</v>
      </c>
      <c r="M110" s="192" t="str">
        <f t="shared" si="210"/>
        <v>--</v>
      </c>
      <c r="N110" s="190" t="str">
        <f t="shared" si="211"/>
        <v>--</v>
      </c>
      <c r="O110" s="198" t="str">
        <f t="shared" si="212"/>
        <v>--</v>
      </c>
      <c r="P110" s="162">
        <f t="shared" si="213"/>
        <v>10.027472527472527</v>
      </c>
      <c r="Q110" s="157" t="str">
        <f t="shared" si="214"/>
        <v>--</v>
      </c>
      <c r="R110" s="157" t="str">
        <f t="shared" si="215"/>
        <v>--</v>
      </c>
      <c r="S110" s="157">
        <f t="shared" si="200"/>
        <v>364.0958543088679</v>
      </c>
      <c r="T110" s="157" t="str">
        <f t="shared" si="216"/>
        <v>--</v>
      </c>
      <c r="U110" s="157">
        <f t="shared" si="217"/>
        <v>364.0958543088679</v>
      </c>
      <c r="V110" s="200">
        <f t="shared" si="218"/>
        <v>9.7587103357656151</v>
      </c>
      <c r="W110" s="186" t="str">
        <f t="shared" si="219"/>
        <v>--</v>
      </c>
      <c r="X110" s="596" t="str">
        <f t="shared" si="220"/>
        <v>--</v>
      </c>
      <c r="Y110" s="187" t="str">
        <f t="shared" si="221"/>
        <v>--</v>
      </c>
      <c r="Z110" s="567" t="str">
        <f>IF(AND(AB110="--",AC110="--"),"--",MIN(AB110,AC110))</f>
        <v>--</v>
      </c>
      <c r="AA110" s="568" t="str">
        <f t="shared" si="223"/>
        <v>--</v>
      </c>
      <c r="AB110" s="122" t="str">
        <f t="shared" si="184"/>
        <v>--</v>
      </c>
      <c r="AC110" s="121" t="str">
        <f t="shared" si="185"/>
        <v>--</v>
      </c>
      <c r="AD110" s="121" t="str">
        <f t="shared" si="186"/>
        <v>--</v>
      </c>
      <c r="AE110" s="121" t="str">
        <f t="shared" si="187"/>
        <v>--</v>
      </c>
      <c r="AF110" s="121" t="str">
        <f t="shared" si="188"/>
        <v>--</v>
      </c>
      <c r="AG110" s="121" t="str">
        <f t="shared" si="189"/>
        <v>--</v>
      </c>
      <c r="AH110" s="119" t="str">
        <f t="shared" si="190"/>
        <v>V</v>
      </c>
      <c r="AI110" s="119" t="str">
        <f t="shared" si="191"/>
        <v>O</v>
      </c>
      <c r="AJ110" s="120" t="str">
        <f t="shared" si="192"/>
        <v>--</v>
      </c>
      <c r="AK110" s="129">
        <f t="shared" ref="AK110:AK132" si="267">VLOOKUP(A110,Table_IP_2,MATCH("FA",heading_IP_2,0),FALSE)</f>
        <v>1</v>
      </c>
      <c r="AL110" s="119">
        <f t="shared" si="193"/>
        <v>8.7673547251000006E-3</v>
      </c>
      <c r="AM110" s="119">
        <f t="shared" si="194"/>
        <v>0.87146259218906996</v>
      </c>
      <c r="AN110" s="119">
        <f t="shared" si="195"/>
        <v>2.09151022125377</v>
      </c>
      <c r="AO110" s="119">
        <f t="shared" si="196"/>
        <v>1.7799999999999999E-3</v>
      </c>
      <c r="AP110" s="119" t="str">
        <f t="shared" si="197"/>
        <v>Yes</v>
      </c>
      <c r="AQ110" s="119" t="str">
        <f t="shared" ref="AQ110:AQ148" si="268">VLOOKUP(A110,Table_IP_2,MATCH("SFo",heading_IP_2,0),FALSE)</f>
        <v>--</v>
      </c>
      <c r="AR110" s="119" t="str">
        <f t="shared" ref="AR110:AR148" si="269">VLOOKUP(A110,Table_IP_2,MATCH("IUR",heading_IP_2,0),FALSE)</f>
        <v>--</v>
      </c>
      <c r="AS110" s="119">
        <f t="shared" ref="AS110:AS148" si="270">VLOOKUP(A110,Table_IP_2,MATCH("RfDo",heading_IP_2,0),FALSE)</f>
        <v>5.0000000000000001E-4</v>
      </c>
      <c r="AT110" s="119" t="str">
        <f t="shared" ref="AT110:AT148" si="271">VLOOKUP(A110,Table_IP_2,MATCH("RfC",heading_IP_2,0),FALSE)</f>
        <v>--</v>
      </c>
      <c r="AU110" s="119">
        <f t="shared" ref="AU110:AU148" si="272">VLOOKUP(A110,Table_IP_2,MATCH("GIABS",heading_IP_2,0),FALSE)</f>
        <v>1</v>
      </c>
      <c r="AV110" s="119" t="str">
        <f t="shared" si="226"/>
        <v>--</v>
      </c>
      <c r="AW110" s="555" t="str">
        <f t="shared" si="224"/>
        <v>--</v>
      </c>
      <c r="AX110" s="124">
        <f>IF(AS110="--", "--", (THQ*365*EDc*1000*BWc)/((1/(AS110*AU110))*1*EDc*EFr*SAwc))</f>
        <v>1.2288183144428236E-3</v>
      </c>
    </row>
    <row r="111" spans="1:50" ht="12.75" customHeight="1">
      <c r="A111" s="153" t="s">
        <v>271</v>
      </c>
      <c r="B111" s="185" t="s">
        <v>272</v>
      </c>
      <c r="C111" s="566" t="str">
        <f t="shared" si="198"/>
        <v>--</v>
      </c>
      <c r="D111" s="586" t="str">
        <f t="shared" si="199"/>
        <v>--</v>
      </c>
      <c r="E111" s="182" t="str">
        <f t="shared" si="202"/>
        <v>--</v>
      </c>
      <c r="F111" s="609" t="str">
        <f t="shared" si="203"/>
        <v>--</v>
      </c>
      <c r="G111" s="182">
        <f t="shared" si="204"/>
        <v>18.453992005678288</v>
      </c>
      <c r="H111" s="183" t="str">
        <f t="shared" si="205"/>
        <v>Tapwater</v>
      </c>
      <c r="I111" s="188" t="str">
        <f t="shared" si="206"/>
        <v>--</v>
      </c>
      <c r="J111" s="157" t="str">
        <f t="shared" si="207"/>
        <v>--</v>
      </c>
      <c r="K111" s="190" t="str">
        <f t="shared" si="208"/>
        <v>--</v>
      </c>
      <c r="L111" s="157" t="str">
        <f t="shared" si="209"/>
        <v>--</v>
      </c>
      <c r="M111" s="192" t="str">
        <f t="shared" si="210"/>
        <v>--</v>
      </c>
      <c r="N111" s="190" t="str">
        <f t="shared" si="211"/>
        <v>--</v>
      </c>
      <c r="O111" s="198" t="str">
        <f t="shared" si="212"/>
        <v>--</v>
      </c>
      <c r="P111" s="162">
        <f t="shared" si="213"/>
        <v>20.054945054945055</v>
      </c>
      <c r="Q111" s="157" t="str">
        <f t="shared" si="214"/>
        <v>--</v>
      </c>
      <c r="R111" s="157" t="str">
        <f t="shared" si="215"/>
        <v>--</v>
      </c>
      <c r="S111" s="157">
        <f t="shared" si="200"/>
        <v>231.17092402414647</v>
      </c>
      <c r="T111" s="157" t="str">
        <f t="shared" si="216"/>
        <v>--</v>
      </c>
      <c r="U111" s="157">
        <f t="shared" si="217"/>
        <v>231.17092402414647</v>
      </c>
      <c r="V111" s="200">
        <f t="shared" si="218"/>
        <v>18.453992005678288</v>
      </c>
      <c r="W111" s="186" t="str">
        <f t="shared" si="219"/>
        <v>--</v>
      </c>
      <c r="X111" s="596" t="str">
        <f t="shared" si="220"/>
        <v>--</v>
      </c>
      <c r="Y111" s="187" t="str">
        <f t="shared" si="221"/>
        <v>--</v>
      </c>
      <c r="Z111" s="567" t="str">
        <f t="shared" si="222"/>
        <v>--</v>
      </c>
      <c r="AA111" s="568" t="str">
        <f t="shared" si="223"/>
        <v>--</v>
      </c>
      <c r="AB111" s="122" t="str">
        <f t="shared" si="184"/>
        <v>--</v>
      </c>
      <c r="AC111" s="121" t="str">
        <f t="shared" si="185"/>
        <v>--</v>
      </c>
      <c r="AD111" s="121" t="str">
        <f t="shared" si="186"/>
        <v>--</v>
      </c>
      <c r="AE111" s="121" t="str">
        <f t="shared" si="187"/>
        <v>--</v>
      </c>
      <c r="AF111" s="121" t="str">
        <f t="shared" si="188"/>
        <v>--</v>
      </c>
      <c r="AG111" s="121" t="str">
        <f t="shared" si="189"/>
        <v>--</v>
      </c>
      <c r="AH111" s="119" t="str">
        <f t="shared" si="190"/>
        <v>V</v>
      </c>
      <c r="AI111" s="119" t="str">
        <f t="shared" si="191"/>
        <v>O</v>
      </c>
      <c r="AJ111" s="120" t="str">
        <f t="shared" si="192"/>
        <v>--</v>
      </c>
      <c r="AK111" s="129">
        <f t="shared" si="267"/>
        <v>1</v>
      </c>
      <c r="AL111" s="119">
        <f t="shared" si="193"/>
        <v>2.2854202003729999E-2</v>
      </c>
      <c r="AM111" s="119">
        <f t="shared" si="194"/>
        <v>1.6605377365906999</v>
      </c>
      <c r="AN111" s="119">
        <f t="shared" si="195"/>
        <v>3.9852905678176702</v>
      </c>
      <c r="AO111" s="119">
        <f t="shared" si="196"/>
        <v>4.0619308244100004E-3</v>
      </c>
      <c r="AP111" s="119" t="str">
        <f t="shared" si="197"/>
        <v>Yes</v>
      </c>
      <c r="AQ111" s="119" t="str">
        <f t="shared" si="268"/>
        <v>--</v>
      </c>
      <c r="AR111" s="119" t="str">
        <f t="shared" si="269"/>
        <v>--</v>
      </c>
      <c r="AS111" s="119">
        <f t="shared" si="270"/>
        <v>1E-3</v>
      </c>
      <c r="AT111" s="119" t="str">
        <f t="shared" si="271"/>
        <v>--</v>
      </c>
      <c r="AU111" s="119">
        <f t="shared" si="272"/>
        <v>1</v>
      </c>
      <c r="AV111" s="119" t="str">
        <f t="shared" si="226"/>
        <v>--</v>
      </c>
      <c r="AW111" s="555" t="str">
        <f t="shared" si="224"/>
        <v>--</v>
      </c>
      <c r="AX111" s="124">
        <f t="shared" si="225"/>
        <v>2.4576366288856471E-3</v>
      </c>
    </row>
    <row r="112" spans="1:50" ht="12.75" customHeight="1">
      <c r="A112" s="153" t="s">
        <v>273</v>
      </c>
      <c r="B112" s="185" t="s">
        <v>274</v>
      </c>
      <c r="C112" s="566" t="str">
        <f t="shared" si="198"/>
        <v>--</v>
      </c>
      <c r="D112" s="586" t="str">
        <f t="shared" si="199"/>
        <v>--</v>
      </c>
      <c r="E112" s="182" t="str">
        <f t="shared" si="202"/>
        <v>--</v>
      </c>
      <c r="F112" s="609" t="str">
        <f t="shared" si="203"/>
        <v>--</v>
      </c>
      <c r="G112" s="182" t="str">
        <f t="shared" si="204"/>
        <v>--</v>
      </c>
      <c r="H112" s="183" t="str">
        <f t="shared" si="205"/>
        <v>--</v>
      </c>
      <c r="I112" s="188" t="str">
        <f t="shared" si="206"/>
        <v>--</v>
      </c>
      <c r="J112" s="157" t="str">
        <f t="shared" si="207"/>
        <v>--</v>
      </c>
      <c r="K112" s="190" t="str">
        <f t="shared" si="208"/>
        <v>--</v>
      </c>
      <c r="L112" s="157" t="str">
        <f t="shared" si="209"/>
        <v>--</v>
      </c>
      <c r="M112" s="192" t="str">
        <f t="shared" si="210"/>
        <v>--</v>
      </c>
      <c r="N112" s="190" t="str">
        <f t="shared" si="211"/>
        <v>--</v>
      </c>
      <c r="O112" s="198" t="str">
        <f t="shared" si="212"/>
        <v>--</v>
      </c>
      <c r="P112" s="162" t="str">
        <f t="shared" si="213"/>
        <v>--</v>
      </c>
      <c r="Q112" s="157" t="str">
        <f t="shared" si="214"/>
        <v>--</v>
      </c>
      <c r="R112" s="157" t="str">
        <f t="shared" si="215"/>
        <v>--</v>
      </c>
      <c r="S112" s="157" t="str">
        <f t="shared" si="200"/>
        <v>--</v>
      </c>
      <c r="T112" s="157" t="str">
        <f t="shared" si="216"/>
        <v>--</v>
      </c>
      <c r="U112" s="157" t="str">
        <f t="shared" si="217"/>
        <v>--</v>
      </c>
      <c r="V112" s="200" t="str">
        <f t="shared" si="218"/>
        <v>--</v>
      </c>
      <c r="W112" s="186" t="str">
        <f t="shared" si="219"/>
        <v>--</v>
      </c>
      <c r="X112" s="596" t="str">
        <f t="shared" si="220"/>
        <v>--</v>
      </c>
      <c r="Y112" s="187" t="str">
        <f t="shared" si="221"/>
        <v>--</v>
      </c>
      <c r="Z112" s="567" t="str">
        <f t="shared" si="222"/>
        <v>--</v>
      </c>
      <c r="AA112" s="568" t="str">
        <f t="shared" si="223"/>
        <v>--</v>
      </c>
      <c r="AB112" s="122" t="str">
        <f t="shared" si="184"/>
        <v>--</v>
      </c>
      <c r="AC112" s="121" t="str">
        <f t="shared" si="185"/>
        <v>--</v>
      </c>
      <c r="AD112" s="121" t="str">
        <f t="shared" si="186"/>
        <v>--</v>
      </c>
      <c r="AE112" s="121" t="str">
        <f t="shared" si="187"/>
        <v>--</v>
      </c>
      <c r="AF112" s="121" t="str">
        <f t="shared" si="188"/>
        <v>--</v>
      </c>
      <c r="AG112" s="121" t="str">
        <f t="shared" si="189"/>
        <v>--</v>
      </c>
      <c r="AH112" s="119" t="str">
        <f t="shared" si="190"/>
        <v>V</v>
      </c>
      <c r="AI112" s="119" t="str">
        <f t="shared" si="191"/>
        <v>O</v>
      </c>
      <c r="AJ112" s="120" t="str">
        <f t="shared" si="192"/>
        <v>--</v>
      </c>
      <c r="AK112" s="129" t="str">
        <f t="shared" si="267"/>
        <v>--</v>
      </c>
      <c r="AL112" s="119" t="str">
        <f t="shared" si="193"/>
        <v>--</v>
      </c>
      <c r="AM112" s="119" t="str">
        <f t="shared" si="194"/>
        <v>--</v>
      </c>
      <c r="AN112" s="119" t="str">
        <f t="shared" si="195"/>
        <v>--</v>
      </c>
      <c r="AO112" s="119" t="str">
        <f t="shared" si="196"/>
        <v>--</v>
      </c>
      <c r="AP112" s="119" t="str">
        <f t="shared" si="197"/>
        <v>--</v>
      </c>
      <c r="AQ112" s="119" t="str">
        <f t="shared" si="268"/>
        <v>--</v>
      </c>
      <c r="AR112" s="119" t="str">
        <f t="shared" si="269"/>
        <v>--</v>
      </c>
      <c r="AS112" s="119" t="str">
        <f t="shared" si="270"/>
        <v>--</v>
      </c>
      <c r="AT112" s="119" t="str">
        <f t="shared" si="271"/>
        <v>--</v>
      </c>
      <c r="AU112" s="119" t="str">
        <f t="shared" si="272"/>
        <v>--</v>
      </c>
      <c r="AV112" s="119" t="str">
        <f t="shared" si="226"/>
        <v>--</v>
      </c>
      <c r="AW112" s="555" t="str">
        <f t="shared" si="224"/>
        <v>--</v>
      </c>
      <c r="AX112" s="124" t="str">
        <f t="shared" si="225"/>
        <v>--</v>
      </c>
    </row>
    <row r="113" spans="1:50" ht="12.75" customHeight="1">
      <c r="A113" s="153" t="s">
        <v>275</v>
      </c>
      <c r="B113" s="185" t="s">
        <v>276</v>
      </c>
      <c r="C113" s="566" t="str">
        <f t="shared" si="198"/>
        <v>--</v>
      </c>
      <c r="D113" s="586" t="str">
        <f t="shared" si="199"/>
        <v>--</v>
      </c>
      <c r="E113" s="182" t="str">
        <f t="shared" si="202"/>
        <v>--</v>
      </c>
      <c r="F113" s="609" t="str">
        <f t="shared" si="203"/>
        <v>--</v>
      </c>
      <c r="G113" s="182">
        <f t="shared" si="204"/>
        <v>9.9189668276470293</v>
      </c>
      <c r="H113" s="183" t="str">
        <f t="shared" si="205"/>
        <v>Tapwater</v>
      </c>
      <c r="I113" s="188" t="str">
        <f t="shared" si="206"/>
        <v>--</v>
      </c>
      <c r="J113" s="157" t="str">
        <f t="shared" si="207"/>
        <v>--</v>
      </c>
      <c r="K113" s="190" t="str">
        <f t="shared" si="208"/>
        <v>--</v>
      </c>
      <c r="L113" s="157" t="str">
        <f t="shared" si="209"/>
        <v>--</v>
      </c>
      <c r="M113" s="192" t="str">
        <f t="shared" si="210"/>
        <v>--</v>
      </c>
      <c r="N113" s="190" t="str">
        <f t="shared" si="211"/>
        <v>--</v>
      </c>
      <c r="O113" s="198" t="str">
        <f t="shared" si="212"/>
        <v>--</v>
      </c>
      <c r="P113" s="162">
        <f t="shared" si="213"/>
        <v>10.027472527472527</v>
      </c>
      <c r="Q113" s="157" t="str">
        <f t="shared" si="214"/>
        <v>--</v>
      </c>
      <c r="R113" s="157" t="str">
        <f t="shared" si="215"/>
        <v>--</v>
      </c>
      <c r="S113" s="157">
        <f t="shared" si="200"/>
        <v>916.65384883098852</v>
      </c>
      <c r="T113" s="157" t="str">
        <f t="shared" si="216"/>
        <v>--</v>
      </c>
      <c r="U113" s="157">
        <f t="shared" si="217"/>
        <v>916.65384883098852</v>
      </c>
      <c r="V113" s="200">
        <f t="shared" si="218"/>
        <v>9.9189668276470293</v>
      </c>
      <c r="W113" s="186" t="str">
        <f t="shared" si="219"/>
        <v>--</v>
      </c>
      <c r="X113" s="596" t="str">
        <f t="shared" si="220"/>
        <v>--</v>
      </c>
      <c r="Y113" s="187" t="str">
        <f t="shared" si="221"/>
        <v>--</v>
      </c>
      <c r="Z113" s="567" t="str">
        <f t="shared" si="222"/>
        <v>--</v>
      </c>
      <c r="AA113" s="568" t="str">
        <f t="shared" si="223"/>
        <v>--</v>
      </c>
      <c r="AB113" s="122" t="str">
        <f t="shared" si="184"/>
        <v>--</v>
      </c>
      <c r="AC113" s="121" t="str">
        <f t="shared" si="185"/>
        <v>--</v>
      </c>
      <c r="AD113" s="121" t="str">
        <f t="shared" si="186"/>
        <v>--</v>
      </c>
      <c r="AE113" s="121" t="str">
        <f t="shared" si="187"/>
        <v>--</v>
      </c>
      <c r="AF113" s="121" t="str">
        <f t="shared" si="188"/>
        <v>--</v>
      </c>
      <c r="AG113" s="121" t="str">
        <f t="shared" si="189"/>
        <v>--</v>
      </c>
      <c r="AH113" s="119" t="str">
        <f t="shared" si="190"/>
        <v>NV</v>
      </c>
      <c r="AI113" s="119" t="str">
        <f t="shared" si="191"/>
        <v>O</v>
      </c>
      <c r="AJ113" s="120" t="str">
        <f t="shared" si="192"/>
        <v>--</v>
      </c>
      <c r="AK113" s="129">
        <f t="shared" si="267"/>
        <v>1</v>
      </c>
      <c r="AL113" s="119">
        <f t="shared" si="193"/>
        <v>1.83109547847E-3</v>
      </c>
      <c r="AM113" s="119">
        <f t="shared" si="194"/>
        <v>6.0368272689997298</v>
      </c>
      <c r="AN113" s="119">
        <f t="shared" si="195"/>
        <v>14.4883854455994</v>
      </c>
      <c r="AO113" s="119">
        <f t="shared" si="196"/>
        <v>2.6862743795000001E-4</v>
      </c>
      <c r="AP113" s="119" t="str">
        <f t="shared" si="197"/>
        <v>Yes</v>
      </c>
      <c r="AQ113" s="119" t="str">
        <f t="shared" si="268"/>
        <v>--</v>
      </c>
      <c r="AR113" s="119" t="str">
        <f t="shared" si="269"/>
        <v>--</v>
      </c>
      <c r="AS113" s="119">
        <f t="shared" si="270"/>
        <v>5.0000000000000001E-4</v>
      </c>
      <c r="AT113" s="119" t="str">
        <f t="shared" si="271"/>
        <v>--</v>
      </c>
      <c r="AU113" s="119">
        <f t="shared" si="272"/>
        <v>1</v>
      </c>
      <c r="AV113" s="119" t="str">
        <f t="shared" si="226"/>
        <v>--</v>
      </c>
      <c r="AW113" s="555" t="str">
        <f t="shared" si="224"/>
        <v>--</v>
      </c>
      <c r="AX113" s="124">
        <f t="shared" si="225"/>
        <v>1.2288183144428236E-3</v>
      </c>
    </row>
    <row r="114" spans="1:50" ht="12.75" customHeight="1">
      <c r="A114" s="153" t="s">
        <v>277</v>
      </c>
      <c r="B114" s="185" t="s">
        <v>278</v>
      </c>
      <c r="C114" s="566" t="str">
        <f t="shared" si="198"/>
        <v>--</v>
      </c>
      <c r="D114" s="586" t="str">
        <f t="shared" si="199"/>
        <v>--</v>
      </c>
      <c r="E114" s="182" t="str">
        <f t="shared" si="202"/>
        <v>--</v>
      </c>
      <c r="F114" s="609" t="str">
        <f t="shared" si="203"/>
        <v>--</v>
      </c>
      <c r="G114" s="182" t="str">
        <f t="shared" si="204"/>
        <v>--</v>
      </c>
      <c r="H114" s="183" t="str">
        <f t="shared" si="205"/>
        <v>--</v>
      </c>
      <c r="I114" s="188" t="str">
        <f t="shared" si="206"/>
        <v>--</v>
      </c>
      <c r="J114" s="157" t="str">
        <f t="shared" si="207"/>
        <v>--</v>
      </c>
      <c r="K114" s="190" t="str">
        <f t="shared" si="208"/>
        <v>--</v>
      </c>
      <c r="L114" s="157" t="str">
        <f t="shared" si="209"/>
        <v>--</v>
      </c>
      <c r="M114" s="192" t="str">
        <f t="shared" si="210"/>
        <v>--</v>
      </c>
      <c r="N114" s="190" t="str">
        <f t="shared" si="211"/>
        <v>--</v>
      </c>
      <c r="O114" s="198" t="str">
        <f t="shared" si="212"/>
        <v>--</v>
      </c>
      <c r="P114" s="162" t="str">
        <f t="shared" si="213"/>
        <v>--</v>
      </c>
      <c r="Q114" s="157" t="str">
        <f t="shared" si="214"/>
        <v>--</v>
      </c>
      <c r="R114" s="157" t="str">
        <f t="shared" si="215"/>
        <v>--</v>
      </c>
      <c r="S114" s="157" t="str">
        <f t="shared" si="200"/>
        <v>--</v>
      </c>
      <c r="T114" s="157" t="str">
        <f t="shared" si="216"/>
        <v>--</v>
      </c>
      <c r="U114" s="157" t="str">
        <f t="shared" si="217"/>
        <v>--</v>
      </c>
      <c r="V114" s="200" t="str">
        <f t="shared" si="218"/>
        <v>--</v>
      </c>
      <c r="W114" s="186" t="str">
        <f t="shared" si="219"/>
        <v>--</v>
      </c>
      <c r="X114" s="596" t="str">
        <f t="shared" si="220"/>
        <v>--</v>
      </c>
      <c r="Y114" s="187" t="str">
        <f t="shared" si="221"/>
        <v>--</v>
      </c>
      <c r="Z114" s="567" t="str">
        <f t="shared" si="222"/>
        <v>--</v>
      </c>
      <c r="AA114" s="568" t="str">
        <f t="shared" si="223"/>
        <v>--</v>
      </c>
      <c r="AB114" s="122" t="str">
        <f t="shared" si="184"/>
        <v>--</v>
      </c>
      <c r="AC114" s="121" t="str">
        <f t="shared" si="185"/>
        <v>--</v>
      </c>
      <c r="AD114" s="121" t="str">
        <f t="shared" si="186"/>
        <v>--</v>
      </c>
      <c r="AE114" s="121" t="str">
        <f t="shared" si="187"/>
        <v>--</v>
      </c>
      <c r="AF114" s="121" t="str">
        <f t="shared" si="188"/>
        <v>--</v>
      </c>
      <c r="AG114" s="121" t="str">
        <f t="shared" si="189"/>
        <v>--</v>
      </c>
      <c r="AH114" s="119" t="str">
        <f t="shared" si="190"/>
        <v>V</v>
      </c>
      <c r="AI114" s="119" t="str">
        <f t="shared" si="191"/>
        <v>O</v>
      </c>
      <c r="AJ114" s="120" t="str">
        <f t="shared" si="192"/>
        <v>--</v>
      </c>
      <c r="AK114" s="129" t="str">
        <f t="shared" si="267"/>
        <v>--</v>
      </c>
      <c r="AL114" s="119" t="str">
        <f t="shared" si="193"/>
        <v>--</v>
      </c>
      <c r="AM114" s="119" t="str">
        <f t="shared" si="194"/>
        <v>--</v>
      </c>
      <c r="AN114" s="119" t="str">
        <f t="shared" si="195"/>
        <v>--</v>
      </c>
      <c r="AO114" s="119" t="str">
        <f t="shared" si="196"/>
        <v>--</v>
      </c>
      <c r="AP114" s="119" t="str">
        <f t="shared" si="197"/>
        <v>--</v>
      </c>
      <c r="AQ114" s="119" t="str">
        <f t="shared" si="268"/>
        <v>--</v>
      </c>
      <c r="AR114" s="119" t="str">
        <f t="shared" si="269"/>
        <v>--</v>
      </c>
      <c r="AS114" s="119" t="str">
        <f t="shared" si="270"/>
        <v>--</v>
      </c>
      <c r="AT114" s="119" t="str">
        <f t="shared" si="271"/>
        <v>--</v>
      </c>
      <c r="AU114" s="119" t="str">
        <f t="shared" si="272"/>
        <v>--</v>
      </c>
      <c r="AV114" s="119" t="str">
        <f t="shared" si="226"/>
        <v>--</v>
      </c>
      <c r="AW114" s="555" t="str">
        <f t="shared" si="224"/>
        <v>--</v>
      </c>
      <c r="AX114" s="124" t="str">
        <f t="shared" si="225"/>
        <v>--</v>
      </c>
    </row>
    <row r="115" spans="1:50" ht="12.75" customHeight="1">
      <c r="A115" s="153" t="s">
        <v>279</v>
      </c>
      <c r="B115" s="185" t="s">
        <v>280</v>
      </c>
      <c r="C115" s="566">
        <f t="shared" si="198"/>
        <v>4.0000000000000001E-3</v>
      </c>
      <c r="D115" s="586" t="str">
        <f t="shared" si="199"/>
        <v>MCL (Primary)</v>
      </c>
      <c r="E115" s="182">
        <f t="shared" si="202"/>
        <v>2.6541431534365369E-6</v>
      </c>
      <c r="F115" s="609" t="str">
        <f t="shared" si="203"/>
        <v>Tapwater</v>
      </c>
      <c r="G115" s="182">
        <f t="shared" si="204"/>
        <v>6.0064085489063045E-4</v>
      </c>
      <c r="H115" s="183" t="str">
        <f t="shared" si="205"/>
        <v>Tapwater</v>
      </c>
      <c r="I115" s="188">
        <f t="shared" si="206"/>
        <v>2.6589835397991557E-6</v>
      </c>
      <c r="J115" s="157" t="str">
        <f t="shared" si="207"/>
        <v>--</v>
      </c>
      <c r="K115" s="190" t="str">
        <f t="shared" si="208"/>
        <v>--</v>
      </c>
      <c r="L115" s="157">
        <f t="shared" si="209"/>
        <v>1.4580081895446914E-3</v>
      </c>
      <c r="M115" s="192" t="str">
        <f t="shared" si="210"/>
        <v>--</v>
      </c>
      <c r="N115" s="190">
        <f t="shared" si="211"/>
        <v>1.4580081895446914E-3</v>
      </c>
      <c r="O115" s="198">
        <f t="shared" si="212"/>
        <v>2.6541431534365369E-6</v>
      </c>
      <c r="P115" s="162">
        <f t="shared" si="213"/>
        <v>6.016483516483517E-4</v>
      </c>
      <c r="Q115" s="157" t="str">
        <f t="shared" si="214"/>
        <v>--</v>
      </c>
      <c r="R115" s="157" t="str">
        <f t="shared" si="215"/>
        <v>--</v>
      </c>
      <c r="S115" s="157">
        <f t="shared" si="200"/>
        <v>0.35868560122712129</v>
      </c>
      <c r="T115" s="157" t="str">
        <f t="shared" si="216"/>
        <v>--</v>
      </c>
      <c r="U115" s="157">
        <f t="shared" si="217"/>
        <v>0.35868560122712129</v>
      </c>
      <c r="V115" s="200">
        <f t="shared" si="218"/>
        <v>6.0064085489063045E-4</v>
      </c>
      <c r="W115" s="186">
        <f t="shared" si="219"/>
        <v>6.9999999999999999E-6</v>
      </c>
      <c r="X115" s="596" t="str">
        <f t="shared" si="220"/>
        <v>--</v>
      </c>
      <c r="Y115" s="187" t="str">
        <f t="shared" si="221"/>
        <v>OEHHA PHG</v>
      </c>
      <c r="Z115" s="567">
        <f t="shared" si="222"/>
        <v>4.0000000000000001E-3</v>
      </c>
      <c r="AA115" s="568" t="str">
        <f t="shared" si="223"/>
        <v>MCL (Primary)</v>
      </c>
      <c r="AB115" s="122">
        <f t="shared" si="184"/>
        <v>4.0000000000000001E-3</v>
      </c>
      <c r="AC115" s="121" t="str">
        <f t="shared" si="185"/>
        <v>--</v>
      </c>
      <c r="AD115" s="121">
        <f t="shared" si="186"/>
        <v>6.9999999999999999E-6</v>
      </c>
      <c r="AE115" s="121" t="str">
        <f t="shared" si="187"/>
        <v>Cancer</v>
      </c>
      <c r="AF115" s="121">
        <f t="shared" si="188"/>
        <v>5.1000000000000004E-3</v>
      </c>
      <c r="AG115" s="121" t="str">
        <f t="shared" si="189"/>
        <v>Cancer</v>
      </c>
      <c r="AH115" s="119" t="str">
        <f t="shared" si="190"/>
        <v>NV</v>
      </c>
      <c r="AI115" s="119" t="str">
        <f t="shared" si="191"/>
        <v>O</v>
      </c>
      <c r="AJ115" s="120" t="str">
        <f t="shared" si="192"/>
        <v>--</v>
      </c>
      <c r="AK115" s="129">
        <f t="shared" si="267"/>
        <v>1</v>
      </c>
      <c r="AL115" s="119">
        <f t="shared" si="193"/>
        <v>1.6892330463000001E-4</v>
      </c>
      <c r="AM115" s="119">
        <f t="shared" si="194"/>
        <v>22.003347093039999</v>
      </c>
      <c r="AN115" s="119">
        <f t="shared" si="195"/>
        <v>52.808033023296097</v>
      </c>
      <c r="AO115" s="119">
        <f t="shared" si="196"/>
        <v>2.1575111239999999E-5</v>
      </c>
      <c r="AP115" s="119" t="str">
        <f t="shared" si="197"/>
        <v>Yes</v>
      </c>
      <c r="AQ115" s="119">
        <f t="shared" si="268"/>
        <v>29300</v>
      </c>
      <c r="AR115" s="119" t="str">
        <f t="shared" si="269"/>
        <v>--</v>
      </c>
      <c r="AS115" s="119">
        <f t="shared" si="270"/>
        <v>2.9999999999999997E-8</v>
      </c>
      <c r="AT115" s="119" t="str">
        <f t="shared" si="271"/>
        <v>--</v>
      </c>
      <c r="AU115" s="119">
        <f t="shared" si="272"/>
        <v>1</v>
      </c>
      <c r="AV115" s="119">
        <f t="shared" si="226"/>
        <v>3.34021661991126E-10</v>
      </c>
      <c r="AW115" s="555">
        <f t="shared" si="224"/>
        <v>1.0645174367470058E-10</v>
      </c>
      <c r="AX115" s="124">
        <f t="shared" si="225"/>
        <v>7.3729098866569414E-8</v>
      </c>
    </row>
    <row r="116" spans="1:50" ht="12.75" customHeight="1">
      <c r="A116" s="896" t="s">
        <v>281</v>
      </c>
      <c r="B116" s="346" t="s">
        <v>282</v>
      </c>
      <c r="C116" s="2085" t="str">
        <f t="shared" si="198"/>
        <v>&lt; 0.01 (HI Calc)</v>
      </c>
      <c r="D116" s="2086" t="str">
        <f t="shared" si="199"/>
        <v>MCL (Primary)</v>
      </c>
      <c r="E116" s="182" t="str">
        <f t="shared" si="202"/>
        <v>--</v>
      </c>
      <c r="F116" s="609" t="str">
        <f t="shared" si="203"/>
        <v>--</v>
      </c>
      <c r="G116" s="182">
        <f t="shared" si="204"/>
        <v>5.8910209303611336E-2</v>
      </c>
      <c r="H116" s="183" t="str">
        <f t="shared" si="205"/>
        <v>Tapwater</v>
      </c>
      <c r="I116" s="188" t="str">
        <f t="shared" si="206"/>
        <v>--</v>
      </c>
      <c r="J116" s="157" t="str">
        <f t="shared" si="207"/>
        <v>--</v>
      </c>
      <c r="K116" s="190" t="str">
        <f t="shared" si="208"/>
        <v>--</v>
      </c>
      <c r="L116" s="157" t="str">
        <f t="shared" si="209"/>
        <v>--</v>
      </c>
      <c r="M116" s="192" t="str">
        <f t="shared" si="210"/>
        <v>--</v>
      </c>
      <c r="N116" s="190" t="str">
        <f t="shared" si="211"/>
        <v>--</v>
      </c>
      <c r="O116" s="198" t="str">
        <f t="shared" si="212"/>
        <v>--</v>
      </c>
      <c r="P116" s="162">
        <f t="shared" si="213"/>
        <v>6.0164835164835166E-2</v>
      </c>
      <c r="Q116" s="157" t="str">
        <f t="shared" si="214"/>
        <v>--</v>
      </c>
      <c r="R116" s="157" t="str">
        <f t="shared" si="215"/>
        <v>--</v>
      </c>
      <c r="S116" s="157">
        <f t="shared" si="200"/>
        <v>2.8250039647838858</v>
      </c>
      <c r="T116" s="157" t="str">
        <f t="shared" si="216"/>
        <v>--</v>
      </c>
      <c r="U116" s="157">
        <f t="shared" si="217"/>
        <v>2.8250039647838858</v>
      </c>
      <c r="V116" s="200">
        <f t="shared" si="218"/>
        <v>5.8910209303611336E-2</v>
      </c>
      <c r="W116" s="186" t="str">
        <f t="shared" si="219"/>
        <v>--</v>
      </c>
      <c r="X116" s="596" t="str">
        <f t="shared" si="220"/>
        <v>--</v>
      </c>
      <c r="Y116" s="187" t="str">
        <f t="shared" si="221"/>
        <v>--</v>
      </c>
      <c r="Z116" s="2084" t="s">
        <v>4260</v>
      </c>
      <c r="AA116" s="568" t="str">
        <f t="shared" si="223"/>
        <v>MCL (Primary)</v>
      </c>
      <c r="AB116" s="122" t="str">
        <f t="shared" si="184"/>
        <v>&lt; 0.01 (HI Calc)</v>
      </c>
      <c r="AC116" s="121" t="str">
        <f t="shared" si="185"/>
        <v>--</v>
      </c>
      <c r="AD116" s="121" t="str">
        <f t="shared" si="186"/>
        <v>--</v>
      </c>
      <c r="AE116" s="121" t="str">
        <f t="shared" si="187"/>
        <v>--</v>
      </c>
      <c r="AF116" s="121" t="str">
        <f t="shared" si="188"/>
        <v>--</v>
      </c>
      <c r="AG116" s="121" t="str">
        <f t="shared" si="189"/>
        <v>--</v>
      </c>
      <c r="AH116" s="119" t="str">
        <f t="shared" si="190"/>
        <v>V</v>
      </c>
      <c r="AI116" s="119" t="str">
        <f t="shared" si="191"/>
        <v>O</v>
      </c>
      <c r="AJ116" s="120" t="str">
        <f t="shared" si="192"/>
        <v>--</v>
      </c>
      <c r="AK116" s="129">
        <f t="shared" si="267"/>
        <v>1</v>
      </c>
      <c r="AL116" s="119">
        <f t="shared" si="193"/>
        <v>1.64748079727E-3</v>
      </c>
      <c r="AM116" s="119">
        <f t="shared" si="194"/>
        <v>41.7646407078199</v>
      </c>
      <c r="AN116" s="119">
        <f t="shared" si="195"/>
        <v>100.235137698768</v>
      </c>
      <c r="AO116" s="119">
        <f t="shared" si="196"/>
        <v>1.9883275267E-4</v>
      </c>
      <c r="AP116" s="119" t="str">
        <f t="shared" si="197"/>
        <v>Yes</v>
      </c>
      <c r="AQ116" s="119" t="str">
        <f t="shared" si="268"/>
        <v>--</v>
      </c>
      <c r="AR116" s="119" t="str">
        <f t="shared" si="269"/>
        <v>--</v>
      </c>
      <c r="AS116" s="119">
        <f t="shared" si="270"/>
        <v>3.0000000000000001E-6</v>
      </c>
      <c r="AT116" s="119" t="str">
        <f t="shared" si="271"/>
        <v>--</v>
      </c>
      <c r="AU116" s="119">
        <f t="shared" si="272"/>
        <v>1</v>
      </c>
      <c r="AV116" s="119" t="str">
        <f t="shared" si="226"/>
        <v>--</v>
      </c>
      <c r="AW116" s="555" t="str">
        <f t="shared" si="224"/>
        <v>--</v>
      </c>
      <c r="AX116" s="124">
        <f t="shared" si="225"/>
        <v>7.3729098866569408E-6</v>
      </c>
    </row>
    <row r="117" spans="1:50" ht="12.75" customHeight="1">
      <c r="A117" s="153" t="s">
        <v>283</v>
      </c>
      <c r="B117" s="185" t="s">
        <v>284</v>
      </c>
      <c r="C117" s="566" t="str">
        <f t="shared" si="198"/>
        <v>--</v>
      </c>
      <c r="D117" s="586" t="str">
        <f t="shared" si="199"/>
        <v>--</v>
      </c>
      <c r="E117" s="182" t="str">
        <f t="shared" si="202"/>
        <v>--</v>
      </c>
      <c r="F117" s="609" t="str">
        <f t="shared" si="203"/>
        <v>--</v>
      </c>
      <c r="G117" s="182">
        <f t="shared" si="204"/>
        <v>4.0109890109890117E-5</v>
      </c>
      <c r="H117" s="183" t="str">
        <f t="shared" si="205"/>
        <v>Tapwater</v>
      </c>
      <c r="I117" s="188" t="str">
        <f t="shared" si="206"/>
        <v>--</v>
      </c>
      <c r="J117" s="157" t="str">
        <f t="shared" si="207"/>
        <v>--</v>
      </c>
      <c r="K117" s="190" t="str">
        <f t="shared" si="208"/>
        <v>--</v>
      </c>
      <c r="L117" s="157" t="str">
        <f t="shared" si="209"/>
        <v>--</v>
      </c>
      <c r="M117" s="192" t="str">
        <f t="shared" si="210"/>
        <v>--</v>
      </c>
      <c r="N117" s="190" t="str">
        <f t="shared" si="211"/>
        <v>--</v>
      </c>
      <c r="O117" s="198" t="str">
        <f t="shared" si="212"/>
        <v>--</v>
      </c>
      <c r="P117" s="162">
        <f t="shared" si="213"/>
        <v>4.0109890109890117E-5</v>
      </c>
      <c r="Q117" s="157" t="str">
        <f t="shared" si="214"/>
        <v>--</v>
      </c>
      <c r="R117" s="157" t="str">
        <f t="shared" si="215"/>
        <v>--</v>
      </c>
      <c r="S117" s="157" t="str">
        <f t="shared" si="200"/>
        <v>--</v>
      </c>
      <c r="T117" s="157" t="str">
        <f t="shared" si="216"/>
        <v>--</v>
      </c>
      <c r="U117" s="157" t="str">
        <f t="shared" si="217"/>
        <v>--</v>
      </c>
      <c r="V117" s="200">
        <f t="shared" si="218"/>
        <v>4.0109890109890117E-5</v>
      </c>
      <c r="W117" s="186" t="str">
        <f t="shared" si="219"/>
        <v>--</v>
      </c>
      <c r="X117" s="596" t="str">
        <f t="shared" si="220"/>
        <v>--</v>
      </c>
      <c r="Y117" s="187" t="str">
        <f t="shared" si="221"/>
        <v>--</v>
      </c>
      <c r="Z117" s="567" t="str">
        <f t="shared" si="222"/>
        <v>--</v>
      </c>
      <c r="AA117" s="568" t="str">
        <f t="shared" si="223"/>
        <v>--</v>
      </c>
      <c r="AB117" s="122" t="str">
        <f t="shared" si="184"/>
        <v>--</v>
      </c>
      <c r="AC117" s="121" t="str">
        <f t="shared" si="185"/>
        <v>--</v>
      </c>
      <c r="AD117" s="121" t="str">
        <f t="shared" si="186"/>
        <v>--</v>
      </c>
      <c r="AE117" s="121" t="str">
        <f t="shared" si="187"/>
        <v>--</v>
      </c>
      <c r="AF117" s="121" t="str">
        <f t="shared" si="188"/>
        <v>--</v>
      </c>
      <c r="AG117" s="121" t="str">
        <f t="shared" si="189"/>
        <v>--</v>
      </c>
      <c r="AH117" s="119" t="str">
        <f t="shared" si="190"/>
        <v>NV</v>
      </c>
      <c r="AI117" s="119" t="str">
        <f t="shared" si="191"/>
        <v>O</v>
      </c>
      <c r="AJ117" s="120" t="str">
        <f t="shared" si="192"/>
        <v>--</v>
      </c>
      <c r="AK117" s="129" t="str">
        <f t="shared" si="267"/>
        <v>--</v>
      </c>
      <c r="AL117" s="119">
        <f t="shared" si="193"/>
        <v>5.2585712913896296</v>
      </c>
      <c r="AM117" s="119">
        <f t="shared" si="194"/>
        <v>79.580882268599694</v>
      </c>
      <c r="AN117" s="119">
        <f t="shared" si="195"/>
        <v>349.78817584811202</v>
      </c>
      <c r="AO117" s="119">
        <f t="shared" si="196"/>
        <v>0.60299999999999998</v>
      </c>
      <c r="AP117" s="119" t="str">
        <f t="shared" si="197"/>
        <v>Yes</v>
      </c>
      <c r="AQ117" s="119" t="str">
        <f t="shared" si="268"/>
        <v>--</v>
      </c>
      <c r="AR117" s="119" t="str">
        <f t="shared" si="269"/>
        <v>--</v>
      </c>
      <c r="AS117" s="119">
        <f t="shared" si="270"/>
        <v>2.0000000000000001E-9</v>
      </c>
      <c r="AT117" s="119" t="str">
        <f t="shared" si="271"/>
        <v>--</v>
      </c>
      <c r="AU117" s="119">
        <f t="shared" si="272"/>
        <v>1</v>
      </c>
      <c r="AV117" s="119" t="str">
        <f t="shared" si="226"/>
        <v>--</v>
      </c>
      <c r="AW117" s="555" t="str">
        <f t="shared" si="224"/>
        <v>--</v>
      </c>
      <c r="AX117" s="124">
        <f t="shared" si="225"/>
        <v>4.9152732577712948E-9</v>
      </c>
    </row>
    <row r="118" spans="1:50" ht="12.75" customHeight="1">
      <c r="A118" s="153" t="s">
        <v>285</v>
      </c>
      <c r="B118" s="185" t="s">
        <v>286</v>
      </c>
      <c r="C118" s="566" t="str">
        <f t="shared" si="198"/>
        <v>--</v>
      </c>
      <c r="D118" s="586" t="str">
        <f t="shared" si="199"/>
        <v>--</v>
      </c>
      <c r="E118" s="182" t="str">
        <f t="shared" si="202"/>
        <v>--</v>
      </c>
      <c r="F118" s="609" t="str">
        <f t="shared" si="203"/>
        <v>--</v>
      </c>
      <c r="G118" s="182">
        <f t="shared" si="204"/>
        <v>6.0164835164835164</v>
      </c>
      <c r="H118" s="183" t="str">
        <f t="shared" si="205"/>
        <v>Tapwater</v>
      </c>
      <c r="I118" s="188" t="str">
        <f t="shared" si="206"/>
        <v>--</v>
      </c>
      <c r="J118" s="157" t="str">
        <f t="shared" si="207"/>
        <v>--</v>
      </c>
      <c r="K118" s="190" t="str">
        <f t="shared" si="208"/>
        <v>--</v>
      </c>
      <c r="L118" s="157" t="str">
        <f t="shared" si="209"/>
        <v>--</v>
      </c>
      <c r="M118" s="192" t="str">
        <f t="shared" si="210"/>
        <v>--</v>
      </c>
      <c r="N118" s="190" t="str">
        <f t="shared" si="211"/>
        <v>--</v>
      </c>
      <c r="O118" s="198" t="str">
        <f t="shared" si="212"/>
        <v>--</v>
      </c>
      <c r="P118" s="162">
        <f t="shared" si="213"/>
        <v>6.0164835164835164</v>
      </c>
      <c r="Q118" s="157" t="str">
        <f t="shared" si="214"/>
        <v>--</v>
      </c>
      <c r="R118" s="157" t="str">
        <f t="shared" si="215"/>
        <v>--</v>
      </c>
      <c r="S118" s="157" t="str">
        <f t="shared" si="200"/>
        <v>--</v>
      </c>
      <c r="T118" s="157" t="str">
        <f t="shared" si="216"/>
        <v>--</v>
      </c>
      <c r="U118" s="157" t="str">
        <f>IF(AND(T118="--",S118="--"),R118, IF(AND(R118="--",T118="--"), S118, T118))</f>
        <v>--</v>
      </c>
      <c r="V118" s="200">
        <f t="shared" si="218"/>
        <v>6.0164835164835164</v>
      </c>
      <c r="W118" s="186" t="str">
        <f t="shared" si="219"/>
        <v>--</v>
      </c>
      <c r="X118" s="596" t="str">
        <f t="shared" si="220"/>
        <v>--</v>
      </c>
      <c r="Y118" s="187" t="str">
        <f t="shared" si="221"/>
        <v>--</v>
      </c>
      <c r="Z118" s="567" t="str">
        <f t="shared" si="222"/>
        <v>--</v>
      </c>
      <c r="AA118" s="568" t="str">
        <f t="shared" si="223"/>
        <v>--</v>
      </c>
      <c r="AB118" s="122" t="str">
        <f t="shared" si="184"/>
        <v>--</v>
      </c>
      <c r="AC118" s="121" t="str">
        <f t="shared" si="185"/>
        <v>--</v>
      </c>
      <c r="AD118" s="121" t="str">
        <f t="shared" si="186"/>
        <v>--</v>
      </c>
      <c r="AE118" s="121" t="str">
        <f t="shared" si="187"/>
        <v>--</v>
      </c>
      <c r="AF118" s="121" t="str">
        <f t="shared" si="188"/>
        <v>--</v>
      </c>
      <c r="AG118" s="121" t="str">
        <f t="shared" si="189"/>
        <v>--</v>
      </c>
      <c r="AH118" s="119" t="str">
        <f t="shared" si="190"/>
        <v>NV</v>
      </c>
      <c r="AI118" s="119" t="str">
        <f t="shared" si="191"/>
        <v>O</v>
      </c>
      <c r="AJ118" s="120" t="str">
        <f t="shared" si="192"/>
        <v>--</v>
      </c>
      <c r="AK118" s="129" t="str">
        <f t="shared" si="267"/>
        <v>--</v>
      </c>
      <c r="AL118" s="119">
        <f t="shared" si="193"/>
        <v>12.697537442378</v>
      </c>
      <c r="AM118" s="119">
        <f t="shared" si="194"/>
        <v>151.63824506367399</v>
      </c>
      <c r="AN118" s="119">
        <f t="shared" si="195"/>
        <v>692.35345273905796</v>
      </c>
      <c r="AO118" s="119">
        <f t="shared" si="196"/>
        <v>1.39</v>
      </c>
      <c r="AP118" s="119" t="str">
        <f>VLOOKUP($A118,Table_IP_2,MATCH("EPD",heading_IP_2,0),FALSE)</f>
        <v>Yes</v>
      </c>
      <c r="AQ118" s="119" t="str">
        <f t="shared" si="268"/>
        <v>--</v>
      </c>
      <c r="AR118" s="119" t="str">
        <f t="shared" si="269"/>
        <v>--</v>
      </c>
      <c r="AS118" s="119">
        <f t="shared" si="270"/>
        <v>2.9999999999999997E-4</v>
      </c>
      <c r="AT118" s="119" t="str">
        <f t="shared" si="271"/>
        <v>--</v>
      </c>
      <c r="AU118" s="119">
        <f t="shared" si="272"/>
        <v>1</v>
      </c>
      <c r="AV118" s="119" t="str">
        <f t="shared" si="226"/>
        <v>--</v>
      </c>
      <c r="AW118" s="555" t="str">
        <f t="shared" si="224"/>
        <v>--</v>
      </c>
      <c r="AX118" s="124">
        <f t="shared" si="225"/>
        <v>7.3729098866569406E-4</v>
      </c>
    </row>
    <row r="119" spans="1:50" ht="12.75" customHeight="1">
      <c r="A119" s="153" t="s">
        <v>287</v>
      </c>
      <c r="B119" s="185" t="s">
        <v>288</v>
      </c>
      <c r="C119" s="566" t="str">
        <f t="shared" si="198"/>
        <v>--</v>
      </c>
      <c r="D119" s="586" t="str">
        <f t="shared" si="199"/>
        <v>--</v>
      </c>
      <c r="E119" s="182" t="str">
        <f t="shared" si="202"/>
        <v>--</v>
      </c>
      <c r="F119" s="609" t="str">
        <f t="shared" si="203"/>
        <v>--</v>
      </c>
      <c r="G119" s="182">
        <f t="shared" si="204"/>
        <v>1.0027472527472527</v>
      </c>
      <c r="H119" s="183" t="str">
        <f t="shared" si="205"/>
        <v>Tapwater</v>
      </c>
      <c r="I119" s="188" t="str">
        <f t="shared" si="206"/>
        <v>--</v>
      </c>
      <c r="J119" s="157" t="str">
        <f t="shared" si="207"/>
        <v>--</v>
      </c>
      <c r="K119" s="190" t="str">
        <f t="shared" si="208"/>
        <v>--</v>
      </c>
      <c r="L119" s="157" t="str">
        <f t="shared" si="209"/>
        <v>--</v>
      </c>
      <c r="M119" s="192" t="str">
        <f t="shared" si="210"/>
        <v>--</v>
      </c>
      <c r="N119" s="190" t="str">
        <f t="shared" si="211"/>
        <v>--</v>
      </c>
      <c r="O119" s="198" t="str">
        <f t="shared" si="212"/>
        <v>--</v>
      </c>
      <c r="P119" s="162">
        <f t="shared" si="213"/>
        <v>1.0027472527472527</v>
      </c>
      <c r="Q119" s="157" t="str">
        <f t="shared" si="214"/>
        <v>--</v>
      </c>
      <c r="R119" s="157" t="str">
        <f t="shared" si="215"/>
        <v>--</v>
      </c>
      <c r="S119" s="157" t="str">
        <f t="shared" si="200"/>
        <v>--</v>
      </c>
      <c r="T119" s="157" t="str">
        <f t="shared" si="216"/>
        <v>--</v>
      </c>
      <c r="U119" s="157" t="str">
        <f t="shared" si="217"/>
        <v>--</v>
      </c>
      <c r="V119" s="200">
        <f t="shared" si="218"/>
        <v>1.0027472527472527</v>
      </c>
      <c r="W119" s="186" t="str">
        <f t="shared" si="219"/>
        <v>--</v>
      </c>
      <c r="X119" s="596" t="str">
        <f t="shared" si="220"/>
        <v>--</v>
      </c>
      <c r="Y119" s="187" t="str">
        <f t="shared" si="221"/>
        <v>--</v>
      </c>
      <c r="Z119" s="567" t="str">
        <f t="shared" si="222"/>
        <v>--</v>
      </c>
      <c r="AA119" s="568" t="str">
        <f t="shared" si="223"/>
        <v>--</v>
      </c>
      <c r="AB119" s="122" t="str">
        <f t="shared" si="184"/>
        <v>--</v>
      </c>
      <c r="AC119" s="121" t="str">
        <f t="shared" si="185"/>
        <v>--</v>
      </c>
      <c r="AD119" s="121" t="str">
        <f t="shared" si="186"/>
        <v>--</v>
      </c>
      <c r="AE119" s="121" t="str">
        <f t="shared" si="187"/>
        <v>--</v>
      </c>
      <c r="AF119" s="121" t="str">
        <f t="shared" si="188"/>
        <v>--</v>
      </c>
      <c r="AG119" s="121" t="str">
        <f t="shared" si="189"/>
        <v>--</v>
      </c>
      <c r="AH119" s="119" t="str">
        <f t="shared" si="190"/>
        <v>NV</v>
      </c>
      <c r="AI119" s="119" t="str">
        <f t="shared" si="191"/>
        <v>O</v>
      </c>
      <c r="AJ119" s="120" t="str">
        <f t="shared" si="192"/>
        <v>--</v>
      </c>
      <c r="AK119" s="129" t="str">
        <f t="shared" si="267"/>
        <v>--</v>
      </c>
      <c r="AL119" s="119">
        <f t="shared" si="193"/>
        <v>30.404431245282499</v>
      </c>
      <c r="AM119" s="119">
        <f t="shared" si="194"/>
        <v>288.940719309717</v>
      </c>
      <c r="AN119" s="119">
        <f t="shared" si="195"/>
        <v>1343.04813834519</v>
      </c>
      <c r="AO119" s="119">
        <f t="shared" si="196"/>
        <v>3.19</v>
      </c>
      <c r="AP119" s="119" t="str">
        <f t="shared" si="197"/>
        <v>No</v>
      </c>
      <c r="AQ119" s="119" t="str">
        <f t="shared" si="268"/>
        <v>--</v>
      </c>
      <c r="AR119" s="119" t="str">
        <f t="shared" si="269"/>
        <v>--</v>
      </c>
      <c r="AS119" s="119">
        <f t="shared" si="270"/>
        <v>5.0000000000000002E-5</v>
      </c>
      <c r="AT119" s="119" t="str">
        <f t="shared" si="271"/>
        <v>--</v>
      </c>
      <c r="AU119" s="119">
        <f t="shared" si="272"/>
        <v>1</v>
      </c>
      <c r="AV119" s="119" t="str">
        <f t="shared" si="226"/>
        <v>--</v>
      </c>
      <c r="AW119" s="555" t="str">
        <f t="shared" si="224"/>
        <v>--</v>
      </c>
      <c r="AX119" s="124">
        <f t="shared" si="225"/>
        <v>1.2288183144428235E-4</v>
      </c>
    </row>
    <row r="120" spans="1:50" ht="12.75" customHeight="1">
      <c r="A120" s="153" t="s">
        <v>289</v>
      </c>
      <c r="B120" s="185" t="s">
        <v>290</v>
      </c>
      <c r="C120" s="566" t="str">
        <f t="shared" si="198"/>
        <v>--</v>
      </c>
      <c r="D120" s="586" t="str">
        <f t="shared" si="199"/>
        <v>--</v>
      </c>
      <c r="E120" s="182" t="str">
        <f t="shared" si="202"/>
        <v>--</v>
      </c>
      <c r="F120" s="609" t="str">
        <f t="shared" si="203"/>
        <v>--</v>
      </c>
      <c r="G120" s="182">
        <f t="shared" si="204"/>
        <v>20.054945054945055</v>
      </c>
      <c r="H120" s="183" t="str">
        <f t="shared" si="205"/>
        <v>Tapwater</v>
      </c>
      <c r="I120" s="188" t="str">
        <f t="shared" si="206"/>
        <v>--</v>
      </c>
      <c r="J120" s="157" t="str">
        <f t="shared" si="207"/>
        <v>--</v>
      </c>
      <c r="K120" s="190" t="str">
        <f t="shared" si="208"/>
        <v>--</v>
      </c>
      <c r="L120" s="157" t="str">
        <f t="shared" si="209"/>
        <v>--</v>
      </c>
      <c r="M120" s="192" t="str">
        <f t="shared" si="210"/>
        <v>--</v>
      </c>
      <c r="N120" s="190" t="str">
        <f t="shared" si="211"/>
        <v>--</v>
      </c>
      <c r="O120" s="198" t="str">
        <f t="shared" si="212"/>
        <v>--</v>
      </c>
      <c r="P120" s="162">
        <f t="shared" si="213"/>
        <v>20.054945054945055</v>
      </c>
      <c r="Q120" s="157" t="str">
        <f t="shared" si="214"/>
        <v>--</v>
      </c>
      <c r="R120" s="157" t="str">
        <f t="shared" si="215"/>
        <v>--</v>
      </c>
      <c r="S120" s="157" t="str">
        <f t="shared" si="200"/>
        <v>--</v>
      </c>
      <c r="T120" s="157" t="str">
        <f t="shared" si="216"/>
        <v>--</v>
      </c>
      <c r="U120" s="157" t="str">
        <f t="shared" si="217"/>
        <v>--</v>
      </c>
      <c r="V120" s="200">
        <f t="shared" si="218"/>
        <v>20.054945054945055</v>
      </c>
      <c r="W120" s="186" t="str">
        <f t="shared" si="219"/>
        <v>--</v>
      </c>
      <c r="X120" s="596" t="str">
        <f t="shared" si="220"/>
        <v>--</v>
      </c>
      <c r="Y120" s="187" t="str">
        <f t="shared" si="221"/>
        <v>--</v>
      </c>
      <c r="Z120" s="567" t="str">
        <f t="shared" si="222"/>
        <v>--</v>
      </c>
      <c r="AA120" s="568" t="str">
        <f t="shared" si="223"/>
        <v>--</v>
      </c>
      <c r="AB120" s="122" t="str">
        <f t="shared" si="184"/>
        <v>--</v>
      </c>
      <c r="AC120" s="121" t="str">
        <f t="shared" si="185"/>
        <v>--</v>
      </c>
      <c r="AD120" s="121" t="str">
        <f t="shared" si="186"/>
        <v>--</v>
      </c>
      <c r="AE120" s="121" t="str">
        <f t="shared" si="187"/>
        <v>--</v>
      </c>
      <c r="AF120" s="121" t="str">
        <f t="shared" si="188"/>
        <v>--</v>
      </c>
      <c r="AG120" s="121" t="str">
        <f t="shared" si="189"/>
        <v>--</v>
      </c>
      <c r="AH120" s="119" t="str">
        <f t="shared" si="190"/>
        <v>NV</v>
      </c>
      <c r="AI120" s="119" t="str">
        <f t="shared" si="191"/>
        <v>O</v>
      </c>
      <c r="AJ120" s="120" t="str">
        <f t="shared" si="192"/>
        <v>--</v>
      </c>
      <c r="AK120" s="129" t="str">
        <f t="shared" si="267"/>
        <v>--</v>
      </c>
      <c r="AL120" s="119">
        <f t="shared" si="193"/>
        <v>172.66942798580999</v>
      </c>
      <c r="AM120" s="119">
        <f t="shared" si="194"/>
        <v>1049.0803431084601</v>
      </c>
      <c r="AN120" s="119">
        <f t="shared" si="195"/>
        <v>4931.4633092449803</v>
      </c>
      <c r="AO120" s="119">
        <f t="shared" si="196"/>
        <v>16.8</v>
      </c>
      <c r="AP120" s="119" t="str">
        <f t="shared" si="197"/>
        <v>No</v>
      </c>
      <c r="AQ120" s="119" t="str">
        <f t="shared" si="268"/>
        <v>--</v>
      </c>
      <c r="AR120" s="119" t="str">
        <f t="shared" si="269"/>
        <v>--</v>
      </c>
      <c r="AS120" s="119">
        <f t="shared" si="270"/>
        <v>1E-3</v>
      </c>
      <c r="AT120" s="119" t="str">
        <f t="shared" si="271"/>
        <v>--</v>
      </c>
      <c r="AU120" s="119">
        <f t="shared" si="272"/>
        <v>1</v>
      </c>
      <c r="AV120" s="119" t="str">
        <f t="shared" si="226"/>
        <v>--</v>
      </c>
      <c r="AW120" s="555" t="str">
        <f t="shared" si="224"/>
        <v>--</v>
      </c>
      <c r="AX120" s="124">
        <f t="shared" si="225"/>
        <v>2.4576366288856471E-3</v>
      </c>
    </row>
    <row r="121" spans="1:50" ht="12.75" customHeight="1">
      <c r="A121" s="153" t="s">
        <v>291</v>
      </c>
      <c r="B121" s="185" t="s">
        <v>292</v>
      </c>
      <c r="C121" s="566" t="str">
        <f t="shared" si="198"/>
        <v>--</v>
      </c>
      <c r="D121" s="586" t="str">
        <f t="shared" si="199"/>
        <v>--</v>
      </c>
      <c r="E121" s="182" t="str">
        <f t="shared" si="202"/>
        <v>--</v>
      </c>
      <c r="F121" s="609" t="str">
        <f t="shared" si="203"/>
        <v>--</v>
      </c>
      <c r="G121" s="182">
        <f t="shared" si="204"/>
        <v>802.19780219780216</v>
      </c>
      <c r="H121" s="183" t="str">
        <f t="shared" si="205"/>
        <v>Tapwater</v>
      </c>
      <c r="I121" s="188" t="str">
        <f t="shared" si="206"/>
        <v>--</v>
      </c>
      <c r="J121" s="157" t="str">
        <f t="shared" si="207"/>
        <v>--</v>
      </c>
      <c r="K121" s="190" t="str">
        <f t="shared" si="208"/>
        <v>--</v>
      </c>
      <c r="L121" s="157" t="str">
        <f t="shared" si="209"/>
        <v>--</v>
      </c>
      <c r="M121" s="192" t="str">
        <f t="shared" si="210"/>
        <v>--</v>
      </c>
      <c r="N121" s="190" t="str">
        <f t="shared" si="211"/>
        <v>--</v>
      </c>
      <c r="O121" s="198" t="str">
        <f t="shared" si="212"/>
        <v>--</v>
      </c>
      <c r="P121" s="162">
        <f t="shared" si="213"/>
        <v>802.19780219780216</v>
      </c>
      <c r="Q121" s="157" t="str">
        <f t="shared" si="214"/>
        <v>--</v>
      </c>
      <c r="R121" s="157" t="str">
        <f t="shared" si="215"/>
        <v>--</v>
      </c>
      <c r="S121" s="157" t="str">
        <f t="shared" si="200"/>
        <v>--</v>
      </c>
      <c r="T121" s="157" t="str">
        <f t="shared" si="216"/>
        <v>--</v>
      </c>
      <c r="U121" s="157" t="str">
        <f t="shared" si="217"/>
        <v>--</v>
      </c>
      <c r="V121" s="200">
        <f t="shared" si="218"/>
        <v>802.19780219780216</v>
      </c>
      <c r="W121" s="186" t="str">
        <f t="shared" si="219"/>
        <v>--</v>
      </c>
      <c r="X121" s="596" t="str">
        <f t="shared" si="220"/>
        <v>--</v>
      </c>
      <c r="Y121" s="187" t="str">
        <f t="shared" si="221"/>
        <v>--</v>
      </c>
      <c r="Z121" s="567" t="str">
        <f t="shared" si="222"/>
        <v>--</v>
      </c>
      <c r="AA121" s="568" t="str">
        <f t="shared" si="223"/>
        <v>--</v>
      </c>
      <c r="AB121" s="122" t="str">
        <f t="shared" si="184"/>
        <v>--</v>
      </c>
      <c r="AC121" s="121" t="str">
        <f t="shared" si="185"/>
        <v>--</v>
      </c>
      <c r="AD121" s="121" t="str">
        <f t="shared" si="186"/>
        <v>--</v>
      </c>
      <c r="AE121" s="121" t="str">
        <f t="shared" si="187"/>
        <v>--</v>
      </c>
      <c r="AF121" s="121" t="str">
        <f t="shared" si="188"/>
        <v>--</v>
      </c>
      <c r="AG121" s="121" t="str">
        <f t="shared" si="189"/>
        <v>--</v>
      </c>
      <c r="AH121" s="119" t="str">
        <f t="shared" si="190"/>
        <v>NV</v>
      </c>
      <c r="AI121" s="119" t="str">
        <f t="shared" si="191"/>
        <v>O</v>
      </c>
      <c r="AJ121" s="120" t="str">
        <f t="shared" si="192"/>
        <v>--</v>
      </c>
      <c r="AK121" s="129" t="str">
        <f t="shared" si="267"/>
        <v>--</v>
      </c>
      <c r="AL121" s="119">
        <f t="shared" si="193"/>
        <v>5465.3926000049896</v>
      </c>
      <c r="AM121" s="119">
        <f t="shared" si="194"/>
        <v>13829.5723158979</v>
      </c>
      <c r="AN121" s="119">
        <f t="shared" si="195"/>
        <v>65165.207362626803</v>
      </c>
      <c r="AO121" s="119">
        <f t="shared" si="196"/>
        <v>470</v>
      </c>
      <c r="AP121" s="119" t="str">
        <f t="shared" si="197"/>
        <v>No</v>
      </c>
      <c r="AQ121" s="119" t="str">
        <f t="shared" si="268"/>
        <v>--</v>
      </c>
      <c r="AR121" s="119" t="str">
        <f t="shared" si="269"/>
        <v>--</v>
      </c>
      <c r="AS121" s="119">
        <f t="shared" si="270"/>
        <v>0.04</v>
      </c>
      <c r="AT121" s="119" t="str">
        <f t="shared" si="271"/>
        <v>--</v>
      </c>
      <c r="AU121" s="119">
        <f t="shared" si="272"/>
        <v>1</v>
      </c>
      <c r="AV121" s="119" t="str">
        <f t="shared" si="226"/>
        <v>--</v>
      </c>
      <c r="AW121" s="555" t="str">
        <f t="shared" si="224"/>
        <v>--</v>
      </c>
      <c r="AX121" s="124">
        <f t="shared" si="225"/>
        <v>9.8305465155425875E-2</v>
      </c>
    </row>
    <row r="122" spans="1:50" ht="12.75" customHeight="1">
      <c r="A122" s="896" t="s">
        <v>293</v>
      </c>
      <c r="B122" s="346" t="s">
        <v>294</v>
      </c>
      <c r="C122" s="2085" t="str">
        <f t="shared" si="198"/>
        <v>&lt; 2.0 (HI Calc)</v>
      </c>
      <c r="D122" s="2086" t="str">
        <f t="shared" si="199"/>
        <v>MCL (Primary)</v>
      </c>
      <c r="E122" s="182" t="str">
        <f t="shared" si="202"/>
        <v>--</v>
      </c>
      <c r="F122" s="609" t="str">
        <f t="shared" si="203"/>
        <v>--</v>
      </c>
      <c r="G122" s="182">
        <f t="shared" si="204"/>
        <v>0.5</v>
      </c>
      <c r="H122" s="183" t="str">
        <f t="shared" si="205"/>
        <v>DDW NL</v>
      </c>
      <c r="I122" s="188" t="str">
        <f t="shared" si="206"/>
        <v>--</v>
      </c>
      <c r="J122" s="157" t="str">
        <f t="shared" si="207"/>
        <v>--</v>
      </c>
      <c r="K122" s="190" t="str">
        <f t="shared" si="208"/>
        <v>--</v>
      </c>
      <c r="L122" s="157" t="str">
        <f t="shared" si="209"/>
        <v>--</v>
      </c>
      <c r="M122" s="192" t="str">
        <f t="shared" si="210"/>
        <v>--</v>
      </c>
      <c r="N122" s="190" t="str">
        <f t="shared" si="211"/>
        <v>--</v>
      </c>
      <c r="O122" s="198" t="str">
        <f t="shared" si="212"/>
        <v>--</v>
      </c>
      <c r="P122" s="162">
        <f t="shared" si="213"/>
        <v>6.0164835164835164</v>
      </c>
      <c r="Q122" s="157" t="str">
        <f t="shared" si="214"/>
        <v>--</v>
      </c>
      <c r="R122" s="157" t="str">
        <f t="shared" si="215"/>
        <v>--</v>
      </c>
      <c r="S122" s="157">
        <f t="shared" si="200"/>
        <v>8391.3256724942621</v>
      </c>
      <c r="T122" s="157" t="str">
        <f t="shared" si="216"/>
        <v>--</v>
      </c>
      <c r="U122" s="157">
        <f t="shared" si="217"/>
        <v>8391.3256724942621</v>
      </c>
      <c r="V122" s="200">
        <f t="shared" si="218"/>
        <v>6.0121728580356875</v>
      </c>
      <c r="W122" s="186" t="str">
        <f t="shared" si="219"/>
        <v>--</v>
      </c>
      <c r="X122" s="596">
        <f t="shared" si="220"/>
        <v>0.5</v>
      </c>
      <c r="Y122" s="187" t="str">
        <f t="shared" si="221"/>
        <v>DDW NL</v>
      </c>
      <c r="Z122" s="2084" t="s">
        <v>4266</v>
      </c>
      <c r="AA122" s="568" t="str">
        <f t="shared" si="223"/>
        <v>MCL (Primary)</v>
      </c>
      <c r="AB122" s="122" t="str">
        <f t="shared" si="184"/>
        <v>&lt; 2.0 (HI Calc)</v>
      </c>
      <c r="AC122" s="121" t="str">
        <f t="shared" si="185"/>
        <v>--</v>
      </c>
      <c r="AD122" s="121" t="str">
        <f t="shared" si="186"/>
        <v>--</v>
      </c>
      <c r="AE122" s="121" t="str">
        <f t="shared" si="187"/>
        <v>--</v>
      </c>
      <c r="AF122" s="121">
        <f t="shared" si="188"/>
        <v>0.5</v>
      </c>
      <c r="AG122" s="121" t="str">
        <f t="shared" si="189"/>
        <v>Noncancer</v>
      </c>
      <c r="AH122" s="119" t="str">
        <f t="shared" si="190"/>
        <v>NV</v>
      </c>
      <c r="AI122" s="119" t="str">
        <f t="shared" si="191"/>
        <v>O</v>
      </c>
      <c r="AJ122" s="120" t="str">
        <f t="shared" si="192"/>
        <v>--</v>
      </c>
      <c r="AK122" s="129">
        <f t="shared" si="267"/>
        <v>1</v>
      </c>
      <c r="AL122" s="119">
        <f t="shared" si="193"/>
        <v>1.2839143703E-4</v>
      </c>
      <c r="AM122" s="119">
        <f t="shared" si="194"/>
        <v>5.0397471695603402</v>
      </c>
      <c r="AN122" s="119">
        <f t="shared" si="195"/>
        <v>12.0953932069448</v>
      </c>
      <c r="AO122" s="119">
        <f t="shared" si="196"/>
        <v>1.926976463E-5</v>
      </c>
      <c r="AP122" s="119" t="str">
        <f t="shared" si="197"/>
        <v>Yes</v>
      </c>
      <c r="AQ122" s="119" t="str">
        <f t="shared" si="268"/>
        <v>--</v>
      </c>
      <c r="AR122" s="119" t="str">
        <f t="shared" si="269"/>
        <v>--</v>
      </c>
      <c r="AS122" s="119">
        <f t="shared" si="270"/>
        <v>2.9999999999999997E-4</v>
      </c>
      <c r="AT122" s="119" t="str">
        <f t="shared" si="271"/>
        <v>--</v>
      </c>
      <c r="AU122" s="119">
        <f t="shared" si="272"/>
        <v>1</v>
      </c>
      <c r="AV122" s="119" t="str">
        <f t="shared" si="226"/>
        <v>--</v>
      </c>
      <c r="AW122" s="555" t="str">
        <f t="shared" si="224"/>
        <v>--</v>
      </c>
      <c r="AX122" s="124">
        <f t="shared" si="225"/>
        <v>7.3729098866569406E-4</v>
      </c>
    </row>
    <row r="123" spans="1:50" ht="12.75" customHeight="1">
      <c r="A123" s="896" t="s">
        <v>295</v>
      </c>
      <c r="B123" s="346" t="s">
        <v>296</v>
      </c>
      <c r="C123" s="2085" t="str">
        <f t="shared" si="198"/>
        <v>&lt; 0.01 (HI Calc)</v>
      </c>
      <c r="D123" s="2086" t="str">
        <f t="shared" si="199"/>
        <v>MCL (Primary)</v>
      </c>
      <c r="E123" s="182" t="str">
        <f t="shared" si="202"/>
        <v>--</v>
      </c>
      <c r="F123" s="609" t="str">
        <f t="shared" si="203"/>
        <v>--</v>
      </c>
      <c r="G123" s="182">
        <f t="shared" si="204"/>
        <v>3.0000000000000001E-3</v>
      </c>
      <c r="H123" s="183" t="str">
        <f t="shared" si="205"/>
        <v>DDW NL</v>
      </c>
      <c r="I123" s="188" t="str">
        <f t="shared" si="206"/>
        <v>--</v>
      </c>
      <c r="J123" s="157" t="str">
        <f t="shared" si="207"/>
        <v>--</v>
      </c>
      <c r="K123" s="190" t="str">
        <f t="shared" si="208"/>
        <v>--</v>
      </c>
      <c r="L123" s="157" t="str">
        <f t="shared" si="209"/>
        <v>--</v>
      </c>
      <c r="M123" s="192" t="str">
        <f t="shared" si="210"/>
        <v>--</v>
      </c>
      <c r="N123" s="190" t="str">
        <f t="shared" si="211"/>
        <v>--</v>
      </c>
      <c r="O123" s="198" t="str">
        <f t="shared" si="212"/>
        <v>--</v>
      </c>
      <c r="P123" s="162">
        <f t="shared" si="213"/>
        <v>0.40109890109890117</v>
      </c>
      <c r="Q123" s="157" t="str">
        <f t="shared" si="214"/>
        <v>--</v>
      </c>
      <c r="R123" s="157" t="str">
        <f t="shared" si="215"/>
        <v>--</v>
      </c>
      <c r="S123" s="157">
        <f t="shared" si="200"/>
        <v>21.921466673670242</v>
      </c>
      <c r="T123" s="157" t="str">
        <f t="shared" si="216"/>
        <v>--</v>
      </c>
      <c r="U123" s="157">
        <f t="shared" si="217"/>
        <v>21.921466673670242</v>
      </c>
      <c r="V123" s="200">
        <f t="shared" si="218"/>
        <v>0.39389182949577922</v>
      </c>
      <c r="W123" s="186" t="str">
        <f t="shared" si="219"/>
        <v>--</v>
      </c>
      <c r="X123" s="596">
        <f t="shared" si="220"/>
        <v>3.0000000000000001E-3</v>
      </c>
      <c r="Y123" s="187" t="str">
        <f t="shared" si="221"/>
        <v>DDW NL</v>
      </c>
      <c r="Z123" s="2084" t="s">
        <v>4260</v>
      </c>
      <c r="AA123" s="568" t="str">
        <f t="shared" si="223"/>
        <v>MCL (Primary)</v>
      </c>
      <c r="AB123" s="122" t="str">
        <f t="shared" si="184"/>
        <v>&lt; 0.01 (HI Calc)</v>
      </c>
      <c r="AC123" s="121" t="str">
        <f t="shared" si="185"/>
        <v>--</v>
      </c>
      <c r="AD123" s="121" t="str">
        <f t="shared" si="186"/>
        <v>--</v>
      </c>
      <c r="AE123" s="121" t="str">
        <f t="shared" si="187"/>
        <v>--</v>
      </c>
      <c r="AF123" s="121">
        <f t="shared" si="188"/>
        <v>3.0000000000000001E-3</v>
      </c>
      <c r="AG123" s="121" t="str">
        <f t="shared" si="189"/>
        <v>Noncancer</v>
      </c>
      <c r="AH123" s="119" t="str">
        <f t="shared" si="190"/>
        <v>V</v>
      </c>
      <c r="AI123" s="119" t="str">
        <f t="shared" si="191"/>
        <v>O</v>
      </c>
      <c r="AJ123" s="120" t="str">
        <f t="shared" si="192"/>
        <v>--</v>
      </c>
      <c r="AK123" s="129">
        <f t="shared" si="267"/>
        <v>1</v>
      </c>
      <c r="AL123" s="119">
        <f t="shared" si="193"/>
        <v>1.9854412823499998E-3</v>
      </c>
      <c r="AM123" s="119">
        <f t="shared" si="194"/>
        <v>18.298215988570899</v>
      </c>
      <c r="AN123" s="119">
        <f t="shared" si="195"/>
        <v>43.915718372570097</v>
      </c>
      <c r="AO123" s="119">
        <f t="shared" si="196"/>
        <v>2.5807510932999999E-4</v>
      </c>
      <c r="AP123" s="119" t="str">
        <f t="shared" si="197"/>
        <v>Yes</v>
      </c>
      <c r="AQ123" s="119" t="str">
        <f t="shared" si="268"/>
        <v>--</v>
      </c>
      <c r="AR123" s="119" t="str">
        <f t="shared" si="269"/>
        <v>--</v>
      </c>
      <c r="AS123" s="119">
        <f t="shared" si="270"/>
        <v>2.0000000000000002E-5</v>
      </c>
      <c r="AT123" s="119" t="str">
        <f t="shared" si="271"/>
        <v>--</v>
      </c>
      <c r="AU123" s="119">
        <f t="shared" si="272"/>
        <v>1</v>
      </c>
      <c r="AV123" s="119" t="str">
        <f t="shared" si="226"/>
        <v>--</v>
      </c>
      <c r="AW123" s="555" t="str">
        <f t="shared" si="224"/>
        <v>--</v>
      </c>
      <c r="AX123" s="124">
        <f t="shared" si="225"/>
        <v>4.9152732577712949E-5</v>
      </c>
    </row>
    <row r="124" spans="1:50" ht="12.75" customHeight="1">
      <c r="A124" s="153" t="s">
        <v>297</v>
      </c>
      <c r="B124" s="185" t="s">
        <v>298</v>
      </c>
      <c r="C124" s="566">
        <f t="shared" si="198"/>
        <v>4.0000000000000001E-3</v>
      </c>
      <c r="D124" s="586" t="str">
        <f t="shared" si="199"/>
        <v>MCL (Primary)</v>
      </c>
      <c r="E124" s="182">
        <f t="shared" si="202"/>
        <v>1E-3</v>
      </c>
      <c r="F124" s="609" t="str">
        <f t="shared" si="203"/>
        <v>OEHHA PHG</v>
      </c>
      <c r="G124" s="182">
        <f t="shared" si="204"/>
        <v>2.0054945054945057E-3</v>
      </c>
      <c r="H124" s="183" t="str">
        <f t="shared" si="205"/>
        <v>Tapwater</v>
      </c>
      <c r="I124" s="188">
        <f t="shared" si="206"/>
        <v>1.9723599421801333E-3</v>
      </c>
      <c r="J124" s="157" t="str">
        <f t="shared" si="207"/>
        <v>--</v>
      </c>
      <c r="K124" s="190" t="str">
        <f t="shared" si="208"/>
        <v>--</v>
      </c>
      <c r="L124" s="157" t="str">
        <f t="shared" si="209"/>
        <v>--</v>
      </c>
      <c r="M124" s="192" t="str">
        <f t="shared" si="210"/>
        <v>--</v>
      </c>
      <c r="N124" s="190" t="str">
        <f t="shared" si="211"/>
        <v>--</v>
      </c>
      <c r="O124" s="198">
        <f t="shared" si="212"/>
        <v>1.9723599421801333E-3</v>
      </c>
      <c r="P124" s="162">
        <f t="shared" si="213"/>
        <v>2.0054945054945057E-3</v>
      </c>
      <c r="Q124" s="157" t="str">
        <f t="shared" si="214"/>
        <v>--</v>
      </c>
      <c r="R124" s="157" t="str">
        <f t="shared" si="215"/>
        <v>--</v>
      </c>
      <c r="S124" s="157" t="str">
        <f t="shared" ref="S124:S148" si="273">IF(AP124="No", "--",IF(OR(AX124="--",AL124="--",AK124="--"),"--",IF(AND(AI124="O", ETwc &lt; AN124), (AX124*1000)/(2*AK124*AO124*SQRT((6*AM124*ETwc)/PI())), "--")))</f>
        <v>--</v>
      </c>
      <c r="T124" s="157" t="str">
        <f t="shared" si="216"/>
        <v>--</v>
      </c>
      <c r="U124" s="157" t="str">
        <f t="shared" si="217"/>
        <v>--</v>
      </c>
      <c r="V124" s="200">
        <f t="shared" si="218"/>
        <v>2.0054945054945057E-3</v>
      </c>
      <c r="W124" s="186">
        <f t="shared" si="219"/>
        <v>1E-3</v>
      </c>
      <c r="X124" s="596" t="str">
        <f t="shared" si="220"/>
        <v>--</v>
      </c>
      <c r="Y124" s="187" t="str">
        <f t="shared" si="221"/>
        <v>OEHHA PHG</v>
      </c>
      <c r="Z124" s="567">
        <f t="shared" si="222"/>
        <v>4.0000000000000001E-3</v>
      </c>
      <c r="AA124" s="568" t="str">
        <f t="shared" si="223"/>
        <v>MCL (Primary)</v>
      </c>
      <c r="AB124" s="122">
        <f t="shared" si="184"/>
        <v>4.0000000000000001E-3</v>
      </c>
      <c r="AC124" s="121" t="str">
        <f t="shared" si="185"/>
        <v>--</v>
      </c>
      <c r="AD124" s="121">
        <f t="shared" si="186"/>
        <v>1E-3</v>
      </c>
      <c r="AE124" s="121" t="str">
        <f t="shared" si="187"/>
        <v>Cancer</v>
      </c>
      <c r="AF124" s="121">
        <f t="shared" si="188"/>
        <v>6.4999999999999997E-3</v>
      </c>
      <c r="AG124" s="121" t="str">
        <f t="shared" si="189"/>
        <v>Cancer</v>
      </c>
      <c r="AH124" s="119" t="str">
        <f t="shared" si="190"/>
        <v>NV</v>
      </c>
      <c r="AI124" s="119" t="str">
        <f t="shared" si="191"/>
        <v>O</v>
      </c>
      <c r="AJ124" s="120" t="str">
        <f t="shared" si="192"/>
        <v>--</v>
      </c>
      <c r="AK124" s="129">
        <f t="shared" si="267"/>
        <v>1</v>
      </c>
      <c r="AL124" s="119">
        <f t="shared" si="193"/>
        <v>4.0297442039099998E-6</v>
      </c>
      <c r="AM124" s="119">
        <f t="shared" si="194"/>
        <v>66.436806668935006</v>
      </c>
      <c r="AN124" s="119">
        <f t="shared" si="195"/>
        <v>159.44833600544399</v>
      </c>
      <c r="AO124" s="119">
        <f t="shared" si="196"/>
        <v>4.6851381349800002E-7</v>
      </c>
      <c r="AP124" s="119" t="str">
        <f t="shared" si="197"/>
        <v>No</v>
      </c>
      <c r="AQ124" s="119">
        <f t="shared" si="268"/>
        <v>39.5</v>
      </c>
      <c r="AR124" s="119" t="str">
        <f t="shared" si="269"/>
        <v>--</v>
      </c>
      <c r="AS124" s="119">
        <f t="shared" si="270"/>
        <v>9.9999999999999995E-8</v>
      </c>
      <c r="AT124" s="119" t="str">
        <f t="shared" si="271"/>
        <v>--</v>
      </c>
      <c r="AU124" s="119">
        <f t="shared" si="272"/>
        <v>1</v>
      </c>
      <c r="AV124" s="119">
        <f t="shared" si="226"/>
        <v>2.4776796699594916E-7</v>
      </c>
      <c r="AW124" s="555">
        <f t="shared" si="224"/>
        <v>7.8962938978955117E-8</v>
      </c>
      <c r="AX124" s="124">
        <f t="shared" si="225"/>
        <v>2.4576366288856471E-7</v>
      </c>
    </row>
    <row r="125" spans="1:50" ht="12.75" customHeight="1">
      <c r="A125" s="896" t="s">
        <v>299</v>
      </c>
      <c r="B125" s="346" t="s">
        <v>300</v>
      </c>
      <c r="C125" s="2085" t="str">
        <f t="shared" si="198"/>
        <v>&lt; 0.01 (HI Calc)</v>
      </c>
      <c r="D125" s="2086" t="str">
        <f t="shared" si="199"/>
        <v>MCL (Primary)</v>
      </c>
      <c r="E125" s="182" t="str">
        <f t="shared" si="202"/>
        <v>--</v>
      </c>
      <c r="F125" s="609" t="str">
        <f t="shared" si="203"/>
        <v>--</v>
      </c>
      <c r="G125" s="182">
        <f t="shared" si="204"/>
        <v>1.4565820195734285E-2</v>
      </c>
      <c r="H125" s="183" t="str">
        <f t="shared" si="205"/>
        <v>Tapwater</v>
      </c>
      <c r="I125" s="188" t="str">
        <f t="shared" si="206"/>
        <v>--</v>
      </c>
      <c r="J125" s="157" t="str">
        <f t="shared" si="207"/>
        <v>--</v>
      </c>
      <c r="K125" s="190" t="str">
        <f t="shared" si="208"/>
        <v>--</v>
      </c>
      <c r="L125" s="157" t="str">
        <f t="shared" si="209"/>
        <v>--</v>
      </c>
      <c r="M125" s="192" t="str">
        <f t="shared" si="210"/>
        <v>--</v>
      </c>
      <c r="N125" s="190" t="str">
        <f t="shared" si="211"/>
        <v>--</v>
      </c>
      <c r="O125" s="198" t="str">
        <f t="shared" si="212"/>
        <v>--</v>
      </c>
      <c r="P125" s="162">
        <f t="shared" si="213"/>
        <v>6.0164835164835166E-2</v>
      </c>
      <c r="Q125" s="157" t="str">
        <f t="shared" si="214"/>
        <v>--</v>
      </c>
      <c r="R125" s="157" t="str">
        <f t="shared" si="215"/>
        <v>--</v>
      </c>
      <c r="S125" s="157">
        <f t="shared" si="273"/>
        <v>1.921862065903877E-2</v>
      </c>
      <c r="T125" s="157" t="str">
        <f t="shared" si="216"/>
        <v>--</v>
      </c>
      <c r="U125" s="157">
        <f t="shared" si="217"/>
        <v>1.921862065903877E-2</v>
      </c>
      <c r="V125" s="200">
        <f t="shared" si="218"/>
        <v>1.4565820195734285E-2</v>
      </c>
      <c r="W125" s="186" t="str">
        <f t="shared" si="219"/>
        <v>--</v>
      </c>
      <c r="X125" s="596" t="str">
        <f t="shared" si="220"/>
        <v>--</v>
      </c>
      <c r="Y125" s="187" t="str">
        <f t="shared" si="221"/>
        <v>--</v>
      </c>
      <c r="Z125" s="2084" t="s">
        <v>4260</v>
      </c>
      <c r="AA125" s="568" t="str">
        <f t="shared" si="223"/>
        <v>MCL (Primary)</v>
      </c>
      <c r="AB125" s="122" t="str">
        <f t="shared" si="184"/>
        <v>&lt; 0.01 (HI Calc)</v>
      </c>
      <c r="AC125" s="121" t="str">
        <f t="shared" si="185"/>
        <v>--</v>
      </c>
      <c r="AD125" s="121" t="str">
        <f t="shared" si="186"/>
        <v>--</v>
      </c>
      <c r="AE125" s="121" t="str">
        <f t="shared" si="187"/>
        <v>--</v>
      </c>
      <c r="AF125" s="121" t="str">
        <f t="shared" si="188"/>
        <v>--</v>
      </c>
      <c r="AG125" s="121" t="str">
        <f t="shared" si="189"/>
        <v>--</v>
      </c>
      <c r="AH125" s="119" t="str">
        <f t="shared" si="190"/>
        <v>V</v>
      </c>
      <c r="AI125" s="119" t="str">
        <f t="shared" si="191"/>
        <v>O</v>
      </c>
      <c r="AJ125" s="120" t="str">
        <f t="shared" si="192"/>
        <v>--</v>
      </c>
      <c r="AK125" s="129">
        <f t="shared" si="267"/>
        <v>0.8</v>
      </c>
      <c r="AL125" s="119">
        <f t="shared" si="193"/>
        <v>0.60568134723914002</v>
      </c>
      <c r="AM125" s="119">
        <f t="shared" si="194"/>
        <v>7.4200827668435902</v>
      </c>
      <c r="AN125" s="119">
        <f t="shared" si="195"/>
        <v>29.9301819752346</v>
      </c>
      <c r="AO125" s="119">
        <f t="shared" si="196"/>
        <v>8.6675186538739998E-2</v>
      </c>
      <c r="AP125" s="119" t="str">
        <f t="shared" si="197"/>
        <v>Yes</v>
      </c>
      <c r="AQ125" s="119" t="str">
        <f t="shared" si="268"/>
        <v>--</v>
      </c>
      <c r="AR125" s="119" t="str">
        <f t="shared" si="269"/>
        <v>--</v>
      </c>
      <c r="AS125" s="119">
        <f t="shared" si="270"/>
        <v>3.0000000000000001E-6</v>
      </c>
      <c r="AT125" s="119" t="str">
        <f t="shared" si="271"/>
        <v>--</v>
      </c>
      <c r="AU125" s="119">
        <f t="shared" si="272"/>
        <v>1</v>
      </c>
      <c r="AV125" s="119" t="str">
        <f t="shared" si="226"/>
        <v>--</v>
      </c>
      <c r="AW125" s="555" t="str">
        <f t="shared" si="224"/>
        <v>--</v>
      </c>
      <c r="AX125" s="124">
        <f t="shared" si="225"/>
        <v>7.3729098866569408E-6</v>
      </c>
    </row>
    <row r="126" spans="1:50" ht="12.75" customHeight="1">
      <c r="A126" s="153" t="s">
        <v>301</v>
      </c>
      <c r="B126" s="185" t="s">
        <v>302</v>
      </c>
      <c r="C126" s="566" t="str">
        <f t="shared" si="198"/>
        <v>--</v>
      </c>
      <c r="D126" s="586" t="str">
        <f t="shared" si="199"/>
        <v>--</v>
      </c>
      <c r="E126" s="182" t="str">
        <f t="shared" si="202"/>
        <v>--</v>
      </c>
      <c r="F126" s="609" t="str">
        <f t="shared" si="203"/>
        <v>--</v>
      </c>
      <c r="G126" s="182">
        <f t="shared" si="204"/>
        <v>600</v>
      </c>
      <c r="H126" s="183" t="str">
        <f t="shared" si="205"/>
        <v>DDW NL</v>
      </c>
      <c r="I126" s="188" t="str">
        <f t="shared" si="206"/>
        <v>--</v>
      </c>
      <c r="J126" s="157" t="str">
        <f t="shared" si="207"/>
        <v>--</v>
      </c>
      <c r="K126" s="190" t="str">
        <f t="shared" si="208"/>
        <v>--</v>
      </c>
      <c r="L126" s="157" t="str">
        <f t="shared" si="209"/>
        <v>--</v>
      </c>
      <c r="M126" s="192" t="str">
        <f t="shared" si="210"/>
        <v>--</v>
      </c>
      <c r="N126" s="190" t="str">
        <f t="shared" si="211"/>
        <v>--</v>
      </c>
      <c r="O126" s="198" t="str">
        <f t="shared" si="212"/>
        <v>--</v>
      </c>
      <c r="P126" s="162">
        <f t="shared" si="213"/>
        <v>6016.4835164835167</v>
      </c>
      <c r="Q126" s="157" t="str">
        <f t="shared" si="214"/>
        <v>--</v>
      </c>
      <c r="R126" s="157" t="str">
        <f t="shared" si="215"/>
        <v>--</v>
      </c>
      <c r="S126" s="157">
        <f t="shared" si="273"/>
        <v>140597.64849837864</v>
      </c>
      <c r="T126" s="157" t="str">
        <f t="shared" si="216"/>
        <v>--</v>
      </c>
      <c r="U126" s="157">
        <f t="shared" si="217"/>
        <v>140597.64849837864</v>
      </c>
      <c r="V126" s="200">
        <f t="shared" si="218"/>
        <v>5769.5900321606787</v>
      </c>
      <c r="W126" s="186" t="str">
        <f t="shared" si="219"/>
        <v>--</v>
      </c>
      <c r="X126" s="596">
        <f t="shared" si="220"/>
        <v>600</v>
      </c>
      <c r="Y126" s="187" t="str">
        <f t="shared" si="221"/>
        <v>DDW NL</v>
      </c>
      <c r="Z126" s="567" t="str">
        <f t="shared" si="222"/>
        <v>--</v>
      </c>
      <c r="AA126" s="568" t="str">
        <f t="shared" si="223"/>
        <v>--</v>
      </c>
      <c r="AB126" s="122" t="str">
        <f t="shared" si="184"/>
        <v>--</v>
      </c>
      <c r="AC126" s="121" t="str">
        <f t="shared" si="185"/>
        <v>--</v>
      </c>
      <c r="AD126" s="121" t="str">
        <f t="shared" si="186"/>
        <v>--</v>
      </c>
      <c r="AE126" s="121" t="str">
        <f t="shared" si="187"/>
        <v>--</v>
      </c>
      <c r="AF126" s="121">
        <f t="shared" si="188"/>
        <v>600</v>
      </c>
      <c r="AG126" s="121" t="str">
        <f t="shared" si="189"/>
        <v>Noncancer</v>
      </c>
      <c r="AH126" s="119" t="str">
        <f t="shared" si="190"/>
        <v>NV</v>
      </c>
      <c r="AI126" s="119" t="str">
        <f t="shared" si="191"/>
        <v>O</v>
      </c>
      <c r="AJ126" s="120" t="str">
        <f t="shared" si="192"/>
        <v>--</v>
      </c>
      <c r="AK126" s="129">
        <f t="shared" si="267"/>
        <v>1</v>
      </c>
      <c r="AL126" s="119">
        <f t="shared" si="193"/>
        <v>1.6193603357629999E-2</v>
      </c>
      <c r="AM126" s="119">
        <f t="shared" si="194"/>
        <v>0.35390536767007003</v>
      </c>
      <c r="AN126" s="119">
        <f t="shared" si="195"/>
        <v>0.84937288240816</v>
      </c>
      <c r="AO126" s="119">
        <f t="shared" si="196"/>
        <v>4.3400000000000001E-3</v>
      </c>
      <c r="AP126" s="119" t="str">
        <f t="shared" si="197"/>
        <v>Yes</v>
      </c>
      <c r="AQ126" s="119" t="str">
        <f t="shared" si="268"/>
        <v>--</v>
      </c>
      <c r="AR126" s="119" t="str">
        <f t="shared" si="269"/>
        <v>--</v>
      </c>
      <c r="AS126" s="119">
        <f t="shared" si="270"/>
        <v>0.3</v>
      </c>
      <c r="AT126" s="119">
        <f t="shared" si="271"/>
        <v>200</v>
      </c>
      <c r="AU126" s="119">
        <f t="shared" si="272"/>
        <v>1</v>
      </c>
      <c r="AV126" s="119" t="str">
        <f t="shared" si="226"/>
        <v>--</v>
      </c>
      <c r="AW126" s="555" t="str">
        <f t="shared" si="224"/>
        <v>--</v>
      </c>
      <c r="AX126" s="124">
        <f t="shared" si="225"/>
        <v>0.73729098866569409</v>
      </c>
    </row>
    <row r="127" spans="1:50" ht="12.75" customHeight="1">
      <c r="A127" s="153" t="s">
        <v>303</v>
      </c>
      <c r="B127" s="185" t="s">
        <v>304</v>
      </c>
      <c r="C127" s="566">
        <f t="shared" si="198"/>
        <v>0.5</v>
      </c>
      <c r="D127" s="586" t="str">
        <f t="shared" si="199"/>
        <v>MCL (Primary)</v>
      </c>
      <c r="E127" s="182">
        <f t="shared" si="202"/>
        <v>7.8629900904782432E-3</v>
      </c>
      <c r="F127" s="609" t="str">
        <f t="shared" si="203"/>
        <v>Tapwater</v>
      </c>
      <c r="G127" s="182" t="str">
        <f t="shared" si="204"/>
        <v>--</v>
      </c>
      <c r="H127" s="183" t="str">
        <f t="shared" si="205"/>
        <v>--</v>
      </c>
      <c r="I127" s="188">
        <f t="shared" si="206"/>
        <v>3.8954108858057633E-2</v>
      </c>
      <c r="J127" s="157">
        <f t="shared" si="207"/>
        <v>9.851551956815115E-3</v>
      </c>
      <c r="K127" s="190" t="str">
        <f t="shared" si="208"/>
        <v>--</v>
      </c>
      <c r="L127" s="157" t="str">
        <f t="shared" si="209"/>
        <v>--</v>
      </c>
      <c r="M127" s="192" t="str">
        <f t="shared" si="210"/>
        <v>--</v>
      </c>
      <c r="N127" s="190" t="str">
        <f t="shared" si="211"/>
        <v>--</v>
      </c>
      <c r="O127" s="198">
        <f t="shared" si="212"/>
        <v>7.8629900904782432E-3</v>
      </c>
      <c r="P127" s="162" t="str">
        <f t="shared" si="213"/>
        <v>--</v>
      </c>
      <c r="Q127" s="157" t="str">
        <f t="shared" si="214"/>
        <v>--</v>
      </c>
      <c r="R127" s="157" t="str">
        <f t="shared" si="215"/>
        <v>--</v>
      </c>
      <c r="S127" s="157" t="str">
        <f t="shared" si="273"/>
        <v>--</v>
      </c>
      <c r="T127" s="157" t="str">
        <f t="shared" si="216"/>
        <v>--</v>
      </c>
      <c r="U127" s="157" t="str">
        <f t="shared" si="217"/>
        <v>--</v>
      </c>
      <c r="V127" s="200" t="str">
        <f t="shared" si="218"/>
        <v>--</v>
      </c>
      <c r="W127" s="186">
        <f t="shared" si="219"/>
        <v>0.09</v>
      </c>
      <c r="X127" s="596" t="str">
        <f t="shared" si="220"/>
        <v>--</v>
      </c>
      <c r="Y127" s="187" t="str">
        <f t="shared" si="221"/>
        <v>OEHHA PHG</v>
      </c>
      <c r="Z127" s="567">
        <f t="shared" si="222"/>
        <v>0.5</v>
      </c>
      <c r="AA127" s="568" t="str">
        <f t="shared" si="223"/>
        <v>MCL (Primary)</v>
      </c>
      <c r="AB127" s="122">
        <f t="shared" si="184"/>
        <v>0.5</v>
      </c>
      <c r="AC127" s="121" t="str">
        <f t="shared" si="185"/>
        <v>--</v>
      </c>
      <c r="AD127" s="121">
        <f t="shared" si="186"/>
        <v>0.09</v>
      </c>
      <c r="AE127" s="121" t="str">
        <f t="shared" si="187"/>
        <v>Cancer</v>
      </c>
      <c r="AF127" s="121" t="str">
        <f t="shared" si="188"/>
        <v>--</v>
      </c>
      <c r="AG127" s="121" t="str">
        <f t="shared" si="189"/>
        <v>--</v>
      </c>
      <c r="AH127" s="119" t="str">
        <f t="shared" si="190"/>
        <v>V</v>
      </c>
      <c r="AI127" s="119" t="str">
        <f t="shared" si="191"/>
        <v>O</v>
      </c>
      <c r="AJ127" s="120" t="str">
        <f t="shared" si="192"/>
        <v>--</v>
      </c>
      <c r="AK127" s="129">
        <f t="shared" si="267"/>
        <v>0.7</v>
      </c>
      <c r="AL127" s="119">
        <f t="shared" si="193"/>
        <v>3.5818479278722002</v>
      </c>
      <c r="AM127" s="119">
        <f t="shared" si="194"/>
        <v>4.5393403832826502</v>
      </c>
      <c r="AN127" s="119">
        <f t="shared" si="195"/>
        <v>19.446178178515499</v>
      </c>
      <c r="AO127" s="119">
        <f t="shared" si="196"/>
        <v>0.54500000000000004</v>
      </c>
      <c r="AP127" s="119" t="str">
        <f t="shared" si="197"/>
        <v>No</v>
      </c>
      <c r="AQ127" s="119">
        <f t="shared" si="268"/>
        <v>2</v>
      </c>
      <c r="AR127" s="119">
        <f t="shared" si="269"/>
        <v>5.6999999999999998E-4</v>
      </c>
      <c r="AS127" s="119" t="str">
        <f t="shared" si="270"/>
        <v>--</v>
      </c>
      <c r="AT127" s="119" t="str">
        <f t="shared" si="271"/>
        <v>--</v>
      </c>
      <c r="AU127" s="119">
        <f t="shared" si="272"/>
        <v>1</v>
      </c>
      <c r="AV127" s="119">
        <f t="shared" si="226"/>
        <v>4.8934173481699964E-6</v>
      </c>
      <c r="AW127" s="555">
        <f t="shared" si="224"/>
        <v>1.5595180448343635E-6</v>
      </c>
      <c r="AX127" s="124" t="str">
        <f t="shared" si="225"/>
        <v>--</v>
      </c>
    </row>
    <row r="128" spans="1:50" ht="12.75" customHeight="1">
      <c r="A128" s="153" t="s">
        <v>305</v>
      </c>
      <c r="B128" s="185" t="s">
        <v>306</v>
      </c>
      <c r="C128" s="566">
        <f t="shared" si="198"/>
        <v>50</v>
      </c>
      <c r="D128" s="586" t="str">
        <f t="shared" si="199"/>
        <v>MCL (Primary)</v>
      </c>
      <c r="E128" s="182" t="str">
        <f t="shared" si="202"/>
        <v>--</v>
      </c>
      <c r="F128" s="609" t="str">
        <f t="shared" si="203"/>
        <v>--</v>
      </c>
      <c r="G128" s="182">
        <f t="shared" si="204"/>
        <v>30</v>
      </c>
      <c r="H128" s="183" t="str">
        <f t="shared" si="205"/>
        <v>OEHHA PHG</v>
      </c>
      <c r="I128" s="188" t="str">
        <f t="shared" si="206"/>
        <v>--</v>
      </c>
      <c r="J128" s="157" t="str">
        <f t="shared" si="207"/>
        <v>--</v>
      </c>
      <c r="K128" s="190" t="str">
        <f t="shared" si="208"/>
        <v>--</v>
      </c>
      <c r="L128" s="157" t="str">
        <f t="shared" si="209"/>
        <v>--</v>
      </c>
      <c r="M128" s="192" t="str">
        <f t="shared" si="210"/>
        <v>--</v>
      </c>
      <c r="N128" s="190" t="str">
        <f t="shared" si="211"/>
        <v>--</v>
      </c>
      <c r="O128" s="198" t="str">
        <f t="shared" si="212"/>
        <v>--</v>
      </c>
      <c r="P128" s="162">
        <f t="shared" si="213"/>
        <v>100.27472527472527</v>
      </c>
      <c r="Q128" s="157" t="str">
        <f t="shared" si="214"/>
        <v>--</v>
      </c>
      <c r="R128" s="157">
        <f t="shared" si="215"/>
        <v>22755.894711904137</v>
      </c>
      <c r="S128" s="157" t="str">
        <f t="shared" si="273"/>
        <v>--</v>
      </c>
      <c r="T128" s="157" t="str">
        <f t="shared" si="216"/>
        <v>--</v>
      </c>
      <c r="U128" s="157">
        <f t="shared" si="217"/>
        <v>22755.894711904137</v>
      </c>
      <c r="V128" s="200">
        <f t="shared" si="218"/>
        <v>99.83479939140706</v>
      </c>
      <c r="W128" s="186" t="str">
        <f t="shared" si="219"/>
        <v>--</v>
      </c>
      <c r="X128" s="596">
        <f t="shared" si="220"/>
        <v>30</v>
      </c>
      <c r="Y128" s="187" t="str">
        <f t="shared" si="221"/>
        <v>OEHHA PHG</v>
      </c>
      <c r="Z128" s="567">
        <f t="shared" si="222"/>
        <v>50</v>
      </c>
      <c r="AA128" s="568" t="str">
        <f t="shared" si="223"/>
        <v>MCL (Primary)</v>
      </c>
      <c r="AB128" s="122">
        <f t="shared" si="184"/>
        <v>50</v>
      </c>
      <c r="AC128" s="121" t="str">
        <f t="shared" si="185"/>
        <v>--</v>
      </c>
      <c r="AD128" s="121">
        <f t="shared" si="186"/>
        <v>30</v>
      </c>
      <c r="AE128" s="121" t="str">
        <f t="shared" si="187"/>
        <v>Noncancer</v>
      </c>
      <c r="AF128" s="121" t="str">
        <f t="shared" si="188"/>
        <v>--</v>
      </c>
      <c r="AG128" s="121" t="str">
        <f t="shared" si="189"/>
        <v>--</v>
      </c>
      <c r="AH128" s="119" t="str">
        <f t="shared" si="190"/>
        <v>NV</v>
      </c>
      <c r="AI128" s="119" t="str">
        <f t="shared" si="191"/>
        <v>I</v>
      </c>
      <c r="AJ128" s="120" t="str">
        <f t="shared" si="192"/>
        <v>--</v>
      </c>
      <c r="AK128" s="129">
        <f t="shared" si="267"/>
        <v>1</v>
      </c>
      <c r="AL128" s="119">
        <f t="shared" si="193"/>
        <v>3.4176707525400002E-3</v>
      </c>
      <c r="AM128" s="119">
        <f t="shared" si="194"/>
        <v>0.29108829990245999</v>
      </c>
      <c r="AN128" s="119">
        <f t="shared" si="195"/>
        <v>0.69861191976590997</v>
      </c>
      <c r="AO128" s="119">
        <f t="shared" si="196"/>
        <v>1E-3</v>
      </c>
      <c r="AP128" s="119" t="str">
        <f t="shared" si="197"/>
        <v>Yes</v>
      </c>
      <c r="AQ128" s="119" t="str">
        <f t="shared" si="268"/>
        <v>--</v>
      </c>
      <c r="AR128" s="119" t="str">
        <f t="shared" si="269"/>
        <v>--</v>
      </c>
      <c r="AS128" s="119">
        <f t="shared" si="270"/>
        <v>5.0000000000000001E-3</v>
      </c>
      <c r="AT128" s="119">
        <f t="shared" si="271"/>
        <v>20</v>
      </c>
      <c r="AU128" s="119">
        <f t="shared" si="272"/>
        <v>1</v>
      </c>
      <c r="AV128" s="119" t="str">
        <f t="shared" si="226"/>
        <v>--</v>
      </c>
      <c r="AW128" s="555" t="str">
        <f t="shared" si="224"/>
        <v>--</v>
      </c>
      <c r="AX128" s="124">
        <f t="shared" si="225"/>
        <v>1.2288183144428234E-2</v>
      </c>
    </row>
    <row r="129" spans="1:50" ht="12.75" customHeight="1">
      <c r="A129" s="153" t="s">
        <v>307</v>
      </c>
      <c r="B129" s="185" t="s">
        <v>308</v>
      </c>
      <c r="C129" s="566">
        <f t="shared" si="198"/>
        <v>100</v>
      </c>
      <c r="D129" s="586" t="str">
        <f t="shared" si="199"/>
        <v>MCL (Secondary)</v>
      </c>
      <c r="E129" s="182" t="str">
        <f t="shared" si="202"/>
        <v>--</v>
      </c>
      <c r="F129" s="609" t="str">
        <f t="shared" si="203"/>
        <v>--</v>
      </c>
      <c r="G129" s="182">
        <f t="shared" si="204"/>
        <v>94.057692669452663</v>
      </c>
      <c r="H129" s="183" t="str">
        <f t="shared" si="205"/>
        <v>Tapwater</v>
      </c>
      <c r="I129" s="188" t="str">
        <f t="shared" si="206"/>
        <v>--</v>
      </c>
      <c r="J129" s="157" t="str">
        <f t="shared" si="207"/>
        <v>--</v>
      </c>
      <c r="K129" s="190" t="str">
        <f t="shared" si="208"/>
        <v>--</v>
      </c>
      <c r="L129" s="157" t="str">
        <f t="shared" si="209"/>
        <v>--</v>
      </c>
      <c r="M129" s="192" t="str">
        <f t="shared" si="210"/>
        <v>--</v>
      </c>
      <c r="N129" s="190" t="str">
        <f t="shared" si="211"/>
        <v>--</v>
      </c>
      <c r="O129" s="198" t="str">
        <f t="shared" si="212"/>
        <v>--</v>
      </c>
      <c r="P129" s="162">
        <f t="shared" si="213"/>
        <v>100.27472527472527</v>
      </c>
      <c r="Q129" s="157" t="str">
        <f t="shared" si="214"/>
        <v>--</v>
      </c>
      <c r="R129" s="157">
        <f t="shared" si="215"/>
        <v>1517.059647460276</v>
      </c>
      <c r="S129" s="157" t="str">
        <f t="shared" si="273"/>
        <v>--</v>
      </c>
      <c r="T129" s="157" t="str">
        <f t="shared" si="216"/>
        <v>--</v>
      </c>
      <c r="U129" s="157">
        <f t="shared" si="217"/>
        <v>1517.059647460276</v>
      </c>
      <c r="V129" s="200">
        <f t="shared" si="218"/>
        <v>94.057692669452663</v>
      </c>
      <c r="W129" s="186" t="str">
        <f t="shared" si="219"/>
        <v>--</v>
      </c>
      <c r="X129" s="596" t="str">
        <f t="shared" si="220"/>
        <v>--</v>
      </c>
      <c r="Y129" s="187" t="str">
        <f t="shared" si="221"/>
        <v>--</v>
      </c>
      <c r="Z129" s="567">
        <f t="shared" si="222"/>
        <v>100</v>
      </c>
      <c r="AA129" s="568" t="str">
        <f t="shared" si="223"/>
        <v>MCL (Secondary)</v>
      </c>
      <c r="AB129" s="122" t="str">
        <f t="shared" si="184"/>
        <v>--</v>
      </c>
      <c r="AC129" s="121">
        <f t="shared" si="185"/>
        <v>100</v>
      </c>
      <c r="AD129" s="121" t="str">
        <f t="shared" si="186"/>
        <v>--</v>
      </c>
      <c r="AE129" s="121" t="str">
        <f t="shared" si="187"/>
        <v>--</v>
      </c>
      <c r="AF129" s="121" t="str">
        <f t="shared" si="188"/>
        <v>--</v>
      </c>
      <c r="AG129" s="121" t="str">
        <f t="shared" si="189"/>
        <v>--</v>
      </c>
      <c r="AH129" s="119" t="str">
        <f t="shared" si="190"/>
        <v>NV</v>
      </c>
      <c r="AI129" s="119" t="str">
        <f t="shared" si="191"/>
        <v>I</v>
      </c>
      <c r="AJ129" s="120" t="str">
        <f t="shared" si="192"/>
        <v>--</v>
      </c>
      <c r="AK129" s="129">
        <f t="shared" si="267"/>
        <v>1</v>
      </c>
      <c r="AL129" s="119">
        <f t="shared" si="193"/>
        <v>2.3967803848100001E-3</v>
      </c>
      <c r="AM129" s="119">
        <f t="shared" si="194"/>
        <v>0.42259149241587002</v>
      </c>
      <c r="AN129" s="119">
        <f t="shared" si="195"/>
        <v>1.0142195817980899</v>
      </c>
      <c r="AO129" s="119">
        <f t="shared" si="196"/>
        <v>5.9999999999999995E-4</v>
      </c>
      <c r="AP129" s="119" t="str">
        <f t="shared" si="197"/>
        <v>Yes</v>
      </c>
      <c r="AQ129" s="119" t="str">
        <f t="shared" si="268"/>
        <v>--</v>
      </c>
      <c r="AR129" s="119" t="str">
        <f t="shared" si="269"/>
        <v>--</v>
      </c>
      <c r="AS129" s="119">
        <f t="shared" si="270"/>
        <v>5.0000000000000001E-3</v>
      </c>
      <c r="AT129" s="119" t="str">
        <f t="shared" si="271"/>
        <v>--</v>
      </c>
      <c r="AU129" s="119">
        <f t="shared" si="272"/>
        <v>0.04</v>
      </c>
      <c r="AV129" s="119" t="str">
        <f t="shared" si="226"/>
        <v>--</v>
      </c>
      <c r="AW129" s="555" t="str">
        <f t="shared" si="224"/>
        <v>--</v>
      </c>
      <c r="AX129" s="124">
        <f t="shared" si="225"/>
        <v>4.9152732577712941E-4</v>
      </c>
    </row>
    <row r="130" spans="1:50" ht="12.75" customHeight="1">
      <c r="A130" s="153" t="s">
        <v>309</v>
      </c>
      <c r="B130" s="185" t="s">
        <v>310</v>
      </c>
      <c r="C130" s="566">
        <f t="shared" si="198"/>
        <v>100</v>
      </c>
      <c r="D130" s="586" t="str">
        <f t="shared" si="199"/>
        <v>MCL (Primary)</v>
      </c>
      <c r="E130" s="182">
        <f t="shared" si="202"/>
        <v>0.5</v>
      </c>
      <c r="F130" s="609" t="str">
        <f t="shared" si="203"/>
        <v>OEHHA PHG</v>
      </c>
      <c r="G130" s="182">
        <f t="shared" si="204"/>
        <v>1136.8822806185897</v>
      </c>
      <c r="H130" s="183" t="str">
        <f t="shared" si="205"/>
        <v>Tapwater</v>
      </c>
      <c r="I130" s="188" t="str">
        <f t="shared" si="206"/>
        <v>--</v>
      </c>
      <c r="J130" s="157" t="str">
        <f t="shared" si="207"/>
        <v>--</v>
      </c>
      <c r="K130" s="190" t="str">
        <f t="shared" si="208"/>
        <v>--</v>
      </c>
      <c r="L130" s="157" t="str">
        <f t="shared" si="209"/>
        <v>--</v>
      </c>
      <c r="M130" s="192" t="str">
        <f t="shared" si="210"/>
        <v>--</v>
      </c>
      <c r="N130" s="190" t="str">
        <f t="shared" si="211"/>
        <v>--</v>
      </c>
      <c r="O130" s="198" t="str">
        <f t="shared" si="212"/>
        <v>--</v>
      </c>
      <c r="P130" s="162">
        <f t="shared" si="213"/>
        <v>4010.9890109890111</v>
      </c>
      <c r="Q130" s="157">
        <f t="shared" si="214"/>
        <v>1877.1428571428571</v>
      </c>
      <c r="R130" s="157" t="str">
        <f t="shared" si="215"/>
        <v>--</v>
      </c>
      <c r="S130" s="157">
        <f t="shared" si="273"/>
        <v>10250.21058260692</v>
      </c>
      <c r="T130" s="157" t="str">
        <f t="shared" si="216"/>
        <v>--</v>
      </c>
      <c r="U130" s="157">
        <f t="shared" si="217"/>
        <v>10250.21058260692</v>
      </c>
      <c r="V130" s="200">
        <f t="shared" si="218"/>
        <v>1136.8822806185897</v>
      </c>
      <c r="W130" s="186">
        <f t="shared" si="219"/>
        <v>0.5</v>
      </c>
      <c r="X130" s="596" t="str">
        <f t="shared" si="220"/>
        <v>--</v>
      </c>
      <c r="Y130" s="187" t="str">
        <f t="shared" si="221"/>
        <v>OEHHA PHG</v>
      </c>
      <c r="Z130" s="567">
        <f t="shared" si="222"/>
        <v>100</v>
      </c>
      <c r="AA130" s="568" t="str">
        <f t="shared" si="223"/>
        <v>MCL (Primary)</v>
      </c>
      <c r="AB130" s="122">
        <f t="shared" si="184"/>
        <v>100</v>
      </c>
      <c r="AC130" s="121" t="str">
        <f t="shared" si="185"/>
        <v>--</v>
      </c>
      <c r="AD130" s="121">
        <f t="shared" si="186"/>
        <v>0.5</v>
      </c>
      <c r="AE130" s="121" t="str">
        <f t="shared" si="187"/>
        <v>Cancer</v>
      </c>
      <c r="AF130" s="121" t="str">
        <f t="shared" si="188"/>
        <v>--</v>
      </c>
      <c r="AG130" s="121" t="str">
        <f t="shared" si="189"/>
        <v>--</v>
      </c>
      <c r="AH130" s="119" t="str">
        <f t="shared" si="190"/>
        <v>V</v>
      </c>
      <c r="AI130" s="119" t="str">
        <f t="shared" si="191"/>
        <v>O</v>
      </c>
      <c r="AJ130" s="120" t="str">
        <f t="shared" si="192"/>
        <v>--</v>
      </c>
      <c r="AK130" s="129">
        <f t="shared" si="267"/>
        <v>1</v>
      </c>
      <c r="AL130" s="119">
        <f t="shared" si="193"/>
        <v>0.14601559047828</v>
      </c>
      <c r="AM130" s="119">
        <f t="shared" si="194"/>
        <v>0.40279933938787998</v>
      </c>
      <c r="AN130" s="119">
        <f t="shared" si="195"/>
        <v>0.96671841453092</v>
      </c>
      <c r="AO130" s="119">
        <f t="shared" si="196"/>
        <v>3.7199999999999997E-2</v>
      </c>
      <c r="AP130" s="119" t="str">
        <f t="shared" si="197"/>
        <v>Yes</v>
      </c>
      <c r="AQ130" s="119" t="str">
        <f t="shared" si="268"/>
        <v>--</v>
      </c>
      <c r="AR130" s="119" t="str">
        <f t="shared" si="269"/>
        <v>--</v>
      </c>
      <c r="AS130" s="119">
        <f t="shared" si="270"/>
        <v>0.2</v>
      </c>
      <c r="AT130" s="119">
        <f t="shared" si="271"/>
        <v>900</v>
      </c>
      <c r="AU130" s="119">
        <f t="shared" si="272"/>
        <v>1</v>
      </c>
      <c r="AV130" s="119" t="str">
        <f t="shared" si="226"/>
        <v>--</v>
      </c>
      <c r="AW130" s="555" t="str">
        <f t="shared" si="224"/>
        <v>--</v>
      </c>
      <c r="AX130" s="124">
        <f t="shared" si="225"/>
        <v>0.49152732577712938</v>
      </c>
    </row>
    <row r="131" spans="1:50" ht="12.75" customHeight="1">
      <c r="A131" s="153" t="s">
        <v>311</v>
      </c>
      <c r="B131" s="185" t="s">
        <v>312</v>
      </c>
      <c r="C131" s="566" t="str">
        <f t="shared" si="198"/>
        <v>--</v>
      </c>
      <c r="D131" s="586" t="str">
        <f t="shared" si="199"/>
        <v>--</v>
      </c>
      <c r="E131" s="182">
        <f t="shared" si="202"/>
        <v>12</v>
      </c>
      <c r="F131" s="609" t="str">
        <f t="shared" si="203"/>
        <v>DDW NL</v>
      </c>
      <c r="G131" s="182">
        <f t="shared" si="204"/>
        <v>4511.3965413644892</v>
      </c>
      <c r="H131" s="183" t="str">
        <f t="shared" si="205"/>
        <v>Tapwater</v>
      </c>
      <c r="I131" s="188">
        <f t="shared" si="206"/>
        <v>155.81643543223052</v>
      </c>
      <c r="J131" s="157" t="str">
        <f t="shared" si="207"/>
        <v>--</v>
      </c>
      <c r="K131" s="190" t="str">
        <f t="shared" si="208"/>
        <v>--</v>
      </c>
      <c r="L131" s="157" t="str">
        <f t="shared" si="209"/>
        <v>--</v>
      </c>
      <c r="M131" s="192">
        <f t="shared" si="210"/>
        <v>15610.766533001783</v>
      </c>
      <c r="N131" s="190">
        <f t="shared" si="211"/>
        <v>15610.766533001783</v>
      </c>
      <c r="O131" s="198">
        <f t="shared" si="212"/>
        <v>154.27654808952508</v>
      </c>
      <c r="P131" s="162">
        <f t="shared" si="213"/>
        <v>8021.9780219780223</v>
      </c>
      <c r="Q131" s="157">
        <f t="shared" si="214"/>
        <v>10428.571428571429</v>
      </c>
      <c r="R131" s="157" t="str">
        <f t="shared" si="215"/>
        <v>--</v>
      </c>
      <c r="S131" s="157">
        <f t="shared" si="273"/>
        <v>898548.03455313377</v>
      </c>
      <c r="T131" s="157" t="str">
        <f t="shared" si="216"/>
        <v>--</v>
      </c>
      <c r="U131" s="157">
        <f t="shared" si="217"/>
        <v>898548.03455313377</v>
      </c>
      <c r="V131" s="200">
        <f t="shared" si="218"/>
        <v>4511.3965413644892</v>
      </c>
      <c r="W131" s="186">
        <f t="shared" si="219"/>
        <v>12</v>
      </c>
      <c r="X131" s="596" t="str">
        <f t="shared" si="220"/>
        <v>--</v>
      </c>
      <c r="Y131" s="187" t="str">
        <f t="shared" si="221"/>
        <v>DDW NL</v>
      </c>
      <c r="Z131" s="567" t="str">
        <f t="shared" si="222"/>
        <v>--</v>
      </c>
      <c r="AA131" s="568" t="str">
        <f t="shared" si="223"/>
        <v>--</v>
      </c>
      <c r="AB131" s="122" t="str">
        <f t="shared" si="184"/>
        <v>--</v>
      </c>
      <c r="AC131" s="121" t="str">
        <f t="shared" si="185"/>
        <v>--</v>
      </c>
      <c r="AD131" s="121" t="str">
        <f t="shared" si="186"/>
        <v>--</v>
      </c>
      <c r="AE131" s="121" t="str">
        <f t="shared" si="187"/>
        <v>--</v>
      </c>
      <c r="AF131" s="121">
        <f t="shared" si="188"/>
        <v>12</v>
      </c>
      <c r="AG131" s="121" t="str">
        <f t="shared" si="189"/>
        <v>Cancer</v>
      </c>
      <c r="AH131" s="119" t="str">
        <f t="shared" si="190"/>
        <v>V</v>
      </c>
      <c r="AI131" s="119" t="str">
        <f t="shared" si="191"/>
        <v>O</v>
      </c>
      <c r="AJ131" s="120" t="str">
        <f t="shared" si="192"/>
        <v>--</v>
      </c>
      <c r="AK131" s="129">
        <f t="shared" si="267"/>
        <v>1</v>
      </c>
      <c r="AL131" s="119">
        <f t="shared" si="193"/>
        <v>3.4106982661499998E-3</v>
      </c>
      <c r="AM131" s="119">
        <f t="shared" si="194"/>
        <v>0.27349106952802998</v>
      </c>
      <c r="AN131" s="119">
        <f t="shared" si="195"/>
        <v>0.65637856686726004</v>
      </c>
      <c r="AO131" s="119">
        <f t="shared" si="196"/>
        <v>1.0300000000000001E-3</v>
      </c>
      <c r="AP131" s="119" t="str">
        <f t="shared" si="197"/>
        <v>Yes</v>
      </c>
      <c r="AQ131" s="119">
        <f t="shared" si="268"/>
        <v>5.0000000000000001E-4</v>
      </c>
      <c r="AR131" s="119" t="str">
        <f t="shared" si="269"/>
        <v>--</v>
      </c>
      <c r="AS131" s="119">
        <f t="shared" si="270"/>
        <v>0.4</v>
      </c>
      <c r="AT131" s="119">
        <f t="shared" si="271"/>
        <v>5000</v>
      </c>
      <c r="AU131" s="119">
        <f t="shared" si="272"/>
        <v>1</v>
      </c>
      <c r="AV131" s="119">
        <f t="shared" si="226"/>
        <v>1.9573669392679984E-2</v>
      </c>
      <c r="AW131" s="555">
        <f t="shared" si="224"/>
        <v>6.2380721793374536E-3</v>
      </c>
      <c r="AX131" s="124">
        <f t="shared" si="225"/>
        <v>0.98305465155425875</v>
      </c>
    </row>
    <row r="132" spans="1:50" ht="12.75" customHeight="1">
      <c r="A132" s="153" t="s">
        <v>313</v>
      </c>
      <c r="B132" s="185" t="s">
        <v>314</v>
      </c>
      <c r="C132" s="566" t="str">
        <f t="shared" si="198"/>
        <v>--</v>
      </c>
      <c r="D132" s="586" t="str">
        <f t="shared" si="199"/>
        <v>--</v>
      </c>
      <c r="E132" s="182">
        <f t="shared" si="202"/>
        <v>0.57371019912170784</v>
      </c>
      <c r="F132" s="609" t="str">
        <f t="shared" si="203"/>
        <v>Tapwater</v>
      </c>
      <c r="G132" s="182">
        <f t="shared" si="204"/>
        <v>480.47577012948005</v>
      </c>
      <c r="H132" s="183" t="str">
        <f t="shared" si="205"/>
        <v>Tapwater</v>
      </c>
      <c r="I132" s="188">
        <f t="shared" si="206"/>
        <v>2.9964699121582794</v>
      </c>
      <c r="J132" s="157">
        <f t="shared" si="207"/>
        <v>0.75883575883575882</v>
      </c>
      <c r="K132" s="190" t="str">
        <f t="shared" si="208"/>
        <v>--</v>
      </c>
      <c r="L132" s="157">
        <f t="shared" si="209"/>
        <v>10.928238260432524</v>
      </c>
      <c r="M132" s="192" t="str">
        <f t="shared" si="210"/>
        <v>--</v>
      </c>
      <c r="N132" s="190">
        <f t="shared" si="211"/>
        <v>10.928238260432524</v>
      </c>
      <c r="O132" s="198">
        <f t="shared" si="212"/>
        <v>0.57371019912170784</v>
      </c>
      <c r="P132" s="162">
        <f t="shared" si="213"/>
        <v>601.64835164835165</v>
      </c>
      <c r="Q132" s="157" t="str">
        <f t="shared" si="214"/>
        <v>--</v>
      </c>
      <c r="R132" s="157" t="str">
        <f t="shared" si="215"/>
        <v>--</v>
      </c>
      <c r="S132" s="157">
        <f t="shared" si="273"/>
        <v>2385.6672151558696</v>
      </c>
      <c r="T132" s="157" t="str">
        <f t="shared" si="216"/>
        <v>--</v>
      </c>
      <c r="U132" s="157">
        <f t="shared" si="217"/>
        <v>2385.6672151558696</v>
      </c>
      <c r="V132" s="200">
        <f t="shared" si="218"/>
        <v>480.47577012948005</v>
      </c>
      <c r="W132" s="186" t="str">
        <f t="shared" si="219"/>
        <v>--</v>
      </c>
      <c r="X132" s="596" t="str">
        <f t="shared" si="220"/>
        <v>--</v>
      </c>
      <c r="Y132" s="187" t="str">
        <f t="shared" si="221"/>
        <v>--</v>
      </c>
      <c r="Z132" s="567" t="str">
        <f t="shared" si="222"/>
        <v>--</v>
      </c>
      <c r="AA132" s="568" t="str">
        <f t="shared" si="223"/>
        <v>--</v>
      </c>
      <c r="AB132" s="122" t="str">
        <f t="shared" si="184"/>
        <v>--</v>
      </c>
      <c r="AC132" s="121" t="str">
        <f t="shared" si="185"/>
        <v>--</v>
      </c>
      <c r="AD132" s="121" t="str">
        <f t="shared" si="186"/>
        <v>--</v>
      </c>
      <c r="AE132" s="121" t="str">
        <f t="shared" si="187"/>
        <v>--</v>
      </c>
      <c r="AF132" s="121" t="str">
        <f t="shared" si="188"/>
        <v>--</v>
      </c>
      <c r="AG132" s="121" t="str">
        <f t="shared" si="189"/>
        <v>--</v>
      </c>
      <c r="AH132" s="119" t="str">
        <f t="shared" si="190"/>
        <v>V</v>
      </c>
      <c r="AI132" s="119" t="str">
        <f t="shared" si="191"/>
        <v>O</v>
      </c>
      <c r="AJ132" s="120" t="str">
        <f t="shared" si="192"/>
        <v>--</v>
      </c>
      <c r="AK132" s="129">
        <f t="shared" si="267"/>
        <v>1</v>
      </c>
      <c r="AL132" s="119">
        <f t="shared" si="193"/>
        <v>7.9229050112039998E-2</v>
      </c>
      <c r="AM132" s="119">
        <f t="shared" si="194"/>
        <v>0.91581710267245997</v>
      </c>
      <c r="AN132" s="119">
        <f t="shared" si="195"/>
        <v>2.1979610464139001</v>
      </c>
      <c r="AO132" s="119">
        <f t="shared" si="196"/>
        <v>1.5900000000000001E-2</v>
      </c>
      <c r="AP132" s="119" t="str">
        <f t="shared" si="197"/>
        <v>Yes</v>
      </c>
      <c r="AQ132" s="119">
        <f t="shared" si="268"/>
        <v>2.5999999999999999E-2</v>
      </c>
      <c r="AR132" s="119">
        <f t="shared" si="269"/>
        <v>7.4000000000000003E-6</v>
      </c>
      <c r="AS132" s="119">
        <f t="shared" si="270"/>
        <v>0.03</v>
      </c>
      <c r="AT132" s="119" t="str">
        <f t="shared" si="271"/>
        <v>--</v>
      </c>
      <c r="AU132" s="119">
        <f t="shared" si="272"/>
        <v>1</v>
      </c>
      <c r="AV132" s="119">
        <f t="shared" si="226"/>
        <v>3.7641671908999975E-4</v>
      </c>
      <c r="AW132" s="555">
        <f t="shared" si="224"/>
        <v>1.1996292652572027E-4</v>
      </c>
      <c r="AX132" s="124">
        <f t="shared" si="225"/>
        <v>7.3729098866569406E-2</v>
      </c>
    </row>
    <row r="133" spans="1:50" ht="13.5" customHeight="1">
      <c r="A133" s="153" t="s">
        <v>315</v>
      </c>
      <c r="B133" s="185" t="s">
        <v>316</v>
      </c>
      <c r="C133" s="566">
        <f t="shared" si="198"/>
        <v>1</v>
      </c>
      <c r="D133" s="586" t="str">
        <f t="shared" si="199"/>
        <v>MCL (Primary)</v>
      </c>
      <c r="E133" s="182">
        <f t="shared" si="202"/>
        <v>7.5739650120297694E-2</v>
      </c>
      <c r="F133" s="609" t="str">
        <f t="shared" si="203"/>
        <v>Tapwater</v>
      </c>
      <c r="G133" s="182">
        <f t="shared" si="204"/>
        <v>361.32540946494953</v>
      </c>
      <c r="H133" s="183" t="str">
        <f t="shared" si="205"/>
        <v>Tapwater</v>
      </c>
      <c r="I133" s="188">
        <f t="shared" si="206"/>
        <v>0.38954108858057629</v>
      </c>
      <c r="J133" s="157">
        <f t="shared" si="207"/>
        <v>9.6816976127320944E-2</v>
      </c>
      <c r="K133" s="190" t="str">
        <f t="shared" si="208"/>
        <v>--</v>
      </c>
      <c r="L133" s="157">
        <f t="shared" si="209"/>
        <v>3.2548513666158541</v>
      </c>
      <c r="M133" s="192" t="str">
        <f t="shared" si="210"/>
        <v>--</v>
      </c>
      <c r="N133" s="190">
        <f t="shared" si="211"/>
        <v>3.2548513666158541</v>
      </c>
      <c r="O133" s="198">
        <f t="shared" si="212"/>
        <v>7.5739650120297694E-2</v>
      </c>
      <c r="P133" s="162">
        <f t="shared" si="213"/>
        <v>401.09890109890108</v>
      </c>
      <c r="Q133" s="157" t="str">
        <f t="shared" si="214"/>
        <v>--</v>
      </c>
      <c r="R133" s="157" t="str">
        <f t="shared" si="215"/>
        <v>--</v>
      </c>
      <c r="S133" s="157">
        <f t="shared" si="273"/>
        <v>3643.814478480147</v>
      </c>
      <c r="T133" s="157" t="str">
        <f t="shared" si="216"/>
        <v>--</v>
      </c>
      <c r="U133" s="157">
        <f t="shared" si="217"/>
        <v>3643.814478480147</v>
      </c>
      <c r="V133" s="200">
        <f t="shared" si="218"/>
        <v>361.32540946494953</v>
      </c>
      <c r="W133" s="186">
        <f t="shared" si="219"/>
        <v>0.1</v>
      </c>
      <c r="X133" s="596" t="str">
        <f t="shared" si="220"/>
        <v>--</v>
      </c>
      <c r="Y133" s="187" t="str">
        <f t="shared" si="221"/>
        <v>OEHHA PHG</v>
      </c>
      <c r="Z133" s="567">
        <f t="shared" si="222"/>
        <v>1</v>
      </c>
      <c r="AA133" s="568" t="str">
        <f t="shared" si="223"/>
        <v>MCL (Primary)</v>
      </c>
      <c r="AB133" s="122">
        <f t="shared" si="184"/>
        <v>1</v>
      </c>
      <c r="AC133" s="121" t="str">
        <f t="shared" si="185"/>
        <v>--</v>
      </c>
      <c r="AD133" s="121">
        <f t="shared" si="186"/>
        <v>0.1</v>
      </c>
      <c r="AE133" s="121" t="str">
        <f t="shared" si="187"/>
        <v>Cancer</v>
      </c>
      <c r="AF133" s="121" t="str">
        <f t="shared" si="188"/>
        <v>--</v>
      </c>
      <c r="AG133" s="121" t="str">
        <f t="shared" si="189"/>
        <v>--</v>
      </c>
      <c r="AH133" s="119" t="str">
        <f t="shared" si="190"/>
        <v>V</v>
      </c>
      <c r="AI133" s="119" t="str">
        <f t="shared" si="191"/>
        <v>O</v>
      </c>
      <c r="AJ133" s="120" t="str">
        <f t="shared" si="192"/>
        <v>--</v>
      </c>
      <c r="AK133" s="129">
        <f t="shared" ref="AK133:AK148" si="274">VLOOKUP(A133,Table_IP_2,MATCH("FA",heading_IP_2,0),FALSE)</f>
        <v>1</v>
      </c>
      <c r="AL133" s="119">
        <f t="shared" si="193"/>
        <v>3.4581736338209997E-2</v>
      </c>
      <c r="AM133" s="119">
        <f t="shared" si="194"/>
        <v>0.91581710267245997</v>
      </c>
      <c r="AN133" s="119">
        <f t="shared" si="195"/>
        <v>2.1979610464139001</v>
      </c>
      <c r="AO133" s="119">
        <f t="shared" si="196"/>
        <v>6.94E-3</v>
      </c>
      <c r="AP133" s="119" t="str">
        <f t="shared" si="197"/>
        <v>Yes</v>
      </c>
      <c r="AQ133" s="119">
        <f t="shared" si="268"/>
        <v>0.2</v>
      </c>
      <c r="AR133" s="119">
        <f t="shared" si="269"/>
        <v>5.8E-5</v>
      </c>
      <c r="AS133" s="119">
        <f t="shared" si="270"/>
        <v>0.02</v>
      </c>
      <c r="AT133" s="119" t="str">
        <f t="shared" si="271"/>
        <v>--</v>
      </c>
      <c r="AU133" s="119">
        <f t="shared" si="272"/>
        <v>1</v>
      </c>
      <c r="AV133" s="119">
        <f t="shared" si="226"/>
        <v>4.8934173481699962E-5</v>
      </c>
      <c r="AW133" s="555">
        <f t="shared" si="224"/>
        <v>1.5595180448343634E-5</v>
      </c>
      <c r="AX133" s="124">
        <f t="shared" si="225"/>
        <v>4.9152732577712938E-2</v>
      </c>
    </row>
    <row r="134" spans="1:50" ht="13.5" customHeight="1">
      <c r="A134" s="153" t="s">
        <v>317</v>
      </c>
      <c r="B134" s="185" t="s">
        <v>318</v>
      </c>
      <c r="C134" s="566">
        <f t="shared" si="198"/>
        <v>5</v>
      </c>
      <c r="D134" s="586" t="str">
        <f t="shared" si="199"/>
        <v>MCL (Primary)</v>
      </c>
      <c r="E134" s="182">
        <f t="shared" si="202"/>
        <v>0.06</v>
      </c>
      <c r="F134" s="609" t="str">
        <f t="shared" si="203"/>
        <v>OEHHA PHG</v>
      </c>
      <c r="G134" s="182">
        <f t="shared" si="204"/>
        <v>40.580395361445987</v>
      </c>
      <c r="H134" s="183" t="str">
        <f t="shared" si="205"/>
        <v>Tapwater</v>
      </c>
      <c r="I134" s="188">
        <f t="shared" si="206"/>
        <v>0.1442744772520653</v>
      </c>
      <c r="J134" s="157">
        <f t="shared" si="207"/>
        <v>0.92055485498108447</v>
      </c>
      <c r="K134" s="190" t="str">
        <f t="shared" si="208"/>
        <v>--</v>
      </c>
      <c r="L134" s="157">
        <f t="shared" si="209"/>
        <v>0.25376773342016234</v>
      </c>
      <c r="M134" s="192" t="str">
        <f t="shared" si="210"/>
        <v>--</v>
      </c>
      <c r="N134" s="190">
        <f t="shared" si="211"/>
        <v>0.25376773342016234</v>
      </c>
      <c r="O134" s="198">
        <f t="shared" si="212"/>
        <v>8.3625006520460093E-2</v>
      </c>
      <c r="P134" s="162">
        <f t="shared" si="213"/>
        <v>120.32967032967034</v>
      </c>
      <c r="Q134" s="157">
        <f t="shared" si="214"/>
        <v>83.428571428571431</v>
      </c>
      <c r="R134" s="157" t="str">
        <f t="shared" si="215"/>
        <v>--</v>
      </c>
      <c r="S134" s="157">
        <f t="shared" si="273"/>
        <v>230.11584063723402</v>
      </c>
      <c r="T134" s="157" t="str">
        <f t="shared" si="216"/>
        <v>--</v>
      </c>
      <c r="U134" s="157">
        <f t="shared" si="217"/>
        <v>230.11584063723402</v>
      </c>
      <c r="V134" s="200">
        <f t="shared" si="218"/>
        <v>40.580395361445987</v>
      </c>
      <c r="W134" s="186">
        <f t="shared" si="219"/>
        <v>0.06</v>
      </c>
      <c r="X134" s="596" t="str">
        <f t="shared" si="220"/>
        <v>--</v>
      </c>
      <c r="Y134" s="187" t="str">
        <f t="shared" si="221"/>
        <v>OEHHA PHG</v>
      </c>
      <c r="Z134" s="567">
        <f t="shared" si="222"/>
        <v>5</v>
      </c>
      <c r="AA134" s="568" t="str">
        <f t="shared" si="223"/>
        <v>MCL (Primary)</v>
      </c>
      <c r="AB134" s="122">
        <f t="shared" si="184"/>
        <v>5</v>
      </c>
      <c r="AC134" s="121" t="str">
        <f t="shared" si="185"/>
        <v>--</v>
      </c>
      <c r="AD134" s="121">
        <f t="shared" si="186"/>
        <v>0.06</v>
      </c>
      <c r="AE134" s="121" t="str">
        <f t="shared" si="187"/>
        <v>Cancer</v>
      </c>
      <c r="AF134" s="121" t="str">
        <f t="shared" si="188"/>
        <v>--</v>
      </c>
      <c r="AG134" s="121" t="str">
        <f t="shared" si="189"/>
        <v>--</v>
      </c>
      <c r="AH134" s="119" t="str">
        <f t="shared" si="190"/>
        <v>V</v>
      </c>
      <c r="AI134" s="119" t="str">
        <f t="shared" si="191"/>
        <v>O</v>
      </c>
      <c r="AJ134" s="120" t="str">
        <f t="shared" si="192"/>
        <v>--</v>
      </c>
      <c r="AK134" s="129">
        <f t="shared" si="274"/>
        <v>1</v>
      </c>
      <c r="AL134" s="119">
        <f t="shared" si="193"/>
        <v>0.16542634303645001</v>
      </c>
      <c r="AM134" s="119">
        <f t="shared" si="194"/>
        <v>0.89227094155288</v>
      </c>
      <c r="AN134" s="119">
        <f t="shared" si="195"/>
        <v>2.1414502597269101</v>
      </c>
      <c r="AO134" s="119">
        <f t="shared" si="196"/>
        <v>3.3399999999999999E-2</v>
      </c>
      <c r="AP134" s="119" t="str">
        <f t="shared" si="197"/>
        <v>Yes</v>
      </c>
      <c r="AQ134" s="119">
        <f t="shared" si="268"/>
        <v>0.54</v>
      </c>
      <c r="AR134" s="119">
        <f t="shared" si="269"/>
        <v>6.1E-6</v>
      </c>
      <c r="AS134" s="119">
        <f t="shared" si="270"/>
        <v>6.0000000000000001E-3</v>
      </c>
      <c r="AT134" s="119">
        <f t="shared" si="271"/>
        <v>40</v>
      </c>
      <c r="AU134" s="119">
        <f t="shared" si="272"/>
        <v>1</v>
      </c>
      <c r="AV134" s="119">
        <f t="shared" si="226"/>
        <v>1.8123767956185171E-5</v>
      </c>
      <c r="AW134" s="555">
        <f t="shared" si="224"/>
        <v>5.7759927586457894E-6</v>
      </c>
      <c r="AX134" s="124">
        <f t="shared" si="225"/>
        <v>1.4745819773313882E-2</v>
      </c>
    </row>
    <row r="135" spans="1:50" ht="13.5" customHeight="1">
      <c r="A135" s="153" t="s">
        <v>319</v>
      </c>
      <c r="B135" s="185" t="s">
        <v>320</v>
      </c>
      <c r="C135" s="566">
        <f t="shared" si="198"/>
        <v>2</v>
      </c>
      <c r="D135" s="586" t="str">
        <f t="shared" si="199"/>
        <v>MCL (Primary)</v>
      </c>
      <c r="E135" s="182" t="str">
        <f t="shared" si="202"/>
        <v>--</v>
      </c>
      <c r="F135" s="609" t="str">
        <f t="shared" si="203"/>
        <v>--</v>
      </c>
      <c r="G135" s="182">
        <f t="shared" si="204"/>
        <v>0.1</v>
      </c>
      <c r="H135" s="183" t="str">
        <f t="shared" si="205"/>
        <v>OEHHA PHG</v>
      </c>
      <c r="I135" s="188" t="str">
        <f t="shared" si="206"/>
        <v>--</v>
      </c>
      <c r="J135" s="157" t="str">
        <f t="shared" si="207"/>
        <v>--</v>
      </c>
      <c r="K135" s="190" t="str">
        <f t="shared" si="208"/>
        <v>--</v>
      </c>
      <c r="L135" s="157" t="str">
        <f t="shared" si="209"/>
        <v>--</v>
      </c>
      <c r="M135" s="192" t="str">
        <f t="shared" si="210"/>
        <v>--</v>
      </c>
      <c r="N135" s="190" t="str">
        <f t="shared" si="211"/>
        <v>--</v>
      </c>
      <c r="O135" s="198" t="str">
        <f t="shared" si="212"/>
        <v>--</v>
      </c>
      <c r="P135" s="162">
        <f t="shared" si="213"/>
        <v>0.20054945054945059</v>
      </c>
      <c r="Q135" s="157" t="str">
        <f t="shared" si="214"/>
        <v>--</v>
      </c>
      <c r="R135" s="157">
        <f t="shared" si="215"/>
        <v>45.511789423808288</v>
      </c>
      <c r="S135" s="157" t="str">
        <f t="shared" si="273"/>
        <v>--</v>
      </c>
      <c r="T135" s="157" t="str">
        <f t="shared" si="216"/>
        <v>--</v>
      </c>
      <c r="U135" s="157">
        <f t="shared" si="217"/>
        <v>45.511789423808288</v>
      </c>
      <c r="V135" s="200">
        <f t="shared" si="218"/>
        <v>0.19966959878281412</v>
      </c>
      <c r="W135" s="186" t="str">
        <f t="shared" si="219"/>
        <v>--</v>
      </c>
      <c r="X135" s="596">
        <f t="shared" si="220"/>
        <v>0.1</v>
      </c>
      <c r="Y135" s="187" t="str">
        <f t="shared" si="221"/>
        <v>OEHHA PHG</v>
      </c>
      <c r="Z135" s="567">
        <f t="shared" si="222"/>
        <v>2</v>
      </c>
      <c r="AA135" s="568" t="str">
        <f t="shared" si="223"/>
        <v>MCL (Primary)</v>
      </c>
      <c r="AB135" s="122">
        <f t="shared" si="184"/>
        <v>2</v>
      </c>
      <c r="AC135" s="121" t="str">
        <f t="shared" si="185"/>
        <v>--</v>
      </c>
      <c r="AD135" s="121">
        <f t="shared" si="186"/>
        <v>0.1</v>
      </c>
      <c r="AE135" s="121" t="str">
        <f t="shared" si="187"/>
        <v>Noncancer</v>
      </c>
      <c r="AF135" s="121" t="str">
        <f t="shared" si="188"/>
        <v>--</v>
      </c>
      <c r="AG135" s="121" t="str">
        <f t="shared" si="189"/>
        <v>--</v>
      </c>
      <c r="AH135" s="119" t="str">
        <f t="shared" si="190"/>
        <v>NV</v>
      </c>
      <c r="AI135" s="119" t="str">
        <f t="shared" si="191"/>
        <v>I</v>
      </c>
      <c r="AJ135" s="120" t="str">
        <f t="shared" si="192"/>
        <v>--</v>
      </c>
      <c r="AK135" s="129">
        <f t="shared" si="274"/>
        <v>1</v>
      </c>
      <c r="AL135" s="119">
        <f t="shared" si="193"/>
        <v>5.4985205110700004E-3</v>
      </c>
      <c r="AM135" s="119">
        <f t="shared" si="194"/>
        <v>1.46681975246134</v>
      </c>
      <c r="AN135" s="119">
        <f t="shared" si="195"/>
        <v>3.5203674059072099</v>
      </c>
      <c r="AO135" s="119">
        <f t="shared" si="196"/>
        <v>1E-3</v>
      </c>
      <c r="AP135" s="119" t="str">
        <f t="shared" si="197"/>
        <v>Yes</v>
      </c>
      <c r="AQ135" s="119" t="str">
        <f t="shared" si="268"/>
        <v>--</v>
      </c>
      <c r="AR135" s="119" t="str">
        <f t="shared" si="269"/>
        <v>--</v>
      </c>
      <c r="AS135" s="119">
        <f t="shared" si="270"/>
        <v>1.0000000000000001E-5</v>
      </c>
      <c r="AT135" s="119" t="str">
        <f t="shared" si="271"/>
        <v>--</v>
      </c>
      <c r="AU135" s="119">
        <f t="shared" si="272"/>
        <v>1</v>
      </c>
      <c r="AV135" s="119" t="str">
        <f t="shared" si="226"/>
        <v>--</v>
      </c>
      <c r="AW135" s="555" t="str">
        <f t="shared" si="224"/>
        <v>--</v>
      </c>
      <c r="AX135" s="124">
        <f t="shared" si="225"/>
        <v>2.4576366288856474E-5</v>
      </c>
    </row>
    <row r="136" spans="1:50" ht="13.5" customHeight="1">
      <c r="A136" s="153" t="s">
        <v>321</v>
      </c>
      <c r="B136" s="185" t="s">
        <v>322</v>
      </c>
      <c r="C136" s="566">
        <f>IF(Z136&lt;&gt;"--",Z136,"--")</f>
        <v>150</v>
      </c>
      <c r="D136" s="586" t="str">
        <f t="shared" si="199"/>
        <v>MCL (Primary)</v>
      </c>
      <c r="E136" s="182" t="str">
        <f t="shared" si="202"/>
        <v>--</v>
      </c>
      <c r="F136" s="609" t="str">
        <f t="shared" si="203"/>
        <v>--</v>
      </c>
      <c r="G136" s="182">
        <f t="shared" si="204"/>
        <v>150</v>
      </c>
      <c r="H136" s="183" t="str">
        <f t="shared" si="205"/>
        <v>OEHHA PHG</v>
      </c>
      <c r="I136" s="188" t="str">
        <f t="shared" si="206"/>
        <v>--</v>
      </c>
      <c r="J136" s="157" t="str">
        <f t="shared" si="207"/>
        <v>--</v>
      </c>
      <c r="K136" s="190" t="str">
        <f t="shared" si="208"/>
        <v>--</v>
      </c>
      <c r="L136" s="157" t="str">
        <f t="shared" si="209"/>
        <v>--</v>
      </c>
      <c r="M136" s="192" t="str">
        <f t="shared" si="210"/>
        <v>--</v>
      </c>
      <c r="N136" s="190" t="str">
        <f t="shared" si="211"/>
        <v>--</v>
      </c>
      <c r="O136" s="198" t="str">
        <f t="shared" si="212"/>
        <v>--</v>
      </c>
      <c r="P136" s="162">
        <f t="shared" si="213"/>
        <v>1604.3956043956043</v>
      </c>
      <c r="Q136" s="157">
        <f t="shared" si="214"/>
        <v>876</v>
      </c>
      <c r="R136" s="157" t="str">
        <f t="shared" si="215"/>
        <v>--</v>
      </c>
      <c r="S136" s="157">
        <f t="shared" si="273"/>
        <v>5299.0464923463323</v>
      </c>
      <c r="T136" s="157" t="str">
        <f t="shared" si="216"/>
        <v>--</v>
      </c>
      <c r="U136" s="157">
        <f t="shared" si="217"/>
        <v>5299.0464923463323</v>
      </c>
      <c r="V136" s="200">
        <f t="shared" si="218"/>
        <v>511.88772769879165</v>
      </c>
      <c r="W136" s="186" t="str">
        <f t="shared" si="219"/>
        <v>--</v>
      </c>
      <c r="X136" s="596">
        <f t="shared" si="220"/>
        <v>150</v>
      </c>
      <c r="Y136" s="187" t="str">
        <f t="shared" si="221"/>
        <v>OEHHA PHG</v>
      </c>
      <c r="Z136" s="567">
        <f t="shared" si="222"/>
        <v>150</v>
      </c>
      <c r="AA136" s="568" t="str">
        <f t="shared" si="223"/>
        <v>MCL (Primary)</v>
      </c>
      <c r="AB136" s="122">
        <f t="shared" si="184"/>
        <v>150</v>
      </c>
      <c r="AC136" s="121" t="str">
        <f t="shared" si="185"/>
        <v>--</v>
      </c>
      <c r="AD136" s="121">
        <f t="shared" si="186"/>
        <v>150</v>
      </c>
      <c r="AE136" s="121" t="str">
        <f t="shared" si="187"/>
        <v>Noncancer</v>
      </c>
      <c r="AF136" s="121" t="str">
        <f t="shared" si="188"/>
        <v>--</v>
      </c>
      <c r="AG136" s="121" t="str">
        <f t="shared" si="189"/>
        <v>--</v>
      </c>
      <c r="AH136" s="119" t="str">
        <f t="shared" si="190"/>
        <v>V</v>
      </c>
      <c r="AI136" s="119" t="str">
        <f t="shared" si="191"/>
        <v>O</v>
      </c>
      <c r="AJ136" s="120" t="str">
        <f t="shared" si="192"/>
        <v>--</v>
      </c>
      <c r="AK136" s="129">
        <f t="shared" si="274"/>
        <v>1</v>
      </c>
      <c r="AL136" s="119">
        <f t="shared" si="193"/>
        <v>0.11481955474085</v>
      </c>
      <c r="AM136" s="119">
        <f t="shared" si="194"/>
        <v>0.34501974481163</v>
      </c>
      <c r="AN136" s="119">
        <f t="shared" si="195"/>
        <v>0.82804738754789997</v>
      </c>
      <c r="AO136" s="119">
        <f t="shared" si="196"/>
        <v>3.1099999999999999E-2</v>
      </c>
      <c r="AP136" s="119" t="str">
        <f t="shared" si="197"/>
        <v>Yes</v>
      </c>
      <c r="AQ136" s="119" t="str">
        <f t="shared" si="268"/>
        <v>--</v>
      </c>
      <c r="AR136" s="119" t="str">
        <f t="shared" si="269"/>
        <v>--</v>
      </c>
      <c r="AS136" s="119">
        <f t="shared" si="270"/>
        <v>0.08</v>
      </c>
      <c r="AT136" s="119">
        <f t="shared" si="271"/>
        <v>420</v>
      </c>
      <c r="AU136" s="119">
        <f t="shared" si="272"/>
        <v>1</v>
      </c>
      <c r="AV136" s="119" t="str">
        <f t="shared" si="226"/>
        <v>--</v>
      </c>
      <c r="AW136" s="555" t="str">
        <f t="shared" si="224"/>
        <v>--</v>
      </c>
      <c r="AX136" s="124">
        <f t="shared" si="225"/>
        <v>0.19661093031085175</v>
      </c>
    </row>
    <row r="137" spans="1:50" ht="13.5" customHeight="1">
      <c r="A137" s="153" t="s">
        <v>323</v>
      </c>
      <c r="B137" s="185" t="s">
        <v>324</v>
      </c>
      <c r="C137" s="566">
        <f t="shared" si="198"/>
        <v>3</v>
      </c>
      <c r="D137" s="586" t="str">
        <f t="shared" si="199"/>
        <v>MCL (Primary)</v>
      </c>
      <c r="E137" s="182">
        <f t="shared" si="202"/>
        <v>0.03</v>
      </c>
      <c r="F137" s="609" t="str">
        <f t="shared" si="203"/>
        <v>OEHHA PHG</v>
      </c>
      <c r="G137" s="182">
        <f t="shared" si="204"/>
        <v>1.804945054945055</v>
      </c>
      <c r="H137" s="183" t="str">
        <f t="shared" si="205"/>
        <v>Tapwater</v>
      </c>
      <c r="I137" s="188">
        <f t="shared" si="206"/>
        <v>6.4923514763429391E-2</v>
      </c>
      <c r="J137" s="157" t="str">
        <f t="shared" si="207"/>
        <v>--</v>
      </c>
      <c r="K137" s="190" t="str">
        <f t="shared" si="208"/>
        <v>--</v>
      </c>
      <c r="L137" s="157" t="str">
        <f t="shared" si="209"/>
        <v>--</v>
      </c>
      <c r="M137" s="192" t="str">
        <f t="shared" si="210"/>
        <v>--</v>
      </c>
      <c r="N137" s="190" t="str">
        <f t="shared" si="211"/>
        <v>--</v>
      </c>
      <c r="O137" s="198">
        <f t="shared" si="212"/>
        <v>6.4923514763429391E-2</v>
      </c>
      <c r="P137" s="162">
        <f t="shared" si="213"/>
        <v>1.804945054945055</v>
      </c>
      <c r="Q137" s="157" t="str">
        <f t="shared" si="214"/>
        <v>--</v>
      </c>
      <c r="R137" s="157" t="str">
        <f t="shared" si="215"/>
        <v>--</v>
      </c>
      <c r="S137" s="157" t="str">
        <f t="shared" si="273"/>
        <v>--</v>
      </c>
      <c r="T137" s="157" t="str">
        <f t="shared" si="216"/>
        <v>--</v>
      </c>
      <c r="U137" s="157" t="str">
        <f t="shared" si="217"/>
        <v>--</v>
      </c>
      <c r="V137" s="200">
        <f t="shared" si="218"/>
        <v>1.804945054945055</v>
      </c>
      <c r="W137" s="186">
        <f t="shared" si="219"/>
        <v>0.03</v>
      </c>
      <c r="X137" s="596" t="str">
        <f t="shared" si="220"/>
        <v>--</v>
      </c>
      <c r="Y137" s="187" t="str">
        <f t="shared" si="221"/>
        <v>OEHHA PHG</v>
      </c>
      <c r="Z137" s="567">
        <f t="shared" si="222"/>
        <v>3</v>
      </c>
      <c r="AA137" s="568" t="str">
        <f t="shared" si="223"/>
        <v>MCL (Primary)</v>
      </c>
      <c r="AB137" s="122">
        <f t="shared" si="184"/>
        <v>3</v>
      </c>
      <c r="AC137" s="121" t="str">
        <f t="shared" si="185"/>
        <v>--</v>
      </c>
      <c r="AD137" s="121">
        <f t="shared" si="186"/>
        <v>0.03</v>
      </c>
      <c r="AE137" s="121" t="str">
        <f t="shared" si="187"/>
        <v>Cancer</v>
      </c>
      <c r="AF137" s="121" t="str">
        <f t="shared" si="188"/>
        <v>--</v>
      </c>
      <c r="AG137" s="121" t="str">
        <f t="shared" si="189"/>
        <v>--</v>
      </c>
      <c r="AH137" s="119" t="str">
        <f t="shared" si="190"/>
        <v>NV</v>
      </c>
      <c r="AI137" s="119" t="str">
        <f t="shared" si="191"/>
        <v>O</v>
      </c>
      <c r="AJ137" s="120" t="str">
        <f t="shared" si="192"/>
        <v>--</v>
      </c>
      <c r="AK137" s="129">
        <f t="shared" si="274"/>
        <v>0.8</v>
      </c>
      <c r="AL137" s="119">
        <f t="shared" si="193"/>
        <v>0.42181440336665998</v>
      </c>
      <c r="AM137" s="119">
        <f t="shared" si="194"/>
        <v>34.049030432443402</v>
      </c>
      <c r="AN137" s="119">
        <f t="shared" si="195"/>
        <v>81.717673037864103</v>
      </c>
      <c r="AO137" s="119">
        <f t="shared" si="196"/>
        <v>5.1799999999999999E-2</v>
      </c>
      <c r="AP137" s="119" t="str">
        <f t="shared" si="197"/>
        <v>No</v>
      </c>
      <c r="AQ137" s="119">
        <f t="shared" si="268"/>
        <v>1.2</v>
      </c>
      <c r="AR137" s="119">
        <f t="shared" si="269"/>
        <v>3.2000000000000003E-4</v>
      </c>
      <c r="AS137" s="119">
        <f t="shared" si="270"/>
        <v>9.0000000000000006E-5</v>
      </c>
      <c r="AT137" s="119" t="str">
        <f t="shared" si="271"/>
        <v>--</v>
      </c>
      <c r="AU137" s="119">
        <f t="shared" si="272"/>
        <v>1</v>
      </c>
      <c r="AV137" s="119">
        <f t="shared" si="226"/>
        <v>8.1556955802833276E-6</v>
      </c>
      <c r="AW137" s="555">
        <f t="shared" si="224"/>
        <v>2.5991967413906058E-6</v>
      </c>
      <c r="AX137" s="124">
        <f t="shared" si="225"/>
        <v>2.2118729659970819E-4</v>
      </c>
    </row>
    <row r="138" spans="1:50" ht="13.5" customHeight="1">
      <c r="A138" s="153" t="s">
        <v>325</v>
      </c>
      <c r="B138" s="185" t="s">
        <v>326</v>
      </c>
      <c r="C138" s="566">
        <f t="shared" ref="C138:C148" si="275">IF(Z138&lt;&gt;"--",Z138,"--")</f>
        <v>5</v>
      </c>
      <c r="D138" s="586" t="str">
        <f t="shared" ref="D138:D148" si="276">IF(C138="--","--", AA138)</f>
        <v>MCL (Primary)</v>
      </c>
      <c r="E138" s="182">
        <f t="shared" si="202"/>
        <v>1.1543943553643614</v>
      </c>
      <c r="F138" s="609" t="str">
        <f t="shared" si="203"/>
        <v>Tapwater</v>
      </c>
      <c r="G138" s="182">
        <f t="shared" si="204"/>
        <v>3.9872559385618862</v>
      </c>
      <c r="H138" s="183" t="str">
        <f t="shared" si="205"/>
        <v>Tapwater</v>
      </c>
      <c r="I138" s="188">
        <f t="shared" si="206"/>
        <v>2.6864902660729402</v>
      </c>
      <c r="J138" s="157" t="str">
        <f t="shared" si="207"/>
        <v>--</v>
      </c>
      <c r="K138" s="190" t="str">
        <f t="shared" si="208"/>
        <v>--</v>
      </c>
      <c r="L138" s="157">
        <f t="shared" si="209"/>
        <v>2.024200428458554</v>
      </c>
      <c r="M138" s="192" t="str">
        <f t="shared" si="210"/>
        <v>--</v>
      </c>
      <c r="N138" s="190">
        <f t="shared" si="211"/>
        <v>2.024200428458554</v>
      </c>
      <c r="O138" s="198">
        <f t="shared" si="212"/>
        <v>1.1543943553643614</v>
      </c>
      <c r="P138" s="162">
        <f t="shared" si="213"/>
        <v>200.54945054945054</v>
      </c>
      <c r="Q138" s="157">
        <f t="shared" si="214"/>
        <v>4.1714285714285717</v>
      </c>
      <c r="R138" s="157" t="str">
        <f t="shared" si="215"/>
        <v>--</v>
      </c>
      <c r="S138" s="157">
        <f t="shared" si="273"/>
        <v>164.29207507155868</v>
      </c>
      <c r="T138" s="157" t="str">
        <f t="shared" si="216"/>
        <v>--</v>
      </c>
      <c r="U138" s="157">
        <f t="shared" si="217"/>
        <v>164.29207507155868</v>
      </c>
      <c r="V138" s="200">
        <f t="shared" si="218"/>
        <v>3.9872559385618862</v>
      </c>
      <c r="W138" s="186" t="str">
        <f t="shared" si="219"/>
        <v>--</v>
      </c>
      <c r="X138" s="596">
        <f t="shared" si="220"/>
        <v>5</v>
      </c>
      <c r="Y138" s="187" t="str">
        <f t="shared" si="221"/>
        <v>OEHHA PHG</v>
      </c>
      <c r="Z138" s="567">
        <f t="shared" si="222"/>
        <v>5</v>
      </c>
      <c r="AA138" s="568" t="str">
        <f t="shared" si="223"/>
        <v>MCL (Primary)</v>
      </c>
      <c r="AB138" s="122">
        <f t="shared" ref="AB138:AB148" si="277">IF(VLOOKUP($A138, Table_IP_4, MATCH("mcl", heading_IP_4, 0), FALSE)=0, "-", VLOOKUP($A138, Table_IP_4, MATCH("mcl", heading_IP_4, 0), FALSE))</f>
        <v>5</v>
      </c>
      <c r="AC138" s="121" t="str">
        <f t="shared" ref="AC138:AC148" si="278">IF(VLOOKUP($A138, Table_IP_4, MATCH("2-mcl", heading_IP_4, 0), FALSE)=0, "-", VLOOKUP($A138, Table_IP_4, MATCH("2-mcl", heading_IP_4, 0), FALSE))</f>
        <v>--</v>
      </c>
      <c r="AD138" s="121">
        <f t="shared" ref="AD138:AD148" si="279">IF(VLOOKUP($A138, Table_IP_4, MATCH("PHG", heading_IP_4, 0), FALSE)=0, "--", VLOOKUP($A138, Table_IP_4, MATCH("PHG", heading_IP_4, 0), FALSE))</f>
        <v>5</v>
      </c>
      <c r="AE138" s="121" t="str">
        <f t="shared" ref="AE138:AE148" si="280">IF(VLOOKUP($A138, Table_IP_4, MATCH("PHG-b", heading_IP_4, 0), FALSE)=0, "--", VLOOKUP($A138, Table_IP_4, MATCH("PHG-b", heading_IP_4, 0), FALSE))</f>
        <v>Noncancer</v>
      </c>
      <c r="AF138" s="121" t="str">
        <f t="shared" ref="AF138:AF148" si="281">IF(VLOOKUP($A138, Table_IP_4, MATCH("NL", heading_IP_4, 0), FALSE)=0, "--", VLOOKUP($A138, Table_IP_4, MATCH("NL", heading_IP_4, 0), FALSE))</f>
        <v>--</v>
      </c>
      <c r="AG138" s="121" t="str">
        <f t="shared" ref="AG138:AG148" si="282">IF(VLOOKUP($A138, Table_IP_4, MATCH("NL-b", heading_IP_4, 0), FALSE)=0, "--", VLOOKUP($A138, Table_IP_4, MATCH("NL-b", heading_IP_4, 0), FALSE))</f>
        <v>--</v>
      </c>
      <c r="AH138" s="119" t="str">
        <f t="shared" ref="AH138:AH148" si="283">VLOOKUP($A138,Table_IP_1,MATCH("volatility",heading_IP_1,0),FALSE)</f>
        <v>V</v>
      </c>
      <c r="AI138" s="119" t="str">
        <f t="shared" ref="AI138:AI148" si="284">VLOOKUP($A138,Table_IP_1,MATCH("OI",heading_IP_1,0),FALSE)</f>
        <v>O</v>
      </c>
      <c r="AJ138" s="120" t="str">
        <f t="shared" ref="AJ138:AJ148" si="285">VLOOKUP($A138,Table_IP_2,MATCH("mut",heading_IP_2,0),FALSE)</f>
        <v>--</v>
      </c>
      <c r="AK138" s="129">
        <f t="shared" si="274"/>
        <v>1</v>
      </c>
      <c r="AL138" s="119">
        <f t="shared" ref="AL138:AL148" si="286">VLOOKUP($A138,Table_IP_2,MATCH("B",heading_IP_2,0),FALSE)</f>
        <v>0.36525338989715</v>
      </c>
      <c r="AM138" s="119">
        <f t="shared" ref="AM138:AM148" si="287">VLOOKUP($A138,Table_IP_2,MATCH("t_event",heading_IP_2,0),FALSE)</f>
        <v>1.0913618028648799</v>
      </c>
      <c r="AN138" s="119">
        <f t="shared" ref="AN138:AN148" si="288">VLOOKUP($A138,Table_IP_2,MATCH("t",heading_IP_2,0),FALSE)</f>
        <v>2.61926832687571</v>
      </c>
      <c r="AO138" s="119">
        <f t="shared" ref="AO138:AO148" si="289">VLOOKUP($A138,Table_IP_2,MATCH("Kp",heading_IP_2,0),FALSE)</f>
        <v>7.0499999999999993E-2</v>
      </c>
      <c r="AP138" s="119" t="str">
        <f t="shared" ref="AP138:AP148" si="290">VLOOKUP($A138,Table_IP_2,MATCH("EPD",heading_IP_2,0),FALSE)</f>
        <v>Yes</v>
      </c>
      <c r="AQ138" s="119">
        <f t="shared" si="268"/>
        <v>2.9000000000000001E-2</v>
      </c>
      <c r="AR138" s="119" t="str">
        <f t="shared" si="269"/>
        <v>--</v>
      </c>
      <c r="AS138" s="119">
        <f t="shared" si="270"/>
        <v>0.01</v>
      </c>
      <c r="AT138" s="119">
        <f t="shared" si="271"/>
        <v>2</v>
      </c>
      <c r="AU138" s="119">
        <f t="shared" si="272"/>
        <v>1</v>
      </c>
      <c r="AV138" s="119">
        <f t="shared" si="226"/>
        <v>3.3747705849448246E-4</v>
      </c>
      <c r="AW138" s="555">
        <f t="shared" si="224"/>
        <v>1.0755296860926643E-4</v>
      </c>
      <c r="AX138" s="124">
        <f t="shared" si="225"/>
        <v>2.4576366288856469E-2</v>
      </c>
    </row>
    <row r="139" spans="1:50" ht="13.5" customHeight="1">
      <c r="A139" s="153" t="s">
        <v>327</v>
      </c>
      <c r="B139" s="185" t="s">
        <v>328</v>
      </c>
      <c r="C139" s="566">
        <f t="shared" si="275"/>
        <v>200</v>
      </c>
      <c r="D139" s="586" t="str">
        <f t="shared" si="276"/>
        <v>MCL (Primary)</v>
      </c>
      <c r="E139" s="182" t="str">
        <f t="shared" si="202"/>
        <v>--</v>
      </c>
      <c r="F139" s="609" t="str">
        <f t="shared" si="203"/>
        <v>--</v>
      </c>
      <c r="G139" s="182">
        <f t="shared" si="204"/>
        <v>1000</v>
      </c>
      <c r="H139" s="183" t="str">
        <f t="shared" si="205"/>
        <v>OEHHA PHG</v>
      </c>
      <c r="I139" s="188" t="str">
        <f t="shared" si="206"/>
        <v>--</v>
      </c>
      <c r="J139" s="157" t="str">
        <f t="shared" si="207"/>
        <v>--</v>
      </c>
      <c r="K139" s="190" t="str">
        <f t="shared" si="208"/>
        <v>--</v>
      </c>
      <c r="L139" s="157" t="str">
        <f t="shared" si="209"/>
        <v>--</v>
      </c>
      <c r="M139" s="192" t="str">
        <f t="shared" si="210"/>
        <v>--</v>
      </c>
      <c r="N139" s="190" t="str">
        <f t="shared" si="211"/>
        <v>--</v>
      </c>
      <c r="O139" s="198" t="str">
        <f t="shared" si="212"/>
        <v>--</v>
      </c>
      <c r="P139" s="162">
        <f t="shared" si="213"/>
        <v>40109.890109890111</v>
      </c>
      <c r="Q139" s="157">
        <f t="shared" si="214"/>
        <v>2085.7142857142858</v>
      </c>
      <c r="R139" s="157" t="str">
        <f t="shared" si="215"/>
        <v>--</v>
      </c>
      <c r="S139" s="157">
        <f t="shared" si="273"/>
        <v>250597.75873706659</v>
      </c>
      <c r="T139" s="157" t="str">
        <f t="shared" si="216"/>
        <v>--</v>
      </c>
      <c r="U139" s="157">
        <f t="shared" si="217"/>
        <v>250597.75873706659</v>
      </c>
      <c r="V139" s="200">
        <f t="shared" si="218"/>
        <v>1967.0556716786834</v>
      </c>
      <c r="W139" s="186" t="str">
        <f t="shared" si="219"/>
        <v>--</v>
      </c>
      <c r="X139" s="596">
        <f t="shared" si="220"/>
        <v>1000</v>
      </c>
      <c r="Y139" s="187" t="str">
        <f t="shared" si="221"/>
        <v>OEHHA PHG</v>
      </c>
      <c r="Z139" s="567">
        <f t="shared" si="222"/>
        <v>200</v>
      </c>
      <c r="AA139" s="568" t="str">
        <f t="shared" si="223"/>
        <v>MCL (Primary)</v>
      </c>
      <c r="AB139" s="122">
        <f t="shared" si="277"/>
        <v>200</v>
      </c>
      <c r="AC139" s="121" t="str">
        <f t="shared" si="278"/>
        <v>--</v>
      </c>
      <c r="AD139" s="121">
        <f t="shared" si="279"/>
        <v>1000</v>
      </c>
      <c r="AE139" s="121" t="str">
        <f t="shared" si="280"/>
        <v>Noncancer</v>
      </c>
      <c r="AF139" s="121" t="str">
        <f t="shared" si="281"/>
        <v>--</v>
      </c>
      <c r="AG139" s="121" t="str">
        <f t="shared" si="282"/>
        <v>--</v>
      </c>
      <c r="AH139" s="119" t="str">
        <f t="shared" si="283"/>
        <v>V</v>
      </c>
      <c r="AI139" s="119" t="str">
        <f t="shared" si="284"/>
        <v>O</v>
      </c>
      <c r="AJ139" s="120" t="str">
        <f t="shared" si="285"/>
        <v>--</v>
      </c>
      <c r="AK139" s="129">
        <f t="shared" si="274"/>
        <v>1</v>
      </c>
      <c r="AL139" s="119">
        <f t="shared" si="286"/>
        <v>5.5974650327540003E-2</v>
      </c>
      <c r="AM139" s="119">
        <f t="shared" si="287"/>
        <v>0.58741461764628999</v>
      </c>
      <c r="AN139" s="119">
        <f t="shared" si="288"/>
        <v>1.4097950823510901</v>
      </c>
      <c r="AO139" s="119">
        <f t="shared" si="289"/>
        <v>1.26E-2</v>
      </c>
      <c r="AP139" s="119" t="str">
        <f t="shared" si="290"/>
        <v>Yes</v>
      </c>
      <c r="AQ139" s="119" t="str">
        <f t="shared" si="268"/>
        <v>--</v>
      </c>
      <c r="AR139" s="119" t="str">
        <f t="shared" si="269"/>
        <v>--</v>
      </c>
      <c r="AS139" s="119">
        <f t="shared" si="270"/>
        <v>2</v>
      </c>
      <c r="AT139" s="119">
        <f t="shared" si="271"/>
        <v>1000</v>
      </c>
      <c r="AU139" s="119">
        <f t="shared" si="272"/>
        <v>1</v>
      </c>
      <c r="AV139" s="119" t="str">
        <f t="shared" si="226"/>
        <v>--</v>
      </c>
      <c r="AW139" s="555" t="str">
        <f t="shared" si="224"/>
        <v>--</v>
      </c>
      <c r="AX139" s="124">
        <f t="shared" si="225"/>
        <v>4.9152732577712941</v>
      </c>
    </row>
    <row r="140" spans="1:50" ht="13.5" customHeight="1">
      <c r="A140" s="153" t="s">
        <v>329</v>
      </c>
      <c r="B140" s="185" t="s">
        <v>330</v>
      </c>
      <c r="C140" s="566">
        <f t="shared" si="275"/>
        <v>5</v>
      </c>
      <c r="D140" s="586" t="str">
        <f t="shared" si="276"/>
        <v>MCL (Primary)</v>
      </c>
      <c r="E140" s="182">
        <f t="shared" si="202"/>
        <v>0.2753400429864914</v>
      </c>
      <c r="F140" s="609" t="str">
        <f t="shared" si="203"/>
        <v>Tapwater</v>
      </c>
      <c r="G140" s="182">
        <f t="shared" si="204"/>
        <v>0.41484753961311749</v>
      </c>
      <c r="H140" s="183" t="str">
        <f t="shared" si="205"/>
        <v>Tapwater</v>
      </c>
      <c r="I140" s="188">
        <f t="shared" si="206"/>
        <v>1.3668108371248293</v>
      </c>
      <c r="J140" s="157">
        <f t="shared" si="207"/>
        <v>0.35096153846153844</v>
      </c>
      <c r="K140" s="190" t="str">
        <f t="shared" si="208"/>
        <v>--</v>
      </c>
      <c r="L140" s="157">
        <f t="shared" si="209"/>
        <v>19.635738296289734</v>
      </c>
      <c r="M140" s="192" t="str">
        <f t="shared" si="210"/>
        <v>--</v>
      </c>
      <c r="N140" s="190">
        <f t="shared" si="211"/>
        <v>19.635738296289734</v>
      </c>
      <c r="O140" s="198">
        <f t="shared" si="212"/>
        <v>0.2753400429864914</v>
      </c>
      <c r="P140" s="162">
        <f t="shared" si="213"/>
        <v>80.219780219780219</v>
      </c>
      <c r="Q140" s="157">
        <f t="shared" si="214"/>
        <v>0.41714285714285715</v>
      </c>
      <c r="R140" s="157" t="str">
        <f t="shared" si="215"/>
        <v>--</v>
      </c>
      <c r="S140" s="157">
        <f t="shared" si="273"/>
        <v>1252.9887936853329</v>
      </c>
      <c r="T140" s="157" t="str">
        <f t="shared" si="216"/>
        <v>--</v>
      </c>
      <c r="U140" s="157">
        <f t="shared" si="217"/>
        <v>1252.9887936853329</v>
      </c>
      <c r="V140" s="200">
        <f t="shared" si="218"/>
        <v>0.41484753961311749</v>
      </c>
      <c r="W140" s="186">
        <f t="shared" si="219"/>
        <v>0.3</v>
      </c>
      <c r="X140" s="596" t="str">
        <f t="shared" si="220"/>
        <v>--</v>
      </c>
      <c r="Y140" s="187" t="str">
        <f t="shared" si="221"/>
        <v>OEHHA PHG</v>
      </c>
      <c r="Z140" s="567">
        <f t="shared" si="222"/>
        <v>5</v>
      </c>
      <c r="AA140" s="568" t="str">
        <f t="shared" si="223"/>
        <v>MCL (Primary)</v>
      </c>
      <c r="AB140" s="122">
        <f t="shared" si="277"/>
        <v>5</v>
      </c>
      <c r="AC140" s="121" t="str">
        <f t="shared" si="278"/>
        <v>--</v>
      </c>
      <c r="AD140" s="121">
        <f t="shared" si="279"/>
        <v>0.3</v>
      </c>
      <c r="AE140" s="121" t="str">
        <f t="shared" si="280"/>
        <v>Cancer</v>
      </c>
      <c r="AF140" s="121" t="str">
        <f t="shared" si="281"/>
        <v>--</v>
      </c>
      <c r="AG140" s="121" t="str">
        <f t="shared" si="282"/>
        <v>--</v>
      </c>
      <c r="AH140" s="119" t="str">
        <f t="shared" si="283"/>
        <v>V</v>
      </c>
      <c r="AI140" s="119" t="str">
        <f t="shared" si="284"/>
        <v>O</v>
      </c>
      <c r="AJ140" s="120" t="str">
        <f t="shared" si="285"/>
        <v>--</v>
      </c>
      <c r="AK140" s="129">
        <f t="shared" si="274"/>
        <v>1</v>
      </c>
      <c r="AL140" s="119">
        <f t="shared" si="286"/>
        <v>2.2389860131009999E-2</v>
      </c>
      <c r="AM140" s="119">
        <f t="shared" si="287"/>
        <v>0.58741461764628999</v>
      </c>
      <c r="AN140" s="119">
        <f t="shared" si="288"/>
        <v>1.4097950823510901</v>
      </c>
      <c r="AO140" s="119">
        <f t="shared" si="289"/>
        <v>5.0400000000000002E-3</v>
      </c>
      <c r="AP140" s="119" t="str">
        <f t="shared" si="290"/>
        <v>Yes</v>
      </c>
      <c r="AQ140" s="119">
        <f t="shared" si="268"/>
        <v>5.7000000000000002E-2</v>
      </c>
      <c r="AR140" s="119">
        <f t="shared" si="269"/>
        <v>1.5999999999999999E-5</v>
      </c>
      <c r="AS140" s="119">
        <f t="shared" si="270"/>
        <v>4.0000000000000001E-3</v>
      </c>
      <c r="AT140" s="119">
        <f t="shared" si="271"/>
        <v>0.2</v>
      </c>
      <c r="AU140" s="119">
        <f t="shared" si="272"/>
        <v>1</v>
      </c>
      <c r="AV140" s="119">
        <f t="shared" si="226"/>
        <v>1.7169885432175423E-4</v>
      </c>
      <c r="AW140" s="555">
        <f t="shared" si="224"/>
        <v>5.471993139769696E-5</v>
      </c>
      <c r="AX140" s="124">
        <f t="shared" si="225"/>
        <v>9.8305465155425886E-3</v>
      </c>
    </row>
    <row r="141" spans="1:50" ht="13.5" customHeight="1">
      <c r="A141" s="896" t="s">
        <v>331</v>
      </c>
      <c r="B141" s="346" t="s">
        <v>332</v>
      </c>
      <c r="C141" s="566">
        <f t="shared" si="275"/>
        <v>5</v>
      </c>
      <c r="D141" s="586" t="str">
        <f t="shared" si="276"/>
        <v>MCL (Primary)</v>
      </c>
      <c r="E141" s="182">
        <f t="shared" si="202"/>
        <v>0.49377585316143952</v>
      </c>
      <c r="F141" s="609" t="str">
        <f t="shared" si="203"/>
        <v>Tapwater</v>
      </c>
      <c r="G141" s="182">
        <f t="shared" si="204"/>
        <v>2.8252024217071989</v>
      </c>
      <c r="H141" s="183" t="str">
        <f t="shared" si="205"/>
        <v>Tapwater</v>
      </c>
      <c r="I141" s="1439">
        <f>(TR*365*LT*1000)/(AQ141*((0.804*IFWadj)+(0.202*IFWmadj)))</f>
        <v>1.1825520886656176</v>
      </c>
      <c r="J141" s="347">
        <f>TR*365*LT/AR141/0.5/
((EFr*EDr*ETr/24*0.756)+
((2*EFr*0.244*10)+
(4*EFr*0.244*3)+
(10*EFr*0.244*3)+
(10*EFr*0.244*1)))</f>
        <v>0.95663432456374864</v>
      </c>
      <c r="K141" s="354" t="s">
        <v>115</v>
      </c>
      <c r="L141" s="347">
        <f>(AW141*1000)/(2*AK141*AO141*SQRT((6*AM141*ETwadj)/PI()))</f>
        <v>7.4487787626013526</v>
      </c>
      <c r="M141" s="557" t="s">
        <v>115</v>
      </c>
      <c r="N141" s="190">
        <f t="shared" si="211"/>
        <v>7.4487787626013526</v>
      </c>
      <c r="O141" s="198">
        <f>IF(AND(I141="--",J141="--",N141="--"),"--",IF(AND(J141="--",N141="--"),I141,IF(AND(I141="--",N141="--"),J141,IF(AND(I141="--",J141="--"),N141, IF(I141="--", (1/((1/J141)+(1/N141))), IF(J141="--", (1/((1/I141)+(1/N141))), IF(N141="--", (1/((1/I141)+(1/J141))), (1/((1/I141)+(1/J141)+(1/N141))))))))))</f>
        <v>0.49377585316143952</v>
      </c>
      <c r="P141" s="162">
        <f t="shared" si="213"/>
        <v>10.027472527472527</v>
      </c>
      <c r="Q141" s="157">
        <f t="shared" si="214"/>
        <v>4.1714285714285717</v>
      </c>
      <c r="R141" s="157" t="str">
        <f t="shared" si="215"/>
        <v>--</v>
      </c>
      <c r="S141" s="157">
        <f t="shared" si="273"/>
        <v>68.942296688685957</v>
      </c>
      <c r="T141" s="157" t="str">
        <f t="shared" si="216"/>
        <v>--</v>
      </c>
      <c r="U141" s="157">
        <f t="shared" si="217"/>
        <v>68.942296688685957</v>
      </c>
      <c r="V141" s="200">
        <f t="shared" si="218"/>
        <v>2.8252024217071989</v>
      </c>
      <c r="W141" s="186">
        <f t="shared" si="219"/>
        <v>1.7</v>
      </c>
      <c r="X141" s="596" t="str">
        <f t="shared" si="220"/>
        <v>--</v>
      </c>
      <c r="Y141" s="187" t="str">
        <f t="shared" si="221"/>
        <v>OEHHA PHG</v>
      </c>
      <c r="Z141" s="567">
        <f t="shared" si="222"/>
        <v>5</v>
      </c>
      <c r="AA141" s="568" t="str">
        <f t="shared" si="223"/>
        <v>MCL (Primary)</v>
      </c>
      <c r="AB141" s="122">
        <f t="shared" si="277"/>
        <v>5</v>
      </c>
      <c r="AC141" s="121" t="str">
        <f t="shared" si="278"/>
        <v>--</v>
      </c>
      <c r="AD141" s="121">
        <f t="shared" si="279"/>
        <v>1.7</v>
      </c>
      <c r="AE141" s="121" t="str">
        <f t="shared" si="280"/>
        <v>Cancer</v>
      </c>
      <c r="AF141" s="121" t="str">
        <f t="shared" si="281"/>
        <v>--</v>
      </c>
      <c r="AG141" s="121" t="str">
        <f t="shared" si="282"/>
        <v>--</v>
      </c>
      <c r="AH141" s="119" t="str">
        <f t="shared" si="283"/>
        <v>V</v>
      </c>
      <c r="AI141" s="119" t="str">
        <f t="shared" si="284"/>
        <v>O</v>
      </c>
      <c r="AJ141" s="120" t="str">
        <f t="shared" si="285"/>
        <v>Yes</v>
      </c>
      <c r="AK141" s="129">
        <f t="shared" si="274"/>
        <v>1</v>
      </c>
      <c r="AL141" s="119">
        <f t="shared" si="286"/>
        <v>5.1140597474600001E-2</v>
      </c>
      <c r="AM141" s="119">
        <f t="shared" si="287"/>
        <v>0.57231186493427</v>
      </c>
      <c r="AN141" s="119">
        <f t="shared" si="288"/>
        <v>1.37354847584226</v>
      </c>
      <c r="AO141" s="119">
        <f t="shared" si="289"/>
        <v>1.1599999999999999E-2</v>
      </c>
      <c r="AP141" s="119" t="str">
        <f t="shared" si="290"/>
        <v>Yes</v>
      </c>
      <c r="AQ141" s="119">
        <f t="shared" si="268"/>
        <v>4.5999999999999999E-2</v>
      </c>
      <c r="AR141" s="119">
        <f t="shared" si="269"/>
        <v>4.0999999999999997E-6</v>
      </c>
      <c r="AS141" s="119">
        <f t="shared" si="270"/>
        <v>5.0000000000000001E-4</v>
      </c>
      <c r="AT141" s="119">
        <f t="shared" si="271"/>
        <v>2</v>
      </c>
      <c r="AU141" s="119">
        <f t="shared" si="272"/>
        <v>1</v>
      </c>
      <c r="AV141" s="119">
        <f t="shared" si="226"/>
        <v>2.1275727600739115E-4</v>
      </c>
      <c r="AW141" s="556">
        <f>(TR*365*LT*1000)/((AQ141/AU141)*((0.804*DFWadj)+(0.202*DFWmadj)))</f>
        <v>1.4797102775384054E-4</v>
      </c>
      <c r="AX141" s="124">
        <f t="shared" si="225"/>
        <v>1.2288183144428236E-3</v>
      </c>
    </row>
    <row r="142" spans="1:50" ht="13.5" customHeight="1">
      <c r="A142" s="153" t="s">
        <v>333</v>
      </c>
      <c r="B142" s="185" t="s">
        <v>334</v>
      </c>
      <c r="C142" s="566" t="str">
        <f t="shared" si="275"/>
        <v>--</v>
      </c>
      <c r="D142" s="586" t="str">
        <f t="shared" si="276"/>
        <v>--</v>
      </c>
      <c r="E142" s="182" t="str">
        <f t="shared" si="202"/>
        <v>--</v>
      </c>
      <c r="F142" s="609" t="str">
        <f t="shared" si="203"/>
        <v>--</v>
      </c>
      <c r="G142" s="182">
        <f t="shared" si="204"/>
        <v>1183.2501696420836</v>
      </c>
      <c r="H142" s="183" t="str">
        <f t="shared" si="205"/>
        <v>Tapwater</v>
      </c>
      <c r="I142" s="188" t="str">
        <f t="shared" si="206"/>
        <v>--</v>
      </c>
      <c r="J142" s="157" t="str">
        <f t="shared" si="207"/>
        <v>--</v>
      </c>
      <c r="K142" s="190" t="str">
        <f t="shared" si="208"/>
        <v>--</v>
      </c>
      <c r="L142" s="157" t="str">
        <f t="shared" si="209"/>
        <v>--</v>
      </c>
      <c r="M142" s="192" t="str">
        <f t="shared" si="210"/>
        <v>--</v>
      </c>
      <c r="N142" s="190" t="str">
        <f t="shared" si="211"/>
        <v>--</v>
      </c>
      <c r="O142" s="198" t="str">
        <f t="shared" si="212"/>
        <v>--</v>
      </c>
      <c r="P142" s="162">
        <f t="shared" si="213"/>
        <v>2005.4945054945056</v>
      </c>
      <c r="Q142" s="157" t="str">
        <f t="shared" si="214"/>
        <v>--</v>
      </c>
      <c r="R142" s="157" t="str">
        <f t="shared" si="215"/>
        <v>--</v>
      </c>
      <c r="S142" s="157">
        <f t="shared" si="273"/>
        <v>2886.0055464931193</v>
      </c>
      <c r="T142" s="157" t="str">
        <f t="shared" si="216"/>
        <v>--</v>
      </c>
      <c r="U142" s="157">
        <f t="shared" si="217"/>
        <v>2886.0055464931193</v>
      </c>
      <c r="V142" s="200">
        <f t="shared" si="218"/>
        <v>1183.2501696420836</v>
      </c>
      <c r="W142" s="186" t="str">
        <f t="shared" si="219"/>
        <v>--</v>
      </c>
      <c r="X142" s="596" t="str">
        <f t="shared" si="220"/>
        <v>--</v>
      </c>
      <c r="Y142" s="187" t="str">
        <f t="shared" si="221"/>
        <v>--</v>
      </c>
      <c r="Z142" s="567" t="str">
        <f t="shared" si="222"/>
        <v>--</v>
      </c>
      <c r="AA142" s="568" t="str">
        <f t="shared" si="223"/>
        <v>--</v>
      </c>
      <c r="AB142" s="122" t="str">
        <f t="shared" si="277"/>
        <v>--</v>
      </c>
      <c r="AC142" s="121" t="str">
        <f t="shared" si="278"/>
        <v>--</v>
      </c>
      <c r="AD142" s="121" t="str">
        <f t="shared" si="279"/>
        <v>--</v>
      </c>
      <c r="AE142" s="121" t="str">
        <f t="shared" si="280"/>
        <v>--</v>
      </c>
      <c r="AF142" s="121" t="str">
        <f t="shared" si="281"/>
        <v>--</v>
      </c>
      <c r="AG142" s="121" t="str">
        <f t="shared" si="282"/>
        <v>--</v>
      </c>
      <c r="AH142" s="119" t="str">
        <f t="shared" si="283"/>
        <v>NV</v>
      </c>
      <c r="AI142" s="119" t="str">
        <f t="shared" si="284"/>
        <v>O</v>
      </c>
      <c r="AJ142" s="120" t="str">
        <f t="shared" si="285"/>
        <v>--</v>
      </c>
      <c r="AK142" s="129">
        <f t="shared" si="274"/>
        <v>1</v>
      </c>
      <c r="AL142" s="119">
        <f t="shared" si="286"/>
        <v>0.19564276480390999</v>
      </c>
      <c r="AM142" s="119">
        <f t="shared" si="287"/>
        <v>1.34143226979738</v>
      </c>
      <c r="AN142" s="119">
        <f t="shared" si="288"/>
        <v>3.21943744751372</v>
      </c>
      <c r="AO142" s="119">
        <f t="shared" si="289"/>
        <v>3.6200000000000003E-2</v>
      </c>
      <c r="AP142" s="119" t="str">
        <f t="shared" si="290"/>
        <v>Yes</v>
      </c>
      <c r="AQ142" s="119" t="str">
        <f t="shared" si="268"/>
        <v>--</v>
      </c>
      <c r="AR142" s="119" t="str">
        <f t="shared" si="269"/>
        <v>--</v>
      </c>
      <c r="AS142" s="119">
        <f t="shared" si="270"/>
        <v>0.1</v>
      </c>
      <c r="AT142" s="119" t="str">
        <f t="shared" si="271"/>
        <v>--</v>
      </c>
      <c r="AU142" s="119">
        <f t="shared" si="272"/>
        <v>1</v>
      </c>
      <c r="AV142" s="119" t="str">
        <f t="shared" si="226"/>
        <v>--</v>
      </c>
      <c r="AW142" s="555" t="str">
        <f t="shared" si="224"/>
        <v>--</v>
      </c>
      <c r="AX142" s="124">
        <f t="shared" si="225"/>
        <v>0.24576366288856469</v>
      </c>
    </row>
    <row r="143" spans="1:50" ht="13.5" customHeight="1">
      <c r="A143" s="153" t="s">
        <v>335</v>
      </c>
      <c r="B143" s="185" t="s">
        <v>336</v>
      </c>
      <c r="C143" s="566" t="str">
        <f t="shared" si="275"/>
        <v>--</v>
      </c>
      <c r="D143" s="586" t="str">
        <f t="shared" si="276"/>
        <v>--</v>
      </c>
      <c r="E143" s="182">
        <f t="shared" si="202"/>
        <v>0.64627579540504521</v>
      </c>
      <c r="F143" s="609" t="str">
        <f t="shared" si="203"/>
        <v>Tapwater</v>
      </c>
      <c r="G143" s="182">
        <f t="shared" si="204"/>
        <v>12.050880051226159</v>
      </c>
      <c r="H143" s="183" t="str">
        <f t="shared" si="205"/>
        <v>Tapwater</v>
      </c>
      <c r="I143" s="188">
        <f t="shared" si="206"/>
        <v>1.1129745388016465</v>
      </c>
      <c r="J143" s="157" t="str">
        <f t="shared" si="207"/>
        <v>--</v>
      </c>
      <c r="K143" s="190" t="str">
        <f t="shared" si="208"/>
        <v>--</v>
      </c>
      <c r="L143" s="157">
        <f t="shared" si="209"/>
        <v>1.541226573902182</v>
      </c>
      <c r="M143" s="192" t="str">
        <f t="shared" si="210"/>
        <v>--</v>
      </c>
      <c r="N143" s="190">
        <f t="shared" si="211"/>
        <v>1.541226573902182</v>
      </c>
      <c r="O143" s="198">
        <f t="shared" si="212"/>
        <v>0.64627579540504521</v>
      </c>
      <c r="P143" s="162">
        <f t="shared" si="213"/>
        <v>20.054945054945055</v>
      </c>
      <c r="Q143" s="157" t="str">
        <f t="shared" si="214"/>
        <v>--</v>
      </c>
      <c r="R143" s="157" t="str">
        <f t="shared" si="215"/>
        <v>--</v>
      </c>
      <c r="S143" s="157">
        <f t="shared" si="273"/>
        <v>30.194624503771944</v>
      </c>
      <c r="T143" s="157" t="str">
        <f t="shared" si="216"/>
        <v>--</v>
      </c>
      <c r="U143" s="157">
        <f t="shared" si="217"/>
        <v>30.194624503771944</v>
      </c>
      <c r="V143" s="200">
        <f t="shared" si="218"/>
        <v>12.050880051226159</v>
      </c>
      <c r="W143" s="186" t="str">
        <f t="shared" si="219"/>
        <v>--</v>
      </c>
      <c r="X143" s="596" t="str">
        <f t="shared" si="220"/>
        <v>--</v>
      </c>
      <c r="Y143" s="187" t="str">
        <f t="shared" si="221"/>
        <v>--</v>
      </c>
      <c r="Z143" s="567" t="str">
        <f t="shared" si="222"/>
        <v>--</v>
      </c>
      <c r="AA143" s="568" t="str">
        <f t="shared" si="223"/>
        <v>--</v>
      </c>
      <c r="AB143" s="122" t="str">
        <f t="shared" si="277"/>
        <v>--</v>
      </c>
      <c r="AC143" s="121" t="str">
        <f t="shared" si="278"/>
        <v>--</v>
      </c>
      <c r="AD143" s="121" t="str">
        <f t="shared" si="279"/>
        <v>--</v>
      </c>
      <c r="AE143" s="121" t="str">
        <f t="shared" si="280"/>
        <v>--</v>
      </c>
      <c r="AF143" s="121" t="str">
        <f t="shared" si="281"/>
        <v>--</v>
      </c>
      <c r="AG143" s="121" t="str">
        <f t="shared" si="282"/>
        <v>--</v>
      </c>
      <c r="AH143" s="119" t="str">
        <f t="shared" si="283"/>
        <v>NV</v>
      </c>
      <c r="AI143" s="119" t="str">
        <f t="shared" si="284"/>
        <v>O</v>
      </c>
      <c r="AJ143" s="120" t="str">
        <f t="shared" si="285"/>
        <v>--</v>
      </c>
      <c r="AK143" s="129">
        <f t="shared" si="274"/>
        <v>1</v>
      </c>
      <c r="AL143" s="119">
        <f t="shared" si="286"/>
        <v>0.18699557077942999</v>
      </c>
      <c r="AM143" s="119">
        <f t="shared" si="287"/>
        <v>1.34143226979738</v>
      </c>
      <c r="AN143" s="119">
        <f t="shared" si="288"/>
        <v>3.21943744751372</v>
      </c>
      <c r="AO143" s="119">
        <f t="shared" si="289"/>
        <v>3.4599999999999999E-2</v>
      </c>
      <c r="AP143" s="119" t="str">
        <f t="shared" si="290"/>
        <v>Yes</v>
      </c>
      <c r="AQ143" s="119">
        <f t="shared" si="268"/>
        <v>7.0000000000000007E-2</v>
      </c>
      <c r="AR143" s="119">
        <f t="shared" si="269"/>
        <v>2.0000000000000002E-5</v>
      </c>
      <c r="AS143" s="119">
        <f t="shared" si="270"/>
        <v>1E-3</v>
      </c>
      <c r="AT143" s="119" t="str">
        <f t="shared" si="271"/>
        <v>--</v>
      </c>
      <c r="AU143" s="119">
        <f t="shared" si="272"/>
        <v>1</v>
      </c>
      <c r="AV143" s="119">
        <f t="shared" si="226"/>
        <v>1.3981192423342844E-4</v>
      </c>
      <c r="AW143" s="555">
        <f t="shared" si="224"/>
        <v>4.455765842383895E-5</v>
      </c>
      <c r="AX143" s="124">
        <f t="shared" si="225"/>
        <v>2.4576366288856471E-3</v>
      </c>
    </row>
    <row r="144" spans="1:50" ht="13.5" customHeight="1">
      <c r="A144" s="153" t="s">
        <v>337</v>
      </c>
      <c r="B144" s="185" t="s">
        <v>338</v>
      </c>
      <c r="C144" s="566">
        <f t="shared" si="275"/>
        <v>5.0000000000000001E-3</v>
      </c>
      <c r="D144" s="586" t="str">
        <f t="shared" si="276"/>
        <v>MCL (Primary)</v>
      </c>
      <c r="E144" s="182">
        <f t="shared" si="202"/>
        <v>6.9999999999999999E-4</v>
      </c>
      <c r="F144" s="609" t="str">
        <f t="shared" si="203"/>
        <v>OEHHA PHG</v>
      </c>
      <c r="G144" s="182">
        <f t="shared" si="204"/>
        <v>0.62036943665517019</v>
      </c>
      <c r="H144" s="183" t="str">
        <f t="shared" si="205"/>
        <v>Tapwater</v>
      </c>
      <c r="I144" s="188">
        <f t="shared" si="206"/>
        <v>8.3504918782887217E-4</v>
      </c>
      <c r="J144" s="157" t="str">
        <f t="shared" si="207"/>
        <v>--</v>
      </c>
      <c r="K144" s="190" t="str">
        <f t="shared" si="208"/>
        <v>--</v>
      </c>
      <c r="L144" s="157">
        <f t="shared" si="209"/>
        <v>7.2800720747204046E-3</v>
      </c>
      <c r="M144" s="192" t="str">
        <f t="shared" si="210"/>
        <v>--</v>
      </c>
      <c r="N144" s="190">
        <f t="shared" si="211"/>
        <v>7.2800720747204046E-3</v>
      </c>
      <c r="O144" s="198">
        <f t="shared" si="212"/>
        <v>7.4912229610000992E-4</v>
      </c>
      <c r="P144" s="162">
        <f t="shared" si="213"/>
        <v>80.219780219780219</v>
      </c>
      <c r="Q144" s="157">
        <f t="shared" si="214"/>
        <v>0.62571428571428567</v>
      </c>
      <c r="R144" s="157" t="str">
        <f t="shared" si="215"/>
        <v>--</v>
      </c>
      <c r="S144" s="157">
        <f t="shared" si="273"/>
        <v>767.19167700741889</v>
      </c>
      <c r="T144" s="157" t="str">
        <f t="shared" si="216"/>
        <v>--</v>
      </c>
      <c r="U144" s="157">
        <f t="shared" si="217"/>
        <v>767.19167700741889</v>
      </c>
      <c r="V144" s="200">
        <f t="shared" si="218"/>
        <v>0.62036943665517019</v>
      </c>
      <c r="W144" s="186">
        <f t="shared" si="219"/>
        <v>6.9999999999999999E-4</v>
      </c>
      <c r="X144" s="596" t="str">
        <f t="shared" si="220"/>
        <v>--</v>
      </c>
      <c r="Y144" s="187" t="str">
        <f t="shared" si="221"/>
        <v>OEHHA PHG</v>
      </c>
      <c r="Z144" s="567">
        <f t="shared" si="222"/>
        <v>5.0000000000000001E-3</v>
      </c>
      <c r="AA144" s="568" t="str">
        <f t="shared" si="223"/>
        <v>MCL (Primary)</v>
      </c>
      <c r="AB144" s="122">
        <f t="shared" si="277"/>
        <v>5.0000000000000001E-3</v>
      </c>
      <c r="AC144" s="121" t="str">
        <f t="shared" si="278"/>
        <v>--</v>
      </c>
      <c r="AD144" s="121">
        <f t="shared" si="279"/>
        <v>6.9999999999999999E-4</v>
      </c>
      <c r="AE144" s="121" t="str">
        <f t="shared" si="280"/>
        <v>Cancer</v>
      </c>
      <c r="AF144" s="121" t="str">
        <f t="shared" si="281"/>
        <v>--</v>
      </c>
      <c r="AG144" s="121" t="str">
        <f t="shared" si="282"/>
        <v>--</v>
      </c>
      <c r="AH144" s="119" t="str">
        <f t="shared" si="283"/>
        <v>V</v>
      </c>
      <c r="AI144" s="119" t="str">
        <f t="shared" si="284"/>
        <v>O</v>
      </c>
      <c r="AJ144" s="120" t="str">
        <f t="shared" si="285"/>
        <v>Yes</v>
      </c>
      <c r="AK144" s="129">
        <f t="shared" si="274"/>
        <v>1</v>
      </c>
      <c r="AL144" s="119">
        <f t="shared" si="286"/>
        <v>3.5118618673219998E-2</v>
      </c>
      <c r="AM144" s="119">
        <f t="shared" si="287"/>
        <v>0.70381213342263005</v>
      </c>
      <c r="AN144" s="119">
        <f t="shared" si="288"/>
        <v>1.6891491202143201</v>
      </c>
      <c r="AO144" s="119">
        <f t="shared" si="289"/>
        <v>7.5199999999999998E-3</v>
      </c>
      <c r="AP144" s="119" t="str">
        <f t="shared" si="290"/>
        <v>Yes</v>
      </c>
      <c r="AQ144" s="119">
        <f t="shared" si="268"/>
        <v>30</v>
      </c>
      <c r="AR144" s="119" t="str">
        <f t="shared" si="269"/>
        <v>--</v>
      </c>
      <c r="AS144" s="119">
        <f t="shared" si="270"/>
        <v>4.0000000000000001E-3</v>
      </c>
      <c r="AT144" s="119">
        <f t="shared" si="271"/>
        <v>0.3</v>
      </c>
      <c r="AU144" s="119">
        <f t="shared" si="272"/>
        <v>1</v>
      </c>
      <c r="AV144" s="119">
        <f t="shared" si="226"/>
        <v>3.262278232113331E-7</v>
      </c>
      <c r="AW144" s="555">
        <f t="shared" si="224"/>
        <v>1.0396786965562422E-7</v>
      </c>
      <c r="AX144" s="124">
        <f t="shared" si="225"/>
        <v>9.8305465155425886E-3</v>
      </c>
    </row>
    <row r="145" spans="1:118" ht="13.5" customHeight="1">
      <c r="A145" s="153" t="s">
        <v>339</v>
      </c>
      <c r="B145" s="185" t="s">
        <v>340</v>
      </c>
      <c r="C145" s="566" t="str">
        <f t="shared" si="275"/>
        <v>--</v>
      </c>
      <c r="D145" s="586" t="str">
        <f t="shared" si="276"/>
        <v>--</v>
      </c>
      <c r="E145" s="182" t="str">
        <f t="shared" si="202"/>
        <v>--</v>
      </c>
      <c r="F145" s="609" t="str">
        <f t="shared" si="203"/>
        <v>--</v>
      </c>
      <c r="G145" s="182">
        <f t="shared" si="204"/>
        <v>50</v>
      </c>
      <c r="H145" s="183" t="str">
        <f t="shared" si="205"/>
        <v>DDW NL</v>
      </c>
      <c r="I145" s="188" t="str">
        <f t="shared" si="206"/>
        <v>--</v>
      </c>
      <c r="J145" s="157" t="str">
        <f t="shared" si="207"/>
        <v>--</v>
      </c>
      <c r="K145" s="190" t="str">
        <f t="shared" si="208"/>
        <v>--</v>
      </c>
      <c r="L145" s="157" t="str">
        <f t="shared" si="209"/>
        <v>--</v>
      </c>
      <c r="M145" s="192" t="str">
        <f t="shared" si="210"/>
        <v>--</v>
      </c>
      <c r="N145" s="190" t="str">
        <f t="shared" si="211"/>
        <v>--</v>
      </c>
      <c r="O145" s="198" t="str">
        <f t="shared" si="212"/>
        <v>--</v>
      </c>
      <c r="P145" s="162">
        <f t="shared" si="213"/>
        <v>100.27472527472527</v>
      </c>
      <c r="Q145" s="157" t="str">
        <f t="shared" si="214"/>
        <v>--</v>
      </c>
      <c r="R145" s="157">
        <f t="shared" si="215"/>
        <v>591.6532625095075</v>
      </c>
      <c r="S145" s="157" t="str">
        <f t="shared" si="273"/>
        <v>--</v>
      </c>
      <c r="T145" s="157" t="str">
        <f t="shared" si="216"/>
        <v>--</v>
      </c>
      <c r="U145" s="157">
        <f t="shared" si="217"/>
        <v>591.6532625095075</v>
      </c>
      <c r="V145" s="200">
        <f t="shared" si="218"/>
        <v>85.742836542892206</v>
      </c>
      <c r="W145" s="186" t="str">
        <f t="shared" si="219"/>
        <v>--</v>
      </c>
      <c r="X145" s="596">
        <f t="shared" si="220"/>
        <v>50</v>
      </c>
      <c r="Y145" s="187" t="str">
        <f t="shared" si="221"/>
        <v>DDW NL</v>
      </c>
      <c r="Z145" s="567" t="str">
        <f t="shared" si="222"/>
        <v>--</v>
      </c>
      <c r="AA145" s="568" t="str">
        <f t="shared" si="223"/>
        <v>--</v>
      </c>
      <c r="AB145" s="122" t="str">
        <f t="shared" si="277"/>
        <v>--</v>
      </c>
      <c r="AC145" s="121" t="str">
        <f t="shared" si="278"/>
        <v>--</v>
      </c>
      <c r="AD145" s="121" t="str">
        <f t="shared" si="279"/>
        <v>--</v>
      </c>
      <c r="AE145" s="121" t="str">
        <f t="shared" si="280"/>
        <v>--</v>
      </c>
      <c r="AF145" s="121">
        <f t="shared" si="281"/>
        <v>50</v>
      </c>
      <c r="AG145" s="121" t="str">
        <f t="shared" si="282"/>
        <v>Noncancer</v>
      </c>
      <c r="AH145" s="119" t="str">
        <f t="shared" si="283"/>
        <v>NV</v>
      </c>
      <c r="AI145" s="119" t="str">
        <f t="shared" si="284"/>
        <v>I</v>
      </c>
      <c r="AJ145" s="120" t="str">
        <f t="shared" si="285"/>
        <v>--</v>
      </c>
      <c r="AK145" s="129">
        <f t="shared" si="274"/>
        <v>1</v>
      </c>
      <c r="AL145" s="119">
        <f t="shared" si="286"/>
        <v>2.7450870584699999E-3</v>
      </c>
      <c r="AM145" s="119">
        <f t="shared" si="287"/>
        <v>0.20282092058974999</v>
      </c>
      <c r="AN145" s="119">
        <f t="shared" si="288"/>
        <v>0.48677020941540999</v>
      </c>
      <c r="AO145" s="119">
        <f t="shared" si="289"/>
        <v>1E-3</v>
      </c>
      <c r="AP145" s="119" t="str">
        <f t="shared" si="290"/>
        <v>Yes</v>
      </c>
      <c r="AQ145" s="119" t="str">
        <f t="shared" si="268"/>
        <v>--</v>
      </c>
      <c r="AR145" s="119" t="str">
        <f t="shared" si="269"/>
        <v>--</v>
      </c>
      <c r="AS145" s="119">
        <f t="shared" si="270"/>
        <v>5.0000000000000001E-3</v>
      </c>
      <c r="AT145" s="119">
        <f t="shared" si="271"/>
        <v>0.1</v>
      </c>
      <c r="AU145" s="119">
        <f t="shared" si="272"/>
        <v>2.5999999999999999E-2</v>
      </c>
      <c r="AV145" s="119" t="str">
        <f t="shared" si="226"/>
        <v>--</v>
      </c>
      <c r="AW145" s="555" t="str">
        <f t="shared" si="224"/>
        <v>--</v>
      </c>
      <c r="AX145" s="124">
        <f t="shared" si="225"/>
        <v>3.1949276175513407E-4</v>
      </c>
    </row>
    <row r="146" spans="1:118" ht="13.5" customHeight="1">
      <c r="A146" s="896" t="s">
        <v>341</v>
      </c>
      <c r="B146" s="346" t="s">
        <v>342</v>
      </c>
      <c r="C146" s="566">
        <f t="shared" si="275"/>
        <v>0.5</v>
      </c>
      <c r="D146" s="586" t="str">
        <f t="shared" si="276"/>
        <v>MCL (Primary)</v>
      </c>
      <c r="E146" s="182">
        <f t="shared" si="202"/>
        <v>9.6914424945337835E-3</v>
      </c>
      <c r="F146" s="609" t="str">
        <f t="shared" si="203"/>
        <v>Tapwater</v>
      </c>
      <c r="G146" s="182">
        <f t="shared" si="204"/>
        <v>36.843107700838594</v>
      </c>
      <c r="H146" s="183" t="str">
        <f t="shared" si="205"/>
        <v>Tapwater</v>
      </c>
      <c r="I146" s="339">
        <f>TR/((AQ146*IFWadj/1000/365/LT)+(AQ146*IRWc/1000/BWc))</f>
        <v>2.142169636359368E-2</v>
      </c>
      <c r="J146" s="340">
        <f>TR/((AR146*EFr*EDr*ETr*(1/24)*0.5/365/LT)+(AR146*0.5))</f>
        <v>1.8907018907018906E-2</v>
      </c>
      <c r="K146" s="354" t="s">
        <v>115</v>
      </c>
      <c r="L146" s="363" t="s">
        <v>115</v>
      </c>
      <c r="M146" s="340">
        <f>(AV146*1000)/(AK146*AO146*(ETwadj/(1+AL146)+(2*AM146*(1+(3*AL146)+(3*(AL146^2)))/((1+AL146)^2))))</f>
        <v>0.27687338382750037</v>
      </c>
      <c r="N146" s="190">
        <f t="shared" si="211"/>
        <v>0.27687338382750037</v>
      </c>
      <c r="O146" s="198">
        <f t="shared" si="212"/>
        <v>9.6914424945337835E-3</v>
      </c>
      <c r="P146" s="162">
        <f t="shared" si="213"/>
        <v>60.164835164835168</v>
      </c>
      <c r="Q146" s="157">
        <f t="shared" si="214"/>
        <v>106.37142857142857</v>
      </c>
      <c r="R146" s="157" t="str">
        <f t="shared" si="215"/>
        <v>--</v>
      </c>
      <c r="S146" s="157">
        <f t="shared" si="273"/>
        <v>892.78270400799477</v>
      </c>
      <c r="T146" s="157" t="str">
        <f t="shared" si="216"/>
        <v>--</v>
      </c>
      <c r="U146" s="157">
        <f t="shared" si="217"/>
        <v>892.78270400799477</v>
      </c>
      <c r="V146" s="200">
        <f t="shared" si="218"/>
        <v>36.843107700838594</v>
      </c>
      <c r="W146" s="186">
        <f t="shared" si="219"/>
        <v>0.05</v>
      </c>
      <c r="X146" s="596" t="str">
        <f t="shared" si="220"/>
        <v>--</v>
      </c>
      <c r="Y146" s="187" t="str">
        <f t="shared" si="221"/>
        <v>OEHHA PHG</v>
      </c>
      <c r="Z146" s="567">
        <f t="shared" si="222"/>
        <v>0.5</v>
      </c>
      <c r="AA146" s="568" t="str">
        <f t="shared" si="223"/>
        <v>MCL (Primary)</v>
      </c>
      <c r="AB146" s="122">
        <f t="shared" si="277"/>
        <v>0.5</v>
      </c>
      <c r="AC146" s="121" t="str">
        <f t="shared" si="278"/>
        <v>--</v>
      </c>
      <c r="AD146" s="121">
        <f t="shared" si="279"/>
        <v>0.05</v>
      </c>
      <c r="AE146" s="121" t="str">
        <f t="shared" si="280"/>
        <v>Cancer</v>
      </c>
      <c r="AF146" s="121" t="str">
        <f t="shared" si="281"/>
        <v>--</v>
      </c>
      <c r="AG146" s="121" t="str">
        <f t="shared" si="282"/>
        <v>--</v>
      </c>
      <c r="AH146" s="119" t="str">
        <f t="shared" si="283"/>
        <v>V</v>
      </c>
      <c r="AI146" s="119" t="str">
        <f t="shared" si="284"/>
        <v>O</v>
      </c>
      <c r="AJ146" s="120" t="str">
        <f t="shared" si="285"/>
        <v>Yes</v>
      </c>
      <c r="AK146" s="129">
        <f t="shared" si="274"/>
        <v>1</v>
      </c>
      <c r="AL146" s="119">
        <f t="shared" si="286"/>
        <v>2.548045653103E-2</v>
      </c>
      <c r="AM146" s="119">
        <f t="shared" si="287"/>
        <v>0.23541988846799999</v>
      </c>
      <c r="AN146" s="119">
        <f t="shared" si="288"/>
        <v>0.56500773232319002</v>
      </c>
      <c r="AO146" s="119">
        <f t="shared" si="289"/>
        <v>8.3800000000000003E-3</v>
      </c>
      <c r="AP146" s="119" t="str">
        <f t="shared" si="290"/>
        <v>Yes</v>
      </c>
      <c r="AQ146" s="119">
        <f t="shared" si="268"/>
        <v>0.72</v>
      </c>
      <c r="AR146" s="119">
        <f t="shared" si="269"/>
        <v>7.7999999999999999E-5</v>
      </c>
      <c r="AS146" s="119">
        <f t="shared" si="270"/>
        <v>3.0000000000000001E-3</v>
      </c>
      <c r="AT146" s="119">
        <f t="shared" si="271"/>
        <v>51</v>
      </c>
      <c r="AU146" s="119">
        <f t="shared" si="272"/>
        <v>1</v>
      </c>
      <c r="AV146" s="344">
        <f>TR/((AQ146/AU146*DFWadj/365/LT/1000)+(AQ146/AU146*SAwc/BWc/1000))</f>
        <v>2.6379084060384248E-6</v>
      </c>
      <c r="AW146" s="555">
        <f t="shared" si="224"/>
        <v>4.3319945689843429E-6</v>
      </c>
      <c r="AX146" s="124">
        <f t="shared" si="225"/>
        <v>7.372909886656941E-3</v>
      </c>
    </row>
    <row r="147" spans="1:118" ht="13.5" customHeight="1">
      <c r="A147" s="153" t="s">
        <v>343</v>
      </c>
      <c r="B147" s="185" t="s">
        <v>344</v>
      </c>
      <c r="C147" s="566">
        <f t="shared" si="275"/>
        <v>1750</v>
      </c>
      <c r="D147" s="586" t="str">
        <f t="shared" si="276"/>
        <v>MCL (Primary)</v>
      </c>
      <c r="E147" s="182" t="str">
        <f t="shared" si="202"/>
        <v>--</v>
      </c>
      <c r="F147" s="609" t="str">
        <f t="shared" si="203"/>
        <v>--</v>
      </c>
      <c r="G147" s="182">
        <f t="shared" si="204"/>
        <v>193.17392261341371</v>
      </c>
      <c r="H147" s="183" t="str">
        <f t="shared" si="205"/>
        <v>Tapwater</v>
      </c>
      <c r="I147" s="188" t="str">
        <f t="shared" si="206"/>
        <v>--</v>
      </c>
      <c r="J147" s="157" t="str">
        <f t="shared" si="207"/>
        <v>--</v>
      </c>
      <c r="K147" s="190" t="str">
        <f t="shared" si="208"/>
        <v>--</v>
      </c>
      <c r="L147" s="157" t="str">
        <f t="shared" si="209"/>
        <v>--</v>
      </c>
      <c r="M147" s="192" t="str">
        <f t="shared" si="210"/>
        <v>--</v>
      </c>
      <c r="N147" s="190" t="str">
        <f t="shared" si="211"/>
        <v>--</v>
      </c>
      <c r="O147" s="198" t="str">
        <f t="shared" si="212"/>
        <v>--</v>
      </c>
      <c r="P147" s="162">
        <f t="shared" si="213"/>
        <v>4010.9890109890111</v>
      </c>
      <c r="Q147" s="157">
        <f t="shared" si="214"/>
        <v>208.57142857142858</v>
      </c>
      <c r="R147" s="157" t="str">
        <f t="shared" si="215"/>
        <v>--</v>
      </c>
      <c r="S147" s="157">
        <f t="shared" si="273"/>
        <v>7527.4819581787169</v>
      </c>
      <c r="T147" s="157" t="str">
        <f t="shared" si="216"/>
        <v>--</v>
      </c>
      <c r="U147" s="157">
        <f t="shared" si="217"/>
        <v>7527.4819581787169</v>
      </c>
      <c r="V147" s="200">
        <f t="shared" si="218"/>
        <v>193.17392261341371</v>
      </c>
      <c r="W147" s="186" t="str">
        <f t="shared" si="219"/>
        <v>--</v>
      </c>
      <c r="X147" s="596">
        <f t="shared" si="220"/>
        <v>1800</v>
      </c>
      <c r="Y147" s="187" t="str">
        <f t="shared" si="221"/>
        <v>OEHHA PHG</v>
      </c>
      <c r="Z147" s="567">
        <f t="shared" si="222"/>
        <v>1750</v>
      </c>
      <c r="AA147" s="568" t="str">
        <f t="shared" si="223"/>
        <v>MCL (Primary)</v>
      </c>
      <c r="AB147" s="122">
        <f t="shared" si="277"/>
        <v>1750</v>
      </c>
      <c r="AC147" s="121" t="str">
        <f t="shared" si="278"/>
        <v>--</v>
      </c>
      <c r="AD147" s="121">
        <f t="shared" si="279"/>
        <v>1800</v>
      </c>
      <c r="AE147" s="121" t="str">
        <f t="shared" si="280"/>
        <v>Noncancer</v>
      </c>
      <c r="AF147" s="121" t="str">
        <f t="shared" si="281"/>
        <v>--</v>
      </c>
      <c r="AG147" s="121" t="str">
        <f t="shared" si="282"/>
        <v>--</v>
      </c>
      <c r="AH147" s="119" t="str">
        <f t="shared" si="283"/>
        <v>V</v>
      </c>
      <c r="AI147" s="119" t="str">
        <f t="shared" si="284"/>
        <v>O</v>
      </c>
      <c r="AJ147" s="120" t="str">
        <f t="shared" si="285"/>
        <v>--</v>
      </c>
      <c r="AK147" s="129">
        <f t="shared" si="274"/>
        <v>1</v>
      </c>
      <c r="AL147" s="119">
        <f t="shared" si="286"/>
        <v>0.19815159160208001</v>
      </c>
      <c r="AM147" s="119">
        <f t="shared" si="287"/>
        <v>0.41342882164758998</v>
      </c>
      <c r="AN147" s="119">
        <f t="shared" si="288"/>
        <v>0.99222917195421001</v>
      </c>
      <c r="AO147" s="119">
        <f t="shared" si="289"/>
        <v>0.05</v>
      </c>
      <c r="AP147" s="119" t="str">
        <f t="shared" si="290"/>
        <v>Yes</v>
      </c>
      <c r="AQ147" s="119" t="str">
        <f t="shared" si="268"/>
        <v>--</v>
      </c>
      <c r="AR147" s="119" t="str">
        <f t="shared" si="269"/>
        <v>--</v>
      </c>
      <c r="AS147" s="119">
        <f t="shared" si="270"/>
        <v>0.2</v>
      </c>
      <c r="AT147" s="119">
        <f t="shared" si="271"/>
        <v>100</v>
      </c>
      <c r="AU147" s="119">
        <f t="shared" si="272"/>
        <v>1</v>
      </c>
      <c r="AV147" s="119" t="str">
        <f t="shared" si="226"/>
        <v>--</v>
      </c>
      <c r="AW147" s="555" t="str">
        <f t="shared" si="224"/>
        <v>--</v>
      </c>
      <c r="AX147" s="124">
        <f t="shared" si="225"/>
        <v>0.49152732577712938</v>
      </c>
    </row>
    <row r="148" spans="1:118" ht="13.5" customHeight="1" thickBot="1">
      <c r="A148" s="153" t="s">
        <v>345</v>
      </c>
      <c r="B148" s="185" t="s">
        <v>346</v>
      </c>
      <c r="C148" s="566">
        <f t="shared" si="275"/>
        <v>5000</v>
      </c>
      <c r="D148" s="586" t="str">
        <f t="shared" si="276"/>
        <v>MCL (Secondary)</v>
      </c>
      <c r="E148" s="182" t="str">
        <f t="shared" si="202"/>
        <v>--</v>
      </c>
      <c r="F148" s="609" t="str">
        <f t="shared" si="203"/>
        <v>--</v>
      </c>
      <c r="G148" s="182">
        <f t="shared" si="204"/>
        <v>6000.6183431702011</v>
      </c>
      <c r="H148" s="183" t="str">
        <f t="shared" si="205"/>
        <v>Tapwater</v>
      </c>
      <c r="I148" s="188" t="str">
        <f t="shared" si="206"/>
        <v>--</v>
      </c>
      <c r="J148" s="157" t="str">
        <f t="shared" si="207"/>
        <v>--</v>
      </c>
      <c r="K148" s="190" t="str">
        <f t="shared" si="208"/>
        <v>--</v>
      </c>
      <c r="L148" s="157" t="str">
        <f t="shared" si="209"/>
        <v>--</v>
      </c>
      <c r="M148" s="192" t="str">
        <f t="shared" si="210"/>
        <v>--</v>
      </c>
      <c r="N148" s="190" t="str">
        <f t="shared" si="211"/>
        <v>--</v>
      </c>
      <c r="O148" s="198" t="str">
        <f t="shared" si="212"/>
        <v>--</v>
      </c>
      <c r="P148" s="162">
        <f t="shared" si="213"/>
        <v>6016.4835164835167</v>
      </c>
      <c r="Q148" s="157" t="str">
        <f t="shared" si="214"/>
        <v>--</v>
      </c>
      <c r="R148" s="157">
        <f t="shared" si="215"/>
        <v>2275589.4711904135</v>
      </c>
      <c r="S148" s="157" t="str">
        <f t="shared" si="273"/>
        <v>--</v>
      </c>
      <c r="T148" s="157" t="str">
        <f t="shared" si="216"/>
        <v>--</v>
      </c>
      <c r="U148" s="157">
        <f t="shared" si="217"/>
        <v>2275589.4711904135</v>
      </c>
      <c r="V148" s="200">
        <f t="shared" si="218"/>
        <v>6000.6183431702011</v>
      </c>
      <c r="W148" s="186" t="str">
        <f t="shared" si="219"/>
        <v>--</v>
      </c>
      <c r="X148" s="596" t="str">
        <f t="shared" si="220"/>
        <v>--</v>
      </c>
      <c r="Y148" s="187" t="str">
        <f t="shared" si="221"/>
        <v>--</v>
      </c>
      <c r="Z148" s="567">
        <f t="shared" si="222"/>
        <v>5000</v>
      </c>
      <c r="AA148" s="568" t="str">
        <f t="shared" si="223"/>
        <v>MCL (Secondary)</v>
      </c>
      <c r="AB148" s="122" t="str">
        <f t="shared" si="277"/>
        <v>--</v>
      </c>
      <c r="AC148" s="121">
        <f t="shared" si="278"/>
        <v>5000</v>
      </c>
      <c r="AD148" s="121" t="str">
        <f t="shared" si="279"/>
        <v>--</v>
      </c>
      <c r="AE148" s="121" t="str">
        <f t="shared" si="280"/>
        <v>--</v>
      </c>
      <c r="AF148" s="121" t="str">
        <f t="shared" si="281"/>
        <v>--</v>
      </c>
      <c r="AG148" s="121" t="str">
        <f t="shared" si="282"/>
        <v>--</v>
      </c>
      <c r="AH148" s="119" t="str">
        <f t="shared" si="283"/>
        <v>NV</v>
      </c>
      <c r="AI148" s="119" t="str">
        <f t="shared" si="284"/>
        <v>I</v>
      </c>
      <c r="AJ148" s="120" t="str">
        <f t="shared" si="285"/>
        <v>--</v>
      </c>
      <c r="AK148" s="129">
        <f t="shared" si="274"/>
        <v>1</v>
      </c>
      <c r="AL148" s="119">
        <f t="shared" si="286"/>
        <v>1.8658088336000001E-3</v>
      </c>
      <c r="AM148" s="119">
        <f t="shared" si="287"/>
        <v>0.24429847143290001</v>
      </c>
      <c r="AN148" s="119">
        <f t="shared" si="288"/>
        <v>0.58631633143895001</v>
      </c>
      <c r="AO148" s="119">
        <f t="shared" si="289"/>
        <v>5.9999999999999995E-4</v>
      </c>
      <c r="AP148" s="119" t="str">
        <f t="shared" si="290"/>
        <v>Yes</v>
      </c>
      <c r="AQ148" s="119" t="str">
        <f t="shared" si="268"/>
        <v>--</v>
      </c>
      <c r="AR148" s="119" t="str">
        <f t="shared" si="269"/>
        <v>--</v>
      </c>
      <c r="AS148" s="119">
        <f t="shared" si="270"/>
        <v>0.3</v>
      </c>
      <c r="AT148" s="119" t="str">
        <f t="shared" si="271"/>
        <v>--</v>
      </c>
      <c r="AU148" s="119">
        <f t="shared" si="272"/>
        <v>1</v>
      </c>
      <c r="AV148" s="119" t="str">
        <f t="shared" si="226"/>
        <v>--</v>
      </c>
      <c r="AW148" s="555" t="str">
        <f t="shared" si="224"/>
        <v>--</v>
      </c>
      <c r="AX148" s="124">
        <f t="shared" si="225"/>
        <v>0.73729098866569409</v>
      </c>
    </row>
    <row r="149" spans="1:118" s="37" customFormat="1" ht="12" thickTop="1">
      <c r="A149" s="1134" t="s">
        <v>347</v>
      </c>
      <c r="B149" s="1135"/>
      <c r="C149" s="1135"/>
      <c r="D149" s="1135"/>
      <c r="E149" s="1135"/>
      <c r="F149" s="1135"/>
      <c r="G149" s="1135"/>
      <c r="H149" s="1135"/>
      <c r="I149" s="1135"/>
      <c r="J149" s="1135"/>
      <c r="K149" s="1135"/>
      <c r="L149" s="1136"/>
      <c r="M149" s="1135"/>
      <c r="N149" s="1135"/>
      <c r="O149" s="1135"/>
      <c r="P149" s="1135"/>
      <c r="Q149" s="1135"/>
      <c r="R149" s="1135"/>
      <c r="S149" s="1135"/>
      <c r="T149" s="1135"/>
      <c r="U149" s="1135"/>
      <c r="V149" s="1135"/>
      <c r="W149" s="1135"/>
      <c r="X149" s="1135"/>
      <c r="Y149" s="1135"/>
      <c r="Z149" s="1135"/>
      <c r="AA149" s="1224"/>
      <c r="AB149" s="1135"/>
      <c r="AC149" s="1135"/>
      <c r="AD149" s="1135"/>
      <c r="AE149" s="1135"/>
      <c r="AF149" s="1135"/>
      <c r="AG149" s="696"/>
      <c r="AH149" s="696"/>
      <c r="AI149" s="697"/>
      <c r="AJ149" s="697"/>
      <c r="AK149" s="696"/>
      <c r="AL149" s="696"/>
      <c r="AM149" s="696"/>
      <c r="AN149" s="696"/>
      <c r="AO149" s="696"/>
      <c r="AP149" s="696"/>
      <c r="AQ149" s="696"/>
      <c r="AR149" s="696"/>
      <c r="AS149" s="696"/>
      <c r="AT149" s="696"/>
      <c r="AU149" s="696"/>
      <c r="AV149" s="696"/>
      <c r="AW149" s="696"/>
      <c r="AX149" s="698"/>
      <c r="AY149" s="1405"/>
      <c r="AZ149" s="1405"/>
      <c r="BA149" s="1405"/>
      <c r="BB149" s="1405"/>
      <c r="BC149" s="1405"/>
      <c r="BD149" s="1405"/>
      <c r="BE149" s="1405"/>
      <c r="BF149" s="1405"/>
      <c r="BG149" s="1405"/>
      <c r="BH149" s="1405"/>
      <c r="BI149" s="1405"/>
      <c r="BJ149" s="1405"/>
      <c r="BK149" s="1405"/>
      <c r="BL149" s="1405"/>
      <c r="BM149" s="1405"/>
      <c r="BN149" s="1405"/>
      <c r="BO149" s="1405"/>
      <c r="BP149" s="1405"/>
      <c r="BQ149" s="1405"/>
      <c r="BR149" s="1405"/>
      <c r="BS149" s="1405"/>
      <c r="BT149" s="1405"/>
      <c r="BU149" s="1405"/>
      <c r="BV149" s="1405"/>
      <c r="BW149" s="1405"/>
      <c r="BX149" s="1405"/>
      <c r="BY149" s="1405"/>
      <c r="BZ149" s="1405"/>
      <c r="CA149" s="1405"/>
      <c r="CB149" s="1405"/>
      <c r="CC149" s="1405"/>
      <c r="CD149" s="1405"/>
      <c r="CE149" s="1405"/>
      <c r="CF149" s="1405"/>
      <c r="CG149" s="1405"/>
      <c r="CH149" s="1405"/>
      <c r="CI149" s="1405"/>
      <c r="CJ149" s="1405"/>
      <c r="CK149" s="1405"/>
      <c r="CL149" s="1405"/>
      <c r="CM149" s="1405"/>
      <c r="CN149" s="1405"/>
      <c r="CO149" s="1405"/>
      <c r="CP149" s="1405"/>
      <c r="CQ149" s="1405"/>
      <c r="CR149" s="1405"/>
      <c r="CS149" s="1405"/>
      <c r="CT149" s="1405"/>
      <c r="CU149" s="1405"/>
      <c r="CV149" s="1405"/>
      <c r="CW149" s="1405"/>
      <c r="CX149" s="1405"/>
      <c r="CY149" s="1405"/>
      <c r="CZ149" s="1405"/>
      <c r="DA149" s="1405"/>
      <c r="DB149" s="1405"/>
      <c r="DC149" s="1405"/>
      <c r="DD149" s="1405"/>
      <c r="DE149" s="1405"/>
      <c r="DF149" s="1405"/>
      <c r="DG149" s="1405"/>
      <c r="DH149" s="1405"/>
      <c r="DI149" s="1405"/>
      <c r="DJ149" s="1405"/>
      <c r="DK149" s="1405"/>
      <c r="DL149" s="1405"/>
      <c r="DM149" s="1405"/>
      <c r="DN149" s="1405"/>
    </row>
    <row r="150" spans="1:118" s="55" customFormat="1">
      <c r="A150" s="261" t="s">
        <v>4287</v>
      </c>
      <c r="E150" s="137"/>
      <c r="F150" s="137"/>
      <c r="G150" s="137"/>
      <c r="H150" s="96"/>
      <c r="I150" s="138"/>
      <c r="J150" s="1"/>
      <c r="K150" s="607"/>
      <c r="L150" s="607"/>
      <c r="M150" s="607"/>
      <c r="N150" s="607"/>
      <c r="O150" s="607"/>
      <c r="P150" s="607"/>
      <c r="Q150" s="607"/>
      <c r="R150" s="607"/>
      <c r="S150" s="607"/>
      <c r="T150" s="607"/>
      <c r="AA150" s="608"/>
      <c r="AB150" s="1"/>
      <c r="AC150" s="1"/>
      <c r="AX150" s="608"/>
      <c r="AY150" s="821"/>
      <c r="AZ150" s="821"/>
      <c r="BA150" s="821"/>
      <c r="BB150" s="821"/>
      <c r="BC150" s="821"/>
      <c r="BD150" s="821"/>
      <c r="BE150" s="821"/>
      <c r="BF150" s="821"/>
      <c r="BG150" s="821"/>
      <c r="BH150" s="821"/>
      <c r="BI150" s="821"/>
      <c r="BJ150" s="821"/>
      <c r="BK150" s="821"/>
      <c r="BL150" s="821"/>
      <c r="BM150" s="821"/>
      <c r="BN150" s="821"/>
      <c r="BO150" s="821"/>
      <c r="BP150" s="821"/>
      <c r="BQ150" s="821"/>
      <c r="BR150" s="821"/>
      <c r="BS150" s="821"/>
      <c r="BT150" s="821"/>
      <c r="BU150" s="821"/>
      <c r="BV150" s="821"/>
      <c r="BW150" s="821"/>
      <c r="BX150" s="821"/>
      <c r="BY150" s="821"/>
      <c r="BZ150" s="821"/>
      <c r="CA150" s="821"/>
      <c r="CB150" s="821"/>
      <c r="CC150" s="821"/>
      <c r="CD150" s="821"/>
      <c r="CE150" s="821"/>
      <c r="CF150" s="821"/>
      <c r="CG150" s="821"/>
      <c r="CH150" s="821"/>
      <c r="CI150" s="821"/>
      <c r="CJ150" s="821"/>
      <c r="CK150" s="821"/>
      <c r="CL150" s="821"/>
      <c r="CM150" s="821"/>
      <c r="CN150" s="821"/>
      <c r="CO150" s="821"/>
      <c r="CP150" s="821"/>
      <c r="CQ150" s="821"/>
      <c r="CR150" s="821"/>
      <c r="CS150" s="821"/>
      <c r="CT150" s="821"/>
      <c r="CU150" s="821"/>
      <c r="CV150" s="821"/>
      <c r="CW150" s="821"/>
      <c r="CX150" s="821"/>
      <c r="CY150" s="821"/>
      <c r="CZ150" s="821"/>
      <c r="DA150" s="821"/>
      <c r="DB150" s="821"/>
      <c r="DC150" s="821"/>
      <c r="DD150" s="821"/>
      <c r="DE150" s="821"/>
      <c r="DF150" s="821"/>
      <c r="DG150" s="821"/>
      <c r="DH150" s="821"/>
      <c r="DI150" s="821"/>
      <c r="DJ150" s="821"/>
      <c r="DK150" s="821"/>
      <c r="DL150" s="821"/>
      <c r="DM150" s="821"/>
      <c r="DN150" s="821"/>
    </row>
    <row r="151" spans="1:118" s="55" customFormat="1">
      <c r="A151" s="261" t="s">
        <v>724</v>
      </c>
      <c r="E151" s="137"/>
      <c r="F151" s="137"/>
      <c r="G151" s="137"/>
      <c r="H151" s="96"/>
      <c r="I151" s="138"/>
      <c r="J151" s="1"/>
      <c r="K151" s="607"/>
      <c r="L151" s="607"/>
      <c r="M151" s="607"/>
      <c r="N151" s="607"/>
      <c r="O151" s="607"/>
      <c r="P151" s="607"/>
      <c r="Q151" s="607"/>
      <c r="R151" s="607"/>
      <c r="S151" s="607"/>
      <c r="T151" s="607"/>
      <c r="AA151" s="608"/>
      <c r="AB151" s="1"/>
      <c r="AC151" s="1"/>
      <c r="AX151" s="608"/>
      <c r="AY151" s="821"/>
      <c r="AZ151" s="821"/>
      <c r="BA151" s="821"/>
      <c r="BB151" s="821"/>
      <c r="BC151" s="821"/>
      <c r="BD151" s="821"/>
      <c r="BE151" s="821"/>
      <c r="BF151" s="821"/>
      <c r="BG151" s="821"/>
      <c r="BH151" s="821"/>
      <c r="BI151" s="821"/>
      <c r="BJ151" s="821"/>
      <c r="BK151" s="821"/>
      <c r="BL151" s="821"/>
      <c r="BM151" s="821"/>
      <c r="BN151" s="821"/>
      <c r="BO151" s="821"/>
      <c r="BP151" s="821"/>
      <c r="BQ151" s="821"/>
      <c r="BR151" s="821"/>
      <c r="BS151" s="821"/>
      <c r="BT151" s="821"/>
      <c r="BU151" s="821"/>
      <c r="BV151" s="821"/>
      <c r="BW151" s="821"/>
      <c r="BX151" s="821"/>
      <c r="BY151" s="821"/>
      <c r="BZ151" s="821"/>
      <c r="CA151" s="821"/>
      <c r="CB151" s="821"/>
      <c r="CC151" s="821"/>
      <c r="CD151" s="821"/>
      <c r="CE151" s="821"/>
      <c r="CF151" s="821"/>
      <c r="CG151" s="821"/>
      <c r="CH151" s="821"/>
      <c r="CI151" s="821"/>
      <c r="CJ151" s="821"/>
      <c r="CK151" s="821"/>
      <c r="CL151" s="821"/>
      <c r="CM151" s="821"/>
      <c r="CN151" s="821"/>
      <c r="CO151" s="821"/>
      <c r="CP151" s="821"/>
      <c r="CQ151" s="821"/>
      <c r="CR151" s="821"/>
      <c r="CS151" s="821"/>
      <c r="CT151" s="821"/>
      <c r="CU151" s="821"/>
      <c r="CV151" s="821"/>
      <c r="CW151" s="821"/>
      <c r="CX151" s="821"/>
      <c r="CY151" s="821"/>
      <c r="CZ151" s="821"/>
      <c r="DA151" s="821"/>
      <c r="DB151" s="821"/>
      <c r="DC151" s="821"/>
      <c r="DD151" s="821"/>
      <c r="DE151" s="821"/>
      <c r="DF151" s="821"/>
      <c r="DG151" s="821"/>
      <c r="DH151" s="821"/>
      <c r="DI151" s="821"/>
      <c r="DJ151" s="821"/>
      <c r="DK151" s="821"/>
      <c r="DL151" s="821"/>
      <c r="DM151" s="821"/>
      <c r="DN151" s="821"/>
    </row>
    <row r="152" spans="1:118" ht="11.25">
      <c r="A152" s="1238" t="s">
        <v>4289</v>
      </c>
      <c r="B152" s="1239"/>
      <c r="C152" s="1239"/>
      <c r="D152" s="1239"/>
      <c r="E152" s="1240"/>
      <c r="F152" s="1240"/>
      <c r="G152" s="1241"/>
      <c r="H152" s="1242"/>
      <c r="I152" s="1241"/>
      <c r="J152" s="1102"/>
      <c r="K152" s="1243"/>
      <c r="L152" s="1243"/>
      <c r="M152" s="1243"/>
      <c r="N152" s="1243"/>
      <c r="O152" s="1243"/>
      <c r="P152" s="1243"/>
      <c r="Q152" s="1243"/>
      <c r="R152" s="1243"/>
      <c r="S152" s="1243"/>
      <c r="T152" s="1243"/>
      <c r="U152" s="1102"/>
      <c r="V152" s="1102"/>
      <c r="W152" s="1102"/>
      <c r="X152" s="1102"/>
      <c r="Y152" s="1102"/>
      <c r="Z152" s="1102"/>
      <c r="AA152" s="1103"/>
      <c r="AB152" s="1"/>
      <c r="AC152" s="1"/>
      <c r="AD152" s="1"/>
      <c r="AE152" s="1"/>
      <c r="AF152" s="1"/>
      <c r="AG152" s="1"/>
      <c r="AK152" s="1"/>
      <c r="AQ152" s="1"/>
      <c r="AR152" s="1"/>
      <c r="AS152" s="1"/>
      <c r="AT152" s="1"/>
      <c r="AU152" s="1"/>
      <c r="AX152" s="1148"/>
    </row>
    <row r="153" spans="1:118" s="55" customFormat="1" ht="12.75" customHeight="1">
      <c r="A153" s="1244" t="s">
        <v>4288</v>
      </c>
      <c r="B153" s="1245"/>
      <c r="C153" s="1245"/>
      <c r="D153" s="1245"/>
      <c r="E153" s="1246"/>
      <c r="F153" s="1246"/>
      <c r="G153" s="1246"/>
      <c r="H153" s="1247"/>
      <c r="I153" s="1241"/>
      <c r="J153" s="1102"/>
      <c r="K153" s="1248"/>
      <c r="L153" s="1248"/>
      <c r="M153" s="1248"/>
      <c r="N153" s="1248"/>
      <c r="O153" s="1248"/>
      <c r="P153" s="1248"/>
      <c r="Q153" s="1248"/>
      <c r="R153" s="1248"/>
      <c r="S153" s="1248"/>
      <c r="T153" s="1248"/>
      <c r="U153" s="1245"/>
      <c r="V153" s="1245"/>
      <c r="W153" s="1245"/>
      <c r="X153" s="1245"/>
      <c r="Y153" s="1245"/>
      <c r="Z153" s="1245"/>
      <c r="AA153" s="1249"/>
      <c r="AB153" s="1"/>
      <c r="AC153" s="1"/>
      <c r="AX153" s="608"/>
      <c r="AY153" s="821"/>
      <c r="AZ153" s="821"/>
      <c r="BA153" s="821"/>
      <c r="BB153" s="821"/>
      <c r="BC153" s="821"/>
      <c r="BD153" s="821"/>
      <c r="BE153" s="821"/>
      <c r="BF153" s="821"/>
      <c r="BG153" s="821"/>
      <c r="BH153" s="821"/>
      <c r="BI153" s="821"/>
      <c r="BJ153" s="821"/>
      <c r="BK153" s="821"/>
      <c r="BL153" s="821"/>
      <c r="BM153" s="821"/>
      <c r="BN153" s="821"/>
      <c r="BO153" s="821"/>
      <c r="BP153" s="821"/>
      <c r="BQ153" s="821"/>
      <c r="BR153" s="821"/>
      <c r="BS153" s="821"/>
      <c r="BT153" s="821"/>
      <c r="BU153" s="821"/>
      <c r="BV153" s="821"/>
      <c r="BW153" s="821"/>
      <c r="BX153" s="821"/>
      <c r="BY153" s="821"/>
      <c r="BZ153" s="821"/>
      <c r="CA153" s="821"/>
      <c r="CB153" s="821"/>
      <c r="CC153" s="821"/>
      <c r="CD153" s="821"/>
      <c r="CE153" s="821"/>
      <c r="CF153" s="821"/>
      <c r="CG153" s="821"/>
      <c r="CH153" s="821"/>
      <c r="CI153" s="821"/>
      <c r="CJ153" s="821"/>
      <c r="CK153" s="821"/>
      <c r="CL153" s="821"/>
      <c r="CM153" s="821"/>
      <c r="CN153" s="821"/>
      <c r="CO153" s="821"/>
      <c r="CP153" s="821"/>
      <c r="CQ153" s="821"/>
      <c r="CR153" s="821"/>
      <c r="CS153" s="821"/>
      <c r="CT153" s="821"/>
      <c r="CU153" s="821"/>
      <c r="CV153" s="821"/>
      <c r="CW153" s="821"/>
      <c r="CX153" s="821"/>
      <c r="CY153" s="821"/>
      <c r="CZ153" s="821"/>
      <c r="DA153" s="821"/>
      <c r="DB153" s="821"/>
      <c r="DC153" s="821"/>
      <c r="DD153" s="821"/>
      <c r="DE153" s="821"/>
      <c r="DF153" s="821"/>
      <c r="DG153" s="821"/>
      <c r="DH153" s="821"/>
      <c r="DI153" s="821"/>
      <c r="DJ153" s="821"/>
      <c r="DK153" s="821"/>
      <c r="DL153" s="821"/>
      <c r="DM153" s="821"/>
      <c r="DN153" s="821"/>
    </row>
    <row r="154" spans="1:118" s="55" customFormat="1">
      <c r="A154" s="1244" t="s">
        <v>725</v>
      </c>
      <c r="B154" s="2078"/>
      <c r="C154" s="2078"/>
      <c r="D154" s="2078"/>
      <c r="E154" s="2078"/>
      <c r="F154" s="2078"/>
      <c r="G154" s="2078"/>
      <c r="H154" s="2078"/>
      <c r="I154" s="2078"/>
      <c r="J154" s="2078"/>
      <c r="K154" s="2078"/>
      <c r="L154" s="2078"/>
      <c r="M154" s="2078"/>
      <c r="N154" s="2078"/>
      <c r="O154" s="2078"/>
      <c r="P154" s="2078"/>
      <c r="Q154" s="2078"/>
      <c r="R154" s="2078"/>
      <c r="S154" s="2078"/>
      <c r="T154" s="2078"/>
      <c r="U154" s="2078"/>
      <c r="V154" s="2078"/>
      <c r="W154" s="2078"/>
      <c r="X154" s="2078"/>
      <c r="Y154" s="2078"/>
      <c r="Z154" s="2078"/>
      <c r="AA154" s="2079"/>
      <c r="AB154" s="1"/>
      <c r="AC154" s="1"/>
      <c r="AX154" s="608"/>
      <c r="AY154" s="821"/>
      <c r="AZ154" s="821"/>
      <c r="BA154" s="821"/>
      <c r="BB154" s="821"/>
      <c r="BC154" s="821"/>
      <c r="BD154" s="821"/>
      <c r="BE154" s="821"/>
      <c r="BF154" s="821"/>
      <c r="BG154" s="821"/>
      <c r="BH154" s="821"/>
      <c r="BI154" s="821"/>
      <c r="BJ154" s="821"/>
      <c r="BK154" s="821"/>
      <c r="BL154" s="821"/>
      <c r="BM154" s="821"/>
      <c r="BN154" s="821"/>
      <c r="BO154" s="821"/>
      <c r="BP154" s="821"/>
      <c r="BQ154" s="821"/>
      <c r="BR154" s="821"/>
      <c r="BS154" s="821"/>
      <c r="BT154" s="821"/>
      <c r="BU154" s="821"/>
      <c r="BV154" s="821"/>
      <c r="BW154" s="821"/>
      <c r="BX154" s="821"/>
      <c r="BY154" s="821"/>
      <c r="BZ154" s="821"/>
      <c r="CA154" s="821"/>
      <c r="CB154" s="821"/>
      <c r="CC154" s="821"/>
      <c r="CD154" s="821"/>
      <c r="CE154" s="821"/>
      <c r="CF154" s="821"/>
      <c r="CG154" s="821"/>
      <c r="CH154" s="821"/>
      <c r="CI154" s="821"/>
      <c r="CJ154" s="821"/>
      <c r="CK154" s="821"/>
      <c r="CL154" s="821"/>
      <c r="CM154" s="821"/>
      <c r="CN154" s="821"/>
      <c r="CO154" s="821"/>
      <c r="CP154" s="821"/>
      <c r="CQ154" s="821"/>
      <c r="CR154" s="821"/>
      <c r="CS154" s="821"/>
      <c r="CT154" s="821"/>
      <c r="CU154" s="821"/>
      <c r="CV154" s="821"/>
      <c r="CW154" s="821"/>
      <c r="CX154" s="821"/>
      <c r="CY154" s="821"/>
      <c r="CZ154" s="821"/>
      <c r="DA154" s="821"/>
      <c r="DB154" s="821"/>
      <c r="DC154" s="821"/>
      <c r="DD154" s="821"/>
      <c r="DE154" s="821"/>
      <c r="DF154" s="821"/>
      <c r="DG154" s="821"/>
      <c r="DH154" s="821"/>
      <c r="DI154" s="821"/>
      <c r="DJ154" s="821"/>
      <c r="DK154" s="821"/>
      <c r="DL154" s="821"/>
      <c r="DM154" s="821"/>
      <c r="DN154" s="821"/>
    </row>
    <row r="155" spans="1:118" s="55" customFormat="1" ht="12.75" customHeight="1">
      <c r="A155" s="1238" t="s">
        <v>4261</v>
      </c>
      <c r="B155" s="2078"/>
      <c r="C155" s="2078"/>
      <c r="D155" s="2078"/>
      <c r="E155" s="2078"/>
      <c r="F155" s="2078"/>
      <c r="G155" s="2078"/>
      <c r="H155" s="2078"/>
      <c r="I155" s="2078"/>
      <c r="J155" s="2078"/>
      <c r="K155" s="2078"/>
      <c r="L155" s="2078"/>
      <c r="M155" s="2078"/>
      <c r="N155" s="2078"/>
      <c r="O155" s="2078"/>
      <c r="P155" s="2078"/>
      <c r="Q155" s="2078"/>
      <c r="R155" s="2078"/>
      <c r="S155" s="2078"/>
      <c r="T155" s="2078"/>
      <c r="U155" s="2078"/>
      <c r="V155" s="2078"/>
      <c r="W155" s="2078"/>
      <c r="X155" s="2078"/>
      <c r="Y155" s="2078"/>
      <c r="Z155" s="2078"/>
      <c r="AA155" s="2079"/>
      <c r="AB155" s="1"/>
      <c r="AC155" s="1"/>
      <c r="AX155" s="608"/>
      <c r="AY155" s="821"/>
      <c r="AZ155" s="821"/>
      <c r="BA155" s="821"/>
      <c r="BB155" s="821"/>
      <c r="BC155" s="821"/>
      <c r="BD155" s="821"/>
      <c r="BE155" s="821"/>
      <c r="BF155" s="821"/>
      <c r="BG155" s="821"/>
      <c r="BH155" s="821"/>
      <c r="BI155" s="821"/>
      <c r="BJ155" s="821"/>
      <c r="BK155" s="821"/>
      <c r="BL155" s="821"/>
      <c r="BM155" s="821"/>
      <c r="BN155" s="821"/>
      <c r="BO155" s="821"/>
      <c r="BP155" s="821"/>
      <c r="BQ155" s="821"/>
      <c r="BR155" s="821"/>
      <c r="BS155" s="821"/>
      <c r="BT155" s="821"/>
      <c r="BU155" s="821"/>
      <c r="BV155" s="821"/>
      <c r="BW155" s="821"/>
      <c r="BX155" s="821"/>
      <c r="BY155" s="821"/>
      <c r="BZ155" s="821"/>
      <c r="CA155" s="821"/>
      <c r="CB155" s="821"/>
      <c r="CC155" s="821"/>
      <c r="CD155" s="821"/>
      <c r="CE155" s="821"/>
      <c r="CF155" s="821"/>
      <c r="CG155" s="821"/>
      <c r="CH155" s="821"/>
      <c r="CI155" s="821"/>
      <c r="CJ155" s="821"/>
      <c r="CK155" s="821"/>
      <c r="CL155" s="821"/>
      <c r="CM155" s="821"/>
      <c r="CN155" s="821"/>
      <c r="CO155" s="821"/>
      <c r="CP155" s="821"/>
      <c r="CQ155" s="821"/>
      <c r="CR155" s="821"/>
      <c r="CS155" s="821"/>
      <c r="CT155" s="821"/>
      <c r="CU155" s="821"/>
      <c r="CV155" s="821"/>
      <c r="CW155" s="821"/>
      <c r="CX155" s="821"/>
      <c r="CY155" s="821"/>
      <c r="CZ155" s="821"/>
      <c r="DA155" s="821"/>
      <c r="DB155" s="821"/>
      <c r="DC155" s="821"/>
      <c r="DD155" s="821"/>
      <c r="DE155" s="821"/>
      <c r="DF155" s="821"/>
      <c r="DG155" s="821"/>
      <c r="DH155" s="821"/>
      <c r="DI155" s="821"/>
      <c r="DJ155" s="821"/>
      <c r="DK155" s="821"/>
      <c r="DL155" s="821"/>
      <c r="DM155" s="821"/>
      <c r="DN155" s="821"/>
    </row>
    <row r="156" spans="1:118" s="55" customFormat="1">
      <c r="A156" s="1244" t="s">
        <v>726</v>
      </c>
      <c r="B156" s="1245"/>
      <c r="C156" s="1245"/>
      <c r="D156" s="1245"/>
      <c r="E156" s="1246"/>
      <c r="F156" s="1246"/>
      <c r="G156" s="1246"/>
      <c r="H156" s="1247"/>
      <c r="I156" s="1241"/>
      <c r="J156" s="1102"/>
      <c r="K156" s="1248"/>
      <c r="L156" s="1248"/>
      <c r="M156" s="1248"/>
      <c r="N156" s="1248"/>
      <c r="O156" s="1248"/>
      <c r="P156" s="1248"/>
      <c r="Q156" s="1248"/>
      <c r="R156" s="1248"/>
      <c r="S156" s="1248"/>
      <c r="T156" s="1248"/>
      <c r="U156" s="1245"/>
      <c r="V156" s="1245"/>
      <c r="W156" s="1245"/>
      <c r="X156" s="1245"/>
      <c r="Y156" s="1245"/>
      <c r="Z156" s="1245"/>
      <c r="AA156" s="1249"/>
      <c r="AB156" s="1"/>
      <c r="AC156" s="1"/>
      <c r="AX156" s="608"/>
      <c r="AY156" s="821"/>
      <c r="AZ156" s="821"/>
      <c r="BA156" s="821"/>
      <c r="BB156" s="821"/>
      <c r="BC156" s="821"/>
      <c r="BD156" s="821"/>
      <c r="BE156" s="821"/>
      <c r="BF156" s="821"/>
      <c r="BG156" s="821"/>
      <c r="BH156" s="821"/>
      <c r="BI156" s="821"/>
      <c r="BJ156" s="821"/>
      <c r="BK156" s="821"/>
      <c r="BL156" s="821"/>
      <c r="BM156" s="821"/>
      <c r="BN156" s="821"/>
      <c r="BO156" s="821"/>
      <c r="BP156" s="821"/>
      <c r="BQ156" s="821"/>
      <c r="BR156" s="821"/>
      <c r="BS156" s="821"/>
      <c r="BT156" s="821"/>
      <c r="BU156" s="821"/>
      <c r="BV156" s="821"/>
      <c r="BW156" s="821"/>
      <c r="BX156" s="821"/>
      <c r="BY156" s="821"/>
      <c r="BZ156" s="821"/>
      <c r="CA156" s="821"/>
      <c r="CB156" s="821"/>
      <c r="CC156" s="821"/>
      <c r="CD156" s="821"/>
      <c r="CE156" s="821"/>
      <c r="CF156" s="821"/>
      <c r="CG156" s="821"/>
      <c r="CH156" s="821"/>
      <c r="CI156" s="821"/>
      <c r="CJ156" s="821"/>
      <c r="CK156" s="821"/>
      <c r="CL156" s="821"/>
      <c r="CM156" s="821"/>
      <c r="CN156" s="821"/>
      <c r="CO156" s="821"/>
      <c r="CP156" s="821"/>
      <c r="CQ156" s="821"/>
      <c r="CR156" s="821"/>
      <c r="CS156" s="821"/>
      <c r="CT156" s="821"/>
      <c r="CU156" s="821"/>
      <c r="CV156" s="821"/>
      <c r="CW156" s="821"/>
      <c r="CX156" s="821"/>
      <c r="CY156" s="821"/>
      <c r="CZ156" s="821"/>
      <c r="DA156" s="821"/>
      <c r="DB156" s="821"/>
      <c r="DC156" s="821"/>
      <c r="DD156" s="821"/>
      <c r="DE156" s="821"/>
      <c r="DF156" s="821"/>
      <c r="DG156" s="821"/>
      <c r="DH156" s="821"/>
      <c r="DI156" s="821"/>
      <c r="DJ156" s="821"/>
      <c r="DK156" s="821"/>
      <c r="DL156" s="821"/>
      <c r="DM156" s="821"/>
      <c r="DN156" s="821"/>
    </row>
    <row r="157" spans="1:118" s="55" customFormat="1">
      <c r="A157" s="1250" t="s">
        <v>727</v>
      </c>
      <c r="B157" s="1245"/>
      <c r="C157" s="1245"/>
      <c r="D157" s="1245"/>
      <c r="E157" s="1246"/>
      <c r="F157" s="1246"/>
      <c r="G157" s="1246"/>
      <c r="H157" s="1247"/>
      <c r="I157" s="1241"/>
      <c r="J157" s="1102"/>
      <c r="K157" s="1248"/>
      <c r="L157" s="1248"/>
      <c r="M157" s="1248"/>
      <c r="N157" s="1248"/>
      <c r="O157" s="1248"/>
      <c r="P157" s="1248"/>
      <c r="Q157" s="1248"/>
      <c r="R157" s="1248"/>
      <c r="S157" s="1248"/>
      <c r="T157" s="1248"/>
      <c r="U157" s="1245"/>
      <c r="V157" s="1245"/>
      <c r="W157" s="1245"/>
      <c r="X157" s="1245"/>
      <c r="Y157" s="1245"/>
      <c r="Z157" s="1245"/>
      <c r="AA157" s="1249"/>
      <c r="AB157" s="1"/>
      <c r="AC157" s="1"/>
      <c r="AX157" s="608"/>
      <c r="AY157" s="821"/>
      <c r="AZ157" s="821"/>
      <c r="BA157" s="821"/>
      <c r="BB157" s="821"/>
      <c r="BC157" s="821"/>
      <c r="BD157" s="821"/>
      <c r="BE157" s="821"/>
      <c r="BF157" s="821"/>
      <c r="BG157" s="821"/>
      <c r="BH157" s="821"/>
      <c r="BI157" s="821"/>
      <c r="BJ157" s="821"/>
      <c r="BK157" s="821"/>
      <c r="BL157" s="821"/>
      <c r="BM157" s="821"/>
      <c r="BN157" s="821"/>
      <c r="BO157" s="821"/>
      <c r="BP157" s="821"/>
      <c r="BQ157" s="821"/>
      <c r="BR157" s="821"/>
      <c r="BS157" s="821"/>
      <c r="BT157" s="821"/>
      <c r="BU157" s="821"/>
      <c r="BV157" s="821"/>
      <c r="BW157" s="821"/>
      <c r="BX157" s="821"/>
      <c r="BY157" s="821"/>
      <c r="BZ157" s="821"/>
      <c r="CA157" s="821"/>
      <c r="CB157" s="821"/>
      <c r="CC157" s="821"/>
      <c r="CD157" s="821"/>
      <c r="CE157" s="821"/>
      <c r="CF157" s="821"/>
      <c r="CG157" s="821"/>
      <c r="CH157" s="821"/>
      <c r="CI157" s="821"/>
      <c r="CJ157" s="821"/>
      <c r="CK157" s="821"/>
      <c r="CL157" s="821"/>
      <c r="CM157" s="821"/>
      <c r="CN157" s="821"/>
      <c r="CO157" s="821"/>
      <c r="CP157" s="821"/>
      <c r="CQ157" s="821"/>
      <c r="CR157" s="821"/>
      <c r="CS157" s="821"/>
      <c r="CT157" s="821"/>
      <c r="CU157" s="821"/>
      <c r="CV157" s="821"/>
      <c r="CW157" s="821"/>
      <c r="CX157" s="821"/>
      <c r="CY157" s="821"/>
      <c r="CZ157" s="821"/>
      <c r="DA157" s="821"/>
      <c r="DB157" s="821"/>
      <c r="DC157" s="821"/>
      <c r="DD157" s="821"/>
      <c r="DE157" s="821"/>
      <c r="DF157" s="821"/>
      <c r="DG157" s="821"/>
      <c r="DH157" s="821"/>
      <c r="DI157" s="821"/>
      <c r="DJ157" s="821"/>
      <c r="DK157" s="821"/>
      <c r="DL157" s="821"/>
      <c r="DM157" s="821"/>
      <c r="DN157" s="821"/>
    </row>
    <row r="158" spans="1:118" s="55" customFormat="1">
      <c r="A158" s="1132" t="s">
        <v>348</v>
      </c>
      <c r="E158" s="137"/>
      <c r="F158" s="137"/>
      <c r="G158" s="137"/>
      <c r="H158" s="96"/>
      <c r="I158" s="138"/>
      <c r="J158" s="1"/>
      <c r="K158" s="607"/>
      <c r="L158" s="607"/>
      <c r="M158" s="607"/>
      <c r="N158" s="607"/>
      <c r="O158" s="607"/>
      <c r="P158" s="607"/>
      <c r="Q158" s="607"/>
      <c r="R158" s="607"/>
      <c r="S158" s="607"/>
      <c r="T158" s="607"/>
      <c r="AA158" s="608"/>
      <c r="AB158" s="1"/>
      <c r="AC158" s="1"/>
      <c r="AX158" s="608"/>
      <c r="AY158" s="821"/>
      <c r="AZ158" s="821"/>
      <c r="BA158" s="821"/>
      <c r="BB158" s="821"/>
      <c r="BC158" s="821"/>
      <c r="BD158" s="821"/>
      <c r="BE158" s="821"/>
      <c r="BF158" s="821"/>
      <c r="BG158" s="821"/>
      <c r="BH158" s="821"/>
      <c r="BI158" s="821"/>
      <c r="BJ158" s="821"/>
      <c r="BK158" s="821"/>
      <c r="BL158" s="821"/>
      <c r="BM158" s="821"/>
      <c r="BN158" s="821"/>
      <c r="BO158" s="821"/>
      <c r="BP158" s="821"/>
      <c r="BQ158" s="821"/>
      <c r="BR158" s="821"/>
      <c r="BS158" s="821"/>
      <c r="BT158" s="821"/>
      <c r="BU158" s="821"/>
      <c r="BV158" s="821"/>
      <c r="BW158" s="821"/>
      <c r="BX158" s="821"/>
      <c r="BY158" s="821"/>
      <c r="BZ158" s="821"/>
      <c r="CA158" s="821"/>
      <c r="CB158" s="821"/>
      <c r="CC158" s="821"/>
      <c r="CD158" s="821"/>
      <c r="CE158" s="821"/>
      <c r="CF158" s="821"/>
      <c r="CG158" s="821"/>
      <c r="CH158" s="821"/>
      <c r="CI158" s="821"/>
      <c r="CJ158" s="821"/>
      <c r="CK158" s="821"/>
      <c r="CL158" s="821"/>
      <c r="CM158" s="821"/>
      <c r="CN158" s="821"/>
      <c r="CO158" s="821"/>
      <c r="CP158" s="821"/>
      <c r="CQ158" s="821"/>
      <c r="CR158" s="821"/>
      <c r="CS158" s="821"/>
      <c r="CT158" s="821"/>
      <c r="CU158" s="821"/>
      <c r="CV158" s="821"/>
      <c r="CW158" s="821"/>
      <c r="CX158" s="821"/>
      <c r="CY158" s="821"/>
      <c r="CZ158" s="821"/>
      <c r="DA158" s="821"/>
      <c r="DB158" s="821"/>
      <c r="DC158" s="821"/>
      <c r="DD158" s="821"/>
      <c r="DE158" s="821"/>
      <c r="DF158" s="821"/>
      <c r="DG158" s="821"/>
      <c r="DH158" s="821"/>
      <c r="DI158" s="821"/>
      <c r="DJ158" s="821"/>
      <c r="DK158" s="821"/>
      <c r="DL158" s="821"/>
      <c r="DM158" s="821"/>
      <c r="DN158" s="821"/>
    </row>
    <row r="159" spans="1:118" s="55" customFormat="1">
      <c r="A159" s="261" t="s">
        <v>728</v>
      </c>
      <c r="E159" s="137"/>
      <c r="F159" s="137"/>
      <c r="G159" s="137"/>
      <c r="H159" s="96"/>
      <c r="I159" s="138"/>
      <c r="J159" s="1"/>
      <c r="K159" s="607"/>
      <c r="L159" s="607"/>
      <c r="M159" s="607"/>
      <c r="N159" s="607"/>
      <c r="O159" s="607"/>
      <c r="P159" s="607"/>
      <c r="Q159" s="607"/>
      <c r="R159" s="607"/>
      <c r="S159" s="607"/>
      <c r="T159" s="607"/>
      <c r="AA159" s="608"/>
      <c r="AB159" s="1"/>
      <c r="AC159" s="1"/>
      <c r="AX159" s="608"/>
      <c r="AY159" s="821"/>
      <c r="AZ159" s="821"/>
      <c r="BA159" s="821"/>
      <c r="BB159" s="821"/>
      <c r="BC159" s="821"/>
      <c r="BD159" s="821"/>
      <c r="BE159" s="821"/>
      <c r="BF159" s="821"/>
      <c r="BG159" s="821"/>
      <c r="BH159" s="821"/>
      <c r="BI159" s="821"/>
      <c r="BJ159" s="821"/>
      <c r="BK159" s="821"/>
      <c r="BL159" s="821"/>
      <c r="BM159" s="821"/>
      <c r="BN159" s="821"/>
      <c r="BO159" s="821"/>
      <c r="BP159" s="821"/>
      <c r="BQ159" s="821"/>
      <c r="BR159" s="821"/>
      <c r="BS159" s="821"/>
      <c r="BT159" s="821"/>
      <c r="BU159" s="821"/>
      <c r="BV159" s="821"/>
      <c r="BW159" s="821"/>
      <c r="BX159" s="821"/>
      <c r="BY159" s="821"/>
      <c r="BZ159" s="821"/>
      <c r="CA159" s="821"/>
      <c r="CB159" s="821"/>
      <c r="CC159" s="821"/>
      <c r="CD159" s="821"/>
      <c r="CE159" s="821"/>
      <c r="CF159" s="821"/>
      <c r="CG159" s="821"/>
      <c r="CH159" s="821"/>
      <c r="CI159" s="821"/>
      <c r="CJ159" s="821"/>
      <c r="CK159" s="821"/>
      <c r="CL159" s="821"/>
      <c r="CM159" s="821"/>
      <c r="CN159" s="821"/>
      <c r="CO159" s="821"/>
      <c r="CP159" s="821"/>
      <c r="CQ159" s="821"/>
      <c r="CR159" s="821"/>
      <c r="CS159" s="821"/>
      <c r="CT159" s="821"/>
      <c r="CU159" s="821"/>
      <c r="CV159" s="821"/>
      <c r="CW159" s="821"/>
      <c r="CX159" s="821"/>
      <c r="CY159" s="821"/>
      <c r="CZ159" s="821"/>
      <c r="DA159" s="821"/>
      <c r="DB159" s="821"/>
      <c r="DC159" s="821"/>
      <c r="DD159" s="821"/>
      <c r="DE159" s="821"/>
      <c r="DF159" s="821"/>
      <c r="DG159" s="821"/>
      <c r="DH159" s="821"/>
      <c r="DI159" s="821"/>
      <c r="DJ159" s="821"/>
      <c r="DK159" s="821"/>
      <c r="DL159" s="821"/>
      <c r="DM159" s="821"/>
      <c r="DN159" s="821"/>
    </row>
    <row r="160" spans="1:118" s="55" customFormat="1">
      <c r="A160" s="1133" t="s">
        <v>349</v>
      </c>
      <c r="E160" s="137"/>
      <c r="F160" s="137"/>
      <c r="G160" s="137"/>
      <c r="H160" s="96"/>
      <c r="I160" s="138"/>
      <c r="J160" s="1"/>
      <c r="K160" s="607"/>
      <c r="L160" s="607"/>
      <c r="M160" s="607"/>
      <c r="N160" s="607"/>
      <c r="O160" s="607"/>
      <c r="P160" s="607"/>
      <c r="Q160" s="607"/>
      <c r="R160" s="607"/>
      <c r="S160" s="607"/>
      <c r="T160" s="607"/>
      <c r="AA160" s="608"/>
      <c r="AB160" s="1"/>
      <c r="AC160" s="1"/>
      <c r="AX160" s="608"/>
      <c r="AY160" s="821"/>
      <c r="AZ160" s="821"/>
      <c r="BA160" s="821"/>
      <c r="BB160" s="821"/>
      <c r="BC160" s="821"/>
      <c r="BD160" s="821"/>
      <c r="BE160" s="821"/>
      <c r="BF160" s="821"/>
      <c r="BG160" s="821"/>
      <c r="BH160" s="821"/>
      <c r="BI160" s="821"/>
      <c r="BJ160" s="821"/>
      <c r="BK160" s="821"/>
      <c r="BL160" s="821"/>
      <c r="BM160" s="821"/>
      <c r="BN160" s="821"/>
      <c r="BO160" s="821"/>
      <c r="BP160" s="821"/>
      <c r="BQ160" s="821"/>
      <c r="BR160" s="821"/>
      <c r="BS160" s="821"/>
      <c r="BT160" s="821"/>
      <c r="BU160" s="821"/>
      <c r="BV160" s="821"/>
      <c r="BW160" s="821"/>
      <c r="BX160" s="821"/>
      <c r="BY160" s="821"/>
      <c r="BZ160" s="821"/>
      <c r="CA160" s="821"/>
      <c r="CB160" s="821"/>
      <c r="CC160" s="821"/>
      <c r="CD160" s="821"/>
      <c r="CE160" s="821"/>
      <c r="CF160" s="821"/>
      <c r="CG160" s="821"/>
      <c r="CH160" s="821"/>
      <c r="CI160" s="821"/>
      <c r="CJ160" s="821"/>
      <c r="CK160" s="821"/>
      <c r="CL160" s="821"/>
      <c r="CM160" s="821"/>
      <c r="CN160" s="821"/>
      <c r="CO160" s="821"/>
      <c r="CP160" s="821"/>
      <c r="CQ160" s="821"/>
      <c r="CR160" s="821"/>
      <c r="CS160" s="821"/>
      <c r="CT160" s="821"/>
      <c r="CU160" s="821"/>
      <c r="CV160" s="821"/>
      <c r="CW160" s="821"/>
      <c r="CX160" s="821"/>
      <c r="CY160" s="821"/>
      <c r="CZ160" s="821"/>
      <c r="DA160" s="821"/>
      <c r="DB160" s="821"/>
      <c r="DC160" s="821"/>
      <c r="DD160" s="821"/>
      <c r="DE160" s="821"/>
      <c r="DF160" s="821"/>
      <c r="DG160" s="821"/>
      <c r="DH160" s="821"/>
      <c r="DI160" s="821"/>
      <c r="DJ160" s="821"/>
      <c r="DK160" s="821"/>
      <c r="DL160" s="821"/>
      <c r="DM160" s="821"/>
      <c r="DN160" s="821"/>
    </row>
    <row r="161" spans="1:118" s="55" customFormat="1">
      <c r="A161" s="1133" t="s">
        <v>350</v>
      </c>
      <c r="E161" s="137"/>
      <c r="F161" s="137"/>
      <c r="G161" s="137"/>
      <c r="H161" s="96"/>
      <c r="I161" s="138"/>
      <c r="J161" s="1"/>
      <c r="K161" s="607"/>
      <c r="L161" s="607"/>
      <c r="M161" s="607"/>
      <c r="N161" s="607"/>
      <c r="O161" s="607"/>
      <c r="P161" s="607"/>
      <c r="Q161" s="607"/>
      <c r="R161" s="607"/>
      <c r="S161" s="607"/>
      <c r="T161" s="607"/>
      <c r="AA161" s="608"/>
      <c r="AB161" s="1"/>
      <c r="AC161" s="1"/>
      <c r="AX161" s="608"/>
      <c r="AY161" s="821"/>
      <c r="AZ161" s="821"/>
      <c r="BA161" s="821"/>
      <c r="BB161" s="821"/>
      <c r="BC161" s="821"/>
      <c r="BD161" s="821"/>
      <c r="BE161" s="821"/>
      <c r="BF161" s="821"/>
      <c r="BG161" s="821"/>
      <c r="BH161" s="821"/>
      <c r="BI161" s="821"/>
      <c r="BJ161" s="821"/>
      <c r="BK161" s="821"/>
      <c r="BL161" s="821"/>
      <c r="BM161" s="821"/>
      <c r="BN161" s="821"/>
      <c r="BO161" s="821"/>
      <c r="BP161" s="821"/>
      <c r="BQ161" s="821"/>
      <c r="BR161" s="821"/>
      <c r="BS161" s="821"/>
      <c r="BT161" s="821"/>
      <c r="BU161" s="821"/>
      <c r="BV161" s="821"/>
      <c r="BW161" s="821"/>
      <c r="BX161" s="821"/>
      <c r="BY161" s="821"/>
      <c r="BZ161" s="821"/>
      <c r="CA161" s="821"/>
      <c r="CB161" s="821"/>
      <c r="CC161" s="821"/>
      <c r="CD161" s="821"/>
      <c r="CE161" s="821"/>
      <c r="CF161" s="821"/>
      <c r="CG161" s="821"/>
      <c r="CH161" s="821"/>
      <c r="CI161" s="821"/>
      <c r="CJ161" s="821"/>
      <c r="CK161" s="821"/>
      <c r="CL161" s="821"/>
      <c r="CM161" s="821"/>
      <c r="CN161" s="821"/>
      <c r="CO161" s="821"/>
      <c r="CP161" s="821"/>
      <c r="CQ161" s="821"/>
      <c r="CR161" s="821"/>
      <c r="CS161" s="821"/>
      <c r="CT161" s="821"/>
      <c r="CU161" s="821"/>
      <c r="CV161" s="821"/>
      <c r="CW161" s="821"/>
      <c r="CX161" s="821"/>
      <c r="CY161" s="821"/>
      <c r="CZ161" s="821"/>
      <c r="DA161" s="821"/>
      <c r="DB161" s="821"/>
      <c r="DC161" s="821"/>
      <c r="DD161" s="821"/>
      <c r="DE161" s="821"/>
      <c r="DF161" s="821"/>
      <c r="DG161" s="821"/>
      <c r="DH161" s="821"/>
      <c r="DI161" s="821"/>
      <c r="DJ161" s="821"/>
      <c r="DK161" s="821"/>
      <c r="DL161" s="821"/>
      <c r="DM161" s="821"/>
      <c r="DN161" s="821"/>
    </row>
    <row r="162" spans="1:118" s="55" customFormat="1">
      <c r="A162" s="2" t="s">
        <v>1539</v>
      </c>
      <c r="E162" s="137"/>
      <c r="F162" s="137"/>
      <c r="G162" s="137"/>
      <c r="H162" s="96"/>
      <c r="I162" s="138"/>
      <c r="J162" s="1"/>
      <c r="K162" s="607"/>
      <c r="L162" s="607"/>
      <c r="M162" s="607"/>
      <c r="N162" s="607"/>
      <c r="O162" s="607"/>
      <c r="P162" s="607"/>
      <c r="Q162" s="607"/>
      <c r="R162" s="607"/>
      <c r="S162" s="607"/>
      <c r="T162" s="607"/>
      <c r="AA162" s="608"/>
      <c r="AB162" s="1"/>
      <c r="AC162" s="1"/>
      <c r="AX162" s="608"/>
      <c r="AY162" s="821"/>
      <c r="AZ162" s="821"/>
      <c r="BA162" s="821"/>
      <c r="BB162" s="821"/>
      <c r="BC162" s="821"/>
      <c r="BD162" s="821"/>
      <c r="BE162" s="821"/>
      <c r="BF162" s="821"/>
      <c r="BG162" s="821"/>
      <c r="BH162" s="821"/>
      <c r="BI162" s="821"/>
      <c r="BJ162" s="821"/>
      <c r="BK162" s="821"/>
      <c r="BL162" s="821"/>
      <c r="BM162" s="821"/>
      <c r="BN162" s="821"/>
      <c r="BO162" s="821"/>
      <c r="BP162" s="821"/>
      <c r="BQ162" s="821"/>
      <c r="BR162" s="821"/>
      <c r="BS162" s="821"/>
      <c r="BT162" s="821"/>
      <c r="BU162" s="821"/>
      <c r="BV162" s="821"/>
      <c r="BW162" s="821"/>
      <c r="BX162" s="821"/>
      <c r="BY162" s="821"/>
      <c r="BZ162" s="821"/>
      <c r="CA162" s="821"/>
      <c r="CB162" s="821"/>
      <c r="CC162" s="821"/>
      <c r="CD162" s="821"/>
      <c r="CE162" s="821"/>
      <c r="CF162" s="821"/>
      <c r="CG162" s="821"/>
      <c r="CH162" s="821"/>
      <c r="CI162" s="821"/>
      <c r="CJ162" s="821"/>
      <c r="CK162" s="821"/>
      <c r="CL162" s="821"/>
      <c r="CM162" s="821"/>
      <c r="CN162" s="821"/>
      <c r="CO162" s="821"/>
      <c r="CP162" s="821"/>
      <c r="CQ162" s="821"/>
      <c r="CR162" s="821"/>
      <c r="CS162" s="821"/>
      <c r="CT162" s="821"/>
      <c r="CU162" s="821"/>
      <c r="CV162" s="821"/>
      <c r="CW162" s="821"/>
      <c r="CX162" s="821"/>
      <c r="CY162" s="821"/>
      <c r="CZ162" s="821"/>
      <c r="DA162" s="821"/>
      <c r="DB162" s="821"/>
      <c r="DC162" s="821"/>
      <c r="DD162" s="821"/>
      <c r="DE162" s="821"/>
      <c r="DF162" s="821"/>
      <c r="DG162" s="821"/>
      <c r="DH162" s="821"/>
      <c r="DI162" s="821"/>
      <c r="DJ162" s="821"/>
      <c r="DK162" s="821"/>
      <c r="DL162" s="821"/>
      <c r="DM162" s="821"/>
      <c r="DN162" s="821"/>
    </row>
    <row r="163" spans="1:118" s="55" customFormat="1">
      <c r="A163" s="1133" t="s">
        <v>351</v>
      </c>
      <c r="E163" s="137"/>
      <c r="F163" s="137"/>
      <c r="G163" s="137"/>
      <c r="H163" s="96"/>
      <c r="I163" s="138"/>
      <c r="J163" s="1"/>
      <c r="K163" s="607"/>
      <c r="L163" s="607"/>
      <c r="M163" s="607"/>
      <c r="N163" s="607"/>
      <c r="O163" s="607"/>
      <c r="P163" s="607"/>
      <c r="Q163" s="607"/>
      <c r="R163" s="607"/>
      <c r="S163" s="607"/>
      <c r="T163" s="607"/>
      <c r="AA163" s="608"/>
      <c r="AB163" s="1"/>
      <c r="AC163" s="1"/>
      <c r="AX163" s="608"/>
      <c r="AY163" s="821"/>
      <c r="AZ163" s="821"/>
      <c r="BA163" s="821"/>
      <c r="BB163" s="821"/>
      <c r="BC163" s="821"/>
      <c r="BD163" s="821"/>
      <c r="BE163" s="821"/>
      <c r="BF163" s="821"/>
      <c r="BG163" s="821"/>
      <c r="BH163" s="821"/>
      <c r="BI163" s="821"/>
      <c r="BJ163" s="821"/>
      <c r="BK163" s="821"/>
      <c r="BL163" s="821"/>
      <c r="BM163" s="821"/>
      <c r="BN163" s="821"/>
      <c r="BO163" s="821"/>
      <c r="BP163" s="821"/>
      <c r="BQ163" s="821"/>
      <c r="BR163" s="821"/>
      <c r="BS163" s="821"/>
      <c r="BT163" s="821"/>
      <c r="BU163" s="821"/>
      <c r="BV163" s="821"/>
      <c r="BW163" s="821"/>
      <c r="BX163" s="821"/>
      <c r="BY163" s="821"/>
      <c r="BZ163" s="821"/>
      <c r="CA163" s="821"/>
      <c r="CB163" s="821"/>
      <c r="CC163" s="821"/>
      <c r="CD163" s="821"/>
      <c r="CE163" s="821"/>
      <c r="CF163" s="821"/>
      <c r="CG163" s="821"/>
      <c r="CH163" s="821"/>
      <c r="CI163" s="821"/>
      <c r="CJ163" s="821"/>
      <c r="CK163" s="821"/>
      <c r="CL163" s="821"/>
      <c r="CM163" s="821"/>
      <c r="CN163" s="821"/>
      <c r="CO163" s="821"/>
      <c r="CP163" s="821"/>
      <c r="CQ163" s="821"/>
      <c r="CR163" s="821"/>
      <c r="CS163" s="821"/>
      <c r="CT163" s="821"/>
      <c r="CU163" s="821"/>
      <c r="CV163" s="821"/>
      <c r="CW163" s="821"/>
      <c r="CX163" s="821"/>
      <c r="CY163" s="821"/>
      <c r="CZ163" s="821"/>
      <c r="DA163" s="821"/>
      <c r="DB163" s="821"/>
      <c r="DC163" s="821"/>
      <c r="DD163" s="821"/>
      <c r="DE163" s="821"/>
      <c r="DF163" s="821"/>
      <c r="DG163" s="821"/>
      <c r="DH163" s="821"/>
      <c r="DI163" s="821"/>
      <c r="DJ163" s="821"/>
      <c r="DK163" s="821"/>
      <c r="DL163" s="821"/>
      <c r="DM163" s="821"/>
      <c r="DN163" s="821"/>
    </row>
    <row r="164" spans="1:118" s="6" customFormat="1">
      <c r="A164" s="2" t="s">
        <v>397</v>
      </c>
      <c r="B164" s="55"/>
      <c r="C164" s="55"/>
      <c r="D164" s="55"/>
      <c r="E164" s="137"/>
      <c r="F164" s="137"/>
      <c r="G164" s="137"/>
      <c r="H164" s="96"/>
      <c r="I164" s="98"/>
      <c r="J164" s="98"/>
      <c r="K164" s="55"/>
      <c r="L164" s="607"/>
      <c r="M164" s="607"/>
      <c r="N164" s="607"/>
      <c r="O164" s="607"/>
      <c r="P164" s="607"/>
      <c r="Q164" s="607"/>
      <c r="R164" s="607"/>
      <c r="S164" s="607"/>
      <c r="T164" s="607"/>
      <c r="U164" s="607"/>
      <c r="V164" s="55"/>
      <c r="W164" s="55"/>
      <c r="X164" s="55"/>
      <c r="Y164" s="55"/>
      <c r="Z164" s="55"/>
      <c r="AA164" s="608"/>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608"/>
      <c r="AY164" s="821"/>
      <c r="AZ164" s="821"/>
      <c r="BA164" s="821"/>
      <c r="BB164" s="821"/>
      <c r="BC164" s="821"/>
      <c r="BD164" s="821"/>
      <c r="BE164" s="821"/>
      <c r="BF164" s="821"/>
      <c r="BG164" s="821"/>
      <c r="BH164" s="821"/>
      <c r="BI164" s="821"/>
      <c r="BJ164" s="821"/>
      <c r="BK164" s="821"/>
      <c r="BL164" s="821"/>
      <c r="BM164" s="821"/>
      <c r="BN164" s="821"/>
      <c r="BO164" s="821"/>
      <c r="BP164" s="821"/>
      <c r="BQ164" s="821"/>
      <c r="BR164" s="821"/>
      <c r="BS164" s="821"/>
      <c r="BT164" s="821"/>
      <c r="BU164" s="821"/>
      <c r="BV164" s="821"/>
      <c r="BW164" s="821"/>
      <c r="BX164" s="821"/>
      <c r="BY164" s="821"/>
      <c r="BZ164" s="821"/>
      <c r="CA164" s="821"/>
      <c r="CB164" s="821"/>
      <c r="CC164" s="821"/>
      <c r="CD164" s="821"/>
      <c r="CE164" s="821"/>
      <c r="CF164" s="821"/>
      <c r="CG164" s="821"/>
      <c r="CH164" s="821"/>
      <c r="CI164" s="821"/>
      <c r="CJ164" s="821"/>
      <c r="CK164" s="821"/>
      <c r="CL164" s="821"/>
      <c r="CM164" s="821"/>
      <c r="CN164" s="821"/>
      <c r="CO164" s="821"/>
      <c r="CP164" s="821"/>
      <c r="CQ164" s="821"/>
      <c r="CR164" s="821"/>
      <c r="CS164" s="821"/>
      <c r="CT164" s="821"/>
      <c r="CU164" s="821"/>
      <c r="CV164" s="821"/>
      <c r="CW164" s="821"/>
      <c r="CX164" s="821"/>
      <c r="CY164" s="821"/>
      <c r="CZ164" s="821"/>
      <c r="DA164" s="821"/>
      <c r="DB164" s="821"/>
      <c r="DC164" s="821"/>
      <c r="DD164" s="821"/>
      <c r="DE164" s="821"/>
      <c r="DF164" s="821"/>
      <c r="DG164" s="821"/>
      <c r="DH164" s="821"/>
      <c r="DI164" s="821"/>
      <c r="DJ164" s="821"/>
      <c r="DK164" s="821"/>
      <c r="DL164" s="821"/>
      <c r="DM164" s="821"/>
      <c r="DN164" s="821"/>
    </row>
    <row r="165" spans="1:118" s="6" customFormat="1">
      <c r="A165" s="2" t="s">
        <v>729</v>
      </c>
      <c r="B165" s="55"/>
      <c r="C165" s="55"/>
      <c r="D165" s="55"/>
      <c r="E165" s="137"/>
      <c r="F165" s="137"/>
      <c r="G165" s="137"/>
      <c r="H165" s="96"/>
      <c r="I165" s="98"/>
      <c r="J165" s="98"/>
      <c r="K165" s="55"/>
      <c r="L165" s="607"/>
      <c r="M165" s="607"/>
      <c r="N165" s="607"/>
      <c r="O165" s="607"/>
      <c r="P165" s="607"/>
      <c r="Q165" s="607"/>
      <c r="R165" s="607"/>
      <c r="S165" s="607"/>
      <c r="T165" s="607"/>
      <c r="U165" s="607"/>
      <c r="V165" s="55"/>
      <c r="W165" s="55"/>
      <c r="X165" s="55"/>
      <c r="Y165" s="55"/>
      <c r="Z165" s="55"/>
      <c r="AA165" s="608"/>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608"/>
      <c r="AY165" s="821"/>
      <c r="AZ165" s="821"/>
      <c r="BA165" s="821"/>
      <c r="BB165" s="821"/>
      <c r="BC165" s="821"/>
      <c r="BD165" s="821"/>
      <c r="BE165" s="821"/>
      <c r="BF165" s="821"/>
      <c r="BG165" s="821"/>
      <c r="BH165" s="821"/>
      <c r="BI165" s="821"/>
      <c r="BJ165" s="821"/>
      <c r="BK165" s="821"/>
      <c r="BL165" s="821"/>
      <c r="BM165" s="821"/>
      <c r="BN165" s="821"/>
      <c r="BO165" s="821"/>
      <c r="BP165" s="821"/>
      <c r="BQ165" s="821"/>
      <c r="BR165" s="821"/>
      <c r="BS165" s="821"/>
      <c r="BT165" s="821"/>
      <c r="BU165" s="821"/>
      <c r="BV165" s="821"/>
      <c r="BW165" s="821"/>
      <c r="BX165" s="821"/>
      <c r="BY165" s="821"/>
      <c r="BZ165" s="821"/>
      <c r="CA165" s="821"/>
      <c r="CB165" s="821"/>
      <c r="CC165" s="821"/>
      <c r="CD165" s="821"/>
      <c r="CE165" s="821"/>
      <c r="CF165" s="821"/>
      <c r="CG165" s="821"/>
      <c r="CH165" s="821"/>
      <c r="CI165" s="821"/>
      <c r="CJ165" s="821"/>
      <c r="CK165" s="821"/>
      <c r="CL165" s="821"/>
      <c r="CM165" s="821"/>
      <c r="CN165" s="821"/>
      <c r="CO165" s="821"/>
      <c r="CP165" s="821"/>
      <c r="CQ165" s="821"/>
      <c r="CR165" s="821"/>
      <c r="CS165" s="821"/>
      <c r="CT165" s="821"/>
      <c r="CU165" s="821"/>
      <c r="CV165" s="821"/>
      <c r="CW165" s="821"/>
      <c r="CX165" s="821"/>
      <c r="CY165" s="821"/>
      <c r="CZ165" s="821"/>
      <c r="DA165" s="821"/>
      <c r="DB165" s="821"/>
      <c r="DC165" s="821"/>
      <c r="DD165" s="821"/>
      <c r="DE165" s="821"/>
      <c r="DF165" s="821"/>
      <c r="DG165" s="821"/>
      <c r="DH165" s="821"/>
      <c r="DI165" s="821"/>
      <c r="DJ165" s="821"/>
      <c r="DK165" s="821"/>
      <c r="DL165" s="821"/>
      <c r="DM165" s="821"/>
      <c r="DN165" s="821"/>
    </row>
    <row r="166" spans="1:118" s="6" customFormat="1">
      <c r="A166" s="261" t="s">
        <v>399</v>
      </c>
      <c r="B166" s="55"/>
      <c r="C166" s="55"/>
      <c r="D166" s="55"/>
      <c r="E166" s="137"/>
      <c r="F166" s="137"/>
      <c r="G166" s="137"/>
      <c r="H166" s="96"/>
      <c r="I166" s="98"/>
      <c r="J166" s="98"/>
      <c r="K166" s="55"/>
      <c r="L166" s="607"/>
      <c r="M166" s="607"/>
      <c r="N166" s="607"/>
      <c r="O166" s="607"/>
      <c r="P166" s="607"/>
      <c r="Q166" s="607"/>
      <c r="R166" s="607"/>
      <c r="S166" s="607"/>
      <c r="T166" s="607"/>
      <c r="U166" s="607"/>
      <c r="V166" s="55"/>
      <c r="W166" s="55"/>
      <c r="X166" s="55"/>
      <c r="Y166" s="55"/>
      <c r="Z166" s="55"/>
      <c r="AA166" s="608"/>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608"/>
      <c r="AY166" s="821"/>
      <c r="AZ166" s="821"/>
      <c r="BA166" s="821"/>
      <c r="BB166" s="821"/>
      <c r="BC166" s="821"/>
      <c r="BD166" s="821"/>
      <c r="BE166" s="821"/>
      <c r="BF166" s="821"/>
      <c r="BG166" s="821"/>
      <c r="BH166" s="821"/>
      <c r="BI166" s="821"/>
      <c r="BJ166" s="821"/>
      <c r="BK166" s="821"/>
      <c r="BL166" s="821"/>
      <c r="BM166" s="821"/>
      <c r="BN166" s="821"/>
      <c r="BO166" s="821"/>
      <c r="BP166" s="821"/>
      <c r="BQ166" s="821"/>
      <c r="BR166" s="821"/>
      <c r="BS166" s="821"/>
      <c r="BT166" s="821"/>
      <c r="BU166" s="821"/>
      <c r="BV166" s="821"/>
      <c r="BW166" s="821"/>
      <c r="BX166" s="821"/>
      <c r="BY166" s="821"/>
      <c r="BZ166" s="821"/>
      <c r="CA166" s="821"/>
      <c r="CB166" s="821"/>
      <c r="CC166" s="821"/>
      <c r="CD166" s="821"/>
      <c r="CE166" s="821"/>
      <c r="CF166" s="821"/>
      <c r="CG166" s="821"/>
      <c r="CH166" s="821"/>
      <c r="CI166" s="821"/>
      <c r="CJ166" s="821"/>
      <c r="CK166" s="821"/>
      <c r="CL166" s="821"/>
      <c r="CM166" s="821"/>
      <c r="CN166" s="821"/>
      <c r="CO166" s="821"/>
      <c r="CP166" s="821"/>
      <c r="CQ166" s="821"/>
      <c r="CR166" s="821"/>
      <c r="CS166" s="821"/>
      <c r="CT166" s="821"/>
      <c r="CU166" s="821"/>
      <c r="CV166" s="821"/>
      <c r="CW166" s="821"/>
      <c r="CX166" s="821"/>
      <c r="CY166" s="821"/>
      <c r="CZ166" s="821"/>
      <c r="DA166" s="821"/>
      <c r="DB166" s="821"/>
      <c r="DC166" s="821"/>
      <c r="DD166" s="821"/>
      <c r="DE166" s="821"/>
      <c r="DF166" s="821"/>
      <c r="DG166" s="821"/>
      <c r="DH166" s="821"/>
      <c r="DI166" s="821"/>
      <c r="DJ166" s="821"/>
      <c r="DK166" s="821"/>
      <c r="DL166" s="821"/>
      <c r="DM166" s="821"/>
      <c r="DN166" s="821"/>
    </row>
    <row r="167" spans="1:118" s="6" customFormat="1">
      <c r="A167" s="2" t="s">
        <v>730</v>
      </c>
      <c r="B167" s="55"/>
      <c r="C167" s="55"/>
      <c r="D167" s="55"/>
      <c r="E167" s="137"/>
      <c r="F167" s="137"/>
      <c r="G167" s="137"/>
      <c r="H167" s="96"/>
      <c r="I167" s="98"/>
      <c r="J167" s="98"/>
      <c r="K167" s="55"/>
      <c r="L167" s="607"/>
      <c r="M167" s="607"/>
      <c r="N167" s="607"/>
      <c r="O167" s="607"/>
      <c r="P167" s="607"/>
      <c r="Q167" s="607"/>
      <c r="R167" s="607"/>
      <c r="S167" s="607"/>
      <c r="T167" s="607"/>
      <c r="U167" s="607"/>
      <c r="V167" s="55"/>
      <c r="W167" s="55"/>
      <c r="X167" s="55"/>
      <c r="Y167" s="55"/>
      <c r="Z167" s="55"/>
      <c r="AA167" s="608"/>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608"/>
      <c r="AY167" s="821"/>
      <c r="AZ167" s="821"/>
      <c r="BA167" s="821"/>
      <c r="BB167" s="821"/>
      <c r="BC167" s="821"/>
      <c r="BD167" s="821"/>
      <c r="BE167" s="821"/>
      <c r="BF167" s="821"/>
      <c r="BG167" s="821"/>
      <c r="BH167" s="821"/>
      <c r="BI167" s="821"/>
      <c r="BJ167" s="821"/>
      <c r="BK167" s="821"/>
      <c r="BL167" s="821"/>
      <c r="BM167" s="821"/>
      <c r="BN167" s="821"/>
      <c r="BO167" s="821"/>
      <c r="BP167" s="821"/>
      <c r="BQ167" s="821"/>
      <c r="BR167" s="821"/>
      <c r="BS167" s="821"/>
      <c r="BT167" s="821"/>
      <c r="BU167" s="821"/>
      <c r="BV167" s="821"/>
      <c r="BW167" s="821"/>
      <c r="BX167" s="821"/>
      <c r="BY167" s="821"/>
      <c r="BZ167" s="821"/>
      <c r="CA167" s="821"/>
      <c r="CB167" s="821"/>
      <c r="CC167" s="821"/>
      <c r="CD167" s="821"/>
      <c r="CE167" s="821"/>
      <c r="CF167" s="821"/>
      <c r="CG167" s="821"/>
      <c r="CH167" s="821"/>
      <c r="CI167" s="821"/>
      <c r="CJ167" s="821"/>
      <c r="CK167" s="821"/>
      <c r="CL167" s="821"/>
      <c r="CM167" s="821"/>
      <c r="CN167" s="821"/>
      <c r="CO167" s="821"/>
      <c r="CP167" s="821"/>
      <c r="CQ167" s="821"/>
      <c r="CR167" s="821"/>
      <c r="CS167" s="821"/>
      <c r="CT167" s="821"/>
      <c r="CU167" s="821"/>
      <c r="CV167" s="821"/>
      <c r="CW167" s="821"/>
      <c r="CX167" s="821"/>
      <c r="CY167" s="821"/>
      <c r="CZ167" s="821"/>
      <c r="DA167" s="821"/>
      <c r="DB167" s="821"/>
      <c r="DC167" s="821"/>
      <c r="DD167" s="821"/>
      <c r="DE167" s="821"/>
      <c r="DF167" s="821"/>
      <c r="DG167" s="821"/>
      <c r="DH167" s="821"/>
      <c r="DI167" s="821"/>
      <c r="DJ167" s="821"/>
      <c r="DK167" s="821"/>
      <c r="DL167" s="821"/>
      <c r="DM167" s="821"/>
      <c r="DN167" s="821"/>
    </row>
    <row r="168" spans="1:118" s="6" customFormat="1">
      <c r="A168" s="2" t="s">
        <v>731</v>
      </c>
      <c r="B168" s="55"/>
      <c r="C168" s="55"/>
      <c r="D168" s="55"/>
      <c r="E168" s="137"/>
      <c r="F168" s="137"/>
      <c r="G168" s="137"/>
      <c r="H168" s="96"/>
      <c r="I168" s="98"/>
      <c r="J168" s="98"/>
      <c r="K168" s="55"/>
      <c r="L168" s="607"/>
      <c r="M168" s="607"/>
      <c r="N168" s="607"/>
      <c r="O168" s="607"/>
      <c r="P168" s="607"/>
      <c r="Q168" s="607"/>
      <c r="R168" s="607"/>
      <c r="S168" s="607"/>
      <c r="T168" s="607"/>
      <c r="U168" s="607"/>
      <c r="V168" s="55"/>
      <c r="W168" s="55"/>
      <c r="X168" s="55"/>
      <c r="Y168" s="55"/>
      <c r="Z168" s="55"/>
      <c r="AA168" s="608"/>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608"/>
      <c r="AY168" s="821"/>
      <c r="AZ168" s="821"/>
      <c r="BA168" s="821"/>
      <c r="BB168" s="821"/>
      <c r="BC168" s="821"/>
      <c r="BD168" s="821"/>
      <c r="BE168" s="821"/>
      <c r="BF168" s="821"/>
      <c r="BG168" s="821"/>
      <c r="BH168" s="821"/>
      <c r="BI168" s="821"/>
      <c r="BJ168" s="821"/>
      <c r="BK168" s="821"/>
      <c r="BL168" s="821"/>
      <c r="BM168" s="821"/>
      <c r="BN168" s="821"/>
      <c r="BO168" s="821"/>
      <c r="BP168" s="821"/>
      <c r="BQ168" s="821"/>
      <c r="BR168" s="821"/>
      <c r="BS168" s="821"/>
      <c r="BT168" s="821"/>
      <c r="BU168" s="821"/>
      <c r="BV168" s="821"/>
      <c r="BW168" s="821"/>
      <c r="BX168" s="821"/>
      <c r="BY168" s="821"/>
      <c r="BZ168" s="821"/>
      <c r="CA168" s="821"/>
      <c r="CB168" s="821"/>
      <c r="CC168" s="821"/>
      <c r="CD168" s="821"/>
      <c r="CE168" s="821"/>
      <c r="CF168" s="821"/>
      <c r="CG168" s="821"/>
      <c r="CH168" s="821"/>
      <c r="CI168" s="821"/>
      <c r="CJ168" s="821"/>
      <c r="CK168" s="821"/>
      <c r="CL168" s="821"/>
      <c r="CM168" s="821"/>
      <c r="CN168" s="821"/>
      <c r="CO168" s="821"/>
      <c r="CP168" s="821"/>
      <c r="CQ168" s="821"/>
      <c r="CR168" s="821"/>
      <c r="CS168" s="821"/>
      <c r="CT168" s="821"/>
      <c r="CU168" s="821"/>
      <c r="CV168" s="821"/>
      <c r="CW168" s="821"/>
      <c r="CX168" s="821"/>
      <c r="CY168" s="821"/>
      <c r="CZ168" s="821"/>
      <c r="DA168" s="821"/>
      <c r="DB168" s="821"/>
      <c r="DC168" s="821"/>
      <c r="DD168" s="821"/>
      <c r="DE168" s="821"/>
      <c r="DF168" s="821"/>
      <c r="DG168" s="821"/>
      <c r="DH168" s="821"/>
      <c r="DI168" s="821"/>
      <c r="DJ168" s="821"/>
      <c r="DK168" s="821"/>
      <c r="DL168" s="821"/>
      <c r="DM168" s="821"/>
      <c r="DN168" s="821"/>
    </row>
    <row r="169" spans="1:118" s="6" customFormat="1">
      <c r="A169" s="2" t="s">
        <v>353</v>
      </c>
      <c r="B169" s="55"/>
      <c r="C169" s="55"/>
      <c r="D169" s="55"/>
      <c r="E169" s="137"/>
      <c r="F169" s="137"/>
      <c r="G169" s="137"/>
      <c r="H169" s="96"/>
      <c r="I169" s="98"/>
      <c r="J169" s="98"/>
      <c r="K169" s="55"/>
      <c r="L169" s="607"/>
      <c r="M169" s="607"/>
      <c r="N169" s="607"/>
      <c r="O169" s="607"/>
      <c r="P169" s="607"/>
      <c r="Q169" s="607"/>
      <c r="R169" s="607"/>
      <c r="S169" s="607"/>
      <c r="T169" s="607"/>
      <c r="U169" s="607"/>
      <c r="V169" s="55"/>
      <c r="W169" s="55"/>
      <c r="X169" s="55"/>
      <c r="Y169" s="55"/>
      <c r="Z169" s="55"/>
      <c r="AA169" s="608"/>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608"/>
      <c r="AY169" s="821"/>
      <c r="AZ169" s="821"/>
      <c r="BA169" s="821"/>
      <c r="BB169" s="821"/>
      <c r="BC169" s="821"/>
      <c r="BD169" s="821"/>
      <c r="BE169" s="821"/>
      <c r="BF169" s="821"/>
      <c r="BG169" s="821"/>
      <c r="BH169" s="821"/>
      <c r="BI169" s="821"/>
      <c r="BJ169" s="821"/>
      <c r="BK169" s="821"/>
      <c r="BL169" s="821"/>
      <c r="BM169" s="821"/>
      <c r="BN169" s="821"/>
      <c r="BO169" s="821"/>
      <c r="BP169" s="821"/>
      <c r="BQ169" s="821"/>
      <c r="BR169" s="821"/>
      <c r="BS169" s="821"/>
      <c r="BT169" s="821"/>
      <c r="BU169" s="821"/>
      <c r="BV169" s="821"/>
      <c r="BW169" s="821"/>
      <c r="BX169" s="821"/>
      <c r="BY169" s="821"/>
      <c r="BZ169" s="821"/>
      <c r="CA169" s="821"/>
      <c r="CB169" s="821"/>
      <c r="CC169" s="821"/>
      <c r="CD169" s="821"/>
      <c r="CE169" s="821"/>
      <c r="CF169" s="821"/>
      <c r="CG169" s="821"/>
      <c r="CH169" s="821"/>
      <c r="CI169" s="821"/>
      <c r="CJ169" s="821"/>
      <c r="CK169" s="821"/>
      <c r="CL169" s="821"/>
      <c r="CM169" s="821"/>
      <c r="CN169" s="821"/>
      <c r="CO169" s="821"/>
      <c r="CP169" s="821"/>
      <c r="CQ169" s="821"/>
      <c r="CR169" s="821"/>
      <c r="CS169" s="821"/>
      <c r="CT169" s="821"/>
      <c r="CU169" s="821"/>
      <c r="CV169" s="821"/>
      <c r="CW169" s="821"/>
      <c r="CX169" s="821"/>
      <c r="CY169" s="821"/>
      <c r="CZ169" s="821"/>
      <c r="DA169" s="821"/>
      <c r="DB169" s="821"/>
      <c r="DC169" s="821"/>
      <c r="DD169" s="821"/>
      <c r="DE169" s="821"/>
      <c r="DF169" s="821"/>
      <c r="DG169" s="821"/>
      <c r="DH169" s="821"/>
      <c r="DI169" s="821"/>
      <c r="DJ169" s="821"/>
      <c r="DK169" s="821"/>
      <c r="DL169" s="821"/>
      <c r="DM169" s="821"/>
      <c r="DN169" s="821"/>
    </row>
    <row r="170" spans="1:118" s="6" customFormat="1">
      <c r="A170" s="1133" t="s">
        <v>354</v>
      </c>
      <c r="B170" s="55"/>
      <c r="C170" s="55"/>
      <c r="D170" s="55"/>
      <c r="E170" s="137"/>
      <c r="F170" s="137"/>
      <c r="G170" s="137"/>
      <c r="H170" s="96"/>
      <c r="I170" s="98"/>
      <c r="J170" s="98"/>
      <c r="K170" s="55"/>
      <c r="L170" s="607"/>
      <c r="M170" s="607"/>
      <c r="N170" s="607"/>
      <c r="O170" s="607"/>
      <c r="P170" s="607"/>
      <c r="Q170" s="607"/>
      <c r="R170" s="607"/>
      <c r="S170" s="607"/>
      <c r="T170" s="607"/>
      <c r="U170" s="607"/>
      <c r="V170" s="55"/>
      <c r="W170" s="55"/>
      <c r="X170" s="55"/>
      <c r="Y170" s="55"/>
      <c r="Z170" s="55"/>
      <c r="AA170" s="608"/>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608"/>
      <c r="AY170" s="821"/>
      <c r="AZ170" s="821"/>
      <c r="BA170" s="821"/>
      <c r="BB170" s="821"/>
      <c r="BC170" s="821"/>
      <c r="BD170" s="821"/>
      <c r="BE170" s="821"/>
      <c r="BF170" s="821"/>
      <c r="BG170" s="821"/>
      <c r="BH170" s="821"/>
      <c r="BI170" s="821"/>
      <c r="BJ170" s="821"/>
      <c r="BK170" s="821"/>
      <c r="BL170" s="821"/>
      <c r="BM170" s="821"/>
      <c r="BN170" s="821"/>
      <c r="BO170" s="821"/>
      <c r="BP170" s="821"/>
      <c r="BQ170" s="821"/>
      <c r="BR170" s="821"/>
      <c r="BS170" s="821"/>
      <c r="BT170" s="821"/>
      <c r="BU170" s="821"/>
      <c r="BV170" s="821"/>
      <c r="BW170" s="821"/>
      <c r="BX170" s="821"/>
      <c r="BY170" s="821"/>
      <c r="BZ170" s="821"/>
      <c r="CA170" s="821"/>
      <c r="CB170" s="821"/>
      <c r="CC170" s="821"/>
      <c r="CD170" s="821"/>
      <c r="CE170" s="821"/>
      <c r="CF170" s="821"/>
      <c r="CG170" s="821"/>
      <c r="CH170" s="821"/>
      <c r="CI170" s="821"/>
      <c r="CJ170" s="821"/>
      <c r="CK170" s="821"/>
      <c r="CL170" s="821"/>
      <c r="CM170" s="821"/>
      <c r="CN170" s="821"/>
      <c r="CO170" s="821"/>
      <c r="CP170" s="821"/>
      <c r="CQ170" s="821"/>
      <c r="CR170" s="821"/>
      <c r="CS170" s="821"/>
      <c r="CT170" s="821"/>
      <c r="CU170" s="821"/>
      <c r="CV170" s="821"/>
      <c r="CW170" s="821"/>
      <c r="CX170" s="821"/>
      <c r="CY170" s="821"/>
      <c r="CZ170" s="821"/>
      <c r="DA170" s="821"/>
      <c r="DB170" s="821"/>
      <c r="DC170" s="821"/>
      <c r="DD170" s="821"/>
      <c r="DE170" s="821"/>
      <c r="DF170" s="821"/>
      <c r="DG170" s="821"/>
      <c r="DH170" s="821"/>
      <c r="DI170" s="821"/>
      <c r="DJ170" s="821"/>
      <c r="DK170" s="821"/>
      <c r="DL170" s="821"/>
      <c r="DM170" s="821"/>
      <c r="DN170" s="821"/>
    </row>
    <row r="171" spans="1:118" s="6" customFormat="1">
      <c r="A171" s="2" t="s">
        <v>732</v>
      </c>
      <c r="B171" s="55"/>
      <c r="C171" s="55"/>
      <c r="D171" s="55"/>
      <c r="E171" s="137"/>
      <c r="F171" s="137"/>
      <c r="G171" s="137"/>
      <c r="H171" s="96"/>
      <c r="I171" s="98"/>
      <c r="J171" s="98"/>
      <c r="K171" s="55"/>
      <c r="L171" s="607"/>
      <c r="M171" s="607"/>
      <c r="N171" s="607"/>
      <c r="O171" s="607"/>
      <c r="P171" s="607"/>
      <c r="Q171" s="607"/>
      <c r="R171" s="607"/>
      <c r="S171" s="607"/>
      <c r="T171" s="607"/>
      <c r="U171" s="607"/>
      <c r="V171" s="55"/>
      <c r="W171" s="55"/>
      <c r="X171" s="55"/>
      <c r="Y171" s="55"/>
      <c r="Z171" s="55"/>
      <c r="AA171" s="608"/>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608"/>
      <c r="AY171" s="821"/>
      <c r="AZ171" s="821"/>
      <c r="BA171" s="821"/>
      <c r="BB171" s="821"/>
      <c r="BC171" s="821"/>
      <c r="BD171" s="821"/>
      <c r="BE171" s="821"/>
      <c r="BF171" s="821"/>
      <c r="BG171" s="821"/>
      <c r="BH171" s="821"/>
      <c r="BI171" s="821"/>
      <c r="BJ171" s="821"/>
      <c r="BK171" s="821"/>
      <c r="BL171" s="821"/>
      <c r="BM171" s="821"/>
      <c r="BN171" s="821"/>
      <c r="BO171" s="821"/>
      <c r="BP171" s="821"/>
      <c r="BQ171" s="821"/>
      <c r="BR171" s="821"/>
      <c r="BS171" s="821"/>
      <c r="BT171" s="821"/>
      <c r="BU171" s="821"/>
      <c r="BV171" s="821"/>
      <c r="BW171" s="821"/>
      <c r="BX171" s="821"/>
      <c r="BY171" s="821"/>
      <c r="BZ171" s="821"/>
      <c r="CA171" s="821"/>
      <c r="CB171" s="821"/>
      <c r="CC171" s="821"/>
      <c r="CD171" s="821"/>
      <c r="CE171" s="821"/>
      <c r="CF171" s="821"/>
      <c r="CG171" s="821"/>
      <c r="CH171" s="821"/>
      <c r="CI171" s="821"/>
      <c r="CJ171" s="821"/>
      <c r="CK171" s="821"/>
      <c r="CL171" s="821"/>
      <c r="CM171" s="821"/>
      <c r="CN171" s="821"/>
      <c r="CO171" s="821"/>
      <c r="CP171" s="821"/>
      <c r="CQ171" s="821"/>
      <c r="CR171" s="821"/>
      <c r="CS171" s="821"/>
      <c r="CT171" s="821"/>
      <c r="CU171" s="821"/>
      <c r="CV171" s="821"/>
      <c r="CW171" s="821"/>
      <c r="CX171" s="821"/>
      <c r="CY171" s="821"/>
      <c r="CZ171" s="821"/>
      <c r="DA171" s="821"/>
      <c r="DB171" s="821"/>
      <c r="DC171" s="821"/>
      <c r="DD171" s="821"/>
      <c r="DE171" s="821"/>
      <c r="DF171" s="821"/>
      <c r="DG171" s="821"/>
      <c r="DH171" s="821"/>
      <c r="DI171" s="821"/>
      <c r="DJ171" s="821"/>
      <c r="DK171" s="821"/>
      <c r="DL171" s="821"/>
      <c r="DM171" s="821"/>
      <c r="DN171" s="821"/>
    </row>
    <row r="172" spans="1:118" s="6" customFormat="1" ht="13.5" thickBot="1">
      <c r="A172" s="9" t="s">
        <v>355</v>
      </c>
      <c r="B172" s="1149"/>
      <c r="C172" s="1149"/>
      <c r="D172" s="1149"/>
      <c r="E172" s="383"/>
      <c r="F172" s="383"/>
      <c r="G172" s="383"/>
      <c r="H172" s="384"/>
      <c r="I172" s="385"/>
      <c r="J172" s="385"/>
      <c r="K172" s="1149"/>
      <c r="L172" s="2056"/>
      <c r="M172" s="2056"/>
      <c r="N172" s="2056"/>
      <c r="O172" s="2056"/>
      <c r="P172" s="2056"/>
      <c r="Q172" s="2056"/>
      <c r="R172" s="2056"/>
      <c r="S172" s="2056"/>
      <c r="T172" s="2056"/>
      <c r="U172" s="2056"/>
      <c r="V172" s="1149"/>
      <c r="W172" s="1149"/>
      <c r="X172" s="1149"/>
      <c r="Y172" s="1149"/>
      <c r="Z172" s="1149"/>
      <c r="AA172" s="1150"/>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50"/>
      <c r="AY172" s="821"/>
      <c r="AZ172" s="821"/>
      <c r="BA172" s="821"/>
      <c r="BB172" s="821"/>
      <c r="BC172" s="821"/>
      <c r="BD172" s="821"/>
      <c r="BE172" s="821"/>
      <c r="BF172" s="821"/>
      <c r="BG172" s="821"/>
      <c r="BH172" s="821"/>
      <c r="BI172" s="821"/>
      <c r="BJ172" s="821"/>
      <c r="BK172" s="821"/>
      <c r="BL172" s="821"/>
      <c r="BM172" s="821"/>
      <c r="BN172" s="821"/>
      <c r="BO172" s="821"/>
      <c r="BP172" s="821"/>
      <c r="BQ172" s="821"/>
      <c r="BR172" s="821"/>
      <c r="BS172" s="821"/>
      <c r="BT172" s="821"/>
      <c r="BU172" s="821"/>
      <c r="BV172" s="821"/>
      <c r="BW172" s="821"/>
      <c r="BX172" s="821"/>
      <c r="BY172" s="821"/>
      <c r="BZ172" s="821"/>
      <c r="CA172" s="821"/>
      <c r="CB172" s="821"/>
      <c r="CC172" s="821"/>
      <c r="CD172" s="821"/>
      <c r="CE172" s="821"/>
      <c r="CF172" s="821"/>
      <c r="CG172" s="821"/>
      <c r="CH172" s="821"/>
      <c r="CI172" s="821"/>
      <c r="CJ172" s="821"/>
      <c r="CK172" s="821"/>
      <c r="CL172" s="821"/>
      <c r="CM172" s="821"/>
      <c r="CN172" s="821"/>
      <c r="CO172" s="821"/>
      <c r="CP172" s="821"/>
      <c r="CQ172" s="821"/>
      <c r="CR172" s="821"/>
      <c r="CS172" s="821"/>
      <c r="CT172" s="821"/>
      <c r="CU172" s="821"/>
      <c r="CV172" s="821"/>
      <c r="CW172" s="821"/>
      <c r="CX172" s="821"/>
      <c r="CY172" s="821"/>
      <c r="CZ172" s="821"/>
      <c r="DA172" s="821"/>
      <c r="DB172" s="821"/>
      <c r="DC172" s="821"/>
      <c r="DD172" s="821"/>
      <c r="DE172" s="821"/>
      <c r="DF172" s="821"/>
      <c r="DG172" s="821"/>
      <c r="DH172" s="821"/>
      <c r="DI172" s="821"/>
      <c r="DJ172" s="821"/>
      <c r="DK172" s="821"/>
      <c r="DL172" s="821"/>
      <c r="DM172" s="821"/>
      <c r="DN172" s="821"/>
    </row>
    <row r="173" spans="1:118" s="6" customFormat="1" ht="13.5" thickTop="1">
      <c r="A173" s="55"/>
      <c r="B173" s="55"/>
      <c r="C173" s="55"/>
      <c r="D173" s="55"/>
      <c r="E173" s="137"/>
      <c r="F173" s="137"/>
      <c r="G173" s="137"/>
      <c r="H173" s="96"/>
      <c r="I173" s="98"/>
      <c r="J173" s="98"/>
      <c r="K173" s="55"/>
      <c r="L173" s="607"/>
      <c r="M173" s="607"/>
      <c r="N173" s="607"/>
      <c r="O173" s="607"/>
      <c r="P173" s="607"/>
      <c r="Q173" s="607"/>
      <c r="R173" s="607"/>
      <c r="S173" s="607"/>
      <c r="T173" s="607"/>
      <c r="U173" s="607"/>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821"/>
      <c r="AZ173" s="821"/>
      <c r="BA173" s="821"/>
      <c r="BB173" s="821"/>
      <c r="BC173" s="821"/>
      <c r="BD173" s="821"/>
      <c r="BE173" s="821"/>
      <c r="BF173" s="821"/>
      <c r="BG173" s="821"/>
      <c r="BH173" s="821"/>
      <c r="BI173" s="821"/>
      <c r="BJ173" s="821"/>
      <c r="BK173" s="821"/>
      <c r="BL173" s="821"/>
      <c r="BM173" s="821"/>
      <c r="BN173" s="821"/>
      <c r="BO173" s="821"/>
      <c r="BP173" s="821"/>
      <c r="BQ173" s="821"/>
      <c r="BR173" s="821"/>
      <c r="BS173" s="821"/>
      <c r="BT173" s="821"/>
      <c r="BU173" s="821"/>
      <c r="BV173" s="821"/>
      <c r="BW173" s="821"/>
      <c r="BX173" s="821"/>
      <c r="BY173" s="821"/>
      <c r="BZ173" s="821"/>
      <c r="CA173" s="821"/>
      <c r="CB173" s="821"/>
      <c r="CC173" s="821"/>
      <c r="CD173" s="821"/>
      <c r="CE173" s="821"/>
      <c r="CF173" s="821"/>
      <c r="CG173" s="821"/>
      <c r="CH173" s="821"/>
      <c r="CI173" s="821"/>
      <c r="CJ173" s="821"/>
      <c r="CK173" s="821"/>
      <c r="CL173" s="821"/>
      <c r="CM173" s="821"/>
      <c r="CN173" s="821"/>
      <c r="CO173" s="821"/>
      <c r="CP173" s="821"/>
      <c r="CQ173" s="821"/>
      <c r="CR173" s="821"/>
      <c r="CS173" s="821"/>
      <c r="CT173" s="821"/>
      <c r="CU173" s="821"/>
      <c r="CV173" s="821"/>
      <c r="CW173" s="821"/>
      <c r="CX173" s="821"/>
      <c r="CY173" s="821"/>
      <c r="CZ173" s="821"/>
      <c r="DA173" s="821"/>
      <c r="DB173" s="821"/>
      <c r="DC173" s="821"/>
      <c r="DD173" s="821"/>
      <c r="DE173" s="821"/>
      <c r="DF173" s="821"/>
      <c r="DG173" s="821"/>
      <c r="DH173" s="821"/>
      <c r="DI173" s="821"/>
      <c r="DJ173" s="821"/>
      <c r="DK173" s="821"/>
      <c r="DL173" s="821"/>
      <c r="DM173" s="821"/>
      <c r="DN173" s="821"/>
    </row>
    <row r="174" spans="1:118" s="6" customFormat="1">
      <c r="A174" s="55"/>
      <c r="B174" s="55"/>
      <c r="C174" s="55"/>
      <c r="D174" s="55"/>
      <c r="E174" s="137"/>
      <c r="F174" s="137"/>
      <c r="G174" s="137"/>
      <c r="H174" s="96"/>
      <c r="I174" s="98"/>
      <c r="J174" s="98"/>
      <c r="K174" s="55"/>
      <c r="L174" s="607"/>
      <c r="M174" s="607"/>
      <c r="N174" s="607"/>
      <c r="O174" s="607"/>
      <c r="P174" s="607"/>
      <c r="Q174" s="607"/>
      <c r="R174" s="607"/>
      <c r="S174" s="607"/>
      <c r="T174" s="607"/>
      <c r="U174" s="607"/>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821"/>
      <c r="AZ174" s="821"/>
      <c r="BA174" s="821"/>
      <c r="BB174" s="821"/>
      <c r="BC174" s="821"/>
      <c r="BD174" s="821"/>
      <c r="BE174" s="821"/>
      <c r="BF174" s="821"/>
      <c r="BG174" s="821"/>
      <c r="BH174" s="821"/>
      <c r="BI174" s="821"/>
      <c r="BJ174" s="821"/>
      <c r="BK174" s="821"/>
      <c r="BL174" s="821"/>
      <c r="BM174" s="821"/>
      <c r="BN174" s="821"/>
      <c r="BO174" s="821"/>
      <c r="BP174" s="821"/>
      <c r="BQ174" s="821"/>
      <c r="BR174" s="821"/>
      <c r="BS174" s="821"/>
      <c r="BT174" s="821"/>
      <c r="BU174" s="821"/>
      <c r="BV174" s="821"/>
      <c r="BW174" s="821"/>
      <c r="BX174" s="821"/>
      <c r="BY174" s="821"/>
      <c r="BZ174" s="821"/>
      <c r="CA174" s="821"/>
      <c r="CB174" s="821"/>
      <c r="CC174" s="821"/>
      <c r="CD174" s="821"/>
      <c r="CE174" s="821"/>
      <c r="CF174" s="821"/>
      <c r="CG174" s="821"/>
      <c r="CH174" s="821"/>
      <c r="CI174" s="821"/>
      <c r="CJ174" s="821"/>
      <c r="CK174" s="821"/>
      <c r="CL174" s="821"/>
      <c r="CM174" s="821"/>
      <c r="CN174" s="821"/>
      <c r="CO174" s="821"/>
      <c r="CP174" s="821"/>
      <c r="CQ174" s="821"/>
      <c r="CR174" s="821"/>
      <c r="CS174" s="821"/>
      <c r="CT174" s="821"/>
      <c r="CU174" s="821"/>
      <c r="CV174" s="821"/>
      <c r="CW174" s="821"/>
      <c r="CX174" s="821"/>
      <c r="CY174" s="821"/>
      <c r="CZ174" s="821"/>
      <c r="DA174" s="821"/>
      <c r="DB174" s="821"/>
      <c r="DC174" s="821"/>
      <c r="DD174" s="821"/>
      <c r="DE174" s="821"/>
      <c r="DF174" s="821"/>
      <c r="DG174" s="821"/>
      <c r="DH174" s="821"/>
      <c r="DI174" s="821"/>
      <c r="DJ174" s="821"/>
      <c r="DK174" s="821"/>
      <c r="DL174" s="821"/>
      <c r="DM174" s="821"/>
      <c r="DN174" s="821"/>
    </row>
    <row r="175" spans="1:118" s="6" customFormat="1">
      <c r="A175" s="55"/>
      <c r="B175" s="55"/>
      <c r="C175" s="55"/>
      <c r="D175" s="55"/>
      <c r="E175" s="137"/>
      <c r="F175" s="137"/>
      <c r="G175" s="137"/>
      <c r="H175" s="96"/>
      <c r="I175" s="98"/>
      <c r="J175" s="98"/>
      <c r="K175" s="55"/>
      <c r="L175" s="607"/>
      <c r="M175" s="607"/>
      <c r="N175" s="607"/>
      <c r="O175" s="607"/>
      <c r="P175" s="607"/>
      <c r="Q175" s="607"/>
      <c r="R175" s="607"/>
      <c r="S175" s="607"/>
      <c r="T175" s="607"/>
      <c r="U175" s="607"/>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821"/>
      <c r="AZ175" s="821"/>
      <c r="BA175" s="821"/>
      <c r="BB175" s="821"/>
      <c r="BC175" s="821"/>
      <c r="BD175" s="821"/>
      <c r="BE175" s="821"/>
      <c r="BF175" s="821"/>
      <c r="BG175" s="821"/>
      <c r="BH175" s="821"/>
      <c r="BI175" s="821"/>
      <c r="BJ175" s="821"/>
      <c r="BK175" s="821"/>
      <c r="BL175" s="821"/>
      <c r="BM175" s="821"/>
      <c r="BN175" s="821"/>
      <c r="BO175" s="821"/>
      <c r="BP175" s="821"/>
      <c r="BQ175" s="821"/>
      <c r="BR175" s="821"/>
      <c r="BS175" s="821"/>
      <c r="BT175" s="821"/>
      <c r="BU175" s="821"/>
      <c r="BV175" s="821"/>
      <c r="BW175" s="821"/>
      <c r="BX175" s="821"/>
      <c r="BY175" s="821"/>
      <c r="BZ175" s="821"/>
      <c r="CA175" s="821"/>
      <c r="CB175" s="821"/>
      <c r="CC175" s="821"/>
      <c r="CD175" s="821"/>
      <c r="CE175" s="821"/>
      <c r="CF175" s="821"/>
      <c r="CG175" s="821"/>
      <c r="CH175" s="821"/>
      <c r="CI175" s="821"/>
      <c r="CJ175" s="821"/>
      <c r="CK175" s="821"/>
      <c r="CL175" s="821"/>
      <c r="CM175" s="821"/>
      <c r="CN175" s="821"/>
      <c r="CO175" s="821"/>
      <c r="CP175" s="821"/>
      <c r="CQ175" s="821"/>
      <c r="CR175" s="821"/>
      <c r="CS175" s="821"/>
      <c r="CT175" s="821"/>
      <c r="CU175" s="821"/>
      <c r="CV175" s="821"/>
      <c r="CW175" s="821"/>
      <c r="CX175" s="821"/>
      <c r="CY175" s="821"/>
      <c r="CZ175" s="821"/>
      <c r="DA175" s="821"/>
      <c r="DB175" s="821"/>
      <c r="DC175" s="821"/>
      <c r="DD175" s="821"/>
      <c r="DE175" s="821"/>
      <c r="DF175" s="821"/>
      <c r="DG175" s="821"/>
      <c r="DH175" s="821"/>
      <c r="DI175" s="821"/>
      <c r="DJ175" s="821"/>
      <c r="DK175" s="821"/>
      <c r="DL175" s="821"/>
      <c r="DM175" s="821"/>
      <c r="DN175" s="821"/>
    </row>
    <row r="176" spans="1:118" s="6" customFormat="1">
      <c r="A176" s="55"/>
      <c r="B176" s="55"/>
      <c r="C176" s="55"/>
      <c r="D176" s="55"/>
      <c r="E176" s="137"/>
      <c r="F176" s="137"/>
      <c r="G176" s="137"/>
      <c r="H176" s="96"/>
      <c r="I176" s="98"/>
      <c r="J176" s="98"/>
      <c r="K176" s="55"/>
      <c r="L176" s="607"/>
      <c r="M176" s="607"/>
      <c r="N176" s="607"/>
      <c r="O176" s="607"/>
      <c r="P176" s="607"/>
      <c r="Q176" s="607"/>
      <c r="R176" s="607"/>
      <c r="S176" s="607"/>
      <c r="T176" s="607"/>
      <c r="U176" s="607"/>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821"/>
      <c r="AZ176" s="821"/>
      <c r="BA176" s="821"/>
      <c r="BB176" s="821"/>
      <c r="BC176" s="821"/>
      <c r="BD176" s="821"/>
      <c r="BE176" s="821"/>
      <c r="BF176" s="821"/>
      <c r="BG176" s="821"/>
      <c r="BH176" s="821"/>
      <c r="BI176" s="821"/>
      <c r="BJ176" s="821"/>
      <c r="BK176" s="821"/>
      <c r="BL176" s="821"/>
      <c r="BM176" s="821"/>
      <c r="BN176" s="821"/>
      <c r="BO176" s="821"/>
      <c r="BP176" s="821"/>
      <c r="BQ176" s="821"/>
      <c r="BR176" s="821"/>
      <c r="BS176" s="821"/>
      <c r="BT176" s="821"/>
      <c r="BU176" s="821"/>
      <c r="BV176" s="821"/>
      <c r="BW176" s="821"/>
      <c r="BX176" s="821"/>
      <c r="BY176" s="821"/>
      <c r="BZ176" s="821"/>
      <c r="CA176" s="821"/>
      <c r="CB176" s="821"/>
      <c r="CC176" s="821"/>
      <c r="CD176" s="821"/>
      <c r="CE176" s="821"/>
      <c r="CF176" s="821"/>
      <c r="CG176" s="821"/>
      <c r="CH176" s="821"/>
      <c r="CI176" s="821"/>
      <c r="CJ176" s="821"/>
      <c r="CK176" s="821"/>
      <c r="CL176" s="821"/>
      <c r="CM176" s="821"/>
      <c r="CN176" s="821"/>
      <c r="CO176" s="821"/>
      <c r="CP176" s="821"/>
      <c r="CQ176" s="821"/>
      <c r="CR176" s="821"/>
      <c r="CS176" s="821"/>
      <c r="CT176" s="821"/>
      <c r="CU176" s="821"/>
      <c r="CV176" s="821"/>
      <c r="CW176" s="821"/>
      <c r="CX176" s="821"/>
      <c r="CY176" s="821"/>
      <c r="CZ176" s="821"/>
      <c r="DA176" s="821"/>
      <c r="DB176" s="821"/>
      <c r="DC176" s="821"/>
      <c r="DD176" s="821"/>
      <c r="DE176" s="821"/>
      <c r="DF176" s="821"/>
      <c r="DG176" s="821"/>
      <c r="DH176" s="821"/>
      <c r="DI176" s="821"/>
      <c r="DJ176" s="821"/>
      <c r="DK176" s="821"/>
      <c r="DL176" s="821"/>
      <c r="DM176" s="821"/>
      <c r="DN176" s="821"/>
    </row>
    <row r="177" spans="5:118" s="6" customFormat="1">
      <c r="E177" s="137"/>
      <c r="F177" s="137"/>
      <c r="G177" s="137"/>
      <c r="H177" s="96"/>
      <c r="I177" s="98"/>
      <c r="J177" s="98"/>
      <c r="K177" s="55"/>
      <c r="L177" s="607"/>
      <c r="M177" s="607"/>
      <c r="N177" s="607"/>
      <c r="O177" s="607"/>
      <c r="P177" s="607"/>
      <c r="Q177" s="607"/>
      <c r="R177" s="607"/>
      <c r="S177" s="607"/>
      <c r="T177" s="607"/>
      <c r="U177" s="607"/>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821"/>
      <c r="AZ177" s="821"/>
      <c r="BA177" s="821"/>
      <c r="BB177" s="821"/>
      <c r="BC177" s="821"/>
      <c r="BD177" s="821"/>
      <c r="BE177" s="821"/>
      <c r="BF177" s="821"/>
      <c r="BG177" s="821"/>
      <c r="BH177" s="821"/>
      <c r="BI177" s="821"/>
      <c r="BJ177" s="821"/>
      <c r="BK177" s="821"/>
      <c r="BL177" s="821"/>
      <c r="BM177" s="821"/>
      <c r="BN177" s="821"/>
      <c r="BO177" s="821"/>
      <c r="BP177" s="821"/>
      <c r="BQ177" s="821"/>
      <c r="BR177" s="821"/>
      <c r="BS177" s="821"/>
      <c r="BT177" s="821"/>
      <c r="BU177" s="821"/>
      <c r="BV177" s="821"/>
      <c r="BW177" s="821"/>
      <c r="BX177" s="821"/>
      <c r="BY177" s="821"/>
      <c r="BZ177" s="821"/>
      <c r="CA177" s="821"/>
      <c r="CB177" s="821"/>
      <c r="CC177" s="821"/>
      <c r="CD177" s="821"/>
      <c r="CE177" s="821"/>
      <c r="CF177" s="821"/>
      <c r="CG177" s="821"/>
      <c r="CH177" s="821"/>
      <c r="CI177" s="821"/>
      <c r="CJ177" s="821"/>
      <c r="CK177" s="821"/>
      <c r="CL177" s="821"/>
      <c r="CM177" s="821"/>
      <c r="CN177" s="821"/>
      <c r="CO177" s="821"/>
      <c r="CP177" s="821"/>
      <c r="CQ177" s="821"/>
      <c r="CR177" s="821"/>
      <c r="CS177" s="821"/>
      <c r="CT177" s="821"/>
      <c r="CU177" s="821"/>
      <c r="CV177" s="821"/>
      <c r="CW177" s="821"/>
      <c r="CX177" s="821"/>
      <c r="CY177" s="821"/>
      <c r="CZ177" s="821"/>
      <c r="DA177" s="821"/>
      <c r="DB177" s="821"/>
      <c r="DC177" s="821"/>
      <c r="DD177" s="821"/>
      <c r="DE177" s="821"/>
      <c r="DF177" s="821"/>
      <c r="DG177" s="821"/>
      <c r="DH177" s="821"/>
      <c r="DI177" s="821"/>
      <c r="DJ177" s="821"/>
      <c r="DK177" s="821"/>
      <c r="DL177" s="821"/>
      <c r="DM177" s="821"/>
      <c r="DN177" s="821"/>
    </row>
    <row r="178" spans="5:118" s="6" customFormat="1">
      <c r="E178" s="137"/>
      <c r="F178" s="137"/>
      <c r="G178" s="137"/>
      <c r="H178" s="96"/>
      <c r="I178" s="98"/>
      <c r="J178" s="98"/>
      <c r="K178" s="55"/>
      <c r="L178" s="607"/>
      <c r="M178" s="607"/>
      <c r="N178" s="607"/>
      <c r="O178" s="607"/>
      <c r="P178" s="607"/>
      <c r="Q178" s="607"/>
      <c r="R178" s="607"/>
      <c r="S178" s="607"/>
      <c r="T178" s="607"/>
      <c r="U178" s="607"/>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821"/>
      <c r="AZ178" s="821"/>
      <c r="BA178" s="821"/>
      <c r="BB178" s="821"/>
      <c r="BC178" s="821"/>
      <c r="BD178" s="821"/>
      <c r="BE178" s="821"/>
      <c r="BF178" s="821"/>
      <c r="BG178" s="821"/>
      <c r="BH178" s="821"/>
      <c r="BI178" s="821"/>
      <c r="BJ178" s="821"/>
      <c r="BK178" s="821"/>
      <c r="BL178" s="821"/>
      <c r="BM178" s="821"/>
      <c r="BN178" s="821"/>
      <c r="BO178" s="821"/>
      <c r="BP178" s="821"/>
      <c r="BQ178" s="821"/>
      <c r="BR178" s="821"/>
      <c r="BS178" s="821"/>
      <c r="BT178" s="821"/>
      <c r="BU178" s="821"/>
      <c r="BV178" s="821"/>
      <c r="BW178" s="821"/>
      <c r="BX178" s="821"/>
      <c r="BY178" s="821"/>
      <c r="BZ178" s="821"/>
      <c r="CA178" s="821"/>
      <c r="CB178" s="821"/>
      <c r="CC178" s="821"/>
      <c r="CD178" s="821"/>
      <c r="CE178" s="821"/>
      <c r="CF178" s="821"/>
      <c r="CG178" s="821"/>
      <c r="CH178" s="821"/>
      <c r="CI178" s="821"/>
      <c r="CJ178" s="821"/>
      <c r="CK178" s="821"/>
      <c r="CL178" s="821"/>
      <c r="CM178" s="821"/>
      <c r="CN178" s="821"/>
      <c r="CO178" s="821"/>
      <c r="CP178" s="821"/>
      <c r="CQ178" s="821"/>
      <c r="CR178" s="821"/>
      <c r="CS178" s="821"/>
      <c r="CT178" s="821"/>
      <c r="CU178" s="821"/>
      <c r="CV178" s="821"/>
      <c r="CW178" s="821"/>
      <c r="CX178" s="821"/>
      <c r="CY178" s="821"/>
      <c r="CZ178" s="821"/>
      <c r="DA178" s="821"/>
      <c r="DB178" s="821"/>
      <c r="DC178" s="821"/>
      <c r="DD178" s="821"/>
      <c r="DE178" s="821"/>
      <c r="DF178" s="821"/>
      <c r="DG178" s="821"/>
      <c r="DH178" s="821"/>
      <c r="DI178" s="821"/>
      <c r="DJ178" s="821"/>
      <c r="DK178" s="821"/>
      <c r="DL178" s="821"/>
      <c r="DM178" s="821"/>
      <c r="DN178" s="821"/>
    </row>
    <row r="179" spans="5:118" s="6" customFormat="1">
      <c r="E179" s="137"/>
      <c r="F179" s="137"/>
      <c r="G179" s="137"/>
      <c r="H179" s="96"/>
      <c r="I179" s="98"/>
      <c r="J179" s="98"/>
      <c r="K179" s="55"/>
      <c r="L179" s="607"/>
      <c r="M179" s="607"/>
      <c r="N179" s="607"/>
      <c r="O179" s="607"/>
      <c r="P179" s="607"/>
      <c r="Q179" s="607"/>
      <c r="R179" s="607"/>
      <c r="S179" s="607"/>
      <c r="T179" s="607"/>
      <c r="U179" s="607"/>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821"/>
      <c r="AZ179" s="821"/>
      <c r="BA179" s="821"/>
      <c r="BB179" s="821"/>
      <c r="BC179" s="821"/>
      <c r="BD179" s="821"/>
      <c r="BE179" s="821"/>
      <c r="BF179" s="821"/>
      <c r="BG179" s="821"/>
      <c r="BH179" s="821"/>
      <c r="BI179" s="821"/>
      <c r="BJ179" s="821"/>
      <c r="BK179" s="821"/>
      <c r="BL179" s="821"/>
      <c r="BM179" s="821"/>
      <c r="BN179" s="821"/>
      <c r="BO179" s="821"/>
      <c r="BP179" s="821"/>
      <c r="BQ179" s="821"/>
      <c r="BR179" s="821"/>
      <c r="BS179" s="821"/>
      <c r="BT179" s="821"/>
      <c r="BU179" s="821"/>
      <c r="BV179" s="821"/>
      <c r="BW179" s="821"/>
      <c r="BX179" s="821"/>
      <c r="BY179" s="821"/>
      <c r="BZ179" s="821"/>
      <c r="CA179" s="821"/>
      <c r="CB179" s="821"/>
      <c r="CC179" s="821"/>
      <c r="CD179" s="821"/>
      <c r="CE179" s="821"/>
      <c r="CF179" s="821"/>
      <c r="CG179" s="821"/>
      <c r="CH179" s="821"/>
      <c r="CI179" s="821"/>
      <c r="CJ179" s="821"/>
      <c r="CK179" s="821"/>
      <c r="CL179" s="821"/>
      <c r="CM179" s="821"/>
      <c r="CN179" s="821"/>
      <c r="CO179" s="821"/>
      <c r="CP179" s="821"/>
      <c r="CQ179" s="821"/>
      <c r="CR179" s="821"/>
      <c r="CS179" s="821"/>
      <c r="CT179" s="821"/>
      <c r="CU179" s="821"/>
      <c r="CV179" s="821"/>
      <c r="CW179" s="821"/>
      <c r="CX179" s="821"/>
      <c r="CY179" s="821"/>
      <c r="CZ179" s="821"/>
      <c r="DA179" s="821"/>
      <c r="DB179" s="821"/>
      <c r="DC179" s="821"/>
      <c r="DD179" s="821"/>
      <c r="DE179" s="821"/>
      <c r="DF179" s="821"/>
      <c r="DG179" s="821"/>
      <c r="DH179" s="821"/>
      <c r="DI179" s="821"/>
      <c r="DJ179" s="821"/>
      <c r="DK179" s="821"/>
      <c r="DL179" s="821"/>
      <c r="DM179" s="821"/>
      <c r="DN179" s="821"/>
    </row>
    <row r="180" spans="5:118" s="6" customFormat="1">
      <c r="E180" s="137"/>
      <c r="F180" s="137"/>
      <c r="G180" s="137"/>
      <c r="H180" s="96"/>
      <c r="I180" s="98"/>
      <c r="J180" s="98"/>
      <c r="K180" s="55"/>
      <c r="L180" s="607"/>
      <c r="M180" s="607"/>
      <c r="N180" s="607"/>
      <c r="O180" s="607"/>
      <c r="P180" s="607"/>
      <c r="Q180" s="607"/>
      <c r="R180" s="607"/>
      <c r="S180" s="607"/>
      <c r="T180" s="607"/>
      <c r="U180" s="607"/>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821"/>
      <c r="AZ180" s="821"/>
      <c r="BA180" s="821"/>
      <c r="BB180" s="821"/>
      <c r="BC180" s="821"/>
      <c r="BD180" s="821"/>
      <c r="BE180" s="821"/>
      <c r="BF180" s="821"/>
      <c r="BG180" s="821"/>
      <c r="BH180" s="821"/>
      <c r="BI180" s="821"/>
      <c r="BJ180" s="821"/>
      <c r="BK180" s="821"/>
      <c r="BL180" s="821"/>
      <c r="BM180" s="821"/>
      <c r="BN180" s="821"/>
      <c r="BO180" s="821"/>
      <c r="BP180" s="821"/>
      <c r="BQ180" s="821"/>
      <c r="BR180" s="821"/>
      <c r="BS180" s="821"/>
      <c r="BT180" s="821"/>
      <c r="BU180" s="821"/>
      <c r="BV180" s="821"/>
      <c r="BW180" s="821"/>
      <c r="BX180" s="821"/>
      <c r="BY180" s="821"/>
      <c r="BZ180" s="821"/>
      <c r="CA180" s="821"/>
      <c r="CB180" s="821"/>
      <c r="CC180" s="821"/>
      <c r="CD180" s="821"/>
      <c r="CE180" s="821"/>
      <c r="CF180" s="821"/>
      <c r="CG180" s="821"/>
      <c r="CH180" s="821"/>
      <c r="CI180" s="821"/>
      <c r="CJ180" s="821"/>
      <c r="CK180" s="821"/>
      <c r="CL180" s="821"/>
      <c r="CM180" s="821"/>
      <c r="CN180" s="821"/>
      <c r="CO180" s="821"/>
      <c r="CP180" s="821"/>
      <c r="CQ180" s="821"/>
      <c r="CR180" s="821"/>
      <c r="CS180" s="821"/>
      <c r="CT180" s="821"/>
      <c r="CU180" s="821"/>
      <c r="CV180" s="821"/>
      <c r="CW180" s="821"/>
      <c r="CX180" s="821"/>
      <c r="CY180" s="821"/>
      <c r="CZ180" s="821"/>
      <c r="DA180" s="821"/>
      <c r="DB180" s="821"/>
      <c r="DC180" s="821"/>
      <c r="DD180" s="821"/>
      <c r="DE180" s="821"/>
      <c r="DF180" s="821"/>
      <c r="DG180" s="821"/>
      <c r="DH180" s="821"/>
      <c r="DI180" s="821"/>
      <c r="DJ180" s="821"/>
      <c r="DK180" s="821"/>
      <c r="DL180" s="821"/>
      <c r="DM180" s="821"/>
      <c r="DN180" s="821"/>
    </row>
    <row r="181" spans="5:118" s="6" customFormat="1">
      <c r="E181" s="137"/>
      <c r="F181" s="137"/>
      <c r="G181" s="137"/>
      <c r="H181" s="96"/>
      <c r="I181" s="98"/>
      <c r="J181" s="98"/>
      <c r="K181" s="55"/>
      <c r="L181" s="607"/>
      <c r="M181" s="607"/>
      <c r="N181" s="607"/>
      <c r="O181" s="607"/>
      <c r="P181" s="607"/>
      <c r="Q181" s="607"/>
      <c r="R181" s="607"/>
      <c r="S181" s="607"/>
      <c r="T181" s="607"/>
      <c r="U181" s="607"/>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821"/>
      <c r="AZ181" s="821"/>
      <c r="BA181" s="821"/>
      <c r="BB181" s="821"/>
      <c r="BC181" s="821"/>
      <c r="BD181" s="821"/>
      <c r="BE181" s="821"/>
      <c r="BF181" s="821"/>
      <c r="BG181" s="821"/>
      <c r="BH181" s="821"/>
      <c r="BI181" s="821"/>
      <c r="BJ181" s="821"/>
      <c r="BK181" s="821"/>
      <c r="BL181" s="821"/>
      <c r="BM181" s="821"/>
      <c r="BN181" s="821"/>
      <c r="BO181" s="821"/>
      <c r="BP181" s="821"/>
      <c r="BQ181" s="821"/>
      <c r="BR181" s="821"/>
      <c r="BS181" s="821"/>
      <c r="BT181" s="821"/>
      <c r="BU181" s="821"/>
      <c r="BV181" s="821"/>
      <c r="BW181" s="821"/>
      <c r="BX181" s="821"/>
      <c r="BY181" s="821"/>
      <c r="BZ181" s="821"/>
      <c r="CA181" s="821"/>
      <c r="CB181" s="821"/>
      <c r="CC181" s="821"/>
      <c r="CD181" s="821"/>
      <c r="CE181" s="821"/>
      <c r="CF181" s="821"/>
      <c r="CG181" s="821"/>
      <c r="CH181" s="821"/>
      <c r="CI181" s="821"/>
      <c r="CJ181" s="821"/>
      <c r="CK181" s="821"/>
      <c r="CL181" s="821"/>
      <c r="CM181" s="821"/>
      <c r="CN181" s="821"/>
      <c r="CO181" s="821"/>
      <c r="CP181" s="821"/>
      <c r="CQ181" s="821"/>
      <c r="CR181" s="821"/>
      <c r="CS181" s="821"/>
      <c r="CT181" s="821"/>
      <c r="CU181" s="821"/>
      <c r="CV181" s="821"/>
      <c r="CW181" s="821"/>
      <c r="CX181" s="821"/>
      <c r="CY181" s="821"/>
      <c r="CZ181" s="821"/>
      <c r="DA181" s="821"/>
      <c r="DB181" s="821"/>
      <c r="DC181" s="821"/>
      <c r="DD181" s="821"/>
      <c r="DE181" s="821"/>
      <c r="DF181" s="821"/>
      <c r="DG181" s="821"/>
      <c r="DH181" s="821"/>
      <c r="DI181" s="821"/>
      <c r="DJ181" s="821"/>
      <c r="DK181" s="821"/>
      <c r="DL181" s="821"/>
      <c r="DM181" s="821"/>
      <c r="DN181" s="821"/>
    </row>
    <row r="182" spans="5:118" s="6" customFormat="1">
      <c r="E182" s="137"/>
      <c r="F182" s="137"/>
      <c r="G182" s="137"/>
      <c r="H182" s="96"/>
      <c r="I182" s="98"/>
      <c r="J182" s="98"/>
      <c r="K182" s="55"/>
      <c r="L182" s="607"/>
      <c r="M182" s="607"/>
      <c r="N182" s="607"/>
      <c r="O182" s="607"/>
      <c r="P182" s="607"/>
      <c r="Q182" s="607"/>
      <c r="R182" s="607"/>
      <c r="S182" s="607"/>
      <c r="T182" s="607"/>
      <c r="U182" s="607"/>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821"/>
      <c r="AZ182" s="821"/>
      <c r="BA182" s="821"/>
      <c r="BB182" s="821"/>
      <c r="BC182" s="821"/>
      <c r="BD182" s="821"/>
      <c r="BE182" s="821"/>
      <c r="BF182" s="821"/>
      <c r="BG182" s="821"/>
      <c r="BH182" s="821"/>
      <c r="BI182" s="821"/>
      <c r="BJ182" s="821"/>
      <c r="BK182" s="821"/>
      <c r="BL182" s="821"/>
      <c r="BM182" s="821"/>
      <c r="BN182" s="821"/>
      <c r="BO182" s="821"/>
      <c r="BP182" s="821"/>
      <c r="BQ182" s="821"/>
      <c r="BR182" s="821"/>
      <c r="BS182" s="821"/>
      <c r="BT182" s="821"/>
      <c r="BU182" s="821"/>
      <c r="BV182" s="821"/>
      <c r="BW182" s="821"/>
      <c r="BX182" s="821"/>
      <c r="BY182" s="821"/>
      <c r="BZ182" s="821"/>
      <c r="CA182" s="821"/>
      <c r="CB182" s="821"/>
      <c r="CC182" s="821"/>
      <c r="CD182" s="821"/>
      <c r="CE182" s="821"/>
      <c r="CF182" s="821"/>
      <c r="CG182" s="821"/>
      <c r="CH182" s="821"/>
      <c r="CI182" s="821"/>
      <c r="CJ182" s="821"/>
      <c r="CK182" s="821"/>
      <c r="CL182" s="821"/>
      <c r="CM182" s="821"/>
      <c r="CN182" s="821"/>
      <c r="CO182" s="821"/>
      <c r="CP182" s="821"/>
      <c r="CQ182" s="821"/>
      <c r="CR182" s="821"/>
      <c r="CS182" s="821"/>
      <c r="CT182" s="821"/>
      <c r="CU182" s="821"/>
      <c r="CV182" s="821"/>
      <c r="CW182" s="821"/>
      <c r="CX182" s="821"/>
      <c r="CY182" s="821"/>
      <c r="CZ182" s="821"/>
      <c r="DA182" s="821"/>
      <c r="DB182" s="821"/>
      <c r="DC182" s="821"/>
      <c r="DD182" s="821"/>
      <c r="DE182" s="821"/>
      <c r="DF182" s="821"/>
      <c r="DG182" s="821"/>
      <c r="DH182" s="821"/>
      <c r="DI182" s="821"/>
      <c r="DJ182" s="821"/>
      <c r="DK182" s="821"/>
      <c r="DL182" s="821"/>
      <c r="DM182" s="821"/>
      <c r="DN182" s="821"/>
    </row>
    <row r="183" spans="5:118" s="6" customFormat="1">
      <c r="E183" s="137"/>
      <c r="F183" s="137"/>
      <c r="G183" s="137"/>
      <c r="H183" s="96"/>
      <c r="I183" s="98"/>
      <c r="J183" s="98"/>
      <c r="K183" s="55"/>
      <c r="L183" s="607"/>
      <c r="M183" s="607"/>
      <c r="N183" s="607"/>
      <c r="O183" s="607"/>
      <c r="P183" s="607"/>
      <c r="Q183" s="607"/>
      <c r="R183" s="607"/>
      <c r="S183" s="607"/>
      <c r="T183" s="607"/>
      <c r="U183" s="607"/>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821"/>
      <c r="AZ183" s="821"/>
      <c r="BA183" s="821"/>
      <c r="BB183" s="821"/>
      <c r="BC183" s="821"/>
      <c r="BD183" s="821"/>
      <c r="BE183" s="821"/>
      <c r="BF183" s="821"/>
      <c r="BG183" s="821"/>
      <c r="BH183" s="821"/>
      <c r="BI183" s="821"/>
      <c r="BJ183" s="821"/>
      <c r="BK183" s="821"/>
      <c r="BL183" s="821"/>
      <c r="BM183" s="821"/>
      <c r="BN183" s="821"/>
      <c r="BO183" s="821"/>
      <c r="BP183" s="821"/>
      <c r="BQ183" s="821"/>
      <c r="BR183" s="821"/>
      <c r="BS183" s="821"/>
      <c r="BT183" s="821"/>
      <c r="BU183" s="821"/>
      <c r="BV183" s="821"/>
      <c r="BW183" s="821"/>
      <c r="BX183" s="821"/>
      <c r="BY183" s="821"/>
      <c r="BZ183" s="821"/>
      <c r="CA183" s="821"/>
      <c r="CB183" s="821"/>
      <c r="CC183" s="821"/>
      <c r="CD183" s="821"/>
      <c r="CE183" s="821"/>
      <c r="CF183" s="821"/>
      <c r="CG183" s="821"/>
      <c r="CH183" s="821"/>
      <c r="CI183" s="821"/>
      <c r="CJ183" s="821"/>
      <c r="CK183" s="821"/>
      <c r="CL183" s="821"/>
      <c r="CM183" s="821"/>
      <c r="CN183" s="821"/>
      <c r="CO183" s="821"/>
      <c r="CP183" s="821"/>
      <c r="CQ183" s="821"/>
      <c r="CR183" s="821"/>
      <c r="CS183" s="821"/>
      <c r="CT183" s="821"/>
      <c r="CU183" s="821"/>
      <c r="CV183" s="821"/>
      <c r="CW183" s="821"/>
      <c r="CX183" s="821"/>
      <c r="CY183" s="821"/>
      <c r="CZ183" s="821"/>
      <c r="DA183" s="821"/>
      <c r="DB183" s="821"/>
      <c r="DC183" s="821"/>
      <c r="DD183" s="821"/>
      <c r="DE183" s="821"/>
      <c r="DF183" s="821"/>
      <c r="DG183" s="821"/>
      <c r="DH183" s="821"/>
      <c r="DI183" s="821"/>
      <c r="DJ183" s="821"/>
      <c r="DK183" s="821"/>
      <c r="DL183" s="821"/>
      <c r="DM183" s="821"/>
      <c r="DN183" s="821"/>
    </row>
    <row r="184" spans="5:118" s="6" customFormat="1">
      <c r="E184" s="137"/>
      <c r="F184" s="137"/>
      <c r="G184" s="137"/>
      <c r="H184" s="96"/>
      <c r="I184" s="98"/>
      <c r="J184" s="98"/>
      <c r="K184" s="55"/>
      <c r="L184" s="607"/>
      <c r="M184" s="607"/>
      <c r="N184" s="607"/>
      <c r="O184" s="607"/>
      <c r="P184" s="607"/>
      <c r="Q184" s="607"/>
      <c r="R184" s="607"/>
      <c r="S184" s="607"/>
      <c r="T184" s="607"/>
      <c r="U184" s="607"/>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821"/>
      <c r="AZ184" s="821"/>
      <c r="BA184" s="821"/>
      <c r="BB184" s="821"/>
      <c r="BC184" s="821"/>
      <c r="BD184" s="821"/>
      <c r="BE184" s="821"/>
      <c r="BF184" s="821"/>
      <c r="BG184" s="821"/>
      <c r="BH184" s="821"/>
      <c r="BI184" s="821"/>
      <c r="BJ184" s="821"/>
      <c r="BK184" s="821"/>
      <c r="BL184" s="821"/>
      <c r="BM184" s="821"/>
      <c r="BN184" s="821"/>
      <c r="BO184" s="821"/>
      <c r="BP184" s="821"/>
      <c r="BQ184" s="821"/>
      <c r="BR184" s="821"/>
      <c r="BS184" s="821"/>
      <c r="BT184" s="821"/>
      <c r="BU184" s="821"/>
      <c r="BV184" s="821"/>
      <c r="BW184" s="821"/>
      <c r="BX184" s="821"/>
      <c r="BY184" s="821"/>
      <c r="BZ184" s="821"/>
      <c r="CA184" s="821"/>
      <c r="CB184" s="821"/>
      <c r="CC184" s="821"/>
      <c r="CD184" s="821"/>
      <c r="CE184" s="821"/>
      <c r="CF184" s="821"/>
      <c r="CG184" s="821"/>
      <c r="CH184" s="821"/>
      <c r="CI184" s="821"/>
      <c r="CJ184" s="821"/>
      <c r="CK184" s="821"/>
      <c r="CL184" s="821"/>
      <c r="CM184" s="821"/>
      <c r="CN184" s="821"/>
      <c r="CO184" s="821"/>
      <c r="CP184" s="821"/>
      <c r="CQ184" s="821"/>
      <c r="CR184" s="821"/>
      <c r="CS184" s="821"/>
      <c r="CT184" s="821"/>
      <c r="CU184" s="821"/>
      <c r="CV184" s="821"/>
      <c r="CW184" s="821"/>
      <c r="CX184" s="821"/>
      <c r="CY184" s="821"/>
      <c r="CZ184" s="821"/>
      <c r="DA184" s="821"/>
      <c r="DB184" s="821"/>
      <c r="DC184" s="821"/>
      <c r="DD184" s="821"/>
      <c r="DE184" s="821"/>
      <c r="DF184" s="821"/>
      <c r="DG184" s="821"/>
      <c r="DH184" s="821"/>
      <c r="DI184" s="821"/>
      <c r="DJ184" s="821"/>
      <c r="DK184" s="821"/>
      <c r="DL184" s="821"/>
      <c r="DM184" s="821"/>
      <c r="DN184" s="821"/>
    </row>
    <row r="185" spans="5:118" s="6" customFormat="1">
      <c r="E185" s="137"/>
      <c r="F185" s="137"/>
      <c r="G185" s="137"/>
      <c r="H185" s="96"/>
      <c r="I185" s="98"/>
      <c r="J185" s="98"/>
      <c r="K185" s="55"/>
      <c r="L185" s="607"/>
      <c r="M185" s="607"/>
      <c r="N185" s="607"/>
      <c r="O185" s="607"/>
      <c r="P185" s="607"/>
      <c r="Q185" s="607"/>
      <c r="R185" s="607"/>
      <c r="S185" s="607"/>
      <c r="T185" s="607"/>
      <c r="U185" s="607"/>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821"/>
      <c r="AZ185" s="821"/>
      <c r="BA185" s="821"/>
      <c r="BB185" s="821"/>
      <c r="BC185" s="821"/>
      <c r="BD185" s="821"/>
      <c r="BE185" s="821"/>
      <c r="BF185" s="821"/>
      <c r="BG185" s="821"/>
      <c r="BH185" s="821"/>
      <c r="BI185" s="821"/>
      <c r="BJ185" s="821"/>
      <c r="BK185" s="821"/>
      <c r="BL185" s="821"/>
      <c r="BM185" s="821"/>
      <c r="BN185" s="821"/>
      <c r="BO185" s="821"/>
      <c r="BP185" s="821"/>
      <c r="BQ185" s="821"/>
      <c r="BR185" s="821"/>
      <c r="BS185" s="821"/>
      <c r="BT185" s="821"/>
      <c r="BU185" s="821"/>
      <c r="BV185" s="821"/>
      <c r="BW185" s="821"/>
      <c r="BX185" s="821"/>
      <c r="BY185" s="821"/>
      <c r="BZ185" s="821"/>
      <c r="CA185" s="821"/>
      <c r="CB185" s="821"/>
      <c r="CC185" s="821"/>
      <c r="CD185" s="821"/>
      <c r="CE185" s="821"/>
      <c r="CF185" s="821"/>
      <c r="CG185" s="821"/>
      <c r="CH185" s="821"/>
      <c r="CI185" s="821"/>
      <c r="CJ185" s="821"/>
      <c r="CK185" s="821"/>
      <c r="CL185" s="821"/>
      <c r="CM185" s="821"/>
      <c r="CN185" s="821"/>
      <c r="CO185" s="821"/>
      <c r="CP185" s="821"/>
      <c r="CQ185" s="821"/>
      <c r="CR185" s="821"/>
      <c r="CS185" s="821"/>
      <c r="CT185" s="821"/>
      <c r="CU185" s="821"/>
      <c r="CV185" s="821"/>
      <c r="CW185" s="821"/>
      <c r="CX185" s="821"/>
      <c r="CY185" s="821"/>
      <c r="CZ185" s="821"/>
      <c r="DA185" s="821"/>
      <c r="DB185" s="821"/>
      <c r="DC185" s="821"/>
      <c r="DD185" s="821"/>
      <c r="DE185" s="821"/>
      <c r="DF185" s="821"/>
      <c r="DG185" s="821"/>
      <c r="DH185" s="821"/>
      <c r="DI185" s="821"/>
      <c r="DJ185" s="821"/>
      <c r="DK185" s="821"/>
      <c r="DL185" s="821"/>
      <c r="DM185" s="821"/>
      <c r="DN185" s="821"/>
    </row>
    <row r="186" spans="5:118" s="6" customFormat="1">
      <c r="E186" s="137"/>
      <c r="F186" s="137"/>
      <c r="G186" s="137"/>
      <c r="H186" s="96"/>
      <c r="I186" s="98"/>
      <c r="J186" s="98"/>
      <c r="K186" s="55"/>
      <c r="L186" s="607"/>
      <c r="M186" s="607"/>
      <c r="N186" s="607"/>
      <c r="O186" s="607"/>
      <c r="P186" s="607"/>
      <c r="Q186" s="607"/>
      <c r="R186" s="607"/>
      <c r="S186" s="607"/>
      <c r="T186" s="607"/>
      <c r="U186" s="607"/>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821"/>
      <c r="AZ186" s="821"/>
      <c r="BA186" s="821"/>
      <c r="BB186" s="821"/>
      <c r="BC186" s="821"/>
      <c r="BD186" s="821"/>
      <c r="BE186" s="821"/>
      <c r="BF186" s="821"/>
      <c r="BG186" s="821"/>
      <c r="BH186" s="821"/>
      <c r="BI186" s="821"/>
      <c r="BJ186" s="821"/>
      <c r="BK186" s="821"/>
      <c r="BL186" s="821"/>
      <c r="BM186" s="821"/>
      <c r="BN186" s="821"/>
      <c r="BO186" s="821"/>
      <c r="BP186" s="821"/>
      <c r="BQ186" s="821"/>
      <c r="BR186" s="821"/>
      <c r="BS186" s="821"/>
      <c r="BT186" s="821"/>
      <c r="BU186" s="821"/>
      <c r="BV186" s="821"/>
      <c r="BW186" s="821"/>
      <c r="BX186" s="821"/>
      <c r="BY186" s="821"/>
      <c r="BZ186" s="821"/>
      <c r="CA186" s="821"/>
      <c r="CB186" s="821"/>
      <c r="CC186" s="821"/>
      <c r="CD186" s="821"/>
      <c r="CE186" s="821"/>
      <c r="CF186" s="821"/>
      <c r="CG186" s="821"/>
      <c r="CH186" s="821"/>
      <c r="CI186" s="821"/>
      <c r="CJ186" s="821"/>
      <c r="CK186" s="821"/>
      <c r="CL186" s="821"/>
      <c r="CM186" s="821"/>
      <c r="CN186" s="821"/>
      <c r="CO186" s="821"/>
      <c r="CP186" s="821"/>
      <c r="CQ186" s="821"/>
      <c r="CR186" s="821"/>
      <c r="CS186" s="821"/>
      <c r="CT186" s="821"/>
      <c r="CU186" s="821"/>
      <c r="CV186" s="821"/>
      <c r="CW186" s="821"/>
      <c r="CX186" s="821"/>
      <c r="CY186" s="821"/>
      <c r="CZ186" s="821"/>
      <c r="DA186" s="821"/>
      <c r="DB186" s="821"/>
      <c r="DC186" s="821"/>
      <c r="DD186" s="821"/>
      <c r="DE186" s="821"/>
      <c r="DF186" s="821"/>
      <c r="DG186" s="821"/>
      <c r="DH186" s="821"/>
      <c r="DI186" s="821"/>
      <c r="DJ186" s="821"/>
      <c r="DK186" s="821"/>
      <c r="DL186" s="821"/>
      <c r="DM186" s="821"/>
      <c r="DN186" s="821"/>
    </row>
    <row r="187" spans="5:118" s="6" customFormat="1">
      <c r="E187" s="137"/>
      <c r="F187" s="137"/>
      <c r="G187" s="137"/>
      <c r="H187" s="96"/>
      <c r="I187" s="98"/>
      <c r="J187" s="98"/>
      <c r="K187" s="55"/>
      <c r="L187" s="607"/>
      <c r="M187" s="607"/>
      <c r="N187" s="607"/>
      <c r="O187" s="607"/>
      <c r="P187" s="607"/>
      <c r="Q187" s="607"/>
      <c r="R187" s="607"/>
      <c r="S187" s="607"/>
      <c r="T187" s="607"/>
      <c r="U187" s="607"/>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821"/>
      <c r="AZ187" s="821"/>
      <c r="BA187" s="821"/>
      <c r="BB187" s="821"/>
      <c r="BC187" s="821"/>
      <c r="BD187" s="821"/>
      <c r="BE187" s="821"/>
      <c r="BF187" s="821"/>
      <c r="BG187" s="821"/>
      <c r="BH187" s="821"/>
      <c r="BI187" s="821"/>
      <c r="BJ187" s="821"/>
      <c r="BK187" s="821"/>
      <c r="BL187" s="821"/>
      <c r="BM187" s="821"/>
      <c r="BN187" s="821"/>
      <c r="BO187" s="821"/>
      <c r="BP187" s="821"/>
      <c r="BQ187" s="821"/>
      <c r="BR187" s="821"/>
      <c r="BS187" s="821"/>
      <c r="BT187" s="821"/>
      <c r="BU187" s="821"/>
      <c r="BV187" s="821"/>
      <c r="BW187" s="821"/>
      <c r="BX187" s="821"/>
      <c r="BY187" s="821"/>
      <c r="BZ187" s="821"/>
      <c r="CA187" s="821"/>
      <c r="CB187" s="821"/>
      <c r="CC187" s="821"/>
      <c r="CD187" s="821"/>
      <c r="CE187" s="821"/>
      <c r="CF187" s="821"/>
      <c r="CG187" s="821"/>
      <c r="CH187" s="821"/>
      <c r="CI187" s="821"/>
      <c r="CJ187" s="821"/>
      <c r="CK187" s="821"/>
      <c r="CL187" s="821"/>
      <c r="CM187" s="821"/>
      <c r="CN187" s="821"/>
      <c r="CO187" s="821"/>
      <c r="CP187" s="821"/>
      <c r="CQ187" s="821"/>
      <c r="CR187" s="821"/>
      <c r="CS187" s="821"/>
      <c r="CT187" s="821"/>
      <c r="CU187" s="821"/>
      <c r="CV187" s="821"/>
      <c r="CW187" s="821"/>
      <c r="CX187" s="821"/>
      <c r="CY187" s="821"/>
      <c r="CZ187" s="821"/>
      <c r="DA187" s="821"/>
      <c r="DB187" s="821"/>
      <c r="DC187" s="821"/>
      <c r="DD187" s="821"/>
      <c r="DE187" s="821"/>
      <c r="DF187" s="821"/>
      <c r="DG187" s="821"/>
      <c r="DH187" s="821"/>
      <c r="DI187" s="821"/>
      <c r="DJ187" s="821"/>
      <c r="DK187" s="821"/>
      <c r="DL187" s="821"/>
      <c r="DM187" s="821"/>
      <c r="DN187" s="821"/>
    </row>
    <row r="188" spans="5:118" s="6" customFormat="1">
      <c r="E188" s="137"/>
      <c r="F188" s="137"/>
      <c r="G188" s="137"/>
      <c r="H188" s="96"/>
      <c r="I188" s="98"/>
      <c r="J188" s="98"/>
      <c r="K188" s="55"/>
      <c r="L188" s="607"/>
      <c r="M188" s="607"/>
      <c r="N188" s="607"/>
      <c r="O188" s="607"/>
      <c r="P188" s="607"/>
      <c r="Q188" s="607"/>
      <c r="R188" s="607"/>
      <c r="S188" s="607"/>
      <c r="T188" s="607"/>
      <c r="U188" s="607"/>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821"/>
      <c r="AZ188" s="821"/>
      <c r="BA188" s="821"/>
      <c r="BB188" s="821"/>
      <c r="BC188" s="821"/>
      <c r="BD188" s="821"/>
      <c r="BE188" s="821"/>
      <c r="BF188" s="821"/>
      <c r="BG188" s="821"/>
      <c r="BH188" s="821"/>
      <c r="BI188" s="821"/>
      <c r="BJ188" s="821"/>
      <c r="BK188" s="821"/>
      <c r="BL188" s="821"/>
      <c r="BM188" s="821"/>
      <c r="BN188" s="821"/>
      <c r="BO188" s="821"/>
      <c r="BP188" s="821"/>
      <c r="BQ188" s="821"/>
      <c r="BR188" s="821"/>
      <c r="BS188" s="821"/>
      <c r="BT188" s="821"/>
      <c r="BU188" s="821"/>
      <c r="BV188" s="821"/>
      <c r="BW188" s="821"/>
      <c r="BX188" s="821"/>
      <c r="BY188" s="821"/>
      <c r="BZ188" s="821"/>
      <c r="CA188" s="821"/>
      <c r="CB188" s="821"/>
      <c r="CC188" s="821"/>
      <c r="CD188" s="821"/>
      <c r="CE188" s="821"/>
      <c r="CF188" s="821"/>
      <c r="CG188" s="821"/>
      <c r="CH188" s="821"/>
      <c r="CI188" s="821"/>
      <c r="CJ188" s="821"/>
      <c r="CK188" s="821"/>
      <c r="CL188" s="821"/>
      <c r="CM188" s="821"/>
      <c r="CN188" s="821"/>
      <c r="CO188" s="821"/>
      <c r="CP188" s="821"/>
      <c r="CQ188" s="821"/>
      <c r="CR188" s="821"/>
      <c r="CS188" s="821"/>
      <c r="CT188" s="821"/>
      <c r="CU188" s="821"/>
      <c r="CV188" s="821"/>
      <c r="CW188" s="821"/>
      <c r="CX188" s="821"/>
      <c r="CY188" s="821"/>
      <c r="CZ188" s="821"/>
      <c r="DA188" s="821"/>
      <c r="DB188" s="821"/>
      <c r="DC188" s="821"/>
      <c r="DD188" s="821"/>
      <c r="DE188" s="821"/>
      <c r="DF188" s="821"/>
      <c r="DG188" s="821"/>
      <c r="DH188" s="821"/>
      <c r="DI188" s="821"/>
      <c r="DJ188" s="821"/>
      <c r="DK188" s="821"/>
      <c r="DL188" s="821"/>
      <c r="DM188" s="821"/>
      <c r="DN188" s="821"/>
    </row>
    <row r="189" spans="5:118" s="6" customFormat="1">
      <c r="E189" s="137"/>
      <c r="F189" s="137"/>
      <c r="G189" s="137"/>
      <c r="H189" s="96"/>
      <c r="I189" s="98"/>
      <c r="J189" s="98"/>
      <c r="K189" s="55"/>
      <c r="L189" s="607"/>
      <c r="M189" s="607"/>
      <c r="N189" s="607"/>
      <c r="O189" s="607"/>
      <c r="P189" s="607"/>
      <c r="Q189" s="607"/>
      <c r="R189" s="607"/>
      <c r="S189" s="607"/>
      <c r="T189" s="607"/>
      <c r="U189" s="607"/>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821"/>
      <c r="AZ189" s="821"/>
      <c r="BA189" s="821"/>
      <c r="BB189" s="821"/>
      <c r="BC189" s="821"/>
      <c r="BD189" s="821"/>
      <c r="BE189" s="821"/>
      <c r="BF189" s="821"/>
      <c r="BG189" s="821"/>
      <c r="BH189" s="821"/>
      <c r="BI189" s="821"/>
      <c r="BJ189" s="821"/>
      <c r="BK189" s="821"/>
      <c r="BL189" s="821"/>
      <c r="BM189" s="821"/>
      <c r="BN189" s="821"/>
      <c r="BO189" s="821"/>
      <c r="BP189" s="821"/>
      <c r="BQ189" s="821"/>
      <c r="BR189" s="821"/>
      <c r="BS189" s="821"/>
      <c r="BT189" s="821"/>
      <c r="BU189" s="821"/>
      <c r="BV189" s="821"/>
      <c r="BW189" s="821"/>
      <c r="BX189" s="821"/>
      <c r="BY189" s="821"/>
      <c r="BZ189" s="821"/>
      <c r="CA189" s="821"/>
      <c r="CB189" s="821"/>
      <c r="CC189" s="821"/>
      <c r="CD189" s="821"/>
      <c r="CE189" s="821"/>
      <c r="CF189" s="821"/>
      <c r="CG189" s="821"/>
      <c r="CH189" s="821"/>
      <c r="CI189" s="821"/>
      <c r="CJ189" s="821"/>
      <c r="CK189" s="821"/>
      <c r="CL189" s="821"/>
      <c r="CM189" s="821"/>
      <c r="CN189" s="821"/>
      <c r="CO189" s="821"/>
      <c r="CP189" s="821"/>
      <c r="CQ189" s="821"/>
      <c r="CR189" s="821"/>
      <c r="CS189" s="821"/>
      <c r="CT189" s="821"/>
      <c r="CU189" s="821"/>
      <c r="CV189" s="821"/>
      <c r="CW189" s="821"/>
      <c r="CX189" s="821"/>
      <c r="CY189" s="821"/>
      <c r="CZ189" s="821"/>
      <c r="DA189" s="821"/>
      <c r="DB189" s="821"/>
      <c r="DC189" s="821"/>
      <c r="DD189" s="821"/>
      <c r="DE189" s="821"/>
      <c r="DF189" s="821"/>
      <c r="DG189" s="821"/>
      <c r="DH189" s="821"/>
      <c r="DI189" s="821"/>
      <c r="DJ189" s="821"/>
      <c r="DK189" s="821"/>
      <c r="DL189" s="821"/>
      <c r="DM189" s="821"/>
      <c r="DN189" s="821"/>
    </row>
    <row r="190" spans="5:118" s="6" customFormat="1">
      <c r="E190" s="137"/>
      <c r="F190" s="137"/>
      <c r="G190" s="137"/>
      <c r="H190" s="96"/>
      <c r="I190" s="98"/>
      <c r="J190" s="98"/>
      <c r="K190" s="55"/>
      <c r="L190" s="607"/>
      <c r="M190" s="607"/>
      <c r="N190" s="607"/>
      <c r="O190" s="607"/>
      <c r="P190" s="607"/>
      <c r="Q190" s="607"/>
      <c r="R190" s="607"/>
      <c r="S190" s="607"/>
      <c r="T190" s="607"/>
      <c r="U190" s="607"/>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821"/>
      <c r="AZ190" s="821"/>
      <c r="BA190" s="821"/>
      <c r="BB190" s="821"/>
      <c r="BC190" s="821"/>
      <c r="BD190" s="821"/>
      <c r="BE190" s="821"/>
      <c r="BF190" s="821"/>
      <c r="BG190" s="821"/>
      <c r="BH190" s="821"/>
      <c r="BI190" s="821"/>
      <c r="BJ190" s="821"/>
      <c r="BK190" s="821"/>
      <c r="BL190" s="821"/>
      <c r="BM190" s="821"/>
      <c r="BN190" s="821"/>
      <c r="BO190" s="821"/>
      <c r="BP190" s="821"/>
      <c r="BQ190" s="821"/>
      <c r="BR190" s="821"/>
      <c r="BS190" s="821"/>
      <c r="BT190" s="821"/>
      <c r="BU190" s="821"/>
      <c r="BV190" s="821"/>
      <c r="BW190" s="821"/>
      <c r="BX190" s="821"/>
      <c r="BY190" s="821"/>
      <c r="BZ190" s="821"/>
      <c r="CA190" s="821"/>
      <c r="CB190" s="821"/>
      <c r="CC190" s="821"/>
      <c r="CD190" s="821"/>
      <c r="CE190" s="821"/>
      <c r="CF190" s="821"/>
      <c r="CG190" s="821"/>
      <c r="CH190" s="821"/>
      <c r="CI190" s="821"/>
      <c r="CJ190" s="821"/>
      <c r="CK190" s="821"/>
      <c r="CL190" s="821"/>
      <c r="CM190" s="821"/>
      <c r="CN190" s="821"/>
      <c r="CO190" s="821"/>
      <c r="CP190" s="821"/>
      <c r="CQ190" s="821"/>
      <c r="CR190" s="821"/>
      <c r="CS190" s="821"/>
      <c r="CT190" s="821"/>
      <c r="CU190" s="821"/>
      <c r="CV190" s="821"/>
      <c r="CW190" s="821"/>
      <c r="CX190" s="821"/>
      <c r="CY190" s="821"/>
      <c r="CZ190" s="821"/>
      <c r="DA190" s="821"/>
      <c r="DB190" s="821"/>
      <c r="DC190" s="821"/>
      <c r="DD190" s="821"/>
      <c r="DE190" s="821"/>
      <c r="DF190" s="821"/>
      <c r="DG190" s="821"/>
      <c r="DH190" s="821"/>
      <c r="DI190" s="821"/>
      <c r="DJ190" s="821"/>
      <c r="DK190" s="821"/>
      <c r="DL190" s="821"/>
      <c r="DM190" s="821"/>
      <c r="DN190" s="821"/>
    </row>
    <row r="191" spans="5:118" s="6" customFormat="1">
      <c r="E191" s="137"/>
      <c r="F191" s="137"/>
      <c r="G191" s="137"/>
      <c r="H191" s="96"/>
      <c r="I191" s="98"/>
      <c r="J191" s="98"/>
      <c r="K191" s="55"/>
      <c r="L191" s="607"/>
      <c r="M191" s="607"/>
      <c r="N191" s="607"/>
      <c r="O191" s="607"/>
      <c r="P191" s="607"/>
      <c r="Q191" s="607"/>
      <c r="R191" s="607"/>
      <c r="S191" s="607"/>
      <c r="T191" s="607"/>
      <c r="U191" s="607"/>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821"/>
      <c r="AZ191" s="821"/>
      <c r="BA191" s="821"/>
      <c r="BB191" s="821"/>
      <c r="BC191" s="821"/>
      <c r="BD191" s="821"/>
      <c r="BE191" s="821"/>
      <c r="BF191" s="821"/>
      <c r="BG191" s="821"/>
      <c r="BH191" s="821"/>
      <c r="BI191" s="821"/>
      <c r="BJ191" s="821"/>
      <c r="BK191" s="821"/>
      <c r="BL191" s="821"/>
      <c r="BM191" s="821"/>
      <c r="BN191" s="821"/>
      <c r="BO191" s="821"/>
      <c r="BP191" s="821"/>
      <c r="BQ191" s="821"/>
      <c r="BR191" s="821"/>
      <c r="BS191" s="821"/>
      <c r="BT191" s="821"/>
      <c r="BU191" s="821"/>
      <c r="BV191" s="821"/>
      <c r="BW191" s="821"/>
      <c r="BX191" s="821"/>
      <c r="BY191" s="821"/>
      <c r="BZ191" s="821"/>
      <c r="CA191" s="821"/>
      <c r="CB191" s="821"/>
      <c r="CC191" s="821"/>
      <c r="CD191" s="821"/>
      <c r="CE191" s="821"/>
      <c r="CF191" s="821"/>
      <c r="CG191" s="821"/>
      <c r="CH191" s="821"/>
      <c r="CI191" s="821"/>
      <c r="CJ191" s="821"/>
      <c r="CK191" s="821"/>
      <c r="CL191" s="821"/>
      <c r="CM191" s="821"/>
      <c r="CN191" s="821"/>
      <c r="CO191" s="821"/>
      <c r="CP191" s="821"/>
      <c r="CQ191" s="821"/>
      <c r="CR191" s="821"/>
      <c r="CS191" s="821"/>
      <c r="CT191" s="821"/>
      <c r="CU191" s="821"/>
      <c r="CV191" s="821"/>
      <c r="CW191" s="821"/>
      <c r="CX191" s="821"/>
      <c r="CY191" s="821"/>
      <c r="CZ191" s="821"/>
      <c r="DA191" s="821"/>
      <c r="DB191" s="821"/>
      <c r="DC191" s="821"/>
      <c r="DD191" s="821"/>
      <c r="DE191" s="821"/>
      <c r="DF191" s="821"/>
      <c r="DG191" s="821"/>
      <c r="DH191" s="821"/>
      <c r="DI191" s="821"/>
      <c r="DJ191" s="821"/>
      <c r="DK191" s="821"/>
      <c r="DL191" s="821"/>
      <c r="DM191" s="821"/>
      <c r="DN191" s="821"/>
    </row>
    <row r="192" spans="5:118" s="6" customFormat="1">
      <c r="E192" s="137"/>
      <c r="F192" s="137"/>
      <c r="G192" s="137"/>
      <c r="H192" s="96"/>
      <c r="I192" s="98"/>
      <c r="J192" s="98"/>
      <c r="K192" s="55"/>
      <c r="L192" s="607"/>
      <c r="M192" s="607"/>
      <c r="N192" s="607"/>
      <c r="O192" s="607"/>
      <c r="P192" s="607"/>
      <c r="Q192" s="607"/>
      <c r="R192" s="607"/>
      <c r="S192" s="607"/>
      <c r="T192" s="607"/>
      <c r="U192" s="607"/>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821"/>
      <c r="AZ192" s="821"/>
      <c r="BA192" s="821"/>
      <c r="BB192" s="821"/>
      <c r="BC192" s="821"/>
      <c r="BD192" s="821"/>
      <c r="BE192" s="821"/>
      <c r="BF192" s="821"/>
      <c r="BG192" s="821"/>
      <c r="BH192" s="821"/>
      <c r="BI192" s="821"/>
      <c r="BJ192" s="821"/>
      <c r="BK192" s="821"/>
      <c r="BL192" s="821"/>
      <c r="BM192" s="821"/>
      <c r="BN192" s="821"/>
      <c r="BO192" s="821"/>
      <c r="BP192" s="821"/>
      <c r="BQ192" s="821"/>
      <c r="BR192" s="821"/>
      <c r="BS192" s="821"/>
      <c r="BT192" s="821"/>
      <c r="BU192" s="821"/>
      <c r="BV192" s="821"/>
      <c r="BW192" s="821"/>
      <c r="BX192" s="821"/>
      <c r="BY192" s="821"/>
      <c r="BZ192" s="821"/>
      <c r="CA192" s="821"/>
      <c r="CB192" s="821"/>
      <c r="CC192" s="821"/>
      <c r="CD192" s="821"/>
      <c r="CE192" s="821"/>
      <c r="CF192" s="821"/>
      <c r="CG192" s="821"/>
      <c r="CH192" s="821"/>
      <c r="CI192" s="821"/>
      <c r="CJ192" s="821"/>
      <c r="CK192" s="821"/>
      <c r="CL192" s="821"/>
      <c r="CM192" s="821"/>
      <c r="CN192" s="821"/>
      <c r="CO192" s="821"/>
      <c r="CP192" s="821"/>
      <c r="CQ192" s="821"/>
      <c r="CR192" s="821"/>
      <c r="CS192" s="821"/>
      <c r="CT192" s="821"/>
      <c r="CU192" s="821"/>
      <c r="CV192" s="821"/>
      <c r="CW192" s="821"/>
      <c r="CX192" s="821"/>
      <c r="CY192" s="821"/>
      <c r="CZ192" s="821"/>
      <c r="DA192" s="821"/>
      <c r="DB192" s="821"/>
      <c r="DC192" s="821"/>
      <c r="DD192" s="821"/>
      <c r="DE192" s="821"/>
      <c r="DF192" s="821"/>
      <c r="DG192" s="821"/>
      <c r="DH192" s="821"/>
      <c r="DI192" s="821"/>
      <c r="DJ192" s="821"/>
      <c r="DK192" s="821"/>
      <c r="DL192" s="821"/>
      <c r="DM192" s="821"/>
      <c r="DN192" s="821"/>
    </row>
    <row r="193" spans="5:118" s="6" customFormat="1">
      <c r="E193" s="137"/>
      <c r="F193" s="137"/>
      <c r="G193" s="137"/>
      <c r="H193" s="96"/>
      <c r="I193" s="98"/>
      <c r="J193" s="98"/>
      <c r="K193" s="55"/>
      <c r="L193" s="607"/>
      <c r="M193" s="607"/>
      <c r="N193" s="607"/>
      <c r="O193" s="607"/>
      <c r="P193" s="607"/>
      <c r="Q193" s="607"/>
      <c r="R193" s="607"/>
      <c r="S193" s="607"/>
      <c r="T193" s="607"/>
      <c r="U193" s="607"/>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821"/>
      <c r="AZ193" s="821"/>
      <c r="BA193" s="821"/>
      <c r="BB193" s="821"/>
      <c r="BC193" s="821"/>
      <c r="BD193" s="821"/>
      <c r="BE193" s="821"/>
      <c r="BF193" s="821"/>
      <c r="BG193" s="821"/>
      <c r="BH193" s="821"/>
      <c r="BI193" s="821"/>
      <c r="BJ193" s="821"/>
      <c r="BK193" s="821"/>
      <c r="BL193" s="821"/>
      <c r="BM193" s="821"/>
      <c r="BN193" s="821"/>
      <c r="BO193" s="821"/>
      <c r="BP193" s="821"/>
      <c r="BQ193" s="821"/>
      <c r="BR193" s="821"/>
      <c r="BS193" s="821"/>
      <c r="BT193" s="821"/>
      <c r="BU193" s="821"/>
      <c r="BV193" s="821"/>
      <c r="BW193" s="821"/>
      <c r="BX193" s="821"/>
      <c r="BY193" s="821"/>
      <c r="BZ193" s="821"/>
      <c r="CA193" s="821"/>
      <c r="CB193" s="821"/>
      <c r="CC193" s="821"/>
      <c r="CD193" s="821"/>
      <c r="CE193" s="821"/>
      <c r="CF193" s="821"/>
      <c r="CG193" s="821"/>
      <c r="CH193" s="821"/>
      <c r="CI193" s="821"/>
      <c r="CJ193" s="821"/>
      <c r="CK193" s="821"/>
      <c r="CL193" s="821"/>
      <c r="CM193" s="821"/>
      <c r="CN193" s="821"/>
      <c r="CO193" s="821"/>
      <c r="CP193" s="821"/>
      <c r="CQ193" s="821"/>
      <c r="CR193" s="821"/>
      <c r="CS193" s="821"/>
      <c r="CT193" s="821"/>
      <c r="CU193" s="821"/>
      <c r="CV193" s="821"/>
      <c r="CW193" s="821"/>
      <c r="CX193" s="821"/>
      <c r="CY193" s="821"/>
      <c r="CZ193" s="821"/>
      <c r="DA193" s="821"/>
      <c r="DB193" s="821"/>
      <c r="DC193" s="821"/>
      <c r="DD193" s="821"/>
      <c r="DE193" s="821"/>
      <c r="DF193" s="821"/>
      <c r="DG193" s="821"/>
      <c r="DH193" s="821"/>
      <c r="DI193" s="821"/>
      <c r="DJ193" s="821"/>
      <c r="DK193" s="821"/>
      <c r="DL193" s="821"/>
      <c r="DM193" s="821"/>
      <c r="DN193" s="821"/>
    </row>
    <row r="194" spans="5:118" s="6" customFormat="1">
      <c r="E194" s="137"/>
      <c r="F194" s="137"/>
      <c r="G194" s="137"/>
      <c r="H194" s="96"/>
      <c r="I194" s="98"/>
      <c r="J194" s="98"/>
      <c r="K194" s="55"/>
      <c r="L194" s="607"/>
      <c r="M194" s="607"/>
      <c r="N194" s="607"/>
      <c r="O194" s="607"/>
      <c r="P194" s="607"/>
      <c r="Q194" s="607"/>
      <c r="R194" s="607"/>
      <c r="S194" s="607"/>
      <c r="T194" s="607"/>
      <c r="U194" s="607"/>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821"/>
      <c r="AZ194" s="821"/>
      <c r="BA194" s="821"/>
      <c r="BB194" s="821"/>
      <c r="BC194" s="821"/>
      <c r="BD194" s="821"/>
      <c r="BE194" s="821"/>
      <c r="BF194" s="821"/>
      <c r="BG194" s="821"/>
      <c r="BH194" s="821"/>
      <c r="BI194" s="821"/>
      <c r="BJ194" s="821"/>
      <c r="BK194" s="821"/>
      <c r="BL194" s="821"/>
      <c r="BM194" s="821"/>
      <c r="BN194" s="821"/>
      <c r="BO194" s="821"/>
      <c r="BP194" s="821"/>
      <c r="BQ194" s="821"/>
      <c r="BR194" s="821"/>
      <c r="BS194" s="821"/>
      <c r="BT194" s="821"/>
      <c r="BU194" s="821"/>
      <c r="BV194" s="821"/>
      <c r="BW194" s="821"/>
      <c r="BX194" s="821"/>
      <c r="BY194" s="821"/>
      <c r="BZ194" s="821"/>
      <c r="CA194" s="821"/>
      <c r="CB194" s="821"/>
      <c r="CC194" s="821"/>
      <c r="CD194" s="821"/>
      <c r="CE194" s="821"/>
      <c r="CF194" s="821"/>
      <c r="CG194" s="821"/>
      <c r="CH194" s="821"/>
      <c r="CI194" s="821"/>
      <c r="CJ194" s="821"/>
      <c r="CK194" s="821"/>
      <c r="CL194" s="821"/>
      <c r="CM194" s="821"/>
      <c r="CN194" s="821"/>
      <c r="CO194" s="821"/>
      <c r="CP194" s="821"/>
      <c r="CQ194" s="821"/>
      <c r="CR194" s="821"/>
      <c r="CS194" s="821"/>
      <c r="CT194" s="821"/>
      <c r="CU194" s="821"/>
      <c r="CV194" s="821"/>
      <c r="CW194" s="821"/>
      <c r="CX194" s="821"/>
      <c r="CY194" s="821"/>
      <c r="CZ194" s="821"/>
      <c r="DA194" s="821"/>
      <c r="DB194" s="821"/>
      <c r="DC194" s="821"/>
      <c r="DD194" s="821"/>
      <c r="DE194" s="821"/>
      <c r="DF194" s="821"/>
      <c r="DG194" s="821"/>
      <c r="DH194" s="821"/>
      <c r="DI194" s="821"/>
      <c r="DJ194" s="821"/>
      <c r="DK194" s="821"/>
      <c r="DL194" s="821"/>
      <c r="DM194" s="821"/>
      <c r="DN194" s="821"/>
    </row>
    <row r="195" spans="5:118" s="6" customFormat="1">
      <c r="E195" s="137"/>
      <c r="F195" s="137"/>
      <c r="G195" s="137"/>
      <c r="H195" s="96"/>
      <c r="I195" s="98"/>
      <c r="J195" s="98"/>
      <c r="K195" s="55"/>
      <c r="L195" s="607"/>
      <c r="M195" s="607"/>
      <c r="N195" s="607"/>
      <c r="O195" s="607"/>
      <c r="P195" s="607"/>
      <c r="Q195" s="607"/>
      <c r="R195" s="607"/>
      <c r="S195" s="607"/>
      <c r="T195" s="607"/>
      <c r="U195" s="607"/>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821"/>
      <c r="AZ195" s="821"/>
      <c r="BA195" s="821"/>
      <c r="BB195" s="821"/>
      <c r="BC195" s="821"/>
      <c r="BD195" s="821"/>
      <c r="BE195" s="821"/>
      <c r="BF195" s="821"/>
      <c r="BG195" s="821"/>
      <c r="BH195" s="821"/>
      <c r="BI195" s="821"/>
      <c r="BJ195" s="821"/>
      <c r="BK195" s="821"/>
      <c r="BL195" s="821"/>
      <c r="BM195" s="821"/>
      <c r="BN195" s="821"/>
      <c r="BO195" s="821"/>
      <c r="BP195" s="821"/>
      <c r="BQ195" s="821"/>
      <c r="BR195" s="821"/>
      <c r="BS195" s="821"/>
      <c r="BT195" s="821"/>
      <c r="BU195" s="821"/>
      <c r="BV195" s="821"/>
      <c r="BW195" s="821"/>
      <c r="BX195" s="821"/>
      <c r="BY195" s="821"/>
      <c r="BZ195" s="821"/>
      <c r="CA195" s="821"/>
      <c r="CB195" s="821"/>
      <c r="CC195" s="821"/>
      <c r="CD195" s="821"/>
      <c r="CE195" s="821"/>
      <c r="CF195" s="821"/>
      <c r="CG195" s="821"/>
      <c r="CH195" s="821"/>
      <c r="CI195" s="821"/>
      <c r="CJ195" s="821"/>
      <c r="CK195" s="821"/>
      <c r="CL195" s="821"/>
      <c r="CM195" s="821"/>
      <c r="CN195" s="821"/>
      <c r="CO195" s="821"/>
      <c r="CP195" s="821"/>
      <c r="CQ195" s="821"/>
      <c r="CR195" s="821"/>
      <c r="CS195" s="821"/>
      <c r="CT195" s="821"/>
      <c r="CU195" s="821"/>
      <c r="CV195" s="821"/>
      <c r="CW195" s="821"/>
      <c r="CX195" s="821"/>
      <c r="CY195" s="821"/>
      <c r="CZ195" s="821"/>
      <c r="DA195" s="821"/>
      <c r="DB195" s="821"/>
      <c r="DC195" s="821"/>
      <c r="DD195" s="821"/>
      <c r="DE195" s="821"/>
      <c r="DF195" s="821"/>
      <c r="DG195" s="821"/>
      <c r="DH195" s="821"/>
      <c r="DI195" s="821"/>
      <c r="DJ195" s="821"/>
      <c r="DK195" s="821"/>
      <c r="DL195" s="821"/>
      <c r="DM195" s="821"/>
      <c r="DN195" s="821"/>
    </row>
    <row r="196" spans="5:118" s="6" customFormat="1">
      <c r="E196" s="137"/>
      <c r="F196" s="137"/>
      <c r="G196" s="137"/>
      <c r="H196" s="96"/>
      <c r="I196" s="98"/>
      <c r="J196" s="98"/>
      <c r="K196" s="55"/>
      <c r="L196" s="607"/>
      <c r="M196" s="607"/>
      <c r="N196" s="607"/>
      <c r="O196" s="607"/>
      <c r="P196" s="607"/>
      <c r="Q196" s="607"/>
      <c r="R196" s="607"/>
      <c r="S196" s="607"/>
      <c r="T196" s="607"/>
      <c r="U196" s="607"/>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821"/>
      <c r="AZ196" s="821"/>
      <c r="BA196" s="821"/>
      <c r="BB196" s="821"/>
      <c r="BC196" s="821"/>
      <c r="BD196" s="821"/>
      <c r="BE196" s="821"/>
      <c r="BF196" s="821"/>
      <c r="BG196" s="821"/>
      <c r="BH196" s="821"/>
      <c r="BI196" s="821"/>
      <c r="BJ196" s="821"/>
      <c r="BK196" s="821"/>
      <c r="BL196" s="821"/>
      <c r="BM196" s="821"/>
      <c r="BN196" s="821"/>
      <c r="BO196" s="821"/>
      <c r="BP196" s="821"/>
      <c r="BQ196" s="821"/>
      <c r="BR196" s="821"/>
      <c r="BS196" s="821"/>
      <c r="BT196" s="821"/>
      <c r="BU196" s="821"/>
      <c r="BV196" s="821"/>
      <c r="BW196" s="821"/>
      <c r="BX196" s="821"/>
      <c r="BY196" s="821"/>
      <c r="BZ196" s="821"/>
      <c r="CA196" s="821"/>
      <c r="CB196" s="821"/>
      <c r="CC196" s="821"/>
      <c r="CD196" s="821"/>
      <c r="CE196" s="821"/>
      <c r="CF196" s="821"/>
      <c r="CG196" s="821"/>
      <c r="CH196" s="821"/>
      <c r="CI196" s="821"/>
      <c r="CJ196" s="821"/>
      <c r="CK196" s="821"/>
      <c r="CL196" s="821"/>
      <c r="CM196" s="821"/>
      <c r="CN196" s="821"/>
      <c r="CO196" s="821"/>
      <c r="CP196" s="821"/>
      <c r="CQ196" s="821"/>
      <c r="CR196" s="821"/>
      <c r="CS196" s="821"/>
      <c r="CT196" s="821"/>
      <c r="CU196" s="821"/>
      <c r="CV196" s="821"/>
      <c r="CW196" s="821"/>
      <c r="CX196" s="821"/>
      <c r="CY196" s="821"/>
      <c r="CZ196" s="821"/>
      <c r="DA196" s="821"/>
      <c r="DB196" s="821"/>
      <c r="DC196" s="821"/>
      <c r="DD196" s="821"/>
      <c r="DE196" s="821"/>
      <c r="DF196" s="821"/>
      <c r="DG196" s="821"/>
      <c r="DH196" s="821"/>
      <c r="DI196" s="821"/>
      <c r="DJ196" s="821"/>
      <c r="DK196" s="821"/>
      <c r="DL196" s="821"/>
      <c r="DM196" s="821"/>
      <c r="DN196" s="821"/>
    </row>
    <row r="197" spans="5:118" s="6" customFormat="1">
      <c r="E197" s="137"/>
      <c r="F197" s="137"/>
      <c r="G197" s="137"/>
      <c r="H197" s="96"/>
      <c r="I197" s="98"/>
      <c r="J197" s="98"/>
      <c r="K197" s="55"/>
      <c r="L197" s="607"/>
      <c r="M197" s="607"/>
      <c r="N197" s="607"/>
      <c r="O197" s="607"/>
      <c r="P197" s="607"/>
      <c r="Q197" s="607"/>
      <c r="R197" s="607"/>
      <c r="S197" s="607"/>
      <c r="T197" s="607"/>
      <c r="U197" s="607"/>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821"/>
      <c r="AZ197" s="821"/>
      <c r="BA197" s="821"/>
      <c r="BB197" s="821"/>
      <c r="BC197" s="821"/>
      <c r="BD197" s="821"/>
      <c r="BE197" s="821"/>
      <c r="BF197" s="821"/>
      <c r="BG197" s="821"/>
      <c r="BH197" s="821"/>
      <c r="BI197" s="821"/>
      <c r="BJ197" s="821"/>
      <c r="BK197" s="821"/>
      <c r="BL197" s="821"/>
      <c r="BM197" s="821"/>
      <c r="BN197" s="821"/>
      <c r="BO197" s="821"/>
      <c r="BP197" s="821"/>
      <c r="BQ197" s="821"/>
      <c r="BR197" s="821"/>
      <c r="BS197" s="821"/>
      <c r="BT197" s="821"/>
      <c r="BU197" s="821"/>
      <c r="BV197" s="821"/>
      <c r="BW197" s="821"/>
      <c r="BX197" s="821"/>
      <c r="BY197" s="821"/>
      <c r="BZ197" s="821"/>
      <c r="CA197" s="821"/>
      <c r="CB197" s="821"/>
      <c r="CC197" s="821"/>
      <c r="CD197" s="821"/>
      <c r="CE197" s="821"/>
      <c r="CF197" s="821"/>
      <c r="CG197" s="821"/>
      <c r="CH197" s="821"/>
      <c r="CI197" s="821"/>
      <c r="CJ197" s="821"/>
      <c r="CK197" s="821"/>
      <c r="CL197" s="821"/>
      <c r="CM197" s="821"/>
      <c r="CN197" s="821"/>
      <c r="CO197" s="821"/>
      <c r="CP197" s="821"/>
      <c r="CQ197" s="821"/>
      <c r="CR197" s="821"/>
      <c r="CS197" s="821"/>
      <c r="CT197" s="821"/>
      <c r="CU197" s="821"/>
      <c r="CV197" s="821"/>
      <c r="CW197" s="821"/>
      <c r="CX197" s="821"/>
      <c r="CY197" s="821"/>
      <c r="CZ197" s="821"/>
      <c r="DA197" s="821"/>
      <c r="DB197" s="821"/>
      <c r="DC197" s="821"/>
      <c r="DD197" s="821"/>
      <c r="DE197" s="821"/>
      <c r="DF197" s="821"/>
      <c r="DG197" s="821"/>
      <c r="DH197" s="821"/>
      <c r="DI197" s="821"/>
      <c r="DJ197" s="821"/>
      <c r="DK197" s="821"/>
      <c r="DL197" s="821"/>
      <c r="DM197" s="821"/>
      <c r="DN197" s="821"/>
    </row>
    <row r="198" spans="5:118" s="6" customFormat="1">
      <c r="E198" s="137"/>
      <c r="F198" s="137"/>
      <c r="G198" s="137"/>
      <c r="H198" s="96"/>
      <c r="I198" s="98"/>
      <c r="J198" s="98"/>
      <c r="K198" s="55"/>
      <c r="L198" s="607"/>
      <c r="M198" s="607"/>
      <c r="N198" s="607"/>
      <c r="O198" s="607"/>
      <c r="P198" s="607"/>
      <c r="Q198" s="607"/>
      <c r="R198" s="607"/>
      <c r="S198" s="607"/>
      <c r="T198" s="607"/>
      <c r="U198" s="607"/>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821"/>
      <c r="AZ198" s="821"/>
      <c r="BA198" s="821"/>
      <c r="BB198" s="821"/>
      <c r="BC198" s="821"/>
      <c r="BD198" s="821"/>
      <c r="BE198" s="821"/>
      <c r="BF198" s="821"/>
      <c r="BG198" s="821"/>
      <c r="BH198" s="821"/>
      <c r="BI198" s="821"/>
      <c r="BJ198" s="821"/>
      <c r="BK198" s="821"/>
      <c r="BL198" s="821"/>
      <c r="BM198" s="821"/>
      <c r="BN198" s="821"/>
      <c r="BO198" s="821"/>
      <c r="BP198" s="821"/>
      <c r="BQ198" s="821"/>
      <c r="BR198" s="821"/>
      <c r="BS198" s="821"/>
      <c r="BT198" s="821"/>
      <c r="BU198" s="821"/>
      <c r="BV198" s="821"/>
      <c r="BW198" s="821"/>
      <c r="BX198" s="821"/>
      <c r="BY198" s="821"/>
      <c r="BZ198" s="821"/>
      <c r="CA198" s="821"/>
      <c r="CB198" s="821"/>
      <c r="CC198" s="821"/>
      <c r="CD198" s="821"/>
      <c r="CE198" s="821"/>
      <c r="CF198" s="821"/>
      <c r="CG198" s="821"/>
      <c r="CH198" s="821"/>
      <c r="CI198" s="821"/>
      <c r="CJ198" s="821"/>
      <c r="CK198" s="821"/>
      <c r="CL198" s="821"/>
      <c r="CM198" s="821"/>
      <c r="CN198" s="821"/>
      <c r="CO198" s="821"/>
      <c r="CP198" s="821"/>
      <c r="CQ198" s="821"/>
      <c r="CR198" s="821"/>
      <c r="CS198" s="821"/>
      <c r="CT198" s="821"/>
      <c r="CU198" s="821"/>
      <c r="CV198" s="821"/>
      <c r="CW198" s="821"/>
      <c r="CX198" s="821"/>
      <c r="CY198" s="821"/>
      <c r="CZ198" s="821"/>
      <c r="DA198" s="821"/>
      <c r="DB198" s="821"/>
      <c r="DC198" s="821"/>
      <c r="DD198" s="821"/>
      <c r="DE198" s="821"/>
      <c r="DF198" s="821"/>
      <c r="DG198" s="821"/>
      <c r="DH198" s="821"/>
      <c r="DI198" s="821"/>
      <c r="DJ198" s="821"/>
      <c r="DK198" s="821"/>
      <c r="DL198" s="821"/>
      <c r="DM198" s="821"/>
      <c r="DN198" s="821"/>
    </row>
    <row r="199" spans="5:118" s="6" customFormat="1">
      <c r="E199" s="137"/>
      <c r="F199" s="137"/>
      <c r="G199" s="137"/>
      <c r="H199" s="96"/>
      <c r="I199" s="98"/>
      <c r="J199" s="98"/>
      <c r="K199" s="55"/>
      <c r="L199" s="607"/>
      <c r="M199" s="607"/>
      <c r="N199" s="607"/>
      <c r="O199" s="607"/>
      <c r="P199" s="607"/>
      <c r="Q199" s="607"/>
      <c r="R199" s="607"/>
      <c r="S199" s="607"/>
      <c r="T199" s="607"/>
      <c r="U199" s="607"/>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821"/>
      <c r="AZ199" s="821"/>
      <c r="BA199" s="821"/>
      <c r="BB199" s="821"/>
      <c r="BC199" s="821"/>
      <c r="BD199" s="821"/>
      <c r="BE199" s="821"/>
      <c r="BF199" s="821"/>
      <c r="BG199" s="821"/>
      <c r="BH199" s="821"/>
      <c r="BI199" s="821"/>
      <c r="BJ199" s="821"/>
      <c r="BK199" s="821"/>
      <c r="BL199" s="821"/>
      <c r="BM199" s="821"/>
      <c r="BN199" s="821"/>
      <c r="BO199" s="821"/>
      <c r="BP199" s="821"/>
      <c r="BQ199" s="821"/>
      <c r="BR199" s="821"/>
      <c r="BS199" s="821"/>
      <c r="BT199" s="821"/>
      <c r="BU199" s="821"/>
      <c r="BV199" s="821"/>
      <c r="BW199" s="821"/>
      <c r="BX199" s="821"/>
      <c r="BY199" s="821"/>
      <c r="BZ199" s="821"/>
      <c r="CA199" s="821"/>
      <c r="CB199" s="821"/>
      <c r="CC199" s="821"/>
      <c r="CD199" s="821"/>
      <c r="CE199" s="821"/>
      <c r="CF199" s="821"/>
      <c r="CG199" s="821"/>
      <c r="CH199" s="821"/>
      <c r="CI199" s="821"/>
      <c r="CJ199" s="821"/>
      <c r="CK199" s="821"/>
      <c r="CL199" s="821"/>
      <c r="CM199" s="821"/>
      <c r="CN199" s="821"/>
      <c r="CO199" s="821"/>
      <c r="CP199" s="821"/>
      <c r="CQ199" s="821"/>
      <c r="CR199" s="821"/>
      <c r="CS199" s="821"/>
      <c r="CT199" s="821"/>
      <c r="CU199" s="821"/>
      <c r="CV199" s="821"/>
      <c r="CW199" s="821"/>
      <c r="CX199" s="821"/>
      <c r="CY199" s="821"/>
      <c r="CZ199" s="821"/>
      <c r="DA199" s="821"/>
      <c r="DB199" s="821"/>
      <c r="DC199" s="821"/>
      <c r="DD199" s="821"/>
      <c r="DE199" s="821"/>
      <c r="DF199" s="821"/>
      <c r="DG199" s="821"/>
      <c r="DH199" s="821"/>
      <c r="DI199" s="821"/>
      <c r="DJ199" s="821"/>
      <c r="DK199" s="821"/>
      <c r="DL199" s="821"/>
      <c r="DM199" s="821"/>
      <c r="DN199" s="821"/>
    </row>
    <row r="200" spans="5:118" s="6" customFormat="1">
      <c r="E200" s="137"/>
      <c r="F200" s="137"/>
      <c r="G200" s="137"/>
      <c r="H200" s="96"/>
      <c r="I200" s="98"/>
      <c r="J200" s="98"/>
      <c r="K200" s="55"/>
      <c r="L200" s="607"/>
      <c r="M200" s="607"/>
      <c r="N200" s="607"/>
      <c r="O200" s="607"/>
      <c r="P200" s="607"/>
      <c r="Q200" s="607"/>
      <c r="R200" s="607"/>
      <c r="S200" s="607"/>
      <c r="T200" s="607"/>
      <c r="U200" s="607"/>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821"/>
      <c r="AZ200" s="821"/>
      <c r="BA200" s="821"/>
      <c r="BB200" s="821"/>
      <c r="BC200" s="821"/>
      <c r="BD200" s="821"/>
      <c r="BE200" s="821"/>
      <c r="BF200" s="821"/>
      <c r="BG200" s="821"/>
      <c r="BH200" s="821"/>
      <c r="BI200" s="821"/>
      <c r="BJ200" s="821"/>
      <c r="BK200" s="821"/>
      <c r="BL200" s="821"/>
      <c r="BM200" s="821"/>
      <c r="BN200" s="821"/>
      <c r="BO200" s="821"/>
      <c r="BP200" s="821"/>
      <c r="BQ200" s="821"/>
      <c r="BR200" s="821"/>
      <c r="BS200" s="821"/>
      <c r="BT200" s="821"/>
      <c r="BU200" s="821"/>
      <c r="BV200" s="821"/>
      <c r="BW200" s="821"/>
      <c r="BX200" s="821"/>
      <c r="BY200" s="821"/>
      <c r="BZ200" s="821"/>
      <c r="CA200" s="821"/>
      <c r="CB200" s="821"/>
      <c r="CC200" s="821"/>
      <c r="CD200" s="821"/>
      <c r="CE200" s="821"/>
      <c r="CF200" s="821"/>
      <c r="CG200" s="821"/>
      <c r="CH200" s="821"/>
      <c r="CI200" s="821"/>
      <c r="CJ200" s="821"/>
      <c r="CK200" s="821"/>
      <c r="CL200" s="821"/>
      <c r="CM200" s="821"/>
      <c r="CN200" s="821"/>
      <c r="CO200" s="821"/>
      <c r="CP200" s="821"/>
      <c r="CQ200" s="821"/>
      <c r="CR200" s="821"/>
      <c r="CS200" s="821"/>
      <c r="CT200" s="821"/>
      <c r="CU200" s="821"/>
      <c r="CV200" s="821"/>
      <c r="CW200" s="821"/>
      <c r="CX200" s="821"/>
      <c r="CY200" s="821"/>
      <c r="CZ200" s="821"/>
      <c r="DA200" s="821"/>
      <c r="DB200" s="821"/>
      <c r="DC200" s="821"/>
      <c r="DD200" s="821"/>
      <c r="DE200" s="821"/>
      <c r="DF200" s="821"/>
      <c r="DG200" s="821"/>
      <c r="DH200" s="821"/>
      <c r="DI200" s="821"/>
      <c r="DJ200" s="821"/>
      <c r="DK200" s="821"/>
      <c r="DL200" s="821"/>
      <c r="DM200" s="821"/>
      <c r="DN200" s="821"/>
    </row>
    <row r="201" spans="5:118" s="6" customFormat="1">
      <c r="E201" s="137"/>
      <c r="F201" s="137"/>
      <c r="G201" s="137"/>
      <c r="H201" s="96"/>
      <c r="I201" s="98"/>
      <c r="J201" s="98"/>
      <c r="K201" s="55"/>
      <c r="L201" s="607"/>
      <c r="M201" s="607"/>
      <c r="N201" s="607"/>
      <c r="O201" s="607"/>
      <c r="P201" s="607"/>
      <c r="Q201" s="607"/>
      <c r="R201" s="607"/>
      <c r="S201" s="607"/>
      <c r="T201" s="607"/>
      <c r="U201" s="607"/>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821"/>
      <c r="AZ201" s="821"/>
      <c r="BA201" s="821"/>
      <c r="BB201" s="821"/>
      <c r="BC201" s="821"/>
      <c r="BD201" s="821"/>
      <c r="BE201" s="821"/>
      <c r="BF201" s="821"/>
      <c r="BG201" s="821"/>
      <c r="BH201" s="821"/>
      <c r="BI201" s="821"/>
      <c r="BJ201" s="821"/>
      <c r="BK201" s="821"/>
      <c r="BL201" s="821"/>
      <c r="BM201" s="821"/>
      <c r="BN201" s="821"/>
      <c r="BO201" s="821"/>
      <c r="BP201" s="821"/>
      <c r="BQ201" s="821"/>
      <c r="BR201" s="821"/>
      <c r="BS201" s="821"/>
      <c r="BT201" s="821"/>
      <c r="BU201" s="821"/>
      <c r="BV201" s="821"/>
      <c r="BW201" s="821"/>
      <c r="BX201" s="821"/>
      <c r="BY201" s="821"/>
      <c r="BZ201" s="821"/>
      <c r="CA201" s="821"/>
      <c r="CB201" s="821"/>
      <c r="CC201" s="821"/>
      <c r="CD201" s="821"/>
      <c r="CE201" s="821"/>
      <c r="CF201" s="821"/>
      <c r="CG201" s="821"/>
      <c r="CH201" s="821"/>
      <c r="CI201" s="821"/>
      <c r="CJ201" s="821"/>
      <c r="CK201" s="821"/>
      <c r="CL201" s="821"/>
      <c r="CM201" s="821"/>
      <c r="CN201" s="821"/>
      <c r="CO201" s="821"/>
      <c r="CP201" s="821"/>
      <c r="CQ201" s="821"/>
      <c r="CR201" s="821"/>
      <c r="CS201" s="821"/>
      <c r="CT201" s="821"/>
      <c r="CU201" s="821"/>
      <c r="CV201" s="821"/>
      <c r="CW201" s="821"/>
      <c r="CX201" s="821"/>
      <c r="CY201" s="821"/>
      <c r="CZ201" s="821"/>
      <c r="DA201" s="821"/>
      <c r="DB201" s="821"/>
      <c r="DC201" s="821"/>
      <c r="DD201" s="821"/>
      <c r="DE201" s="821"/>
      <c r="DF201" s="821"/>
      <c r="DG201" s="821"/>
      <c r="DH201" s="821"/>
      <c r="DI201" s="821"/>
      <c r="DJ201" s="821"/>
      <c r="DK201" s="821"/>
      <c r="DL201" s="821"/>
      <c r="DM201" s="821"/>
      <c r="DN201" s="821"/>
    </row>
    <row r="202" spans="5:118" s="6" customFormat="1">
      <c r="E202" s="137"/>
      <c r="F202" s="137"/>
      <c r="G202" s="137"/>
      <c r="H202" s="96"/>
      <c r="I202" s="98"/>
      <c r="J202" s="98"/>
      <c r="K202" s="55"/>
      <c r="L202" s="607"/>
      <c r="M202" s="607"/>
      <c r="N202" s="607"/>
      <c r="O202" s="607"/>
      <c r="P202" s="607"/>
      <c r="Q202" s="607"/>
      <c r="R202" s="607"/>
      <c r="S202" s="607"/>
      <c r="T202" s="607"/>
      <c r="U202" s="607"/>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821"/>
      <c r="AZ202" s="821"/>
      <c r="BA202" s="821"/>
      <c r="BB202" s="821"/>
      <c r="BC202" s="821"/>
      <c r="BD202" s="821"/>
      <c r="BE202" s="821"/>
      <c r="BF202" s="821"/>
      <c r="BG202" s="821"/>
      <c r="BH202" s="821"/>
      <c r="BI202" s="821"/>
      <c r="BJ202" s="821"/>
      <c r="BK202" s="821"/>
      <c r="BL202" s="821"/>
      <c r="BM202" s="821"/>
      <c r="BN202" s="821"/>
      <c r="BO202" s="821"/>
      <c r="BP202" s="821"/>
      <c r="BQ202" s="821"/>
      <c r="BR202" s="821"/>
      <c r="BS202" s="821"/>
      <c r="BT202" s="821"/>
      <c r="BU202" s="821"/>
      <c r="BV202" s="821"/>
      <c r="BW202" s="821"/>
      <c r="BX202" s="821"/>
      <c r="BY202" s="821"/>
      <c r="BZ202" s="821"/>
      <c r="CA202" s="821"/>
      <c r="CB202" s="821"/>
      <c r="CC202" s="821"/>
      <c r="CD202" s="821"/>
      <c r="CE202" s="821"/>
      <c r="CF202" s="821"/>
      <c r="CG202" s="821"/>
      <c r="CH202" s="821"/>
      <c r="CI202" s="821"/>
      <c r="CJ202" s="821"/>
      <c r="CK202" s="821"/>
      <c r="CL202" s="821"/>
      <c r="CM202" s="821"/>
      <c r="CN202" s="821"/>
      <c r="CO202" s="821"/>
      <c r="CP202" s="821"/>
      <c r="CQ202" s="821"/>
      <c r="CR202" s="821"/>
      <c r="CS202" s="821"/>
      <c r="CT202" s="821"/>
      <c r="CU202" s="821"/>
      <c r="CV202" s="821"/>
      <c r="CW202" s="821"/>
      <c r="CX202" s="821"/>
      <c r="CY202" s="821"/>
      <c r="CZ202" s="821"/>
      <c r="DA202" s="821"/>
      <c r="DB202" s="821"/>
      <c r="DC202" s="821"/>
      <c r="DD202" s="821"/>
      <c r="DE202" s="821"/>
      <c r="DF202" s="821"/>
      <c r="DG202" s="821"/>
      <c r="DH202" s="821"/>
      <c r="DI202" s="821"/>
      <c r="DJ202" s="821"/>
      <c r="DK202" s="821"/>
      <c r="DL202" s="821"/>
      <c r="DM202" s="821"/>
      <c r="DN202" s="821"/>
    </row>
    <row r="203" spans="5:118" s="6" customFormat="1">
      <c r="E203" s="137"/>
      <c r="F203" s="137"/>
      <c r="G203" s="137"/>
      <c r="H203" s="96"/>
      <c r="I203" s="98"/>
      <c r="J203" s="98"/>
      <c r="K203" s="55"/>
      <c r="L203" s="607"/>
      <c r="M203" s="607"/>
      <c r="N203" s="607"/>
      <c r="O203" s="607"/>
      <c r="P203" s="607"/>
      <c r="Q203" s="607"/>
      <c r="R203" s="607"/>
      <c r="S203" s="607"/>
      <c r="T203" s="607"/>
      <c r="U203" s="607"/>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821"/>
      <c r="AZ203" s="821"/>
      <c r="BA203" s="821"/>
      <c r="BB203" s="821"/>
      <c r="BC203" s="821"/>
      <c r="BD203" s="821"/>
      <c r="BE203" s="821"/>
      <c r="BF203" s="821"/>
      <c r="BG203" s="821"/>
      <c r="BH203" s="821"/>
      <c r="BI203" s="821"/>
      <c r="BJ203" s="821"/>
      <c r="BK203" s="821"/>
      <c r="BL203" s="821"/>
      <c r="BM203" s="821"/>
      <c r="BN203" s="821"/>
      <c r="BO203" s="821"/>
      <c r="BP203" s="821"/>
      <c r="BQ203" s="821"/>
      <c r="BR203" s="821"/>
      <c r="BS203" s="821"/>
      <c r="BT203" s="821"/>
      <c r="BU203" s="821"/>
      <c r="BV203" s="821"/>
      <c r="BW203" s="821"/>
      <c r="BX203" s="821"/>
      <c r="BY203" s="821"/>
      <c r="BZ203" s="821"/>
      <c r="CA203" s="821"/>
      <c r="CB203" s="821"/>
      <c r="CC203" s="821"/>
      <c r="CD203" s="821"/>
      <c r="CE203" s="821"/>
      <c r="CF203" s="821"/>
      <c r="CG203" s="821"/>
      <c r="CH203" s="821"/>
      <c r="CI203" s="821"/>
      <c r="CJ203" s="821"/>
      <c r="CK203" s="821"/>
      <c r="CL203" s="821"/>
      <c r="CM203" s="821"/>
      <c r="CN203" s="821"/>
      <c r="CO203" s="821"/>
      <c r="CP203" s="821"/>
      <c r="CQ203" s="821"/>
      <c r="CR203" s="821"/>
      <c r="CS203" s="821"/>
      <c r="CT203" s="821"/>
      <c r="CU203" s="821"/>
      <c r="CV203" s="821"/>
      <c r="CW203" s="821"/>
      <c r="CX203" s="821"/>
      <c r="CY203" s="821"/>
      <c r="CZ203" s="821"/>
      <c r="DA203" s="821"/>
      <c r="DB203" s="821"/>
      <c r="DC203" s="821"/>
      <c r="DD203" s="821"/>
      <c r="DE203" s="821"/>
      <c r="DF203" s="821"/>
      <c r="DG203" s="821"/>
      <c r="DH203" s="821"/>
      <c r="DI203" s="821"/>
      <c r="DJ203" s="821"/>
      <c r="DK203" s="821"/>
      <c r="DL203" s="821"/>
      <c r="DM203" s="821"/>
      <c r="DN203" s="821"/>
    </row>
    <row r="204" spans="5:118" s="6" customFormat="1">
      <c r="E204" s="137"/>
      <c r="F204" s="137"/>
      <c r="G204" s="137"/>
      <c r="H204" s="96"/>
      <c r="I204" s="98"/>
      <c r="J204" s="98"/>
      <c r="K204" s="55"/>
      <c r="L204" s="607"/>
      <c r="M204" s="607"/>
      <c r="N204" s="607"/>
      <c r="O204" s="607"/>
      <c r="P204" s="607"/>
      <c r="Q204" s="607"/>
      <c r="R204" s="607"/>
      <c r="S204" s="607"/>
      <c r="T204" s="607"/>
      <c r="U204" s="607"/>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821"/>
      <c r="AZ204" s="821"/>
      <c r="BA204" s="821"/>
      <c r="BB204" s="821"/>
      <c r="BC204" s="821"/>
      <c r="BD204" s="821"/>
      <c r="BE204" s="821"/>
      <c r="BF204" s="821"/>
      <c r="BG204" s="821"/>
      <c r="BH204" s="821"/>
      <c r="BI204" s="821"/>
      <c r="BJ204" s="821"/>
      <c r="BK204" s="821"/>
      <c r="BL204" s="821"/>
      <c r="BM204" s="821"/>
      <c r="BN204" s="821"/>
      <c r="BO204" s="821"/>
      <c r="BP204" s="821"/>
      <c r="BQ204" s="821"/>
      <c r="BR204" s="821"/>
      <c r="BS204" s="821"/>
      <c r="BT204" s="821"/>
      <c r="BU204" s="821"/>
      <c r="BV204" s="821"/>
      <c r="BW204" s="821"/>
      <c r="BX204" s="821"/>
      <c r="BY204" s="821"/>
      <c r="BZ204" s="821"/>
      <c r="CA204" s="821"/>
      <c r="CB204" s="821"/>
      <c r="CC204" s="821"/>
      <c r="CD204" s="821"/>
      <c r="CE204" s="821"/>
      <c r="CF204" s="821"/>
      <c r="CG204" s="821"/>
      <c r="CH204" s="821"/>
      <c r="CI204" s="821"/>
      <c r="CJ204" s="821"/>
      <c r="CK204" s="821"/>
      <c r="CL204" s="821"/>
      <c r="CM204" s="821"/>
      <c r="CN204" s="821"/>
      <c r="CO204" s="821"/>
      <c r="CP204" s="821"/>
      <c r="CQ204" s="821"/>
      <c r="CR204" s="821"/>
      <c r="CS204" s="821"/>
      <c r="CT204" s="821"/>
      <c r="CU204" s="821"/>
      <c r="CV204" s="821"/>
      <c r="CW204" s="821"/>
      <c r="CX204" s="821"/>
      <c r="CY204" s="821"/>
      <c r="CZ204" s="821"/>
      <c r="DA204" s="821"/>
      <c r="DB204" s="821"/>
      <c r="DC204" s="821"/>
      <c r="DD204" s="821"/>
      <c r="DE204" s="821"/>
      <c r="DF204" s="821"/>
      <c r="DG204" s="821"/>
      <c r="DH204" s="821"/>
      <c r="DI204" s="821"/>
      <c r="DJ204" s="821"/>
      <c r="DK204" s="821"/>
      <c r="DL204" s="821"/>
      <c r="DM204" s="821"/>
      <c r="DN204" s="821"/>
    </row>
    <row r="205" spans="5:118" s="6" customFormat="1">
      <c r="E205" s="137"/>
      <c r="F205" s="137"/>
      <c r="G205" s="137"/>
      <c r="H205" s="96"/>
      <c r="I205" s="98"/>
      <c r="J205" s="98"/>
      <c r="K205" s="55"/>
      <c r="L205" s="607"/>
      <c r="M205" s="607"/>
      <c r="N205" s="607"/>
      <c r="O205" s="607"/>
      <c r="P205" s="607"/>
      <c r="Q205" s="607"/>
      <c r="R205" s="607"/>
      <c r="S205" s="607"/>
      <c r="T205" s="607"/>
      <c r="U205" s="607"/>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821"/>
      <c r="AZ205" s="821"/>
      <c r="BA205" s="821"/>
      <c r="BB205" s="821"/>
      <c r="BC205" s="821"/>
      <c r="BD205" s="821"/>
      <c r="BE205" s="821"/>
      <c r="BF205" s="821"/>
      <c r="BG205" s="821"/>
      <c r="BH205" s="821"/>
      <c r="BI205" s="821"/>
      <c r="BJ205" s="821"/>
      <c r="BK205" s="821"/>
      <c r="BL205" s="821"/>
      <c r="BM205" s="821"/>
      <c r="BN205" s="821"/>
      <c r="BO205" s="821"/>
      <c r="BP205" s="821"/>
      <c r="BQ205" s="821"/>
      <c r="BR205" s="821"/>
      <c r="BS205" s="821"/>
      <c r="BT205" s="821"/>
      <c r="BU205" s="821"/>
      <c r="BV205" s="821"/>
      <c r="BW205" s="821"/>
      <c r="BX205" s="821"/>
      <c r="BY205" s="821"/>
      <c r="BZ205" s="821"/>
      <c r="CA205" s="821"/>
      <c r="CB205" s="821"/>
      <c r="CC205" s="821"/>
      <c r="CD205" s="821"/>
      <c r="CE205" s="821"/>
      <c r="CF205" s="821"/>
      <c r="CG205" s="821"/>
      <c r="CH205" s="821"/>
      <c r="CI205" s="821"/>
      <c r="CJ205" s="821"/>
      <c r="CK205" s="821"/>
      <c r="CL205" s="821"/>
      <c r="CM205" s="821"/>
      <c r="CN205" s="821"/>
      <c r="CO205" s="821"/>
      <c r="CP205" s="821"/>
      <c r="CQ205" s="821"/>
      <c r="CR205" s="821"/>
      <c r="CS205" s="821"/>
      <c r="CT205" s="821"/>
      <c r="CU205" s="821"/>
      <c r="CV205" s="821"/>
      <c r="CW205" s="821"/>
      <c r="CX205" s="821"/>
      <c r="CY205" s="821"/>
      <c r="CZ205" s="821"/>
      <c r="DA205" s="821"/>
      <c r="DB205" s="821"/>
      <c r="DC205" s="821"/>
      <c r="DD205" s="821"/>
      <c r="DE205" s="821"/>
      <c r="DF205" s="821"/>
      <c r="DG205" s="821"/>
      <c r="DH205" s="821"/>
      <c r="DI205" s="821"/>
      <c r="DJ205" s="821"/>
      <c r="DK205" s="821"/>
      <c r="DL205" s="821"/>
      <c r="DM205" s="821"/>
      <c r="DN205" s="821"/>
    </row>
    <row r="206" spans="5:118" s="6" customFormat="1">
      <c r="E206" s="137"/>
      <c r="F206" s="137"/>
      <c r="G206" s="137"/>
      <c r="H206" s="96"/>
      <c r="I206" s="98"/>
      <c r="J206" s="98"/>
      <c r="K206" s="55"/>
      <c r="L206" s="607"/>
      <c r="M206" s="607"/>
      <c r="N206" s="607"/>
      <c r="O206" s="607"/>
      <c r="P206" s="607"/>
      <c r="Q206" s="607"/>
      <c r="R206" s="607"/>
      <c r="S206" s="607"/>
      <c r="T206" s="607"/>
      <c r="U206" s="607"/>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821"/>
      <c r="AZ206" s="821"/>
      <c r="BA206" s="821"/>
      <c r="BB206" s="821"/>
      <c r="BC206" s="821"/>
      <c r="BD206" s="821"/>
      <c r="BE206" s="821"/>
      <c r="BF206" s="821"/>
      <c r="BG206" s="821"/>
      <c r="BH206" s="821"/>
      <c r="BI206" s="821"/>
      <c r="BJ206" s="821"/>
      <c r="BK206" s="821"/>
      <c r="BL206" s="821"/>
      <c r="BM206" s="821"/>
      <c r="BN206" s="821"/>
      <c r="BO206" s="821"/>
      <c r="BP206" s="821"/>
      <c r="BQ206" s="821"/>
      <c r="BR206" s="821"/>
      <c r="BS206" s="821"/>
      <c r="BT206" s="821"/>
      <c r="BU206" s="821"/>
      <c r="BV206" s="821"/>
      <c r="BW206" s="821"/>
      <c r="BX206" s="821"/>
      <c r="BY206" s="821"/>
      <c r="BZ206" s="821"/>
      <c r="CA206" s="821"/>
      <c r="CB206" s="821"/>
      <c r="CC206" s="821"/>
      <c r="CD206" s="821"/>
      <c r="CE206" s="821"/>
      <c r="CF206" s="821"/>
      <c r="CG206" s="821"/>
      <c r="CH206" s="821"/>
      <c r="CI206" s="821"/>
      <c r="CJ206" s="821"/>
      <c r="CK206" s="821"/>
      <c r="CL206" s="821"/>
      <c r="CM206" s="821"/>
      <c r="CN206" s="821"/>
      <c r="CO206" s="821"/>
      <c r="CP206" s="821"/>
      <c r="CQ206" s="821"/>
      <c r="CR206" s="821"/>
      <c r="CS206" s="821"/>
      <c r="CT206" s="821"/>
      <c r="CU206" s="821"/>
      <c r="CV206" s="821"/>
      <c r="CW206" s="821"/>
      <c r="CX206" s="821"/>
      <c r="CY206" s="821"/>
      <c r="CZ206" s="821"/>
      <c r="DA206" s="821"/>
      <c r="DB206" s="821"/>
      <c r="DC206" s="821"/>
      <c r="DD206" s="821"/>
      <c r="DE206" s="821"/>
      <c r="DF206" s="821"/>
      <c r="DG206" s="821"/>
      <c r="DH206" s="821"/>
      <c r="DI206" s="821"/>
      <c r="DJ206" s="821"/>
      <c r="DK206" s="821"/>
      <c r="DL206" s="821"/>
      <c r="DM206" s="821"/>
      <c r="DN206" s="821"/>
    </row>
    <row r="207" spans="5:118" s="6" customFormat="1">
      <c r="E207" s="137"/>
      <c r="F207" s="137"/>
      <c r="G207" s="137"/>
      <c r="H207" s="96"/>
      <c r="I207" s="98"/>
      <c r="J207" s="98"/>
      <c r="K207" s="55"/>
      <c r="L207" s="607"/>
      <c r="M207" s="607"/>
      <c r="N207" s="607"/>
      <c r="O207" s="607"/>
      <c r="P207" s="607"/>
      <c r="Q207" s="607"/>
      <c r="R207" s="607"/>
      <c r="S207" s="607"/>
      <c r="T207" s="607"/>
      <c r="U207" s="607"/>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821"/>
      <c r="AZ207" s="821"/>
      <c r="BA207" s="821"/>
      <c r="BB207" s="821"/>
      <c r="BC207" s="821"/>
      <c r="BD207" s="821"/>
      <c r="BE207" s="821"/>
      <c r="BF207" s="821"/>
      <c r="BG207" s="821"/>
      <c r="BH207" s="821"/>
      <c r="BI207" s="821"/>
      <c r="BJ207" s="821"/>
      <c r="BK207" s="821"/>
      <c r="BL207" s="821"/>
      <c r="BM207" s="821"/>
      <c r="BN207" s="821"/>
      <c r="BO207" s="821"/>
      <c r="BP207" s="821"/>
      <c r="BQ207" s="821"/>
      <c r="BR207" s="821"/>
      <c r="BS207" s="821"/>
      <c r="BT207" s="821"/>
      <c r="BU207" s="821"/>
      <c r="BV207" s="821"/>
      <c r="BW207" s="821"/>
      <c r="BX207" s="821"/>
      <c r="BY207" s="821"/>
      <c r="BZ207" s="821"/>
      <c r="CA207" s="821"/>
      <c r="CB207" s="821"/>
      <c r="CC207" s="821"/>
      <c r="CD207" s="821"/>
      <c r="CE207" s="821"/>
      <c r="CF207" s="821"/>
      <c r="CG207" s="821"/>
      <c r="CH207" s="821"/>
      <c r="CI207" s="821"/>
      <c r="CJ207" s="821"/>
      <c r="CK207" s="821"/>
      <c r="CL207" s="821"/>
      <c r="CM207" s="821"/>
      <c r="CN207" s="821"/>
      <c r="CO207" s="821"/>
      <c r="CP207" s="821"/>
      <c r="CQ207" s="821"/>
      <c r="CR207" s="821"/>
      <c r="CS207" s="821"/>
      <c r="CT207" s="821"/>
      <c r="CU207" s="821"/>
      <c r="CV207" s="821"/>
      <c r="CW207" s="821"/>
      <c r="CX207" s="821"/>
      <c r="CY207" s="821"/>
      <c r="CZ207" s="821"/>
      <c r="DA207" s="821"/>
      <c r="DB207" s="821"/>
      <c r="DC207" s="821"/>
      <c r="DD207" s="821"/>
      <c r="DE207" s="821"/>
      <c r="DF207" s="821"/>
      <c r="DG207" s="821"/>
      <c r="DH207" s="821"/>
      <c r="DI207" s="821"/>
      <c r="DJ207" s="821"/>
      <c r="DK207" s="821"/>
      <c r="DL207" s="821"/>
      <c r="DM207" s="821"/>
      <c r="DN207" s="821"/>
    </row>
    <row r="208" spans="5:118" s="6" customFormat="1">
      <c r="E208" s="137"/>
      <c r="F208" s="137"/>
      <c r="G208" s="137"/>
      <c r="H208" s="96"/>
      <c r="I208" s="98"/>
      <c r="J208" s="98"/>
      <c r="K208" s="55"/>
      <c r="L208" s="607"/>
      <c r="M208" s="607"/>
      <c r="N208" s="607"/>
      <c r="O208" s="607"/>
      <c r="P208" s="607"/>
      <c r="Q208" s="607"/>
      <c r="R208" s="607"/>
      <c r="S208" s="607"/>
      <c r="T208" s="607"/>
      <c r="U208" s="607"/>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821"/>
      <c r="AZ208" s="821"/>
      <c r="BA208" s="821"/>
      <c r="BB208" s="821"/>
      <c r="BC208" s="821"/>
      <c r="BD208" s="821"/>
      <c r="BE208" s="821"/>
      <c r="BF208" s="821"/>
      <c r="BG208" s="821"/>
      <c r="BH208" s="821"/>
      <c r="BI208" s="821"/>
      <c r="BJ208" s="821"/>
      <c r="BK208" s="821"/>
      <c r="BL208" s="821"/>
      <c r="BM208" s="821"/>
      <c r="BN208" s="821"/>
      <c r="BO208" s="821"/>
      <c r="BP208" s="821"/>
      <c r="BQ208" s="821"/>
      <c r="BR208" s="821"/>
      <c r="BS208" s="821"/>
      <c r="BT208" s="821"/>
      <c r="BU208" s="821"/>
      <c r="BV208" s="821"/>
      <c r="BW208" s="821"/>
      <c r="BX208" s="821"/>
      <c r="BY208" s="821"/>
      <c r="BZ208" s="821"/>
      <c r="CA208" s="821"/>
      <c r="CB208" s="821"/>
      <c r="CC208" s="821"/>
      <c r="CD208" s="821"/>
      <c r="CE208" s="821"/>
      <c r="CF208" s="821"/>
      <c r="CG208" s="821"/>
      <c r="CH208" s="821"/>
      <c r="CI208" s="821"/>
      <c r="CJ208" s="821"/>
      <c r="CK208" s="821"/>
      <c r="CL208" s="821"/>
      <c r="CM208" s="821"/>
      <c r="CN208" s="821"/>
      <c r="CO208" s="821"/>
      <c r="CP208" s="821"/>
      <c r="CQ208" s="821"/>
      <c r="CR208" s="821"/>
      <c r="CS208" s="821"/>
      <c r="CT208" s="821"/>
      <c r="CU208" s="821"/>
      <c r="CV208" s="821"/>
      <c r="CW208" s="821"/>
      <c r="CX208" s="821"/>
      <c r="CY208" s="821"/>
      <c r="CZ208" s="821"/>
      <c r="DA208" s="821"/>
      <c r="DB208" s="821"/>
      <c r="DC208" s="821"/>
      <c r="DD208" s="821"/>
      <c r="DE208" s="821"/>
      <c r="DF208" s="821"/>
      <c r="DG208" s="821"/>
      <c r="DH208" s="821"/>
      <c r="DI208" s="821"/>
      <c r="DJ208" s="821"/>
      <c r="DK208" s="821"/>
      <c r="DL208" s="821"/>
      <c r="DM208" s="821"/>
      <c r="DN208" s="821"/>
    </row>
    <row r="209" spans="5:118" s="6" customFormat="1">
      <c r="E209" s="137"/>
      <c r="F209" s="137"/>
      <c r="G209" s="137"/>
      <c r="H209" s="96"/>
      <c r="I209" s="98"/>
      <c r="J209" s="98"/>
      <c r="K209" s="55"/>
      <c r="L209" s="607"/>
      <c r="M209" s="607"/>
      <c r="N209" s="607"/>
      <c r="O209" s="607"/>
      <c r="P209" s="607"/>
      <c r="Q209" s="607"/>
      <c r="R209" s="607"/>
      <c r="S209" s="607"/>
      <c r="T209" s="607"/>
      <c r="U209" s="607"/>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821"/>
      <c r="AZ209" s="821"/>
      <c r="BA209" s="821"/>
      <c r="BB209" s="821"/>
      <c r="BC209" s="821"/>
      <c r="BD209" s="821"/>
      <c r="BE209" s="821"/>
      <c r="BF209" s="821"/>
      <c r="BG209" s="821"/>
      <c r="BH209" s="821"/>
      <c r="BI209" s="821"/>
      <c r="BJ209" s="821"/>
      <c r="BK209" s="821"/>
      <c r="BL209" s="821"/>
      <c r="BM209" s="821"/>
      <c r="BN209" s="821"/>
      <c r="BO209" s="821"/>
      <c r="BP209" s="821"/>
      <c r="BQ209" s="821"/>
      <c r="BR209" s="821"/>
      <c r="BS209" s="821"/>
      <c r="BT209" s="821"/>
      <c r="BU209" s="821"/>
      <c r="BV209" s="821"/>
      <c r="BW209" s="821"/>
      <c r="BX209" s="821"/>
      <c r="BY209" s="821"/>
      <c r="BZ209" s="821"/>
      <c r="CA209" s="821"/>
      <c r="CB209" s="821"/>
      <c r="CC209" s="821"/>
      <c r="CD209" s="821"/>
      <c r="CE209" s="821"/>
      <c r="CF209" s="821"/>
      <c r="CG209" s="821"/>
      <c r="CH209" s="821"/>
      <c r="CI209" s="821"/>
      <c r="CJ209" s="821"/>
      <c r="CK209" s="821"/>
      <c r="CL209" s="821"/>
      <c r="CM209" s="821"/>
      <c r="CN209" s="821"/>
      <c r="CO209" s="821"/>
      <c r="CP209" s="821"/>
      <c r="CQ209" s="821"/>
      <c r="CR209" s="821"/>
      <c r="CS209" s="821"/>
      <c r="CT209" s="821"/>
      <c r="CU209" s="821"/>
      <c r="CV209" s="821"/>
      <c r="CW209" s="821"/>
      <c r="CX209" s="821"/>
      <c r="CY209" s="821"/>
      <c r="CZ209" s="821"/>
      <c r="DA209" s="821"/>
      <c r="DB209" s="821"/>
      <c r="DC209" s="821"/>
      <c r="DD209" s="821"/>
      <c r="DE209" s="821"/>
      <c r="DF209" s="821"/>
      <c r="DG209" s="821"/>
      <c r="DH209" s="821"/>
      <c r="DI209" s="821"/>
      <c r="DJ209" s="821"/>
      <c r="DK209" s="821"/>
      <c r="DL209" s="821"/>
      <c r="DM209" s="821"/>
      <c r="DN209" s="821"/>
    </row>
    <row r="210" spans="5:118" s="6" customFormat="1">
      <c r="E210" s="137"/>
      <c r="F210" s="137"/>
      <c r="G210" s="137"/>
      <c r="H210" s="96"/>
      <c r="I210" s="98"/>
      <c r="J210" s="98"/>
      <c r="K210" s="55"/>
      <c r="L210" s="607"/>
      <c r="M210" s="607"/>
      <c r="N210" s="607"/>
      <c r="O210" s="607"/>
      <c r="P210" s="607"/>
      <c r="Q210" s="607"/>
      <c r="R210" s="607"/>
      <c r="S210" s="607"/>
      <c r="T210" s="607"/>
      <c r="U210" s="607"/>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821"/>
      <c r="AZ210" s="821"/>
      <c r="BA210" s="821"/>
      <c r="BB210" s="821"/>
      <c r="BC210" s="821"/>
      <c r="BD210" s="821"/>
      <c r="BE210" s="821"/>
      <c r="BF210" s="821"/>
      <c r="BG210" s="821"/>
      <c r="BH210" s="821"/>
      <c r="BI210" s="821"/>
      <c r="BJ210" s="821"/>
      <c r="BK210" s="821"/>
      <c r="BL210" s="821"/>
      <c r="BM210" s="821"/>
      <c r="BN210" s="821"/>
      <c r="BO210" s="821"/>
      <c r="BP210" s="821"/>
      <c r="BQ210" s="821"/>
      <c r="BR210" s="821"/>
      <c r="BS210" s="821"/>
      <c r="BT210" s="821"/>
      <c r="BU210" s="821"/>
      <c r="BV210" s="821"/>
      <c r="BW210" s="821"/>
      <c r="BX210" s="821"/>
      <c r="BY210" s="821"/>
      <c r="BZ210" s="821"/>
      <c r="CA210" s="821"/>
      <c r="CB210" s="821"/>
      <c r="CC210" s="821"/>
      <c r="CD210" s="821"/>
      <c r="CE210" s="821"/>
      <c r="CF210" s="821"/>
      <c r="CG210" s="821"/>
      <c r="CH210" s="821"/>
      <c r="CI210" s="821"/>
      <c r="CJ210" s="821"/>
      <c r="CK210" s="821"/>
      <c r="CL210" s="821"/>
      <c r="CM210" s="821"/>
      <c r="CN210" s="821"/>
      <c r="CO210" s="821"/>
      <c r="CP210" s="821"/>
      <c r="CQ210" s="821"/>
      <c r="CR210" s="821"/>
      <c r="CS210" s="821"/>
      <c r="CT210" s="821"/>
      <c r="CU210" s="821"/>
      <c r="CV210" s="821"/>
      <c r="CW210" s="821"/>
      <c r="CX210" s="821"/>
      <c r="CY210" s="821"/>
      <c r="CZ210" s="821"/>
      <c r="DA210" s="821"/>
      <c r="DB210" s="821"/>
      <c r="DC210" s="821"/>
      <c r="DD210" s="821"/>
      <c r="DE210" s="821"/>
      <c r="DF210" s="821"/>
      <c r="DG210" s="821"/>
      <c r="DH210" s="821"/>
      <c r="DI210" s="821"/>
      <c r="DJ210" s="821"/>
      <c r="DK210" s="821"/>
      <c r="DL210" s="821"/>
      <c r="DM210" s="821"/>
      <c r="DN210" s="821"/>
    </row>
    <row r="211" spans="5:118" s="6" customFormat="1">
      <c r="E211" s="137"/>
      <c r="F211" s="137"/>
      <c r="G211" s="137"/>
      <c r="H211" s="96"/>
      <c r="I211" s="98"/>
      <c r="J211" s="98"/>
      <c r="K211" s="55"/>
      <c r="L211" s="607"/>
      <c r="M211" s="607"/>
      <c r="N211" s="607"/>
      <c r="O211" s="607"/>
      <c r="P211" s="607"/>
      <c r="Q211" s="607"/>
      <c r="R211" s="607"/>
      <c r="S211" s="607"/>
      <c r="T211" s="607"/>
      <c r="U211" s="607"/>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821"/>
      <c r="AZ211" s="821"/>
      <c r="BA211" s="821"/>
      <c r="BB211" s="821"/>
      <c r="BC211" s="821"/>
      <c r="BD211" s="821"/>
      <c r="BE211" s="821"/>
      <c r="BF211" s="821"/>
      <c r="BG211" s="821"/>
      <c r="BH211" s="821"/>
      <c r="BI211" s="821"/>
      <c r="BJ211" s="821"/>
      <c r="BK211" s="821"/>
      <c r="BL211" s="821"/>
      <c r="BM211" s="821"/>
      <c r="BN211" s="821"/>
      <c r="BO211" s="821"/>
      <c r="BP211" s="821"/>
      <c r="BQ211" s="821"/>
      <c r="BR211" s="821"/>
      <c r="BS211" s="821"/>
      <c r="BT211" s="821"/>
      <c r="BU211" s="821"/>
      <c r="BV211" s="821"/>
      <c r="BW211" s="821"/>
      <c r="BX211" s="821"/>
      <c r="BY211" s="821"/>
      <c r="BZ211" s="821"/>
      <c r="CA211" s="821"/>
      <c r="CB211" s="821"/>
      <c r="CC211" s="821"/>
      <c r="CD211" s="821"/>
      <c r="CE211" s="821"/>
      <c r="CF211" s="821"/>
      <c r="CG211" s="821"/>
      <c r="CH211" s="821"/>
      <c r="CI211" s="821"/>
      <c r="CJ211" s="821"/>
      <c r="CK211" s="821"/>
      <c r="CL211" s="821"/>
      <c r="CM211" s="821"/>
      <c r="CN211" s="821"/>
      <c r="CO211" s="821"/>
      <c r="CP211" s="821"/>
      <c r="CQ211" s="821"/>
      <c r="CR211" s="821"/>
      <c r="CS211" s="821"/>
      <c r="CT211" s="821"/>
      <c r="CU211" s="821"/>
      <c r="CV211" s="821"/>
      <c r="CW211" s="821"/>
      <c r="CX211" s="821"/>
      <c r="CY211" s="821"/>
      <c r="CZ211" s="821"/>
      <c r="DA211" s="821"/>
      <c r="DB211" s="821"/>
      <c r="DC211" s="821"/>
      <c r="DD211" s="821"/>
      <c r="DE211" s="821"/>
      <c r="DF211" s="821"/>
      <c r="DG211" s="821"/>
      <c r="DH211" s="821"/>
      <c r="DI211" s="821"/>
      <c r="DJ211" s="821"/>
      <c r="DK211" s="821"/>
      <c r="DL211" s="821"/>
      <c r="DM211" s="821"/>
      <c r="DN211" s="821"/>
    </row>
    <row r="212" spans="5:118" s="6" customFormat="1">
      <c r="E212" s="137"/>
      <c r="F212" s="137"/>
      <c r="G212" s="137"/>
      <c r="H212" s="96"/>
      <c r="I212" s="98"/>
      <c r="J212" s="98"/>
      <c r="K212" s="55"/>
      <c r="L212" s="607"/>
      <c r="M212" s="607"/>
      <c r="N212" s="607"/>
      <c r="O212" s="607"/>
      <c r="P212" s="607"/>
      <c r="Q212" s="607"/>
      <c r="R212" s="607"/>
      <c r="S212" s="607"/>
      <c r="T212" s="607"/>
      <c r="U212" s="607"/>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821"/>
      <c r="AZ212" s="821"/>
      <c r="BA212" s="821"/>
      <c r="BB212" s="821"/>
      <c r="BC212" s="821"/>
      <c r="BD212" s="821"/>
      <c r="BE212" s="821"/>
      <c r="BF212" s="821"/>
      <c r="BG212" s="821"/>
      <c r="BH212" s="821"/>
      <c r="BI212" s="821"/>
      <c r="BJ212" s="821"/>
      <c r="BK212" s="821"/>
      <c r="BL212" s="821"/>
      <c r="BM212" s="821"/>
      <c r="BN212" s="821"/>
      <c r="BO212" s="821"/>
      <c r="BP212" s="821"/>
      <c r="BQ212" s="821"/>
      <c r="BR212" s="821"/>
      <c r="BS212" s="821"/>
      <c r="BT212" s="821"/>
      <c r="BU212" s="821"/>
      <c r="BV212" s="821"/>
      <c r="BW212" s="821"/>
      <c r="BX212" s="821"/>
      <c r="BY212" s="821"/>
      <c r="BZ212" s="821"/>
      <c r="CA212" s="821"/>
      <c r="CB212" s="821"/>
      <c r="CC212" s="821"/>
      <c r="CD212" s="821"/>
      <c r="CE212" s="821"/>
      <c r="CF212" s="821"/>
      <c r="CG212" s="821"/>
      <c r="CH212" s="821"/>
      <c r="CI212" s="821"/>
      <c r="CJ212" s="821"/>
      <c r="CK212" s="821"/>
      <c r="CL212" s="821"/>
      <c r="CM212" s="821"/>
      <c r="CN212" s="821"/>
      <c r="CO212" s="821"/>
      <c r="CP212" s="821"/>
      <c r="CQ212" s="821"/>
      <c r="CR212" s="821"/>
      <c r="CS212" s="821"/>
      <c r="CT212" s="821"/>
      <c r="CU212" s="821"/>
      <c r="CV212" s="821"/>
      <c r="CW212" s="821"/>
      <c r="CX212" s="821"/>
      <c r="CY212" s="821"/>
      <c r="CZ212" s="821"/>
      <c r="DA212" s="821"/>
      <c r="DB212" s="821"/>
      <c r="DC212" s="821"/>
      <c r="DD212" s="821"/>
      <c r="DE212" s="821"/>
      <c r="DF212" s="821"/>
      <c r="DG212" s="821"/>
      <c r="DH212" s="821"/>
      <c r="DI212" s="821"/>
      <c r="DJ212" s="821"/>
      <c r="DK212" s="821"/>
      <c r="DL212" s="821"/>
      <c r="DM212" s="821"/>
      <c r="DN212" s="821"/>
    </row>
    <row r="213" spans="5:118" s="6" customFormat="1">
      <c r="E213" s="137"/>
      <c r="F213" s="137"/>
      <c r="G213" s="137"/>
      <c r="H213" s="96"/>
      <c r="I213" s="98"/>
      <c r="J213" s="98"/>
      <c r="K213" s="55"/>
      <c r="L213" s="607"/>
      <c r="M213" s="607"/>
      <c r="N213" s="607"/>
      <c r="O213" s="607"/>
      <c r="P213" s="607"/>
      <c r="Q213" s="607"/>
      <c r="R213" s="607"/>
      <c r="S213" s="607"/>
      <c r="T213" s="607"/>
      <c r="U213" s="607"/>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821"/>
      <c r="AZ213" s="821"/>
      <c r="BA213" s="821"/>
      <c r="BB213" s="821"/>
      <c r="BC213" s="821"/>
      <c r="BD213" s="821"/>
      <c r="BE213" s="821"/>
      <c r="BF213" s="821"/>
      <c r="BG213" s="821"/>
      <c r="BH213" s="821"/>
      <c r="BI213" s="821"/>
      <c r="BJ213" s="821"/>
      <c r="BK213" s="821"/>
      <c r="BL213" s="821"/>
      <c r="BM213" s="821"/>
      <c r="BN213" s="821"/>
      <c r="BO213" s="821"/>
      <c r="BP213" s="821"/>
      <c r="BQ213" s="821"/>
      <c r="BR213" s="821"/>
      <c r="BS213" s="821"/>
      <c r="BT213" s="821"/>
      <c r="BU213" s="821"/>
      <c r="BV213" s="821"/>
      <c r="BW213" s="821"/>
      <c r="BX213" s="821"/>
      <c r="BY213" s="821"/>
      <c r="BZ213" s="821"/>
      <c r="CA213" s="821"/>
      <c r="CB213" s="821"/>
      <c r="CC213" s="821"/>
      <c r="CD213" s="821"/>
      <c r="CE213" s="821"/>
      <c r="CF213" s="821"/>
      <c r="CG213" s="821"/>
      <c r="CH213" s="821"/>
      <c r="CI213" s="821"/>
      <c r="CJ213" s="821"/>
      <c r="CK213" s="821"/>
      <c r="CL213" s="821"/>
      <c r="CM213" s="821"/>
      <c r="CN213" s="821"/>
      <c r="CO213" s="821"/>
      <c r="CP213" s="821"/>
      <c r="CQ213" s="821"/>
      <c r="CR213" s="821"/>
      <c r="CS213" s="821"/>
      <c r="CT213" s="821"/>
      <c r="CU213" s="821"/>
      <c r="CV213" s="821"/>
      <c r="CW213" s="821"/>
      <c r="CX213" s="821"/>
      <c r="CY213" s="821"/>
      <c r="CZ213" s="821"/>
      <c r="DA213" s="821"/>
      <c r="DB213" s="821"/>
      <c r="DC213" s="821"/>
      <c r="DD213" s="821"/>
      <c r="DE213" s="821"/>
      <c r="DF213" s="821"/>
      <c r="DG213" s="821"/>
      <c r="DH213" s="821"/>
      <c r="DI213" s="821"/>
      <c r="DJ213" s="821"/>
      <c r="DK213" s="821"/>
      <c r="DL213" s="821"/>
      <c r="DM213" s="821"/>
      <c r="DN213" s="821"/>
    </row>
    <row r="214" spans="5:118" s="6" customFormat="1">
      <c r="E214" s="137"/>
      <c r="F214" s="137"/>
      <c r="G214" s="137"/>
      <c r="H214" s="96"/>
      <c r="I214" s="98"/>
      <c r="J214" s="98"/>
      <c r="K214" s="55"/>
      <c r="L214" s="607"/>
      <c r="M214" s="607"/>
      <c r="N214" s="607"/>
      <c r="O214" s="607"/>
      <c r="P214" s="607"/>
      <c r="Q214" s="607"/>
      <c r="R214" s="607"/>
      <c r="S214" s="607"/>
      <c r="T214" s="607"/>
      <c r="U214" s="607"/>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821"/>
      <c r="AZ214" s="821"/>
      <c r="BA214" s="821"/>
      <c r="BB214" s="821"/>
      <c r="BC214" s="821"/>
      <c r="BD214" s="821"/>
      <c r="BE214" s="821"/>
      <c r="BF214" s="821"/>
      <c r="BG214" s="821"/>
      <c r="BH214" s="821"/>
      <c r="BI214" s="821"/>
      <c r="BJ214" s="821"/>
      <c r="BK214" s="821"/>
      <c r="BL214" s="821"/>
      <c r="BM214" s="821"/>
      <c r="BN214" s="821"/>
      <c r="BO214" s="821"/>
      <c r="BP214" s="821"/>
      <c r="BQ214" s="821"/>
      <c r="BR214" s="821"/>
      <c r="BS214" s="821"/>
      <c r="BT214" s="821"/>
      <c r="BU214" s="821"/>
      <c r="BV214" s="821"/>
      <c r="BW214" s="821"/>
      <c r="BX214" s="821"/>
      <c r="BY214" s="821"/>
      <c r="BZ214" s="821"/>
      <c r="CA214" s="821"/>
      <c r="CB214" s="821"/>
      <c r="CC214" s="821"/>
      <c r="CD214" s="821"/>
      <c r="CE214" s="821"/>
      <c r="CF214" s="821"/>
      <c r="CG214" s="821"/>
      <c r="CH214" s="821"/>
      <c r="CI214" s="821"/>
      <c r="CJ214" s="821"/>
      <c r="CK214" s="821"/>
      <c r="CL214" s="821"/>
      <c r="CM214" s="821"/>
      <c r="CN214" s="821"/>
      <c r="CO214" s="821"/>
      <c r="CP214" s="821"/>
      <c r="CQ214" s="821"/>
      <c r="CR214" s="821"/>
      <c r="CS214" s="821"/>
      <c r="CT214" s="821"/>
      <c r="CU214" s="821"/>
      <c r="CV214" s="821"/>
      <c r="CW214" s="821"/>
      <c r="CX214" s="821"/>
      <c r="CY214" s="821"/>
      <c r="CZ214" s="821"/>
      <c r="DA214" s="821"/>
      <c r="DB214" s="821"/>
      <c r="DC214" s="821"/>
      <c r="DD214" s="821"/>
      <c r="DE214" s="821"/>
      <c r="DF214" s="821"/>
      <c r="DG214" s="821"/>
      <c r="DH214" s="821"/>
      <c r="DI214" s="821"/>
      <c r="DJ214" s="821"/>
      <c r="DK214" s="821"/>
      <c r="DL214" s="821"/>
      <c r="DM214" s="821"/>
      <c r="DN214" s="821"/>
    </row>
    <row r="215" spans="5:118" s="6" customFormat="1">
      <c r="E215" s="137"/>
      <c r="F215" s="137"/>
      <c r="G215" s="137"/>
      <c r="H215" s="96"/>
      <c r="I215" s="98"/>
      <c r="J215" s="98"/>
      <c r="K215" s="55"/>
      <c r="L215" s="607"/>
      <c r="M215" s="607"/>
      <c r="N215" s="607"/>
      <c r="O215" s="607"/>
      <c r="P215" s="607"/>
      <c r="Q215" s="607"/>
      <c r="R215" s="607"/>
      <c r="S215" s="607"/>
      <c r="T215" s="607"/>
      <c r="U215" s="607"/>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821"/>
      <c r="AZ215" s="821"/>
      <c r="BA215" s="821"/>
      <c r="BB215" s="821"/>
      <c r="BC215" s="821"/>
      <c r="BD215" s="821"/>
      <c r="BE215" s="821"/>
      <c r="BF215" s="821"/>
      <c r="BG215" s="821"/>
      <c r="BH215" s="821"/>
      <c r="BI215" s="821"/>
      <c r="BJ215" s="821"/>
      <c r="BK215" s="821"/>
      <c r="BL215" s="821"/>
      <c r="BM215" s="821"/>
      <c r="BN215" s="821"/>
      <c r="BO215" s="821"/>
      <c r="BP215" s="821"/>
      <c r="BQ215" s="821"/>
      <c r="BR215" s="821"/>
      <c r="BS215" s="821"/>
      <c r="BT215" s="821"/>
      <c r="BU215" s="821"/>
      <c r="BV215" s="821"/>
      <c r="BW215" s="821"/>
      <c r="BX215" s="821"/>
      <c r="BY215" s="821"/>
      <c r="BZ215" s="821"/>
      <c r="CA215" s="821"/>
      <c r="CB215" s="821"/>
      <c r="CC215" s="821"/>
      <c r="CD215" s="821"/>
      <c r="CE215" s="821"/>
      <c r="CF215" s="821"/>
      <c r="CG215" s="821"/>
      <c r="CH215" s="821"/>
      <c r="CI215" s="821"/>
      <c r="CJ215" s="821"/>
      <c r="CK215" s="821"/>
      <c r="CL215" s="821"/>
      <c r="CM215" s="821"/>
      <c r="CN215" s="821"/>
      <c r="CO215" s="821"/>
      <c r="CP215" s="821"/>
      <c r="CQ215" s="821"/>
      <c r="CR215" s="821"/>
      <c r="CS215" s="821"/>
      <c r="CT215" s="821"/>
      <c r="CU215" s="821"/>
      <c r="CV215" s="821"/>
      <c r="CW215" s="821"/>
      <c r="CX215" s="821"/>
      <c r="CY215" s="821"/>
      <c r="CZ215" s="821"/>
      <c r="DA215" s="821"/>
      <c r="DB215" s="821"/>
      <c r="DC215" s="821"/>
      <c r="DD215" s="821"/>
      <c r="DE215" s="821"/>
      <c r="DF215" s="821"/>
      <c r="DG215" s="821"/>
      <c r="DH215" s="821"/>
      <c r="DI215" s="821"/>
      <c r="DJ215" s="821"/>
      <c r="DK215" s="821"/>
      <c r="DL215" s="821"/>
      <c r="DM215" s="821"/>
      <c r="DN215" s="821"/>
    </row>
    <row r="216" spans="5:118" s="6" customFormat="1">
      <c r="E216" s="137"/>
      <c r="F216" s="137"/>
      <c r="G216" s="137"/>
      <c r="H216" s="96"/>
      <c r="I216" s="98"/>
      <c r="J216" s="98"/>
      <c r="K216" s="55"/>
      <c r="L216" s="607"/>
      <c r="M216" s="607"/>
      <c r="N216" s="607"/>
      <c r="O216" s="607"/>
      <c r="P216" s="607"/>
      <c r="Q216" s="607"/>
      <c r="R216" s="607"/>
      <c r="S216" s="607"/>
      <c r="T216" s="607"/>
      <c r="U216" s="607"/>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821"/>
      <c r="AZ216" s="821"/>
      <c r="BA216" s="821"/>
      <c r="BB216" s="821"/>
      <c r="BC216" s="821"/>
      <c r="BD216" s="821"/>
      <c r="BE216" s="821"/>
      <c r="BF216" s="821"/>
      <c r="BG216" s="821"/>
      <c r="BH216" s="821"/>
      <c r="BI216" s="821"/>
      <c r="BJ216" s="821"/>
      <c r="BK216" s="821"/>
      <c r="BL216" s="821"/>
      <c r="BM216" s="821"/>
      <c r="BN216" s="821"/>
      <c r="BO216" s="821"/>
      <c r="BP216" s="821"/>
      <c r="BQ216" s="821"/>
      <c r="BR216" s="821"/>
      <c r="BS216" s="821"/>
      <c r="BT216" s="821"/>
      <c r="BU216" s="821"/>
      <c r="BV216" s="821"/>
      <c r="BW216" s="821"/>
      <c r="BX216" s="821"/>
      <c r="BY216" s="821"/>
      <c r="BZ216" s="821"/>
      <c r="CA216" s="821"/>
      <c r="CB216" s="821"/>
      <c r="CC216" s="821"/>
      <c r="CD216" s="821"/>
      <c r="CE216" s="821"/>
      <c r="CF216" s="821"/>
      <c r="CG216" s="821"/>
      <c r="CH216" s="821"/>
      <c r="CI216" s="821"/>
      <c r="CJ216" s="821"/>
      <c r="CK216" s="821"/>
      <c r="CL216" s="821"/>
      <c r="CM216" s="821"/>
      <c r="CN216" s="821"/>
      <c r="CO216" s="821"/>
      <c r="CP216" s="821"/>
      <c r="CQ216" s="821"/>
      <c r="CR216" s="821"/>
      <c r="CS216" s="821"/>
      <c r="CT216" s="821"/>
      <c r="CU216" s="821"/>
      <c r="CV216" s="821"/>
      <c r="CW216" s="821"/>
      <c r="CX216" s="821"/>
      <c r="CY216" s="821"/>
      <c r="CZ216" s="821"/>
      <c r="DA216" s="821"/>
      <c r="DB216" s="821"/>
      <c r="DC216" s="821"/>
      <c r="DD216" s="821"/>
      <c r="DE216" s="821"/>
      <c r="DF216" s="821"/>
      <c r="DG216" s="821"/>
      <c r="DH216" s="821"/>
      <c r="DI216" s="821"/>
      <c r="DJ216" s="821"/>
      <c r="DK216" s="821"/>
      <c r="DL216" s="821"/>
      <c r="DM216" s="821"/>
      <c r="DN216" s="821"/>
    </row>
    <row r="217" spans="5:118" s="6" customFormat="1">
      <c r="E217" s="137"/>
      <c r="F217" s="137"/>
      <c r="G217" s="137"/>
      <c r="H217" s="96"/>
      <c r="I217" s="98"/>
      <c r="J217" s="98"/>
      <c r="K217" s="55"/>
      <c r="L217" s="607"/>
      <c r="M217" s="607"/>
      <c r="N217" s="607"/>
      <c r="O217" s="607"/>
      <c r="P217" s="607"/>
      <c r="Q217" s="607"/>
      <c r="R217" s="607"/>
      <c r="S217" s="607"/>
      <c r="T217" s="607"/>
      <c r="U217" s="607"/>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821"/>
      <c r="AZ217" s="821"/>
      <c r="BA217" s="821"/>
      <c r="BB217" s="821"/>
      <c r="BC217" s="821"/>
      <c r="BD217" s="821"/>
      <c r="BE217" s="821"/>
      <c r="BF217" s="821"/>
      <c r="BG217" s="821"/>
      <c r="BH217" s="821"/>
      <c r="BI217" s="821"/>
      <c r="BJ217" s="821"/>
      <c r="BK217" s="821"/>
      <c r="BL217" s="821"/>
      <c r="BM217" s="821"/>
      <c r="BN217" s="821"/>
      <c r="BO217" s="821"/>
      <c r="BP217" s="821"/>
      <c r="BQ217" s="821"/>
      <c r="BR217" s="821"/>
      <c r="BS217" s="821"/>
      <c r="BT217" s="821"/>
      <c r="BU217" s="821"/>
      <c r="BV217" s="821"/>
      <c r="BW217" s="821"/>
      <c r="BX217" s="821"/>
      <c r="BY217" s="821"/>
      <c r="BZ217" s="821"/>
      <c r="CA217" s="821"/>
      <c r="CB217" s="821"/>
      <c r="CC217" s="821"/>
      <c r="CD217" s="821"/>
      <c r="CE217" s="821"/>
      <c r="CF217" s="821"/>
      <c r="CG217" s="821"/>
      <c r="CH217" s="821"/>
      <c r="CI217" s="821"/>
      <c r="CJ217" s="821"/>
      <c r="CK217" s="821"/>
      <c r="CL217" s="821"/>
      <c r="CM217" s="821"/>
      <c r="CN217" s="821"/>
      <c r="CO217" s="821"/>
      <c r="CP217" s="821"/>
      <c r="CQ217" s="821"/>
      <c r="CR217" s="821"/>
      <c r="CS217" s="821"/>
      <c r="CT217" s="821"/>
      <c r="CU217" s="821"/>
      <c r="CV217" s="821"/>
      <c r="CW217" s="821"/>
      <c r="CX217" s="821"/>
      <c r="CY217" s="821"/>
      <c r="CZ217" s="821"/>
      <c r="DA217" s="821"/>
      <c r="DB217" s="821"/>
      <c r="DC217" s="821"/>
      <c r="DD217" s="821"/>
      <c r="DE217" s="821"/>
      <c r="DF217" s="821"/>
      <c r="DG217" s="821"/>
      <c r="DH217" s="821"/>
      <c r="DI217" s="821"/>
      <c r="DJ217" s="821"/>
      <c r="DK217" s="821"/>
      <c r="DL217" s="821"/>
      <c r="DM217" s="821"/>
      <c r="DN217" s="821"/>
    </row>
    <row r="218" spans="5:118" s="6" customFormat="1">
      <c r="E218" s="137"/>
      <c r="F218" s="137"/>
      <c r="G218" s="137"/>
      <c r="H218" s="96"/>
      <c r="I218" s="98"/>
      <c r="J218" s="98"/>
      <c r="K218" s="55"/>
      <c r="L218" s="607"/>
      <c r="M218" s="607"/>
      <c r="N218" s="607"/>
      <c r="O218" s="607"/>
      <c r="P218" s="607"/>
      <c r="Q218" s="607"/>
      <c r="R218" s="607"/>
      <c r="S218" s="607"/>
      <c r="T218" s="607"/>
      <c r="U218" s="607"/>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821"/>
      <c r="AZ218" s="821"/>
      <c r="BA218" s="821"/>
      <c r="BB218" s="821"/>
      <c r="BC218" s="821"/>
      <c r="BD218" s="821"/>
      <c r="BE218" s="821"/>
      <c r="BF218" s="821"/>
      <c r="BG218" s="821"/>
      <c r="BH218" s="821"/>
      <c r="BI218" s="821"/>
      <c r="BJ218" s="821"/>
      <c r="BK218" s="821"/>
      <c r="BL218" s="821"/>
      <c r="BM218" s="821"/>
      <c r="BN218" s="821"/>
      <c r="BO218" s="821"/>
      <c r="BP218" s="821"/>
      <c r="BQ218" s="821"/>
      <c r="BR218" s="821"/>
      <c r="BS218" s="821"/>
      <c r="BT218" s="821"/>
      <c r="BU218" s="821"/>
      <c r="BV218" s="821"/>
      <c r="BW218" s="821"/>
      <c r="BX218" s="821"/>
      <c r="BY218" s="821"/>
      <c r="BZ218" s="821"/>
      <c r="CA218" s="821"/>
      <c r="CB218" s="821"/>
      <c r="CC218" s="821"/>
      <c r="CD218" s="821"/>
      <c r="CE218" s="821"/>
      <c r="CF218" s="821"/>
      <c r="CG218" s="821"/>
      <c r="CH218" s="821"/>
      <c r="CI218" s="821"/>
      <c r="CJ218" s="821"/>
      <c r="CK218" s="821"/>
      <c r="CL218" s="821"/>
      <c r="CM218" s="821"/>
      <c r="CN218" s="821"/>
      <c r="CO218" s="821"/>
      <c r="CP218" s="821"/>
      <c r="CQ218" s="821"/>
      <c r="CR218" s="821"/>
      <c r="CS218" s="821"/>
      <c r="CT218" s="821"/>
      <c r="CU218" s="821"/>
      <c r="CV218" s="821"/>
      <c r="CW218" s="821"/>
      <c r="CX218" s="821"/>
      <c r="CY218" s="821"/>
      <c r="CZ218" s="821"/>
      <c r="DA218" s="821"/>
      <c r="DB218" s="821"/>
      <c r="DC218" s="821"/>
      <c r="DD218" s="821"/>
      <c r="DE218" s="821"/>
      <c r="DF218" s="821"/>
      <c r="DG218" s="821"/>
      <c r="DH218" s="821"/>
      <c r="DI218" s="821"/>
      <c r="DJ218" s="821"/>
      <c r="DK218" s="821"/>
      <c r="DL218" s="821"/>
      <c r="DM218" s="821"/>
      <c r="DN218" s="821"/>
    </row>
    <row r="219" spans="5:118" s="6" customFormat="1">
      <c r="E219" s="137"/>
      <c r="F219" s="137"/>
      <c r="G219" s="137"/>
      <c r="H219" s="96"/>
      <c r="I219" s="98"/>
      <c r="J219" s="98"/>
      <c r="K219" s="55"/>
      <c r="L219" s="607"/>
      <c r="M219" s="607"/>
      <c r="N219" s="607"/>
      <c r="O219" s="607"/>
      <c r="P219" s="607"/>
      <c r="Q219" s="607"/>
      <c r="R219" s="607"/>
      <c r="S219" s="607"/>
      <c r="T219" s="607"/>
      <c r="U219" s="607"/>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821"/>
      <c r="AZ219" s="821"/>
      <c r="BA219" s="821"/>
      <c r="BB219" s="821"/>
      <c r="BC219" s="821"/>
      <c r="BD219" s="821"/>
      <c r="BE219" s="821"/>
      <c r="BF219" s="821"/>
      <c r="BG219" s="821"/>
      <c r="BH219" s="821"/>
      <c r="BI219" s="821"/>
      <c r="BJ219" s="821"/>
      <c r="BK219" s="821"/>
      <c r="BL219" s="821"/>
      <c r="BM219" s="821"/>
      <c r="BN219" s="821"/>
      <c r="BO219" s="821"/>
      <c r="BP219" s="821"/>
      <c r="BQ219" s="821"/>
      <c r="BR219" s="821"/>
      <c r="BS219" s="821"/>
      <c r="BT219" s="821"/>
      <c r="BU219" s="821"/>
      <c r="BV219" s="821"/>
      <c r="BW219" s="821"/>
      <c r="BX219" s="821"/>
      <c r="BY219" s="821"/>
      <c r="BZ219" s="821"/>
      <c r="CA219" s="821"/>
      <c r="CB219" s="821"/>
      <c r="CC219" s="821"/>
      <c r="CD219" s="821"/>
      <c r="CE219" s="821"/>
      <c r="CF219" s="821"/>
      <c r="CG219" s="821"/>
      <c r="CH219" s="821"/>
      <c r="CI219" s="821"/>
      <c r="CJ219" s="821"/>
      <c r="CK219" s="821"/>
      <c r="CL219" s="821"/>
      <c r="CM219" s="821"/>
      <c r="CN219" s="821"/>
      <c r="CO219" s="821"/>
      <c r="CP219" s="821"/>
      <c r="CQ219" s="821"/>
      <c r="CR219" s="821"/>
      <c r="CS219" s="821"/>
      <c r="CT219" s="821"/>
      <c r="CU219" s="821"/>
      <c r="CV219" s="821"/>
      <c r="CW219" s="821"/>
      <c r="CX219" s="821"/>
      <c r="CY219" s="821"/>
      <c r="CZ219" s="821"/>
      <c r="DA219" s="821"/>
      <c r="DB219" s="821"/>
      <c r="DC219" s="821"/>
      <c r="DD219" s="821"/>
      <c r="DE219" s="821"/>
      <c r="DF219" s="821"/>
      <c r="DG219" s="821"/>
      <c r="DH219" s="821"/>
      <c r="DI219" s="821"/>
      <c r="DJ219" s="821"/>
      <c r="DK219" s="821"/>
      <c r="DL219" s="821"/>
      <c r="DM219" s="821"/>
      <c r="DN219" s="821"/>
    </row>
    <row r="220" spans="5:118" s="6" customFormat="1">
      <c r="E220" s="137"/>
      <c r="F220" s="137"/>
      <c r="G220" s="137"/>
      <c r="H220" s="96"/>
      <c r="I220" s="98"/>
      <c r="J220" s="98"/>
      <c r="K220" s="55"/>
      <c r="L220" s="607"/>
      <c r="M220" s="607"/>
      <c r="N220" s="607"/>
      <c r="O220" s="607"/>
      <c r="P220" s="607"/>
      <c r="Q220" s="607"/>
      <c r="R220" s="607"/>
      <c r="S220" s="607"/>
      <c r="T220" s="607"/>
      <c r="U220" s="607"/>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821"/>
      <c r="AZ220" s="821"/>
      <c r="BA220" s="821"/>
      <c r="BB220" s="821"/>
      <c r="BC220" s="821"/>
      <c r="BD220" s="821"/>
      <c r="BE220" s="821"/>
      <c r="BF220" s="821"/>
      <c r="BG220" s="821"/>
      <c r="BH220" s="821"/>
      <c r="BI220" s="821"/>
      <c r="BJ220" s="821"/>
      <c r="BK220" s="821"/>
      <c r="BL220" s="821"/>
      <c r="BM220" s="821"/>
      <c r="BN220" s="821"/>
      <c r="BO220" s="821"/>
      <c r="BP220" s="821"/>
      <c r="BQ220" s="821"/>
      <c r="BR220" s="821"/>
      <c r="BS220" s="821"/>
      <c r="BT220" s="821"/>
      <c r="BU220" s="821"/>
      <c r="BV220" s="821"/>
      <c r="BW220" s="821"/>
      <c r="BX220" s="821"/>
      <c r="BY220" s="821"/>
      <c r="BZ220" s="821"/>
      <c r="CA220" s="821"/>
      <c r="CB220" s="821"/>
      <c r="CC220" s="821"/>
      <c r="CD220" s="821"/>
      <c r="CE220" s="821"/>
      <c r="CF220" s="821"/>
      <c r="CG220" s="821"/>
      <c r="CH220" s="821"/>
      <c r="CI220" s="821"/>
      <c r="CJ220" s="821"/>
      <c r="CK220" s="821"/>
      <c r="CL220" s="821"/>
      <c r="CM220" s="821"/>
      <c r="CN220" s="821"/>
      <c r="CO220" s="821"/>
      <c r="CP220" s="821"/>
      <c r="CQ220" s="821"/>
      <c r="CR220" s="821"/>
      <c r="CS220" s="821"/>
      <c r="CT220" s="821"/>
      <c r="CU220" s="821"/>
      <c r="CV220" s="821"/>
      <c r="CW220" s="821"/>
      <c r="CX220" s="821"/>
      <c r="CY220" s="821"/>
      <c r="CZ220" s="821"/>
      <c r="DA220" s="821"/>
      <c r="DB220" s="821"/>
      <c r="DC220" s="821"/>
      <c r="DD220" s="821"/>
      <c r="DE220" s="821"/>
      <c r="DF220" s="821"/>
      <c r="DG220" s="821"/>
      <c r="DH220" s="821"/>
      <c r="DI220" s="821"/>
      <c r="DJ220" s="821"/>
      <c r="DK220" s="821"/>
      <c r="DL220" s="821"/>
      <c r="DM220" s="821"/>
      <c r="DN220" s="821"/>
    </row>
    <row r="221" spans="5:118" s="6" customFormat="1">
      <c r="E221" s="137"/>
      <c r="F221" s="137"/>
      <c r="G221" s="137"/>
      <c r="H221" s="96"/>
      <c r="I221" s="98"/>
      <c r="J221" s="98"/>
      <c r="K221" s="55"/>
      <c r="L221" s="607"/>
      <c r="M221" s="607"/>
      <c r="N221" s="607"/>
      <c r="O221" s="607"/>
      <c r="P221" s="607"/>
      <c r="Q221" s="607"/>
      <c r="R221" s="607"/>
      <c r="S221" s="607"/>
      <c r="T221" s="607"/>
      <c r="U221" s="607"/>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821"/>
      <c r="AZ221" s="821"/>
      <c r="BA221" s="821"/>
      <c r="BB221" s="821"/>
      <c r="BC221" s="821"/>
      <c r="BD221" s="821"/>
      <c r="BE221" s="821"/>
      <c r="BF221" s="821"/>
      <c r="BG221" s="821"/>
      <c r="BH221" s="821"/>
      <c r="BI221" s="821"/>
      <c r="BJ221" s="821"/>
      <c r="BK221" s="821"/>
      <c r="BL221" s="821"/>
      <c r="BM221" s="821"/>
      <c r="BN221" s="821"/>
      <c r="BO221" s="821"/>
      <c r="BP221" s="821"/>
      <c r="BQ221" s="821"/>
      <c r="BR221" s="821"/>
      <c r="BS221" s="821"/>
      <c r="BT221" s="821"/>
      <c r="BU221" s="821"/>
      <c r="BV221" s="821"/>
      <c r="BW221" s="821"/>
      <c r="BX221" s="821"/>
      <c r="BY221" s="821"/>
      <c r="BZ221" s="821"/>
      <c r="CA221" s="821"/>
      <c r="CB221" s="821"/>
      <c r="CC221" s="821"/>
      <c r="CD221" s="821"/>
      <c r="CE221" s="821"/>
      <c r="CF221" s="821"/>
      <c r="CG221" s="821"/>
      <c r="CH221" s="821"/>
      <c r="CI221" s="821"/>
      <c r="CJ221" s="821"/>
      <c r="CK221" s="821"/>
      <c r="CL221" s="821"/>
      <c r="CM221" s="821"/>
      <c r="CN221" s="821"/>
      <c r="CO221" s="821"/>
      <c r="CP221" s="821"/>
      <c r="CQ221" s="821"/>
      <c r="CR221" s="821"/>
      <c r="CS221" s="821"/>
      <c r="CT221" s="821"/>
      <c r="CU221" s="821"/>
      <c r="CV221" s="821"/>
      <c r="CW221" s="821"/>
      <c r="CX221" s="821"/>
      <c r="CY221" s="821"/>
      <c r="CZ221" s="821"/>
      <c r="DA221" s="821"/>
      <c r="DB221" s="821"/>
      <c r="DC221" s="821"/>
      <c r="DD221" s="821"/>
      <c r="DE221" s="821"/>
      <c r="DF221" s="821"/>
      <c r="DG221" s="821"/>
      <c r="DH221" s="821"/>
      <c r="DI221" s="821"/>
      <c r="DJ221" s="821"/>
      <c r="DK221" s="821"/>
      <c r="DL221" s="821"/>
      <c r="DM221" s="821"/>
      <c r="DN221" s="821"/>
    </row>
    <row r="222" spans="5:118" s="6" customFormat="1">
      <c r="E222" s="137"/>
      <c r="F222" s="137"/>
      <c r="G222" s="137"/>
      <c r="H222" s="96"/>
      <c r="I222" s="98"/>
      <c r="J222" s="98"/>
      <c r="K222" s="55"/>
      <c r="L222" s="607"/>
      <c r="M222" s="607"/>
      <c r="N222" s="607"/>
      <c r="O222" s="607"/>
      <c r="P222" s="607"/>
      <c r="Q222" s="607"/>
      <c r="R222" s="607"/>
      <c r="S222" s="607"/>
      <c r="T222" s="607"/>
      <c r="U222" s="607"/>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821"/>
      <c r="AZ222" s="821"/>
      <c r="BA222" s="821"/>
      <c r="BB222" s="821"/>
      <c r="BC222" s="821"/>
      <c r="BD222" s="821"/>
      <c r="BE222" s="821"/>
      <c r="BF222" s="821"/>
      <c r="BG222" s="821"/>
      <c r="BH222" s="821"/>
      <c r="BI222" s="821"/>
      <c r="BJ222" s="821"/>
      <c r="BK222" s="821"/>
      <c r="BL222" s="821"/>
      <c r="BM222" s="821"/>
      <c r="BN222" s="821"/>
      <c r="BO222" s="821"/>
      <c r="BP222" s="821"/>
      <c r="BQ222" s="821"/>
      <c r="BR222" s="821"/>
      <c r="BS222" s="821"/>
      <c r="BT222" s="821"/>
      <c r="BU222" s="821"/>
      <c r="BV222" s="821"/>
      <c r="BW222" s="821"/>
      <c r="BX222" s="821"/>
      <c r="BY222" s="821"/>
      <c r="BZ222" s="821"/>
      <c r="CA222" s="821"/>
      <c r="CB222" s="821"/>
      <c r="CC222" s="821"/>
      <c r="CD222" s="821"/>
      <c r="CE222" s="821"/>
      <c r="CF222" s="821"/>
      <c r="CG222" s="821"/>
      <c r="CH222" s="821"/>
      <c r="CI222" s="821"/>
      <c r="CJ222" s="821"/>
      <c r="CK222" s="821"/>
      <c r="CL222" s="821"/>
      <c r="CM222" s="821"/>
      <c r="CN222" s="821"/>
      <c r="CO222" s="821"/>
      <c r="CP222" s="821"/>
      <c r="CQ222" s="821"/>
      <c r="CR222" s="821"/>
      <c r="CS222" s="821"/>
      <c r="CT222" s="821"/>
      <c r="CU222" s="821"/>
      <c r="CV222" s="821"/>
      <c r="CW222" s="821"/>
      <c r="CX222" s="821"/>
      <c r="CY222" s="821"/>
      <c r="CZ222" s="821"/>
      <c r="DA222" s="821"/>
      <c r="DB222" s="821"/>
      <c r="DC222" s="821"/>
      <c r="DD222" s="821"/>
      <c r="DE222" s="821"/>
      <c r="DF222" s="821"/>
      <c r="DG222" s="821"/>
      <c r="DH222" s="821"/>
      <c r="DI222" s="821"/>
      <c r="DJ222" s="821"/>
      <c r="DK222" s="821"/>
      <c r="DL222" s="821"/>
      <c r="DM222" s="821"/>
      <c r="DN222" s="821"/>
    </row>
    <row r="223" spans="5:118" s="6" customFormat="1">
      <c r="E223" s="137"/>
      <c r="F223" s="137"/>
      <c r="G223" s="137"/>
      <c r="H223" s="96"/>
      <c r="I223" s="98"/>
      <c r="J223" s="98"/>
      <c r="K223" s="55"/>
      <c r="L223" s="607"/>
      <c r="M223" s="607"/>
      <c r="N223" s="607"/>
      <c r="O223" s="607"/>
      <c r="P223" s="607"/>
      <c r="Q223" s="607"/>
      <c r="R223" s="607"/>
      <c r="S223" s="607"/>
      <c r="T223" s="607"/>
      <c r="U223" s="607"/>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821"/>
      <c r="AZ223" s="821"/>
      <c r="BA223" s="821"/>
      <c r="BB223" s="821"/>
      <c r="BC223" s="821"/>
      <c r="BD223" s="821"/>
      <c r="BE223" s="821"/>
      <c r="BF223" s="821"/>
      <c r="BG223" s="821"/>
      <c r="BH223" s="821"/>
      <c r="BI223" s="821"/>
      <c r="BJ223" s="821"/>
      <c r="BK223" s="821"/>
      <c r="BL223" s="821"/>
      <c r="BM223" s="821"/>
      <c r="BN223" s="821"/>
      <c r="BO223" s="821"/>
      <c r="BP223" s="821"/>
      <c r="BQ223" s="821"/>
      <c r="BR223" s="821"/>
      <c r="BS223" s="821"/>
      <c r="BT223" s="821"/>
      <c r="BU223" s="821"/>
      <c r="BV223" s="821"/>
      <c r="BW223" s="821"/>
      <c r="BX223" s="821"/>
      <c r="BY223" s="821"/>
      <c r="BZ223" s="821"/>
      <c r="CA223" s="821"/>
      <c r="CB223" s="821"/>
      <c r="CC223" s="821"/>
      <c r="CD223" s="821"/>
      <c r="CE223" s="821"/>
      <c r="CF223" s="821"/>
      <c r="CG223" s="821"/>
      <c r="CH223" s="821"/>
      <c r="CI223" s="821"/>
      <c r="CJ223" s="821"/>
      <c r="CK223" s="821"/>
      <c r="CL223" s="821"/>
      <c r="CM223" s="821"/>
      <c r="CN223" s="821"/>
      <c r="CO223" s="821"/>
      <c r="CP223" s="821"/>
      <c r="CQ223" s="821"/>
      <c r="CR223" s="821"/>
      <c r="CS223" s="821"/>
      <c r="CT223" s="821"/>
      <c r="CU223" s="821"/>
      <c r="CV223" s="821"/>
      <c r="CW223" s="821"/>
      <c r="CX223" s="821"/>
      <c r="CY223" s="821"/>
      <c r="CZ223" s="821"/>
      <c r="DA223" s="821"/>
      <c r="DB223" s="821"/>
      <c r="DC223" s="821"/>
      <c r="DD223" s="821"/>
      <c r="DE223" s="821"/>
      <c r="DF223" s="821"/>
      <c r="DG223" s="821"/>
      <c r="DH223" s="821"/>
      <c r="DI223" s="821"/>
      <c r="DJ223" s="821"/>
      <c r="DK223" s="821"/>
      <c r="DL223" s="821"/>
      <c r="DM223" s="821"/>
      <c r="DN223" s="821"/>
    </row>
    <row r="224" spans="5:118" s="6" customFormat="1">
      <c r="E224" s="137"/>
      <c r="F224" s="137"/>
      <c r="G224" s="137"/>
      <c r="H224" s="96"/>
      <c r="I224" s="98"/>
      <c r="J224" s="98"/>
      <c r="K224" s="55"/>
      <c r="L224" s="607"/>
      <c r="M224" s="607"/>
      <c r="N224" s="607"/>
      <c r="O224" s="607"/>
      <c r="P224" s="607"/>
      <c r="Q224" s="607"/>
      <c r="R224" s="607"/>
      <c r="S224" s="607"/>
      <c r="T224" s="607"/>
      <c r="U224" s="607"/>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821"/>
      <c r="AZ224" s="821"/>
      <c r="BA224" s="821"/>
      <c r="BB224" s="821"/>
      <c r="BC224" s="821"/>
      <c r="BD224" s="821"/>
      <c r="BE224" s="821"/>
      <c r="BF224" s="821"/>
      <c r="BG224" s="821"/>
      <c r="BH224" s="821"/>
      <c r="BI224" s="821"/>
      <c r="BJ224" s="821"/>
      <c r="BK224" s="821"/>
      <c r="BL224" s="821"/>
      <c r="BM224" s="821"/>
      <c r="BN224" s="821"/>
      <c r="BO224" s="821"/>
      <c r="BP224" s="821"/>
      <c r="BQ224" s="821"/>
      <c r="BR224" s="821"/>
      <c r="BS224" s="821"/>
      <c r="BT224" s="821"/>
      <c r="BU224" s="821"/>
      <c r="BV224" s="821"/>
      <c r="BW224" s="821"/>
      <c r="BX224" s="821"/>
      <c r="BY224" s="821"/>
      <c r="BZ224" s="821"/>
      <c r="CA224" s="821"/>
      <c r="CB224" s="821"/>
      <c r="CC224" s="821"/>
      <c r="CD224" s="821"/>
      <c r="CE224" s="821"/>
      <c r="CF224" s="821"/>
      <c r="CG224" s="821"/>
      <c r="CH224" s="821"/>
      <c r="CI224" s="821"/>
      <c r="CJ224" s="821"/>
      <c r="CK224" s="821"/>
      <c r="CL224" s="821"/>
      <c r="CM224" s="821"/>
      <c r="CN224" s="821"/>
      <c r="CO224" s="821"/>
      <c r="CP224" s="821"/>
      <c r="CQ224" s="821"/>
      <c r="CR224" s="821"/>
      <c r="CS224" s="821"/>
      <c r="CT224" s="821"/>
      <c r="CU224" s="821"/>
      <c r="CV224" s="821"/>
      <c r="CW224" s="821"/>
      <c r="CX224" s="821"/>
      <c r="CY224" s="821"/>
      <c r="CZ224" s="821"/>
      <c r="DA224" s="821"/>
      <c r="DB224" s="821"/>
      <c r="DC224" s="821"/>
      <c r="DD224" s="821"/>
      <c r="DE224" s="821"/>
      <c r="DF224" s="821"/>
      <c r="DG224" s="821"/>
      <c r="DH224" s="821"/>
      <c r="DI224" s="821"/>
      <c r="DJ224" s="821"/>
      <c r="DK224" s="821"/>
      <c r="DL224" s="821"/>
      <c r="DM224" s="821"/>
      <c r="DN224" s="821"/>
    </row>
    <row r="225" spans="1:118" s="6" customFormat="1">
      <c r="A225" s="55"/>
      <c r="B225" s="55"/>
      <c r="C225" s="55"/>
      <c r="D225" s="55"/>
      <c r="E225" s="137"/>
      <c r="F225" s="137"/>
      <c r="G225" s="137"/>
      <c r="H225" s="96"/>
      <c r="I225" s="98"/>
      <c r="J225" s="98"/>
      <c r="K225" s="55"/>
      <c r="L225" s="607"/>
      <c r="M225" s="607"/>
      <c r="N225" s="607"/>
      <c r="O225" s="607"/>
      <c r="P225" s="607"/>
      <c r="Q225" s="607"/>
      <c r="R225" s="607"/>
      <c r="S225" s="607"/>
      <c r="T225" s="607"/>
      <c r="U225" s="607"/>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821"/>
      <c r="AZ225" s="821"/>
      <c r="BA225" s="821"/>
      <c r="BB225" s="821"/>
      <c r="BC225" s="821"/>
      <c r="BD225" s="821"/>
      <c r="BE225" s="821"/>
      <c r="BF225" s="821"/>
      <c r="BG225" s="821"/>
      <c r="BH225" s="821"/>
      <c r="BI225" s="821"/>
      <c r="BJ225" s="821"/>
      <c r="BK225" s="821"/>
      <c r="BL225" s="821"/>
      <c r="BM225" s="821"/>
      <c r="BN225" s="821"/>
      <c r="BO225" s="821"/>
      <c r="BP225" s="821"/>
      <c r="BQ225" s="821"/>
      <c r="BR225" s="821"/>
      <c r="BS225" s="821"/>
      <c r="BT225" s="821"/>
      <c r="BU225" s="821"/>
      <c r="BV225" s="821"/>
      <c r="BW225" s="821"/>
      <c r="BX225" s="821"/>
      <c r="BY225" s="821"/>
      <c r="BZ225" s="821"/>
      <c r="CA225" s="821"/>
      <c r="CB225" s="821"/>
      <c r="CC225" s="821"/>
      <c r="CD225" s="821"/>
      <c r="CE225" s="821"/>
      <c r="CF225" s="821"/>
      <c r="CG225" s="821"/>
      <c r="CH225" s="821"/>
      <c r="CI225" s="821"/>
      <c r="CJ225" s="821"/>
      <c r="CK225" s="821"/>
      <c r="CL225" s="821"/>
      <c r="CM225" s="821"/>
      <c r="CN225" s="821"/>
      <c r="CO225" s="821"/>
      <c r="CP225" s="821"/>
      <c r="CQ225" s="821"/>
      <c r="CR225" s="821"/>
      <c r="CS225" s="821"/>
      <c r="CT225" s="821"/>
      <c r="CU225" s="821"/>
      <c r="CV225" s="821"/>
      <c r="CW225" s="821"/>
      <c r="CX225" s="821"/>
      <c r="CY225" s="821"/>
      <c r="CZ225" s="821"/>
      <c r="DA225" s="821"/>
      <c r="DB225" s="821"/>
      <c r="DC225" s="821"/>
      <c r="DD225" s="821"/>
      <c r="DE225" s="821"/>
      <c r="DF225" s="821"/>
      <c r="DG225" s="821"/>
      <c r="DH225" s="821"/>
      <c r="DI225" s="821"/>
      <c r="DJ225" s="821"/>
      <c r="DK225" s="821"/>
      <c r="DL225" s="821"/>
      <c r="DM225" s="821"/>
      <c r="DN225" s="821"/>
    </row>
    <row r="226" spans="1:118" s="6" customFormat="1">
      <c r="A226" s="55"/>
      <c r="B226" s="55"/>
      <c r="C226" s="55"/>
      <c r="D226" s="55"/>
      <c r="E226" s="137"/>
      <c r="F226" s="137"/>
      <c r="G226" s="137"/>
      <c r="H226" s="96"/>
      <c r="I226" s="98"/>
      <c r="J226" s="98"/>
      <c r="K226" s="55"/>
      <c r="L226" s="607"/>
      <c r="M226" s="607"/>
      <c r="N226" s="607"/>
      <c r="O226" s="607"/>
      <c r="P226" s="607"/>
      <c r="Q226" s="607"/>
      <c r="R226" s="607"/>
      <c r="S226" s="607"/>
      <c r="T226" s="607"/>
      <c r="U226" s="607"/>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821"/>
      <c r="AZ226" s="821"/>
      <c r="BA226" s="821"/>
      <c r="BB226" s="821"/>
      <c r="BC226" s="821"/>
      <c r="BD226" s="821"/>
      <c r="BE226" s="821"/>
      <c r="BF226" s="821"/>
      <c r="BG226" s="821"/>
      <c r="BH226" s="821"/>
      <c r="BI226" s="821"/>
      <c r="BJ226" s="821"/>
      <c r="BK226" s="821"/>
      <c r="BL226" s="821"/>
      <c r="BM226" s="821"/>
      <c r="BN226" s="821"/>
      <c r="BO226" s="821"/>
      <c r="BP226" s="821"/>
      <c r="BQ226" s="821"/>
      <c r="BR226" s="821"/>
      <c r="BS226" s="821"/>
      <c r="BT226" s="821"/>
      <c r="BU226" s="821"/>
      <c r="BV226" s="821"/>
      <c r="BW226" s="821"/>
      <c r="BX226" s="821"/>
      <c r="BY226" s="821"/>
      <c r="BZ226" s="821"/>
      <c r="CA226" s="821"/>
      <c r="CB226" s="821"/>
      <c r="CC226" s="821"/>
      <c r="CD226" s="821"/>
      <c r="CE226" s="821"/>
      <c r="CF226" s="821"/>
      <c r="CG226" s="821"/>
      <c r="CH226" s="821"/>
      <c r="CI226" s="821"/>
      <c r="CJ226" s="821"/>
      <c r="CK226" s="821"/>
      <c r="CL226" s="821"/>
      <c r="CM226" s="821"/>
      <c r="CN226" s="821"/>
      <c r="CO226" s="821"/>
      <c r="CP226" s="821"/>
      <c r="CQ226" s="821"/>
      <c r="CR226" s="821"/>
      <c r="CS226" s="821"/>
      <c r="CT226" s="821"/>
      <c r="CU226" s="821"/>
      <c r="CV226" s="821"/>
      <c r="CW226" s="821"/>
      <c r="CX226" s="821"/>
      <c r="CY226" s="821"/>
      <c r="CZ226" s="821"/>
      <c r="DA226" s="821"/>
      <c r="DB226" s="821"/>
      <c r="DC226" s="821"/>
      <c r="DD226" s="821"/>
      <c r="DE226" s="821"/>
      <c r="DF226" s="821"/>
      <c r="DG226" s="821"/>
      <c r="DH226" s="821"/>
      <c r="DI226" s="821"/>
      <c r="DJ226" s="821"/>
      <c r="DK226" s="821"/>
      <c r="DL226" s="821"/>
      <c r="DM226" s="821"/>
      <c r="DN226" s="821"/>
    </row>
    <row r="227" spans="1:118" s="6" customFormat="1">
      <c r="A227" s="55"/>
      <c r="B227" s="55"/>
      <c r="C227" s="55"/>
      <c r="D227" s="55"/>
      <c r="E227" s="137"/>
      <c r="F227" s="137"/>
      <c r="G227" s="137"/>
      <c r="H227" s="96"/>
      <c r="I227" s="98"/>
      <c r="J227" s="98"/>
      <c r="K227" s="55"/>
      <c r="L227" s="607"/>
      <c r="M227" s="607"/>
      <c r="N227" s="607"/>
      <c r="O227" s="607"/>
      <c r="P227" s="607"/>
      <c r="Q227" s="607"/>
      <c r="R227" s="607"/>
      <c r="S227" s="607"/>
      <c r="T227" s="607"/>
      <c r="U227" s="607"/>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821"/>
      <c r="AZ227" s="821"/>
      <c r="BA227" s="821"/>
      <c r="BB227" s="821"/>
      <c r="BC227" s="821"/>
      <c r="BD227" s="821"/>
      <c r="BE227" s="821"/>
      <c r="BF227" s="821"/>
      <c r="BG227" s="821"/>
      <c r="BH227" s="821"/>
      <c r="BI227" s="821"/>
      <c r="BJ227" s="821"/>
      <c r="BK227" s="821"/>
      <c r="BL227" s="821"/>
      <c r="BM227" s="821"/>
      <c r="BN227" s="821"/>
      <c r="BO227" s="821"/>
      <c r="BP227" s="821"/>
      <c r="BQ227" s="821"/>
      <c r="BR227" s="821"/>
      <c r="BS227" s="821"/>
      <c r="BT227" s="821"/>
      <c r="BU227" s="821"/>
      <c r="BV227" s="821"/>
      <c r="BW227" s="821"/>
      <c r="BX227" s="821"/>
      <c r="BY227" s="821"/>
      <c r="BZ227" s="821"/>
      <c r="CA227" s="821"/>
      <c r="CB227" s="821"/>
      <c r="CC227" s="821"/>
      <c r="CD227" s="821"/>
      <c r="CE227" s="821"/>
      <c r="CF227" s="821"/>
      <c r="CG227" s="821"/>
      <c r="CH227" s="821"/>
      <c r="CI227" s="821"/>
      <c r="CJ227" s="821"/>
      <c r="CK227" s="821"/>
      <c r="CL227" s="821"/>
      <c r="CM227" s="821"/>
      <c r="CN227" s="821"/>
      <c r="CO227" s="821"/>
      <c r="CP227" s="821"/>
      <c r="CQ227" s="821"/>
      <c r="CR227" s="821"/>
      <c r="CS227" s="821"/>
      <c r="CT227" s="821"/>
      <c r="CU227" s="821"/>
      <c r="CV227" s="821"/>
      <c r="CW227" s="821"/>
      <c r="CX227" s="821"/>
      <c r="CY227" s="821"/>
      <c r="CZ227" s="821"/>
      <c r="DA227" s="821"/>
      <c r="DB227" s="821"/>
      <c r="DC227" s="821"/>
      <c r="DD227" s="821"/>
      <c r="DE227" s="821"/>
      <c r="DF227" s="821"/>
      <c r="DG227" s="821"/>
      <c r="DH227" s="821"/>
      <c r="DI227" s="821"/>
      <c r="DJ227" s="821"/>
      <c r="DK227" s="821"/>
      <c r="DL227" s="821"/>
      <c r="DM227" s="821"/>
      <c r="DN227" s="821"/>
    </row>
    <row r="228" spans="1:118" s="6" customFormat="1">
      <c r="A228" s="55"/>
      <c r="B228" s="55"/>
      <c r="C228" s="55"/>
      <c r="D228" s="55"/>
      <c r="E228" s="137"/>
      <c r="F228" s="137"/>
      <c r="G228" s="137"/>
      <c r="H228" s="96"/>
      <c r="I228" s="98"/>
      <c r="J228" s="98"/>
      <c r="K228" s="55"/>
      <c r="L228" s="607"/>
      <c r="M228" s="607"/>
      <c r="N228" s="607"/>
      <c r="O228" s="607"/>
      <c r="P228" s="607"/>
      <c r="Q228" s="607"/>
      <c r="R228" s="607"/>
      <c r="S228" s="607"/>
      <c r="T228" s="607"/>
      <c r="U228" s="607"/>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821"/>
      <c r="AZ228" s="821"/>
      <c r="BA228" s="821"/>
      <c r="BB228" s="821"/>
      <c r="BC228" s="821"/>
      <c r="BD228" s="821"/>
      <c r="BE228" s="821"/>
      <c r="BF228" s="821"/>
      <c r="BG228" s="821"/>
      <c r="BH228" s="821"/>
      <c r="BI228" s="821"/>
      <c r="BJ228" s="821"/>
      <c r="BK228" s="821"/>
      <c r="BL228" s="821"/>
      <c r="BM228" s="821"/>
      <c r="BN228" s="821"/>
      <c r="BO228" s="821"/>
      <c r="BP228" s="821"/>
      <c r="BQ228" s="821"/>
      <c r="BR228" s="821"/>
      <c r="BS228" s="821"/>
      <c r="BT228" s="821"/>
      <c r="BU228" s="821"/>
      <c r="BV228" s="821"/>
      <c r="BW228" s="821"/>
      <c r="BX228" s="821"/>
      <c r="BY228" s="821"/>
      <c r="BZ228" s="821"/>
      <c r="CA228" s="821"/>
      <c r="CB228" s="821"/>
      <c r="CC228" s="821"/>
      <c r="CD228" s="821"/>
      <c r="CE228" s="821"/>
      <c r="CF228" s="821"/>
      <c r="CG228" s="821"/>
      <c r="CH228" s="821"/>
      <c r="CI228" s="821"/>
      <c r="CJ228" s="821"/>
      <c r="CK228" s="821"/>
      <c r="CL228" s="821"/>
      <c r="CM228" s="821"/>
      <c r="CN228" s="821"/>
      <c r="CO228" s="821"/>
      <c r="CP228" s="821"/>
      <c r="CQ228" s="821"/>
      <c r="CR228" s="821"/>
      <c r="CS228" s="821"/>
      <c r="CT228" s="821"/>
      <c r="CU228" s="821"/>
      <c r="CV228" s="821"/>
      <c r="CW228" s="821"/>
      <c r="CX228" s="821"/>
      <c r="CY228" s="821"/>
      <c r="CZ228" s="821"/>
      <c r="DA228" s="821"/>
      <c r="DB228" s="821"/>
      <c r="DC228" s="821"/>
      <c r="DD228" s="821"/>
      <c r="DE228" s="821"/>
      <c r="DF228" s="821"/>
      <c r="DG228" s="821"/>
      <c r="DH228" s="821"/>
      <c r="DI228" s="821"/>
      <c r="DJ228" s="821"/>
      <c r="DK228" s="821"/>
      <c r="DL228" s="821"/>
      <c r="DM228" s="821"/>
      <c r="DN228" s="821"/>
    </row>
    <row r="229" spans="1:118" s="6" customFormat="1">
      <c r="A229" s="55"/>
      <c r="B229" s="55"/>
      <c r="C229" s="55"/>
      <c r="D229" s="55"/>
      <c r="E229" s="137"/>
      <c r="F229" s="137"/>
      <c r="G229" s="137"/>
      <c r="H229" s="96"/>
      <c r="I229" s="98"/>
      <c r="J229" s="98"/>
      <c r="K229" s="55"/>
      <c r="L229" s="607"/>
      <c r="M229" s="607"/>
      <c r="N229" s="607"/>
      <c r="O229" s="607"/>
      <c r="P229" s="607"/>
      <c r="Q229" s="607"/>
      <c r="R229" s="607"/>
      <c r="S229" s="607"/>
      <c r="T229" s="607"/>
      <c r="U229" s="607"/>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821"/>
      <c r="AZ229" s="821"/>
      <c r="BA229" s="821"/>
      <c r="BB229" s="821"/>
      <c r="BC229" s="821"/>
      <c r="BD229" s="821"/>
      <c r="BE229" s="821"/>
      <c r="BF229" s="821"/>
      <c r="BG229" s="821"/>
      <c r="BH229" s="821"/>
      <c r="BI229" s="821"/>
      <c r="BJ229" s="821"/>
      <c r="BK229" s="821"/>
      <c r="BL229" s="821"/>
      <c r="BM229" s="821"/>
      <c r="BN229" s="821"/>
      <c r="BO229" s="821"/>
      <c r="BP229" s="821"/>
      <c r="BQ229" s="821"/>
      <c r="BR229" s="821"/>
      <c r="BS229" s="821"/>
      <c r="BT229" s="821"/>
      <c r="BU229" s="821"/>
      <c r="BV229" s="821"/>
      <c r="BW229" s="821"/>
      <c r="BX229" s="821"/>
      <c r="BY229" s="821"/>
      <c r="BZ229" s="821"/>
      <c r="CA229" s="821"/>
      <c r="CB229" s="821"/>
      <c r="CC229" s="821"/>
      <c r="CD229" s="821"/>
      <c r="CE229" s="821"/>
      <c r="CF229" s="821"/>
      <c r="CG229" s="821"/>
      <c r="CH229" s="821"/>
      <c r="CI229" s="821"/>
      <c r="CJ229" s="821"/>
      <c r="CK229" s="821"/>
      <c r="CL229" s="821"/>
      <c r="CM229" s="821"/>
      <c r="CN229" s="821"/>
      <c r="CO229" s="821"/>
      <c r="CP229" s="821"/>
      <c r="CQ229" s="821"/>
      <c r="CR229" s="821"/>
      <c r="CS229" s="821"/>
      <c r="CT229" s="821"/>
      <c r="CU229" s="821"/>
      <c r="CV229" s="821"/>
      <c r="CW229" s="821"/>
      <c r="CX229" s="821"/>
      <c r="CY229" s="821"/>
      <c r="CZ229" s="821"/>
      <c r="DA229" s="821"/>
      <c r="DB229" s="821"/>
      <c r="DC229" s="821"/>
      <c r="DD229" s="821"/>
      <c r="DE229" s="821"/>
      <c r="DF229" s="821"/>
      <c r="DG229" s="821"/>
      <c r="DH229" s="821"/>
      <c r="DI229" s="821"/>
      <c r="DJ229" s="821"/>
      <c r="DK229" s="821"/>
      <c r="DL229" s="821"/>
      <c r="DM229" s="821"/>
      <c r="DN229" s="821"/>
    </row>
    <row r="230" spans="1:118" s="6" customFormat="1">
      <c r="A230" s="55"/>
      <c r="B230" s="55"/>
      <c r="C230" s="55"/>
      <c r="D230" s="55"/>
      <c r="E230" s="137"/>
      <c r="F230" s="137"/>
      <c r="G230" s="137"/>
      <c r="H230" s="96"/>
      <c r="I230" s="98"/>
      <c r="J230" s="98"/>
      <c r="K230" s="55"/>
      <c r="L230" s="607"/>
      <c r="M230" s="607"/>
      <c r="N230" s="607"/>
      <c r="O230" s="607"/>
      <c r="P230" s="607"/>
      <c r="Q230" s="607"/>
      <c r="R230" s="607"/>
      <c r="S230" s="607"/>
      <c r="T230" s="607"/>
      <c r="U230" s="607"/>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821"/>
      <c r="AZ230" s="821"/>
      <c r="BA230" s="821"/>
      <c r="BB230" s="821"/>
      <c r="BC230" s="821"/>
      <c r="BD230" s="821"/>
      <c r="BE230" s="821"/>
      <c r="BF230" s="821"/>
      <c r="BG230" s="821"/>
      <c r="BH230" s="821"/>
      <c r="BI230" s="821"/>
      <c r="BJ230" s="821"/>
      <c r="BK230" s="821"/>
      <c r="BL230" s="821"/>
      <c r="BM230" s="821"/>
      <c r="BN230" s="821"/>
      <c r="BO230" s="821"/>
      <c r="BP230" s="821"/>
      <c r="BQ230" s="821"/>
      <c r="BR230" s="821"/>
      <c r="BS230" s="821"/>
      <c r="BT230" s="821"/>
      <c r="BU230" s="821"/>
      <c r="BV230" s="821"/>
      <c r="BW230" s="821"/>
      <c r="BX230" s="821"/>
      <c r="BY230" s="821"/>
      <c r="BZ230" s="821"/>
      <c r="CA230" s="821"/>
      <c r="CB230" s="821"/>
      <c r="CC230" s="821"/>
      <c r="CD230" s="821"/>
      <c r="CE230" s="821"/>
      <c r="CF230" s="821"/>
      <c r="CG230" s="821"/>
      <c r="CH230" s="821"/>
      <c r="CI230" s="821"/>
      <c r="CJ230" s="821"/>
      <c r="CK230" s="821"/>
      <c r="CL230" s="821"/>
      <c r="CM230" s="821"/>
      <c r="CN230" s="821"/>
      <c r="CO230" s="821"/>
      <c r="CP230" s="821"/>
      <c r="CQ230" s="821"/>
      <c r="CR230" s="821"/>
      <c r="CS230" s="821"/>
      <c r="CT230" s="821"/>
      <c r="CU230" s="821"/>
      <c r="CV230" s="821"/>
      <c r="CW230" s="821"/>
      <c r="CX230" s="821"/>
      <c r="CY230" s="821"/>
      <c r="CZ230" s="821"/>
      <c r="DA230" s="821"/>
      <c r="DB230" s="821"/>
      <c r="DC230" s="821"/>
      <c r="DD230" s="821"/>
      <c r="DE230" s="821"/>
      <c r="DF230" s="821"/>
      <c r="DG230" s="821"/>
      <c r="DH230" s="821"/>
      <c r="DI230" s="821"/>
      <c r="DJ230" s="821"/>
      <c r="DK230" s="821"/>
      <c r="DL230" s="821"/>
      <c r="DM230" s="821"/>
      <c r="DN230" s="821"/>
    </row>
    <row r="231" spans="1:118" s="6" customFormat="1">
      <c r="A231" s="55"/>
      <c r="B231" s="55"/>
      <c r="C231" s="55"/>
      <c r="D231" s="55"/>
      <c r="E231" s="137"/>
      <c r="F231" s="137"/>
      <c r="G231" s="137"/>
      <c r="H231" s="96"/>
      <c r="I231" s="98"/>
      <c r="J231" s="98"/>
      <c r="K231" s="55"/>
      <c r="L231" s="607"/>
      <c r="M231" s="607"/>
      <c r="N231" s="607"/>
      <c r="O231" s="607"/>
      <c r="P231" s="607"/>
      <c r="Q231" s="607"/>
      <c r="R231" s="607"/>
      <c r="S231" s="607"/>
      <c r="T231" s="607"/>
      <c r="U231" s="607"/>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821"/>
      <c r="AZ231" s="821"/>
      <c r="BA231" s="821"/>
      <c r="BB231" s="821"/>
      <c r="BC231" s="821"/>
      <c r="BD231" s="821"/>
      <c r="BE231" s="821"/>
      <c r="BF231" s="821"/>
      <c r="BG231" s="821"/>
      <c r="BH231" s="821"/>
      <c r="BI231" s="821"/>
      <c r="BJ231" s="821"/>
      <c r="BK231" s="821"/>
      <c r="BL231" s="821"/>
      <c r="BM231" s="821"/>
      <c r="BN231" s="821"/>
      <c r="BO231" s="821"/>
      <c r="BP231" s="821"/>
      <c r="BQ231" s="821"/>
      <c r="BR231" s="821"/>
      <c r="BS231" s="821"/>
      <c r="BT231" s="821"/>
      <c r="BU231" s="821"/>
      <c r="BV231" s="821"/>
      <c r="BW231" s="821"/>
      <c r="BX231" s="821"/>
      <c r="BY231" s="821"/>
      <c r="BZ231" s="821"/>
      <c r="CA231" s="821"/>
      <c r="CB231" s="821"/>
      <c r="CC231" s="821"/>
      <c r="CD231" s="821"/>
      <c r="CE231" s="821"/>
      <c r="CF231" s="821"/>
      <c r="CG231" s="821"/>
      <c r="CH231" s="821"/>
      <c r="CI231" s="821"/>
      <c r="CJ231" s="821"/>
      <c r="CK231" s="821"/>
      <c r="CL231" s="821"/>
      <c r="CM231" s="821"/>
      <c r="CN231" s="821"/>
      <c r="CO231" s="821"/>
      <c r="CP231" s="821"/>
      <c r="CQ231" s="821"/>
      <c r="CR231" s="821"/>
      <c r="CS231" s="821"/>
      <c r="CT231" s="821"/>
      <c r="CU231" s="821"/>
      <c r="CV231" s="821"/>
      <c r="CW231" s="821"/>
      <c r="CX231" s="821"/>
      <c r="CY231" s="821"/>
      <c r="CZ231" s="821"/>
      <c r="DA231" s="821"/>
      <c r="DB231" s="821"/>
      <c r="DC231" s="821"/>
      <c r="DD231" s="821"/>
      <c r="DE231" s="821"/>
      <c r="DF231" s="821"/>
      <c r="DG231" s="821"/>
      <c r="DH231" s="821"/>
      <c r="DI231" s="821"/>
      <c r="DJ231" s="821"/>
      <c r="DK231" s="821"/>
      <c r="DL231" s="821"/>
      <c r="DM231" s="821"/>
      <c r="DN231" s="821"/>
    </row>
    <row r="232" spans="1:118" s="6" customFormat="1">
      <c r="A232" s="55"/>
      <c r="B232" s="4"/>
      <c r="C232" s="4"/>
      <c r="D232" s="4"/>
      <c r="E232" s="138"/>
      <c r="F232" s="138"/>
      <c r="G232" s="138"/>
      <c r="H232" s="98"/>
      <c r="I232" s="98"/>
      <c r="J232" s="98"/>
      <c r="K232" s="55"/>
      <c r="L232" s="10"/>
      <c r="M232" s="10"/>
      <c r="N232" s="10"/>
      <c r="O232" s="10"/>
      <c r="P232" s="10"/>
      <c r="Q232" s="10"/>
      <c r="R232" s="10"/>
      <c r="S232" s="10"/>
      <c r="T232" s="10"/>
      <c r="U232" s="10"/>
      <c r="V232" s="1"/>
      <c r="W232" s="1"/>
      <c r="X232" s="1"/>
      <c r="Y232" s="1"/>
      <c r="Z232" s="55"/>
      <c r="AA232" s="55"/>
      <c r="AB232" s="55"/>
      <c r="AC232" s="55"/>
      <c r="AD232" s="55"/>
      <c r="AE232" s="55"/>
      <c r="AF232" s="55"/>
      <c r="AG232" s="55"/>
      <c r="AH232" s="1"/>
      <c r="AI232" s="1"/>
      <c r="AJ232" s="1"/>
      <c r="AK232" s="4"/>
      <c r="AL232" s="1"/>
      <c r="AM232" s="1"/>
      <c r="AN232" s="1"/>
      <c r="AO232" s="1"/>
      <c r="AP232" s="1"/>
      <c r="AQ232" s="4"/>
      <c r="AR232" s="4"/>
      <c r="AS232" s="4"/>
      <c r="AT232" s="4"/>
      <c r="AU232" s="4"/>
      <c r="AV232" s="1"/>
      <c r="AW232" s="1"/>
      <c r="AX232" s="1"/>
      <c r="AY232" s="821"/>
      <c r="AZ232" s="821"/>
      <c r="BA232" s="821"/>
      <c r="BB232" s="821"/>
      <c r="BC232" s="821"/>
      <c r="BD232" s="821"/>
      <c r="BE232" s="821"/>
      <c r="BF232" s="821"/>
      <c r="BG232" s="821"/>
      <c r="BH232" s="821"/>
      <c r="BI232" s="821"/>
      <c r="BJ232" s="821"/>
      <c r="BK232" s="821"/>
      <c r="BL232" s="821"/>
      <c r="BM232" s="821"/>
      <c r="BN232" s="821"/>
      <c r="BO232" s="821"/>
      <c r="BP232" s="821"/>
      <c r="BQ232" s="821"/>
      <c r="BR232" s="821"/>
      <c r="BS232" s="821"/>
      <c r="BT232" s="821"/>
      <c r="BU232" s="821"/>
      <c r="BV232" s="821"/>
      <c r="BW232" s="821"/>
      <c r="BX232" s="821"/>
      <c r="BY232" s="821"/>
      <c r="BZ232" s="821"/>
      <c r="CA232" s="821"/>
      <c r="CB232" s="821"/>
      <c r="CC232" s="821"/>
      <c r="CD232" s="821"/>
      <c r="CE232" s="821"/>
      <c r="CF232" s="821"/>
      <c r="CG232" s="821"/>
      <c r="CH232" s="821"/>
      <c r="CI232" s="821"/>
      <c r="CJ232" s="821"/>
      <c r="CK232" s="821"/>
      <c r="CL232" s="821"/>
      <c r="CM232" s="821"/>
      <c r="CN232" s="821"/>
      <c r="CO232" s="821"/>
      <c r="CP232" s="821"/>
      <c r="CQ232" s="821"/>
      <c r="CR232" s="821"/>
      <c r="CS232" s="821"/>
      <c r="CT232" s="821"/>
      <c r="CU232" s="821"/>
      <c r="CV232" s="821"/>
      <c r="CW232" s="821"/>
      <c r="CX232" s="821"/>
      <c r="CY232" s="821"/>
      <c r="CZ232" s="821"/>
      <c r="DA232" s="821"/>
      <c r="DB232" s="821"/>
      <c r="DC232" s="821"/>
      <c r="DD232" s="821"/>
      <c r="DE232" s="821"/>
      <c r="DF232" s="821"/>
      <c r="DG232" s="821"/>
      <c r="DH232" s="821"/>
      <c r="DI232" s="821"/>
      <c r="DJ232" s="821"/>
      <c r="DK232" s="821"/>
      <c r="DL232" s="821"/>
      <c r="DM232" s="821"/>
      <c r="DN232" s="821"/>
    </row>
    <row r="233" spans="1:118" s="6" customFormat="1">
      <c r="A233" s="55"/>
      <c r="B233" s="4"/>
      <c r="C233" s="4"/>
      <c r="D233" s="4"/>
      <c r="E233" s="138"/>
      <c r="F233" s="138"/>
      <c r="G233" s="138"/>
      <c r="H233" s="98"/>
      <c r="I233" s="98"/>
      <c r="J233" s="98"/>
      <c r="K233" s="55"/>
      <c r="L233" s="10"/>
      <c r="M233" s="10"/>
      <c r="N233" s="10"/>
      <c r="O233" s="10"/>
      <c r="P233" s="10"/>
      <c r="Q233" s="10"/>
      <c r="R233" s="10"/>
      <c r="S233" s="10"/>
      <c r="T233" s="10"/>
      <c r="U233" s="10"/>
      <c r="V233" s="1"/>
      <c r="W233" s="1"/>
      <c r="X233" s="1"/>
      <c r="Y233" s="1"/>
      <c r="Z233" s="55"/>
      <c r="AA233" s="55"/>
      <c r="AB233" s="55"/>
      <c r="AC233" s="55"/>
      <c r="AD233" s="55"/>
      <c r="AE233" s="55"/>
      <c r="AF233" s="55"/>
      <c r="AG233" s="55"/>
      <c r="AH233" s="1"/>
      <c r="AI233" s="1"/>
      <c r="AJ233" s="1"/>
      <c r="AK233" s="4"/>
      <c r="AL233" s="1"/>
      <c r="AM233" s="1"/>
      <c r="AN233" s="1"/>
      <c r="AO233" s="1"/>
      <c r="AP233" s="1"/>
      <c r="AQ233" s="4"/>
      <c r="AR233" s="4"/>
      <c r="AS233" s="4"/>
      <c r="AT233" s="4"/>
      <c r="AU233" s="4"/>
      <c r="AV233" s="1"/>
      <c r="AW233" s="1"/>
      <c r="AX233" s="1"/>
      <c r="AY233" s="821"/>
      <c r="AZ233" s="821"/>
      <c r="BA233" s="821"/>
      <c r="BB233" s="821"/>
      <c r="BC233" s="821"/>
      <c r="BD233" s="821"/>
      <c r="BE233" s="821"/>
      <c r="BF233" s="821"/>
      <c r="BG233" s="821"/>
      <c r="BH233" s="821"/>
      <c r="BI233" s="821"/>
      <c r="BJ233" s="821"/>
      <c r="BK233" s="821"/>
      <c r="BL233" s="821"/>
      <c r="BM233" s="821"/>
      <c r="BN233" s="821"/>
      <c r="BO233" s="821"/>
      <c r="BP233" s="821"/>
      <c r="BQ233" s="821"/>
      <c r="BR233" s="821"/>
      <c r="BS233" s="821"/>
      <c r="BT233" s="821"/>
      <c r="BU233" s="821"/>
      <c r="BV233" s="821"/>
      <c r="BW233" s="821"/>
      <c r="BX233" s="821"/>
      <c r="BY233" s="821"/>
      <c r="BZ233" s="821"/>
      <c r="CA233" s="821"/>
      <c r="CB233" s="821"/>
      <c r="CC233" s="821"/>
      <c r="CD233" s="821"/>
      <c r="CE233" s="821"/>
      <c r="CF233" s="821"/>
      <c r="CG233" s="821"/>
      <c r="CH233" s="821"/>
      <c r="CI233" s="821"/>
      <c r="CJ233" s="821"/>
      <c r="CK233" s="821"/>
      <c r="CL233" s="821"/>
      <c r="CM233" s="821"/>
      <c r="CN233" s="821"/>
      <c r="CO233" s="821"/>
      <c r="CP233" s="821"/>
      <c r="CQ233" s="821"/>
      <c r="CR233" s="821"/>
      <c r="CS233" s="821"/>
      <c r="CT233" s="821"/>
      <c r="CU233" s="821"/>
      <c r="CV233" s="821"/>
      <c r="CW233" s="821"/>
      <c r="CX233" s="821"/>
      <c r="CY233" s="821"/>
      <c r="CZ233" s="821"/>
      <c r="DA233" s="821"/>
      <c r="DB233" s="821"/>
      <c r="DC233" s="821"/>
      <c r="DD233" s="821"/>
      <c r="DE233" s="821"/>
      <c r="DF233" s="821"/>
      <c r="DG233" s="821"/>
      <c r="DH233" s="821"/>
      <c r="DI233" s="821"/>
      <c r="DJ233" s="821"/>
      <c r="DK233" s="821"/>
      <c r="DL233" s="821"/>
      <c r="DM233" s="821"/>
      <c r="DN233" s="821"/>
    </row>
    <row r="234" spans="1:118">
      <c r="A234" s="55"/>
      <c r="K234" s="55"/>
      <c r="Z234" s="55"/>
      <c r="AA234" s="55"/>
      <c r="AB234" s="55"/>
      <c r="AC234" s="55"/>
      <c r="AD234" s="55"/>
      <c r="AE234" s="55"/>
      <c r="AF234" s="55"/>
      <c r="AG234" s="55"/>
    </row>
    <row r="235" spans="1:118">
      <c r="A235" s="55"/>
      <c r="K235" s="55"/>
      <c r="Z235" s="55"/>
      <c r="AA235" s="55"/>
      <c r="AB235" s="55"/>
      <c r="AC235" s="55"/>
      <c r="AD235" s="55"/>
      <c r="AE235" s="55"/>
      <c r="AF235" s="55"/>
      <c r="AG235" s="55"/>
    </row>
    <row r="236" spans="1:118">
      <c r="K236" s="55"/>
      <c r="Z236" s="55"/>
      <c r="AA236" s="55"/>
      <c r="AB236" s="55"/>
      <c r="AC236" s="55"/>
      <c r="AD236" s="55"/>
      <c r="AE236" s="55"/>
      <c r="AF236" s="55"/>
      <c r="AG236" s="55"/>
    </row>
    <row r="237" spans="1:118">
      <c r="K237" s="55"/>
      <c r="Z237" s="1"/>
      <c r="AA237" s="1"/>
      <c r="AB237" s="55"/>
      <c r="AC237" s="55"/>
      <c r="AD237" s="55"/>
      <c r="AE237" s="55"/>
      <c r="AF237" s="55"/>
      <c r="AG237" s="55"/>
    </row>
    <row r="238" spans="1:118">
      <c r="K238" s="55"/>
      <c r="AB238" s="55"/>
      <c r="AC238" s="55"/>
      <c r="AD238" s="55"/>
      <c r="AE238" s="55"/>
      <c r="AF238" s="55"/>
      <c r="AG238" s="55"/>
    </row>
    <row r="239" spans="1:118">
      <c r="AB239" s="55"/>
      <c r="AC239" s="55"/>
      <c r="AD239" s="55"/>
      <c r="AE239" s="55"/>
      <c r="AF239" s="55"/>
      <c r="AG239" s="55"/>
    </row>
    <row r="240" spans="1:118">
      <c r="AB240" s="1"/>
      <c r="AC240" s="1"/>
      <c r="AD240" s="1"/>
      <c r="AE240" s="1"/>
      <c r="AF240" s="1"/>
      <c r="AG240" s="1"/>
    </row>
  </sheetData>
  <sheetProtection algorithmName="SHA-512" hashValue="ImjKQJ+bXEpyKPsUcqMDIvMXDZOazk7SYUYp3dP8i/Ia2vxnB4bjRAdbuUsH0qsOOE41XpZ3b80gDAuK3XO4eg==" saltValue="idX+HQrDNgJw/pO4Ot+qxg==" spinCount="100000" sheet="1" sort="0" autoFilter="0"/>
  <autoFilter ref="A8:B172" xr:uid="{00000000-0009-0000-0000-00000C000000}"/>
  <mergeCells count="56">
    <mergeCell ref="AD5:AD7"/>
    <mergeCell ref="F6:F8"/>
    <mergeCell ref="G6:G8"/>
    <mergeCell ref="H6:H8"/>
    <mergeCell ref="W4:Y5"/>
    <mergeCell ref="W6:W8"/>
    <mergeCell ref="X6:X8"/>
    <mergeCell ref="Y6:Y8"/>
    <mergeCell ref="C3:D3"/>
    <mergeCell ref="C4:C8"/>
    <mergeCell ref="D4:D8"/>
    <mergeCell ref="A3:B3"/>
    <mergeCell ref="A4:A8"/>
    <mergeCell ref="B4:B8"/>
    <mergeCell ref="Z3:AA3"/>
    <mergeCell ref="AC5:AC7"/>
    <mergeCell ref="V6:V8"/>
    <mergeCell ref="R6:U6"/>
    <mergeCell ref="I6:I8"/>
    <mergeCell ref="J6:J8"/>
    <mergeCell ref="P6:P8"/>
    <mergeCell ref="Q6:Q8"/>
    <mergeCell ref="O6:O8"/>
    <mergeCell ref="E3:Y3"/>
    <mergeCell ref="Z4:Z8"/>
    <mergeCell ref="AA4:AA8"/>
    <mergeCell ref="AB3:AX4"/>
    <mergeCell ref="AG5:AG7"/>
    <mergeCell ref="E4:H5"/>
    <mergeCell ref="E6:E8"/>
    <mergeCell ref="AN5:AN8"/>
    <mergeCell ref="AM5:AM8"/>
    <mergeCell ref="I4:V4"/>
    <mergeCell ref="I5:O5"/>
    <mergeCell ref="L7:M7"/>
    <mergeCell ref="S7:T7"/>
    <mergeCell ref="P5:V5"/>
    <mergeCell ref="K6:N6"/>
    <mergeCell ref="AB5:AB7"/>
    <mergeCell ref="AH5:AH8"/>
    <mergeCell ref="AI5:AI8"/>
    <mergeCell ref="AL5:AL8"/>
    <mergeCell ref="AK5:AK8"/>
    <mergeCell ref="AJ5:AJ8"/>
    <mergeCell ref="AE5:AE7"/>
    <mergeCell ref="AF5:AF7"/>
    <mergeCell ref="AQ5:AQ6"/>
    <mergeCell ref="AO5:AO8"/>
    <mergeCell ref="AP5:AP8"/>
    <mergeCell ref="AX5:AX6"/>
    <mergeCell ref="AU5:AU6"/>
    <mergeCell ref="AV5:AV6"/>
    <mergeCell ref="AR5:AR6"/>
    <mergeCell ref="AS5:AS6"/>
    <mergeCell ref="AT5:AT6"/>
    <mergeCell ref="AW5:AW6"/>
  </mergeCells>
  <phoneticPr fontId="0" type="noConversion"/>
  <printOptions horizontalCentered="1" verticalCentered="1"/>
  <pageMargins left="0.7" right="0.7" top="0.75" bottom="0.75" header="0.3" footer="0.3"/>
  <pageSetup scale="36" fitToHeight="0" orientation="landscape" r:id="rId1"/>
  <headerFooter>
    <oddFooter>&amp;C&amp;P of &amp;N&amp;R&amp;A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6">
    <tabColor rgb="FF00B0F0"/>
    <pageSetUpPr fitToPage="1"/>
  </sheetPr>
  <dimension ref="A1:EL158"/>
  <sheetViews>
    <sheetView showGridLines="0" zoomScale="110" zoomScaleNormal="110" workbookViewId="0">
      <pane xSplit="2" ySplit="5" topLeftCell="C6" activePane="bottomRight" state="frozen"/>
      <selection pane="topRight" activeCell="C1" sqref="C1"/>
      <selection pane="bottomLeft" activeCell="A7" sqref="A7"/>
      <selection pane="bottomRight" activeCell="A3" sqref="A3:B3"/>
    </sheetView>
  </sheetViews>
  <sheetFormatPr defaultColWidth="9.140625" defaultRowHeight="12.75"/>
  <cols>
    <col min="1" max="1" width="41" style="31" customWidth="1"/>
    <col min="2" max="2" width="13.140625" style="22" customWidth="1"/>
    <col min="3" max="3" width="15.85546875" style="22" customWidth="1"/>
    <col min="4" max="4" width="16" style="22" customWidth="1"/>
    <col min="5" max="5" width="19.140625" style="22" customWidth="1"/>
    <col min="6" max="6" width="12.5703125" style="22" bestFit="1" customWidth="1"/>
    <col min="7" max="7" width="16.28515625" style="22" customWidth="1"/>
    <col min="8" max="8" width="16.140625" style="22" customWidth="1"/>
    <col min="9" max="9" width="14.42578125" style="22" customWidth="1"/>
    <col min="10" max="10" width="16.5703125" style="86" bestFit="1" customWidth="1"/>
    <col min="11" max="11" width="24" style="86" customWidth="1"/>
    <col min="12" max="12" width="15.42578125" style="10" customWidth="1"/>
    <col min="13" max="13" width="22.85546875" style="86" customWidth="1"/>
    <col min="14" max="14" width="8.140625" style="22" customWidth="1"/>
    <col min="15" max="15" width="7.5703125" style="22" customWidth="1"/>
    <col min="16" max="16" width="9.140625" style="22" customWidth="1"/>
    <col min="17" max="17" width="10.140625" style="4" customWidth="1"/>
    <col min="18" max="18" width="10.42578125" style="22" customWidth="1"/>
    <col min="19" max="19" width="10.5703125" style="22" customWidth="1"/>
    <col min="20" max="20" width="10.5703125" style="4" customWidth="1"/>
    <col min="21" max="21" width="8.5703125" style="22" customWidth="1"/>
    <col min="22" max="22" width="7.42578125" style="22" customWidth="1"/>
    <col min="23" max="23" width="22.5703125" style="22" customWidth="1"/>
    <col min="24" max="24" width="12" style="10" customWidth="1"/>
    <col min="25" max="25" width="22.140625" style="10" customWidth="1"/>
    <col min="26" max="26" width="8.5703125" style="22" customWidth="1"/>
    <col min="27" max="27" width="7.5703125" style="22" customWidth="1"/>
    <col min="28" max="28" width="7.42578125" style="22" customWidth="1"/>
    <col min="29" max="29" width="13.85546875" style="4" customWidth="1"/>
    <col min="30" max="30" width="24.28515625" style="4" customWidth="1"/>
    <col min="31" max="31" width="13" style="1350" customWidth="1"/>
    <col min="32" max="32" width="23.85546875" style="1348" customWidth="1"/>
    <col min="33" max="33" width="10.28515625" style="22" customWidth="1"/>
    <col min="34" max="34" width="12.42578125" style="22" customWidth="1"/>
    <col min="35" max="35" width="10.7109375" style="22" customWidth="1"/>
    <col min="36" max="36" width="11" style="22" customWidth="1"/>
    <col min="37" max="37" width="8.42578125" style="22" customWidth="1"/>
    <col min="38" max="38" width="8.5703125" style="22" customWidth="1"/>
    <col min="39" max="39" width="7.5703125" style="4" customWidth="1"/>
    <col min="40" max="40" width="10.140625" style="22" bestFit="1" customWidth="1"/>
    <col min="41" max="41" width="11" style="22" customWidth="1"/>
    <col min="42" max="42" width="8.7109375" style="22" customWidth="1"/>
    <col min="43" max="43" width="7.42578125" style="22" customWidth="1"/>
    <col min="44" max="44" width="24.42578125" style="4" customWidth="1"/>
    <col min="45" max="45" width="9.42578125" style="4" customWidth="1"/>
    <col min="46" max="46" width="21.85546875" style="22" customWidth="1"/>
    <col min="47" max="47" width="8.5703125" style="22" customWidth="1"/>
    <col min="48" max="48" width="7.5703125" style="22" customWidth="1"/>
    <col min="49" max="49" width="7.42578125" style="349" customWidth="1"/>
    <col min="50" max="50" width="16.42578125" style="1350" customWidth="1"/>
    <col min="51" max="51" width="0" hidden="1" customWidth="1"/>
    <col min="52" max="52" width="0" style="349" hidden="1" customWidth="1"/>
    <col min="53" max="53" width="12" style="4" hidden="1" customWidth="1"/>
    <col min="54" max="54" width="11.5703125" style="10" hidden="1" customWidth="1"/>
    <col min="55" max="55" width="22.85546875" style="10" hidden="1" customWidth="1"/>
    <col min="56" max="56" width="23.85546875" style="4" hidden="1" customWidth="1"/>
    <col min="57" max="57" width="23" style="22" hidden="1" customWidth="1"/>
    <col min="58" max="58" width="11.7109375" style="22" customWidth="1"/>
    <col min="59" max="62" width="9.140625" style="22"/>
    <col min="63" max="63" width="10.85546875" style="22" customWidth="1"/>
    <col min="64" max="68" width="9.140625" style="22"/>
    <col min="69" max="16384" width="9.140625" style="3"/>
  </cols>
  <sheetData>
    <row r="1" spans="1:142" hidden="1">
      <c r="A1" s="31" t="s">
        <v>733</v>
      </c>
      <c r="E1" s="22" t="s">
        <v>362</v>
      </c>
      <c r="J1" s="10" t="s">
        <v>360</v>
      </c>
      <c r="N1" s="4"/>
      <c r="Z1" s="4"/>
      <c r="AA1" s="4"/>
      <c r="AC1" s="1348" t="s">
        <v>361</v>
      </c>
      <c r="AX1" s="1348"/>
    </row>
    <row r="2" spans="1:142" s="63" customFormat="1" ht="45.75" customHeight="1" thickBot="1">
      <c r="A2" s="1206"/>
      <c r="B2" s="1207"/>
      <c r="D2" s="2006"/>
      <c r="E2" s="1206" t="s">
        <v>734</v>
      </c>
      <c r="F2" s="1206"/>
      <c r="G2" s="1206"/>
      <c r="H2" s="1206"/>
      <c r="I2" s="1206"/>
      <c r="J2" s="2006"/>
      <c r="K2" s="2006"/>
      <c r="L2" s="2006"/>
      <c r="M2" s="2006"/>
      <c r="N2" s="2006"/>
      <c r="O2" s="2006"/>
      <c r="P2" s="2006"/>
      <c r="Q2" s="67"/>
      <c r="R2" s="74"/>
      <c r="S2" s="74"/>
      <c r="T2" s="67"/>
      <c r="U2" s="74"/>
      <c r="V2" s="74"/>
      <c r="W2" s="74"/>
      <c r="X2" s="76"/>
      <c r="Y2" s="76"/>
      <c r="Z2" s="74"/>
      <c r="AA2" s="74"/>
      <c r="AB2" s="74"/>
      <c r="AC2" s="67"/>
      <c r="AD2" s="67"/>
      <c r="AE2" s="2050"/>
      <c r="AF2" s="2051"/>
      <c r="AG2" s="2052"/>
      <c r="AH2" s="74"/>
      <c r="AI2" s="74"/>
      <c r="AJ2" s="74"/>
      <c r="AK2" s="71"/>
      <c r="AL2" s="74"/>
      <c r="AM2" s="67"/>
      <c r="AN2" s="74"/>
      <c r="AO2" s="74"/>
      <c r="AP2" s="74"/>
      <c r="AQ2" s="74"/>
      <c r="AR2" s="67"/>
      <c r="AS2" s="67"/>
      <c r="AT2" s="74"/>
      <c r="AU2" s="74"/>
      <c r="AV2" s="74"/>
      <c r="AW2" s="71"/>
      <c r="AX2" s="2050"/>
      <c r="AZ2" s="71"/>
      <c r="BA2" s="1950"/>
      <c r="BB2" s="76"/>
      <c r="BC2" s="76"/>
      <c r="BD2" s="67"/>
      <c r="BE2" s="71"/>
      <c r="BF2" s="71"/>
      <c r="BG2" s="71"/>
      <c r="BH2" s="71"/>
      <c r="BI2" s="71"/>
      <c r="BJ2" s="71"/>
      <c r="BK2" s="71"/>
      <c r="BL2" s="71"/>
      <c r="BM2" s="71"/>
      <c r="BN2" s="71"/>
      <c r="BO2" s="71"/>
      <c r="BP2" s="71"/>
    </row>
    <row r="3" spans="1:142" s="63" customFormat="1" ht="30.75" customHeight="1" thickTop="1" thickBot="1">
      <c r="A3" s="2496" t="str">
        <f>'Tier 1 ESL'!A6:F6</f>
        <v>2025 (Rev 4)</v>
      </c>
      <c r="B3" s="2497"/>
      <c r="C3" s="2522" t="s">
        <v>735</v>
      </c>
      <c r="D3" s="2525" t="s">
        <v>379</v>
      </c>
      <c r="E3" s="2532" t="s">
        <v>736</v>
      </c>
      <c r="F3" s="2549" t="s">
        <v>379</v>
      </c>
      <c r="G3" s="2541" t="s">
        <v>737</v>
      </c>
      <c r="H3" s="2542"/>
      <c r="I3" s="2542"/>
      <c r="J3" s="2535" t="s">
        <v>738</v>
      </c>
      <c r="K3" s="2538" t="s">
        <v>379</v>
      </c>
      <c r="L3" s="2565" t="s">
        <v>739</v>
      </c>
      <c r="M3" s="2566"/>
      <c r="N3" s="2562" t="s">
        <v>740</v>
      </c>
      <c r="O3" s="2563"/>
      <c r="P3" s="2563"/>
      <c r="Q3" s="2563"/>
      <c r="R3" s="2563"/>
      <c r="S3" s="2563"/>
      <c r="T3" s="2563"/>
      <c r="U3" s="2563"/>
      <c r="V3" s="2563"/>
      <c r="W3" s="2564"/>
      <c r="X3" s="2553" t="s">
        <v>741</v>
      </c>
      <c r="Y3" s="2554"/>
      <c r="Z3" s="2554"/>
      <c r="AA3" s="2554"/>
      <c r="AB3" s="2555"/>
      <c r="AC3" s="2535" t="s">
        <v>742</v>
      </c>
      <c r="AD3" s="2538" t="s">
        <v>379</v>
      </c>
      <c r="AE3" s="2573" t="s">
        <v>743</v>
      </c>
      <c r="AF3" s="2566"/>
      <c r="AG3" s="2562" t="s">
        <v>744</v>
      </c>
      <c r="AH3" s="2563"/>
      <c r="AI3" s="2563"/>
      <c r="AJ3" s="2563"/>
      <c r="AK3" s="2563"/>
      <c r="AL3" s="2563"/>
      <c r="AM3" s="2563"/>
      <c r="AN3" s="2563"/>
      <c r="AO3" s="2563"/>
      <c r="AP3" s="2563"/>
      <c r="AQ3" s="2563"/>
      <c r="AR3" s="2564"/>
      <c r="AS3" s="2567" t="s">
        <v>745</v>
      </c>
      <c r="AT3" s="2568"/>
      <c r="AU3" s="2568"/>
      <c r="AV3" s="2568"/>
      <c r="AW3" s="2569"/>
      <c r="AX3" s="2556" t="s">
        <v>746</v>
      </c>
      <c r="AZ3" s="71"/>
      <c r="BA3" s="76"/>
      <c r="BB3" s="365"/>
      <c r="BC3" s="365"/>
      <c r="BD3" s="67"/>
      <c r="BE3" s="71"/>
      <c r="BF3" s="71"/>
      <c r="BG3" s="1307"/>
      <c r="BH3" s="1307"/>
      <c r="BI3" s="64"/>
      <c r="BJ3" s="64"/>
      <c r="BK3" s="1307"/>
      <c r="BL3" s="1307"/>
      <c r="BM3" s="1307"/>
      <c r="BN3" s="1307"/>
      <c r="BO3" s="71"/>
      <c r="BP3" s="71"/>
    </row>
    <row r="4" spans="1:142" s="63" customFormat="1" ht="25.5" customHeight="1" thickBot="1">
      <c r="A4" s="2528" t="s">
        <v>661</v>
      </c>
      <c r="B4" s="2530" t="s">
        <v>80</v>
      </c>
      <c r="C4" s="2523"/>
      <c r="D4" s="2526"/>
      <c r="E4" s="2533"/>
      <c r="F4" s="2550"/>
      <c r="G4" s="2543" t="s">
        <v>747</v>
      </c>
      <c r="H4" s="2545" t="s">
        <v>748</v>
      </c>
      <c r="I4" s="2547" t="s">
        <v>749</v>
      </c>
      <c r="J4" s="2536"/>
      <c r="K4" s="2539"/>
      <c r="L4" s="2559" t="s">
        <v>750</v>
      </c>
      <c r="M4" s="2560"/>
      <c r="N4" s="212" t="s">
        <v>751</v>
      </c>
      <c r="O4" s="336" t="s">
        <v>752</v>
      </c>
      <c r="P4" s="211" t="s">
        <v>753</v>
      </c>
      <c r="Q4" s="336" t="s">
        <v>754</v>
      </c>
      <c r="R4" s="1990" t="s">
        <v>755</v>
      </c>
      <c r="S4" s="1988" t="s">
        <v>756</v>
      </c>
      <c r="T4" s="1990" t="s">
        <v>757</v>
      </c>
      <c r="U4" s="1990" t="s">
        <v>758</v>
      </c>
      <c r="V4" s="2561" t="s">
        <v>759</v>
      </c>
      <c r="W4" s="2561"/>
      <c r="X4" s="2552" t="s">
        <v>760</v>
      </c>
      <c r="Y4" s="2552"/>
      <c r="Z4" s="336" t="s">
        <v>761</v>
      </c>
      <c r="AA4" s="1990" t="s">
        <v>762</v>
      </c>
      <c r="AB4" s="1366" t="s">
        <v>763</v>
      </c>
      <c r="AC4" s="2536"/>
      <c r="AD4" s="2539"/>
      <c r="AE4" s="2574" t="s">
        <v>764</v>
      </c>
      <c r="AF4" s="2575"/>
      <c r="AG4" s="212" t="s">
        <v>765</v>
      </c>
      <c r="AH4" s="1988" t="s">
        <v>766</v>
      </c>
      <c r="AI4" s="1988" t="s">
        <v>767</v>
      </c>
      <c r="AJ4" s="1988" t="s">
        <v>768</v>
      </c>
      <c r="AK4" s="211" t="s">
        <v>769</v>
      </c>
      <c r="AL4" s="1988" t="s">
        <v>770</v>
      </c>
      <c r="AM4" s="1988" t="s">
        <v>771</v>
      </c>
      <c r="AN4" s="1988" t="s">
        <v>772</v>
      </c>
      <c r="AO4" s="1988" t="s">
        <v>773</v>
      </c>
      <c r="AP4" s="1988" t="s">
        <v>774</v>
      </c>
      <c r="AQ4" s="2570" t="s">
        <v>775</v>
      </c>
      <c r="AR4" s="2571"/>
      <c r="AS4" s="2572" t="s">
        <v>776</v>
      </c>
      <c r="AT4" s="2571"/>
      <c r="AU4" s="1988" t="s">
        <v>777</v>
      </c>
      <c r="AV4" s="1988" t="s">
        <v>778</v>
      </c>
      <c r="AW4" s="2048" t="s">
        <v>779</v>
      </c>
      <c r="AX4" s="2557"/>
      <c r="AZ4" s="71"/>
      <c r="BA4" s="71"/>
      <c r="BB4" s="71"/>
      <c r="BC4" s="71"/>
      <c r="BD4" s="71"/>
      <c r="BE4" s="71"/>
      <c r="BF4" s="1305"/>
      <c r="BG4" s="1305"/>
      <c r="BH4" s="1305"/>
      <c r="BI4" s="1305"/>
      <c r="BJ4" s="1305"/>
      <c r="BK4" s="1305"/>
      <c r="BL4" s="1305"/>
      <c r="BM4" s="1305"/>
      <c r="BN4" s="1305"/>
      <c r="BO4" s="71"/>
      <c r="BP4" s="71"/>
    </row>
    <row r="5" spans="1:142" s="71" customFormat="1" ht="87" customHeight="1" thickBot="1">
      <c r="A5" s="2529"/>
      <c r="B5" s="2531"/>
      <c r="C5" s="2524"/>
      <c r="D5" s="2527"/>
      <c r="E5" s="2534"/>
      <c r="F5" s="2551"/>
      <c r="G5" s="2544"/>
      <c r="H5" s="2546"/>
      <c r="I5" s="2548"/>
      <c r="J5" s="2537"/>
      <c r="K5" s="2540"/>
      <c r="L5" s="1346" t="s">
        <v>780</v>
      </c>
      <c r="M5" s="1347" t="s">
        <v>379</v>
      </c>
      <c r="N5" s="213" t="s">
        <v>781</v>
      </c>
      <c r="O5" s="1997" t="s">
        <v>782</v>
      </c>
      <c r="P5" s="210" t="s">
        <v>783</v>
      </c>
      <c r="Q5" s="1997" t="s">
        <v>784</v>
      </c>
      <c r="R5" s="1997" t="s">
        <v>785</v>
      </c>
      <c r="S5" s="1997" t="s">
        <v>786</v>
      </c>
      <c r="T5" s="1997" t="s">
        <v>787</v>
      </c>
      <c r="U5" s="1997" t="s">
        <v>788</v>
      </c>
      <c r="V5" s="1997" t="s">
        <v>789</v>
      </c>
      <c r="W5" s="1987" t="s">
        <v>699</v>
      </c>
      <c r="X5" s="1997" t="s">
        <v>790</v>
      </c>
      <c r="Y5" s="1985" t="s">
        <v>379</v>
      </c>
      <c r="Z5" s="1997" t="s">
        <v>791</v>
      </c>
      <c r="AA5" s="1997" t="s">
        <v>792</v>
      </c>
      <c r="AB5" s="1346" t="s">
        <v>793</v>
      </c>
      <c r="AC5" s="2537"/>
      <c r="AD5" s="2540"/>
      <c r="AE5" s="1369" t="s">
        <v>794</v>
      </c>
      <c r="AF5" s="1349" t="s">
        <v>379</v>
      </c>
      <c r="AG5" s="213" t="s">
        <v>795</v>
      </c>
      <c r="AH5" s="219" t="s">
        <v>796</v>
      </c>
      <c r="AI5" s="219" t="s">
        <v>797</v>
      </c>
      <c r="AJ5" s="219" t="s">
        <v>798</v>
      </c>
      <c r="AK5" s="214" t="s">
        <v>799</v>
      </c>
      <c r="AL5" s="219" t="s">
        <v>800</v>
      </c>
      <c r="AM5" s="219" t="s">
        <v>801</v>
      </c>
      <c r="AN5" s="1987" t="s">
        <v>802</v>
      </c>
      <c r="AO5" s="219" t="s">
        <v>803</v>
      </c>
      <c r="AP5" s="219" t="s">
        <v>804</v>
      </c>
      <c r="AQ5" s="219" t="s">
        <v>789</v>
      </c>
      <c r="AR5" s="1347" t="s">
        <v>699</v>
      </c>
      <c r="AS5" s="1331" t="s">
        <v>805</v>
      </c>
      <c r="AT5" s="1987" t="s">
        <v>379</v>
      </c>
      <c r="AU5" s="1997" t="s">
        <v>806</v>
      </c>
      <c r="AV5" s="1997" t="s">
        <v>807</v>
      </c>
      <c r="AW5" s="1346" t="s">
        <v>793</v>
      </c>
      <c r="AX5" s="2558"/>
      <c r="BA5" s="74"/>
      <c r="BB5" s="69" t="s">
        <v>808</v>
      </c>
      <c r="BC5" s="72" t="s">
        <v>379</v>
      </c>
      <c r="BD5" s="70" t="s">
        <v>809</v>
      </c>
      <c r="BE5" s="73" t="s">
        <v>379</v>
      </c>
      <c r="BF5" s="1309"/>
      <c r="BG5" s="1309"/>
      <c r="BH5" s="1309"/>
      <c r="BI5" s="1309"/>
      <c r="BJ5" s="1309"/>
      <c r="BK5" s="1309"/>
      <c r="BL5" s="1309"/>
      <c r="BM5" s="1309"/>
      <c r="BN5" s="1309"/>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I5" s="74"/>
      <c r="DJ5" s="74"/>
      <c r="DK5" s="74"/>
      <c r="DL5" s="74"/>
      <c r="DM5" s="74"/>
      <c r="DN5" s="74"/>
      <c r="DO5" s="74"/>
      <c r="DP5" s="74"/>
      <c r="DQ5" s="74"/>
      <c r="DR5" s="74"/>
      <c r="DS5" s="74"/>
      <c r="DT5" s="74"/>
      <c r="DU5" s="74"/>
      <c r="DV5" s="74"/>
      <c r="DW5" s="74"/>
      <c r="DX5" s="74"/>
      <c r="DY5" s="74"/>
      <c r="DZ5" s="74"/>
      <c r="EA5" s="74"/>
      <c r="EB5" s="74"/>
      <c r="EC5" s="74"/>
      <c r="ED5" s="74"/>
      <c r="EE5" s="74"/>
      <c r="EF5" s="74"/>
      <c r="EG5" s="74"/>
      <c r="EH5" s="74"/>
      <c r="EI5" s="74"/>
      <c r="EJ5" s="74"/>
      <c r="EK5" s="74"/>
      <c r="EL5" s="74"/>
    </row>
    <row r="6" spans="1:142" s="1" customFormat="1" ht="12.95" customHeight="1">
      <c r="A6" s="26" t="s">
        <v>391</v>
      </c>
      <c r="B6" s="431" t="s">
        <v>392</v>
      </c>
      <c r="C6" s="204">
        <f t="shared" ref="C6:C37" si="0">IF(AND(E6="--",L6="--",AE6="--"),"--",(MIN(E6,L6,AE6)))</f>
        <v>1500</v>
      </c>
      <c r="D6" s="206" t="str">
        <f t="shared" ref="D6:D37" si="1">IF(C6="--","--",IF(C6=L6, "Freshwater Goal", IF(C6=AE6,"Saltwater Goal", "Seafood Ingestion")))</f>
        <v>Freshwater Goal</v>
      </c>
      <c r="E6" s="1636" t="str">
        <f>IF(AND(G6="--",H6="--",I6="--"), "--", MIN(G6,H6,I6))</f>
        <v>--</v>
      </c>
      <c r="F6" s="1638" t="str">
        <f>IF(E6="--","--",IF(E6=G6, "Cal Tox Rule", IF(E6=H6,"Cal Ocean Plan", "National Criteria")))</f>
        <v>--</v>
      </c>
      <c r="G6" s="1324" t="str">
        <f t="shared" ref="G6:G36" si="2">IF((VLOOKUP($A6,Table_IP_7,MATCH("ctr",heading_IP_7,0),FALSE))="--", "--",(VLOOKUP($A6,Table_IP_7,MATCH("ctr",heading_IP_7,0),FALSE)))</f>
        <v>--</v>
      </c>
      <c r="H6" s="1325" t="str">
        <f t="shared" ref="H6:H36" si="3">IF((VLOOKUP($A6,Table_IP_7,MATCH("op",heading_IP_7,0),FALSE))="--", "--",(VLOOKUP($A6,Table_IP_7,MATCH("op",heading_IP_7,0),FALSE)))</f>
        <v>--</v>
      </c>
      <c r="I6" s="1358" t="str">
        <f>IF((VLOOKUP($A6,Table_IP_7,MATCH("nwq",heading_IP_7,0),FALSE))="--", "--",(VLOOKUP($A6,Table_IP_7,MATCH("nwq",heading_IP_7,0),FALSE)))</f>
        <v>--</v>
      </c>
      <c r="J6" s="1378">
        <f t="shared" ref="J6:J37" si="4">IF(AND(AX6="--",L6="--"), "--", MIN(AX6,L6))</f>
        <v>1500</v>
      </c>
      <c r="K6" s="1360" t="str">
        <f t="shared" ref="K6:K37" si="5">IF(J6="--","--",IF(J6=L6,"Freshwater Exposure","Bioaccumulation Exposure"))</f>
        <v>Freshwater Exposure</v>
      </c>
      <c r="L6" s="208">
        <f>IF(N6="--",X6, N6)</f>
        <v>1500</v>
      </c>
      <c r="M6" s="1370" t="str">
        <f t="shared" ref="M6:M36" si="6">IF(L6="--", "--", IF(L6=BB6,BC6,(IF(L6=X6,Y6,(IF(L6=O6,"Basin Plan",""))))))</f>
        <v>USDOE FW Chronic PRG</v>
      </c>
      <c r="N6" s="215">
        <f>IF(AND(O6="--",P6="--"),"--", IF(O6="--",P6, IF(P6="--", O6, MIN(P6,O6))))</f>
        <v>1500</v>
      </c>
      <c r="O6" s="201" t="str">
        <f>(VLOOKUP($A6,Table_IP_5,MATCH("FW other",heading_IP_5,0),FALSE))</f>
        <v>--</v>
      </c>
      <c r="P6" s="201">
        <f>IF(Q6&lt;&gt;"--",Q6,IF(R6&lt;&gt;"--",R6,IF(S6&lt;&gt;"--",S6, V6)))</f>
        <v>1500</v>
      </c>
      <c r="Q6" s="201" t="str">
        <f t="shared" ref="Q6:Q36" si="7">(VLOOKUP($A6,Table_IP_5,MATCH("FW CCC",heading_IP_5,0),FALSE))</f>
        <v>--</v>
      </c>
      <c r="R6" s="201" t="str">
        <f t="shared" ref="R6:R36" si="8">VLOOKUP($A6,Table_IP_6, MATCH("FW CCC", heading_IP_6, 0), FALSE)</f>
        <v>--</v>
      </c>
      <c r="S6" s="201" t="str">
        <f>IF(AND(T6="--",U6="--"), "--", IF(T6="--",U6/2, IF(U6="--",T6, MIN(T6,U6/2))))</f>
        <v>--</v>
      </c>
      <c r="T6" s="201" t="str">
        <f t="shared" ref="T6:T36" si="9">(VLOOKUP($A6,Table_IP_6, MATCH("FW TH", heading_IP_6, 0), FALSE))</f>
        <v>--</v>
      </c>
      <c r="U6" s="201" t="str">
        <f t="shared" ref="U6:U36" si="10">(VLOOKUP($A6,Table_IP_6, MATCH("FW C-LOEL", heading_IP_6, 0), FALSE))</f>
        <v>--</v>
      </c>
      <c r="V6" s="201">
        <f t="shared" ref="V6:V36" si="11">(VLOOKUP($A6,Table_IP_6, MATCH("FW other", heading_IP_6, 0), FALSE))</f>
        <v>1500</v>
      </c>
      <c r="W6" s="202" t="str">
        <f t="shared" ref="W6:W36" si="12">IF(VLOOKUP($A6,Table_IP_6, MATCH("FW other basis", heading_IP_6, 0), FALSE)=0, " ", (VLOOKUP($A6,Table_IP_6, MATCH("FW other basis", heading_IP_6, 0), FALSE)))</f>
        <v>USDOE FW Chronic PRG</v>
      </c>
      <c r="X6" s="201">
        <f>IF(AND(Z6="--",AA6="--",AB6="--"), "--", (IF(Z6&lt;&gt;"--",Z6/10,(IF(AA6&lt;&gt;"--",AA6/10,AB6/10)))))</f>
        <v>150</v>
      </c>
      <c r="Y6" s="202" t="str">
        <f>IF(X6="--","--",IF(AND(Z6="--",AA6="--"),"10% US EPA FW Acute LOEL",IF(AA6="--","10% CTR FW CMC","10% US EPA FW CMC")))</f>
        <v>10% US EPA FW CMC</v>
      </c>
      <c r="Z6" s="201" t="str">
        <f t="shared" ref="Z6:Z36" si="13">(VLOOKUP($A6,Table_IP_5, MATCH("FW CMC", heading_IP_5, 0), FALSE))</f>
        <v>--</v>
      </c>
      <c r="AA6" s="201">
        <f t="shared" ref="AA6:AA36" si="14">(VLOOKUP($A6,Table_IP_6, MATCH("FW other", heading_IP_6, 0), FALSE))</f>
        <v>1500</v>
      </c>
      <c r="AB6" s="1367" t="str">
        <f t="shared" ref="AB6:AB36" si="15">(VLOOKUP($A6,Table_IP_6, MATCH("FW A-LOEL", heading_IP_6, 0), FALSE))</f>
        <v>--</v>
      </c>
      <c r="AC6" s="1355" t="str">
        <f t="shared" ref="AC6:AC37" si="16">IF(AND(AX6="--",AE6="--"), "--", MIN(AX6,AE6))</f>
        <v>--</v>
      </c>
      <c r="AD6" s="1376" t="str">
        <f t="shared" ref="AD6:AD37" si="17">IF(AC6="--","--",IF(AC6=AE6, "Saltwater Exposure","Bioaccumulation Exposure"))</f>
        <v>--</v>
      </c>
      <c r="AE6" s="1352" t="str">
        <f t="shared" ref="AE6:AE36" si="18">IF(AG6="--",AS6, AG6)</f>
        <v>--</v>
      </c>
      <c r="AF6" s="1363" t="str">
        <f t="shared" ref="AF6:AF36" si="19">IF(AE6=BD6,BE6,(IF(AE6=AS6,AT6,(IF(AE6=AH6,"Basin Plan","")))))</f>
        <v>--</v>
      </c>
      <c r="AG6" s="215" t="str">
        <f>IF(AND(AH6="--",AK6="--"),"--", IF(AH6="--",AK6, IF(AK6="--", AH6, MIN(AK6,AH6))))</f>
        <v>--</v>
      </c>
      <c r="AH6" s="201" t="str">
        <f>IF(AND(AI6="--",AJ6="--"),"--", IF(AI6="--",AJ6, IF(AJ6="--", AI6, MIN(AI6,AJ6))))</f>
        <v>--</v>
      </c>
      <c r="AI6" s="201" t="str">
        <f>VLOOKUP($A6,Table_IP_5,MATCH("M other",heading_IP_5,0),FALSE)</f>
        <v>--</v>
      </c>
      <c r="AJ6" s="201" t="str">
        <f t="shared" ref="AJ6:AJ36" si="20">VLOOKUP($A6,Table_IP_5,MATCH("M M",heading_IP_5,0),FALSE)</f>
        <v>--</v>
      </c>
      <c r="AK6" s="201" t="str">
        <f>IF(AL6&lt;&gt;"--",AL6,IF(AM6&lt;&gt;"--",AM6,IF(AN6&lt;&gt;"--",AN6,IF(AQ6&lt;&gt;"--",AQ6,"--"))))</f>
        <v>--</v>
      </c>
      <c r="AL6" s="201" t="str">
        <f t="shared" ref="AL6:AL36" si="21">(VLOOKUP($A6,Table_IP_5, MATCH("M CCC", heading_IP_5, 0), FALSE))</f>
        <v>--</v>
      </c>
      <c r="AM6" s="201" t="str">
        <f t="shared" ref="AM6:AM36" si="22">VLOOKUP($A6,Table_IP_6, MATCH("M CCC", heading_IP_6, 0), FALSE)</f>
        <v>--</v>
      </c>
      <c r="AN6" s="201" t="str">
        <f>IF(AND(AO6="--",AP6="--"), "--", IF(AO6="--",AP6/2, IF(AP6="--",AO6, MIN(AO6,AP6/2))))</f>
        <v>--</v>
      </c>
      <c r="AO6" s="201" t="str">
        <f t="shared" ref="AO6:AO36" si="23">VLOOKUP($A6,Table_IP_6, MATCH("M TH", heading_IP_6, 0), FALSE)</f>
        <v>--</v>
      </c>
      <c r="AP6" s="201" t="str">
        <f t="shared" ref="AP6:AP36" si="24">VLOOKUP($A6,Table_IP_6, MATCH("M C-LOEL", heading_IP_6, 0), FALSE)</f>
        <v>--</v>
      </c>
      <c r="AQ6" s="201" t="str">
        <f t="shared" ref="AQ6:AQ36" si="25">VLOOKUP($A6,Table_IP_6, MATCH("M other", heading_IP_6, 0), FALSE)</f>
        <v>--</v>
      </c>
      <c r="AR6" s="1261" t="str">
        <f t="shared" ref="AR6:AR36" si="26">IF(VLOOKUP($A6,Table_IP_6, MATCH("M other basis", heading_IP_6, 0), FALSE)= " ", " ", VLOOKUP($A6,Table_IP_6, MATCH("M other basis", heading_IP_6, 0), FALSE))</f>
        <v>--</v>
      </c>
      <c r="AS6" s="201" t="str">
        <f>IF(AND(AU6="--",AV6="--",AW6="--"), "--", (IF(AU6&lt;&gt;"--",AU6/10,(IF(AV6&lt;&gt;"--",AV6/10,AW6/10)))))</f>
        <v>--</v>
      </c>
      <c r="AT6" s="202" t="str">
        <f>IF(AS6="--","--",IF(AND(AU6="--",AV6="--"),"10% US EPA SW Acute LOEL",IF(AV6="--","10% CTR SW CMC","10% US EPA SW CMC")))</f>
        <v>--</v>
      </c>
      <c r="AU6" s="201" t="str">
        <f t="shared" ref="AU6:AU36" si="27">(VLOOKUP($A6,Table_IP_5, MATCH("M CMC", heading_IP_5, 0), FALSE))</f>
        <v>--</v>
      </c>
      <c r="AV6" s="201" t="str">
        <f t="shared" ref="AV6:AV36" si="28">VLOOKUP($A6,Table_IP_6, MATCH("M CMC", heading_IP_6, 0), FALSE)</f>
        <v>--</v>
      </c>
      <c r="AW6" s="272" t="str">
        <f t="shared" ref="AW6:AW36" si="29">VLOOKUP($A6,Table_IP_6, MATCH("M A-LOEL", heading_IP_6, 0), FALSE)</f>
        <v>--</v>
      </c>
      <c r="AX6" s="2053" t="str">
        <f t="shared" ref="AX6:AX36" si="30">(VLOOKUP($A6,Table_IP_6,MATCH("Bioac Exp",heading_IP_6,0),FALSE))</f>
        <v>--</v>
      </c>
      <c r="AZ6" s="4"/>
      <c r="BA6" s="350"/>
      <c r="BB6" s="27">
        <f t="shared" ref="BB6:BB36" si="31">IF(Q6&lt;&gt;"--",Q6,IF(R6&lt;&gt;"--",R6,IF(S6&lt;&gt;"--",S6,IF(V6&lt;&gt;"--",V6, "--"))))</f>
        <v>1500</v>
      </c>
      <c r="BC6" s="351" t="str">
        <f t="shared" ref="BC6:BC36" si="32">IF(BB6="--","--",(IF(BB6=Q6,"CTR FW CCC",(IF(BB6=R6,"US EPA FW CCC",(IF(BB6=T6,"US EPA Ecotox FW Chronic",(IF(BB6=V6,W6,"50% US EPA FW Chronic LOEL")))))))))</f>
        <v>USDOE FW Chronic PRG</v>
      </c>
      <c r="BD6" s="30" t="str">
        <f t="shared" ref="BD6:BD36" si="33">IF(AL6&lt;&gt;"--",AL6,IF(AM6&lt;&gt;"--",AM6,IF(AN6&lt;&gt;"--",AN6,IF(AQ6&lt;&gt;"--",AQ6,"--"))))</f>
        <v>--</v>
      </c>
      <c r="BE6" s="352" t="str">
        <f t="shared" ref="BE6:BE36" si="34">IF(BD6="--","--",(IF(BD6=AL6,"CTR SW CCC",(IF(BD6=AM6,"US EPA SW CCC",(IF(BD6=AO6,"US EPA Ecotox SW Chronic",(IF(BD6=AQ6,AR6,"50% US EPA SW Chronic LOEL")))))))))</f>
        <v>--</v>
      </c>
      <c r="BF6" s="350"/>
      <c r="BG6" s="1303"/>
      <c r="BH6" s="1304"/>
      <c r="BI6" s="1304"/>
      <c r="BJ6" s="1303"/>
      <c r="BK6" s="1303"/>
      <c r="BL6" s="1303"/>
      <c r="BM6" s="1306"/>
      <c r="BN6" s="1308"/>
      <c r="BO6" s="350"/>
      <c r="BP6" s="35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row>
    <row r="7" spans="1:142" ht="12.95" customHeight="1">
      <c r="A7" s="897" t="s">
        <v>85</v>
      </c>
      <c r="B7" s="432" t="s">
        <v>86</v>
      </c>
      <c r="C7" s="205">
        <f t="shared" si="0"/>
        <v>7.7000000000000004E-7</v>
      </c>
      <c r="D7" s="207" t="str">
        <f t="shared" si="1"/>
        <v>Seafood Ingestion</v>
      </c>
      <c r="E7" s="1637">
        <f>IF(AND(G7="--",H7="--",I7="--"), "--", MIN(G7,H7,I7))</f>
        <v>7.7000000000000004E-7</v>
      </c>
      <c r="F7" s="187" t="str">
        <f t="shared" ref="F7:F69" si="35">IF(E7="--","--",IF(E7=G7, "Cal Tox Rule", IF(E7=H7,"Cal Ocean Plan", "National Criteria")))</f>
        <v>National Criteria</v>
      </c>
      <c r="G7" s="1326">
        <f t="shared" si="2"/>
        <v>1.3999999999999999E-4</v>
      </c>
      <c r="H7" s="1327">
        <f t="shared" si="3"/>
        <v>2.1999999999999999E-5</v>
      </c>
      <c r="I7" s="1359">
        <f t="shared" ref="I7:I36" si="36">IF((VLOOKUP($A7,Table_IP_7,MATCH("nwq",heading_IP_7,0),FALSE))="--", "--",(VLOOKUP($A7,Table_IP_7,MATCH("nwq",heading_IP_7,0),FALSE)))</f>
        <v>7.7000000000000004E-7</v>
      </c>
      <c r="J7" s="1379">
        <f t="shared" si="4"/>
        <v>0.3</v>
      </c>
      <c r="K7" s="1361" t="str">
        <f t="shared" si="5"/>
        <v>Freshwater Exposure</v>
      </c>
      <c r="L7" s="209">
        <f t="shared" ref="L7:L25" si="37">IF(N7="--",X7, N7)</f>
        <v>0.3</v>
      </c>
      <c r="M7" s="1371" t="str">
        <f t="shared" si="6"/>
        <v>10% CTR FW CMC</v>
      </c>
      <c r="N7" s="216" t="str">
        <f>IF(AND(O7="--",P7="--"),"--", IF(O7="--",P7, IF(P7="--", O7, MIN(P7,O7))))</f>
        <v>--</v>
      </c>
      <c r="O7" s="203" t="str">
        <f t="shared" ref="O7:O36" si="38">(VLOOKUP($A7,Table_IP_5,MATCH("FW other",heading_IP_5,0),FALSE))</f>
        <v>--</v>
      </c>
      <c r="P7" s="203" t="str">
        <f>IF(Q7&lt;&gt;"--",Q7,IF(R7&lt;&gt;"--",R7,IF(S7&lt;&gt;"--",S7, V7)))</f>
        <v>--</v>
      </c>
      <c r="Q7" s="203" t="str">
        <f t="shared" si="7"/>
        <v>--</v>
      </c>
      <c r="R7" s="203" t="str">
        <f t="shared" si="8"/>
        <v>--</v>
      </c>
      <c r="S7" s="203" t="str">
        <f t="shared" ref="S7:S25" si="39">IF(AND(T7="--",U7="--"), "--", IF(T7="--",U7/2, IF(U7="--",T7, MIN(T7,U7/2))))</f>
        <v>--</v>
      </c>
      <c r="T7" s="203" t="str">
        <f t="shared" si="9"/>
        <v>--</v>
      </c>
      <c r="U7" s="203" t="str">
        <f t="shared" si="10"/>
        <v>--</v>
      </c>
      <c r="V7" s="203" t="str">
        <f t="shared" si="11"/>
        <v>--</v>
      </c>
      <c r="W7" s="193" t="str">
        <f t="shared" si="12"/>
        <v>--</v>
      </c>
      <c r="X7" s="203">
        <f t="shared" ref="X7:X25" si="40">IF(AND(Z7="--",AA7="--",AB7="--"), "--", (IF(Z7&lt;&gt;"--",Z7/10,(IF(AA7&lt;&gt;"--",AA7/10,AB7/10)))))</f>
        <v>0.3</v>
      </c>
      <c r="Y7" s="193" t="str">
        <f t="shared" ref="Y7:Y25" si="41">IF(X7="--","--",IF(AND(Z7="--",AA7="--"),"10% US EPA FW Acute LOEL",IF(AA7="--","10% CTR FW CMC","10% US EPA FW CMC")))</f>
        <v>10% CTR FW CMC</v>
      </c>
      <c r="Z7" s="203">
        <f t="shared" si="13"/>
        <v>3</v>
      </c>
      <c r="AA7" s="203" t="str">
        <f t="shared" si="14"/>
        <v>--</v>
      </c>
      <c r="AB7" s="1368" t="str">
        <f t="shared" si="15"/>
        <v>--</v>
      </c>
      <c r="AC7" s="1356">
        <f t="shared" si="16"/>
        <v>0.13</v>
      </c>
      <c r="AD7" s="1377" t="str">
        <f t="shared" si="17"/>
        <v>Saltwater Exposure</v>
      </c>
      <c r="AE7" s="1353">
        <f t="shared" si="18"/>
        <v>0.13</v>
      </c>
      <c r="AF7" s="1364" t="str">
        <f t="shared" si="19"/>
        <v>10% US EPA SW CMC</v>
      </c>
      <c r="AG7" s="163" t="str">
        <f t="shared" ref="AG7:AG25" si="42">IF(AND(AH7="--",AK7="--"),"--", IF(AH7="--",AK7, IF(AK7="--", AH7, MIN(AK7,AH7))))</f>
        <v>--</v>
      </c>
      <c r="AH7" s="158" t="str">
        <f t="shared" ref="AH7:AH69" si="43">IF(AND(AI7="--",AJ7="--"),"--", IF(AI7="--",AJ7, IF(AJ7="--", AI7, MIN(AI7,AJ7))))</f>
        <v>--</v>
      </c>
      <c r="AI7" s="158" t="str">
        <f t="shared" ref="AI7:AI36" si="44">VLOOKUP($A7,Table_IP_5,MATCH("M other",heading_IP_5,0),FALSE)</f>
        <v>--</v>
      </c>
      <c r="AJ7" s="158" t="str">
        <f t="shared" si="20"/>
        <v>--</v>
      </c>
      <c r="AK7" s="203" t="str">
        <f t="shared" ref="AK7:AK25" si="45">IF(AL7&lt;&gt;"--",AL7,IF(AM7&lt;&gt;"--",AM7,IF(AN7&lt;&gt;"--",AN7,IF(AQ7&lt;&gt;"--",AQ7,"--"))))</f>
        <v>--</v>
      </c>
      <c r="AL7" s="158" t="str">
        <f t="shared" si="21"/>
        <v>--</v>
      </c>
      <c r="AM7" s="158" t="str">
        <f t="shared" si="22"/>
        <v>--</v>
      </c>
      <c r="AN7" s="158" t="str">
        <f t="shared" ref="AN7:AN25" si="46">IF(AND(AO7="--",AP7="--"), "--", IF(AO7="--",AP7/2, IF(AP7="--",AO7, MIN(AO7,AP7/2))))</f>
        <v>--</v>
      </c>
      <c r="AO7" s="158" t="str">
        <f t="shared" si="23"/>
        <v>--</v>
      </c>
      <c r="AP7" s="158" t="str">
        <f t="shared" si="24"/>
        <v>--</v>
      </c>
      <c r="AQ7" s="158" t="str">
        <f t="shared" si="25"/>
        <v>--</v>
      </c>
      <c r="AR7" s="1262" t="str">
        <f t="shared" si="26"/>
        <v>--</v>
      </c>
      <c r="AS7" s="203">
        <f t="shared" ref="AS7:AS25" si="47">IF(AND(AU7="--",AV7="--",AW7="--"), "--", (IF(AU7&lt;&gt;"--",AU7/10,(IF(AV7&lt;&gt;"--",AV7/10,AW7/10)))))</f>
        <v>0.13</v>
      </c>
      <c r="AT7" s="193" t="str">
        <f t="shared" ref="AT7:AT25" si="48">IF(AS7="--","--",IF(AND(AU7="--",AV7="--"),"10% US EPA SW Acute LOEL",IF(AV7="--","10% CTR SW CMC","10% US EPA SW CMC")))</f>
        <v>10% US EPA SW CMC</v>
      </c>
      <c r="AU7" s="203">
        <f t="shared" si="27"/>
        <v>1.3</v>
      </c>
      <c r="AV7" s="203">
        <f t="shared" si="28"/>
        <v>1.3</v>
      </c>
      <c r="AW7" s="2047" t="str">
        <f t="shared" si="29"/>
        <v>--</v>
      </c>
      <c r="AX7" s="2054" t="str">
        <f t="shared" si="30"/>
        <v>--</v>
      </c>
      <c r="AZ7" s="22"/>
      <c r="BA7" s="350"/>
      <c r="BB7" s="27" t="str">
        <f t="shared" si="31"/>
        <v>--</v>
      </c>
      <c r="BC7" s="351" t="str">
        <f t="shared" si="32"/>
        <v>--</v>
      </c>
      <c r="BD7" s="27" t="str">
        <f t="shared" si="33"/>
        <v>--</v>
      </c>
      <c r="BE7" s="351" t="str">
        <f t="shared" si="34"/>
        <v>--</v>
      </c>
      <c r="BF7" s="350"/>
      <c r="BG7" s="1303"/>
      <c r="BH7" s="1304"/>
      <c r="BI7" s="1303"/>
      <c r="BJ7" s="1303"/>
      <c r="BK7" s="1303"/>
      <c r="BL7" s="1303"/>
      <c r="BM7" s="1306"/>
      <c r="BN7" s="1306"/>
      <c r="BO7" s="350"/>
      <c r="BP7" s="35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row>
    <row r="8" spans="1:142" ht="12.95" customHeight="1">
      <c r="A8" s="897" t="s">
        <v>87</v>
      </c>
      <c r="B8" s="432" t="s">
        <v>88</v>
      </c>
      <c r="C8" s="205">
        <f t="shared" si="0"/>
        <v>30</v>
      </c>
      <c r="D8" s="207" t="str">
        <f t="shared" si="1"/>
        <v>Freshwater Goal</v>
      </c>
      <c r="E8" s="1637">
        <f t="shared" ref="E8:E70" si="49">IF(AND(G8="--",H8="--",I8="--"), "--", MIN(G8,H8,I8))</f>
        <v>640</v>
      </c>
      <c r="F8" s="187" t="str">
        <f t="shared" si="35"/>
        <v>National Criteria</v>
      </c>
      <c r="G8" s="1326">
        <f t="shared" si="2"/>
        <v>4300</v>
      </c>
      <c r="H8" s="1327">
        <f t="shared" si="3"/>
        <v>1200</v>
      </c>
      <c r="I8" s="1359">
        <f t="shared" si="36"/>
        <v>640</v>
      </c>
      <c r="J8" s="1379">
        <f t="shared" si="4"/>
        <v>30</v>
      </c>
      <c r="K8" s="1361" t="str">
        <f t="shared" si="5"/>
        <v>Freshwater Exposure</v>
      </c>
      <c r="L8" s="209">
        <f t="shared" si="37"/>
        <v>30</v>
      </c>
      <c r="M8" s="1371" t="str">
        <f t="shared" si="6"/>
        <v>US EPA FW CCC</v>
      </c>
      <c r="N8" s="216">
        <f t="shared" ref="N8:N25" si="50">IF(AND(O8="--",P8="--"),"--", IF(O8="--",P8, IF(P8="--", O8, MIN(P8,O8))))</f>
        <v>30</v>
      </c>
      <c r="O8" s="203" t="str">
        <f t="shared" si="38"/>
        <v>--</v>
      </c>
      <c r="P8" s="203">
        <f t="shared" ref="P8:P25" si="51">IF(Q8&lt;&gt;"--",Q8,IF(R8&lt;&gt;"--",R8,IF(S8&lt;&gt;"--",S8, V8)))</f>
        <v>30</v>
      </c>
      <c r="Q8" s="203" t="str">
        <f t="shared" si="7"/>
        <v>--</v>
      </c>
      <c r="R8" s="203">
        <f t="shared" si="8"/>
        <v>30</v>
      </c>
      <c r="S8" s="203" t="str">
        <f t="shared" si="39"/>
        <v>--</v>
      </c>
      <c r="T8" s="203" t="str">
        <f t="shared" si="9"/>
        <v>--</v>
      </c>
      <c r="U8" s="203" t="str">
        <f t="shared" si="10"/>
        <v>--</v>
      </c>
      <c r="V8" s="203" t="str">
        <f t="shared" si="11"/>
        <v>--</v>
      </c>
      <c r="W8" s="193" t="str">
        <f t="shared" si="12"/>
        <v>--</v>
      </c>
      <c r="X8" s="203" t="str">
        <f t="shared" si="40"/>
        <v>--</v>
      </c>
      <c r="Y8" s="193" t="str">
        <f t="shared" si="41"/>
        <v>--</v>
      </c>
      <c r="Z8" s="203" t="str">
        <f t="shared" si="13"/>
        <v>--</v>
      </c>
      <c r="AA8" s="203" t="str">
        <f t="shared" si="14"/>
        <v>--</v>
      </c>
      <c r="AB8" s="1368" t="str">
        <f t="shared" si="15"/>
        <v>--</v>
      </c>
      <c r="AC8" s="1356">
        <f t="shared" si="16"/>
        <v>500</v>
      </c>
      <c r="AD8" s="1377" t="str">
        <f t="shared" si="17"/>
        <v>Saltwater Exposure</v>
      </c>
      <c r="AE8" s="1353">
        <f t="shared" si="18"/>
        <v>500</v>
      </c>
      <c r="AF8" s="1364" t="str">
        <f t="shared" si="19"/>
        <v>US EPA SW CCC</v>
      </c>
      <c r="AG8" s="216">
        <f t="shared" si="42"/>
        <v>500</v>
      </c>
      <c r="AH8" s="203" t="str">
        <f t="shared" si="43"/>
        <v>--</v>
      </c>
      <c r="AI8" s="203" t="str">
        <f t="shared" si="44"/>
        <v>--</v>
      </c>
      <c r="AJ8" s="203" t="str">
        <f t="shared" si="20"/>
        <v>--</v>
      </c>
      <c r="AK8" s="203">
        <f t="shared" si="45"/>
        <v>500</v>
      </c>
      <c r="AL8" s="203" t="str">
        <f t="shared" si="21"/>
        <v>--</v>
      </c>
      <c r="AM8" s="203">
        <f t="shared" si="22"/>
        <v>500</v>
      </c>
      <c r="AN8" s="203" t="str">
        <f t="shared" si="46"/>
        <v>--</v>
      </c>
      <c r="AO8" s="203" t="str">
        <f t="shared" si="23"/>
        <v>--</v>
      </c>
      <c r="AP8" s="203" t="str">
        <f t="shared" si="24"/>
        <v>--</v>
      </c>
      <c r="AQ8" s="203" t="str">
        <f t="shared" si="25"/>
        <v>--</v>
      </c>
      <c r="AR8" s="1262" t="str">
        <f t="shared" si="26"/>
        <v>--</v>
      </c>
      <c r="AS8" s="203">
        <f t="shared" si="47"/>
        <v>150</v>
      </c>
      <c r="AT8" s="193" t="str">
        <f t="shared" si="48"/>
        <v>10% US EPA SW CMC</v>
      </c>
      <c r="AU8" s="203" t="str">
        <f t="shared" si="27"/>
        <v>--</v>
      </c>
      <c r="AV8" s="203">
        <f t="shared" si="28"/>
        <v>1500</v>
      </c>
      <c r="AW8" s="2047" t="str">
        <f t="shared" si="29"/>
        <v>--</v>
      </c>
      <c r="AX8" s="2054" t="str">
        <f t="shared" si="30"/>
        <v>--</v>
      </c>
      <c r="AZ8" s="22"/>
      <c r="BA8" s="350"/>
      <c r="BB8" s="27">
        <f t="shared" si="31"/>
        <v>30</v>
      </c>
      <c r="BC8" s="351" t="str">
        <f t="shared" si="32"/>
        <v>US EPA FW CCC</v>
      </c>
      <c r="BD8" s="27">
        <f t="shared" si="33"/>
        <v>500</v>
      </c>
      <c r="BE8" s="351" t="str">
        <f t="shared" si="34"/>
        <v>US EPA SW CCC</v>
      </c>
      <c r="BF8" s="350"/>
      <c r="BG8" s="1303"/>
      <c r="BH8" s="1303"/>
      <c r="BI8" s="1303"/>
      <c r="BJ8" s="1303"/>
      <c r="BK8" s="1303"/>
      <c r="BL8" s="1303"/>
      <c r="BM8" s="1306"/>
      <c r="BN8" s="1308"/>
      <c r="BO8" s="350"/>
      <c r="BP8" s="35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row>
    <row r="9" spans="1:142" ht="12.95" customHeight="1">
      <c r="A9" s="897" t="s">
        <v>89</v>
      </c>
      <c r="B9" s="432" t="s">
        <v>90</v>
      </c>
      <c r="C9" s="205">
        <f t="shared" si="0"/>
        <v>0.14000000000000001</v>
      </c>
      <c r="D9" s="207" t="str">
        <f t="shared" si="1"/>
        <v>Seafood Ingestion</v>
      </c>
      <c r="E9" s="1637">
        <f t="shared" si="49"/>
        <v>0.14000000000000001</v>
      </c>
      <c r="F9" s="187" t="str">
        <f t="shared" si="35"/>
        <v>National Criteria</v>
      </c>
      <c r="G9" s="1326" t="str">
        <f t="shared" si="2"/>
        <v>--</v>
      </c>
      <c r="H9" s="1327" t="str">
        <f t="shared" si="3"/>
        <v>--</v>
      </c>
      <c r="I9" s="1359">
        <f t="shared" si="36"/>
        <v>0.14000000000000001</v>
      </c>
      <c r="J9" s="1379">
        <f t="shared" si="4"/>
        <v>150</v>
      </c>
      <c r="K9" s="1361" t="str">
        <f t="shared" si="5"/>
        <v>Freshwater Exposure</v>
      </c>
      <c r="L9" s="209">
        <f t="shared" si="37"/>
        <v>150</v>
      </c>
      <c r="M9" s="1371" t="str">
        <f t="shared" si="6"/>
        <v>CTR FW CCC</v>
      </c>
      <c r="N9" s="216">
        <f t="shared" si="50"/>
        <v>150</v>
      </c>
      <c r="O9" s="203">
        <f t="shared" si="38"/>
        <v>150</v>
      </c>
      <c r="P9" s="203">
        <f t="shared" si="51"/>
        <v>150</v>
      </c>
      <c r="Q9" s="203">
        <f t="shared" si="7"/>
        <v>150</v>
      </c>
      <c r="R9" s="203">
        <f t="shared" si="8"/>
        <v>150</v>
      </c>
      <c r="S9" s="203">
        <f t="shared" si="39"/>
        <v>190</v>
      </c>
      <c r="T9" s="203">
        <f t="shared" si="9"/>
        <v>190</v>
      </c>
      <c r="U9" s="203" t="str">
        <f t="shared" si="10"/>
        <v>--</v>
      </c>
      <c r="V9" s="203" t="str">
        <f t="shared" si="11"/>
        <v>--</v>
      </c>
      <c r="W9" s="193" t="str">
        <f t="shared" si="12"/>
        <v>--</v>
      </c>
      <c r="X9" s="203">
        <f t="shared" si="40"/>
        <v>34</v>
      </c>
      <c r="Y9" s="193" t="str">
        <f t="shared" si="41"/>
        <v>10% CTR FW CMC</v>
      </c>
      <c r="Z9" s="203">
        <f t="shared" si="13"/>
        <v>340</v>
      </c>
      <c r="AA9" s="203" t="str">
        <f t="shared" si="14"/>
        <v>--</v>
      </c>
      <c r="AB9" s="1368" t="str">
        <f t="shared" si="15"/>
        <v>--</v>
      </c>
      <c r="AC9" s="1356">
        <f t="shared" si="16"/>
        <v>8</v>
      </c>
      <c r="AD9" s="1377" t="str">
        <f t="shared" si="17"/>
        <v>Saltwater Exposure</v>
      </c>
      <c r="AE9" s="1353">
        <f t="shared" si="18"/>
        <v>8</v>
      </c>
      <c r="AF9" s="1364" t="str">
        <f t="shared" si="19"/>
        <v>Basin Plan</v>
      </c>
      <c r="AG9" s="216">
        <f t="shared" si="42"/>
        <v>8</v>
      </c>
      <c r="AH9" s="203">
        <f t="shared" si="43"/>
        <v>8</v>
      </c>
      <c r="AI9" s="203">
        <f t="shared" si="44"/>
        <v>36</v>
      </c>
      <c r="AJ9" s="203">
        <f t="shared" si="20"/>
        <v>8</v>
      </c>
      <c r="AK9" s="203">
        <f t="shared" si="45"/>
        <v>36</v>
      </c>
      <c r="AL9" s="203">
        <f t="shared" si="21"/>
        <v>36</v>
      </c>
      <c r="AM9" s="203">
        <f t="shared" si="22"/>
        <v>36</v>
      </c>
      <c r="AN9" s="203">
        <f t="shared" si="46"/>
        <v>36</v>
      </c>
      <c r="AO9" s="203">
        <f t="shared" si="23"/>
        <v>36</v>
      </c>
      <c r="AP9" s="203" t="str">
        <f t="shared" si="24"/>
        <v>--</v>
      </c>
      <c r="AQ9" s="203" t="str">
        <f t="shared" si="25"/>
        <v>--</v>
      </c>
      <c r="AR9" s="1262" t="str">
        <f t="shared" si="26"/>
        <v>--</v>
      </c>
      <c r="AS9" s="203">
        <f t="shared" si="47"/>
        <v>6.9</v>
      </c>
      <c r="AT9" s="193" t="str">
        <f t="shared" si="48"/>
        <v>10% US EPA SW CMC</v>
      </c>
      <c r="AU9" s="203">
        <f t="shared" si="27"/>
        <v>69</v>
      </c>
      <c r="AV9" s="203">
        <f t="shared" si="28"/>
        <v>69</v>
      </c>
      <c r="AW9" s="2047" t="str">
        <f t="shared" si="29"/>
        <v>--</v>
      </c>
      <c r="AX9" s="2054" t="str">
        <f t="shared" si="30"/>
        <v>--</v>
      </c>
      <c r="AZ9" s="22"/>
      <c r="BA9" s="350"/>
      <c r="BB9" s="27">
        <f t="shared" si="31"/>
        <v>150</v>
      </c>
      <c r="BC9" s="351" t="str">
        <f t="shared" si="32"/>
        <v>CTR FW CCC</v>
      </c>
      <c r="BD9" s="27">
        <f t="shared" si="33"/>
        <v>36</v>
      </c>
      <c r="BE9" s="351" t="str">
        <f t="shared" si="34"/>
        <v>CTR SW CCC</v>
      </c>
      <c r="BF9" s="350"/>
      <c r="BG9" s="1303"/>
      <c r="BH9" s="1303"/>
      <c r="BI9" s="1303"/>
      <c r="BJ9" s="1303"/>
      <c r="BK9" s="1303"/>
      <c r="BL9" s="1303"/>
      <c r="BM9" s="1306"/>
      <c r="BN9" s="1306"/>
      <c r="BO9" s="350"/>
      <c r="BP9" s="35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row>
    <row r="10" spans="1:142" ht="12.95" customHeight="1">
      <c r="A10" s="897" t="s">
        <v>91</v>
      </c>
      <c r="B10" s="432" t="s">
        <v>92</v>
      </c>
      <c r="C10" s="205" t="str">
        <f t="shared" si="0"/>
        <v>--</v>
      </c>
      <c r="D10" s="207" t="str">
        <f t="shared" si="1"/>
        <v>--</v>
      </c>
      <c r="E10" s="1637" t="str">
        <f t="shared" si="49"/>
        <v>--</v>
      </c>
      <c r="F10" s="187" t="str">
        <f t="shared" si="35"/>
        <v>--</v>
      </c>
      <c r="G10" s="1326" t="str">
        <f t="shared" si="2"/>
        <v>--</v>
      </c>
      <c r="H10" s="1327" t="str">
        <f t="shared" si="3"/>
        <v>--</v>
      </c>
      <c r="I10" s="1359" t="str">
        <f t="shared" si="36"/>
        <v>--</v>
      </c>
      <c r="J10" s="1379" t="str">
        <f t="shared" si="4"/>
        <v>--</v>
      </c>
      <c r="K10" s="1361" t="str">
        <f t="shared" si="5"/>
        <v>--</v>
      </c>
      <c r="L10" s="209" t="str">
        <f t="shared" si="37"/>
        <v>--</v>
      </c>
      <c r="M10" s="1371" t="str">
        <f t="shared" si="6"/>
        <v>--</v>
      </c>
      <c r="N10" s="216" t="str">
        <f t="shared" si="50"/>
        <v>--</v>
      </c>
      <c r="O10" s="203" t="str">
        <f t="shared" si="38"/>
        <v>--</v>
      </c>
      <c r="P10" s="203" t="str">
        <f t="shared" si="51"/>
        <v>--</v>
      </c>
      <c r="Q10" s="203" t="str">
        <f t="shared" si="7"/>
        <v>--</v>
      </c>
      <c r="R10" s="203" t="str">
        <f t="shared" si="8"/>
        <v>--</v>
      </c>
      <c r="S10" s="203" t="str">
        <f t="shared" si="39"/>
        <v>--</v>
      </c>
      <c r="T10" s="203" t="str">
        <f t="shared" si="9"/>
        <v>--</v>
      </c>
      <c r="U10" s="203" t="str">
        <f t="shared" si="10"/>
        <v>--</v>
      </c>
      <c r="V10" s="203" t="str">
        <f t="shared" si="11"/>
        <v>--</v>
      </c>
      <c r="W10" s="193" t="str">
        <f t="shared" si="12"/>
        <v>--</v>
      </c>
      <c r="X10" s="203" t="str">
        <f t="shared" si="40"/>
        <v>--</v>
      </c>
      <c r="Y10" s="193" t="str">
        <f t="shared" si="41"/>
        <v>--</v>
      </c>
      <c r="Z10" s="203" t="str">
        <f t="shared" si="13"/>
        <v>--</v>
      </c>
      <c r="AA10" s="203" t="str">
        <f t="shared" si="14"/>
        <v>--</v>
      </c>
      <c r="AB10" s="1368" t="str">
        <f t="shared" si="15"/>
        <v>--</v>
      </c>
      <c r="AC10" s="1356" t="str">
        <f t="shared" si="16"/>
        <v>--</v>
      </c>
      <c r="AD10" s="1377" t="str">
        <f t="shared" si="17"/>
        <v>--</v>
      </c>
      <c r="AE10" s="1353" t="str">
        <f t="shared" si="18"/>
        <v>--</v>
      </c>
      <c r="AF10" s="1364" t="str">
        <f t="shared" si="19"/>
        <v>--</v>
      </c>
      <c r="AG10" s="216" t="str">
        <f t="shared" si="42"/>
        <v>--</v>
      </c>
      <c r="AH10" s="203" t="str">
        <f t="shared" si="43"/>
        <v>--</v>
      </c>
      <c r="AI10" s="203" t="str">
        <f t="shared" si="44"/>
        <v>--</v>
      </c>
      <c r="AJ10" s="203" t="str">
        <f t="shared" si="20"/>
        <v>--</v>
      </c>
      <c r="AK10" s="203" t="str">
        <f t="shared" si="45"/>
        <v>--</v>
      </c>
      <c r="AL10" s="203" t="str">
        <f t="shared" si="21"/>
        <v>--</v>
      </c>
      <c r="AM10" s="203" t="str">
        <f t="shared" si="22"/>
        <v>--</v>
      </c>
      <c r="AN10" s="203" t="str">
        <f t="shared" si="46"/>
        <v>--</v>
      </c>
      <c r="AO10" s="203" t="str">
        <f t="shared" si="23"/>
        <v>--</v>
      </c>
      <c r="AP10" s="203" t="str">
        <f t="shared" si="24"/>
        <v>--</v>
      </c>
      <c r="AQ10" s="203" t="str">
        <f t="shared" si="25"/>
        <v>--</v>
      </c>
      <c r="AR10" s="1262" t="str">
        <f t="shared" si="26"/>
        <v>--</v>
      </c>
      <c r="AS10" s="203" t="str">
        <f t="shared" si="47"/>
        <v>--</v>
      </c>
      <c r="AT10" s="193" t="str">
        <f t="shared" si="48"/>
        <v>--</v>
      </c>
      <c r="AU10" s="203" t="str">
        <f t="shared" si="27"/>
        <v>--</v>
      </c>
      <c r="AV10" s="203" t="str">
        <f t="shared" si="28"/>
        <v>--</v>
      </c>
      <c r="AW10" s="2047" t="str">
        <f t="shared" si="29"/>
        <v>--</v>
      </c>
      <c r="AX10" s="2054" t="str">
        <f t="shared" si="30"/>
        <v>--</v>
      </c>
      <c r="AZ10" s="22"/>
      <c r="BA10" s="350"/>
      <c r="BB10" s="27" t="str">
        <f t="shared" si="31"/>
        <v>--</v>
      </c>
      <c r="BC10" s="351" t="str">
        <f t="shared" si="32"/>
        <v>--</v>
      </c>
      <c r="BD10" s="27" t="str">
        <f t="shared" si="33"/>
        <v>--</v>
      </c>
      <c r="BE10" s="351" t="str">
        <f t="shared" si="34"/>
        <v>--</v>
      </c>
      <c r="BF10" s="350"/>
      <c r="BG10" s="1303"/>
      <c r="BH10" s="1303"/>
      <c r="BI10" s="1303"/>
      <c r="BJ10" s="1303"/>
      <c r="BK10" s="1303"/>
      <c r="BL10" s="1303"/>
      <c r="BM10" s="1306"/>
      <c r="BN10" s="1306"/>
      <c r="BO10" s="350"/>
      <c r="BP10" s="35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row>
    <row r="11" spans="1:142" ht="12.95" customHeight="1">
      <c r="A11" s="897" t="s">
        <v>93</v>
      </c>
      <c r="B11" s="432" t="s">
        <v>94</v>
      </c>
      <c r="C11" s="205">
        <f t="shared" si="0"/>
        <v>5.9</v>
      </c>
      <c r="D11" s="207" t="str">
        <f t="shared" si="1"/>
        <v>Seafood Ingestion</v>
      </c>
      <c r="E11" s="1637">
        <f t="shared" si="49"/>
        <v>5.9</v>
      </c>
      <c r="F11" s="187" t="str">
        <f t="shared" si="35"/>
        <v>Cal Ocean Plan</v>
      </c>
      <c r="G11" s="1326">
        <f t="shared" si="2"/>
        <v>71</v>
      </c>
      <c r="H11" s="1327">
        <f t="shared" si="3"/>
        <v>5.9</v>
      </c>
      <c r="I11" s="1359">
        <f t="shared" si="36"/>
        <v>16</v>
      </c>
      <c r="J11" s="1379">
        <f t="shared" si="4"/>
        <v>46</v>
      </c>
      <c r="K11" s="1361" t="str">
        <f t="shared" si="5"/>
        <v>Freshwater Exposure</v>
      </c>
      <c r="L11" s="209">
        <f t="shared" si="37"/>
        <v>46</v>
      </c>
      <c r="M11" s="1371" t="str">
        <f t="shared" si="6"/>
        <v>US EPA Ecotox FW Chronic</v>
      </c>
      <c r="N11" s="216">
        <f t="shared" si="50"/>
        <v>46</v>
      </c>
      <c r="O11" s="203" t="str">
        <f t="shared" si="38"/>
        <v>--</v>
      </c>
      <c r="P11" s="203">
        <f t="shared" si="51"/>
        <v>46</v>
      </c>
      <c r="Q11" s="203" t="str">
        <f t="shared" si="7"/>
        <v>--</v>
      </c>
      <c r="R11" s="203" t="str">
        <f t="shared" si="8"/>
        <v>--</v>
      </c>
      <c r="S11" s="203">
        <f t="shared" si="39"/>
        <v>46</v>
      </c>
      <c r="T11" s="203">
        <f t="shared" si="9"/>
        <v>46</v>
      </c>
      <c r="U11" s="203" t="str">
        <f t="shared" si="10"/>
        <v>--</v>
      </c>
      <c r="V11" s="203" t="str">
        <f t="shared" si="11"/>
        <v>--</v>
      </c>
      <c r="W11" s="193" t="str">
        <f t="shared" si="12"/>
        <v>--</v>
      </c>
      <c r="X11" s="203">
        <f t="shared" si="40"/>
        <v>530</v>
      </c>
      <c r="Y11" s="193" t="str">
        <f t="shared" si="41"/>
        <v>10% US EPA FW Acute LOEL</v>
      </c>
      <c r="Z11" s="203" t="str">
        <f t="shared" si="13"/>
        <v>--</v>
      </c>
      <c r="AA11" s="203" t="str">
        <f t="shared" si="14"/>
        <v>--</v>
      </c>
      <c r="AB11" s="1368">
        <f t="shared" si="15"/>
        <v>5300</v>
      </c>
      <c r="AC11" s="1356">
        <f t="shared" si="16"/>
        <v>350</v>
      </c>
      <c r="AD11" s="1377" t="str">
        <f t="shared" si="17"/>
        <v>Saltwater Exposure</v>
      </c>
      <c r="AE11" s="1353">
        <f t="shared" si="18"/>
        <v>350</v>
      </c>
      <c r="AF11" s="1364" t="str">
        <f t="shared" si="19"/>
        <v>50% US EPA SW Chronic LOEL</v>
      </c>
      <c r="AG11" s="216">
        <f t="shared" si="42"/>
        <v>350</v>
      </c>
      <c r="AH11" s="203" t="str">
        <f t="shared" si="43"/>
        <v>--</v>
      </c>
      <c r="AI11" s="203" t="str">
        <f t="shared" si="44"/>
        <v>--</v>
      </c>
      <c r="AJ11" s="203" t="str">
        <f t="shared" si="20"/>
        <v>--</v>
      </c>
      <c r="AK11" s="203">
        <f t="shared" si="45"/>
        <v>350</v>
      </c>
      <c r="AL11" s="203" t="str">
        <f t="shared" si="21"/>
        <v>--</v>
      </c>
      <c r="AM11" s="203" t="str">
        <f t="shared" si="22"/>
        <v>--</v>
      </c>
      <c r="AN11" s="203">
        <f t="shared" si="46"/>
        <v>350</v>
      </c>
      <c r="AO11" s="203" t="str">
        <f t="shared" si="23"/>
        <v>--</v>
      </c>
      <c r="AP11" s="203">
        <f t="shared" si="24"/>
        <v>700</v>
      </c>
      <c r="AQ11" s="203" t="str">
        <f t="shared" si="25"/>
        <v>--</v>
      </c>
      <c r="AR11" s="1262" t="str">
        <f t="shared" si="26"/>
        <v>--</v>
      </c>
      <c r="AS11" s="203">
        <f t="shared" si="47"/>
        <v>510</v>
      </c>
      <c r="AT11" s="193" t="str">
        <f t="shared" si="48"/>
        <v>10% US EPA SW Acute LOEL</v>
      </c>
      <c r="AU11" s="203" t="str">
        <f t="shared" si="27"/>
        <v>--</v>
      </c>
      <c r="AV11" s="203" t="str">
        <f t="shared" si="28"/>
        <v>--</v>
      </c>
      <c r="AW11" s="2047">
        <f t="shared" si="29"/>
        <v>5100</v>
      </c>
      <c r="AX11" s="2054" t="str">
        <f t="shared" si="30"/>
        <v>--</v>
      </c>
      <c r="AZ11" s="22"/>
      <c r="BA11" s="350"/>
      <c r="BB11" s="27">
        <f t="shared" si="31"/>
        <v>46</v>
      </c>
      <c r="BC11" s="351" t="str">
        <f t="shared" si="32"/>
        <v>US EPA Ecotox FW Chronic</v>
      </c>
      <c r="BD11" s="27">
        <f t="shared" si="33"/>
        <v>350</v>
      </c>
      <c r="BE11" s="351" t="str">
        <f t="shared" si="34"/>
        <v>50% US EPA SW Chronic LOEL</v>
      </c>
      <c r="BF11" s="350"/>
      <c r="BG11" s="1304"/>
      <c r="BH11" s="1304"/>
      <c r="BI11" s="1304"/>
      <c r="BJ11" s="1303"/>
      <c r="BK11" s="1303"/>
      <c r="BL11" s="1303"/>
      <c r="BM11" s="1306"/>
      <c r="BN11" s="1308"/>
      <c r="BO11" s="350"/>
      <c r="BP11" s="35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row>
    <row r="12" spans="1:142" ht="12.95" customHeight="1">
      <c r="A12" s="897" t="s">
        <v>95</v>
      </c>
      <c r="B12" s="432" t="s">
        <v>96</v>
      </c>
      <c r="C12" s="205">
        <f t="shared" si="0"/>
        <v>3.3000000000000002E-2</v>
      </c>
      <c r="D12" s="207" t="str">
        <f t="shared" si="1"/>
        <v>Seafood Ingestion</v>
      </c>
      <c r="E12" s="1637">
        <f t="shared" si="49"/>
        <v>3.3000000000000002E-2</v>
      </c>
      <c r="F12" s="187" t="str">
        <f t="shared" si="35"/>
        <v>Cal Ocean Plan</v>
      </c>
      <c r="G12" s="1326" t="str">
        <f t="shared" si="2"/>
        <v>--</v>
      </c>
      <c r="H12" s="1327">
        <f t="shared" si="3"/>
        <v>3.3000000000000002E-2</v>
      </c>
      <c r="I12" s="1359" t="str">
        <f t="shared" si="36"/>
        <v>--</v>
      </c>
      <c r="J12" s="1379">
        <f t="shared" si="4"/>
        <v>2.65</v>
      </c>
      <c r="K12" s="1361" t="str">
        <f t="shared" si="5"/>
        <v>Freshwater Exposure</v>
      </c>
      <c r="L12" s="209">
        <f t="shared" si="37"/>
        <v>2.65</v>
      </c>
      <c r="M12" s="1371" t="str">
        <f t="shared" si="6"/>
        <v>50% US EPA FW Chronic LOEL</v>
      </c>
      <c r="N12" s="216">
        <f t="shared" si="50"/>
        <v>2.65</v>
      </c>
      <c r="O12" s="203" t="str">
        <f t="shared" si="38"/>
        <v>--</v>
      </c>
      <c r="P12" s="203">
        <f t="shared" si="51"/>
        <v>2.65</v>
      </c>
      <c r="Q12" s="203" t="str">
        <f t="shared" si="7"/>
        <v>--</v>
      </c>
      <c r="R12" s="203" t="str">
        <f t="shared" si="8"/>
        <v>--</v>
      </c>
      <c r="S12" s="203">
        <f t="shared" si="39"/>
        <v>2.65</v>
      </c>
      <c r="T12" s="203">
        <f t="shared" si="9"/>
        <v>5.0999999999999996</v>
      </c>
      <c r="U12" s="203">
        <f t="shared" si="10"/>
        <v>5.3</v>
      </c>
      <c r="V12" s="203" t="str">
        <f t="shared" si="11"/>
        <v>--</v>
      </c>
      <c r="W12" s="193" t="str">
        <f t="shared" si="12"/>
        <v>--</v>
      </c>
      <c r="X12" s="203">
        <f t="shared" si="40"/>
        <v>13</v>
      </c>
      <c r="Y12" s="193" t="str">
        <f t="shared" si="41"/>
        <v>10% US EPA FW Acute LOEL</v>
      </c>
      <c r="Z12" s="203" t="str">
        <f t="shared" si="13"/>
        <v>--</v>
      </c>
      <c r="AA12" s="203" t="str">
        <f t="shared" si="14"/>
        <v>--</v>
      </c>
      <c r="AB12" s="1368">
        <f t="shared" si="15"/>
        <v>130</v>
      </c>
      <c r="AC12" s="1356" t="str">
        <f t="shared" si="16"/>
        <v>--</v>
      </c>
      <c r="AD12" s="1377" t="str">
        <f t="shared" si="17"/>
        <v>--</v>
      </c>
      <c r="AE12" s="1353" t="str">
        <f t="shared" si="18"/>
        <v>--</v>
      </c>
      <c r="AF12" s="1364" t="str">
        <f t="shared" si="19"/>
        <v>--</v>
      </c>
      <c r="AG12" s="216" t="str">
        <f t="shared" si="42"/>
        <v>--</v>
      </c>
      <c r="AH12" s="203" t="str">
        <f t="shared" si="43"/>
        <v>--</v>
      </c>
      <c r="AI12" s="203" t="str">
        <f t="shared" si="44"/>
        <v>--</v>
      </c>
      <c r="AJ12" s="203" t="str">
        <f t="shared" si="20"/>
        <v>--</v>
      </c>
      <c r="AK12" s="203" t="str">
        <f t="shared" si="45"/>
        <v>--</v>
      </c>
      <c r="AL12" s="203" t="str">
        <f t="shared" si="21"/>
        <v>--</v>
      </c>
      <c r="AM12" s="203" t="str">
        <f t="shared" si="22"/>
        <v>--</v>
      </c>
      <c r="AN12" s="203" t="str">
        <f t="shared" si="46"/>
        <v>--</v>
      </c>
      <c r="AO12" s="203" t="str">
        <f t="shared" si="23"/>
        <v>--</v>
      </c>
      <c r="AP12" s="203" t="str">
        <f t="shared" si="24"/>
        <v>--</v>
      </c>
      <c r="AQ12" s="203" t="str">
        <f t="shared" si="25"/>
        <v>--</v>
      </c>
      <c r="AR12" s="1262" t="str">
        <f t="shared" si="26"/>
        <v>--</v>
      </c>
      <c r="AS12" s="203" t="str">
        <f t="shared" si="47"/>
        <v>--</v>
      </c>
      <c r="AT12" s="193" t="str">
        <f t="shared" si="48"/>
        <v>--</v>
      </c>
      <c r="AU12" s="203" t="str">
        <f t="shared" si="27"/>
        <v>--</v>
      </c>
      <c r="AV12" s="203" t="str">
        <f t="shared" si="28"/>
        <v>--</v>
      </c>
      <c r="AW12" s="2047" t="str">
        <f t="shared" si="29"/>
        <v>--</v>
      </c>
      <c r="AX12" s="2054" t="str">
        <f t="shared" si="30"/>
        <v>--</v>
      </c>
      <c r="AZ12" s="22"/>
      <c r="BA12" s="350"/>
      <c r="BB12" s="27">
        <f t="shared" si="31"/>
        <v>2.65</v>
      </c>
      <c r="BC12" s="351" t="str">
        <f t="shared" si="32"/>
        <v>50% US EPA FW Chronic LOEL</v>
      </c>
      <c r="BD12" s="27" t="str">
        <f t="shared" si="33"/>
        <v>--</v>
      </c>
      <c r="BE12" s="351" t="str">
        <f t="shared" si="34"/>
        <v>--</v>
      </c>
      <c r="BF12" s="350"/>
      <c r="BG12" s="1304"/>
      <c r="BH12" s="1304"/>
      <c r="BI12" s="1311"/>
      <c r="BJ12" s="1304"/>
      <c r="BK12" s="1310"/>
      <c r="BL12" s="1310"/>
      <c r="BM12" s="1306"/>
      <c r="BN12" s="1308"/>
      <c r="BO12" s="350"/>
      <c r="BP12" s="35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row>
    <row r="13" spans="1:142" ht="12.95" customHeight="1">
      <c r="A13" s="897" t="s">
        <v>97</v>
      </c>
      <c r="B13" s="432" t="s">
        <v>98</v>
      </c>
      <c r="C13" s="205">
        <f t="shared" si="0"/>
        <v>14</v>
      </c>
      <c r="D13" s="207" t="str">
        <f t="shared" si="1"/>
        <v>Freshwater Goal</v>
      </c>
      <c r="E13" s="1637" t="str">
        <f t="shared" si="49"/>
        <v>--</v>
      </c>
      <c r="F13" s="187" t="str">
        <f t="shared" si="35"/>
        <v>--</v>
      </c>
      <c r="G13" s="1326" t="str">
        <f t="shared" si="2"/>
        <v>--</v>
      </c>
      <c r="H13" s="1327" t="str">
        <f t="shared" si="3"/>
        <v>--</v>
      </c>
      <c r="I13" s="1359" t="str">
        <f t="shared" si="36"/>
        <v>--</v>
      </c>
      <c r="J13" s="1379">
        <f t="shared" si="4"/>
        <v>14</v>
      </c>
      <c r="K13" s="1361" t="str">
        <f t="shared" si="5"/>
        <v>Freshwater Exposure</v>
      </c>
      <c r="L13" s="209">
        <f t="shared" si="37"/>
        <v>14</v>
      </c>
      <c r="M13" s="1371" t="str">
        <f t="shared" si="6"/>
        <v>US EPA Ecotox FW Chronic</v>
      </c>
      <c r="N13" s="216">
        <f t="shared" si="50"/>
        <v>14</v>
      </c>
      <c r="O13" s="203" t="str">
        <f t="shared" si="38"/>
        <v>--</v>
      </c>
      <c r="P13" s="203">
        <f t="shared" si="51"/>
        <v>14</v>
      </c>
      <c r="Q13" s="203" t="str">
        <f t="shared" si="7"/>
        <v>--</v>
      </c>
      <c r="R13" s="203" t="str">
        <f t="shared" si="8"/>
        <v>--</v>
      </c>
      <c r="S13" s="203">
        <f t="shared" si="39"/>
        <v>14</v>
      </c>
      <c r="T13" s="203">
        <f t="shared" si="9"/>
        <v>14</v>
      </c>
      <c r="U13" s="203" t="str">
        <f t="shared" si="10"/>
        <v>--</v>
      </c>
      <c r="V13" s="203" t="str">
        <f t="shared" si="11"/>
        <v>--</v>
      </c>
      <c r="W13" s="193" t="str">
        <f t="shared" si="12"/>
        <v>--</v>
      </c>
      <c r="X13" s="203" t="str">
        <f t="shared" si="40"/>
        <v>--</v>
      </c>
      <c r="Y13" s="193" t="str">
        <f t="shared" si="41"/>
        <v>--</v>
      </c>
      <c r="Z13" s="203" t="str">
        <f t="shared" si="13"/>
        <v>--</v>
      </c>
      <c r="AA13" s="203" t="str">
        <f t="shared" si="14"/>
        <v>--</v>
      </c>
      <c r="AB13" s="1368" t="str">
        <f t="shared" si="15"/>
        <v>--</v>
      </c>
      <c r="AC13" s="1356" t="str">
        <f t="shared" si="16"/>
        <v>--</v>
      </c>
      <c r="AD13" s="1377" t="str">
        <f t="shared" si="17"/>
        <v>--</v>
      </c>
      <c r="AE13" s="1353" t="str">
        <f t="shared" si="18"/>
        <v>--</v>
      </c>
      <c r="AF13" s="1364" t="str">
        <f t="shared" si="19"/>
        <v>--</v>
      </c>
      <c r="AG13" s="216" t="str">
        <f t="shared" si="42"/>
        <v>--</v>
      </c>
      <c r="AH13" s="203" t="str">
        <f t="shared" si="43"/>
        <v>--</v>
      </c>
      <c r="AI13" s="203" t="str">
        <f t="shared" si="44"/>
        <v>--</v>
      </c>
      <c r="AJ13" s="203" t="str">
        <f t="shared" si="20"/>
        <v>--</v>
      </c>
      <c r="AK13" s="203" t="str">
        <f t="shared" si="45"/>
        <v>--</v>
      </c>
      <c r="AL13" s="203" t="str">
        <f t="shared" si="21"/>
        <v>--</v>
      </c>
      <c r="AM13" s="203" t="str">
        <f t="shared" si="22"/>
        <v>--</v>
      </c>
      <c r="AN13" s="203" t="str">
        <f t="shared" si="46"/>
        <v>--</v>
      </c>
      <c r="AO13" s="203" t="str">
        <f t="shared" si="23"/>
        <v>--</v>
      </c>
      <c r="AP13" s="203" t="str">
        <f t="shared" si="24"/>
        <v>--</v>
      </c>
      <c r="AQ13" s="203" t="str">
        <f t="shared" si="25"/>
        <v>--</v>
      </c>
      <c r="AR13" s="1262" t="str">
        <f t="shared" si="26"/>
        <v>--</v>
      </c>
      <c r="AS13" s="203" t="str">
        <f t="shared" si="47"/>
        <v>--</v>
      </c>
      <c r="AT13" s="193" t="str">
        <f t="shared" si="48"/>
        <v>--</v>
      </c>
      <c r="AU13" s="203" t="str">
        <f t="shared" si="27"/>
        <v>--</v>
      </c>
      <c r="AV13" s="203" t="str">
        <f t="shared" si="28"/>
        <v>--</v>
      </c>
      <c r="AW13" s="2047" t="str">
        <f t="shared" si="29"/>
        <v>--</v>
      </c>
      <c r="AX13" s="2054" t="str">
        <f t="shared" si="30"/>
        <v>--</v>
      </c>
      <c r="AZ13" s="22"/>
      <c r="BA13" s="350"/>
      <c r="BB13" s="27">
        <f t="shared" si="31"/>
        <v>14</v>
      </c>
      <c r="BC13" s="351" t="str">
        <f t="shared" si="32"/>
        <v>US EPA Ecotox FW Chronic</v>
      </c>
      <c r="BD13" s="27" t="str">
        <f t="shared" si="33"/>
        <v>--</v>
      </c>
      <c r="BE13" s="351" t="str">
        <f t="shared" si="34"/>
        <v>--</v>
      </c>
      <c r="BF13" s="350"/>
      <c r="BG13" s="1304"/>
      <c r="BH13" s="1304"/>
      <c r="BI13" s="1311"/>
      <c r="BJ13" s="1304"/>
      <c r="BK13" s="1310"/>
      <c r="BL13" s="1303"/>
      <c r="BM13" s="1306"/>
      <c r="BN13" s="1308"/>
      <c r="BO13" s="350"/>
      <c r="BP13" s="35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row>
    <row r="14" spans="1:142" ht="12.95" customHeight="1">
      <c r="A14" s="897" t="s">
        <v>99</v>
      </c>
      <c r="B14" s="432" t="s">
        <v>100</v>
      </c>
      <c r="C14" s="205">
        <f t="shared" si="0"/>
        <v>4.4999999999999998E-2</v>
      </c>
      <c r="D14" s="207" t="str">
        <f t="shared" si="1"/>
        <v>Seafood Ingestion</v>
      </c>
      <c r="E14" s="1637">
        <f t="shared" si="49"/>
        <v>4.4999999999999998E-2</v>
      </c>
      <c r="F14" s="187" t="str">
        <f t="shared" si="35"/>
        <v>Cal Ocean Plan</v>
      </c>
      <c r="G14" s="1326">
        <f t="shared" si="2"/>
        <v>1.4</v>
      </c>
      <c r="H14" s="1327">
        <f t="shared" si="3"/>
        <v>4.4999999999999998E-2</v>
      </c>
      <c r="I14" s="1359">
        <f t="shared" si="36"/>
        <v>2.2000000000000002</v>
      </c>
      <c r="J14" s="1379">
        <f t="shared" si="4"/>
        <v>61</v>
      </c>
      <c r="K14" s="1361" t="str">
        <f t="shared" si="5"/>
        <v>Freshwater Exposure</v>
      </c>
      <c r="L14" s="209">
        <f t="shared" si="37"/>
        <v>61</v>
      </c>
      <c r="M14" s="1371" t="str">
        <f t="shared" si="6"/>
        <v>50% US EPA FW Chronic LOEL</v>
      </c>
      <c r="N14" s="216">
        <f t="shared" si="50"/>
        <v>61</v>
      </c>
      <c r="O14" s="203" t="str">
        <f t="shared" si="38"/>
        <v>--</v>
      </c>
      <c r="P14" s="203">
        <f t="shared" si="51"/>
        <v>61</v>
      </c>
      <c r="Q14" s="203" t="str">
        <f t="shared" si="7"/>
        <v>--</v>
      </c>
      <c r="R14" s="203" t="str">
        <f t="shared" si="8"/>
        <v>--</v>
      </c>
      <c r="S14" s="203">
        <f t="shared" si="39"/>
        <v>61</v>
      </c>
      <c r="T14" s="203" t="str">
        <f t="shared" si="9"/>
        <v>--</v>
      </c>
      <c r="U14" s="203">
        <f t="shared" si="10"/>
        <v>122</v>
      </c>
      <c r="V14" s="203" t="str">
        <f t="shared" si="11"/>
        <v>--</v>
      </c>
      <c r="W14" s="193" t="str">
        <f t="shared" si="12"/>
        <v>--</v>
      </c>
      <c r="X14" s="203">
        <f t="shared" si="40"/>
        <v>23800</v>
      </c>
      <c r="Y14" s="193" t="str">
        <f t="shared" si="41"/>
        <v>10% US EPA FW Acute LOEL</v>
      </c>
      <c r="Z14" s="203" t="str">
        <f t="shared" si="13"/>
        <v>--</v>
      </c>
      <c r="AA14" s="203" t="str">
        <f t="shared" si="14"/>
        <v>--</v>
      </c>
      <c r="AB14" s="1368">
        <f t="shared" si="15"/>
        <v>238000</v>
      </c>
      <c r="AC14" s="1356" t="str">
        <f t="shared" si="16"/>
        <v>--</v>
      </c>
      <c r="AD14" s="1377" t="str">
        <f t="shared" si="17"/>
        <v>--</v>
      </c>
      <c r="AE14" s="1353" t="str">
        <f t="shared" si="18"/>
        <v>--</v>
      </c>
      <c r="AF14" s="1364" t="str">
        <f t="shared" si="19"/>
        <v>--</v>
      </c>
      <c r="AG14" s="216" t="str">
        <f t="shared" si="42"/>
        <v>--</v>
      </c>
      <c r="AH14" s="203" t="str">
        <f t="shared" si="43"/>
        <v>--</v>
      </c>
      <c r="AI14" s="203" t="str">
        <f t="shared" si="44"/>
        <v>--</v>
      </c>
      <c r="AJ14" s="203" t="str">
        <f t="shared" si="20"/>
        <v>--</v>
      </c>
      <c r="AK14" s="203" t="str">
        <f t="shared" si="45"/>
        <v>--</v>
      </c>
      <c r="AL14" s="203" t="str">
        <f t="shared" si="21"/>
        <v>--</v>
      </c>
      <c r="AM14" s="203" t="str">
        <f t="shared" si="22"/>
        <v>--</v>
      </c>
      <c r="AN14" s="203" t="str">
        <f t="shared" si="46"/>
        <v>--</v>
      </c>
      <c r="AO14" s="203" t="str">
        <f t="shared" si="23"/>
        <v>--</v>
      </c>
      <c r="AP14" s="203" t="str">
        <f t="shared" si="24"/>
        <v>--</v>
      </c>
      <c r="AQ14" s="203" t="str">
        <f t="shared" si="25"/>
        <v>--</v>
      </c>
      <c r="AR14" s="1262" t="str">
        <f t="shared" si="26"/>
        <v>--</v>
      </c>
      <c r="AS14" s="203" t="str">
        <f t="shared" si="47"/>
        <v>--</v>
      </c>
      <c r="AT14" s="193" t="str">
        <f t="shared" si="48"/>
        <v>--</v>
      </c>
      <c r="AU14" s="203" t="str">
        <f t="shared" si="27"/>
        <v>--</v>
      </c>
      <c r="AV14" s="203" t="str">
        <f t="shared" si="28"/>
        <v>--</v>
      </c>
      <c r="AW14" s="2047" t="str">
        <f t="shared" si="29"/>
        <v>--</v>
      </c>
      <c r="AX14" s="2054" t="str">
        <f t="shared" si="30"/>
        <v>--</v>
      </c>
      <c r="AZ14" s="22"/>
      <c r="BA14" s="350"/>
      <c r="BB14" s="27">
        <f t="shared" si="31"/>
        <v>61</v>
      </c>
      <c r="BC14" s="351" t="str">
        <f t="shared" si="32"/>
        <v>50% US EPA FW Chronic LOEL</v>
      </c>
      <c r="BD14" s="27" t="str">
        <f t="shared" si="33"/>
        <v>--</v>
      </c>
      <c r="BE14" s="351" t="str">
        <f t="shared" si="34"/>
        <v>--</v>
      </c>
      <c r="BF14" s="1305"/>
      <c r="BG14" s="1305"/>
      <c r="BH14" s="350"/>
      <c r="BI14" s="350"/>
      <c r="BJ14" s="1304"/>
      <c r="BK14" s="1310"/>
      <c r="BL14" s="1310"/>
      <c r="BM14" s="1306"/>
      <c r="BN14" s="1306"/>
      <c r="BO14" s="350"/>
      <c r="BP14" s="35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row>
    <row r="15" spans="1:142" ht="12.95" customHeight="1">
      <c r="A15" s="897" t="s">
        <v>101</v>
      </c>
      <c r="B15" s="432" t="s">
        <v>102</v>
      </c>
      <c r="C15" s="205">
        <f t="shared" si="0"/>
        <v>61</v>
      </c>
      <c r="D15" s="207" t="str">
        <f t="shared" si="1"/>
        <v>Freshwater Goal</v>
      </c>
      <c r="E15" s="1637">
        <f t="shared" si="49"/>
        <v>4000</v>
      </c>
      <c r="F15" s="187" t="str">
        <f t="shared" si="35"/>
        <v>National Criteria</v>
      </c>
      <c r="G15" s="1326">
        <f t="shared" si="2"/>
        <v>170000</v>
      </c>
      <c r="H15" s="1327" t="str">
        <f t="shared" si="3"/>
        <v>--</v>
      </c>
      <c r="I15" s="1359">
        <f t="shared" si="36"/>
        <v>4000</v>
      </c>
      <c r="J15" s="1379">
        <f t="shared" si="4"/>
        <v>61</v>
      </c>
      <c r="K15" s="1361" t="str">
        <f t="shared" si="5"/>
        <v>Freshwater Exposure</v>
      </c>
      <c r="L15" s="209">
        <f t="shared" si="37"/>
        <v>61</v>
      </c>
      <c r="M15" s="1371" t="str">
        <f t="shared" si="6"/>
        <v>50% US EPA FW Chronic LOEL</v>
      </c>
      <c r="N15" s="216">
        <f t="shared" si="50"/>
        <v>61</v>
      </c>
      <c r="O15" s="203" t="str">
        <f t="shared" si="38"/>
        <v>--</v>
      </c>
      <c r="P15" s="203">
        <f t="shared" si="51"/>
        <v>61</v>
      </c>
      <c r="Q15" s="203" t="str">
        <f t="shared" si="7"/>
        <v>--</v>
      </c>
      <c r="R15" s="203" t="str">
        <f t="shared" si="8"/>
        <v>--</v>
      </c>
      <c r="S15" s="203">
        <f t="shared" si="39"/>
        <v>61</v>
      </c>
      <c r="T15" s="203" t="str">
        <f t="shared" si="9"/>
        <v>--</v>
      </c>
      <c r="U15" s="203">
        <f t="shared" si="10"/>
        <v>122</v>
      </c>
      <c r="V15" s="203" t="str">
        <f t="shared" si="11"/>
        <v>--</v>
      </c>
      <c r="W15" s="193" t="str">
        <f t="shared" si="12"/>
        <v>--</v>
      </c>
      <c r="X15" s="203">
        <f t="shared" si="40"/>
        <v>23800</v>
      </c>
      <c r="Y15" s="193" t="str">
        <f t="shared" si="41"/>
        <v>10% US EPA FW Acute LOEL</v>
      </c>
      <c r="Z15" s="203" t="str">
        <f t="shared" si="13"/>
        <v>--</v>
      </c>
      <c r="AA15" s="203" t="str">
        <f t="shared" si="14"/>
        <v>--</v>
      </c>
      <c r="AB15" s="1368">
        <f t="shared" si="15"/>
        <v>238000</v>
      </c>
      <c r="AC15" s="1356" t="str">
        <f t="shared" si="16"/>
        <v>--</v>
      </c>
      <c r="AD15" s="1377" t="str">
        <f t="shared" si="17"/>
        <v>--</v>
      </c>
      <c r="AE15" s="1353" t="str">
        <f t="shared" si="18"/>
        <v>--</v>
      </c>
      <c r="AF15" s="1364" t="str">
        <f t="shared" si="19"/>
        <v>--</v>
      </c>
      <c r="AG15" s="216" t="str">
        <f t="shared" si="42"/>
        <v>--</v>
      </c>
      <c r="AH15" s="203" t="str">
        <f t="shared" si="43"/>
        <v>--</v>
      </c>
      <c r="AI15" s="203" t="str">
        <f t="shared" si="44"/>
        <v>--</v>
      </c>
      <c r="AJ15" s="203" t="str">
        <f t="shared" si="20"/>
        <v>--</v>
      </c>
      <c r="AK15" s="203" t="str">
        <f t="shared" si="45"/>
        <v>--</v>
      </c>
      <c r="AL15" s="203" t="str">
        <f t="shared" si="21"/>
        <v>--</v>
      </c>
      <c r="AM15" s="203" t="str">
        <f t="shared" si="22"/>
        <v>--</v>
      </c>
      <c r="AN15" s="203" t="str">
        <f t="shared" si="46"/>
        <v>--</v>
      </c>
      <c r="AO15" s="203" t="str">
        <f t="shared" si="23"/>
        <v>--</v>
      </c>
      <c r="AP15" s="203" t="str">
        <f t="shared" si="24"/>
        <v>--</v>
      </c>
      <c r="AQ15" s="203" t="str">
        <f t="shared" si="25"/>
        <v>--</v>
      </c>
      <c r="AR15" s="1262" t="str">
        <f t="shared" si="26"/>
        <v>--</v>
      </c>
      <c r="AS15" s="203" t="str">
        <f t="shared" si="47"/>
        <v>--</v>
      </c>
      <c r="AT15" s="193" t="str">
        <f t="shared" si="48"/>
        <v>--</v>
      </c>
      <c r="AU15" s="203" t="str">
        <f t="shared" si="27"/>
        <v>--</v>
      </c>
      <c r="AV15" s="203" t="str">
        <f t="shared" si="28"/>
        <v>--</v>
      </c>
      <c r="AW15" s="2047" t="str">
        <f t="shared" si="29"/>
        <v>--</v>
      </c>
      <c r="AX15" s="2054" t="str">
        <f t="shared" si="30"/>
        <v>--</v>
      </c>
      <c r="AZ15" s="22"/>
      <c r="BA15" s="350"/>
      <c r="BB15" s="27">
        <f t="shared" si="31"/>
        <v>61</v>
      </c>
      <c r="BC15" s="351" t="str">
        <f t="shared" si="32"/>
        <v>50% US EPA FW Chronic LOEL</v>
      </c>
      <c r="BD15" s="27" t="str">
        <f t="shared" si="33"/>
        <v>--</v>
      </c>
      <c r="BE15" s="351" t="str">
        <f t="shared" si="34"/>
        <v>--</v>
      </c>
      <c r="BF15" s="1305"/>
      <c r="BG15" s="1305"/>
      <c r="BH15" s="350"/>
      <c r="BI15" s="350"/>
      <c r="BJ15" s="1304"/>
      <c r="BK15" s="1310"/>
      <c r="BL15" s="1303"/>
      <c r="BM15" s="1306"/>
      <c r="BN15" s="1308"/>
      <c r="BO15" s="350"/>
      <c r="BP15" s="35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row>
    <row r="16" spans="1:142" ht="12.95" customHeight="1">
      <c r="A16" s="897" t="s">
        <v>103</v>
      </c>
      <c r="B16" s="432" t="s">
        <v>104</v>
      </c>
      <c r="C16" s="205">
        <f t="shared" si="0"/>
        <v>0.37</v>
      </c>
      <c r="D16" s="207" t="str">
        <f t="shared" si="1"/>
        <v>Seafood Ingestion</v>
      </c>
      <c r="E16" s="1637">
        <f t="shared" si="49"/>
        <v>0.37</v>
      </c>
      <c r="F16" s="187" t="str">
        <f t="shared" si="35"/>
        <v>National Criteria</v>
      </c>
      <c r="G16" s="1326">
        <f t="shared" si="2"/>
        <v>5.9</v>
      </c>
      <c r="H16" s="1327">
        <f t="shared" si="3"/>
        <v>3.5</v>
      </c>
      <c r="I16" s="1359">
        <f t="shared" si="36"/>
        <v>0.37</v>
      </c>
      <c r="J16" s="1379">
        <f t="shared" si="4"/>
        <v>32</v>
      </c>
      <c r="K16" s="1361" t="str">
        <f t="shared" si="5"/>
        <v>Freshwater Exposure</v>
      </c>
      <c r="L16" s="209">
        <f t="shared" si="37"/>
        <v>32</v>
      </c>
      <c r="M16" s="1371" t="str">
        <f t="shared" si="6"/>
        <v>US EPA Ecotox FW Chronic</v>
      </c>
      <c r="N16" s="216">
        <f t="shared" si="50"/>
        <v>32</v>
      </c>
      <c r="O16" s="203" t="str">
        <f t="shared" si="38"/>
        <v>--</v>
      </c>
      <c r="P16" s="203">
        <f t="shared" si="51"/>
        <v>32</v>
      </c>
      <c r="Q16" s="203" t="str">
        <f t="shared" si="7"/>
        <v>--</v>
      </c>
      <c r="R16" s="203" t="str">
        <f t="shared" si="8"/>
        <v>--</v>
      </c>
      <c r="S16" s="203">
        <f t="shared" si="39"/>
        <v>32</v>
      </c>
      <c r="T16" s="203">
        <f t="shared" si="9"/>
        <v>32</v>
      </c>
      <c r="U16" s="203" t="str">
        <f t="shared" si="10"/>
        <v>--</v>
      </c>
      <c r="V16" s="203" t="str">
        <f t="shared" si="11"/>
        <v>--</v>
      </c>
      <c r="W16" s="193" t="str">
        <f t="shared" si="12"/>
        <v>--</v>
      </c>
      <c r="X16" s="203" t="str">
        <f t="shared" si="40"/>
        <v>--</v>
      </c>
      <c r="Y16" s="193" t="str">
        <f t="shared" si="41"/>
        <v>--</v>
      </c>
      <c r="Z16" s="203" t="str">
        <f t="shared" si="13"/>
        <v>--</v>
      </c>
      <c r="AA16" s="203" t="str">
        <f t="shared" si="14"/>
        <v>--</v>
      </c>
      <c r="AB16" s="1368" t="str">
        <f t="shared" si="15"/>
        <v>--</v>
      </c>
      <c r="AC16" s="1356" t="str">
        <f t="shared" si="16"/>
        <v>--</v>
      </c>
      <c r="AD16" s="1377" t="str">
        <f t="shared" si="17"/>
        <v>--</v>
      </c>
      <c r="AE16" s="1353" t="str">
        <f t="shared" si="18"/>
        <v>--</v>
      </c>
      <c r="AF16" s="1364" t="str">
        <f t="shared" si="19"/>
        <v>--</v>
      </c>
      <c r="AG16" s="216" t="str">
        <f t="shared" si="42"/>
        <v>--</v>
      </c>
      <c r="AH16" s="203" t="str">
        <f t="shared" si="43"/>
        <v>--</v>
      </c>
      <c r="AI16" s="203" t="str">
        <f t="shared" si="44"/>
        <v>--</v>
      </c>
      <c r="AJ16" s="203" t="str">
        <f t="shared" si="20"/>
        <v>--</v>
      </c>
      <c r="AK16" s="203" t="str">
        <f t="shared" si="45"/>
        <v>--</v>
      </c>
      <c r="AL16" s="203" t="str">
        <f t="shared" si="21"/>
        <v>--</v>
      </c>
      <c r="AM16" s="203" t="str">
        <f t="shared" si="22"/>
        <v>--</v>
      </c>
      <c r="AN16" s="203" t="str">
        <f t="shared" si="46"/>
        <v>--</v>
      </c>
      <c r="AO16" s="203" t="str">
        <f t="shared" si="23"/>
        <v>--</v>
      </c>
      <c r="AP16" s="203" t="str">
        <f t="shared" si="24"/>
        <v>--</v>
      </c>
      <c r="AQ16" s="203" t="str">
        <f t="shared" si="25"/>
        <v>--</v>
      </c>
      <c r="AR16" s="1262" t="str">
        <f t="shared" si="26"/>
        <v>--</v>
      </c>
      <c r="AS16" s="203" t="str">
        <f t="shared" si="47"/>
        <v>--</v>
      </c>
      <c r="AT16" s="193" t="str">
        <f t="shared" si="48"/>
        <v>--</v>
      </c>
      <c r="AU16" s="203" t="str">
        <f t="shared" si="27"/>
        <v>--</v>
      </c>
      <c r="AV16" s="203" t="str">
        <f t="shared" si="28"/>
        <v>--</v>
      </c>
      <c r="AW16" s="2047" t="str">
        <f t="shared" si="29"/>
        <v>--</v>
      </c>
      <c r="AX16" s="2054" t="str">
        <f t="shared" si="30"/>
        <v>--</v>
      </c>
      <c r="AZ16" s="22"/>
      <c r="BA16" s="350"/>
      <c r="BB16" s="27">
        <f t="shared" si="31"/>
        <v>32</v>
      </c>
      <c r="BC16" s="351" t="str">
        <f t="shared" si="32"/>
        <v>US EPA Ecotox FW Chronic</v>
      </c>
      <c r="BD16" s="27" t="str">
        <f t="shared" si="33"/>
        <v>--</v>
      </c>
      <c r="BE16" s="351" t="str">
        <f t="shared" si="34"/>
        <v>--</v>
      </c>
      <c r="BF16" s="350"/>
      <c r="BG16" s="350"/>
      <c r="BH16" s="350"/>
      <c r="BI16" s="350"/>
      <c r="BJ16" s="1304"/>
      <c r="BK16" s="1310"/>
      <c r="BL16" s="1311"/>
      <c r="BM16" s="1304"/>
      <c r="BN16" s="1304"/>
      <c r="BO16" s="350"/>
      <c r="BP16" s="35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row>
    <row r="17" spans="1:142" ht="12.95" customHeight="1">
      <c r="A17" s="897" t="s">
        <v>105</v>
      </c>
      <c r="B17" s="432" t="s">
        <v>106</v>
      </c>
      <c r="C17" s="205">
        <f t="shared" si="0"/>
        <v>1.6</v>
      </c>
      <c r="D17" s="207" t="str">
        <f t="shared" si="1"/>
        <v>Freshwater Goal</v>
      </c>
      <c r="E17" s="1637" t="str">
        <f t="shared" si="49"/>
        <v>--</v>
      </c>
      <c r="F17" s="187" t="str">
        <f t="shared" si="35"/>
        <v>--</v>
      </c>
      <c r="G17" s="1326" t="str">
        <f t="shared" si="2"/>
        <v>--</v>
      </c>
      <c r="H17" s="1327" t="str">
        <f t="shared" si="3"/>
        <v>--</v>
      </c>
      <c r="I17" s="1359" t="str">
        <f t="shared" si="36"/>
        <v>--</v>
      </c>
      <c r="J17" s="1379">
        <f t="shared" si="4"/>
        <v>1.6</v>
      </c>
      <c r="K17" s="1361" t="str">
        <f t="shared" si="5"/>
        <v>Freshwater Exposure</v>
      </c>
      <c r="L17" s="209">
        <f t="shared" si="37"/>
        <v>1.6</v>
      </c>
      <c r="M17" s="1371" t="str">
        <f t="shared" si="6"/>
        <v>USDOE FW Chronic PRG</v>
      </c>
      <c r="N17" s="216">
        <f t="shared" si="50"/>
        <v>1.6</v>
      </c>
      <c r="O17" s="203" t="str">
        <f t="shared" si="38"/>
        <v>--</v>
      </c>
      <c r="P17" s="203">
        <f t="shared" si="51"/>
        <v>1.6</v>
      </c>
      <c r="Q17" s="203" t="str">
        <f t="shared" si="7"/>
        <v>--</v>
      </c>
      <c r="R17" s="203" t="str">
        <f t="shared" si="8"/>
        <v>--</v>
      </c>
      <c r="S17" s="203" t="str">
        <f t="shared" si="39"/>
        <v>--</v>
      </c>
      <c r="T17" s="203" t="str">
        <f t="shared" si="9"/>
        <v>--</v>
      </c>
      <c r="U17" s="203" t="str">
        <f t="shared" si="10"/>
        <v>--</v>
      </c>
      <c r="V17" s="203">
        <f t="shared" si="11"/>
        <v>1.6</v>
      </c>
      <c r="W17" s="193" t="str">
        <f t="shared" si="12"/>
        <v>USDOE FW Chronic PRG</v>
      </c>
      <c r="X17" s="203">
        <f t="shared" si="40"/>
        <v>0.16</v>
      </c>
      <c r="Y17" s="193" t="str">
        <f t="shared" si="41"/>
        <v>10% US EPA FW CMC</v>
      </c>
      <c r="Z17" s="203" t="str">
        <f t="shared" si="13"/>
        <v>--</v>
      </c>
      <c r="AA17" s="203">
        <f t="shared" si="14"/>
        <v>1.6</v>
      </c>
      <c r="AB17" s="1368" t="str">
        <f t="shared" si="15"/>
        <v>--</v>
      </c>
      <c r="AC17" s="1356" t="str">
        <f t="shared" si="16"/>
        <v>--</v>
      </c>
      <c r="AD17" s="1377" t="str">
        <f t="shared" si="17"/>
        <v>--</v>
      </c>
      <c r="AE17" s="1353" t="str">
        <f t="shared" si="18"/>
        <v>--</v>
      </c>
      <c r="AF17" s="1364" t="str">
        <f t="shared" si="19"/>
        <v>--</v>
      </c>
      <c r="AG17" s="216" t="str">
        <f t="shared" si="42"/>
        <v>--</v>
      </c>
      <c r="AH17" s="203" t="str">
        <f t="shared" si="43"/>
        <v>--</v>
      </c>
      <c r="AI17" s="203" t="str">
        <f t="shared" si="44"/>
        <v>--</v>
      </c>
      <c r="AJ17" s="203" t="str">
        <f t="shared" si="20"/>
        <v>--</v>
      </c>
      <c r="AK17" s="203" t="str">
        <f t="shared" si="45"/>
        <v>--</v>
      </c>
      <c r="AL17" s="203" t="str">
        <f t="shared" si="21"/>
        <v>--</v>
      </c>
      <c r="AM17" s="203" t="str">
        <f t="shared" si="22"/>
        <v>--</v>
      </c>
      <c r="AN17" s="203" t="str">
        <f t="shared" si="46"/>
        <v>--</v>
      </c>
      <c r="AO17" s="203" t="str">
        <f t="shared" si="23"/>
        <v>--</v>
      </c>
      <c r="AP17" s="203" t="str">
        <f t="shared" si="24"/>
        <v>--</v>
      </c>
      <c r="AQ17" s="203" t="str">
        <f t="shared" si="25"/>
        <v>--</v>
      </c>
      <c r="AR17" s="1262" t="str">
        <f t="shared" si="26"/>
        <v>--</v>
      </c>
      <c r="AS17" s="203" t="str">
        <f t="shared" si="47"/>
        <v>--</v>
      </c>
      <c r="AT17" s="193" t="str">
        <f t="shared" si="48"/>
        <v>--</v>
      </c>
      <c r="AU17" s="203" t="str">
        <f t="shared" si="27"/>
        <v>--</v>
      </c>
      <c r="AV17" s="203" t="str">
        <f t="shared" si="28"/>
        <v>--</v>
      </c>
      <c r="AW17" s="2047" t="str">
        <f t="shared" si="29"/>
        <v>--</v>
      </c>
      <c r="AX17" s="2054" t="str">
        <f t="shared" si="30"/>
        <v>--</v>
      </c>
      <c r="AZ17" s="22"/>
      <c r="BA17" s="350"/>
      <c r="BB17" s="27">
        <f t="shared" si="31"/>
        <v>1.6</v>
      </c>
      <c r="BC17" s="351" t="str">
        <f t="shared" si="32"/>
        <v>USDOE FW Chronic PRG</v>
      </c>
      <c r="BD17" s="27" t="str">
        <f t="shared" si="33"/>
        <v>--</v>
      </c>
      <c r="BE17" s="351" t="str">
        <f t="shared" si="34"/>
        <v>--</v>
      </c>
      <c r="BF17" s="350"/>
      <c r="BG17" s="350"/>
      <c r="BH17" s="350"/>
      <c r="BI17" s="350"/>
      <c r="BJ17" s="1304"/>
      <c r="BK17" s="1311"/>
      <c r="BL17" s="1311"/>
      <c r="BM17" s="1304"/>
      <c r="BN17" s="1304"/>
      <c r="BO17" s="350"/>
      <c r="BP17" s="35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row>
    <row r="18" spans="1:142" ht="12.95" customHeight="1">
      <c r="A18" s="897" t="s">
        <v>107</v>
      </c>
      <c r="B18" s="432" t="s">
        <v>108</v>
      </c>
      <c r="C18" s="205">
        <f t="shared" si="0"/>
        <v>27</v>
      </c>
      <c r="D18" s="207" t="str">
        <f t="shared" si="1"/>
        <v>Seafood Ingestion</v>
      </c>
      <c r="E18" s="1637">
        <f t="shared" si="49"/>
        <v>27</v>
      </c>
      <c r="F18" s="187" t="str">
        <f t="shared" si="35"/>
        <v>National Criteria</v>
      </c>
      <c r="G18" s="1326" t="str">
        <f t="shared" si="2"/>
        <v>--</v>
      </c>
      <c r="H18" s="1327" t="str">
        <f t="shared" si="3"/>
        <v>--</v>
      </c>
      <c r="I18" s="1359">
        <f t="shared" si="36"/>
        <v>27</v>
      </c>
      <c r="J18" s="1379">
        <f t="shared" si="4"/>
        <v>1100</v>
      </c>
      <c r="K18" s="1361" t="str">
        <f t="shared" si="5"/>
        <v>Freshwater Exposure</v>
      </c>
      <c r="L18" s="209">
        <f t="shared" si="37"/>
        <v>1100</v>
      </c>
      <c r="M18" s="1371" t="str">
        <f t="shared" si="6"/>
        <v>10% US EPA FW Acute LOEL</v>
      </c>
      <c r="N18" s="216" t="str">
        <f t="shared" si="50"/>
        <v>--</v>
      </c>
      <c r="O18" s="203" t="str">
        <f t="shared" si="38"/>
        <v>--</v>
      </c>
      <c r="P18" s="203" t="str">
        <f t="shared" si="51"/>
        <v>--</v>
      </c>
      <c r="Q18" s="203" t="str">
        <f t="shared" si="7"/>
        <v>--</v>
      </c>
      <c r="R18" s="203" t="str">
        <f t="shared" si="8"/>
        <v>--</v>
      </c>
      <c r="S18" s="203" t="str">
        <f t="shared" si="39"/>
        <v>--</v>
      </c>
      <c r="T18" s="203" t="str">
        <f t="shared" si="9"/>
        <v>--</v>
      </c>
      <c r="U18" s="203" t="str">
        <f t="shared" si="10"/>
        <v>--</v>
      </c>
      <c r="V18" s="203" t="str">
        <f t="shared" si="11"/>
        <v>--</v>
      </c>
      <c r="W18" s="193" t="str">
        <f t="shared" si="12"/>
        <v>--</v>
      </c>
      <c r="X18" s="203">
        <f t="shared" si="40"/>
        <v>1100</v>
      </c>
      <c r="Y18" s="193" t="str">
        <f t="shared" si="41"/>
        <v>10% US EPA FW Acute LOEL</v>
      </c>
      <c r="Z18" s="203" t="str">
        <f t="shared" si="13"/>
        <v>--</v>
      </c>
      <c r="AA18" s="203" t="str">
        <f t="shared" si="14"/>
        <v>--</v>
      </c>
      <c r="AB18" s="1368">
        <f t="shared" si="15"/>
        <v>11000</v>
      </c>
      <c r="AC18" s="1356">
        <f t="shared" si="16"/>
        <v>3200</v>
      </c>
      <c r="AD18" s="1377" t="str">
        <f t="shared" si="17"/>
        <v>Saltwater Exposure</v>
      </c>
      <c r="AE18" s="1353">
        <f t="shared" si="18"/>
        <v>3200</v>
      </c>
      <c r="AF18" s="1364" t="str">
        <f t="shared" si="19"/>
        <v>50% US EPA SW Chronic LOEL</v>
      </c>
      <c r="AG18" s="216">
        <f t="shared" si="42"/>
        <v>3200</v>
      </c>
      <c r="AH18" s="203" t="str">
        <f t="shared" si="43"/>
        <v>--</v>
      </c>
      <c r="AI18" s="203" t="str">
        <f t="shared" si="44"/>
        <v>--</v>
      </c>
      <c r="AJ18" s="203" t="str">
        <f t="shared" si="20"/>
        <v>--</v>
      </c>
      <c r="AK18" s="203">
        <f t="shared" si="45"/>
        <v>3200</v>
      </c>
      <c r="AL18" s="203" t="str">
        <f t="shared" si="21"/>
        <v>--</v>
      </c>
      <c r="AM18" s="203" t="str">
        <f t="shared" si="22"/>
        <v>--</v>
      </c>
      <c r="AN18" s="203">
        <f t="shared" si="46"/>
        <v>3200</v>
      </c>
      <c r="AO18" s="203" t="str">
        <f t="shared" si="23"/>
        <v>--</v>
      </c>
      <c r="AP18" s="203">
        <f t="shared" si="24"/>
        <v>6400</v>
      </c>
      <c r="AQ18" s="203" t="str">
        <f t="shared" si="25"/>
        <v>--</v>
      </c>
      <c r="AR18" s="1262" t="str">
        <f t="shared" si="26"/>
        <v>--</v>
      </c>
      <c r="AS18" s="203">
        <f t="shared" si="47"/>
        <v>1200</v>
      </c>
      <c r="AT18" s="193" t="str">
        <f t="shared" si="48"/>
        <v>10% US EPA SW Acute LOEL</v>
      </c>
      <c r="AU18" s="203" t="str">
        <f t="shared" si="27"/>
        <v>--</v>
      </c>
      <c r="AV18" s="203" t="str">
        <f t="shared" si="28"/>
        <v>--</v>
      </c>
      <c r="AW18" s="2047">
        <f t="shared" si="29"/>
        <v>12000</v>
      </c>
      <c r="AX18" s="2054" t="str">
        <f t="shared" si="30"/>
        <v>--</v>
      </c>
      <c r="AZ18" s="22"/>
      <c r="BA18" s="350"/>
      <c r="BB18" s="27" t="str">
        <f t="shared" si="31"/>
        <v>--</v>
      </c>
      <c r="BC18" s="351" t="str">
        <f t="shared" si="32"/>
        <v>--</v>
      </c>
      <c r="BD18" s="27">
        <f t="shared" si="33"/>
        <v>3200</v>
      </c>
      <c r="BE18" s="351" t="str">
        <f t="shared" si="34"/>
        <v>50% US EPA SW Chronic LOEL</v>
      </c>
      <c r="BF18" s="350"/>
      <c r="BG18" s="350"/>
      <c r="BH18" s="350"/>
      <c r="BI18" s="350"/>
      <c r="BJ18" s="1304"/>
      <c r="BK18" s="1311"/>
      <c r="BL18" s="1304"/>
      <c r="BM18" s="1304"/>
      <c r="BN18" s="1304"/>
      <c r="BO18" s="350"/>
      <c r="BP18" s="35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row>
    <row r="19" spans="1:142" ht="12.95" customHeight="1">
      <c r="A19" s="897" t="s">
        <v>109</v>
      </c>
      <c r="B19" s="432" t="s">
        <v>110</v>
      </c>
      <c r="C19" s="205">
        <f t="shared" si="0"/>
        <v>120</v>
      </c>
      <c r="D19" s="207" t="str">
        <f t="shared" si="1"/>
        <v>Seafood Ingestion</v>
      </c>
      <c r="E19" s="1637">
        <f t="shared" si="49"/>
        <v>120</v>
      </c>
      <c r="F19" s="187" t="str">
        <f t="shared" si="35"/>
        <v>National Criteria</v>
      </c>
      <c r="G19" s="1326">
        <f t="shared" si="2"/>
        <v>360</v>
      </c>
      <c r="H19" s="1327" t="str">
        <f t="shared" si="3"/>
        <v>--</v>
      </c>
      <c r="I19" s="1359">
        <f t="shared" si="36"/>
        <v>120</v>
      </c>
      <c r="J19" s="1379">
        <f t="shared" si="4"/>
        <v>1100</v>
      </c>
      <c r="K19" s="1361" t="str">
        <f t="shared" si="5"/>
        <v>Freshwater Exposure</v>
      </c>
      <c r="L19" s="209">
        <f t="shared" si="37"/>
        <v>1100</v>
      </c>
      <c r="M19" s="1371" t="str">
        <f t="shared" si="6"/>
        <v>10% US EPA FW Acute LOEL</v>
      </c>
      <c r="N19" s="216" t="str">
        <f t="shared" si="50"/>
        <v>--</v>
      </c>
      <c r="O19" s="203" t="str">
        <f t="shared" si="38"/>
        <v>--</v>
      </c>
      <c r="P19" s="203" t="str">
        <f t="shared" si="51"/>
        <v>--</v>
      </c>
      <c r="Q19" s="203" t="str">
        <f t="shared" si="7"/>
        <v>--</v>
      </c>
      <c r="R19" s="203" t="str">
        <f t="shared" si="8"/>
        <v>--</v>
      </c>
      <c r="S19" s="203" t="str">
        <f t="shared" si="39"/>
        <v>--</v>
      </c>
      <c r="T19" s="203" t="str">
        <f t="shared" si="9"/>
        <v>--</v>
      </c>
      <c r="U19" s="203" t="str">
        <f t="shared" si="10"/>
        <v>--</v>
      </c>
      <c r="V19" s="203" t="str">
        <f t="shared" si="11"/>
        <v>--</v>
      </c>
      <c r="W19" s="193" t="str">
        <f t="shared" si="12"/>
        <v>--</v>
      </c>
      <c r="X19" s="203">
        <f t="shared" si="40"/>
        <v>1100</v>
      </c>
      <c r="Y19" s="193" t="str">
        <f t="shared" si="41"/>
        <v>10% US EPA FW Acute LOEL</v>
      </c>
      <c r="Z19" s="203" t="str">
        <f t="shared" si="13"/>
        <v>--</v>
      </c>
      <c r="AA19" s="203" t="str">
        <f t="shared" si="14"/>
        <v>--</v>
      </c>
      <c r="AB19" s="1368">
        <f t="shared" si="15"/>
        <v>11000</v>
      </c>
      <c r="AC19" s="1356">
        <f t="shared" si="16"/>
        <v>3200</v>
      </c>
      <c r="AD19" s="1377" t="str">
        <f t="shared" si="17"/>
        <v>Saltwater Exposure</v>
      </c>
      <c r="AE19" s="1353">
        <f t="shared" si="18"/>
        <v>3200</v>
      </c>
      <c r="AF19" s="1364" t="str">
        <f t="shared" si="19"/>
        <v>50% US EPA SW Chronic LOEL</v>
      </c>
      <c r="AG19" s="216">
        <f t="shared" si="42"/>
        <v>3200</v>
      </c>
      <c r="AH19" s="203" t="str">
        <f t="shared" si="43"/>
        <v>--</v>
      </c>
      <c r="AI19" s="203" t="str">
        <f t="shared" si="44"/>
        <v>--</v>
      </c>
      <c r="AJ19" s="203" t="str">
        <f t="shared" si="20"/>
        <v>--</v>
      </c>
      <c r="AK19" s="203">
        <f t="shared" si="45"/>
        <v>3200</v>
      </c>
      <c r="AL19" s="203" t="str">
        <f t="shared" si="21"/>
        <v>--</v>
      </c>
      <c r="AM19" s="203" t="str">
        <f t="shared" si="22"/>
        <v>--</v>
      </c>
      <c r="AN19" s="203">
        <f t="shared" si="46"/>
        <v>3200</v>
      </c>
      <c r="AO19" s="203" t="str">
        <f t="shared" si="23"/>
        <v>--</v>
      </c>
      <c r="AP19" s="203">
        <f t="shared" si="24"/>
        <v>6400</v>
      </c>
      <c r="AQ19" s="203" t="str">
        <f t="shared" si="25"/>
        <v>--</v>
      </c>
      <c r="AR19" s="1262" t="str">
        <f t="shared" si="26"/>
        <v>--</v>
      </c>
      <c r="AS19" s="203">
        <f t="shared" si="47"/>
        <v>1200</v>
      </c>
      <c r="AT19" s="193" t="str">
        <f t="shared" si="48"/>
        <v>10% US EPA SW Acute LOEL</v>
      </c>
      <c r="AU19" s="203" t="str">
        <f t="shared" si="27"/>
        <v>--</v>
      </c>
      <c r="AV19" s="203" t="str">
        <f t="shared" si="28"/>
        <v>--</v>
      </c>
      <c r="AW19" s="2047">
        <f t="shared" si="29"/>
        <v>12000</v>
      </c>
      <c r="AX19" s="2054" t="str">
        <f t="shared" si="30"/>
        <v>--</v>
      </c>
      <c r="AZ19" s="22"/>
      <c r="BA19" s="350"/>
      <c r="BB19" s="27" t="str">
        <f>IF(Q19&lt;&gt;"--",Q19,IF(R19&lt;&gt;"--",R19,IF(S19&lt;&gt;"--",S19,IF(V19&lt;&gt;"--",V19, "--"))))</f>
        <v>--</v>
      </c>
      <c r="BC19" s="351" t="str">
        <f t="shared" si="32"/>
        <v>--</v>
      </c>
      <c r="BD19" s="27">
        <f t="shared" si="33"/>
        <v>3200</v>
      </c>
      <c r="BE19" s="351" t="str">
        <f t="shared" si="34"/>
        <v>50% US EPA SW Chronic LOEL</v>
      </c>
      <c r="BF19" s="350"/>
      <c r="BG19" s="350"/>
      <c r="BH19" s="350"/>
      <c r="BI19" s="350"/>
      <c r="BJ19" s="1304"/>
      <c r="BK19" s="1312"/>
      <c r="BL19" s="1311"/>
      <c r="BM19" s="1304"/>
      <c r="BN19" s="1304"/>
      <c r="BO19" s="350"/>
      <c r="BP19" s="35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row>
    <row r="20" spans="1:142" ht="12.95" customHeight="1">
      <c r="A20" s="153" t="s">
        <v>111</v>
      </c>
      <c r="B20" s="185" t="s">
        <v>112</v>
      </c>
      <c r="C20" s="205">
        <f t="shared" si="0"/>
        <v>160</v>
      </c>
      <c r="D20" s="207" t="str">
        <f t="shared" si="1"/>
        <v>Freshwater Goal</v>
      </c>
      <c r="E20" s="1637">
        <f t="shared" ref="E20" si="52">IF(AND(G20="--",H20="--",I20="--"), "--", MIN(G20,H20,I20))</f>
        <v>4000</v>
      </c>
      <c r="F20" s="187" t="str">
        <f t="shared" ref="F20" si="53">IF(E20="--","--",IF(E20=G20, "Cal Tox Rule", IF(E20=H20,"Cal Ocean Plan", "National Criteria")))</f>
        <v>Cal Tox Rule</v>
      </c>
      <c r="G20" s="1326">
        <f t="shared" si="2"/>
        <v>4000</v>
      </c>
      <c r="H20" s="1327" t="str">
        <f t="shared" si="3"/>
        <v>--</v>
      </c>
      <c r="I20" s="1359">
        <f t="shared" si="36"/>
        <v>10000</v>
      </c>
      <c r="J20" s="1379">
        <f t="shared" si="4"/>
        <v>160</v>
      </c>
      <c r="K20" s="1361" t="str">
        <f t="shared" si="5"/>
        <v>Freshwater Exposure</v>
      </c>
      <c r="L20" s="209">
        <f t="shared" ref="L20" si="54">IF(N20="--",X20, N20)</f>
        <v>160</v>
      </c>
      <c r="M20" s="1371" t="str">
        <f t="shared" ref="M20" si="55">IF(L20="--", "--", IF(L20=BB20,BC20,(IF(L20=X20,Y20,(IF(L20=O20,"Basin Plan",""))))))</f>
        <v>50% MOEE FW Chronic LOEL</v>
      </c>
      <c r="N20" s="216">
        <f t="shared" ref="N20" si="56">IF(AND(O20="--",P20="--"),"--", IF(O20="--",P20, IF(P20="--", O20, MIN(P20,O20))))</f>
        <v>160</v>
      </c>
      <c r="O20" s="203" t="str">
        <f t="shared" si="38"/>
        <v>--</v>
      </c>
      <c r="P20" s="203">
        <f t="shared" ref="P20" si="57">IF(Q20&lt;&gt;"--",Q20,IF(R20&lt;&gt;"--",R20,IF(S20&lt;&gt;"--",S20, V20)))</f>
        <v>160</v>
      </c>
      <c r="Q20" s="203" t="str">
        <f t="shared" si="7"/>
        <v>--</v>
      </c>
      <c r="R20" s="203" t="str">
        <f t="shared" si="8"/>
        <v>--</v>
      </c>
      <c r="S20" s="203" t="str">
        <f t="shared" ref="S20" si="58">IF(AND(T20="--",U20="--"), "--", IF(T20="--",U20/2, IF(U20="--",T20, MIN(T20,U20/2))))</f>
        <v>--</v>
      </c>
      <c r="T20" s="203" t="str">
        <f t="shared" si="9"/>
        <v>--</v>
      </c>
      <c r="U20" s="203" t="str">
        <f t="shared" si="10"/>
        <v>--</v>
      </c>
      <c r="V20" s="203">
        <f t="shared" si="11"/>
        <v>160</v>
      </c>
      <c r="W20" s="193" t="str">
        <f t="shared" si="12"/>
        <v>50% MOEE FW Chronic LOEL</v>
      </c>
      <c r="X20" s="203">
        <f t="shared" ref="X20" si="59">IF(AND(Z20="--",AA20="--",AB20="--"), "--", (IF(Z20&lt;&gt;"--",Z20/10,(IF(AA20&lt;&gt;"--",AA20/10,AB20/10)))))</f>
        <v>16</v>
      </c>
      <c r="Y20" s="193" t="str">
        <f t="shared" ref="Y20" si="60">IF(X20="--","--",IF(AND(Z20="--",AA20="--"),"10% US EPA FW Acute LOEL",IF(AA20="--","10% CTR FW CMC","10% US EPA FW CMC")))</f>
        <v>10% US EPA FW CMC</v>
      </c>
      <c r="Z20" s="203" t="str">
        <f t="shared" si="13"/>
        <v>--</v>
      </c>
      <c r="AA20" s="203">
        <f t="shared" si="14"/>
        <v>160</v>
      </c>
      <c r="AB20" s="1368">
        <f t="shared" si="15"/>
        <v>11000</v>
      </c>
      <c r="AC20" s="1356">
        <f t="shared" si="16"/>
        <v>3200</v>
      </c>
      <c r="AD20" s="1377" t="str">
        <f t="shared" si="17"/>
        <v>Saltwater Exposure</v>
      </c>
      <c r="AE20" s="1353">
        <f t="shared" ref="AE20" si="61">IF(AG20="--",AS20, AG20)</f>
        <v>3200</v>
      </c>
      <c r="AF20" s="1364" t="str">
        <f t="shared" ref="AF20" si="62">IF(AE20=BD20,BE20,(IF(AE20=AS20,AT20,(IF(AE20=AH20,"Basin Plan","")))))</f>
        <v>50% US EPA SW Chronic LOEL</v>
      </c>
      <c r="AG20" s="216">
        <f t="shared" ref="AG20" si="63">IF(AND(AH20="--",AK20="--"),"--", IF(AH20="--",AK20, IF(AK20="--", AH20, MIN(AK20,AH20))))</f>
        <v>3200</v>
      </c>
      <c r="AH20" s="203" t="str">
        <f t="shared" ref="AH20" si="64">IF(AND(AI20="--",AJ20="--"),"--", IF(AI20="--",AJ20, IF(AJ20="--", AI20, MIN(AI20,AJ20))))</f>
        <v>--</v>
      </c>
      <c r="AI20" s="203" t="str">
        <f t="shared" si="44"/>
        <v>--</v>
      </c>
      <c r="AJ20" s="203" t="str">
        <f t="shared" si="20"/>
        <v>--</v>
      </c>
      <c r="AK20" s="203">
        <f t="shared" ref="AK20" si="65">IF(AL20&lt;&gt;"--",AL20,IF(AM20&lt;&gt;"--",AM20,IF(AN20&lt;&gt;"--",AN20,IF(AQ20&lt;&gt;"--",AQ20,"--"))))</f>
        <v>3200</v>
      </c>
      <c r="AL20" s="203" t="str">
        <f t="shared" si="21"/>
        <v>--</v>
      </c>
      <c r="AM20" s="203" t="str">
        <f t="shared" si="22"/>
        <v>--</v>
      </c>
      <c r="AN20" s="203">
        <f t="shared" ref="AN20" si="66">IF(AND(AO20="--",AP20="--"), "--", IF(AO20="--",AP20/2, IF(AP20="--",AO20, MIN(AO20,AP20/2))))</f>
        <v>3200</v>
      </c>
      <c r="AO20" s="203" t="str">
        <f t="shared" si="23"/>
        <v>--</v>
      </c>
      <c r="AP20" s="203">
        <f t="shared" si="24"/>
        <v>6400</v>
      </c>
      <c r="AQ20" s="203" t="str">
        <f t="shared" si="25"/>
        <v>--</v>
      </c>
      <c r="AR20" s="1262" t="str">
        <f t="shared" si="26"/>
        <v>--</v>
      </c>
      <c r="AS20" s="203">
        <f t="shared" ref="AS20" si="67">IF(AND(AU20="--",AV20="--",AW20="--"), "--", (IF(AU20&lt;&gt;"--",AU20/10,(IF(AV20&lt;&gt;"--",AV20/10,AW20/10)))))</f>
        <v>1200</v>
      </c>
      <c r="AT20" s="193" t="str">
        <f t="shared" ref="AT20" si="68">IF(AS20="--","--",IF(AND(AU20="--",AV20="--"),"10% US EPA SW Acute LOEL",IF(AV20="--","10% CTR SW CMC","10% US EPA SW CMC")))</f>
        <v>10% US EPA SW Acute LOEL</v>
      </c>
      <c r="AU20" s="203" t="str">
        <f t="shared" si="27"/>
        <v>--</v>
      </c>
      <c r="AV20" s="203" t="str">
        <f t="shared" si="28"/>
        <v>--</v>
      </c>
      <c r="AW20" s="2047">
        <f t="shared" si="29"/>
        <v>12000</v>
      </c>
      <c r="AX20" s="2054" t="str">
        <f t="shared" si="30"/>
        <v>--</v>
      </c>
      <c r="AZ20" s="22"/>
      <c r="BA20" s="350"/>
      <c r="BB20" s="27">
        <f>IF(Q20&lt;&gt;"--",Q20,IF(R20&lt;&gt;"--",R20,IF(S20&lt;&gt;"--",S20,IF(V20&lt;&gt;"--",V20, "--"))))</f>
        <v>160</v>
      </c>
      <c r="BC20" s="351" t="str">
        <f t="shared" ref="BC20" si="69">IF(BB20="--","--",(IF(BB20=Q20,"CTR FW CCC",(IF(BB20=R20,"US EPA FW CCC",(IF(BB20=T20,"US EPA Ecotox FW Chronic",(IF(BB20=V20,W20,"50% US EPA FW Chronic LOEL")))))))))</f>
        <v>50% MOEE FW Chronic LOEL</v>
      </c>
      <c r="BD20" s="27">
        <f t="shared" ref="BD20" si="70">IF(AL20&lt;&gt;"--",AL20,IF(AM20&lt;&gt;"--",AM20,IF(AN20&lt;&gt;"--",AN20,IF(AQ20&lt;&gt;"--",AQ20,"--"))))</f>
        <v>3200</v>
      </c>
      <c r="BE20" s="351" t="str">
        <f t="shared" ref="BE20" si="71">IF(BD20="--","--",(IF(BD20=AL20,"CTR SW CCC",(IF(BD20=AM20,"US EPA SW CCC",(IF(BD20=AO20,"US EPA Ecotox SW Chronic",(IF(BD20=AQ20,AR20,"50% US EPA SW Chronic LOEL")))))))))</f>
        <v>50% US EPA SW Chronic LOEL</v>
      </c>
      <c r="BF20" s="350"/>
      <c r="BG20" s="350"/>
      <c r="BH20" s="350"/>
      <c r="BI20" s="350"/>
      <c r="BJ20" s="1304"/>
      <c r="BK20" s="1312"/>
      <c r="BL20" s="1311"/>
      <c r="BM20" s="1304"/>
      <c r="BN20" s="1304"/>
      <c r="BO20" s="350"/>
      <c r="BP20" s="35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row>
    <row r="21" spans="1:142" ht="12.95" customHeight="1">
      <c r="A21" s="897" t="s">
        <v>116</v>
      </c>
      <c r="B21" s="432" t="s">
        <v>114</v>
      </c>
      <c r="C21" s="205">
        <f t="shared" si="0"/>
        <v>0.25</v>
      </c>
      <c r="D21" s="207" t="str">
        <f t="shared" si="1"/>
        <v>Freshwater Goal</v>
      </c>
      <c r="E21" s="1637" t="str">
        <f t="shared" si="49"/>
        <v>--</v>
      </c>
      <c r="F21" s="187" t="str">
        <f t="shared" si="35"/>
        <v>--</v>
      </c>
      <c r="G21" s="1326" t="str">
        <f t="shared" si="2"/>
        <v>--</v>
      </c>
      <c r="H21" s="1327" t="str">
        <f t="shared" si="3"/>
        <v>--</v>
      </c>
      <c r="I21" s="1359" t="str">
        <f t="shared" si="36"/>
        <v>--</v>
      </c>
      <c r="J21" s="1379">
        <f t="shared" si="4"/>
        <v>0.25</v>
      </c>
      <c r="K21" s="1361" t="str">
        <f t="shared" si="5"/>
        <v>Freshwater Exposure</v>
      </c>
      <c r="L21" s="209">
        <f t="shared" si="37"/>
        <v>0.25</v>
      </c>
      <c r="M21" s="1371" t="str">
        <f t="shared" si="6"/>
        <v>US EPA FW CCC</v>
      </c>
      <c r="N21" s="216">
        <f t="shared" si="50"/>
        <v>0.25</v>
      </c>
      <c r="O21" s="203">
        <f t="shared" si="38"/>
        <v>1.1000000000000001</v>
      </c>
      <c r="P21" s="203">
        <f t="shared" si="51"/>
        <v>0.25</v>
      </c>
      <c r="Q21" s="203" t="str">
        <f t="shared" si="7"/>
        <v>--</v>
      </c>
      <c r="R21" s="203">
        <f t="shared" si="8"/>
        <v>0.25</v>
      </c>
      <c r="S21" s="203">
        <f t="shared" si="39"/>
        <v>1</v>
      </c>
      <c r="T21" s="203">
        <f t="shared" si="9"/>
        <v>1</v>
      </c>
      <c r="U21" s="203" t="str">
        <f t="shared" si="10"/>
        <v>--</v>
      </c>
      <c r="V21" s="203" t="str">
        <f t="shared" si="11"/>
        <v>--</v>
      </c>
      <c r="W21" s="193" t="str">
        <f t="shared" si="12"/>
        <v>--</v>
      </c>
      <c r="X21" s="203">
        <f t="shared" si="40"/>
        <v>0.39</v>
      </c>
      <c r="Y21" s="193" t="str">
        <f t="shared" si="41"/>
        <v>10% CTR FW CMC</v>
      </c>
      <c r="Z21" s="203">
        <f t="shared" si="13"/>
        <v>3.9</v>
      </c>
      <c r="AA21" s="203" t="str">
        <f t="shared" si="14"/>
        <v>--</v>
      </c>
      <c r="AB21" s="1368" t="str">
        <f t="shared" si="15"/>
        <v>--</v>
      </c>
      <c r="AC21" s="1356">
        <f t="shared" si="16"/>
        <v>1</v>
      </c>
      <c r="AD21" s="1377" t="str">
        <f t="shared" si="17"/>
        <v>Saltwater Exposure</v>
      </c>
      <c r="AE21" s="1353">
        <f t="shared" si="18"/>
        <v>1</v>
      </c>
      <c r="AF21" s="1364" t="str">
        <f t="shared" si="19"/>
        <v>Basin Plan</v>
      </c>
      <c r="AG21" s="216">
        <f t="shared" si="42"/>
        <v>1</v>
      </c>
      <c r="AH21" s="203">
        <f t="shared" si="43"/>
        <v>1</v>
      </c>
      <c r="AI21" s="203">
        <f t="shared" si="44"/>
        <v>9.3000000000000007</v>
      </c>
      <c r="AJ21" s="203">
        <f t="shared" si="20"/>
        <v>1</v>
      </c>
      <c r="AK21" s="203">
        <f t="shared" si="45"/>
        <v>9.3000000000000007</v>
      </c>
      <c r="AL21" s="203">
        <f t="shared" si="21"/>
        <v>9.3000000000000007</v>
      </c>
      <c r="AM21" s="203">
        <f t="shared" si="22"/>
        <v>7.9</v>
      </c>
      <c r="AN21" s="203">
        <f t="shared" si="46"/>
        <v>9.3000000000000007</v>
      </c>
      <c r="AO21" s="203">
        <f t="shared" si="23"/>
        <v>9.3000000000000007</v>
      </c>
      <c r="AP21" s="203" t="str">
        <f t="shared" si="24"/>
        <v>--</v>
      </c>
      <c r="AQ21" s="203" t="str">
        <f t="shared" si="25"/>
        <v>--</v>
      </c>
      <c r="AR21" s="1262" t="str">
        <f t="shared" si="26"/>
        <v>--</v>
      </c>
      <c r="AS21" s="203">
        <f t="shared" si="47"/>
        <v>4.2</v>
      </c>
      <c r="AT21" s="193" t="str">
        <f t="shared" si="48"/>
        <v>10% US EPA SW CMC</v>
      </c>
      <c r="AU21" s="203">
        <f t="shared" si="27"/>
        <v>42</v>
      </c>
      <c r="AV21" s="203">
        <f t="shared" si="28"/>
        <v>33</v>
      </c>
      <c r="AW21" s="2047" t="str">
        <f t="shared" si="29"/>
        <v>--</v>
      </c>
      <c r="AX21" s="2054" t="str">
        <f t="shared" si="30"/>
        <v>--</v>
      </c>
      <c r="AZ21" s="22"/>
      <c r="BA21" s="350"/>
      <c r="BB21" s="27">
        <f t="shared" si="31"/>
        <v>0.25</v>
      </c>
      <c r="BC21" s="351" t="str">
        <f t="shared" si="32"/>
        <v>US EPA FW CCC</v>
      </c>
      <c r="BD21" s="27">
        <f t="shared" si="33"/>
        <v>9.3000000000000007</v>
      </c>
      <c r="BE21" s="351" t="str">
        <f t="shared" si="34"/>
        <v>CTR SW CCC</v>
      </c>
      <c r="BF21" s="350"/>
      <c r="BG21" s="350"/>
      <c r="BH21" s="350"/>
      <c r="BI21" s="350"/>
      <c r="BJ21" s="1304"/>
      <c r="BK21" s="1311"/>
      <c r="BL21" s="1304"/>
      <c r="BM21" s="1304"/>
      <c r="BN21" s="1304"/>
      <c r="BO21" s="350"/>
      <c r="BP21" s="35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row>
    <row r="22" spans="1:142" ht="12.95" customHeight="1">
      <c r="A22" s="897" t="s">
        <v>117</v>
      </c>
      <c r="B22" s="432" t="s">
        <v>118</v>
      </c>
      <c r="C22" s="205">
        <f t="shared" si="0"/>
        <v>0.9</v>
      </c>
      <c r="D22" s="207" t="str">
        <f t="shared" si="1"/>
        <v>Seafood Ingestion</v>
      </c>
      <c r="E22" s="1637">
        <f t="shared" si="49"/>
        <v>0.9</v>
      </c>
      <c r="F22" s="187" t="str">
        <f t="shared" si="35"/>
        <v>Cal Ocean Plan</v>
      </c>
      <c r="G22" s="1326">
        <f t="shared" si="2"/>
        <v>4.4000000000000004</v>
      </c>
      <c r="H22" s="1327">
        <f t="shared" si="3"/>
        <v>0.9</v>
      </c>
      <c r="I22" s="1359">
        <f t="shared" si="36"/>
        <v>5</v>
      </c>
      <c r="J22" s="1379">
        <f t="shared" si="4"/>
        <v>240</v>
      </c>
      <c r="K22" s="1361" t="str">
        <f t="shared" si="5"/>
        <v>Freshwater Exposure</v>
      </c>
      <c r="L22" s="209">
        <f t="shared" si="37"/>
        <v>240</v>
      </c>
      <c r="M22" s="1371" t="str">
        <f t="shared" si="6"/>
        <v>US EPA Ecotox FW Chronic</v>
      </c>
      <c r="N22" s="216">
        <f t="shared" si="50"/>
        <v>240</v>
      </c>
      <c r="O22" s="203" t="str">
        <f t="shared" si="38"/>
        <v>--</v>
      </c>
      <c r="P22" s="203">
        <f t="shared" si="51"/>
        <v>240</v>
      </c>
      <c r="Q22" s="203" t="str">
        <f t="shared" si="7"/>
        <v>--</v>
      </c>
      <c r="R22" s="203" t="str">
        <f t="shared" si="8"/>
        <v>--</v>
      </c>
      <c r="S22" s="203">
        <f t="shared" si="39"/>
        <v>240</v>
      </c>
      <c r="T22" s="203">
        <f t="shared" si="9"/>
        <v>240</v>
      </c>
      <c r="U22" s="203" t="str">
        <f t="shared" si="10"/>
        <v>--</v>
      </c>
      <c r="V22" s="203">
        <f t="shared" si="11"/>
        <v>9.8000000000000007</v>
      </c>
      <c r="W22" s="193" t="str">
        <f t="shared" si="12"/>
        <v>USDOE FW Chronic PRG</v>
      </c>
      <c r="X22" s="203">
        <f t="shared" si="40"/>
        <v>0.98000000000000009</v>
      </c>
      <c r="Y22" s="193" t="str">
        <f t="shared" si="41"/>
        <v>10% US EPA FW CMC</v>
      </c>
      <c r="Z22" s="203" t="str">
        <f t="shared" si="13"/>
        <v>--</v>
      </c>
      <c r="AA22" s="203">
        <f t="shared" si="14"/>
        <v>9.8000000000000007</v>
      </c>
      <c r="AB22" s="1368">
        <f t="shared" si="15"/>
        <v>35200</v>
      </c>
      <c r="AC22" s="1356">
        <f t="shared" si="16"/>
        <v>3200</v>
      </c>
      <c r="AD22" s="1377" t="str">
        <f t="shared" si="17"/>
        <v>Saltwater Exposure</v>
      </c>
      <c r="AE22" s="1353">
        <f t="shared" si="18"/>
        <v>3200</v>
      </c>
      <c r="AF22" s="1364" t="str">
        <f t="shared" si="19"/>
        <v>50% US EPA SW Chronic LOEL</v>
      </c>
      <c r="AG22" s="216">
        <f t="shared" si="42"/>
        <v>3200</v>
      </c>
      <c r="AH22" s="203" t="str">
        <f t="shared" si="43"/>
        <v>--</v>
      </c>
      <c r="AI22" s="203" t="str">
        <f t="shared" si="44"/>
        <v>--</v>
      </c>
      <c r="AJ22" s="203" t="str">
        <f t="shared" si="20"/>
        <v>--</v>
      </c>
      <c r="AK22" s="203">
        <f t="shared" si="45"/>
        <v>3200</v>
      </c>
      <c r="AL22" s="203" t="str">
        <f t="shared" si="21"/>
        <v>--</v>
      </c>
      <c r="AM22" s="203" t="str">
        <f t="shared" si="22"/>
        <v>--</v>
      </c>
      <c r="AN22" s="203">
        <f t="shared" si="46"/>
        <v>3200</v>
      </c>
      <c r="AO22" s="203" t="str">
        <f t="shared" si="23"/>
        <v>--</v>
      </c>
      <c r="AP22" s="203">
        <f t="shared" si="24"/>
        <v>6400</v>
      </c>
      <c r="AQ22" s="203" t="str">
        <f t="shared" si="25"/>
        <v>--</v>
      </c>
      <c r="AR22" s="1262" t="str">
        <f t="shared" si="26"/>
        <v>--</v>
      </c>
      <c r="AS22" s="203">
        <f t="shared" si="47"/>
        <v>5000</v>
      </c>
      <c r="AT22" s="193" t="str">
        <f t="shared" si="48"/>
        <v>10% US EPA SW Acute LOEL</v>
      </c>
      <c r="AU22" s="203" t="str">
        <f t="shared" si="27"/>
        <v>--</v>
      </c>
      <c r="AV22" s="203" t="str">
        <f t="shared" si="28"/>
        <v>--</v>
      </c>
      <c r="AW22" s="2047">
        <f t="shared" si="29"/>
        <v>50000</v>
      </c>
      <c r="AX22" s="2054" t="str">
        <f t="shared" si="30"/>
        <v>--</v>
      </c>
      <c r="AZ22" s="22"/>
      <c r="BA22" s="350"/>
      <c r="BB22" s="27">
        <f t="shared" si="31"/>
        <v>240</v>
      </c>
      <c r="BC22" s="351" t="str">
        <f t="shared" si="32"/>
        <v>US EPA Ecotox FW Chronic</v>
      </c>
      <c r="BD22" s="27">
        <f t="shared" si="33"/>
        <v>3200</v>
      </c>
      <c r="BE22" s="351" t="str">
        <f t="shared" si="34"/>
        <v>50% US EPA SW Chronic LOEL</v>
      </c>
      <c r="BF22" s="350"/>
      <c r="BG22" s="1305"/>
      <c r="BH22" s="350"/>
      <c r="BI22" s="350"/>
      <c r="BJ22" s="1304"/>
      <c r="BK22" s="1311"/>
      <c r="BL22" s="1311"/>
      <c r="BM22" s="1305"/>
      <c r="BN22" s="1304"/>
      <c r="BO22" s="350"/>
      <c r="BP22" s="35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row>
    <row r="23" spans="1:142" ht="12.95" customHeight="1">
      <c r="A23" s="897" t="s">
        <v>119</v>
      </c>
      <c r="B23" s="432" t="s">
        <v>120</v>
      </c>
      <c r="C23" s="205">
        <f t="shared" si="0"/>
        <v>2.3E-5</v>
      </c>
      <c r="D23" s="207" t="str">
        <f t="shared" si="1"/>
        <v>Seafood Ingestion</v>
      </c>
      <c r="E23" s="1637">
        <f t="shared" si="49"/>
        <v>2.3E-5</v>
      </c>
      <c r="F23" s="187" t="str">
        <f t="shared" si="35"/>
        <v>Cal Ocean Plan</v>
      </c>
      <c r="G23" s="1326">
        <f t="shared" si="2"/>
        <v>5.9000000000000003E-4</v>
      </c>
      <c r="H23" s="1327">
        <f t="shared" si="3"/>
        <v>2.3E-5</v>
      </c>
      <c r="I23" s="1359" t="str">
        <f t="shared" si="36"/>
        <v>--</v>
      </c>
      <c r="J23" s="1379">
        <f t="shared" si="4"/>
        <v>4.3E-3</v>
      </c>
      <c r="K23" s="1361" t="str">
        <f t="shared" si="5"/>
        <v>Freshwater Exposure</v>
      </c>
      <c r="L23" s="209">
        <f t="shared" si="37"/>
        <v>4.3E-3</v>
      </c>
      <c r="M23" s="1371" t="str">
        <f t="shared" si="6"/>
        <v>CTR FW CCC</v>
      </c>
      <c r="N23" s="216">
        <f t="shared" si="50"/>
        <v>4.3E-3</v>
      </c>
      <c r="O23" s="203" t="str">
        <f t="shared" si="38"/>
        <v>--</v>
      </c>
      <c r="P23" s="203">
        <f t="shared" si="51"/>
        <v>4.3E-3</v>
      </c>
      <c r="Q23" s="203">
        <f t="shared" si="7"/>
        <v>4.3E-3</v>
      </c>
      <c r="R23" s="203">
        <f t="shared" si="8"/>
        <v>4.3E-3</v>
      </c>
      <c r="S23" s="203" t="str">
        <f t="shared" si="39"/>
        <v>--</v>
      </c>
      <c r="T23" s="203" t="str">
        <f t="shared" si="9"/>
        <v>--</v>
      </c>
      <c r="U23" s="203" t="str">
        <f t="shared" si="10"/>
        <v>--</v>
      </c>
      <c r="V23" s="203" t="str">
        <f t="shared" si="11"/>
        <v>--</v>
      </c>
      <c r="W23" s="193" t="str">
        <f t="shared" si="12"/>
        <v>--</v>
      </c>
      <c r="X23" s="203">
        <f t="shared" si="40"/>
        <v>0.24</v>
      </c>
      <c r="Y23" s="193" t="str">
        <f t="shared" si="41"/>
        <v>10% CTR FW CMC</v>
      </c>
      <c r="Z23" s="203">
        <f t="shared" si="13"/>
        <v>2.4</v>
      </c>
      <c r="AA23" s="203" t="str">
        <f t="shared" si="14"/>
        <v>--</v>
      </c>
      <c r="AB23" s="1368" t="str">
        <f t="shared" si="15"/>
        <v>--</v>
      </c>
      <c r="AC23" s="1356">
        <f t="shared" si="16"/>
        <v>4.0000000000000001E-3</v>
      </c>
      <c r="AD23" s="1377" t="str">
        <f t="shared" si="17"/>
        <v>Saltwater Exposure</v>
      </c>
      <c r="AE23" s="1353">
        <f t="shared" si="18"/>
        <v>4.0000000000000001E-3</v>
      </c>
      <c r="AF23" s="1364" t="str">
        <f t="shared" si="19"/>
        <v>CTR SW CCC</v>
      </c>
      <c r="AG23" s="216">
        <f t="shared" si="42"/>
        <v>4.0000000000000001E-3</v>
      </c>
      <c r="AH23" s="203" t="str">
        <f t="shared" si="43"/>
        <v>--</v>
      </c>
      <c r="AI23" s="203" t="str">
        <f t="shared" si="44"/>
        <v>--</v>
      </c>
      <c r="AJ23" s="203" t="str">
        <f t="shared" si="20"/>
        <v>--</v>
      </c>
      <c r="AK23" s="203">
        <f t="shared" si="45"/>
        <v>4.0000000000000001E-3</v>
      </c>
      <c r="AL23" s="203">
        <f t="shared" si="21"/>
        <v>4.0000000000000001E-3</v>
      </c>
      <c r="AM23" s="203">
        <f t="shared" si="22"/>
        <v>4.0000000000000001E-3</v>
      </c>
      <c r="AN23" s="203" t="str">
        <f t="shared" si="46"/>
        <v>--</v>
      </c>
      <c r="AO23" s="203" t="str">
        <f t="shared" si="23"/>
        <v>--</v>
      </c>
      <c r="AP23" s="203" t="str">
        <f t="shared" si="24"/>
        <v>--</v>
      </c>
      <c r="AQ23" s="203" t="str">
        <f t="shared" si="25"/>
        <v>--</v>
      </c>
      <c r="AR23" s="1262" t="str">
        <f t="shared" si="26"/>
        <v>--</v>
      </c>
      <c r="AS23" s="203">
        <f t="shared" si="47"/>
        <v>8.9999999999999993E-3</v>
      </c>
      <c r="AT23" s="193" t="str">
        <f t="shared" si="48"/>
        <v>10% US EPA SW CMC</v>
      </c>
      <c r="AU23" s="203">
        <f t="shared" si="27"/>
        <v>0.09</v>
      </c>
      <c r="AV23" s="203">
        <f t="shared" si="28"/>
        <v>0.09</v>
      </c>
      <c r="AW23" s="2047" t="str">
        <f t="shared" si="29"/>
        <v>--</v>
      </c>
      <c r="AX23" s="2054" t="str">
        <f t="shared" si="30"/>
        <v>--</v>
      </c>
      <c r="AZ23" s="22"/>
      <c r="BA23" s="350"/>
      <c r="BB23" s="27">
        <f t="shared" si="31"/>
        <v>4.3E-3</v>
      </c>
      <c r="BC23" s="351" t="str">
        <f t="shared" si="32"/>
        <v>CTR FW CCC</v>
      </c>
      <c r="BD23" s="27">
        <f t="shared" si="33"/>
        <v>4.0000000000000001E-3</v>
      </c>
      <c r="BE23" s="351" t="str">
        <f t="shared" si="34"/>
        <v>CTR SW CCC</v>
      </c>
      <c r="BF23" s="350"/>
      <c r="BG23" s="1305"/>
      <c r="BH23" s="350"/>
      <c r="BI23" s="350"/>
      <c r="BJ23" s="1311"/>
      <c r="BK23" s="1311"/>
      <c r="BL23" s="1312"/>
      <c r="BM23" s="1305"/>
      <c r="BN23" s="1308"/>
      <c r="BO23" s="350"/>
      <c r="BP23" s="35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40"/>
      <c r="ED23" s="40"/>
      <c r="EE23" s="40"/>
      <c r="EF23" s="40"/>
      <c r="EG23" s="40"/>
      <c r="EH23" s="40"/>
      <c r="EI23" s="40"/>
      <c r="EJ23" s="40"/>
      <c r="EK23" s="40"/>
      <c r="EL23" s="40"/>
    </row>
    <row r="24" spans="1:142" ht="12.95" customHeight="1">
      <c r="A24" s="897" t="s">
        <v>121</v>
      </c>
      <c r="B24" s="432" t="s">
        <v>122</v>
      </c>
      <c r="C24" s="205">
        <f t="shared" si="0"/>
        <v>5</v>
      </c>
      <c r="D24" s="207" t="str">
        <f t="shared" si="1"/>
        <v>Freshwater Goal</v>
      </c>
      <c r="E24" s="1637" t="str">
        <f t="shared" si="49"/>
        <v>--</v>
      </c>
      <c r="F24" s="187" t="str">
        <f t="shared" si="35"/>
        <v>--</v>
      </c>
      <c r="G24" s="1326" t="str">
        <f t="shared" si="2"/>
        <v>--</v>
      </c>
      <c r="H24" s="1327" t="str">
        <f t="shared" si="3"/>
        <v>--</v>
      </c>
      <c r="I24" s="1359" t="str">
        <f t="shared" si="36"/>
        <v>--</v>
      </c>
      <c r="J24" s="1379">
        <f t="shared" si="4"/>
        <v>5</v>
      </c>
      <c r="K24" s="1361" t="str">
        <f t="shared" si="5"/>
        <v>Freshwater Exposure</v>
      </c>
      <c r="L24" s="209">
        <f t="shared" si="37"/>
        <v>5</v>
      </c>
      <c r="M24" s="1371" t="str">
        <f t="shared" si="6"/>
        <v>50% MOEE FW Chronic LOEL</v>
      </c>
      <c r="N24" s="216">
        <f t="shared" si="50"/>
        <v>5</v>
      </c>
      <c r="O24" s="203" t="str">
        <f t="shared" si="38"/>
        <v>--</v>
      </c>
      <c r="P24" s="203">
        <f t="shared" si="51"/>
        <v>5</v>
      </c>
      <c r="Q24" s="203" t="str">
        <f t="shared" si="7"/>
        <v>--</v>
      </c>
      <c r="R24" s="203" t="str">
        <f t="shared" si="8"/>
        <v>--</v>
      </c>
      <c r="S24" s="203" t="str">
        <f t="shared" si="39"/>
        <v>--</v>
      </c>
      <c r="T24" s="203" t="str">
        <f t="shared" si="9"/>
        <v>--</v>
      </c>
      <c r="U24" s="203" t="str">
        <f t="shared" si="10"/>
        <v>--</v>
      </c>
      <c r="V24" s="203">
        <f t="shared" si="11"/>
        <v>5</v>
      </c>
      <c r="W24" s="193" t="str">
        <f t="shared" si="12"/>
        <v>50% MOEE FW Chronic LOEL</v>
      </c>
      <c r="X24" s="203">
        <f t="shared" si="40"/>
        <v>0.5</v>
      </c>
      <c r="Y24" s="193" t="str">
        <f t="shared" si="41"/>
        <v>10% US EPA FW CMC</v>
      </c>
      <c r="Z24" s="203" t="str">
        <f t="shared" si="13"/>
        <v>--</v>
      </c>
      <c r="AA24" s="203">
        <f t="shared" si="14"/>
        <v>5</v>
      </c>
      <c r="AB24" s="1368" t="str">
        <f t="shared" si="15"/>
        <v>--</v>
      </c>
      <c r="AC24" s="1356" t="str">
        <f t="shared" si="16"/>
        <v>--</v>
      </c>
      <c r="AD24" s="1377" t="str">
        <f t="shared" si="17"/>
        <v>--</v>
      </c>
      <c r="AE24" s="1353" t="str">
        <f t="shared" si="18"/>
        <v>--</v>
      </c>
      <c r="AF24" s="1364" t="str">
        <f t="shared" si="19"/>
        <v>--</v>
      </c>
      <c r="AG24" s="216" t="str">
        <f t="shared" si="42"/>
        <v>--</v>
      </c>
      <c r="AH24" s="203" t="str">
        <f t="shared" si="43"/>
        <v>--</v>
      </c>
      <c r="AI24" s="203" t="str">
        <f t="shared" si="44"/>
        <v>--</v>
      </c>
      <c r="AJ24" s="203" t="str">
        <f t="shared" si="20"/>
        <v>--</v>
      </c>
      <c r="AK24" s="203" t="str">
        <f t="shared" si="45"/>
        <v>--</v>
      </c>
      <c r="AL24" s="203" t="str">
        <f t="shared" si="21"/>
        <v>--</v>
      </c>
      <c r="AM24" s="203" t="str">
        <f t="shared" si="22"/>
        <v>--</v>
      </c>
      <c r="AN24" s="203" t="str">
        <f t="shared" si="46"/>
        <v>--</v>
      </c>
      <c r="AO24" s="203" t="str">
        <f t="shared" si="23"/>
        <v>--</v>
      </c>
      <c r="AP24" s="203" t="str">
        <f t="shared" si="24"/>
        <v>--</v>
      </c>
      <c r="AQ24" s="203" t="str">
        <f t="shared" si="25"/>
        <v>--</v>
      </c>
      <c r="AR24" s="1262" t="str">
        <f t="shared" si="26"/>
        <v>--</v>
      </c>
      <c r="AS24" s="203" t="str">
        <f t="shared" si="47"/>
        <v>--</v>
      </c>
      <c r="AT24" s="193" t="str">
        <f t="shared" si="48"/>
        <v>--</v>
      </c>
      <c r="AU24" s="203" t="str">
        <f t="shared" si="27"/>
        <v>--</v>
      </c>
      <c r="AV24" s="203" t="str">
        <f t="shared" si="28"/>
        <v>--</v>
      </c>
      <c r="AW24" s="2047" t="str">
        <f t="shared" si="29"/>
        <v>--</v>
      </c>
      <c r="AX24" s="2054" t="str">
        <f t="shared" si="30"/>
        <v>--</v>
      </c>
      <c r="AZ24" s="22"/>
      <c r="BA24" s="350"/>
      <c r="BB24" s="27">
        <f t="shared" si="31"/>
        <v>5</v>
      </c>
      <c r="BC24" s="351" t="str">
        <f t="shared" si="32"/>
        <v>50% MOEE FW Chronic LOEL</v>
      </c>
      <c r="BD24" s="27" t="str">
        <f t="shared" si="33"/>
        <v>--</v>
      </c>
      <c r="BE24" s="351" t="str">
        <f t="shared" si="34"/>
        <v>--</v>
      </c>
      <c r="BF24" s="350"/>
      <c r="BG24" s="350"/>
      <c r="BH24" s="350"/>
      <c r="BI24" s="350"/>
      <c r="BJ24" s="1311"/>
      <c r="BK24" s="1311"/>
      <c r="BL24" s="1304"/>
      <c r="BM24" s="350"/>
      <c r="BN24" s="1306"/>
      <c r="BO24" s="350"/>
      <c r="BP24" s="35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40"/>
      <c r="ED24" s="40"/>
      <c r="EE24" s="40"/>
      <c r="EF24" s="40"/>
      <c r="EG24" s="40"/>
      <c r="EH24" s="40"/>
      <c r="EI24" s="40"/>
      <c r="EJ24" s="40"/>
      <c r="EK24" s="40"/>
      <c r="EL24" s="40"/>
    </row>
    <row r="25" spans="1:142" ht="12.95" customHeight="1">
      <c r="A25" s="897" t="s">
        <v>123</v>
      </c>
      <c r="B25" s="432" t="s">
        <v>124</v>
      </c>
      <c r="C25" s="205">
        <f t="shared" si="0"/>
        <v>25</v>
      </c>
      <c r="D25" s="207" t="str">
        <f t="shared" si="1"/>
        <v>Freshwater Goal</v>
      </c>
      <c r="E25" s="1637">
        <f t="shared" si="49"/>
        <v>570</v>
      </c>
      <c r="F25" s="187" t="str">
        <f t="shared" si="35"/>
        <v>Cal Ocean Plan</v>
      </c>
      <c r="G25" s="1326">
        <f t="shared" si="2"/>
        <v>21000</v>
      </c>
      <c r="H25" s="1327">
        <f t="shared" si="3"/>
        <v>570</v>
      </c>
      <c r="I25" s="1359">
        <f t="shared" si="36"/>
        <v>800</v>
      </c>
      <c r="J25" s="1379">
        <f t="shared" si="4"/>
        <v>25</v>
      </c>
      <c r="K25" s="1361" t="str">
        <f t="shared" si="5"/>
        <v>Freshwater Exposure</v>
      </c>
      <c r="L25" s="209">
        <f t="shared" si="37"/>
        <v>25</v>
      </c>
      <c r="M25" s="1371" t="str">
        <f t="shared" si="6"/>
        <v>50% US EPA FW Chronic LOEL</v>
      </c>
      <c r="N25" s="216">
        <f t="shared" si="50"/>
        <v>25</v>
      </c>
      <c r="O25" s="203" t="str">
        <f t="shared" si="38"/>
        <v>--</v>
      </c>
      <c r="P25" s="203">
        <f t="shared" si="51"/>
        <v>25</v>
      </c>
      <c r="Q25" s="203" t="str">
        <f t="shared" si="7"/>
        <v>--</v>
      </c>
      <c r="R25" s="203" t="str">
        <f t="shared" si="8"/>
        <v>--</v>
      </c>
      <c r="S25" s="203">
        <f t="shared" si="39"/>
        <v>25</v>
      </c>
      <c r="T25" s="203">
        <f t="shared" si="9"/>
        <v>130</v>
      </c>
      <c r="U25" s="203">
        <f t="shared" si="10"/>
        <v>50</v>
      </c>
      <c r="V25" s="203" t="str">
        <f t="shared" si="11"/>
        <v>--</v>
      </c>
      <c r="W25" s="193" t="str">
        <f t="shared" si="12"/>
        <v>--</v>
      </c>
      <c r="X25" s="203">
        <f t="shared" si="40"/>
        <v>25</v>
      </c>
      <c r="Y25" s="193" t="str">
        <f t="shared" si="41"/>
        <v>10% US EPA FW Acute LOEL</v>
      </c>
      <c r="Z25" s="203" t="str">
        <f t="shared" si="13"/>
        <v>--</v>
      </c>
      <c r="AA25" s="203" t="str">
        <f t="shared" si="14"/>
        <v>--</v>
      </c>
      <c r="AB25" s="1368">
        <f t="shared" si="15"/>
        <v>250</v>
      </c>
      <c r="AC25" s="1356">
        <f t="shared" si="16"/>
        <v>64.5</v>
      </c>
      <c r="AD25" s="1377" t="str">
        <f t="shared" si="17"/>
        <v>Saltwater Exposure</v>
      </c>
      <c r="AE25" s="1353">
        <f t="shared" si="18"/>
        <v>64.5</v>
      </c>
      <c r="AF25" s="1364" t="str">
        <f t="shared" si="19"/>
        <v>50% US EPA SW Chronic LOEL</v>
      </c>
      <c r="AG25" s="216">
        <f t="shared" si="42"/>
        <v>64.5</v>
      </c>
      <c r="AH25" s="203" t="str">
        <f t="shared" si="43"/>
        <v>--</v>
      </c>
      <c r="AI25" s="203" t="str">
        <f t="shared" si="44"/>
        <v>--</v>
      </c>
      <c r="AJ25" s="203" t="str">
        <f t="shared" si="20"/>
        <v>--</v>
      </c>
      <c r="AK25" s="203">
        <f t="shared" si="45"/>
        <v>64.5</v>
      </c>
      <c r="AL25" s="203" t="str">
        <f t="shared" si="21"/>
        <v>--</v>
      </c>
      <c r="AM25" s="203" t="str">
        <f t="shared" si="22"/>
        <v>--</v>
      </c>
      <c r="AN25" s="203">
        <f t="shared" si="46"/>
        <v>64.5</v>
      </c>
      <c r="AO25" s="203" t="str">
        <f t="shared" si="23"/>
        <v>--</v>
      </c>
      <c r="AP25" s="203">
        <f t="shared" si="24"/>
        <v>129</v>
      </c>
      <c r="AQ25" s="203" t="str">
        <f t="shared" si="25"/>
        <v>--</v>
      </c>
      <c r="AR25" s="1262" t="str">
        <f t="shared" si="26"/>
        <v>--</v>
      </c>
      <c r="AS25" s="203">
        <f t="shared" si="47"/>
        <v>16</v>
      </c>
      <c r="AT25" s="193" t="str">
        <f t="shared" si="48"/>
        <v>10% US EPA SW Acute LOEL</v>
      </c>
      <c r="AU25" s="203" t="str">
        <f t="shared" si="27"/>
        <v>--</v>
      </c>
      <c r="AV25" s="203" t="str">
        <f t="shared" si="28"/>
        <v>--</v>
      </c>
      <c r="AW25" s="2047">
        <f t="shared" si="29"/>
        <v>160</v>
      </c>
      <c r="AX25" s="2054" t="str">
        <f t="shared" si="30"/>
        <v>--</v>
      </c>
      <c r="AZ25" s="22"/>
      <c r="BA25" s="350"/>
      <c r="BB25" s="27">
        <f t="shared" si="31"/>
        <v>25</v>
      </c>
      <c r="BC25" s="351" t="str">
        <f t="shared" si="32"/>
        <v>50% US EPA FW Chronic LOEL</v>
      </c>
      <c r="BD25" s="27">
        <f t="shared" si="33"/>
        <v>64.5</v>
      </c>
      <c r="BE25" s="351" t="str">
        <f t="shared" si="34"/>
        <v>50% US EPA SW Chronic LOEL</v>
      </c>
      <c r="BF25" s="350"/>
      <c r="BG25" s="350"/>
      <c r="BH25" s="350"/>
      <c r="BI25" s="350"/>
      <c r="BJ25" s="1304"/>
      <c r="BK25" s="1311"/>
      <c r="BL25" s="1311"/>
      <c r="BM25" s="350"/>
      <c r="BN25" s="1308"/>
      <c r="BO25" s="350"/>
      <c r="BP25" s="35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row>
    <row r="26" spans="1:142" ht="12.95" customHeight="1">
      <c r="A26" s="897" t="s">
        <v>125</v>
      </c>
      <c r="B26" s="432" t="s">
        <v>126</v>
      </c>
      <c r="C26" s="205" t="str">
        <f t="shared" si="0"/>
        <v>--</v>
      </c>
      <c r="D26" s="207" t="str">
        <f t="shared" si="1"/>
        <v>--</v>
      </c>
      <c r="E26" s="1637" t="str">
        <f t="shared" si="49"/>
        <v>--</v>
      </c>
      <c r="F26" s="187" t="str">
        <f t="shared" si="35"/>
        <v>--</v>
      </c>
      <c r="G26" s="1326" t="str">
        <f t="shared" si="2"/>
        <v>--</v>
      </c>
      <c r="H26" s="1327" t="str">
        <f t="shared" si="3"/>
        <v>--</v>
      </c>
      <c r="I26" s="1359" t="str">
        <f t="shared" si="36"/>
        <v>--</v>
      </c>
      <c r="J26" s="1379" t="str">
        <f t="shared" si="4"/>
        <v>--</v>
      </c>
      <c r="K26" s="1361" t="str">
        <f t="shared" si="5"/>
        <v>--</v>
      </c>
      <c r="L26" s="209" t="str">
        <f t="shared" ref="L26:L86" si="72">IF(N26="--",X26, N26)</f>
        <v>--</v>
      </c>
      <c r="M26" s="1371" t="str">
        <f t="shared" si="6"/>
        <v>--</v>
      </c>
      <c r="N26" s="216" t="str">
        <f t="shared" ref="N26:N86" si="73">IF(AND(O26="--",P26="--"),"--", IF(O26="--",P26, IF(P26="--", O26, MIN(P26,O26))))</f>
        <v>--</v>
      </c>
      <c r="O26" s="203" t="str">
        <f t="shared" si="38"/>
        <v>--</v>
      </c>
      <c r="P26" s="203" t="str">
        <f t="shared" ref="P26:P86" si="74">IF(Q26&lt;&gt;"--",Q26,IF(R26&lt;&gt;"--",R26,IF(S26&lt;&gt;"--",S26, V26)))</f>
        <v>--</v>
      </c>
      <c r="Q26" s="203" t="str">
        <f t="shared" si="7"/>
        <v>--</v>
      </c>
      <c r="R26" s="203" t="str">
        <f t="shared" si="8"/>
        <v>--</v>
      </c>
      <c r="S26" s="203" t="str">
        <f t="shared" ref="S26:S86" si="75">IF(AND(T26="--",U26="--"), "--", IF(T26="--",U26/2, IF(U26="--",T26, MIN(T26,U26/2))))</f>
        <v>--</v>
      </c>
      <c r="T26" s="203" t="str">
        <f t="shared" si="9"/>
        <v>--</v>
      </c>
      <c r="U26" s="203" t="str">
        <f t="shared" si="10"/>
        <v>--</v>
      </c>
      <c r="V26" s="203" t="str">
        <f t="shared" si="11"/>
        <v>--</v>
      </c>
      <c r="W26" s="193" t="str">
        <f t="shared" si="12"/>
        <v>--</v>
      </c>
      <c r="X26" s="203" t="str">
        <f t="shared" ref="X26:X86" si="76">IF(AND(Z26="--",AA26="--",AB26="--"), "--", (IF(Z26&lt;&gt;"--",Z26/10,(IF(AA26&lt;&gt;"--",AA26/10,AB26/10)))))</f>
        <v>--</v>
      </c>
      <c r="Y26" s="193" t="str">
        <f t="shared" ref="Y26:Y86" si="77">IF(X26="--","--",IF(AND(Z26="--",AA26="--"),"10% US EPA FW Acute LOEL",IF(AA26="--","10% CTR FW CMC","10% US EPA FW CMC")))</f>
        <v>--</v>
      </c>
      <c r="Z26" s="203" t="str">
        <f t="shared" si="13"/>
        <v>--</v>
      </c>
      <c r="AA26" s="203" t="str">
        <f t="shared" si="14"/>
        <v>--</v>
      </c>
      <c r="AB26" s="1368" t="str">
        <f t="shared" si="15"/>
        <v>--</v>
      </c>
      <c r="AC26" s="1356" t="str">
        <f t="shared" si="16"/>
        <v>--</v>
      </c>
      <c r="AD26" s="1377" t="str">
        <f t="shared" si="17"/>
        <v>--</v>
      </c>
      <c r="AE26" s="1353" t="str">
        <f t="shared" si="18"/>
        <v>--</v>
      </c>
      <c r="AF26" s="1364" t="str">
        <f t="shared" si="19"/>
        <v>--</v>
      </c>
      <c r="AG26" s="216" t="str">
        <f t="shared" ref="AG26:AG86" si="78">IF(AND(AH26="--",AK26="--"),"--", IF(AH26="--",AK26, IF(AK26="--", AH26, MIN(AK26,AH26))))</f>
        <v>--</v>
      </c>
      <c r="AH26" s="203" t="str">
        <f t="shared" si="43"/>
        <v>--</v>
      </c>
      <c r="AI26" s="203" t="str">
        <f t="shared" si="44"/>
        <v>--</v>
      </c>
      <c r="AJ26" s="203" t="str">
        <f t="shared" si="20"/>
        <v>--</v>
      </c>
      <c r="AK26" s="203" t="str">
        <f t="shared" ref="AK26:AK86" si="79">IF(AL26&lt;&gt;"--",AL26,IF(AM26&lt;&gt;"--",AM26,IF(AN26&lt;&gt;"--",AN26,IF(AQ26&lt;&gt;"--",AQ26,"--"))))</f>
        <v>--</v>
      </c>
      <c r="AL26" s="203" t="str">
        <f t="shared" si="21"/>
        <v>--</v>
      </c>
      <c r="AM26" s="203" t="str">
        <f t="shared" si="22"/>
        <v>--</v>
      </c>
      <c r="AN26" s="203" t="str">
        <f t="shared" ref="AN26:AN86" si="80">IF(AND(AO26="--",AP26="--"), "--", IF(AO26="--",AP26/2, IF(AP26="--",AO26, MIN(AO26,AP26/2))))</f>
        <v>--</v>
      </c>
      <c r="AO26" s="203" t="str">
        <f t="shared" si="23"/>
        <v>--</v>
      </c>
      <c r="AP26" s="203" t="str">
        <f t="shared" si="24"/>
        <v>--</v>
      </c>
      <c r="AQ26" s="203" t="str">
        <f t="shared" si="25"/>
        <v>--</v>
      </c>
      <c r="AR26" s="1262" t="str">
        <f t="shared" si="26"/>
        <v>--</v>
      </c>
      <c r="AS26" s="203" t="str">
        <f t="shared" ref="AS26:AS86" si="81">IF(AND(AU26="--",AV26="--",AW26="--"), "--", (IF(AU26&lt;&gt;"--",AU26/10,(IF(AV26&lt;&gt;"--",AV26/10,AW26/10)))))</f>
        <v>--</v>
      </c>
      <c r="AT26" s="193" t="str">
        <f t="shared" ref="AT26:AT86" si="82">IF(AS26="--","--",IF(AND(AU26="--",AV26="--"),"10% US EPA SW Acute LOEL",IF(AV26="--","10% CTR SW CMC","10% US EPA SW CMC")))</f>
        <v>--</v>
      </c>
      <c r="AU26" s="203" t="str">
        <f t="shared" si="27"/>
        <v>--</v>
      </c>
      <c r="AV26" s="203" t="str">
        <f t="shared" si="28"/>
        <v>--</v>
      </c>
      <c r="AW26" s="2047" t="str">
        <f t="shared" si="29"/>
        <v>--</v>
      </c>
      <c r="AX26" s="2054" t="str">
        <f t="shared" si="30"/>
        <v>--</v>
      </c>
      <c r="AZ26" s="22"/>
      <c r="BA26" s="350"/>
      <c r="BB26" s="27" t="str">
        <f t="shared" si="31"/>
        <v>--</v>
      </c>
      <c r="BC26" s="351" t="str">
        <f t="shared" si="32"/>
        <v>--</v>
      </c>
      <c r="BD26" s="27" t="str">
        <f t="shared" si="33"/>
        <v>--</v>
      </c>
      <c r="BE26" s="351" t="str">
        <f t="shared" si="34"/>
        <v>--</v>
      </c>
      <c r="BF26" s="350"/>
      <c r="BG26" s="350"/>
      <c r="BH26" s="350"/>
      <c r="BI26" s="350"/>
      <c r="BJ26" s="1304"/>
      <c r="BK26" s="1311"/>
      <c r="BL26" s="1311"/>
      <c r="BM26" s="350"/>
      <c r="BN26" s="1306"/>
      <c r="BO26" s="350"/>
      <c r="BP26" s="35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row>
    <row r="27" spans="1:142" ht="12.95" customHeight="1">
      <c r="A27" s="897" t="s">
        <v>127</v>
      </c>
      <c r="B27" s="432" t="s">
        <v>128</v>
      </c>
      <c r="C27" s="205">
        <f t="shared" si="0"/>
        <v>130</v>
      </c>
      <c r="D27" s="207" t="str">
        <f t="shared" si="1"/>
        <v>Seafood Ingestion</v>
      </c>
      <c r="E27" s="1637">
        <f t="shared" si="49"/>
        <v>130</v>
      </c>
      <c r="F27" s="187" t="str">
        <f t="shared" si="35"/>
        <v>Cal Ocean Plan</v>
      </c>
      <c r="G27" s="1326" t="str">
        <f t="shared" si="2"/>
        <v>--</v>
      </c>
      <c r="H27" s="1327">
        <f t="shared" si="3"/>
        <v>130</v>
      </c>
      <c r="I27" s="1359">
        <f t="shared" si="36"/>
        <v>2000</v>
      </c>
      <c r="J27" s="1379">
        <f t="shared" si="4"/>
        <v>620</v>
      </c>
      <c r="K27" s="1361" t="str">
        <f t="shared" si="5"/>
        <v>Freshwater Exposure</v>
      </c>
      <c r="L27" s="209">
        <f t="shared" si="72"/>
        <v>620</v>
      </c>
      <c r="M27" s="1371" t="str">
        <f t="shared" si="6"/>
        <v>50% US EPA FW Chronic LOEL</v>
      </c>
      <c r="N27" s="216">
        <f t="shared" si="73"/>
        <v>620</v>
      </c>
      <c r="O27" s="203" t="str">
        <f t="shared" si="38"/>
        <v>--</v>
      </c>
      <c r="P27" s="203">
        <f t="shared" si="74"/>
        <v>620</v>
      </c>
      <c r="Q27" s="203" t="str">
        <f t="shared" si="7"/>
        <v>--</v>
      </c>
      <c r="R27" s="203" t="str">
        <f t="shared" si="8"/>
        <v>--</v>
      </c>
      <c r="S27" s="203">
        <f t="shared" si="75"/>
        <v>620</v>
      </c>
      <c r="T27" s="203" t="str">
        <f t="shared" si="9"/>
        <v>--</v>
      </c>
      <c r="U27" s="203">
        <f t="shared" si="10"/>
        <v>1240</v>
      </c>
      <c r="V27" s="203">
        <f t="shared" si="11"/>
        <v>28</v>
      </c>
      <c r="W27" s="193" t="str">
        <f t="shared" si="12"/>
        <v>USDOE FW Chronic PRG</v>
      </c>
      <c r="X27" s="203">
        <f t="shared" si="76"/>
        <v>2.8</v>
      </c>
      <c r="Y27" s="193" t="str">
        <f t="shared" si="77"/>
        <v>10% US EPA FW CMC</v>
      </c>
      <c r="Z27" s="203" t="str">
        <f t="shared" si="13"/>
        <v>--</v>
      </c>
      <c r="AA27" s="203">
        <f t="shared" si="14"/>
        <v>28</v>
      </c>
      <c r="AB27" s="1368">
        <f t="shared" si="15"/>
        <v>28900</v>
      </c>
      <c r="AC27" s="1356">
        <f t="shared" si="16"/>
        <v>3200</v>
      </c>
      <c r="AD27" s="1377" t="str">
        <f t="shared" si="17"/>
        <v>Saltwater Exposure</v>
      </c>
      <c r="AE27" s="1353">
        <f t="shared" si="18"/>
        <v>3200</v>
      </c>
      <c r="AF27" s="1364" t="str">
        <f t="shared" si="19"/>
        <v>50% US EPA SW Chronic LOEL</v>
      </c>
      <c r="AG27" s="216">
        <f t="shared" si="78"/>
        <v>3200</v>
      </c>
      <c r="AH27" s="203" t="str">
        <f t="shared" si="43"/>
        <v>--</v>
      </c>
      <c r="AI27" s="203" t="str">
        <f t="shared" si="44"/>
        <v>--</v>
      </c>
      <c r="AJ27" s="203" t="str">
        <f t="shared" si="20"/>
        <v>--</v>
      </c>
      <c r="AK27" s="203">
        <f t="shared" si="79"/>
        <v>3200</v>
      </c>
      <c r="AL27" s="203" t="str">
        <f t="shared" si="21"/>
        <v>--</v>
      </c>
      <c r="AM27" s="203" t="str">
        <f t="shared" si="22"/>
        <v>--</v>
      </c>
      <c r="AN27" s="203">
        <f t="shared" si="80"/>
        <v>3200</v>
      </c>
      <c r="AO27" s="203" t="str">
        <f t="shared" si="23"/>
        <v>--</v>
      </c>
      <c r="AP27" s="203">
        <f t="shared" si="24"/>
        <v>6400</v>
      </c>
      <c r="AQ27" s="203" t="str">
        <f t="shared" si="25"/>
        <v>--</v>
      </c>
      <c r="AR27" s="1262" t="str">
        <f t="shared" si="26"/>
        <v>--</v>
      </c>
      <c r="AS27" s="203">
        <f t="shared" si="81"/>
        <v>1200</v>
      </c>
      <c r="AT27" s="193" t="str">
        <f t="shared" si="82"/>
        <v>10% US EPA SW Acute LOEL</v>
      </c>
      <c r="AU27" s="203" t="str">
        <f t="shared" si="27"/>
        <v>--</v>
      </c>
      <c r="AV27" s="203" t="str">
        <f t="shared" si="28"/>
        <v>--</v>
      </c>
      <c r="AW27" s="2047">
        <f t="shared" si="29"/>
        <v>12000</v>
      </c>
      <c r="AX27" s="2054" t="str">
        <f t="shared" si="30"/>
        <v>--</v>
      </c>
      <c r="AZ27" s="22"/>
      <c r="BA27" s="350"/>
      <c r="BB27" s="27">
        <f t="shared" si="31"/>
        <v>620</v>
      </c>
      <c r="BC27" s="351" t="str">
        <f t="shared" si="32"/>
        <v>50% US EPA FW Chronic LOEL</v>
      </c>
      <c r="BD27" s="27">
        <f t="shared" si="33"/>
        <v>3200</v>
      </c>
      <c r="BE27" s="351" t="str">
        <f t="shared" si="34"/>
        <v>50% US EPA SW Chronic LOEL</v>
      </c>
      <c r="BF27" s="350"/>
      <c r="BG27" s="350"/>
      <c r="BH27" s="350"/>
      <c r="BI27" s="350"/>
      <c r="BJ27" s="1311"/>
      <c r="BK27" s="1311"/>
      <c r="BL27" s="1311"/>
      <c r="BM27" s="350"/>
      <c r="BN27" s="1306"/>
      <c r="BO27" s="350"/>
      <c r="BP27" s="35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row>
    <row r="28" spans="1:142" ht="12.95" customHeight="1">
      <c r="A28" s="897" t="s">
        <v>129</v>
      </c>
      <c r="B28" s="432" t="s">
        <v>114</v>
      </c>
      <c r="C28" s="205">
        <f t="shared" si="0"/>
        <v>1100</v>
      </c>
      <c r="D28" s="207" t="str">
        <f t="shared" si="1"/>
        <v>Freshwater Goal</v>
      </c>
      <c r="E28" s="1637" t="str">
        <f t="shared" si="49"/>
        <v>--</v>
      </c>
      <c r="F28" s="187" t="str">
        <f t="shared" si="35"/>
        <v>--</v>
      </c>
      <c r="G28" s="1326" t="str">
        <f t="shared" si="2"/>
        <v>--</v>
      </c>
      <c r="H28" s="1327" t="str">
        <f t="shared" si="3"/>
        <v>--</v>
      </c>
      <c r="I28" s="1359" t="str">
        <f t="shared" si="36"/>
        <v>--</v>
      </c>
      <c r="J28" s="1379">
        <f t="shared" si="4"/>
        <v>1100</v>
      </c>
      <c r="K28" s="1361" t="str">
        <f t="shared" si="5"/>
        <v>Freshwater Exposure</v>
      </c>
      <c r="L28" s="209">
        <f t="shared" si="72"/>
        <v>1100</v>
      </c>
      <c r="M28" s="1371" t="str">
        <f t="shared" si="6"/>
        <v>10% US EPA FW Acute LOEL</v>
      </c>
      <c r="N28" s="216" t="str">
        <f t="shared" si="73"/>
        <v>--</v>
      </c>
      <c r="O28" s="203" t="str">
        <f t="shared" si="38"/>
        <v>--</v>
      </c>
      <c r="P28" s="203" t="str">
        <f t="shared" si="74"/>
        <v>--</v>
      </c>
      <c r="Q28" s="203" t="str">
        <f t="shared" si="7"/>
        <v>--</v>
      </c>
      <c r="R28" s="203" t="str">
        <f t="shared" si="8"/>
        <v>--</v>
      </c>
      <c r="S28" s="203" t="str">
        <f t="shared" si="75"/>
        <v>--</v>
      </c>
      <c r="T28" s="203" t="str">
        <f t="shared" si="9"/>
        <v>--</v>
      </c>
      <c r="U28" s="203" t="str">
        <f t="shared" si="10"/>
        <v>--</v>
      </c>
      <c r="V28" s="203" t="str">
        <f t="shared" si="11"/>
        <v>--</v>
      </c>
      <c r="W28" s="193" t="str">
        <f t="shared" si="12"/>
        <v>--</v>
      </c>
      <c r="X28" s="203">
        <f t="shared" si="76"/>
        <v>1100</v>
      </c>
      <c r="Y28" s="193" t="str">
        <f t="shared" si="77"/>
        <v>10% US EPA FW Acute LOEL</v>
      </c>
      <c r="Z28" s="203" t="str">
        <f t="shared" si="13"/>
        <v>--</v>
      </c>
      <c r="AA28" s="203" t="str">
        <f t="shared" si="14"/>
        <v>--</v>
      </c>
      <c r="AB28" s="1368">
        <f t="shared" si="15"/>
        <v>11000</v>
      </c>
      <c r="AC28" s="1356">
        <f t="shared" si="16"/>
        <v>3200</v>
      </c>
      <c r="AD28" s="1377" t="str">
        <f t="shared" si="17"/>
        <v>Saltwater Exposure</v>
      </c>
      <c r="AE28" s="1353">
        <f t="shared" si="18"/>
        <v>3200</v>
      </c>
      <c r="AF28" s="1364" t="str">
        <f t="shared" si="19"/>
        <v>50% US EPA SW Chronic LOEL</v>
      </c>
      <c r="AG28" s="216">
        <f t="shared" si="78"/>
        <v>3200</v>
      </c>
      <c r="AH28" s="203" t="str">
        <f t="shared" si="43"/>
        <v>--</v>
      </c>
      <c r="AI28" s="203" t="str">
        <f t="shared" si="44"/>
        <v>--</v>
      </c>
      <c r="AJ28" s="203" t="str">
        <f t="shared" si="20"/>
        <v>--</v>
      </c>
      <c r="AK28" s="203">
        <f t="shared" si="79"/>
        <v>3200</v>
      </c>
      <c r="AL28" s="203" t="str">
        <f t="shared" si="21"/>
        <v>--</v>
      </c>
      <c r="AM28" s="203" t="str">
        <f t="shared" si="22"/>
        <v>--</v>
      </c>
      <c r="AN28" s="203">
        <f t="shared" si="80"/>
        <v>3200</v>
      </c>
      <c r="AO28" s="203" t="str">
        <f t="shared" si="23"/>
        <v>--</v>
      </c>
      <c r="AP28" s="203">
        <f t="shared" si="24"/>
        <v>6400</v>
      </c>
      <c r="AQ28" s="203" t="str">
        <f t="shared" si="25"/>
        <v>--</v>
      </c>
      <c r="AR28" s="1262" t="str">
        <f t="shared" si="26"/>
        <v>--</v>
      </c>
      <c r="AS28" s="203">
        <f t="shared" si="81"/>
        <v>1200</v>
      </c>
      <c r="AT28" s="193" t="str">
        <f t="shared" si="82"/>
        <v>10% US EPA SW Acute LOEL</v>
      </c>
      <c r="AU28" s="203" t="str">
        <f t="shared" si="27"/>
        <v>--</v>
      </c>
      <c r="AV28" s="203" t="str">
        <f t="shared" si="28"/>
        <v>--</v>
      </c>
      <c r="AW28" s="2047">
        <f t="shared" si="29"/>
        <v>12000</v>
      </c>
      <c r="AX28" s="2054" t="str">
        <f t="shared" si="30"/>
        <v>--</v>
      </c>
      <c r="AZ28" s="22"/>
      <c r="BA28" s="350"/>
      <c r="BB28" s="27" t="str">
        <f t="shared" si="31"/>
        <v>--</v>
      </c>
      <c r="BC28" s="351" t="str">
        <f t="shared" si="32"/>
        <v>--</v>
      </c>
      <c r="BD28" s="27">
        <f t="shared" si="33"/>
        <v>3200</v>
      </c>
      <c r="BE28" s="351" t="str">
        <f t="shared" si="34"/>
        <v>50% US EPA SW Chronic LOEL</v>
      </c>
      <c r="BF28" s="350"/>
      <c r="BG28" s="350"/>
      <c r="BH28" s="350"/>
      <c r="BI28" s="350"/>
      <c r="BJ28" s="1304"/>
      <c r="BK28" s="1311"/>
      <c r="BL28" s="1311"/>
      <c r="BM28" s="350"/>
      <c r="BN28" s="1306"/>
      <c r="BO28" s="350"/>
      <c r="BP28" s="35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row>
    <row r="29" spans="1:142" ht="12.95" customHeight="1">
      <c r="A29" s="897" t="s">
        <v>131</v>
      </c>
      <c r="B29" s="432" t="s">
        <v>132</v>
      </c>
      <c r="C29" s="205">
        <f t="shared" si="0"/>
        <v>1</v>
      </c>
      <c r="D29" s="207" t="str">
        <f t="shared" si="1"/>
        <v>Saltwater Goal</v>
      </c>
      <c r="E29" s="1637">
        <f t="shared" si="49"/>
        <v>400</v>
      </c>
      <c r="F29" s="187" t="str">
        <f t="shared" si="35"/>
        <v>Cal Tox Rule</v>
      </c>
      <c r="G29" s="1326">
        <f t="shared" si="2"/>
        <v>400</v>
      </c>
      <c r="H29" s="1327" t="str">
        <f t="shared" si="3"/>
        <v>--</v>
      </c>
      <c r="I29" s="1359">
        <f t="shared" si="36"/>
        <v>800</v>
      </c>
      <c r="J29" s="1379">
        <f t="shared" si="4"/>
        <v>438</v>
      </c>
      <c r="K29" s="1361" t="str">
        <f t="shared" si="5"/>
        <v>Freshwater Exposure</v>
      </c>
      <c r="L29" s="209">
        <f t="shared" si="72"/>
        <v>438</v>
      </c>
      <c r="M29" s="1371" t="str">
        <f t="shared" si="6"/>
        <v>10% US EPA FW Acute LOEL</v>
      </c>
      <c r="N29" s="216" t="str">
        <f t="shared" si="73"/>
        <v>--</v>
      </c>
      <c r="O29" s="203" t="str">
        <f t="shared" si="38"/>
        <v>--</v>
      </c>
      <c r="P29" s="203" t="str">
        <f t="shared" si="74"/>
        <v>--</v>
      </c>
      <c r="Q29" s="203" t="str">
        <f t="shared" si="7"/>
        <v>--</v>
      </c>
      <c r="R29" s="203" t="str">
        <f t="shared" si="8"/>
        <v>--</v>
      </c>
      <c r="S29" s="203" t="str">
        <f t="shared" si="75"/>
        <v>--</v>
      </c>
      <c r="T29" s="203" t="str">
        <f t="shared" si="9"/>
        <v>--</v>
      </c>
      <c r="U29" s="203" t="str">
        <f t="shared" si="10"/>
        <v>--</v>
      </c>
      <c r="V29" s="203" t="str">
        <f t="shared" si="11"/>
        <v>--</v>
      </c>
      <c r="W29" s="193" t="str">
        <f t="shared" si="12"/>
        <v>--</v>
      </c>
      <c r="X29" s="203">
        <f t="shared" si="76"/>
        <v>438</v>
      </c>
      <c r="Y29" s="193" t="str">
        <f t="shared" si="77"/>
        <v>10% US EPA FW Acute LOEL</v>
      </c>
      <c r="Z29" s="203" t="str">
        <f t="shared" si="13"/>
        <v>--</v>
      </c>
      <c r="AA29" s="203" t="str">
        <f t="shared" si="14"/>
        <v>--</v>
      </c>
      <c r="AB29" s="1368">
        <f t="shared" si="15"/>
        <v>4380</v>
      </c>
      <c r="AC29" s="1356">
        <f t="shared" si="16"/>
        <v>1</v>
      </c>
      <c r="AD29" s="1377" t="str">
        <f t="shared" si="17"/>
        <v>Saltwater Exposure</v>
      </c>
      <c r="AE29" s="1353">
        <f t="shared" si="18"/>
        <v>1</v>
      </c>
      <c r="AF29" s="1364" t="str">
        <f t="shared" si="19"/>
        <v>Basin Plan</v>
      </c>
      <c r="AG29" s="216">
        <f t="shared" si="78"/>
        <v>1</v>
      </c>
      <c r="AH29" s="203">
        <f t="shared" si="43"/>
        <v>1</v>
      </c>
      <c r="AI29" s="203" t="str">
        <f t="shared" si="44"/>
        <v>--</v>
      </c>
      <c r="AJ29" s="203">
        <f t="shared" si="20"/>
        <v>1</v>
      </c>
      <c r="AK29" s="203" t="str">
        <f t="shared" si="79"/>
        <v>--</v>
      </c>
      <c r="AL29" s="203" t="str">
        <f t="shared" si="21"/>
        <v>--</v>
      </c>
      <c r="AM29" s="203" t="str">
        <f t="shared" si="22"/>
        <v>--</v>
      </c>
      <c r="AN29" s="203" t="str">
        <f t="shared" si="80"/>
        <v>--</v>
      </c>
      <c r="AO29" s="203" t="str">
        <f t="shared" si="23"/>
        <v>--</v>
      </c>
      <c r="AP29" s="203" t="str">
        <f t="shared" si="24"/>
        <v>--</v>
      </c>
      <c r="AQ29" s="203" t="str">
        <f t="shared" si="25"/>
        <v>--</v>
      </c>
      <c r="AR29" s="1262" t="str">
        <f t="shared" si="26"/>
        <v>--</v>
      </c>
      <c r="AS29" s="203" t="str">
        <f t="shared" si="81"/>
        <v>--</v>
      </c>
      <c r="AT29" s="193" t="str">
        <f t="shared" si="82"/>
        <v>--</v>
      </c>
      <c r="AU29" s="203" t="str">
        <f t="shared" si="27"/>
        <v>--</v>
      </c>
      <c r="AV29" s="203" t="str">
        <f t="shared" si="28"/>
        <v>--</v>
      </c>
      <c r="AW29" s="2047" t="str">
        <f t="shared" si="29"/>
        <v>--</v>
      </c>
      <c r="AX29" s="2054" t="str">
        <f t="shared" si="30"/>
        <v>--</v>
      </c>
      <c r="AZ29" s="22"/>
      <c r="BA29" s="350"/>
      <c r="BB29" s="27" t="str">
        <f t="shared" si="31"/>
        <v>--</v>
      </c>
      <c r="BC29" s="351" t="str">
        <f t="shared" si="32"/>
        <v>--</v>
      </c>
      <c r="BD29" s="27" t="str">
        <f t="shared" si="33"/>
        <v>--</v>
      </c>
      <c r="BE29" s="351" t="str">
        <f t="shared" si="34"/>
        <v>--</v>
      </c>
      <c r="BF29" s="350"/>
      <c r="BG29" s="350"/>
      <c r="BH29" s="350"/>
      <c r="BI29" s="350"/>
      <c r="BJ29" s="1311"/>
      <c r="BK29" s="1311"/>
      <c r="BL29" s="1311"/>
      <c r="BM29" s="350"/>
      <c r="BN29" s="1306"/>
      <c r="BO29" s="350"/>
      <c r="BP29" s="35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row>
    <row r="30" spans="1:142" ht="12.95" customHeight="1">
      <c r="A30" s="897" t="s">
        <v>133</v>
      </c>
      <c r="B30" s="432" t="s">
        <v>134</v>
      </c>
      <c r="C30" s="205">
        <f t="shared" si="0"/>
        <v>180</v>
      </c>
      <c r="D30" s="207" t="str">
        <f t="shared" si="1"/>
        <v>Freshwater Goal</v>
      </c>
      <c r="E30" s="1637" t="str">
        <f t="shared" si="49"/>
        <v>--</v>
      </c>
      <c r="F30" s="187" t="str">
        <f t="shared" si="35"/>
        <v>--</v>
      </c>
      <c r="G30" s="1326" t="str">
        <f t="shared" si="2"/>
        <v>--</v>
      </c>
      <c r="H30" s="1327" t="str">
        <f t="shared" si="3"/>
        <v>--</v>
      </c>
      <c r="I30" s="1359" t="str">
        <f t="shared" si="36"/>
        <v>--</v>
      </c>
      <c r="J30" s="1379">
        <f t="shared" si="4"/>
        <v>180</v>
      </c>
      <c r="K30" s="1361" t="str">
        <f t="shared" si="5"/>
        <v>Freshwater Exposure</v>
      </c>
      <c r="L30" s="209">
        <f t="shared" si="72"/>
        <v>180</v>
      </c>
      <c r="M30" s="1371" t="str">
        <f t="shared" si="6"/>
        <v>CTR FW CCC</v>
      </c>
      <c r="N30" s="216">
        <f t="shared" si="73"/>
        <v>180</v>
      </c>
      <c r="O30" s="203" t="str">
        <f t="shared" si="38"/>
        <v>--</v>
      </c>
      <c r="P30" s="203">
        <f t="shared" si="74"/>
        <v>180</v>
      </c>
      <c r="Q30" s="203">
        <f t="shared" si="7"/>
        <v>180</v>
      </c>
      <c r="R30" s="203" t="str">
        <f t="shared" si="8"/>
        <v>--</v>
      </c>
      <c r="S30" s="203" t="str">
        <f t="shared" si="75"/>
        <v>--</v>
      </c>
      <c r="T30" s="203" t="str">
        <f t="shared" si="9"/>
        <v>--</v>
      </c>
      <c r="U30" s="203" t="str">
        <f t="shared" si="10"/>
        <v>--</v>
      </c>
      <c r="V30" s="203" t="str">
        <f t="shared" si="11"/>
        <v>--</v>
      </c>
      <c r="W30" s="193" t="str">
        <f t="shared" si="12"/>
        <v>--</v>
      </c>
      <c r="X30" s="203">
        <f t="shared" si="76"/>
        <v>55</v>
      </c>
      <c r="Y30" s="193" t="str">
        <f t="shared" si="77"/>
        <v>10% CTR FW CMC</v>
      </c>
      <c r="Z30" s="203">
        <f t="shared" si="13"/>
        <v>550</v>
      </c>
      <c r="AA30" s="203" t="str">
        <f t="shared" si="14"/>
        <v>--</v>
      </c>
      <c r="AB30" s="1368" t="str">
        <f t="shared" si="15"/>
        <v>--</v>
      </c>
      <c r="AC30" s="1356" t="str">
        <f t="shared" si="16"/>
        <v>--</v>
      </c>
      <c r="AD30" s="1377" t="str">
        <f t="shared" si="17"/>
        <v>--</v>
      </c>
      <c r="AE30" s="1353" t="str">
        <f t="shared" si="18"/>
        <v>--</v>
      </c>
      <c r="AF30" s="1364" t="str">
        <f t="shared" si="19"/>
        <v>--</v>
      </c>
      <c r="AG30" s="216" t="str">
        <f t="shared" si="78"/>
        <v>--</v>
      </c>
      <c r="AH30" s="203" t="str">
        <f t="shared" si="43"/>
        <v>--</v>
      </c>
      <c r="AI30" s="203" t="str">
        <f t="shared" si="44"/>
        <v>--</v>
      </c>
      <c r="AJ30" s="203" t="str">
        <f t="shared" si="20"/>
        <v>--</v>
      </c>
      <c r="AK30" s="203" t="str">
        <f t="shared" si="79"/>
        <v>--</v>
      </c>
      <c r="AL30" s="203" t="str">
        <f t="shared" si="21"/>
        <v>--</v>
      </c>
      <c r="AM30" s="203" t="str">
        <f t="shared" si="22"/>
        <v>--</v>
      </c>
      <c r="AN30" s="203" t="str">
        <f t="shared" si="80"/>
        <v>--</v>
      </c>
      <c r="AO30" s="203" t="str">
        <f t="shared" si="23"/>
        <v>--</v>
      </c>
      <c r="AP30" s="203" t="str">
        <f t="shared" si="24"/>
        <v>--</v>
      </c>
      <c r="AQ30" s="203" t="str">
        <f t="shared" si="25"/>
        <v>--</v>
      </c>
      <c r="AR30" s="1262" t="str">
        <f t="shared" si="26"/>
        <v>--</v>
      </c>
      <c r="AS30" s="203" t="str">
        <f t="shared" si="81"/>
        <v>--</v>
      </c>
      <c r="AT30" s="193" t="str">
        <f t="shared" si="82"/>
        <v>--</v>
      </c>
      <c r="AU30" s="203" t="str">
        <f t="shared" si="27"/>
        <v>--</v>
      </c>
      <c r="AV30" s="203" t="str">
        <f t="shared" si="28"/>
        <v>--</v>
      </c>
      <c r="AW30" s="2047" t="str">
        <f t="shared" si="29"/>
        <v>--</v>
      </c>
      <c r="AX30" s="2054" t="str">
        <f t="shared" si="30"/>
        <v>--</v>
      </c>
      <c r="AZ30" s="22"/>
      <c r="BA30" s="350"/>
      <c r="BB30" s="27">
        <f t="shared" si="31"/>
        <v>180</v>
      </c>
      <c r="BC30" s="351" t="str">
        <f t="shared" si="32"/>
        <v>CTR FW CCC</v>
      </c>
      <c r="BD30" s="27" t="str">
        <f t="shared" si="33"/>
        <v>--</v>
      </c>
      <c r="BE30" s="351" t="str">
        <f t="shared" si="34"/>
        <v>--</v>
      </c>
      <c r="BF30" s="350"/>
      <c r="BG30" s="350"/>
      <c r="BH30" s="350"/>
      <c r="BI30" s="350"/>
      <c r="BJ30" s="1304"/>
      <c r="BK30" s="1311"/>
      <c r="BL30" s="1311"/>
      <c r="BM30" s="350"/>
      <c r="BN30" s="1308"/>
      <c r="BO30" s="350"/>
      <c r="BP30" s="35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row>
    <row r="31" spans="1:142" ht="12.95" customHeight="1">
      <c r="A31" s="897" t="s">
        <v>135</v>
      </c>
      <c r="B31" s="432" t="s">
        <v>136</v>
      </c>
      <c r="C31" s="205">
        <f t="shared" si="0"/>
        <v>180</v>
      </c>
      <c r="D31" s="207" t="str">
        <f t="shared" si="1"/>
        <v>Freshwater Goal</v>
      </c>
      <c r="E31" s="1637">
        <f>IF(AND(G31="--",H31="--",I31="--"), "--", MIN(G31,H31,I31))</f>
        <v>190000</v>
      </c>
      <c r="F31" s="187" t="str">
        <f t="shared" si="35"/>
        <v>Cal Ocean Plan</v>
      </c>
      <c r="G31" s="1326" t="str">
        <f t="shared" si="2"/>
        <v>--</v>
      </c>
      <c r="H31" s="1327">
        <f t="shared" si="3"/>
        <v>190000</v>
      </c>
      <c r="I31" s="1359" t="str">
        <f t="shared" si="36"/>
        <v>--</v>
      </c>
      <c r="J31" s="1379">
        <f t="shared" si="4"/>
        <v>180</v>
      </c>
      <c r="K31" s="1361" t="str">
        <f t="shared" si="5"/>
        <v>Freshwater Exposure</v>
      </c>
      <c r="L31" s="209">
        <f t="shared" si="72"/>
        <v>180</v>
      </c>
      <c r="M31" s="1371" t="str">
        <f t="shared" si="6"/>
        <v>CTR FW CCC</v>
      </c>
      <c r="N31" s="216">
        <f t="shared" si="73"/>
        <v>180</v>
      </c>
      <c r="O31" s="203" t="str">
        <f t="shared" si="38"/>
        <v>--</v>
      </c>
      <c r="P31" s="203">
        <f t="shared" si="74"/>
        <v>180</v>
      </c>
      <c r="Q31" s="203">
        <f t="shared" si="7"/>
        <v>180</v>
      </c>
      <c r="R31" s="203">
        <f t="shared" si="8"/>
        <v>74</v>
      </c>
      <c r="S31" s="203">
        <f t="shared" si="75"/>
        <v>180</v>
      </c>
      <c r="T31" s="203">
        <f t="shared" si="9"/>
        <v>180</v>
      </c>
      <c r="U31" s="203" t="str">
        <f t="shared" si="10"/>
        <v>--</v>
      </c>
      <c r="V31" s="203" t="str">
        <f t="shared" si="11"/>
        <v>--</v>
      </c>
      <c r="W31" s="193" t="str">
        <f t="shared" si="12"/>
        <v>--</v>
      </c>
      <c r="X31" s="203">
        <f t="shared" si="76"/>
        <v>55</v>
      </c>
      <c r="Y31" s="193" t="str">
        <f t="shared" si="77"/>
        <v>10% CTR FW CMC</v>
      </c>
      <c r="Z31" s="203">
        <f t="shared" si="13"/>
        <v>550</v>
      </c>
      <c r="AA31" s="203" t="str">
        <f t="shared" si="14"/>
        <v>--</v>
      </c>
      <c r="AB31" s="1368" t="str">
        <f t="shared" si="15"/>
        <v>--</v>
      </c>
      <c r="AC31" s="1356">
        <f t="shared" si="16"/>
        <v>1030</v>
      </c>
      <c r="AD31" s="1377" t="str">
        <f t="shared" si="17"/>
        <v>Saltwater Exposure</v>
      </c>
      <c r="AE31" s="1353">
        <f t="shared" si="18"/>
        <v>1030</v>
      </c>
      <c r="AF31" s="1364" t="str">
        <f t="shared" si="19"/>
        <v>10% US EPA SW Acute LOEL</v>
      </c>
      <c r="AG31" s="216" t="str">
        <f t="shared" si="78"/>
        <v>--</v>
      </c>
      <c r="AH31" s="203" t="str">
        <f t="shared" si="43"/>
        <v>--</v>
      </c>
      <c r="AI31" s="203" t="str">
        <f t="shared" si="44"/>
        <v>--</v>
      </c>
      <c r="AJ31" s="203" t="str">
        <f t="shared" si="20"/>
        <v>--</v>
      </c>
      <c r="AK31" s="203" t="str">
        <f t="shared" si="79"/>
        <v>--</v>
      </c>
      <c r="AL31" s="203" t="str">
        <f t="shared" si="21"/>
        <v>--</v>
      </c>
      <c r="AM31" s="203" t="str">
        <f t="shared" si="22"/>
        <v>--</v>
      </c>
      <c r="AN31" s="203" t="str">
        <f t="shared" si="80"/>
        <v>--</v>
      </c>
      <c r="AO31" s="203" t="str">
        <f t="shared" si="23"/>
        <v>--</v>
      </c>
      <c r="AP31" s="203" t="str">
        <f t="shared" si="24"/>
        <v>--</v>
      </c>
      <c r="AQ31" s="203" t="str">
        <f t="shared" si="25"/>
        <v>--</v>
      </c>
      <c r="AR31" s="1262" t="str">
        <f t="shared" si="26"/>
        <v>--</v>
      </c>
      <c r="AS31" s="203">
        <f t="shared" si="81"/>
        <v>1030</v>
      </c>
      <c r="AT31" s="193" t="str">
        <f t="shared" si="82"/>
        <v>10% US EPA SW Acute LOEL</v>
      </c>
      <c r="AU31" s="203" t="str">
        <f t="shared" si="27"/>
        <v>--</v>
      </c>
      <c r="AV31" s="203" t="str">
        <f t="shared" si="28"/>
        <v>--</v>
      </c>
      <c r="AW31" s="2047">
        <f t="shared" si="29"/>
        <v>10300</v>
      </c>
      <c r="AX31" s="2054" t="str">
        <f t="shared" si="30"/>
        <v>--</v>
      </c>
      <c r="AZ31" s="22"/>
      <c r="BA31" s="350"/>
      <c r="BB31" s="27">
        <f t="shared" si="31"/>
        <v>180</v>
      </c>
      <c r="BC31" s="351" t="str">
        <f t="shared" si="32"/>
        <v>CTR FW CCC</v>
      </c>
      <c r="BD31" s="27" t="str">
        <f t="shared" si="33"/>
        <v>--</v>
      </c>
      <c r="BE31" s="351" t="str">
        <f t="shared" si="34"/>
        <v>--</v>
      </c>
      <c r="BF31" s="350"/>
      <c r="BG31" s="350"/>
      <c r="BH31" s="350"/>
      <c r="BI31" s="350"/>
      <c r="BJ31" s="1306"/>
      <c r="BK31" s="1311"/>
      <c r="BL31" s="1311"/>
      <c r="BM31" s="350"/>
      <c r="BN31" s="1308"/>
      <c r="BO31" s="350"/>
      <c r="BP31" s="35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row>
    <row r="32" spans="1:142" ht="12.95" customHeight="1">
      <c r="A32" s="897" t="s">
        <v>137</v>
      </c>
      <c r="B32" s="432" t="s">
        <v>138</v>
      </c>
      <c r="C32" s="205">
        <f t="shared" si="0"/>
        <v>2</v>
      </c>
      <c r="D32" s="207" t="str">
        <f t="shared" si="1"/>
        <v>Saltwater Goal</v>
      </c>
      <c r="E32" s="1637" t="str">
        <f t="shared" si="49"/>
        <v>--</v>
      </c>
      <c r="F32" s="187" t="str">
        <f t="shared" si="35"/>
        <v>--</v>
      </c>
      <c r="G32" s="1326" t="str">
        <f t="shared" si="2"/>
        <v>--</v>
      </c>
      <c r="H32" s="1327" t="str">
        <f t="shared" si="3"/>
        <v>--</v>
      </c>
      <c r="I32" s="1359" t="str">
        <f t="shared" si="36"/>
        <v>--</v>
      </c>
      <c r="J32" s="1379">
        <f t="shared" si="4"/>
        <v>11</v>
      </c>
      <c r="K32" s="1361" t="str">
        <f t="shared" si="5"/>
        <v>Freshwater Exposure</v>
      </c>
      <c r="L32" s="209">
        <f t="shared" si="72"/>
        <v>11</v>
      </c>
      <c r="M32" s="1371" t="str">
        <f t="shared" si="6"/>
        <v>CTR FW CCC</v>
      </c>
      <c r="N32" s="216">
        <f t="shared" si="73"/>
        <v>11</v>
      </c>
      <c r="O32" s="203">
        <f t="shared" si="38"/>
        <v>11</v>
      </c>
      <c r="P32" s="203">
        <f t="shared" si="74"/>
        <v>11</v>
      </c>
      <c r="Q32" s="203">
        <f t="shared" si="7"/>
        <v>11</v>
      </c>
      <c r="R32" s="203">
        <f t="shared" si="8"/>
        <v>11</v>
      </c>
      <c r="S32" s="203">
        <f t="shared" si="75"/>
        <v>10</v>
      </c>
      <c r="T32" s="203">
        <f t="shared" si="9"/>
        <v>10</v>
      </c>
      <c r="U32" s="203" t="str">
        <f t="shared" si="10"/>
        <v>--</v>
      </c>
      <c r="V32" s="203" t="str">
        <f t="shared" si="11"/>
        <v>--</v>
      </c>
      <c r="W32" s="193" t="str">
        <f t="shared" si="12"/>
        <v>--</v>
      </c>
      <c r="X32" s="203">
        <f t="shared" si="76"/>
        <v>1.6</v>
      </c>
      <c r="Y32" s="193" t="str">
        <f t="shared" si="77"/>
        <v>10% CTR FW CMC</v>
      </c>
      <c r="Z32" s="203">
        <f t="shared" si="13"/>
        <v>16</v>
      </c>
      <c r="AA32" s="203" t="str">
        <f t="shared" si="14"/>
        <v>--</v>
      </c>
      <c r="AB32" s="1368" t="str">
        <f t="shared" si="15"/>
        <v>--</v>
      </c>
      <c r="AC32" s="1356">
        <f t="shared" si="16"/>
        <v>2</v>
      </c>
      <c r="AD32" s="1377" t="str">
        <f t="shared" si="17"/>
        <v>Saltwater Exposure</v>
      </c>
      <c r="AE32" s="1353">
        <f t="shared" si="18"/>
        <v>2</v>
      </c>
      <c r="AF32" s="1364" t="str">
        <f t="shared" si="19"/>
        <v>Basin Plan</v>
      </c>
      <c r="AG32" s="216">
        <f t="shared" si="78"/>
        <v>2</v>
      </c>
      <c r="AH32" s="203">
        <f t="shared" si="43"/>
        <v>2</v>
      </c>
      <c r="AI32" s="203">
        <f t="shared" si="44"/>
        <v>50</v>
      </c>
      <c r="AJ32" s="203">
        <f t="shared" si="20"/>
        <v>2</v>
      </c>
      <c r="AK32" s="203">
        <f t="shared" si="79"/>
        <v>50</v>
      </c>
      <c r="AL32" s="203">
        <f t="shared" si="21"/>
        <v>50</v>
      </c>
      <c r="AM32" s="203">
        <f t="shared" si="22"/>
        <v>50</v>
      </c>
      <c r="AN32" s="203" t="str">
        <f t="shared" si="80"/>
        <v>--</v>
      </c>
      <c r="AO32" s="203" t="str">
        <f t="shared" si="23"/>
        <v>--</v>
      </c>
      <c r="AP32" s="203" t="str">
        <f t="shared" si="24"/>
        <v>--</v>
      </c>
      <c r="AQ32" s="203" t="str">
        <f t="shared" si="25"/>
        <v>--</v>
      </c>
      <c r="AR32" s="1262" t="str">
        <f t="shared" si="26"/>
        <v>--</v>
      </c>
      <c r="AS32" s="203">
        <f t="shared" si="81"/>
        <v>110</v>
      </c>
      <c r="AT32" s="193" t="str">
        <f t="shared" si="82"/>
        <v>10% US EPA SW CMC</v>
      </c>
      <c r="AU32" s="203">
        <f t="shared" si="27"/>
        <v>1100</v>
      </c>
      <c r="AV32" s="203">
        <f t="shared" si="28"/>
        <v>1100</v>
      </c>
      <c r="AW32" s="2047" t="str">
        <f t="shared" si="29"/>
        <v>--</v>
      </c>
      <c r="AX32" s="2054" t="str">
        <f t="shared" si="30"/>
        <v>--</v>
      </c>
      <c r="AZ32" s="22"/>
      <c r="BA32" s="350"/>
      <c r="BB32" s="27">
        <f t="shared" si="31"/>
        <v>11</v>
      </c>
      <c r="BC32" s="351" t="str">
        <f t="shared" si="32"/>
        <v>CTR FW CCC</v>
      </c>
      <c r="BD32" s="27">
        <f t="shared" si="33"/>
        <v>50</v>
      </c>
      <c r="BE32" s="351" t="str">
        <f t="shared" si="34"/>
        <v>CTR SW CCC</v>
      </c>
      <c r="BF32" s="350"/>
      <c r="BG32" s="350"/>
      <c r="BH32" s="350"/>
      <c r="BI32" s="350"/>
      <c r="BJ32" s="1306"/>
      <c r="BK32" s="1311"/>
      <c r="BL32" s="1311"/>
      <c r="BM32" s="350"/>
      <c r="BN32" s="350"/>
      <c r="BO32" s="350"/>
      <c r="BP32" s="35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row>
    <row r="33" spans="1:142" ht="12.95" customHeight="1">
      <c r="A33" s="897" t="s">
        <v>139</v>
      </c>
      <c r="B33" s="432" t="s">
        <v>140</v>
      </c>
      <c r="C33" s="205">
        <f t="shared" si="0"/>
        <v>3</v>
      </c>
      <c r="D33" s="207" t="str">
        <f t="shared" si="1"/>
        <v>Freshwater Goal</v>
      </c>
      <c r="E33" s="1637" t="str">
        <f t="shared" si="49"/>
        <v>--</v>
      </c>
      <c r="F33" s="187" t="str">
        <f t="shared" si="35"/>
        <v>--</v>
      </c>
      <c r="G33" s="1326" t="str">
        <f t="shared" si="2"/>
        <v>--</v>
      </c>
      <c r="H33" s="1327" t="str">
        <f t="shared" si="3"/>
        <v>--</v>
      </c>
      <c r="I33" s="1359" t="str">
        <f t="shared" si="36"/>
        <v>--</v>
      </c>
      <c r="J33" s="1379">
        <f t="shared" si="4"/>
        <v>3</v>
      </c>
      <c r="K33" s="1361" t="str">
        <f t="shared" si="5"/>
        <v>Freshwater Exposure</v>
      </c>
      <c r="L33" s="209">
        <f t="shared" si="72"/>
        <v>3</v>
      </c>
      <c r="M33" s="1371" t="str">
        <f t="shared" si="6"/>
        <v>US EPA Ecotox FW Chronic</v>
      </c>
      <c r="N33" s="216">
        <f t="shared" si="73"/>
        <v>3</v>
      </c>
      <c r="O33" s="203" t="str">
        <f t="shared" si="38"/>
        <v>--</v>
      </c>
      <c r="P33" s="203">
        <f t="shared" si="74"/>
        <v>3</v>
      </c>
      <c r="Q33" s="203" t="str">
        <f t="shared" si="7"/>
        <v>--</v>
      </c>
      <c r="R33" s="203" t="str">
        <f t="shared" si="8"/>
        <v>--</v>
      </c>
      <c r="S33" s="203">
        <f t="shared" si="75"/>
        <v>3</v>
      </c>
      <c r="T33" s="203">
        <f t="shared" si="9"/>
        <v>3</v>
      </c>
      <c r="U33" s="203" t="str">
        <f t="shared" si="10"/>
        <v>--</v>
      </c>
      <c r="V33" s="203" t="str">
        <f t="shared" si="11"/>
        <v>--</v>
      </c>
      <c r="W33" s="193" t="str">
        <f t="shared" si="12"/>
        <v>--</v>
      </c>
      <c r="X33" s="203" t="str">
        <f t="shared" si="76"/>
        <v>--</v>
      </c>
      <c r="Y33" s="193" t="str">
        <f t="shared" si="77"/>
        <v>--</v>
      </c>
      <c r="Z33" s="203" t="str">
        <f t="shared" si="13"/>
        <v>--</v>
      </c>
      <c r="AA33" s="203" t="str">
        <f t="shared" si="14"/>
        <v>--</v>
      </c>
      <c r="AB33" s="1368" t="str">
        <f t="shared" si="15"/>
        <v>--</v>
      </c>
      <c r="AC33" s="1356" t="str">
        <f t="shared" si="16"/>
        <v>--</v>
      </c>
      <c r="AD33" s="1377" t="str">
        <f t="shared" si="17"/>
        <v>--</v>
      </c>
      <c r="AE33" s="1353" t="str">
        <f t="shared" si="18"/>
        <v>--</v>
      </c>
      <c r="AF33" s="1364" t="str">
        <f t="shared" si="19"/>
        <v>--</v>
      </c>
      <c r="AG33" s="216" t="str">
        <f t="shared" si="78"/>
        <v>--</v>
      </c>
      <c r="AH33" s="203" t="str">
        <f t="shared" si="43"/>
        <v>--</v>
      </c>
      <c r="AI33" s="203" t="str">
        <f t="shared" si="44"/>
        <v>--</v>
      </c>
      <c r="AJ33" s="203" t="str">
        <f t="shared" si="20"/>
        <v>--</v>
      </c>
      <c r="AK33" s="203" t="str">
        <f t="shared" si="79"/>
        <v>--</v>
      </c>
      <c r="AL33" s="203" t="str">
        <f t="shared" si="21"/>
        <v>--</v>
      </c>
      <c r="AM33" s="203" t="str">
        <f t="shared" si="22"/>
        <v>--</v>
      </c>
      <c r="AN33" s="203" t="str">
        <f t="shared" si="80"/>
        <v>--</v>
      </c>
      <c r="AO33" s="203" t="str">
        <f t="shared" si="23"/>
        <v>--</v>
      </c>
      <c r="AP33" s="203" t="str">
        <f t="shared" si="24"/>
        <v>--</v>
      </c>
      <c r="AQ33" s="203" t="str">
        <f t="shared" si="25"/>
        <v>--</v>
      </c>
      <c r="AR33" s="1262" t="str">
        <f t="shared" si="26"/>
        <v>--</v>
      </c>
      <c r="AS33" s="203" t="str">
        <f t="shared" si="81"/>
        <v>--</v>
      </c>
      <c r="AT33" s="193" t="str">
        <f t="shared" si="82"/>
        <v>--</v>
      </c>
      <c r="AU33" s="203" t="str">
        <f t="shared" si="27"/>
        <v>--</v>
      </c>
      <c r="AV33" s="203" t="str">
        <f t="shared" si="28"/>
        <v>--</v>
      </c>
      <c r="AW33" s="2047" t="str">
        <f t="shared" si="29"/>
        <v>--</v>
      </c>
      <c r="AX33" s="2054" t="str">
        <f t="shared" si="30"/>
        <v>--</v>
      </c>
      <c r="AZ33" s="22"/>
      <c r="BA33" s="350"/>
      <c r="BB33" s="27">
        <f t="shared" si="31"/>
        <v>3</v>
      </c>
      <c r="BC33" s="351" t="str">
        <f t="shared" si="32"/>
        <v>US EPA Ecotox FW Chronic</v>
      </c>
      <c r="BD33" s="27" t="str">
        <f t="shared" si="33"/>
        <v>--</v>
      </c>
      <c r="BE33" s="351" t="str">
        <f t="shared" si="34"/>
        <v>--</v>
      </c>
      <c r="BF33" s="350"/>
      <c r="BG33" s="350"/>
      <c r="BH33" s="350"/>
      <c r="BI33" s="350"/>
      <c r="BJ33" s="1306"/>
      <c r="BK33" s="1311"/>
      <c r="BL33" s="1311"/>
      <c r="BM33" s="350"/>
      <c r="BN33" s="350"/>
      <c r="BO33" s="350"/>
      <c r="BP33" s="35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row>
    <row r="34" spans="1:142" ht="12.95" customHeight="1">
      <c r="A34" s="897" t="s">
        <v>141</v>
      </c>
      <c r="B34" s="432" t="s">
        <v>142</v>
      </c>
      <c r="C34" s="205">
        <f t="shared" si="0"/>
        <v>3</v>
      </c>
      <c r="D34" s="207" t="str">
        <f t="shared" si="1"/>
        <v>Saltwater Goal</v>
      </c>
      <c r="E34" s="1637" t="str">
        <f t="shared" si="49"/>
        <v>--</v>
      </c>
      <c r="F34" s="187" t="str">
        <f t="shared" si="35"/>
        <v>--</v>
      </c>
      <c r="G34" s="1326" t="str">
        <f t="shared" si="2"/>
        <v>--</v>
      </c>
      <c r="H34" s="1327" t="str">
        <f t="shared" si="3"/>
        <v>--</v>
      </c>
      <c r="I34" s="1359" t="str">
        <f t="shared" si="36"/>
        <v>--</v>
      </c>
      <c r="J34" s="1379">
        <f t="shared" si="4"/>
        <v>9</v>
      </c>
      <c r="K34" s="1361" t="str">
        <f t="shared" si="5"/>
        <v>Freshwater Exposure</v>
      </c>
      <c r="L34" s="209">
        <f t="shared" si="72"/>
        <v>9</v>
      </c>
      <c r="M34" s="1371" t="str">
        <f t="shared" si="6"/>
        <v>CTR FW CCC</v>
      </c>
      <c r="N34" s="216">
        <f t="shared" si="73"/>
        <v>9</v>
      </c>
      <c r="O34" s="203">
        <f t="shared" si="38"/>
        <v>9</v>
      </c>
      <c r="P34" s="203">
        <f t="shared" si="74"/>
        <v>9</v>
      </c>
      <c r="Q34" s="203">
        <f t="shared" si="7"/>
        <v>9</v>
      </c>
      <c r="R34" s="203">
        <f t="shared" si="8"/>
        <v>9</v>
      </c>
      <c r="S34" s="203">
        <f t="shared" si="75"/>
        <v>11</v>
      </c>
      <c r="T34" s="203">
        <f t="shared" si="9"/>
        <v>11</v>
      </c>
      <c r="U34" s="203" t="str">
        <f t="shared" si="10"/>
        <v>--</v>
      </c>
      <c r="V34" s="203" t="str">
        <f t="shared" si="11"/>
        <v>--</v>
      </c>
      <c r="W34" s="193" t="str">
        <f t="shared" si="12"/>
        <v>--</v>
      </c>
      <c r="X34" s="203">
        <f t="shared" si="76"/>
        <v>1.3</v>
      </c>
      <c r="Y34" s="193" t="str">
        <f t="shared" si="77"/>
        <v>10% CTR FW CMC</v>
      </c>
      <c r="Z34" s="203">
        <f t="shared" si="13"/>
        <v>13</v>
      </c>
      <c r="AA34" s="203" t="str">
        <f t="shared" si="14"/>
        <v>--</v>
      </c>
      <c r="AB34" s="1368" t="str">
        <f t="shared" si="15"/>
        <v>--</v>
      </c>
      <c r="AC34" s="1356">
        <f t="shared" si="16"/>
        <v>3</v>
      </c>
      <c r="AD34" s="1377" t="str">
        <f t="shared" si="17"/>
        <v>Saltwater Exposure</v>
      </c>
      <c r="AE34" s="1353">
        <f t="shared" si="18"/>
        <v>3</v>
      </c>
      <c r="AF34" s="1364" t="str">
        <f t="shared" si="19"/>
        <v>Basin Plan</v>
      </c>
      <c r="AG34" s="216">
        <f t="shared" si="78"/>
        <v>3</v>
      </c>
      <c r="AH34" s="203">
        <f t="shared" si="43"/>
        <v>3</v>
      </c>
      <c r="AI34" s="203">
        <f t="shared" si="44"/>
        <v>6.9</v>
      </c>
      <c r="AJ34" s="203">
        <f t="shared" si="20"/>
        <v>3</v>
      </c>
      <c r="AK34" s="203">
        <f t="shared" si="79"/>
        <v>3.1</v>
      </c>
      <c r="AL34" s="203">
        <f t="shared" si="21"/>
        <v>3.1</v>
      </c>
      <c r="AM34" s="203">
        <f t="shared" si="22"/>
        <v>3.1</v>
      </c>
      <c r="AN34" s="203">
        <f t="shared" si="80"/>
        <v>2.4</v>
      </c>
      <c r="AO34" s="203">
        <f t="shared" si="23"/>
        <v>2.4</v>
      </c>
      <c r="AP34" s="203" t="str">
        <f t="shared" si="24"/>
        <v>--</v>
      </c>
      <c r="AQ34" s="203" t="str">
        <f t="shared" si="25"/>
        <v>--</v>
      </c>
      <c r="AR34" s="1262" t="str">
        <f t="shared" si="26"/>
        <v>--</v>
      </c>
      <c r="AS34" s="203">
        <f t="shared" si="81"/>
        <v>0.48</v>
      </c>
      <c r="AT34" s="193" t="str">
        <f t="shared" si="82"/>
        <v>10% US EPA SW CMC</v>
      </c>
      <c r="AU34" s="203">
        <f t="shared" si="27"/>
        <v>4.8</v>
      </c>
      <c r="AV34" s="203">
        <f t="shared" si="28"/>
        <v>4.8</v>
      </c>
      <c r="AW34" s="2047" t="str">
        <f t="shared" si="29"/>
        <v>--</v>
      </c>
      <c r="AX34" s="2054" t="str">
        <f t="shared" si="30"/>
        <v>--</v>
      </c>
      <c r="AZ34" s="22"/>
      <c r="BA34" s="350"/>
      <c r="BB34" s="27">
        <f t="shared" si="31"/>
        <v>9</v>
      </c>
      <c r="BC34" s="351" t="str">
        <f t="shared" si="32"/>
        <v>CTR FW CCC</v>
      </c>
      <c r="BD34" s="27">
        <f t="shared" si="33"/>
        <v>3.1</v>
      </c>
      <c r="BE34" s="351" t="str">
        <f t="shared" si="34"/>
        <v>CTR SW CCC</v>
      </c>
      <c r="BF34" s="350"/>
      <c r="BG34" s="350"/>
      <c r="BH34" s="350"/>
      <c r="BI34" s="350"/>
      <c r="BJ34" s="1304"/>
      <c r="BK34" s="1311"/>
      <c r="BL34" s="1311"/>
      <c r="BM34" s="350"/>
      <c r="BN34" s="350"/>
      <c r="BO34" s="350"/>
      <c r="BP34" s="35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row>
    <row r="35" spans="1:142" ht="12.95" customHeight="1">
      <c r="A35" s="897" t="s">
        <v>143</v>
      </c>
      <c r="B35" s="432" t="s">
        <v>144</v>
      </c>
      <c r="C35" s="205">
        <f t="shared" si="0"/>
        <v>1</v>
      </c>
      <c r="D35" s="207" t="str">
        <f t="shared" si="1"/>
        <v>Saltwater Goal</v>
      </c>
      <c r="E35" s="1637">
        <f t="shared" si="49"/>
        <v>400</v>
      </c>
      <c r="F35" s="187" t="str">
        <f t="shared" si="35"/>
        <v>National Criteria</v>
      </c>
      <c r="G35" s="1326">
        <f t="shared" si="2"/>
        <v>220000</v>
      </c>
      <c r="H35" s="1327" t="str">
        <f t="shared" si="3"/>
        <v>--</v>
      </c>
      <c r="I35" s="1359">
        <f t="shared" si="36"/>
        <v>400</v>
      </c>
      <c r="J35" s="1379">
        <f t="shared" si="4"/>
        <v>5.2</v>
      </c>
      <c r="K35" s="1361" t="str">
        <f t="shared" si="5"/>
        <v>Freshwater Exposure</v>
      </c>
      <c r="L35" s="209">
        <f t="shared" si="72"/>
        <v>5.2</v>
      </c>
      <c r="M35" s="1371" t="str">
        <f t="shared" si="6"/>
        <v>CTR FW CCC</v>
      </c>
      <c r="N35" s="216">
        <f t="shared" si="73"/>
        <v>5.2</v>
      </c>
      <c r="O35" s="203" t="str">
        <f t="shared" si="38"/>
        <v>--</v>
      </c>
      <c r="P35" s="203">
        <f t="shared" si="74"/>
        <v>5.2</v>
      </c>
      <c r="Q35" s="203">
        <f t="shared" si="7"/>
        <v>5.2</v>
      </c>
      <c r="R35" s="203">
        <f t="shared" si="8"/>
        <v>5.2</v>
      </c>
      <c r="S35" s="203">
        <f t="shared" si="75"/>
        <v>5.2</v>
      </c>
      <c r="T35" s="203">
        <f t="shared" si="9"/>
        <v>5.2</v>
      </c>
      <c r="U35" s="203" t="str">
        <f t="shared" si="10"/>
        <v>--</v>
      </c>
      <c r="V35" s="203" t="str">
        <f t="shared" si="11"/>
        <v>--</v>
      </c>
      <c r="W35" s="193" t="str">
        <f t="shared" si="12"/>
        <v>--</v>
      </c>
      <c r="X35" s="203">
        <f t="shared" si="76"/>
        <v>2.2000000000000002</v>
      </c>
      <c r="Y35" s="193" t="str">
        <f t="shared" si="77"/>
        <v>10% CTR FW CMC</v>
      </c>
      <c r="Z35" s="203">
        <f t="shared" si="13"/>
        <v>22</v>
      </c>
      <c r="AA35" s="203" t="str">
        <f t="shared" si="14"/>
        <v>--</v>
      </c>
      <c r="AB35" s="1368" t="str">
        <f t="shared" si="15"/>
        <v>--</v>
      </c>
      <c r="AC35" s="1356">
        <f t="shared" si="16"/>
        <v>1</v>
      </c>
      <c r="AD35" s="1377" t="str">
        <f t="shared" si="17"/>
        <v>Saltwater Exposure</v>
      </c>
      <c r="AE35" s="1353">
        <f t="shared" si="18"/>
        <v>1</v>
      </c>
      <c r="AF35" s="1364" t="str">
        <f t="shared" si="19"/>
        <v>CTR SW CCC</v>
      </c>
      <c r="AG35" s="216">
        <f t="shared" si="78"/>
        <v>1</v>
      </c>
      <c r="AH35" s="203">
        <f t="shared" si="43"/>
        <v>1</v>
      </c>
      <c r="AI35" s="203" t="str">
        <f t="shared" si="44"/>
        <v>--</v>
      </c>
      <c r="AJ35" s="203">
        <f t="shared" si="20"/>
        <v>1</v>
      </c>
      <c r="AK35" s="203">
        <f t="shared" si="79"/>
        <v>1</v>
      </c>
      <c r="AL35" s="203">
        <f t="shared" si="21"/>
        <v>1</v>
      </c>
      <c r="AM35" s="203" t="str">
        <f t="shared" si="22"/>
        <v>--</v>
      </c>
      <c r="AN35" s="203">
        <f t="shared" si="80"/>
        <v>1</v>
      </c>
      <c r="AO35" s="203">
        <f t="shared" si="23"/>
        <v>1</v>
      </c>
      <c r="AP35" s="203" t="str">
        <f t="shared" si="24"/>
        <v>--</v>
      </c>
      <c r="AQ35" s="203" t="str">
        <f t="shared" si="25"/>
        <v>--</v>
      </c>
      <c r="AR35" s="1262" t="str">
        <f t="shared" si="26"/>
        <v>--</v>
      </c>
      <c r="AS35" s="203">
        <f t="shared" si="81"/>
        <v>0.1</v>
      </c>
      <c r="AT35" s="193" t="str">
        <f t="shared" si="82"/>
        <v>10% US EPA SW CMC</v>
      </c>
      <c r="AU35" s="203">
        <f t="shared" si="27"/>
        <v>1</v>
      </c>
      <c r="AV35" s="203">
        <f t="shared" si="28"/>
        <v>1</v>
      </c>
      <c r="AW35" s="2047" t="str">
        <f t="shared" si="29"/>
        <v>--</v>
      </c>
      <c r="AX35" s="2054" t="str">
        <f t="shared" si="30"/>
        <v>--</v>
      </c>
      <c r="AZ35" s="22"/>
      <c r="BA35" s="350"/>
      <c r="BB35" s="27">
        <f t="shared" si="31"/>
        <v>5.2</v>
      </c>
      <c r="BC35" s="351" t="str">
        <f t="shared" si="32"/>
        <v>CTR FW CCC</v>
      </c>
      <c r="BD35" s="27">
        <f t="shared" si="33"/>
        <v>1</v>
      </c>
      <c r="BE35" s="351" t="str">
        <f t="shared" si="34"/>
        <v>CTR SW CCC</v>
      </c>
      <c r="BF35" s="350"/>
      <c r="BG35" s="350"/>
      <c r="BH35" s="350"/>
      <c r="BI35" s="350"/>
      <c r="BJ35" s="1304"/>
      <c r="BK35" s="1303"/>
      <c r="BL35" s="1311"/>
      <c r="BM35" s="350"/>
      <c r="BN35" s="350"/>
      <c r="BO35" s="350"/>
      <c r="BP35" s="35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row>
    <row r="36" spans="1:142" ht="12.95" customHeight="1">
      <c r="A36" s="897" t="s">
        <v>145</v>
      </c>
      <c r="B36" s="432" t="s">
        <v>146</v>
      </c>
      <c r="C36" s="205">
        <f t="shared" si="0"/>
        <v>21</v>
      </c>
      <c r="D36" s="207" t="str">
        <f t="shared" si="1"/>
        <v>Seafood Ingestion</v>
      </c>
      <c r="E36" s="1637">
        <f t="shared" si="49"/>
        <v>21</v>
      </c>
      <c r="F36" s="187" t="str">
        <f t="shared" si="35"/>
        <v>National Criteria</v>
      </c>
      <c r="G36" s="1326">
        <f t="shared" si="2"/>
        <v>34</v>
      </c>
      <c r="H36" s="1327" t="str">
        <f t="shared" si="3"/>
        <v>--</v>
      </c>
      <c r="I36" s="1359">
        <f t="shared" si="36"/>
        <v>21</v>
      </c>
      <c r="J36" s="1379">
        <f t="shared" si="4"/>
        <v>1100</v>
      </c>
      <c r="K36" s="1361" t="str">
        <f t="shared" si="5"/>
        <v>Freshwater Exposure</v>
      </c>
      <c r="L36" s="209">
        <f t="shared" si="72"/>
        <v>1100</v>
      </c>
      <c r="M36" s="1371" t="str">
        <f t="shared" si="6"/>
        <v>10% US EPA FW Acute LOEL</v>
      </c>
      <c r="N36" s="216" t="str">
        <f t="shared" si="73"/>
        <v>--</v>
      </c>
      <c r="O36" s="203" t="str">
        <f t="shared" si="38"/>
        <v>--</v>
      </c>
      <c r="P36" s="203" t="str">
        <f t="shared" si="74"/>
        <v>--</v>
      </c>
      <c r="Q36" s="203" t="str">
        <f t="shared" si="7"/>
        <v>--</v>
      </c>
      <c r="R36" s="203" t="str">
        <f t="shared" si="8"/>
        <v>--</v>
      </c>
      <c r="S36" s="203" t="str">
        <f t="shared" si="75"/>
        <v>--</v>
      </c>
      <c r="T36" s="203" t="str">
        <f t="shared" si="9"/>
        <v>--</v>
      </c>
      <c r="U36" s="203" t="str">
        <f t="shared" si="10"/>
        <v>--</v>
      </c>
      <c r="V36" s="203" t="str">
        <f t="shared" si="11"/>
        <v>--</v>
      </c>
      <c r="W36" s="193" t="str">
        <f t="shared" si="12"/>
        <v>--</v>
      </c>
      <c r="X36" s="203">
        <f t="shared" si="76"/>
        <v>1100</v>
      </c>
      <c r="Y36" s="193" t="str">
        <f t="shared" si="77"/>
        <v>10% US EPA FW Acute LOEL</v>
      </c>
      <c r="Z36" s="203" t="str">
        <f t="shared" si="13"/>
        <v>--</v>
      </c>
      <c r="AA36" s="203" t="str">
        <f t="shared" si="14"/>
        <v>--</v>
      </c>
      <c r="AB36" s="1368">
        <f t="shared" si="15"/>
        <v>11000</v>
      </c>
      <c r="AC36" s="1356">
        <f t="shared" si="16"/>
        <v>3200</v>
      </c>
      <c r="AD36" s="1377" t="str">
        <f t="shared" si="17"/>
        <v>Saltwater Exposure</v>
      </c>
      <c r="AE36" s="1353">
        <f t="shared" si="18"/>
        <v>3200</v>
      </c>
      <c r="AF36" s="1364" t="str">
        <f t="shared" si="19"/>
        <v>50% US EPA SW Chronic LOEL</v>
      </c>
      <c r="AG36" s="216">
        <f t="shared" si="78"/>
        <v>3200</v>
      </c>
      <c r="AH36" s="203" t="str">
        <f t="shared" si="43"/>
        <v>--</v>
      </c>
      <c r="AI36" s="203" t="str">
        <f t="shared" si="44"/>
        <v>--</v>
      </c>
      <c r="AJ36" s="203" t="str">
        <f t="shared" si="20"/>
        <v>--</v>
      </c>
      <c r="AK36" s="203">
        <f t="shared" si="79"/>
        <v>3200</v>
      </c>
      <c r="AL36" s="203" t="str">
        <f t="shared" si="21"/>
        <v>--</v>
      </c>
      <c r="AM36" s="203" t="str">
        <f t="shared" si="22"/>
        <v>--</v>
      </c>
      <c r="AN36" s="203">
        <f t="shared" si="80"/>
        <v>3200</v>
      </c>
      <c r="AO36" s="203" t="str">
        <f t="shared" si="23"/>
        <v>--</v>
      </c>
      <c r="AP36" s="203">
        <f t="shared" si="24"/>
        <v>6400</v>
      </c>
      <c r="AQ36" s="203" t="str">
        <f t="shared" si="25"/>
        <v>--</v>
      </c>
      <c r="AR36" s="1262" t="str">
        <f t="shared" si="26"/>
        <v>--</v>
      </c>
      <c r="AS36" s="203">
        <f t="shared" si="81"/>
        <v>1200</v>
      </c>
      <c r="AT36" s="193" t="str">
        <f t="shared" si="82"/>
        <v>10% US EPA SW Acute LOEL</v>
      </c>
      <c r="AU36" s="203" t="str">
        <f t="shared" si="27"/>
        <v>--</v>
      </c>
      <c r="AV36" s="203" t="str">
        <f t="shared" si="28"/>
        <v>--</v>
      </c>
      <c r="AW36" s="2047">
        <f t="shared" si="29"/>
        <v>12000</v>
      </c>
      <c r="AX36" s="2054" t="str">
        <f t="shared" si="30"/>
        <v>--</v>
      </c>
      <c r="AZ36" s="22"/>
      <c r="BA36" s="350"/>
      <c r="BB36" s="27" t="str">
        <f t="shared" si="31"/>
        <v>--</v>
      </c>
      <c r="BC36" s="351" t="str">
        <f t="shared" si="32"/>
        <v>--</v>
      </c>
      <c r="BD36" s="27">
        <f t="shared" si="33"/>
        <v>3200</v>
      </c>
      <c r="BE36" s="351" t="str">
        <f t="shared" si="34"/>
        <v>50% US EPA SW Chronic LOEL</v>
      </c>
      <c r="BF36" s="350"/>
      <c r="BG36" s="350"/>
      <c r="BH36" s="350"/>
      <c r="BI36" s="350"/>
      <c r="BJ36" s="1304"/>
      <c r="BK36" s="1310"/>
      <c r="BL36" s="1311"/>
      <c r="BM36" s="350"/>
      <c r="BN36" s="350"/>
      <c r="BO36" s="350"/>
      <c r="BP36" s="35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row>
    <row r="37" spans="1:142" ht="12.95" customHeight="1">
      <c r="A37" s="897" t="s">
        <v>147</v>
      </c>
      <c r="B37" s="432" t="s">
        <v>148</v>
      </c>
      <c r="C37" s="205" t="str">
        <f t="shared" si="0"/>
        <v>--</v>
      </c>
      <c r="D37" s="207" t="str">
        <f t="shared" si="1"/>
        <v>--</v>
      </c>
      <c r="E37" s="1637" t="str">
        <f t="shared" si="49"/>
        <v>--</v>
      </c>
      <c r="F37" s="187" t="str">
        <f t="shared" si="35"/>
        <v>--</v>
      </c>
      <c r="G37" s="1326" t="str">
        <f t="shared" ref="G37:G68" si="83">IF((VLOOKUP($A37,Table_IP_7,MATCH("ctr",heading_IP_7,0),FALSE))="--", "--",(VLOOKUP($A37,Table_IP_7,MATCH("ctr",heading_IP_7,0),FALSE)))</f>
        <v>--</v>
      </c>
      <c r="H37" s="1327" t="str">
        <f t="shared" ref="H37:H68" si="84">IF((VLOOKUP($A37,Table_IP_7,MATCH("op",heading_IP_7,0),FALSE))="--", "--",(VLOOKUP($A37,Table_IP_7,MATCH("op",heading_IP_7,0),FALSE)))</f>
        <v>--</v>
      </c>
      <c r="I37" s="1359" t="str">
        <f t="shared" ref="I37:I68" si="85">IF((VLOOKUP($A37,Table_IP_7,MATCH("nwq",heading_IP_7,0),FALSE))="--", "--",(VLOOKUP($A37,Table_IP_7,MATCH("nwq",heading_IP_7,0),FALSE)))</f>
        <v>--</v>
      </c>
      <c r="J37" s="1379" t="str">
        <f t="shared" si="4"/>
        <v>--</v>
      </c>
      <c r="K37" s="1361" t="str">
        <f t="shared" si="5"/>
        <v>--</v>
      </c>
      <c r="L37" s="209" t="str">
        <f t="shared" si="72"/>
        <v>--</v>
      </c>
      <c r="M37" s="1371" t="str">
        <f t="shared" ref="M37:M68" si="86">IF(L37="--", "--", IF(L37=BB37,BC37,(IF(L37=X37,Y37,(IF(L37=O37,"Basin Plan",""))))))</f>
        <v>--</v>
      </c>
      <c r="N37" s="216" t="str">
        <f t="shared" si="73"/>
        <v>--</v>
      </c>
      <c r="O37" s="203" t="str">
        <f t="shared" ref="O37:O68" si="87">(VLOOKUP($A37,Table_IP_5,MATCH("FW other",heading_IP_5,0),FALSE))</f>
        <v>--</v>
      </c>
      <c r="P37" s="203" t="str">
        <f t="shared" si="74"/>
        <v>--</v>
      </c>
      <c r="Q37" s="203" t="str">
        <f t="shared" ref="Q37:Q68" si="88">(VLOOKUP($A37,Table_IP_5,MATCH("FW CCC",heading_IP_5,0),FALSE))</f>
        <v>--</v>
      </c>
      <c r="R37" s="203" t="str">
        <f t="shared" ref="R37:R68" si="89">VLOOKUP($A37,Table_IP_6, MATCH("FW CCC", heading_IP_6, 0), FALSE)</f>
        <v>--</v>
      </c>
      <c r="S37" s="203" t="str">
        <f t="shared" si="75"/>
        <v>--</v>
      </c>
      <c r="T37" s="203" t="str">
        <f t="shared" ref="T37:T68" si="90">(VLOOKUP($A37,Table_IP_6, MATCH("FW TH", heading_IP_6, 0), FALSE))</f>
        <v>--</v>
      </c>
      <c r="U37" s="203" t="str">
        <f t="shared" ref="U37:U68" si="91">(VLOOKUP($A37,Table_IP_6, MATCH("FW C-LOEL", heading_IP_6, 0), FALSE))</f>
        <v>--</v>
      </c>
      <c r="V37" s="203" t="str">
        <f t="shared" ref="V37:V68" si="92">(VLOOKUP($A37,Table_IP_6, MATCH("FW other", heading_IP_6, 0), FALSE))</f>
        <v>--</v>
      </c>
      <c r="W37" s="193" t="str">
        <f t="shared" ref="W37:W68" si="93">IF(VLOOKUP($A37,Table_IP_6, MATCH("FW other basis", heading_IP_6, 0), FALSE)=0, " ", (VLOOKUP($A37,Table_IP_6, MATCH("FW other basis", heading_IP_6, 0), FALSE)))</f>
        <v>--</v>
      </c>
      <c r="X37" s="203" t="str">
        <f t="shared" si="76"/>
        <v>--</v>
      </c>
      <c r="Y37" s="193" t="str">
        <f t="shared" si="77"/>
        <v>--</v>
      </c>
      <c r="Z37" s="203" t="str">
        <f t="shared" ref="Z37:Z68" si="94">(VLOOKUP($A37,Table_IP_5, MATCH("FW CMC", heading_IP_5, 0), FALSE))</f>
        <v>--</v>
      </c>
      <c r="AA37" s="203" t="str">
        <f t="shared" ref="AA37:AA68" si="95">(VLOOKUP($A37,Table_IP_6, MATCH("FW other", heading_IP_6, 0), FALSE))</f>
        <v>--</v>
      </c>
      <c r="AB37" s="1368" t="str">
        <f t="shared" ref="AB37:AB68" si="96">(VLOOKUP($A37,Table_IP_6, MATCH("FW A-LOEL", heading_IP_6, 0), FALSE))</f>
        <v>--</v>
      </c>
      <c r="AC37" s="1356" t="str">
        <f t="shared" si="16"/>
        <v>--</v>
      </c>
      <c r="AD37" s="1377" t="str">
        <f t="shared" si="17"/>
        <v>--</v>
      </c>
      <c r="AE37" s="1353" t="str">
        <f t="shared" ref="AE37:AE68" si="97">IF(AG37="--",AS37, AG37)</f>
        <v>--</v>
      </c>
      <c r="AF37" s="1364" t="str">
        <f t="shared" ref="AF37:AF68" si="98">IF(AE37=BD37,BE37,(IF(AE37=AS37,AT37,(IF(AE37=AH37,"Basin Plan","")))))</f>
        <v>--</v>
      </c>
      <c r="AG37" s="216" t="str">
        <f t="shared" si="78"/>
        <v>--</v>
      </c>
      <c r="AH37" s="203" t="str">
        <f t="shared" si="43"/>
        <v>--</v>
      </c>
      <c r="AI37" s="203" t="str">
        <f t="shared" ref="AI37:AI68" si="99">VLOOKUP($A37,Table_IP_5,MATCH("M other",heading_IP_5,0),FALSE)</f>
        <v>--</v>
      </c>
      <c r="AJ37" s="203" t="str">
        <f t="shared" ref="AJ37:AJ68" si="100">VLOOKUP($A37,Table_IP_5,MATCH("M M",heading_IP_5,0),FALSE)</f>
        <v>--</v>
      </c>
      <c r="AK37" s="203" t="str">
        <f t="shared" si="79"/>
        <v>--</v>
      </c>
      <c r="AL37" s="203" t="str">
        <f t="shared" ref="AL37:AL68" si="101">(VLOOKUP($A37,Table_IP_5, MATCH("M CCC", heading_IP_5, 0), FALSE))</f>
        <v>--</v>
      </c>
      <c r="AM37" s="203" t="str">
        <f t="shared" ref="AM37:AM68" si="102">VLOOKUP($A37,Table_IP_6, MATCH("M CCC", heading_IP_6, 0), FALSE)</f>
        <v>--</v>
      </c>
      <c r="AN37" s="203" t="str">
        <f t="shared" si="80"/>
        <v>--</v>
      </c>
      <c r="AO37" s="203" t="str">
        <f t="shared" ref="AO37:AO68" si="103">VLOOKUP($A37,Table_IP_6, MATCH("M TH", heading_IP_6, 0), FALSE)</f>
        <v>--</v>
      </c>
      <c r="AP37" s="203" t="str">
        <f t="shared" ref="AP37:AP68" si="104">VLOOKUP($A37,Table_IP_6, MATCH("M C-LOEL", heading_IP_6, 0), FALSE)</f>
        <v>--</v>
      </c>
      <c r="AQ37" s="203" t="str">
        <f t="shared" ref="AQ37:AQ68" si="105">VLOOKUP($A37,Table_IP_6, MATCH("M other", heading_IP_6, 0), FALSE)</f>
        <v>--</v>
      </c>
      <c r="AR37" s="1262" t="str">
        <f t="shared" ref="AR37:AR68" si="106">IF(VLOOKUP($A37,Table_IP_6, MATCH("M other basis", heading_IP_6, 0), FALSE)= " ", " ", VLOOKUP($A37,Table_IP_6, MATCH("M other basis", heading_IP_6, 0), FALSE))</f>
        <v>--</v>
      </c>
      <c r="AS37" s="203" t="str">
        <f t="shared" si="81"/>
        <v>--</v>
      </c>
      <c r="AT37" s="193" t="str">
        <f t="shared" si="82"/>
        <v>--</v>
      </c>
      <c r="AU37" s="203" t="str">
        <f t="shared" ref="AU37:AU68" si="107">(VLOOKUP($A37,Table_IP_5, MATCH("M CMC", heading_IP_5, 0), FALSE))</f>
        <v>--</v>
      </c>
      <c r="AV37" s="203" t="str">
        <f t="shared" ref="AV37:AV68" si="108">VLOOKUP($A37,Table_IP_6, MATCH("M CMC", heading_IP_6, 0), FALSE)</f>
        <v>--</v>
      </c>
      <c r="AW37" s="2047" t="str">
        <f t="shared" ref="AW37:AW68" si="109">VLOOKUP($A37,Table_IP_6, MATCH("M A-LOEL", heading_IP_6, 0), FALSE)</f>
        <v>--</v>
      </c>
      <c r="AX37" s="2054" t="str">
        <f t="shared" ref="AX37:AX68" si="110">(VLOOKUP($A37,Table_IP_6,MATCH("Bioac Exp",heading_IP_6,0),FALSE))</f>
        <v>--</v>
      </c>
      <c r="AZ37" s="22"/>
      <c r="BA37" s="350"/>
      <c r="BB37" s="27" t="str">
        <f t="shared" ref="BB37:BB68" si="111">IF(Q37&lt;&gt;"--",Q37,IF(R37&lt;&gt;"--",R37,IF(S37&lt;&gt;"--",S37,IF(V37&lt;&gt;"--",V37, "--"))))</f>
        <v>--</v>
      </c>
      <c r="BC37" s="351" t="str">
        <f t="shared" ref="BC37:BC68" si="112">IF(BB37="--","--",(IF(BB37=Q37,"CTR FW CCC",(IF(BB37=R37,"US EPA FW CCC",(IF(BB37=T37,"US EPA Ecotox FW Chronic",(IF(BB37=V37,W37,"50% US EPA FW Chronic LOEL")))))))))</f>
        <v>--</v>
      </c>
      <c r="BD37" s="27" t="str">
        <f t="shared" ref="BD37:BD68" si="113">IF(AL37&lt;&gt;"--",AL37,IF(AM37&lt;&gt;"--",AM37,IF(AN37&lt;&gt;"--",AN37,IF(AQ37&lt;&gt;"--",AQ37,"--"))))</f>
        <v>--</v>
      </c>
      <c r="BE37" s="351" t="str">
        <f t="shared" ref="BE37:BE68" si="114">IF(BD37="--","--",(IF(BD37=AL37,"CTR SW CCC",(IF(BD37=AM37,"US EPA SW CCC",(IF(BD37=AO37,"US EPA Ecotox SW Chronic",(IF(BD37=AQ37,AR37,"50% US EPA SW Chronic LOEL")))))))))</f>
        <v>--</v>
      </c>
      <c r="BF37" s="350"/>
      <c r="BG37" s="350"/>
      <c r="BH37" s="350"/>
      <c r="BI37" s="350"/>
      <c r="BJ37" s="1303"/>
      <c r="BK37" s="1303"/>
      <c r="BL37" s="1311"/>
      <c r="BM37" s="350"/>
      <c r="BN37" s="350"/>
      <c r="BO37" s="350"/>
      <c r="BP37" s="35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row>
    <row r="38" spans="1:142" ht="12.95" customHeight="1">
      <c r="A38" s="897" t="s">
        <v>149</v>
      </c>
      <c r="B38" s="432" t="s">
        <v>150</v>
      </c>
      <c r="C38" s="205">
        <f t="shared" ref="C38:C69" si="115">IF(AND(E38="--",L38="--",AE38="--"),"--",(MIN(E38,L38,AE38)))</f>
        <v>1400</v>
      </c>
      <c r="D38" s="207" t="str">
        <f t="shared" ref="D38:D69" si="116">IF(C38="--","--",IF(C38=L38, "Freshwater Goal", IF(C38=AE38,"Saltwater Goal", "Seafood Ingestion")))</f>
        <v>Freshwater Goal</v>
      </c>
      <c r="E38" s="1637" t="str">
        <f t="shared" si="49"/>
        <v>--</v>
      </c>
      <c r="F38" s="187" t="str">
        <f t="shared" si="35"/>
        <v>--</v>
      </c>
      <c r="G38" s="1326" t="str">
        <f t="shared" si="83"/>
        <v>--</v>
      </c>
      <c r="H38" s="1327" t="str">
        <f t="shared" si="84"/>
        <v>--</v>
      </c>
      <c r="I38" s="1359" t="str">
        <f t="shared" si="85"/>
        <v>--</v>
      </c>
      <c r="J38" s="1379">
        <f t="shared" ref="J38:J69" si="117">IF(AND(AX38="--",L38="--"), "--", MIN(AX38,L38))</f>
        <v>1400</v>
      </c>
      <c r="K38" s="1361" t="str">
        <f t="shared" ref="K38:K69" si="118">IF(J38="--","--",IF(J38=L38,"Freshwater Exposure","Bioaccumulation Exposure"))</f>
        <v>Freshwater Exposure</v>
      </c>
      <c r="L38" s="209">
        <f t="shared" si="72"/>
        <v>1400</v>
      </c>
      <c r="M38" s="1371" t="str">
        <f t="shared" si="86"/>
        <v>50% MOEE FW Chronic AWQC</v>
      </c>
      <c r="N38" s="216">
        <f t="shared" si="73"/>
        <v>1400</v>
      </c>
      <c r="O38" s="203" t="str">
        <f t="shared" si="87"/>
        <v>--</v>
      </c>
      <c r="P38" s="203">
        <f t="shared" si="74"/>
        <v>1400</v>
      </c>
      <c r="Q38" s="203" t="str">
        <f t="shared" si="88"/>
        <v>--</v>
      </c>
      <c r="R38" s="203" t="str">
        <f t="shared" si="89"/>
        <v>--</v>
      </c>
      <c r="S38" s="203" t="str">
        <f t="shared" si="75"/>
        <v>--</v>
      </c>
      <c r="T38" s="203" t="str">
        <f t="shared" si="90"/>
        <v>--</v>
      </c>
      <c r="U38" s="203" t="str">
        <f t="shared" si="91"/>
        <v>--</v>
      </c>
      <c r="V38" s="203">
        <f t="shared" si="92"/>
        <v>1400</v>
      </c>
      <c r="W38" s="193" t="str">
        <f t="shared" si="93"/>
        <v>50% MOEE FW Chronic AWQC</v>
      </c>
      <c r="X38" s="203">
        <f t="shared" si="76"/>
        <v>140</v>
      </c>
      <c r="Y38" s="193" t="str">
        <f t="shared" si="77"/>
        <v>10% US EPA FW CMC</v>
      </c>
      <c r="Z38" s="203" t="str">
        <f t="shared" si="94"/>
        <v>--</v>
      </c>
      <c r="AA38" s="203">
        <f t="shared" si="95"/>
        <v>1400</v>
      </c>
      <c r="AB38" s="1368" t="str">
        <f t="shared" si="96"/>
        <v>--</v>
      </c>
      <c r="AC38" s="1356" t="str">
        <f t="shared" ref="AC38:AC69" si="119">IF(AND(AX38="--",AE38="--"), "--", MIN(AX38,AE38))</f>
        <v>--</v>
      </c>
      <c r="AD38" s="1377" t="str">
        <f t="shared" ref="AD38:AD69" si="120">IF(AC38="--","--",IF(AC38=AE38, "Saltwater Exposure","Bioaccumulation Exposure"))</f>
        <v>--</v>
      </c>
      <c r="AE38" s="1353" t="str">
        <f t="shared" si="97"/>
        <v>--</v>
      </c>
      <c r="AF38" s="1364" t="str">
        <f t="shared" si="98"/>
        <v>--</v>
      </c>
      <c r="AG38" s="216" t="str">
        <f t="shared" si="78"/>
        <v>--</v>
      </c>
      <c r="AH38" s="203" t="str">
        <f t="shared" si="43"/>
        <v>--</v>
      </c>
      <c r="AI38" s="203" t="str">
        <f t="shared" si="99"/>
        <v>--</v>
      </c>
      <c r="AJ38" s="203" t="str">
        <f t="shared" si="100"/>
        <v>--</v>
      </c>
      <c r="AK38" s="203" t="str">
        <f t="shared" si="79"/>
        <v>--</v>
      </c>
      <c r="AL38" s="203" t="str">
        <f t="shared" si="101"/>
        <v>--</v>
      </c>
      <c r="AM38" s="203" t="str">
        <f t="shared" si="102"/>
        <v>--</v>
      </c>
      <c r="AN38" s="203" t="str">
        <f t="shared" si="80"/>
        <v>--</v>
      </c>
      <c r="AO38" s="203" t="str">
        <f t="shared" si="103"/>
        <v>--</v>
      </c>
      <c r="AP38" s="203" t="str">
        <f t="shared" si="104"/>
        <v>--</v>
      </c>
      <c r="AQ38" s="203" t="str">
        <f t="shared" si="105"/>
        <v>--</v>
      </c>
      <c r="AR38" s="1262" t="str">
        <f t="shared" si="106"/>
        <v>--</v>
      </c>
      <c r="AS38" s="203" t="str">
        <f t="shared" si="81"/>
        <v>--</v>
      </c>
      <c r="AT38" s="193" t="str">
        <f t="shared" si="82"/>
        <v>--</v>
      </c>
      <c r="AU38" s="203" t="str">
        <f t="shared" si="107"/>
        <v>--</v>
      </c>
      <c r="AV38" s="203" t="str">
        <f t="shared" si="108"/>
        <v>--</v>
      </c>
      <c r="AW38" s="2047" t="str">
        <f t="shared" si="109"/>
        <v>--</v>
      </c>
      <c r="AX38" s="2054" t="str">
        <f t="shared" si="110"/>
        <v>--</v>
      </c>
      <c r="AZ38" s="22"/>
      <c r="BA38" s="350"/>
      <c r="BB38" s="27">
        <f t="shared" si="111"/>
        <v>1400</v>
      </c>
      <c r="BC38" s="351" t="str">
        <f t="shared" si="112"/>
        <v>50% MOEE FW Chronic AWQC</v>
      </c>
      <c r="BD38" s="27" t="str">
        <f t="shared" si="113"/>
        <v>--</v>
      </c>
      <c r="BE38" s="351" t="str">
        <f t="shared" si="114"/>
        <v>--</v>
      </c>
      <c r="BF38" s="350"/>
      <c r="BG38" s="350"/>
      <c r="BH38" s="350"/>
      <c r="BI38" s="350"/>
      <c r="BJ38" s="1303"/>
      <c r="BK38" s="1310"/>
      <c r="BL38" s="1311"/>
      <c r="BM38" s="350"/>
      <c r="BN38" s="350"/>
      <c r="BO38" s="350"/>
      <c r="BP38" s="35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row>
    <row r="39" spans="1:142" ht="12.95" customHeight="1">
      <c r="A39" s="897" t="s">
        <v>151</v>
      </c>
      <c r="B39" s="432" t="s">
        <v>152</v>
      </c>
      <c r="C39" s="205">
        <f t="shared" si="115"/>
        <v>14</v>
      </c>
      <c r="D39" s="207" t="str">
        <f t="shared" si="116"/>
        <v>Freshwater Goal</v>
      </c>
      <c r="E39" s="1637">
        <f t="shared" si="49"/>
        <v>3000</v>
      </c>
      <c r="F39" s="187" t="str">
        <f t="shared" si="35"/>
        <v>National Criteria</v>
      </c>
      <c r="G39" s="1326">
        <f t="shared" si="83"/>
        <v>17000</v>
      </c>
      <c r="H39" s="1327">
        <f t="shared" si="84"/>
        <v>5100</v>
      </c>
      <c r="I39" s="1359">
        <f t="shared" si="85"/>
        <v>3000</v>
      </c>
      <c r="J39" s="1379">
        <f t="shared" si="117"/>
        <v>14</v>
      </c>
      <c r="K39" s="1361" t="str">
        <f t="shared" si="118"/>
        <v>Freshwater Exposure</v>
      </c>
      <c r="L39" s="209">
        <f t="shared" si="72"/>
        <v>14</v>
      </c>
      <c r="M39" s="1371" t="str">
        <f t="shared" si="86"/>
        <v>US EPA Ecotox FW Chronic</v>
      </c>
      <c r="N39" s="216">
        <f t="shared" si="73"/>
        <v>14</v>
      </c>
      <c r="O39" s="203" t="str">
        <f t="shared" si="87"/>
        <v>--</v>
      </c>
      <c r="P39" s="203">
        <f t="shared" si="74"/>
        <v>14</v>
      </c>
      <c r="Q39" s="203" t="str">
        <f t="shared" si="88"/>
        <v>--</v>
      </c>
      <c r="R39" s="203" t="str">
        <f t="shared" si="89"/>
        <v>--</v>
      </c>
      <c r="S39" s="203">
        <f t="shared" si="75"/>
        <v>14</v>
      </c>
      <c r="T39" s="203">
        <f t="shared" si="90"/>
        <v>14</v>
      </c>
      <c r="U39" s="203">
        <f t="shared" si="91"/>
        <v>763</v>
      </c>
      <c r="V39" s="203" t="str">
        <f t="shared" si="92"/>
        <v>--</v>
      </c>
      <c r="W39" s="193" t="str">
        <f t="shared" si="93"/>
        <v>--</v>
      </c>
      <c r="X39" s="203">
        <f t="shared" si="76"/>
        <v>112</v>
      </c>
      <c r="Y39" s="193" t="str">
        <f t="shared" si="77"/>
        <v>10% US EPA FW Acute LOEL</v>
      </c>
      <c r="Z39" s="203" t="str">
        <f t="shared" si="94"/>
        <v>--</v>
      </c>
      <c r="AA39" s="203" t="str">
        <f t="shared" si="95"/>
        <v>--</v>
      </c>
      <c r="AB39" s="1368">
        <f t="shared" si="96"/>
        <v>1120</v>
      </c>
      <c r="AC39" s="1356">
        <f t="shared" si="119"/>
        <v>64.5</v>
      </c>
      <c r="AD39" s="1377" t="str">
        <f t="shared" si="120"/>
        <v>Saltwater Exposure</v>
      </c>
      <c r="AE39" s="1353">
        <f t="shared" si="97"/>
        <v>64.5</v>
      </c>
      <c r="AF39" s="1364" t="str">
        <f t="shared" si="98"/>
        <v>50% US EPA SW Chronic LOEL</v>
      </c>
      <c r="AG39" s="216">
        <f t="shared" si="78"/>
        <v>64.5</v>
      </c>
      <c r="AH39" s="203" t="str">
        <f t="shared" si="43"/>
        <v>--</v>
      </c>
      <c r="AI39" s="203" t="str">
        <f t="shared" si="99"/>
        <v>--</v>
      </c>
      <c r="AJ39" s="203" t="str">
        <f t="shared" si="100"/>
        <v>--</v>
      </c>
      <c r="AK39" s="203">
        <f t="shared" si="79"/>
        <v>64.5</v>
      </c>
      <c r="AL39" s="203" t="str">
        <f t="shared" si="101"/>
        <v>--</v>
      </c>
      <c r="AM39" s="203" t="str">
        <f t="shared" si="102"/>
        <v>--</v>
      </c>
      <c r="AN39" s="203">
        <f t="shared" si="80"/>
        <v>64.5</v>
      </c>
      <c r="AO39" s="203" t="str">
        <f t="shared" si="103"/>
        <v>--</v>
      </c>
      <c r="AP39" s="203">
        <f t="shared" si="104"/>
        <v>129</v>
      </c>
      <c r="AQ39" s="203" t="str">
        <f t="shared" si="105"/>
        <v>--</v>
      </c>
      <c r="AR39" s="1262" t="str">
        <f t="shared" si="106"/>
        <v>--</v>
      </c>
      <c r="AS39" s="203">
        <f t="shared" si="81"/>
        <v>197</v>
      </c>
      <c r="AT39" s="193" t="str">
        <f t="shared" si="82"/>
        <v>10% US EPA SW Acute LOEL</v>
      </c>
      <c r="AU39" s="203" t="str">
        <f t="shared" si="107"/>
        <v>--</v>
      </c>
      <c r="AV39" s="203" t="str">
        <f t="shared" si="108"/>
        <v>--</v>
      </c>
      <c r="AW39" s="2047">
        <f t="shared" si="109"/>
        <v>1970</v>
      </c>
      <c r="AX39" s="2054" t="str">
        <f t="shared" si="110"/>
        <v>--</v>
      </c>
      <c r="AZ39" s="22"/>
      <c r="BA39" s="350"/>
      <c r="BB39" s="27">
        <f t="shared" si="111"/>
        <v>14</v>
      </c>
      <c r="BC39" s="351" t="str">
        <f t="shared" si="112"/>
        <v>US EPA Ecotox FW Chronic</v>
      </c>
      <c r="BD39" s="27">
        <f t="shared" si="113"/>
        <v>64.5</v>
      </c>
      <c r="BE39" s="351" t="str">
        <f t="shared" si="114"/>
        <v>50% US EPA SW Chronic LOEL</v>
      </c>
      <c r="BF39" s="350"/>
      <c r="BG39" s="350"/>
      <c r="BH39" s="350"/>
      <c r="BI39" s="350"/>
      <c r="BJ39" s="1303"/>
      <c r="BK39" s="1303"/>
      <c r="BL39" s="1311"/>
      <c r="BM39" s="350"/>
      <c r="BN39" s="350"/>
      <c r="BO39" s="350"/>
      <c r="BP39" s="35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row>
    <row r="40" spans="1:142" ht="12.95" customHeight="1">
      <c r="A40" s="897" t="s">
        <v>153</v>
      </c>
      <c r="B40" s="432" t="s">
        <v>154</v>
      </c>
      <c r="C40" s="205">
        <f t="shared" si="115"/>
        <v>15</v>
      </c>
      <c r="D40" s="207" t="str">
        <f t="shared" si="116"/>
        <v>Freshwater Goal</v>
      </c>
      <c r="E40" s="1637">
        <f t="shared" si="49"/>
        <v>18</v>
      </c>
      <c r="F40" s="187" t="str">
        <f t="shared" si="35"/>
        <v>Cal Ocean Plan</v>
      </c>
      <c r="G40" s="1326">
        <f t="shared" si="83"/>
        <v>2600</v>
      </c>
      <c r="H40" s="1327">
        <f t="shared" si="84"/>
        <v>18</v>
      </c>
      <c r="I40" s="1359">
        <f t="shared" si="85"/>
        <v>900</v>
      </c>
      <c r="J40" s="1379">
        <f t="shared" si="117"/>
        <v>15</v>
      </c>
      <c r="K40" s="1361" t="str">
        <f t="shared" si="118"/>
        <v>Freshwater Exposure</v>
      </c>
      <c r="L40" s="209">
        <f t="shared" si="72"/>
        <v>15</v>
      </c>
      <c r="M40" s="1371" t="str">
        <f t="shared" si="86"/>
        <v>US EPA Ecotox FW Chronic</v>
      </c>
      <c r="N40" s="216">
        <f t="shared" si="73"/>
        <v>15</v>
      </c>
      <c r="O40" s="203" t="str">
        <f t="shared" si="87"/>
        <v>--</v>
      </c>
      <c r="P40" s="203">
        <f t="shared" si="74"/>
        <v>15</v>
      </c>
      <c r="Q40" s="203" t="str">
        <f t="shared" si="88"/>
        <v>--</v>
      </c>
      <c r="R40" s="203" t="str">
        <f t="shared" si="89"/>
        <v>--</v>
      </c>
      <c r="S40" s="203">
        <f t="shared" si="75"/>
        <v>15</v>
      </c>
      <c r="T40" s="203">
        <f t="shared" si="90"/>
        <v>15</v>
      </c>
      <c r="U40" s="203">
        <f t="shared" si="91"/>
        <v>763</v>
      </c>
      <c r="V40" s="203" t="str">
        <f t="shared" si="92"/>
        <v>--</v>
      </c>
      <c r="W40" s="193" t="str">
        <f t="shared" si="93"/>
        <v>--</v>
      </c>
      <c r="X40" s="203">
        <f t="shared" si="76"/>
        <v>112</v>
      </c>
      <c r="Y40" s="193" t="str">
        <f t="shared" si="77"/>
        <v>10% US EPA FW Acute LOEL</v>
      </c>
      <c r="Z40" s="203" t="str">
        <f t="shared" si="94"/>
        <v>--</v>
      </c>
      <c r="AA40" s="203" t="str">
        <f t="shared" si="95"/>
        <v>--</v>
      </c>
      <c r="AB40" s="1368">
        <f t="shared" si="96"/>
        <v>1120</v>
      </c>
      <c r="AC40" s="1356">
        <f t="shared" si="119"/>
        <v>64.5</v>
      </c>
      <c r="AD40" s="1377" t="str">
        <f t="shared" si="120"/>
        <v>Saltwater Exposure</v>
      </c>
      <c r="AE40" s="1353">
        <f t="shared" si="97"/>
        <v>64.5</v>
      </c>
      <c r="AF40" s="1364" t="str">
        <f t="shared" si="98"/>
        <v>50% US EPA SW Chronic LOEL</v>
      </c>
      <c r="AG40" s="216">
        <f t="shared" si="78"/>
        <v>64.5</v>
      </c>
      <c r="AH40" s="203" t="str">
        <f t="shared" si="43"/>
        <v>--</v>
      </c>
      <c r="AI40" s="203" t="str">
        <f t="shared" si="99"/>
        <v>--</v>
      </c>
      <c r="AJ40" s="203" t="str">
        <f t="shared" si="100"/>
        <v>--</v>
      </c>
      <c r="AK40" s="203">
        <f t="shared" si="79"/>
        <v>64.5</v>
      </c>
      <c r="AL40" s="203" t="str">
        <f t="shared" si="101"/>
        <v>--</v>
      </c>
      <c r="AM40" s="203" t="str">
        <f t="shared" si="102"/>
        <v>--</v>
      </c>
      <c r="AN40" s="203">
        <f t="shared" si="80"/>
        <v>64.5</v>
      </c>
      <c r="AO40" s="203" t="str">
        <f t="shared" si="103"/>
        <v>--</v>
      </c>
      <c r="AP40" s="203">
        <f t="shared" si="104"/>
        <v>129</v>
      </c>
      <c r="AQ40" s="203" t="str">
        <f t="shared" si="105"/>
        <v>--</v>
      </c>
      <c r="AR40" s="1262" t="str">
        <f t="shared" si="106"/>
        <v>--</v>
      </c>
      <c r="AS40" s="203">
        <f t="shared" si="81"/>
        <v>197</v>
      </c>
      <c r="AT40" s="193" t="str">
        <f t="shared" si="82"/>
        <v>10% US EPA SW Acute LOEL</v>
      </c>
      <c r="AU40" s="203" t="str">
        <f t="shared" si="107"/>
        <v>--</v>
      </c>
      <c r="AV40" s="203" t="str">
        <f t="shared" si="108"/>
        <v>--</v>
      </c>
      <c r="AW40" s="2047">
        <f t="shared" si="109"/>
        <v>1970</v>
      </c>
      <c r="AX40" s="2054" t="str">
        <f t="shared" si="110"/>
        <v>--</v>
      </c>
      <c r="AZ40" s="22"/>
      <c r="BA40" s="350"/>
      <c r="BB40" s="27">
        <f t="shared" si="111"/>
        <v>15</v>
      </c>
      <c r="BC40" s="351" t="str">
        <f t="shared" si="112"/>
        <v>US EPA Ecotox FW Chronic</v>
      </c>
      <c r="BD40" s="27">
        <f t="shared" si="113"/>
        <v>64.5</v>
      </c>
      <c r="BE40" s="351" t="str">
        <f t="shared" si="114"/>
        <v>50% US EPA SW Chronic LOEL</v>
      </c>
      <c r="BF40" s="350"/>
      <c r="BG40" s="350"/>
      <c r="BH40" s="350"/>
      <c r="BI40" s="350"/>
      <c r="BJ40" s="1303"/>
      <c r="BK40" s="1310"/>
      <c r="BL40" s="1311"/>
      <c r="BM40" s="350"/>
      <c r="BN40" s="350"/>
      <c r="BO40" s="350"/>
      <c r="BP40" s="35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row>
    <row r="41" spans="1:142" ht="12.95" customHeight="1">
      <c r="A41" s="897" t="s">
        <v>155</v>
      </c>
      <c r="B41" s="432" t="s">
        <v>156</v>
      </c>
      <c r="C41" s="205">
        <f t="shared" si="115"/>
        <v>7.6999999999999999E-2</v>
      </c>
      <c r="D41" s="207" t="str">
        <f t="shared" si="116"/>
        <v>Seafood Ingestion</v>
      </c>
      <c r="E41" s="1637">
        <f t="shared" si="49"/>
        <v>7.6999999999999999E-2</v>
      </c>
      <c r="F41" s="187" t="str">
        <f t="shared" si="35"/>
        <v>Cal Tox Rule</v>
      </c>
      <c r="G41" s="1326">
        <f t="shared" si="83"/>
        <v>7.6999999999999999E-2</v>
      </c>
      <c r="H41" s="1327" t="str">
        <f t="shared" si="84"/>
        <v>--</v>
      </c>
      <c r="I41" s="1359">
        <f t="shared" si="85"/>
        <v>0.15</v>
      </c>
      <c r="J41" s="1379">
        <f t="shared" si="117"/>
        <v>250</v>
      </c>
      <c r="K41" s="1361" t="str">
        <f t="shared" si="118"/>
        <v>Freshwater Exposure</v>
      </c>
      <c r="L41" s="209">
        <f t="shared" si="72"/>
        <v>250</v>
      </c>
      <c r="M41" s="1371" t="str">
        <f t="shared" si="86"/>
        <v>50% MOEE FW Chronic LOEL</v>
      </c>
      <c r="N41" s="216">
        <f t="shared" si="73"/>
        <v>250</v>
      </c>
      <c r="O41" s="203" t="str">
        <f t="shared" si="87"/>
        <v>--</v>
      </c>
      <c r="P41" s="203">
        <f t="shared" si="74"/>
        <v>250</v>
      </c>
      <c r="Q41" s="203" t="str">
        <f t="shared" si="88"/>
        <v>--</v>
      </c>
      <c r="R41" s="203" t="str">
        <f t="shared" si="89"/>
        <v>--</v>
      </c>
      <c r="S41" s="203" t="str">
        <f t="shared" si="75"/>
        <v>--</v>
      </c>
      <c r="T41" s="203" t="str">
        <f t="shared" si="90"/>
        <v>--</v>
      </c>
      <c r="U41" s="203" t="str">
        <f t="shared" si="91"/>
        <v>--</v>
      </c>
      <c r="V41" s="203">
        <f t="shared" si="92"/>
        <v>250</v>
      </c>
      <c r="W41" s="193" t="str">
        <f t="shared" si="93"/>
        <v>50% MOEE FW Chronic LOEL</v>
      </c>
      <c r="X41" s="203">
        <f t="shared" si="76"/>
        <v>25</v>
      </c>
      <c r="Y41" s="193" t="str">
        <f t="shared" si="77"/>
        <v>10% US EPA FW CMC</v>
      </c>
      <c r="Z41" s="203" t="str">
        <f t="shared" si="94"/>
        <v>--</v>
      </c>
      <c r="AA41" s="203">
        <f t="shared" si="95"/>
        <v>250</v>
      </c>
      <c r="AB41" s="1368" t="str">
        <f t="shared" si="96"/>
        <v>--</v>
      </c>
      <c r="AC41" s="1356" t="str">
        <f t="shared" si="119"/>
        <v>--</v>
      </c>
      <c r="AD41" s="1377" t="str">
        <f t="shared" si="120"/>
        <v>--</v>
      </c>
      <c r="AE41" s="1353" t="str">
        <f t="shared" si="97"/>
        <v>--</v>
      </c>
      <c r="AF41" s="1364" t="str">
        <f t="shared" si="98"/>
        <v>--</v>
      </c>
      <c r="AG41" s="216" t="str">
        <f t="shared" si="78"/>
        <v>--</v>
      </c>
      <c r="AH41" s="203" t="str">
        <f t="shared" si="43"/>
        <v>--</v>
      </c>
      <c r="AI41" s="203" t="str">
        <f t="shared" si="99"/>
        <v>--</v>
      </c>
      <c r="AJ41" s="203" t="str">
        <f t="shared" si="100"/>
        <v>--</v>
      </c>
      <c r="AK41" s="203" t="str">
        <f t="shared" si="79"/>
        <v>--</v>
      </c>
      <c r="AL41" s="203" t="str">
        <f t="shared" si="101"/>
        <v>--</v>
      </c>
      <c r="AM41" s="203" t="str">
        <f t="shared" si="102"/>
        <v>--</v>
      </c>
      <c r="AN41" s="203" t="str">
        <f t="shared" si="80"/>
        <v>--</v>
      </c>
      <c r="AO41" s="203" t="str">
        <f t="shared" si="103"/>
        <v>--</v>
      </c>
      <c r="AP41" s="203" t="str">
        <f t="shared" si="104"/>
        <v>--</v>
      </c>
      <c r="AQ41" s="203" t="str">
        <f t="shared" si="105"/>
        <v>--</v>
      </c>
      <c r="AR41" s="1262" t="str">
        <f t="shared" si="106"/>
        <v>--</v>
      </c>
      <c r="AS41" s="203" t="str">
        <f t="shared" si="81"/>
        <v>--</v>
      </c>
      <c r="AT41" s="193" t="str">
        <f t="shared" si="82"/>
        <v>--</v>
      </c>
      <c r="AU41" s="203" t="str">
        <f t="shared" si="107"/>
        <v>--</v>
      </c>
      <c r="AV41" s="203" t="str">
        <f t="shared" si="108"/>
        <v>--</v>
      </c>
      <c r="AW41" s="2047" t="str">
        <f t="shared" si="109"/>
        <v>--</v>
      </c>
      <c r="AX41" s="2054" t="str">
        <f t="shared" si="110"/>
        <v>--</v>
      </c>
      <c r="AZ41" s="22"/>
      <c r="BA41" s="350"/>
      <c r="BB41" s="27">
        <f t="shared" si="111"/>
        <v>250</v>
      </c>
      <c r="BC41" s="351" t="str">
        <f t="shared" si="112"/>
        <v>50% MOEE FW Chronic LOEL</v>
      </c>
      <c r="BD41" s="27" t="str">
        <f t="shared" si="113"/>
        <v>--</v>
      </c>
      <c r="BE41" s="351" t="str">
        <f t="shared" si="114"/>
        <v>--</v>
      </c>
      <c r="BF41" s="350"/>
      <c r="BG41" s="350"/>
      <c r="BH41" s="350"/>
      <c r="BI41" s="350"/>
      <c r="BJ41" s="1303"/>
      <c r="BK41" s="1303"/>
      <c r="BL41" s="1311"/>
      <c r="BM41" s="350"/>
      <c r="BN41" s="350"/>
      <c r="BO41" s="350"/>
      <c r="BP41" s="35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row>
    <row r="42" spans="1:142" ht="12.95" customHeight="1">
      <c r="A42" s="897" t="s">
        <v>157</v>
      </c>
      <c r="B42" s="432" t="s">
        <v>158</v>
      </c>
      <c r="C42" s="205">
        <f t="shared" si="115"/>
        <v>1.2E-4</v>
      </c>
      <c r="D42" s="207" t="str">
        <f t="shared" si="116"/>
        <v>Seafood Ingestion</v>
      </c>
      <c r="E42" s="1637">
        <f t="shared" si="49"/>
        <v>1.2E-4</v>
      </c>
      <c r="F42" s="187" t="str">
        <f t="shared" si="35"/>
        <v>National Criteria</v>
      </c>
      <c r="G42" s="1326">
        <f t="shared" si="83"/>
        <v>8.4000000000000003E-4</v>
      </c>
      <c r="H42" s="1327" t="str">
        <f t="shared" si="84"/>
        <v>--</v>
      </c>
      <c r="I42" s="1359">
        <f t="shared" si="85"/>
        <v>1.2E-4</v>
      </c>
      <c r="J42" s="1379">
        <f t="shared" si="117"/>
        <v>1E-3</v>
      </c>
      <c r="K42" s="1361" t="str">
        <f t="shared" si="118"/>
        <v>Freshwater Exposure</v>
      </c>
      <c r="L42" s="209">
        <f t="shared" si="72"/>
        <v>1E-3</v>
      </c>
      <c r="M42" s="1371" t="str">
        <f t="shared" si="86"/>
        <v>DDT FW USEPA CCC surrogate</v>
      </c>
      <c r="N42" s="216">
        <f t="shared" si="73"/>
        <v>1E-3</v>
      </c>
      <c r="O42" s="203" t="str">
        <f t="shared" si="87"/>
        <v>--</v>
      </c>
      <c r="P42" s="203">
        <f t="shared" si="74"/>
        <v>1E-3</v>
      </c>
      <c r="Q42" s="203" t="str">
        <f t="shared" si="88"/>
        <v>--</v>
      </c>
      <c r="R42" s="203" t="str">
        <f t="shared" si="89"/>
        <v>--</v>
      </c>
      <c r="S42" s="203" t="str">
        <f t="shared" si="75"/>
        <v>--</v>
      </c>
      <c r="T42" s="203" t="str">
        <f t="shared" si="90"/>
        <v>--</v>
      </c>
      <c r="U42" s="203" t="str">
        <f t="shared" si="91"/>
        <v>--</v>
      </c>
      <c r="V42" s="203">
        <f t="shared" si="92"/>
        <v>1E-3</v>
      </c>
      <c r="W42" s="193" t="str">
        <f t="shared" si="93"/>
        <v>DDT FW USEPA CCC surrogate</v>
      </c>
      <c r="X42" s="203">
        <f t="shared" si="76"/>
        <v>1E-4</v>
      </c>
      <c r="Y42" s="193" t="str">
        <f t="shared" si="77"/>
        <v>10% US EPA FW CMC</v>
      </c>
      <c r="Z42" s="203" t="str">
        <f t="shared" si="94"/>
        <v>--</v>
      </c>
      <c r="AA42" s="203">
        <f t="shared" si="95"/>
        <v>1E-3</v>
      </c>
      <c r="AB42" s="1368">
        <f t="shared" si="96"/>
        <v>0.6</v>
      </c>
      <c r="AC42" s="1356">
        <f t="shared" si="119"/>
        <v>1E-3</v>
      </c>
      <c r="AD42" s="1377" t="str">
        <f t="shared" si="120"/>
        <v>Saltwater Exposure</v>
      </c>
      <c r="AE42" s="1353">
        <f t="shared" si="97"/>
        <v>1E-3</v>
      </c>
      <c r="AF42" s="1364" t="str">
        <f t="shared" si="98"/>
        <v>DDT SW USEPA CCC surrogate</v>
      </c>
      <c r="AG42" s="216">
        <f t="shared" si="78"/>
        <v>1E-3</v>
      </c>
      <c r="AH42" s="203" t="str">
        <f t="shared" si="43"/>
        <v>--</v>
      </c>
      <c r="AI42" s="203" t="str">
        <f t="shared" si="99"/>
        <v>--</v>
      </c>
      <c r="AJ42" s="203" t="str">
        <f t="shared" si="100"/>
        <v>--</v>
      </c>
      <c r="AK42" s="203">
        <f t="shared" si="79"/>
        <v>1E-3</v>
      </c>
      <c r="AL42" s="203" t="str">
        <f t="shared" si="101"/>
        <v>--</v>
      </c>
      <c r="AM42" s="203" t="str">
        <f t="shared" si="102"/>
        <v>--</v>
      </c>
      <c r="AN42" s="203" t="str">
        <f t="shared" si="80"/>
        <v>--</v>
      </c>
      <c r="AO42" s="203" t="str">
        <f t="shared" si="103"/>
        <v>--</v>
      </c>
      <c r="AP42" s="203" t="str">
        <f t="shared" si="104"/>
        <v>--</v>
      </c>
      <c r="AQ42" s="203">
        <f t="shared" si="105"/>
        <v>1E-3</v>
      </c>
      <c r="AR42" s="1262" t="str">
        <f t="shared" si="106"/>
        <v>DDT SW USEPA CCC surrogate</v>
      </c>
      <c r="AS42" s="203">
        <f t="shared" si="81"/>
        <v>0.36</v>
      </c>
      <c r="AT42" s="193" t="str">
        <f t="shared" si="82"/>
        <v>10% US EPA SW Acute LOEL</v>
      </c>
      <c r="AU42" s="203" t="str">
        <f t="shared" si="107"/>
        <v>--</v>
      </c>
      <c r="AV42" s="203" t="str">
        <f t="shared" si="108"/>
        <v>--</v>
      </c>
      <c r="AW42" s="2047">
        <f t="shared" si="109"/>
        <v>3.6</v>
      </c>
      <c r="AX42" s="2054" t="str">
        <f t="shared" si="110"/>
        <v>--</v>
      </c>
      <c r="AZ42" s="22"/>
      <c r="BA42" s="350"/>
      <c r="BB42" s="27">
        <f t="shared" si="111"/>
        <v>1E-3</v>
      </c>
      <c r="BC42" s="351" t="str">
        <f t="shared" si="112"/>
        <v>DDT FW USEPA CCC surrogate</v>
      </c>
      <c r="BD42" s="27">
        <f t="shared" si="113"/>
        <v>1E-3</v>
      </c>
      <c r="BE42" s="351" t="str">
        <f t="shared" si="114"/>
        <v>DDT SW USEPA CCC surrogate</v>
      </c>
      <c r="BF42" s="350"/>
      <c r="BG42" s="350"/>
      <c r="BH42" s="350"/>
      <c r="BI42" s="350"/>
      <c r="BJ42" s="1303"/>
      <c r="BK42" s="1303"/>
      <c r="BL42" s="1311"/>
      <c r="BM42" s="350"/>
      <c r="BN42" s="350"/>
      <c r="BO42" s="350"/>
      <c r="BP42" s="35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row>
    <row r="43" spans="1:142" ht="12.95" customHeight="1">
      <c r="A43" s="897" t="s">
        <v>159</v>
      </c>
      <c r="B43" s="432" t="s">
        <v>160</v>
      </c>
      <c r="C43" s="205">
        <f t="shared" si="115"/>
        <v>1.8E-5</v>
      </c>
      <c r="D43" s="207" t="str">
        <f t="shared" si="116"/>
        <v>Seafood Ingestion</v>
      </c>
      <c r="E43" s="1637">
        <f t="shared" si="49"/>
        <v>1.8E-5</v>
      </c>
      <c r="F43" s="187" t="str">
        <f t="shared" si="35"/>
        <v>National Criteria</v>
      </c>
      <c r="G43" s="1326">
        <f t="shared" si="83"/>
        <v>5.9000000000000003E-4</v>
      </c>
      <c r="H43" s="1327" t="str">
        <f t="shared" si="84"/>
        <v>--</v>
      </c>
      <c r="I43" s="1359">
        <f t="shared" si="85"/>
        <v>1.8E-5</v>
      </c>
      <c r="J43" s="1379">
        <f t="shared" si="117"/>
        <v>1E-3</v>
      </c>
      <c r="K43" s="1361" t="str">
        <f t="shared" si="118"/>
        <v>Freshwater Exposure</v>
      </c>
      <c r="L43" s="209">
        <f t="shared" si="72"/>
        <v>1E-3</v>
      </c>
      <c r="M43" s="1371" t="str">
        <f t="shared" si="86"/>
        <v>DDT FW USEPA CCC surrogate</v>
      </c>
      <c r="N43" s="216">
        <f t="shared" si="73"/>
        <v>1E-3</v>
      </c>
      <c r="O43" s="203" t="str">
        <f t="shared" si="87"/>
        <v>--</v>
      </c>
      <c r="P43" s="203">
        <f t="shared" si="74"/>
        <v>1E-3</v>
      </c>
      <c r="Q43" s="203" t="str">
        <f t="shared" si="88"/>
        <v>--</v>
      </c>
      <c r="R43" s="203" t="str">
        <f t="shared" si="89"/>
        <v>--</v>
      </c>
      <c r="S43" s="203" t="str">
        <f t="shared" si="75"/>
        <v>--</v>
      </c>
      <c r="T43" s="203" t="str">
        <f t="shared" si="90"/>
        <v>--</v>
      </c>
      <c r="U43" s="203" t="str">
        <f t="shared" si="91"/>
        <v>--</v>
      </c>
      <c r="V43" s="203">
        <f t="shared" si="92"/>
        <v>1E-3</v>
      </c>
      <c r="W43" s="193" t="str">
        <f t="shared" si="93"/>
        <v>DDT FW USEPA CCC surrogate</v>
      </c>
      <c r="X43" s="203">
        <f t="shared" si="76"/>
        <v>1E-4</v>
      </c>
      <c r="Y43" s="193" t="str">
        <f t="shared" si="77"/>
        <v>10% US EPA FW CMC</v>
      </c>
      <c r="Z43" s="203" t="str">
        <f t="shared" si="94"/>
        <v>--</v>
      </c>
      <c r="AA43" s="203">
        <f t="shared" si="95"/>
        <v>1E-3</v>
      </c>
      <c r="AB43" s="1368">
        <f t="shared" si="96"/>
        <v>1050</v>
      </c>
      <c r="AC43" s="1356">
        <f t="shared" si="119"/>
        <v>1E-3</v>
      </c>
      <c r="AD43" s="1377" t="str">
        <f t="shared" si="120"/>
        <v>Saltwater Exposure</v>
      </c>
      <c r="AE43" s="1353">
        <f t="shared" si="97"/>
        <v>1E-3</v>
      </c>
      <c r="AF43" s="1364" t="str">
        <f t="shared" si="98"/>
        <v>DDT SW USEPA CCC surrogate</v>
      </c>
      <c r="AG43" s="216">
        <f t="shared" si="78"/>
        <v>1E-3</v>
      </c>
      <c r="AH43" s="203" t="str">
        <f t="shared" si="43"/>
        <v>--</v>
      </c>
      <c r="AI43" s="203" t="str">
        <f t="shared" si="99"/>
        <v>--</v>
      </c>
      <c r="AJ43" s="203" t="str">
        <f t="shared" si="100"/>
        <v>--</v>
      </c>
      <c r="AK43" s="203">
        <f t="shared" si="79"/>
        <v>1E-3</v>
      </c>
      <c r="AL43" s="203" t="str">
        <f t="shared" si="101"/>
        <v>--</v>
      </c>
      <c r="AM43" s="203" t="str">
        <f t="shared" si="102"/>
        <v>--</v>
      </c>
      <c r="AN43" s="203" t="str">
        <f t="shared" si="80"/>
        <v>--</v>
      </c>
      <c r="AO43" s="203" t="str">
        <f t="shared" si="103"/>
        <v>--</v>
      </c>
      <c r="AP43" s="203" t="str">
        <f t="shared" si="104"/>
        <v>--</v>
      </c>
      <c r="AQ43" s="203">
        <f t="shared" si="105"/>
        <v>1E-3</v>
      </c>
      <c r="AR43" s="1262" t="str">
        <f t="shared" si="106"/>
        <v>DDT SW USEPA CCC surrogate</v>
      </c>
      <c r="AS43" s="203">
        <f t="shared" si="81"/>
        <v>1.4</v>
      </c>
      <c r="AT43" s="193" t="str">
        <f t="shared" si="82"/>
        <v>10% US EPA SW Acute LOEL</v>
      </c>
      <c r="AU43" s="203" t="str">
        <f t="shared" si="107"/>
        <v>--</v>
      </c>
      <c r="AV43" s="203" t="str">
        <f t="shared" si="108"/>
        <v>--</v>
      </c>
      <c r="AW43" s="2047">
        <f t="shared" si="109"/>
        <v>14</v>
      </c>
      <c r="AX43" s="2054" t="str">
        <f t="shared" si="110"/>
        <v>--</v>
      </c>
      <c r="AZ43" s="22"/>
      <c r="BA43" s="350"/>
      <c r="BB43" s="27">
        <f t="shared" si="111"/>
        <v>1E-3</v>
      </c>
      <c r="BC43" s="351" t="str">
        <f t="shared" si="112"/>
        <v>DDT FW USEPA CCC surrogate</v>
      </c>
      <c r="BD43" s="27">
        <f t="shared" si="113"/>
        <v>1E-3</v>
      </c>
      <c r="BE43" s="351" t="str">
        <f t="shared" si="114"/>
        <v>DDT SW USEPA CCC surrogate</v>
      </c>
      <c r="BF43" s="350"/>
      <c r="BG43" s="350"/>
      <c r="BH43" s="350"/>
      <c r="BI43" s="350"/>
      <c r="BJ43" s="1313"/>
      <c r="BK43" s="1303"/>
      <c r="BL43" s="1304"/>
      <c r="BM43" s="350"/>
      <c r="BN43" s="350"/>
      <c r="BO43" s="350"/>
      <c r="BP43" s="35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row>
    <row r="44" spans="1:142" ht="12.95" customHeight="1">
      <c r="A44" s="897" t="s">
        <v>161</v>
      </c>
      <c r="B44" s="432" t="s">
        <v>162</v>
      </c>
      <c r="C44" s="205">
        <f t="shared" si="115"/>
        <v>3.0000000000000001E-5</v>
      </c>
      <c r="D44" s="207" t="str">
        <f t="shared" si="116"/>
        <v>Seafood Ingestion</v>
      </c>
      <c r="E44" s="1637">
        <f t="shared" si="49"/>
        <v>3.0000000000000001E-5</v>
      </c>
      <c r="F44" s="187" t="str">
        <f t="shared" si="35"/>
        <v>National Criteria</v>
      </c>
      <c r="G44" s="1326">
        <f t="shared" si="83"/>
        <v>5.9000000000000003E-4</v>
      </c>
      <c r="H44" s="1327">
        <f t="shared" si="84"/>
        <v>1.7000000000000001E-4</v>
      </c>
      <c r="I44" s="1359">
        <f t="shared" si="85"/>
        <v>3.0000000000000001E-5</v>
      </c>
      <c r="J44" s="1379">
        <f t="shared" si="117"/>
        <v>1E-3</v>
      </c>
      <c r="K44" s="1361" t="str">
        <f t="shared" si="118"/>
        <v>Freshwater Exposure</v>
      </c>
      <c r="L44" s="209">
        <f t="shared" si="72"/>
        <v>1E-3</v>
      </c>
      <c r="M44" s="1371" t="str">
        <f t="shared" si="86"/>
        <v>CTR FW CCC</v>
      </c>
      <c r="N44" s="216">
        <f t="shared" si="73"/>
        <v>1E-3</v>
      </c>
      <c r="O44" s="203" t="str">
        <f t="shared" si="87"/>
        <v>--</v>
      </c>
      <c r="P44" s="203">
        <f t="shared" si="74"/>
        <v>1E-3</v>
      </c>
      <c r="Q44" s="203">
        <f t="shared" si="88"/>
        <v>1E-3</v>
      </c>
      <c r="R44" s="203">
        <f t="shared" si="89"/>
        <v>1E-3</v>
      </c>
      <c r="S44" s="203">
        <f t="shared" si="75"/>
        <v>1.2999999999999999E-2</v>
      </c>
      <c r="T44" s="203">
        <f t="shared" si="90"/>
        <v>1.2999999999999999E-2</v>
      </c>
      <c r="U44" s="203" t="str">
        <f t="shared" si="91"/>
        <v>--</v>
      </c>
      <c r="V44" s="203" t="str">
        <f t="shared" si="92"/>
        <v>--</v>
      </c>
      <c r="W44" s="193" t="str">
        <f t="shared" si="93"/>
        <v>--</v>
      </c>
      <c r="X44" s="203">
        <f t="shared" si="76"/>
        <v>0.11000000000000001</v>
      </c>
      <c r="Y44" s="193" t="str">
        <f t="shared" si="77"/>
        <v>10% CTR FW CMC</v>
      </c>
      <c r="Z44" s="203">
        <f t="shared" si="94"/>
        <v>1.1000000000000001</v>
      </c>
      <c r="AA44" s="203" t="str">
        <f t="shared" si="95"/>
        <v>--</v>
      </c>
      <c r="AB44" s="1368" t="str">
        <f t="shared" si="96"/>
        <v>--</v>
      </c>
      <c r="AC44" s="1356">
        <f t="shared" si="119"/>
        <v>1E-3</v>
      </c>
      <c r="AD44" s="1377" t="str">
        <f t="shared" si="120"/>
        <v>Saltwater Exposure</v>
      </c>
      <c r="AE44" s="1353">
        <f t="shared" si="97"/>
        <v>1E-3</v>
      </c>
      <c r="AF44" s="1364" t="str">
        <f t="shared" si="98"/>
        <v>CTR SW CCC</v>
      </c>
      <c r="AG44" s="216">
        <f t="shared" si="78"/>
        <v>1E-3</v>
      </c>
      <c r="AH44" s="203" t="str">
        <f t="shared" si="43"/>
        <v>--</v>
      </c>
      <c r="AI44" s="203" t="str">
        <f t="shared" si="99"/>
        <v>--</v>
      </c>
      <c r="AJ44" s="203" t="str">
        <f t="shared" si="100"/>
        <v>--</v>
      </c>
      <c r="AK44" s="203">
        <f t="shared" si="79"/>
        <v>1E-3</v>
      </c>
      <c r="AL44" s="203">
        <f t="shared" si="101"/>
        <v>1E-3</v>
      </c>
      <c r="AM44" s="203">
        <f t="shared" si="102"/>
        <v>1E-3</v>
      </c>
      <c r="AN44" s="203" t="str">
        <f t="shared" si="80"/>
        <v>--</v>
      </c>
      <c r="AO44" s="203" t="str">
        <f t="shared" si="103"/>
        <v>--</v>
      </c>
      <c r="AP44" s="203" t="str">
        <f t="shared" si="104"/>
        <v>--</v>
      </c>
      <c r="AQ44" s="203" t="str">
        <f t="shared" si="105"/>
        <v>--</v>
      </c>
      <c r="AR44" s="1262" t="str">
        <f t="shared" si="106"/>
        <v>--</v>
      </c>
      <c r="AS44" s="203">
        <f t="shared" si="81"/>
        <v>1.3000000000000001E-2</v>
      </c>
      <c r="AT44" s="193" t="str">
        <f t="shared" si="82"/>
        <v>10% US EPA SW CMC</v>
      </c>
      <c r="AU44" s="203">
        <f t="shared" si="107"/>
        <v>0.13</v>
      </c>
      <c r="AV44" s="203">
        <f t="shared" si="108"/>
        <v>0.13</v>
      </c>
      <c r="AW44" s="2047" t="str">
        <f t="shared" si="109"/>
        <v>--</v>
      </c>
      <c r="AX44" s="2054" t="str">
        <f t="shared" si="110"/>
        <v>--</v>
      </c>
      <c r="AZ44" s="22"/>
      <c r="BA44" s="350"/>
      <c r="BB44" s="27">
        <f t="shared" si="111"/>
        <v>1E-3</v>
      </c>
      <c r="BC44" s="351" t="str">
        <f t="shared" si="112"/>
        <v>CTR FW CCC</v>
      </c>
      <c r="BD44" s="27">
        <f t="shared" si="113"/>
        <v>1E-3</v>
      </c>
      <c r="BE44" s="351" t="str">
        <f t="shared" si="114"/>
        <v>CTR SW CCC</v>
      </c>
      <c r="BF44" s="350"/>
      <c r="BG44" s="350"/>
      <c r="BH44" s="350"/>
      <c r="BI44" s="350"/>
      <c r="BJ44" s="1311"/>
      <c r="BK44" s="1303"/>
      <c r="BL44" s="1311"/>
      <c r="BM44" s="350"/>
      <c r="BN44" s="350"/>
      <c r="BO44" s="350"/>
      <c r="BP44" s="35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row>
    <row r="45" spans="1:142" ht="12.95" customHeight="1">
      <c r="A45" s="897" t="s">
        <v>163</v>
      </c>
      <c r="B45" s="432" t="s">
        <v>164</v>
      </c>
      <c r="C45" s="205">
        <f t="shared" si="115"/>
        <v>47</v>
      </c>
      <c r="D45" s="207" t="str">
        <f t="shared" si="116"/>
        <v>Freshwater Goal</v>
      </c>
      <c r="E45" s="1637" t="str">
        <f t="shared" si="49"/>
        <v>--</v>
      </c>
      <c r="F45" s="187" t="str">
        <f t="shared" si="35"/>
        <v>--</v>
      </c>
      <c r="G45" s="1326" t="str">
        <f t="shared" si="83"/>
        <v>--</v>
      </c>
      <c r="H45" s="1327" t="str">
        <f t="shared" si="84"/>
        <v>--</v>
      </c>
      <c r="I45" s="1359" t="str">
        <f t="shared" si="85"/>
        <v>--</v>
      </c>
      <c r="J45" s="1379">
        <f t="shared" si="117"/>
        <v>47</v>
      </c>
      <c r="K45" s="1361" t="str">
        <f t="shared" si="118"/>
        <v>Freshwater Exposure</v>
      </c>
      <c r="L45" s="209">
        <f t="shared" si="72"/>
        <v>47</v>
      </c>
      <c r="M45" s="1371" t="str">
        <f t="shared" si="86"/>
        <v>US EPA Ecotox FW Chronic</v>
      </c>
      <c r="N45" s="216">
        <f t="shared" si="73"/>
        <v>47</v>
      </c>
      <c r="O45" s="203" t="str">
        <f t="shared" si="87"/>
        <v>--</v>
      </c>
      <c r="P45" s="203">
        <f t="shared" si="74"/>
        <v>47</v>
      </c>
      <c r="Q45" s="203" t="str">
        <f t="shared" si="88"/>
        <v>--</v>
      </c>
      <c r="R45" s="203" t="str">
        <f t="shared" si="89"/>
        <v>--</v>
      </c>
      <c r="S45" s="203">
        <f t="shared" si="75"/>
        <v>47</v>
      </c>
      <c r="T45" s="203">
        <f t="shared" si="90"/>
        <v>47</v>
      </c>
      <c r="U45" s="203" t="str">
        <f t="shared" si="91"/>
        <v>--</v>
      </c>
      <c r="V45" s="203" t="str">
        <f t="shared" si="92"/>
        <v>--</v>
      </c>
      <c r="W45" s="193" t="str">
        <f t="shared" si="93"/>
        <v>--</v>
      </c>
      <c r="X45" s="203" t="str">
        <f t="shared" si="76"/>
        <v>--</v>
      </c>
      <c r="Y45" s="193" t="str">
        <f t="shared" si="77"/>
        <v>--</v>
      </c>
      <c r="Z45" s="203" t="str">
        <f t="shared" si="94"/>
        <v>--</v>
      </c>
      <c r="AA45" s="203" t="str">
        <f t="shared" si="95"/>
        <v>--</v>
      </c>
      <c r="AB45" s="1368" t="str">
        <f t="shared" si="96"/>
        <v>--</v>
      </c>
      <c r="AC45" s="1356" t="str">
        <f t="shared" si="119"/>
        <v>--</v>
      </c>
      <c r="AD45" s="1377" t="str">
        <f t="shared" si="120"/>
        <v>--</v>
      </c>
      <c r="AE45" s="1353" t="str">
        <f t="shared" si="97"/>
        <v>--</v>
      </c>
      <c r="AF45" s="1364" t="str">
        <f t="shared" si="98"/>
        <v>--</v>
      </c>
      <c r="AG45" s="216" t="str">
        <f t="shared" si="78"/>
        <v>--</v>
      </c>
      <c r="AH45" s="203" t="str">
        <f t="shared" si="43"/>
        <v>--</v>
      </c>
      <c r="AI45" s="203" t="str">
        <f t="shared" si="99"/>
        <v>--</v>
      </c>
      <c r="AJ45" s="203" t="str">
        <f t="shared" si="100"/>
        <v>--</v>
      </c>
      <c r="AK45" s="203" t="str">
        <f t="shared" si="79"/>
        <v>--</v>
      </c>
      <c r="AL45" s="203" t="str">
        <f t="shared" si="101"/>
        <v>--</v>
      </c>
      <c r="AM45" s="203" t="str">
        <f t="shared" si="102"/>
        <v>--</v>
      </c>
      <c r="AN45" s="203" t="str">
        <f t="shared" si="80"/>
        <v>--</v>
      </c>
      <c r="AO45" s="203" t="str">
        <f t="shared" si="103"/>
        <v>--</v>
      </c>
      <c r="AP45" s="203" t="str">
        <f t="shared" si="104"/>
        <v>--</v>
      </c>
      <c r="AQ45" s="203" t="str">
        <f t="shared" si="105"/>
        <v>--</v>
      </c>
      <c r="AR45" s="1262" t="str">
        <f t="shared" si="106"/>
        <v>--</v>
      </c>
      <c r="AS45" s="203" t="str">
        <f t="shared" si="81"/>
        <v>--</v>
      </c>
      <c r="AT45" s="193" t="str">
        <f t="shared" si="82"/>
        <v>--</v>
      </c>
      <c r="AU45" s="203" t="str">
        <f t="shared" si="107"/>
        <v>--</v>
      </c>
      <c r="AV45" s="203" t="str">
        <f t="shared" si="108"/>
        <v>--</v>
      </c>
      <c r="AW45" s="2047" t="str">
        <f t="shared" si="109"/>
        <v>--</v>
      </c>
      <c r="AX45" s="2054" t="str">
        <f t="shared" si="110"/>
        <v>--</v>
      </c>
      <c r="AZ45" s="22"/>
      <c r="BA45" s="350"/>
      <c r="BB45" s="27">
        <f t="shared" si="111"/>
        <v>47</v>
      </c>
      <c r="BC45" s="351" t="str">
        <f t="shared" si="112"/>
        <v>US EPA Ecotox FW Chronic</v>
      </c>
      <c r="BD45" s="27" t="str">
        <f t="shared" si="113"/>
        <v>--</v>
      </c>
      <c r="BE45" s="351" t="str">
        <f t="shared" si="114"/>
        <v>--</v>
      </c>
      <c r="BF45" s="350"/>
      <c r="BG45" s="350"/>
      <c r="BH45" s="350"/>
      <c r="BI45" s="350"/>
      <c r="BJ45" s="350"/>
      <c r="BK45" s="1303"/>
      <c r="BL45" s="1311"/>
      <c r="BM45" s="350"/>
      <c r="BN45" s="350"/>
      <c r="BO45" s="350"/>
      <c r="BP45" s="35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row>
    <row r="46" spans="1:142" ht="12.95" customHeight="1">
      <c r="A46" s="897" t="s">
        <v>165</v>
      </c>
      <c r="B46" s="432" t="s">
        <v>166</v>
      </c>
      <c r="C46" s="205">
        <f t="shared" si="115"/>
        <v>28</v>
      </c>
      <c r="D46" s="207" t="str">
        <f t="shared" si="116"/>
        <v>Seafood Ingestion</v>
      </c>
      <c r="E46" s="1637">
        <f t="shared" si="49"/>
        <v>28</v>
      </c>
      <c r="F46" s="187" t="str">
        <f t="shared" si="35"/>
        <v>Cal Ocean Plan</v>
      </c>
      <c r="G46" s="1326">
        <f t="shared" si="83"/>
        <v>99</v>
      </c>
      <c r="H46" s="1327">
        <f t="shared" si="84"/>
        <v>28</v>
      </c>
      <c r="I46" s="1359">
        <f t="shared" si="85"/>
        <v>650</v>
      </c>
      <c r="J46" s="1379">
        <f t="shared" si="117"/>
        <v>10000</v>
      </c>
      <c r="K46" s="1361" t="str">
        <f t="shared" si="118"/>
        <v>Freshwater Exposure</v>
      </c>
      <c r="L46" s="209">
        <f t="shared" si="72"/>
        <v>10000</v>
      </c>
      <c r="M46" s="1371" t="str">
        <f t="shared" si="86"/>
        <v>50% US EPA FW Chronic LOEL</v>
      </c>
      <c r="N46" s="216">
        <f t="shared" si="73"/>
        <v>10000</v>
      </c>
      <c r="O46" s="203" t="str">
        <f t="shared" si="87"/>
        <v>--</v>
      </c>
      <c r="P46" s="203">
        <f t="shared" si="74"/>
        <v>10000</v>
      </c>
      <c r="Q46" s="203" t="str">
        <f t="shared" si="88"/>
        <v>--</v>
      </c>
      <c r="R46" s="203" t="str">
        <f t="shared" si="89"/>
        <v>--</v>
      </c>
      <c r="S46" s="203">
        <f t="shared" si="75"/>
        <v>10000</v>
      </c>
      <c r="T46" s="203" t="str">
        <f t="shared" si="90"/>
        <v>--</v>
      </c>
      <c r="U46" s="203">
        <f t="shared" si="91"/>
        <v>20000</v>
      </c>
      <c r="V46" s="203">
        <f t="shared" si="92"/>
        <v>910</v>
      </c>
      <c r="W46" s="193" t="str">
        <f t="shared" si="93"/>
        <v>USDOE FW Chronic PRG</v>
      </c>
      <c r="X46" s="203">
        <f t="shared" si="76"/>
        <v>91</v>
      </c>
      <c r="Y46" s="193" t="str">
        <f t="shared" si="77"/>
        <v>10% US EPA FW CMC</v>
      </c>
      <c r="Z46" s="203" t="str">
        <f t="shared" si="94"/>
        <v>--</v>
      </c>
      <c r="AA46" s="203">
        <f t="shared" si="95"/>
        <v>910</v>
      </c>
      <c r="AB46" s="1368">
        <f t="shared" si="96"/>
        <v>118000</v>
      </c>
      <c r="AC46" s="1356">
        <f t="shared" si="119"/>
        <v>11300</v>
      </c>
      <c r="AD46" s="1377" t="str">
        <f t="shared" si="120"/>
        <v>Saltwater Exposure</v>
      </c>
      <c r="AE46" s="1353">
        <f t="shared" si="97"/>
        <v>11300</v>
      </c>
      <c r="AF46" s="1364" t="str">
        <f t="shared" si="98"/>
        <v>10% US EPA SW Acute LOEL</v>
      </c>
      <c r="AG46" s="216" t="str">
        <f t="shared" si="78"/>
        <v>--</v>
      </c>
      <c r="AH46" s="203" t="str">
        <f t="shared" si="43"/>
        <v>--</v>
      </c>
      <c r="AI46" s="203" t="str">
        <f t="shared" si="99"/>
        <v>--</v>
      </c>
      <c r="AJ46" s="203" t="str">
        <f t="shared" si="100"/>
        <v>--</v>
      </c>
      <c r="AK46" s="203" t="str">
        <f t="shared" si="79"/>
        <v>--</v>
      </c>
      <c r="AL46" s="203" t="str">
        <f t="shared" si="101"/>
        <v>--</v>
      </c>
      <c r="AM46" s="203" t="str">
        <f t="shared" si="102"/>
        <v>--</v>
      </c>
      <c r="AN46" s="203" t="str">
        <f t="shared" si="80"/>
        <v>--</v>
      </c>
      <c r="AO46" s="203" t="str">
        <f t="shared" si="103"/>
        <v>--</v>
      </c>
      <c r="AP46" s="203" t="str">
        <f t="shared" si="104"/>
        <v>--</v>
      </c>
      <c r="AQ46" s="203" t="str">
        <f t="shared" si="105"/>
        <v>--</v>
      </c>
      <c r="AR46" s="1262" t="str">
        <f t="shared" si="106"/>
        <v>--</v>
      </c>
      <c r="AS46" s="203">
        <f t="shared" si="81"/>
        <v>11300</v>
      </c>
      <c r="AT46" s="193" t="str">
        <f t="shared" si="82"/>
        <v>10% US EPA SW Acute LOEL</v>
      </c>
      <c r="AU46" s="203" t="str">
        <f t="shared" si="107"/>
        <v>--</v>
      </c>
      <c r="AV46" s="203" t="str">
        <f t="shared" si="108"/>
        <v>--</v>
      </c>
      <c r="AW46" s="2047">
        <f t="shared" si="109"/>
        <v>113000</v>
      </c>
      <c r="AX46" s="2054" t="str">
        <f t="shared" si="110"/>
        <v>--</v>
      </c>
      <c r="AZ46" s="22"/>
      <c r="BA46" s="350"/>
      <c r="BB46" s="27">
        <f t="shared" si="111"/>
        <v>10000</v>
      </c>
      <c r="BC46" s="351" t="str">
        <f t="shared" si="112"/>
        <v>50% US EPA FW Chronic LOEL</v>
      </c>
      <c r="BD46" s="27" t="str">
        <f t="shared" si="113"/>
        <v>--</v>
      </c>
      <c r="BE46" s="351" t="str">
        <f t="shared" si="114"/>
        <v>--</v>
      </c>
      <c r="BF46" s="350"/>
      <c r="BG46" s="350"/>
      <c r="BH46" s="350"/>
      <c r="BI46" s="350"/>
      <c r="BJ46" s="350"/>
      <c r="BK46" s="1303"/>
      <c r="BL46" s="1311"/>
      <c r="BM46" s="350"/>
      <c r="BN46" s="350"/>
      <c r="BO46" s="350"/>
      <c r="BP46" s="35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row>
    <row r="47" spans="1:142" ht="12.95" customHeight="1">
      <c r="A47" s="897" t="s">
        <v>167</v>
      </c>
      <c r="B47" s="432" t="s">
        <v>168</v>
      </c>
      <c r="C47" s="205">
        <f t="shared" si="115"/>
        <v>0.9</v>
      </c>
      <c r="D47" s="207" t="str">
        <f t="shared" si="116"/>
        <v>Seafood Ingestion</v>
      </c>
      <c r="E47" s="1637">
        <f t="shared" si="49"/>
        <v>0.9</v>
      </c>
      <c r="F47" s="187" t="str">
        <f t="shared" si="35"/>
        <v>Cal Ocean Plan</v>
      </c>
      <c r="G47" s="1326">
        <f t="shared" si="83"/>
        <v>3.2</v>
      </c>
      <c r="H47" s="1327">
        <f t="shared" si="84"/>
        <v>0.9</v>
      </c>
      <c r="I47" s="1359">
        <f t="shared" si="85"/>
        <v>20000</v>
      </c>
      <c r="J47" s="1379">
        <f t="shared" si="117"/>
        <v>25</v>
      </c>
      <c r="K47" s="1361" t="str">
        <f t="shared" si="118"/>
        <v>Freshwater Exposure</v>
      </c>
      <c r="L47" s="209">
        <f t="shared" si="72"/>
        <v>25</v>
      </c>
      <c r="M47" s="1371" t="str">
        <f t="shared" si="86"/>
        <v>USDOE FW Chronic PRG</v>
      </c>
      <c r="N47" s="216">
        <f t="shared" si="73"/>
        <v>25</v>
      </c>
      <c r="O47" s="203" t="str">
        <f t="shared" si="87"/>
        <v>--</v>
      </c>
      <c r="P47" s="203">
        <f t="shared" si="74"/>
        <v>25</v>
      </c>
      <c r="Q47" s="203" t="str">
        <f t="shared" si="88"/>
        <v>--</v>
      </c>
      <c r="R47" s="203" t="str">
        <f t="shared" si="89"/>
        <v>--</v>
      </c>
      <c r="S47" s="203" t="str">
        <f t="shared" si="75"/>
        <v>--</v>
      </c>
      <c r="T47" s="203" t="str">
        <f t="shared" si="90"/>
        <v>--</v>
      </c>
      <c r="U47" s="203" t="str">
        <f t="shared" si="91"/>
        <v>--</v>
      </c>
      <c r="V47" s="203">
        <f t="shared" si="92"/>
        <v>25</v>
      </c>
      <c r="W47" s="193" t="str">
        <f t="shared" si="93"/>
        <v>USDOE FW Chronic PRG</v>
      </c>
      <c r="X47" s="203">
        <f t="shared" si="76"/>
        <v>2.5</v>
      </c>
      <c r="Y47" s="193" t="str">
        <f t="shared" si="77"/>
        <v>10% US EPA FW CMC</v>
      </c>
      <c r="Z47" s="203" t="str">
        <f t="shared" si="94"/>
        <v>--</v>
      </c>
      <c r="AA47" s="203">
        <f t="shared" si="95"/>
        <v>25</v>
      </c>
      <c r="AB47" s="1368">
        <f t="shared" si="96"/>
        <v>11600</v>
      </c>
      <c r="AC47" s="1356">
        <f t="shared" si="119"/>
        <v>22400</v>
      </c>
      <c r="AD47" s="1377" t="str">
        <f t="shared" si="120"/>
        <v>Saltwater Exposure</v>
      </c>
      <c r="AE47" s="1353">
        <f t="shared" si="97"/>
        <v>22400</v>
      </c>
      <c r="AF47" s="1364" t="str">
        <f t="shared" si="98"/>
        <v>10% US EPA SW Acute LOEL</v>
      </c>
      <c r="AG47" s="216" t="str">
        <f t="shared" si="78"/>
        <v>--</v>
      </c>
      <c r="AH47" s="203" t="str">
        <f t="shared" si="43"/>
        <v>--</v>
      </c>
      <c r="AI47" s="203" t="str">
        <f t="shared" si="99"/>
        <v>--</v>
      </c>
      <c r="AJ47" s="203" t="str">
        <f t="shared" si="100"/>
        <v>--</v>
      </c>
      <c r="AK47" s="203" t="str">
        <f t="shared" si="79"/>
        <v>--</v>
      </c>
      <c r="AL47" s="203" t="str">
        <f t="shared" si="101"/>
        <v>--</v>
      </c>
      <c r="AM47" s="203" t="str">
        <f t="shared" si="102"/>
        <v>--</v>
      </c>
      <c r="AN47" s="203" t="str">
        <f t="shared" si="80"/>
        <v>--</v>
      </c>
      <c r="AO47" s="203" t="str">
        <f t="shared" si="103"/>
        <v>--</v>
      </c>
      <c r="AP47" s="203" t="str">
        <f t="shared" si="104"/>
        <v>--</v>
      </c>
      <c r="AQ47" s="203" t="str">
        <f t="shared" si="105"/>
        <v>--</v>
      </c>
      <c r="AR47" s="1262" t="str">
        <f t="shared" si="106"/>
        <v>--</v>
      </c>
      <c r="AS47" s="203">
        <f t="shared" si="81"/>
        <v>22400</v>
      </c>
      <c r="AT47" s="193" t="str">
        <f t="shared" si="82"/>
        <v>10% US EPA SW Acute LOEL</v>
      </c>
      <c r="AU47" s="203" t="str">
        <f t="shared" si="107"/>
        <v>--</v>
      </c>
      <c r="AV47" s="203" t="str">
        <f t="shared" si="108"/>
        <v>--</v>
      </c>
      <c r="AW47" s="2047">
        <f t="shared" si="109"/>
        <v>224000</v>
      </c>
      <c r="AX47" s="2054" t="str">
        <f t="shared" si="110"/>
        <v>--</v>
      </c>
      <c r="AZ47" s="22"/>
      <c r="BA47" s="350"/>
      <c r="BB47" s="27">
        <f t="shared" si="111"/>
        <v>25</v>
      </c>
      <c r="BC47" s="351" t="str">
        <f t="shared" si="112"/>
        <v>USDOE FW Chronic PRG</v>
      </c>
      <c r="BD47" s="27" t="str">
        <f t="shared" si="113"/>
        <v>--</v>
      </c>
      <c r="BE47" s="351" t="str">
        <f t="shared" si="114"/>
        <v>--</v>
      </c>
      <c r="BF47" s="350"/>
      <c r="BG47" s="350"/>
      <c r="BH47" s="350"/>
      <c r="BI47" s="350"/>
      <c r="BJ47" s="350"/>
      <c r="BK47" s="1306"/>
      <c r="BL47" s="1311"/>
      <c r="BM47" s="350"/>
      <c r="BN47" s="350"/>
      <c r="BO47" s="350"/>
      <c r="BP47" s="35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row>
    <row r="48" spans="1:142" ht="12.95" customHeight="1">
      <c r="A48" s="897" t="s">
        <v>169</v>
      </c>
      <c r="B48" s="432" t="s">
        <v>170</v>
      </c>
      <c r="C48" s="205">
        <f t="shared" si="115"/>
        <v>590</v>
      </c>
      <c r="D48" s="207" t="str">
        <f t="shared" si="116"/>
        <v>Freshwater Goal</v>
      </c>
      <c r="E48" s="1637" t="str">
        <f t="shared" si="49"/>
        <v>--</v>
      </c>
      <c r="F48" s="187" t="str">
        <f t="shared" si="35"/>
        <v>--</v>
      </c>
      <c r="G48" s="1326" t="str">
        <f t="shared" si="83"/>
        <v>--</v>
      </c>
      <c r="H48" s="1327" t="str">
        <f t="shared" si="84"/>
        <v>--</v>
      </c>
      <c r="I48" s="1359" t="str">
        <f t="shared" si="85"/>
        <v>--</v>
      </c>
      <c r="J48" s="1379">
        <f t="shared" si="117"/>
        <v>590</v>
      </c>
      <c r="K48" s="1361" t="str">
        <f t="shared" si="118"/>
        <v>Freshwater Exposure</v>
      </c>
      <c r="L48" s="209">
        <f t="shared" si="72"/>
        <v>590</v>
      </c>
      <c r="M48" s="1371" t="str">
        <f t="shared" si="86"/>
        <v>USDOE FW Chronic PRG</v>
      </c>
      <c r="N48" s="216">
        <f t="shared" si="73"/>
        <v>590</v>
      </c>
      <c r="O48" s="203" t="str">
        <f t="shared" si="87"/>
        <v>--</v>
      </c>
      <c r="P48" s="203">
        <f t="shared" si="74"/>
        <v>590</v>
      </c>
      <c r="Q48" s="203" t="str">
        <f t="shared" si="88"/>
        <v>--</v>
      </c>
      <c r="R48" s="203" t="str">
        <f t="shared" si="89"/>
        <v>--</v>
      </c>
      <c r="S48" s="203" t="str">
        <f t="shared" si="75"/>
        <v>--</v>
      </c>
      <c r="T48" s="203" t="str">
        <f t="shared" si="90"/>
        <v>--</v>
      </c>
      <c r="U48" s="203" t="str">
        <f t="shared" si="91"/>
        <v>--</v>
      </c>
      <c r="V48" s="203">
        <f t="shared" si="92"/>
        <v>590</v>
      </c>
      <c r="W48" s="193" t="str">
        <f t="shared" si="93"/>
        <v>USDOE FW Chronic PRG</v>
      </c>
      <c r="X48" s="203">
        <f t="shared" si="76"/>
        <v>59</v>
      </c>
      <c r="Y48" s="193" t="str">
        <f t="shared" si="77"/>
        <v>10% US EPA FW CMC</v>
      </c>
      <c r="Z48" s="203" t="str">
        <f t="shared" si="94"/>
        <v>--</v>
      </c>
      <c r="AA48" s="203">
        <f t="shared" si="95"/>
        <v>590</v>
      </c>
      <c r="AB48" s="1368">
        <f t="shared" si="96"/>
        <v>11600</v>
      </c>
      <c r="AC48" s="1356">
        <f t="shared" si="119"/>
        <v>22400</v>
      </c>
      <c r="AD48" s="1377" t="str">
        <f t="shared" si="120"/>
        <v>Saltwater Exposure</v>
      </c>
      <c r="AE48" s="1353">
        <f t="shared" si="97"/>
        <v>22400</v>
      </c>
      <c r="AF48" s="1364" t="str">
        <f t="shared" si="98"/>
        <v>10% US EPA SW Acute LOEL</v>
      </c>
      <c r="AG48" s="216" t="str">
        <f t="shared" si="78"/>
        <v>--</v>
      </c>
      <c r="AH48" s="203" t="str">
        <f t="shared" si="43"/>
        <v>--</v>
      </c>
      <c r="AI48" s="203" t="str">
        <f t="shared" si="99"/>
        <v>--</v>
      </c>
      <c r="AJ48" s="203" t="str">
        <f t="shared" si="100"/>
        <v>--</v>
      </c>
      <c r="AK48" s="203" t="str">
        <f t="shared" si="79"/>
        <v>--</v>
      </c>
      <c r="AL48" s="203" t="str">
        <f t="shared" si="101"/>
        <v>--</v>
      </c>
      <c r="AM48" s="203" t="str">
        <f t="shared" si="102"/>
        <v>--</v>
      </c>
      <c r="AN48" s="203" t="str">
        <f t="shared" si="80"/>
        <v>--</v>
      </c>
      <c r="AO48" s="203" t="str">
        <f t="shared" si="103"/>
        <v>--</v>
      </c>
      <c r="AP48" s="203" t="str">
        <f t="shared" si="104"/>
        <v>--</v>
      </c>
      <c r="AQ48" s="203" t="str">
        <f t="shared" si="105"/>
        <v>--</v>
      </c>
      <c r="AR48" s="1262" t="str">
        <f t="shared" si="106"/>
        <v>--</v>
      </c>
      <c r="AS48" s="203">
        <f t="shared" si="81"/>
        <v>22400</v>
      </c>
      <c r="AT48" s="193" t="str">
        <f t="shared" si="82"/>
        <v>10% US EPA SW Acute LOEL</v>
      </c>
      <c r="AU48" s="203" t="str">
        <f t="shared" si="107"/>
        <v>--</v>
      </c>
      <c r="AV48" s="203" t="str">
        <f t="shared" si="108"/>
        <v>--</v>
      </c>
      <c r="AW48" s="2047">
        <f t="shared" si="109"/>
        <v>224000</v>
      </c>
      <c r="AX48" s="2054" t="str">
        <f t="shared" si="110"/>
        <v>--</v>
      </c>
      <c r="AZ48" s="22"/>
      <c r="BA48" s="350"/>
      <c r="BB48" s="27">
        <f t="shared" si="111"/>
        <v>590</v>
      </c>
      <c r="BC48" s="351" t="str">
        <f t="shared" si="112"/>
        <v>USDOE FW Chronic PRG</v>
      </c>
      <c r="BD48" s="27" t="str">
        <f t="shared" si="113"/>
        <v>--</v>
      </c>
      <c r="BE48" s="351" t="str">
        <f t="shared" si="114"/>
        <v>--</v>
      </c>
      <c r="BF48" s="350"/>
      <c r="BG48" s="350"/>
      <c r="BH48" s="350"/>
      <c r="BI48" s="350"/>
      <c r="BJ48" s="350"/>
      <c r="BK48" s="1306"/>
      <c r="BL48" s="1308"/>
      <c r="BM48" s="350"/>
      <c r="BN48" s="350"/>
      <c r="BO48" s="350"/>
      <c r="BP48" s="35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row>
    <row r="49" spans="1:142" ht="12.95" customHeight="1">
      <c r="A49" s="897" t="s">
        <v>171</v>
      </c>
      <c r="B49" s="432" t="s">
        <v>172</v>
      </c>
      <c r="C49" s="205">
        <f t="shared" si="115"/>
        <v>590</v>
      </c>
      <c r="D49" s="207" t="str">
        <f t="shared" si="116"/>
        <v>Freshwater Goal</v>
      </c>
      <c r="E49" s="1637">
        <f t="shared" si="49"/>
        <v>4000</v>
      </c>
      <c r="F49" s="187" t="str">
        <f t="shared" si="35"/>
        <v>National Criteria</v>
      </c>
      <c r="G49" s="1326">
        <f t="shared" si="83"/>
        <v>140000</v>
      </c>
      <c r="H49" s="1327" t="str">
        <f t="shared" si="84"/>
        <v>--</v>
      </c>
      <c r="I49" s="1359">
        <f t="shared" si="85"/>
        <v>4000</v>
      </c>
      <c r="J49" s="1379">
        <f t="shared" si="117"/>
        <v>590</v>
      </c>
      <c r="K49" s="1361" t="str">
        <f t="shared" si="118"/>
        <v>Freshwater Exposure</v>
      </c>
      <c r="L49" s="209">
        <f t="shared" si="72"/>
        <v>590</v>
      </c>
      <c r="M49" s="1371" t="str">
        <f t="shared" si="86"/>
        <v>USDOE FW Chronic PRG</v>
      </c>
      <c r="N49" s="216">
        <f t="shared" si="73"/>
        <v>590</v>
      </c>
      <c r="O49" s="203" t="str">
        <f t="shared" si="87"/>
        <v>--</v>
      </c>
      <c r="P49" s="203">
        <f t="shared" si="74"/>
        <v>590</v>
      </c>
      <c r="Q49" s="203" t="str">
        <f t="shared" si="88"/>
        <v>--</v>
      </c>
      <c r="R49" s="203" t="str">
        <f t="shared" si="89"/>
        <v>--</v>
      </c>
      <c r="S49" s="203" t="str">
        <f t="shared" si="75"/>
        <v>--</v>
      </c>
      <c r="T49" s="203" t="str">
        <f t="shared" si="90"/>
        <v>--</v>
      </c>
      <c r="U49" s="203" t="str">
        <f t="shared" si="91"/>
        <v>--</v>
      </c>
      <c r="V49" s="203">
        <f t="shared" si="92"/>
        <v>590</v>
      </c>
      <c r="W49" s="193" t="str">
        <f t="shared" si="93"/>
        <v>USDOE FW Chronic PRG</v>
      </c>
      <c r="X49" s="203">
        <f t="shared" si="76"/>
        <v>59</v>
      </c>
      <c r="Y49" s="193" t="str">
        <f t="shared" si="77"/>
        <v>10% US EPA FW CMC</v>
      </c>
      <c r="Z49" s="203" t="str">
        <f t="shared" si="94"/>
        <v>--</v>
      </c>
      <c r="AA49" s="203">
        <f t="shared" si="95"/>
        <v>590</v>
      </c>
      <c r="AB49" s="1368">
        <f t="shared" si="96"/>
        <v>11600</v>
      </c>
      <c r="AC49" s="1356">
        <f t="shared" si="119"/>
        <v>22400</v>
      </c>
      <c r="AD49" s="1377" t="str">
        <f t="shared" si="120"/>
        <v>Saltwater Exposure</v>
      </c>
      <c r="AE49" s="1353">
        <f t="shared" si="97"/>
        <v>22400</v>
      </c>
      <c r="AF49" s="1364" t="str">
        <f t="shared" si="98"/>
        <v>10% US EPA SW Acute LOEL</v>
      </c>
      <c r="AG49" s="216" t="str">
        <f t="shared" si="78"/>
        <v>--</v>
      </c>
      <c r="AH49" s="203" t="str">
        <f t="shared" si="43"/>
        <v>--</v>
      </c>
      <c r="AI49" s="203" t="str">
        <f t="shared" si="99"/>
        <v>--</v>
      </c>
      <c r="AJ49" s="203" t="str">
        <f t="shared" si="100"/>
        <v>--</v>
      </c>
      <c r="AK49" s="203" t="str">
        <f t="shared" si="79"/>
        <v>--</v>
      </c>
      <c r="AL49" s="203" t="str">
        <f t="shared" si="101"/>
        <v>--</v>
      </c>
      <c r="AM49" s="203" t="str">
        <f t="shared" si="102"/>
        <v>--</v>
      </c>
      <c r="AN49" s="203" t="str">
        <f t="shared" si="80"/>
        <v>--</v>
      </c>
      <c r="AO49" s="203" t="str">
        <f t="shared" si="103"/>
        <v>--</v>
      </c>
      <c r="AP49" s="203" t="str">
        <f t="shared" si="104"/>
        <v>--</v>
      </c>
      <c r="AQ49" s="203" t="str">
        <f t="shared" si="105"/>
        <v>--</v>
      </c>
      <c r="AR49" s="1262" t="str">
        <f t="shared" si="106"/>
        <v>--</v>
      </c>
      <c r="AS49" s="203">
        <f t="shared" si="81"/>
        <v>22400</v>
      </c>
      <c r="AT49" s="193" t="str">
        <f t="shared" si="82"/>
        <v>10% US EPA SW Acute LOEL</v>
      </c>
      <c r="AU49" s="203" t="str">
        <f t="shared" si="107"/>
        <v>--</v>
      </c>
      <c r="AV49" s="203" t="str">
        <f t="shared" si="108"/>
        <v>--</v>
      </c>
      <c r="AW49" s="2047">
        <f t="shared" si="109"/>
        <v>224000</v>
      </c>
      <c r="AX49" s="2054" t="str">
        <f t="shared" si="110"/>
        <v>--</v>
      </c>
      <c r="AZ49" s="22"/>
      <c r="BA49" s="350"/>
      <c r="BB49" s="27">
        <f t="shared" si="111"/>
        <v>590</v>
      </c>
      <c r="BC49" s="351" t="str">
        <f t="shared" si="112"/>
        <v>USDOE FW Chronic PRG</v>
      </c>
      <c r="BD49" s="27" t="str">
        <f t="shared" si="113"/>
        <v>--</v>
      </c>
      <c r="BE49" s="351" t="str">
        <f t="shared" si="114"/>
        <v>--</v>
      </c>
      <c r="BF49" s="350"/>
      <c r="BG49" s="350"/>
      <c r="BH49" s="350"/>
      <c r="BI49" s="350"/>
      <c r="BJ49" s="350"/>
      <c r="BK49" s="1308"/>
      <c r="BL49" s="1306"/>
      <c r="BM49" s="350"/>
      <c r="BN49" s="350"/>
      <c r="BO49" s="350"/>
      <c r="BP49" s="35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row>
    <row r="50" spans="1:142" ht="12.95" customHeight="1">
      <c r="A50" s="897" t="s">
        <v>173</v>
      </c>
      <c r="B50" s="432" t="s">
        <v>174</v>
      </c>
      <c r="C50" s="205">
        <f t="shared" si="115"/>
        <v>1</v>
      </c>
      <c r="D50" s="207" t="str">
        <f t="shared" si="116"/>
        <v>Saltwater Goal</v>
      </c>
      <c r="E50" s="1637">
        <f t="shared" si="49"/>
        <v>60</v>
      </c>
      <c r="F50" s="187" t="str">
        <f t="shared" si="35"/>
        <v>National Criteria</v>
      </c>
      <c r="G50" s="1326">
        <f t="shared" si="83"/>
        <v>790</v>
      </c>
      <c r="H50" s="1327" t="str">
        <f t="shared" si="84"/>
        <v>--</v>
      </c>
      <c r="I50" s="1359">
        <f t="shared" si="85"/>
        <v>60</v>
      </c>
      <c r="J50" s="1379">
        <f t="shared" si="117"/>
        <v>182.5</v>
      </c>
      <c r="K50" s="1361" t="str">
        <f t="shared" si="118"/>
        <v>Freshwater Exposure</v>
      </c>
      <c r="L50" s="209">
        <f t="shared" si="72"/>
        <v>182.5</v>
      </c>
      <c r="M50" s="1371" t="str">
        <f t="shared" si="86"/>
        <v>50% US EPA FW Chronic LOEL</v>
      </c>
      <c r="N50" s="216">
        <f t="shared" si="73"/>
        <v>182.5</v>
      </c>
      <c r="O50" s="203" t="str">
        <f t="shared" si="87"/>
        <v>--</v>
      </c>
      <c r="P50" s="203">
        <f t="shared" si="74"/>
        <v>182.5</v>
      </c>
      <c r="Q50" s="203" t="str">
        <f t="shared" si="88"/>
        <v>--</v>
      </c>
      <c r="R50" s="203" t="str">
        <f t="shared" si="89"/>
        <v>--</v>
      </c>
      <c r="S50" s="203">
        <f t="shared" si="75"/>
        <v>182.5</v>
      </c>
      <c r="T50" s="203" t="str">
        <f t="shared" si="90"/>
        <v>--</v>
      </c>
      <c r="U50" s="203">
        <f t="shared" si="91"/>
        <v>365</v>
      </c>
      <c r="V50" s="203" t="str">
        <f t="shared" si="92"/>
        <v>--</v>
      </c>
      <c r="W50" s="193" t="str">
        <f t="shared" si="93"/>
        <v>--</v>
      </c>
      <c r="X50" s="203">
        <f t="shared" si="76"/>
        <v>202</v>
      </c>
      <c r="Y50" s="193" t="str">
        <f t="shared" si="77"/>
        <v>10% US EPA FW Acute LOEL</v>
      </c>
      <c r="Z50" s="203" t="str">
        <f t="shared" si="94"/>
        <v>--</v>
      </c>
      <c r="AA50" s="203" t="str">
        <f t="shared" si="95"/>
        <v>--</v>
      </c>
      <c r="AB50" s="1368">
        <f t="shared" si="96"/>
        <v>2020</v>
      </c>
      <c r="AC50" s="1356">
        <f t="shared" si="119"/>
        <v>1</v>
      </c>
      <c r="AD50" s="1377" t="str">
        <f t="shared" si="120"/>
        <v>Saltwater Exposure</v>
      </c>
      <c r="AE50" s="1353">
        <f t="shared" si="97"/>
        <v>1</v>
      </c>
      <c r="AF50" s="1364" t="str">
        <f t="shared" si="98"/>
        <v>Basin Plan</v>
      </c>
      <c r="AG50" s="216">
        <f t="shared" si="78"/>
        <v>1</v>
      </c>
      <c r="AH50" s="203">
        <f t="shared" si="43"/>
        <v>1</v>
      </c>
      <c r="AI50" s="203" t="str">
        <f t="shared" si="99"/>
        <v>--</v>
      </c>
      <c r="AJ50" s="203">
        <f t="shared" si="100"/>
        <v>1</v>
      </c>
      <c r="AK50" s="203" t="str">
        <f t="shared" si="79"/>
        <v>--</v>
      </c>
      <c r="AL50" s="203" t="str">
        <f t="shared" si="101"/>
        <v>--</v>
      </c>
      <c r="AM50" s="203" t="str">
        <f t="shared" si="102"/>
        <v>--</v>
      </c>
      <c r="AN50" s="203" t="str">
        <f t="shared" si="80"/>
        <v>--</v>
      </c>
      <c r="AO50" s="203" t="str">
        <f t="shared" si="103"/>
        <v>--</v>
      </c>
      <c r="AP50" s="203" t="str">
        <f t="shared" si="104"/>
        <v>--</v>
      </c>
      <c r="AQ50" s="203" t="str">
        <f t="shared" si="105"/>
        <v>--</v>
      </c>
      <c r="AR50" s="1262" t="str">
        <f t="shared" si="106"/>
        <v>--</v>
      </c>
      <c r="AS50" s="203" t="str">
        <f t="shared" si="81"/>
        <v>--</v>
      </c>
      <c r="AT50" s="193" t="str">
        <f t="shared" si="82"/>
        <v>--</v>
      </c>
      <c r="AU50" s="203" t="str">
        <f t="shared" si="107"/>
        <v>--</v>
      </c>
      <c r="AV50" s="203" t="str">
        <f t="shared" si="108"/>
        <v>--</v>
      </c>
      <c r="AW50" s="2047" t="str">
        <f t="shared" si="109"/>
        <v>--</v>
      </c>
      <c r="AX50" s="2054" t="str">
        <f t="shared" si="110"/>
        <v>--</v>
      </c>
      <c r="AZ50" s="22"/>
      <c r="BA50" s="350"/>
      <c r="BB50" s="27">
        <f t="shared" si="111"/>
        <v>182.5</v>
      </c>
      <c r="BC50" s="351" t="str">
        <f t="shared" si="112"/>
        <v>50% US EPA FW Chronic LOEL</v>
      </c>
      <c r="BD50" s="27" t="str">
        <f t="shared" si="113"/>
        <v>--</v>
      </c>
      <c r="BE50" s="351" t="str">
        <f t="shared" si="114"/>
        <v>--</v>
      </c>
      <c r="BF50" s="350"/>
      <c r="BG50" s="350"/>
      <c r="BH50" s="350"/>
      <c r="BI50" s="350"/>
      <c r="BJ50" s="350"/>
      <c r="BK50" s="1308"/>
      <c r="BL50" s="1308"/>
      <c r="BM50" s="350"/>
      <c r="BN50" s="350"/>
      <c r="BO50" s="350"/>
      <c r="BP50" s="35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row>
    <row r="51" spans="1:142" ht="12.95" customHeight="1">
      <c r="A51" s="897" t="s">
        <v>175</v>
      </c>
      <c r="B51" s="432" t="s">
        <v>176</v>
      </c>
      <c r="C51" s="205">
        <f t="shared" si="115"/>
        <v>31</v>
      </c>
      <c r="D51" s="207" t="str">
        <f t="shared" si="116"/>
        <v>Seafood Ingestion</v>
      </c>
      <c r="E51" s="1637">
        <f t="shared" si="49"/>
        <v>31</v>
      </c>
      <c r="F51" s="187" t="str">
        <f t="shared" si="35"/>
        <v>National Criteria</v>
      </c>
      <c r="G51" s="1326">
        <f t="shared" si="83"/>
        <v>39</v>
      </c>
      <c r="H51" s="1327" t="str">
        <f t="shared" si="84"/>
        <v>--</v>
      </c>
      <c r="I51" s="1359">
        <f t="shared" si="85"/>
        <v>31</v>
      </c>
      <c r="J51" s="1379">
        <f t="shared" si="117"/>
        <v>2850</v>
      </c>
      <c r="K51" s="1361" t="str">
        <f t="shared" si="118"/>
        <v>Freshwater Exposure</v>
      </c>
      <c r="L51" s="209">
        <f t="shared" si="72"/>
        <v>2850</v>
      </c>
      <c r="M51" s="1371" t="str">
        <f t="shared" si="86"/>
        <v>50% US EPA FW Chronic LOEL</v>
      </c>
      <c r="N51" s="216">
        <f t="shared" si="73"/>
        <v>2850</v>
      </c>
      <c r="O51" s="203" t="str">
        <f t="shared" si="87"/>
        <v>--</v>
      </c>
      <c r="P51" s="203">
        <f t="shared" si="74"/>
        <v>2850</v>
      </c>
      <c r="Q51" s="203" t="str">
        <f t="shared" si="88"/>
        <v>--</v>
      </c>
      <c r="R51" s="203" t="str">
        <f t="shared" si="89"/>
        <v>--</v>
      </c>
      <c r="S51" s="203">
        <f t="shared" si="75"/>
        <v>2850</v>
      </c>
      <c r="T51" s="203" t="str">
        <f t="shared" si="90"/>
        <v>--</v>
      </c>
      <c r="U51" s="203">
        <f t="shared" si="91"/>
        <v>5700</v>
      </c>
      <c r="V51" s="203" t="str">
        <f t="shared" si="92"/>
        <v>--</v>
      </c>
      <c r="W51" s="193" t="str">
        <f t="shared" si="93"/>
        <v>--</v>
      </c>
      <c r="X51" s="203">
        <f t="shared" si="76"/>
        <v>2300</v>
      </c>
      <c r="Y51" s="193" t="str">
        <f t="shared" si="77"/>
        <v>10% US EPA FW Acute LOEL</v>
      </c>
      <c r="Z51" s="203" t="str">
        <f t="shared" si="94"/>
        <v>--</v>
      </c>
      <c r="AA51" s="203" t="str">
        <f t="shared" si="95"/>
        <v>--</v>
      </c>
      <c r="AB51" s="1368">
        <f t="shared" si="96"/>
        <v>23000</v>
      </c>
      <c r="AC51" s="1356">
        <f t="shared" si="119"/>
        <v>1520</v>
      </c>
      <c r="AD51" s="1377" t="str">
        <f t="shared" si="120"/>
        <v>Saltwater Exposure</v>
      </c>
      <c r="AE51" s="1353">
        <f t="shared" si="97"/>
        <v>1520</v>
      </c>
      <c r="AF51" s="1364" t="str">
        <f t="shared" si="98"/>
        <v>50% US EPA SW Chronic LOEL</v>
      </c>
      <c r="AG51" s="216">
        <f t="shared" si="78"/>
        <v>1520</v>
      </c>
      <c r="AH51" s="203" t="str">
        <f t="shared" si="43"/>
        <v>--</v>
      </c>
      <c r="AI51" s="203" t="str">
        <f t="shared" si="99"/>
        <v>--</v>
      </c>
      <c r="AJ51" s="203" t="str">
        <f t="shared" si="100"/>
        <v>--</v>
      </c>
      <c r="AK51" s="203">
        <f t="shared" si="79"/>
        <v>1520</v>
      </c>
      <c r="AL51" s="203" t="str">
        <f t="shared" si="101"/>
        <v>--</v>
      </c>
      <c r="AM51" s="203" t="str">
        <f t="shared" si="102"/>
        <v>--</v>
      </c>
      <c r="AN51" s="203">
        <f t="shared" si="80"/>
        <v>1520</v>
      </c>
      <c r="AO51" s="203" t="str">
        <f t="shared" si="103"/>
        <v>--</v>
      </c>
      <c r="AP51" s="203">
        <f t="shared" si="104"/>
        <v>3040</v>
      </c>
      <c r="AQ51" s="203" t="str">
        <f t="shared" si="105"/>
        <v>--</v>
      </c>
      <c r="AR51" s="1262" t="str">
        <f t="shared" si="106"/>
        <v>--</v>
      </c>
      <c r="AS51" s="203">
        <f t="shared" si="81"/>
        <v>1030</v>
      </c>
      <c r="AT51" s="193" t="str">
        <f t="shared" si="82"/>
        <v>10% US EPA SW Acute LOEL</v>
      </c>
      <c r="AU51" s="203" t="str">
        <f t="shared" si="107"/>
        <v>--</v>
      </c>
      <c r="AV51" s="203" t="str">
        <f t="shared" si="108"/>
        <v>--</v>
      </c>
      <c r="AW51" s="2047">
        <f t="shared" si="109"/>
        <v>10300</v>
      </c>
      <c r="AX51" s="2054" t="str">
        <f t="shared" si="110"/>
        <v>--</v>
      </c>
      <c r="AZ51" s="22"/>
      <c r="BA51" s="350"/>
      <c r="BB51" s="27">
        <f t="shared" si="111"/>
        <v>2850</v>
      </c>
      <c r="BC51" s="351" t="str">
        <f t="shared" si="112"/>
        <v>50% US EPA FW Chronic LOEL</v>
      </c>
      <c r="BD51" s="27">
        <f t="shared" si="113"/>
        <v>1520</v>
      </c>
      <c r="BE51" s="351" t="str">
        <f t="shared" si="114"/>
        <v>50% US EPA SW Chronic LOEL</v>
      </c>
      <c r="BF51" s="350"/>
      <c r="BG51" s="350"/>
      <c r="BH51" s="350"/>
      <c r="BI51" s="350"/>
      <c r="BJ51" s="350"/>
      <c r="BK51" s="1311"/>
      <c r="BL51" s="1308"/>
      <c r="BM51" s="350"/>
      <c r="BN51" s="350"/>
      <c r="BO51" s="350"/>
      <c r="BP51" s="35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row>
    <row r="52" spans="1:142" ht="12.95" customHeight="1">
      <c r="A52" s="897" t="s">
        <v>177</v>
      </c>
      <c r="B52" s="432" t="s">
        <v>178</v>
      </c>
      <c r="C52" s="205">
        <f t="shared" si="115"/>
        <v>12</v>
      </c>
      <c r="D52" s="207" t="str">
        <f t="shared" si="116"/>
        <v>Seafood Ingestion</v>
      </c>
      <c r="E52" s="1637">
        <f t="shared" si="49"/>
        <v>12</v>
      </c>
      <c r="F52" s="187" t="str">
        <f t="shared" si="35"/>
        <v>National Criteria</v>
      </c>
      <c r="G52" s="1326">
        <f t="shared" si="83"/>
        <v>1700</v>
      </c>
      <c r="H52" s="1327" t="str">
        <f t="shared" si="84"/>
        <v>--</v>
      </c>
      <c r="I52" s="1359">
        <f t="shared" si="85"/>
        <v>12</v>
      </c>
      <c r="J52" s="1379">
        <f t="shared" si="117"/>
        <v>122</v>
      </c>
      <c r="K52" s="1361" t="str">
        <f t="shared" si="118"/>
        <v>Freshwater Exposure</v>
      </c>
      <c r="L52" s="209">
        <f t="shared" si="72"/>
        <v>122</v>
      </c>
      <c r="M52" s="1371" t="str">
        <f t="shared" si="86"/>
        <v>50% US EPA FW Chronic LOEL</v>
      </c>
      <c r="N52" s="216">
        <f t="shared" si="73"/>
        <v>122</v>
      </c>
      <c r="O52" s="203" t="str">
        <f t="shared" si="87"/>
        <v>--</v>
      </c>
      <c r="P52" s="203">
        <f t="shared" si="74"/>
        <v>122</v>
      </c>
      <c r="Q52" s="203" t="str">
        <f t="shared" si="88"/>
        <v>--</v>
      </c>
      <c r="R52" s="203" t="str">
        <f t="shared" si="89"/>
        <v>--</v>
      </c>
      <c r="S52" s="203">
        <f t="shared" si="75"/>
        <v>122</v>
      </c>
      <c r="T52" s="203" t="str">
        <f t="shared" si="90"/>
        <v>--</v>
      </c>
      <c r="U52" s="203">
        <f t="shared" si="91"/>
        <v>244</v>
      </c>
      <c r="V52" s="203" t="str">
        <f t="shared" si="92"/>
        <v>--</v>
      </c>
      <c r="W52" s="193" t="str">
        <f t="shared" si="93"/>
        <v>--</v>
      </c>
      <c r="X52" s="203">
        <f t="shared" si="76"/>
        <v>606</v>
      </c>
      <c r="Y52" s="193" t="str">
        <f t="shared" si="77"/>
        <v>10% US EPA FW Acute LOEL</v>
      </c>
      <c r="Z52" s="203" t="str">
        <f t="shared" si="94"/>
        <v>--</v>
      </c>
      <c r="AA52" s="203" t="str">
        <f t="shared" si="95"/>
        <v>--</v>
      </c>
      <c r="AB52" s="1368">
        <f t="shared" si="96"/>
        <v>6060</v>
      </c>
      <c r="AC52" s="1356">
        <f t="shared" si="119"/>
        <v>79</v>
      </c>
      <c r="AD52" s="1377" t="str">
        <f t="shared" si="120"/>
        <v>Saltwater Exposure</v>
      </c>
      <c r="AE52" s="1353">
        <f t="shared" si="97"/>
        <v>79</v>
      </c>
      <c r="AF52" s="1364" t="str">
        <f t="shared" si="98"/>
        <v>10% US EPA SW Acute LOEL</v>
      </c>
      <c r="AG52" s="216" t="str">
        <f t="shared" si="78"/>
        <v>--</v>
      </c>
      <c r="AH52" s="203" t="str">
        <f t="shared" si="43"/>
        <v>--</v>
      </c>
      <c r="AI52" s="203" t="str">
        <f t="shared" si="99"/>
        <v>--</v>
      </c>
      <c r="AJ52" s="203" t="str">
        <f t="shared" si="100"/>
        <v>--</v>
      </c>
      <c r="AK52" s="203" t="str">
        <f t="shared" si="79"/>
        <v>--</v>
      </c>
      <c r="AL52" s="203" t="str">
        <f t="shared" si="101"/>
        <v>--</v>
      </c>
      <c r="AM52" s="203" t="str">
        <f t="shared" si="102"/>
        <v>--</v>
      </c>
      <c r="AN52" s="203" t="str">
        <f t="shared" si="80"/>
        <v>--</v>
      </c>
      <c r="AO52" s="203" t="str">
        <f t="shared" si="103"/>
        <v>--</v>
      </c>
      <c r="AP52" s="203" t="str">
        <f t="shared" si="104"/>
        <v>--</v>
      </c>
      <c r="AQ52" s="203" t="str">
        <f t="shared" si="105"/>
        <v>--</v>
      </c>
      <c r="AR52" s="1262" t="str">
        <f t="shared" si="106"/>
        <v>--</v>
      </c>
      <c r="AS52" s="203">
        <f t="shared" si="81"/>
        <v>79</v>
      </c>
      <c r="AT52" s="193" t="str">
        <f t="shared" si="82"/>
        <v>10% US EPA SW Acute LOEL</v>
      </c>
      <c r="AU52" s="203" t="str">
        <f t="shared" si="107"/>
        <v>--</v>
      </c>
      <c r="AV52" s="203" t="str">
        <f t="shared" si="108"/>
        <v>--</v>
      </c>
      <c r="AW52" s="2047">
        <f t="shared" si="109"/>
        <v>790</v>
      </c>
      <c r="AX52" s="2054" t="str">
        <f t="shared" si="110"/>
        <v>--</v>
      </c>
      <c r="AZ52" s="22"/>
      <c r="BA52" s="350"/>
      <c r="BB52" s="27">
        <f t="shared" si="111"/>
        <v>122</v>
      </c>
      <c r="BC52" s="351" t="str">
        <f t="shared" si="112"/>
        <v>50% US EPA FW Chronic LOEL</v>
      </c>
      <c r="BD52" s="27" t="str">
        <f t="shared" si="113"/>
        <v>--</v>
      </c>
      <c r="BE52" s="351" t="str">
        <f t="shared" si="114"/>
        <v>--</v>
      </c>
      <c r="BF52" s="350"/>
      <c r="BG52" s="350"/>
      <c r="BH52" s="350"/>
      <c r="BI52" s="350"/>
      <c r="BJ52" s="350"/>
      <c r="BK52" s="1304"/>
      <c r="BL52" s="1308"/>
      <c r="BM52" s="350"/>
      <c r="BN52" s="350"/>
      <c r="BO52" s="350"/>
      <c r="BP52" s="35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row>
    <row r="53" spans="1:142" ht="12.95" customHeight="1">
      <c r="A53" s="897" t="s">
        <v>179</v>
      </c>
      <c r="B53" s="432" t="s">
        <v>180</v>
      </c>
      <c r="C53" s="205">
        <f t="shared" si="115"/>
        <v>1.1999999999999999E-6</v>
      </c>
      <c r="D53" s="207" t="str">
        <f t="shared" si="116"/>
        <v>Seafood Ingestion</v>
      </c>
      <c r="E53" s="1637">
        <f t="shared" si="49"/>
        <v>1.1999999999999999E-6</v>
      </c>
      <c r="F53" s="187" t="str">
        <f t="shared" si="35"/>
        <v>National Criteria</v>
      </c>
      <c r="G53" s="1326">
        <f t="shared" si="83"/>
        <v>1.3999999999999999E-4</v>
      </c>
      <c r="H53" s="1327">
        <f t="shared" si="84"/>
        <v>4.0000000000000003E-5</v>
      </c>
      <c r="I53" s="1359">
        <f t="shared" si="85"/>
        <v>1.1999999999999999E-6</v>
      </c>
      <c r="J53" s="1379">
        <f t="shared" si="117"/>
        <v>5.6000000000000001E-2</v>
      </c>
      <c r="K53" s="1361" t="str">
        <f t="shared" si="118"/>
        <v>Freshwater Exposure</v>
      </c>
      <c r="L53" s="209">
        <f t="shared" si="72"/>
        <v>5.6000000000000001E-2</v>
      </c>
      <c r="M53" s="1371" t="str">
        <f t="shared" si="86"/>
        <v>CTR FW CCC</v>
      </c>
      <c r="N53" s="216">
        <f t="shared" si="73"/>
        <v>5.6000000000000001E-2</v>
      </c>
      <c r="O53" s="203" t="str">
        <f t="shared" si="87"/>
        <v>--</v>
      </c>
      <c r="P53" s="203">
        <f t="shared" si="74"/>
        <v>5.6000000000000001E-2</v>
      </c>
      <c r="Q53" s="203">
        <f t="shared" si="88"/>
        <v>5.6000000000000001E-2</v>
      </c>
      <c r="R53" s="203">
        <f t="shared" si="89"/>
        <v>5.6000000000000001E-2</v>
      </c>
      <c r="S53" s="203">
        <f t="shared" si="75"/>
        <v>6.2E-2</v>
      </c>
      <c r="T53" s="203">
        <f t="shared" si="90"/>
        <v>6.2E-2</v>
      </c>
      <c r="U53" s="203" t="str">
        <f t="shared" si="91"/>
        <v>--</v>
      </c>
      <c r="V53" s="203" t="str">
        <f t="shared" si="92"/>
        <v>--</v>
      </c>
      <c r="W53" s="193" t="str">
        <f t="shared" si="93"/>
        <v>--</v>
      </c>
      <c r="X53" s="203">
        <f t="shared" si="76"/>
        <v>2.4E-2</v>
      </c>
      <c r="Y53" s="193" t="str">
        <f t="shared" si="77"/>
        <v>10% CTR FW CMC</v>
      </c>
      <c r="Z53" s="203">
        <f t="shared" si="94"/>
        <v>0.24</v>
      </c>
      <c r="AA53" s="203" t="str">
        <f t="shared" si="95"/>
        <v>--</v>
      </c>
      <c r="AB53" s="1368" t="str">
        <f t="shared" si="96"/>
        <v>--</v>
      </c>
      <c r="AC53" s="1356">
        <f t="shared" si="119"/>
        <v>1.9E-3</v>
      </c>
      <c r="AD53" s="1377" t="str">
        <f t="shared" si="120"/>
        <v>Saltwater Exposure</v>
      </c>
      <c r="AE53" s="1353">
        <f t="shared" si="97"/>
        <v>1.9E-3</v>
      </c>
      <c r="AF53" s="1364" t="str">
        <f t="shared" si="98"/>
        <v>CTR SW CCC</v>
      </c>
      <c r="AG53" s="216">
        <f t="shared" si="78"/>
        <v>1.9E-3</v>
      </c>
      <c r="AH53" s="203" t="str">
        <f t="shared" si="43"/>
        <v>--</v>
      </c>
      <c r="AI53" s="203" t="str">
        <f t="shared" si="99"/>
        <v>--</v>
      </c>
      <c r="AJ53" s="203" t="str">
        <f t="shared" si="100"/>
        <v>--</v>
      </c>
      <c r="AK53" s="203">
        <f t="shared" si="79"/>
        <v>1.9E-3</v>
      </c>
      <c r="AL53" s="203">
        <f t="shared" si="101"/>
        <v>1.9E-3</v>
      </c>
      <c r="AM53" s="203">
        <f t="shared" si="102"/>
        <v>1.9E-3</v>
      </c>
      <c r="AN53" s="203">
        <f t="shared" si="80"/>
        <v>0.11</v>
      </c>
      <c r="AO53" s="203">
        <f t="shared" si="103"/>
        <v>0.11</v>
      </c>
      <c r="AP53" s="203" t="str">
        <f t="shared" si="104"/>
        <v>--</v>
      </c>
      <c r="AQ53" s="203" t="str">
        <f t="shared" si="105"/>
        <v>--</v>
      </c>
      <c r="AR53" s="1262" t="str">
        <f t="shared" si="106"/>
        <v>--</v>
      </c>
      <c r="AS53" s="203">
        <f t="shared" si="81"/>
        <v>7.0999999999999994E-2</v>
      </c>
      <c r="AT53" s="193" t="str">
        <f t="shared" si="82"/>
        <v>10% US EPA SW CMC</v>
      </c>
      <c r="AU53" s="203">
        <f t="shared" si="107"/>
        <v>0.71</v>
      </c>
      <c r="AV53" s="203">
        <f t="shared" si="108"/>
        <v>0.71</v>
      </c>
      <c r="AW53" s="2047" t="str">
        <f t="shared" si="109"/>
        <v>--</v>
      </c>
      <c r="AX53" s="2054" t="str">
        <f t="shared" si="110"/>
        <v>--</v>
      </c>
      <c r="AZ53" s="22"/>
      <c r="BA53" s="350"/>
      <c r="BB53" s="27">
        <f t="shared" si="111"/>
        <v>5.6000000000000001E-2</v>
      </c>
      <c r="BC53" s="351" t="str">
        <f t="shared" si="112"/>
        <v>CTR FW CCC</v>
      </c>
      <c r="BD53" s="27">
        <f t="shared" si="113"/>
        <v>1.9E-3</v>
      </c>
      <c r="BE53" s="351" t="str">
        <f t="shared" si="114"/>
        <v>CTR SW CCC</v>
      </c>
      <c r="BF53" s="350"/>
      <c r="BG53" s="350"/>
      <c r="BH53" s="350"/>
      <c r="BI53" s="350"/>
      <c r="BJ53" s="350"/>
      <c r="BK53" s="1311"/>
      <c r="BL53" s="1311"/>
      <c r="BM53" s="350"/>
      <c r="BN53" s="350"/>
      <c r="BO53" s="350"/>
      <c r="BP53" s="35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row>
    <row r="54" spans="1:142" ht="12.95" customHeight="1">
      <c r="A54" s="897" t="s">
        <v>181</v>
      </c>
      <c r="B54" s="432" t="s">
        <v>182</v>
      </c>
      <c r="C54" s="205">
        <f t="shared" si="115"/>
        <v>1.5</v>
      </c>
      <c r="D54" s="207" t="str">
        <f t="shared" si="116"/>
        <v>Freshwater Goal</v>
      </c>
      <c r="E54" s="1637">
        <f t="shared" si="49"/>
        <v>600</v>
      </c>
      <c r="F54" s="187" t="str">
        <f t="shared" si="35"/>
        <v>National Criteria</v>
      </c>
      <c r="G54" s="1326">
        <f t="shared" si="83"/>
        <v>120000</v>
      </c>
      <c r="H54" s="1327" t="str">
        <f t="shared" si="84"/>
        <v>--</v>
      </c>
      <c r="I54" s="1359">
        <f t="shared" si="85"/>
        <v>600</v>
      </c>
      <c r="J54" s="1379">
        <f t="shared" si="117"/>
        <v>1.5</v>
      </c>
      <c r="K54" s="1361" t="str">
        <f t="shared" si="118"/>
        <v>Freshwater Exposure</v>
      </c>
      <c r="L54" s="209">
        <f t="shared" si="72"/>
        <v>1.5</v>
      </c>
      <c r="M54" s="1371" t="str">
        <f t="shared" si="86"/>
        <v>50% US EPA FW Chronic LOEL</v>
      </c>
      <c r="N54" s="216">
        <f t="shared" si="73"/>
        <v>1.5</v>
      </c>
      <c r="O54" s="203" t="str">
        <f t="shared" si="87"/>
        <v>--</v>
      </c>
      <c r="P54" s="203">
        <f t="shared" si="74"/>
        <v>1.5</v>
      </c>
      <c r="Q54" s="203" t="str">
        <f t="shared" si="88"/>
        <v>--</v>
      </c>
      <c r="R54" s="203" t="str">
        <f t="shared" si="89"/>
        <v>--</v>
      </c>
      <c r="S54" s="203">
        <f t="shared" si="75"/>
        <v>1.5</v>
      </c>
      <c r="T54" s="203">
        <f t="shared" si="90"/>
        <v>220</v>
      </c>
      <c r="U54" s="203">
        <f t="shared" si="91"/>
        <v>3</v>
      </c>
      <c r="V54" s="203" t="str">
        <f t="shared" si="92"/>
        <v>--</v>
      </c>
      <c r="W54" s="193" t="str">
        <f t="shared" si="93"/>
        <v>--</v>
      </c>
      <c r="X54" s="203">
        <f t="shared" si="76"/>
        <v>94</v>
      </c>
      <c r="Y54" s="193" t="str">
        <f t="shared" si="77"/>
        <v>10% US EPA FW Acute LOEL</v>
      </c>
      <c r="Z54" s="203" t="str">
        <f t="shared" si="94"/>
        <v>--</v>
      </c>
      <c r="AA54" s="203" t="str">
        <f t="shared" si="95"/>
        <v>--</v>
      </c>
      <c r="AB54" s="1368">
        <f t="shared" si="96"/>
        <v>940</v>
      </c>
      <c r="AC54" s="1356">
        <f t="shared" si="119"/>
        <v>1.7</v>
      </c>
      <c r="AD54" s="1377" t="str">
        <f t="shared" si="120"/>
        <v>Saltwater Exposure</v>
      </c>
      <c r="AE54" s="1353">
        <f t="shared" si="97"/>
        <v>1.7</v>
      </c>
      <c r="AF54" s="1364" t="str">
        <f t="shared" si="98"/>
        <v>50% US EPA SW Chronic LOEL</v>
      </c>
      <c r="AG54" s="216">
        <f t="shared" si="78"/>
        <v>1.7</v>
      </c>
      <c r="AH54" s="203" t="str">
        <f t="shared" si="43"/>
        <v>--</v>
      </c>
      <c r="AI54" s="203" t="str">
        <f t="shared" si="99"/>
        <v>--</v>
      </c>
      <c r="AJ54" s="203" t="str">
        <f t="shared" si="100"/>
        <v>--</v>
      </c>
      <c r="AK54" s="203">
        <f t="shared" si="79"/>
        <v>1.7</v>
      </c>
      <c r="AL54" s="203" t="str">
        <f t="shared" si="101"/>
        <v>--</v>
      </c>
      <c r="AM54" s="203" t="str">
        <f t="shared" si="102"/>
        <v>--</v>
      </c>
      <c r="AN54" s="203">
        <f t="shared" si="80"/>
        <v>1.7</v>
      </c>
      <c r="AO54" s="203" t="str">
        <f t="shared" si="103"/>
        <v>--</v>
      </c>
      <c r="AP54" s="203">
        <f t="shared" si="104"/>
        <v>3.4</v>
      </c>
      <c r="AQ54" s="203" t="str">
        <f t="shared" si="105"/>
        <v>--</v>
      </c>
      <c r="AR54" s="1262" t="str">
        <f t="shared" si="106"/>
        <v>--</v>
      </c>
      <c r="AS54" s="203">
        <f t="shared" si="81"/>
        <v>294.39999999999998</v>
      </c>
      <c r="AT54" s="193" t="str">
        <f t="shared" si="82"/>
        <v>10% US EPA SW Acute LOEL</v>
      </c>
      <c r="AU54" s="203" t="str">
        <f t="shared" si="107"/>
        <v>--</v>
      </c>
      <c r="AV54" s="203" t="str">
        <f t="shared" si="108"/>
        <v>--</v>
      </c>
      <c r="AW54" s="2047">
        <f t="shared" si="109"/>
        <v>2944</v>
      </c>
      <c r="AX54" s="2054" t="str">
        <f t="shared" si="110"/>
        <v>--</v>
      </c>
      <c r="AZ54" s="22"/>
      <c r="BA54" s="350"/>
      <c r="BB54" s="27">
        <f t="shared" si="111"/>
        <v>1.5</v>
      </c>
      <c r="BC54" s="351" t="str">
        <f t="shared" si="112"/>
        <v>50% US EPA FW Chronic LOEL</v>
      </c>
      <c r="BD54" s="27">
        <f t="shared" si="113"/>
        <v>1.7</v>
      </c>
      <c r="BE54" s="351" t="str">
        <f t="shared" si="114"/>
        <v>50% US EPA SW Chronic LOEL</v>
      </c>
      <c r="BF54" s="350"/>
      <c r="BG54" s="350"/>
      <c r="BH54" s="350"/>
      <c r="BI54" s="350"/>
      <c r="BJ54" s="350"/>
      <c r="BK54" s="1304"/>
      <c r="BL54" s="1311"/>
      <c r="BM54" s="350"/>
      <c r="BN54" s="350"/>
      <c r="BO54" s="350"/>
      <c r="BP54" s="35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row>
    <row r="55" spans="1:142" ht="12.95" customHeight="1">
      <c r="A55" s="897" t="s">
        <v>183</v>
      </c>
      <c r="B55" s="432" t="s">
        <v>184</v>
      </c>
      <c r="C55" s="205">
        <f t="shared" si="115"/>
        <v>30</v>
      </c>
      <c r="D55" s="207" t="str">
        <f t="shared" si="116"/>
        <v>Saltwater Goal</v>
      </c>
      <c r="E55" s="1637">
        <f t="shared" si="49"/>
        <v>2300</v>
      </c>
      <c r="F55" s="187" t="str">
        <f t="shared" si="35"/>
        <v>Cal Tox Rule</v>
      </c>
      <c r="G55" s="1326">
        <f t="shared" si="83"/>
        <v>2300</v>
      </c>
      <c r="H55" s="1327" t="str">
        <f t="shared" si="84"/>
        <v>--</v>
      </c>
      <c r="I55" s="1359">
        <f t="shared" si="85"/>
        <v>3000</v>
      </c>
      <c r="J55" s="1379">
        <f t="shared" si="117"/>
        <v>530</v>
      </c>
      <c r="K55" s="1361" t="str">
        <f t="shared" si="118"/>
        <v>Freshwater Exposure</v>
      </c>
      <c r="L55" s="209">
        <f t="shared" si="72"/>
        <v>530</v>
      </c>
      <c r="M55" s="1371" t="str">
        <f t="shared" si="86"/>
        <v>US EPA FW CCC</v>
      </c>
      <c r="N55" s="216">
        <f t="shared" si="73"/>
        <v>530</v>
      </c>
      <c r="O55" s="203" t="str">
        <f t="shared" si="87"/>
        <v>--</v>
      </c>
      <c r="P55" s="203">
        <f t="shared" si="74"/>
        <v>530</v>
      </c>
      <c r="Q55" s="203" t="str">
        <f t="shared" si="88"/>
        <v>--</v>
      </c>
      <c r="R55" s="203">
        <f t="shared" si="89"/>
        <v>530</v>
      </c>
      <c r="S55" s="203" t="str">
        <f t="shared" si="75"/>
        <v>--</v>
      </c>
      <c r="T55" s="203" t="str">
        <f t="shared" si="90"/>
        <v>--</v>
      </c>
      <c r="U55" s="203" t="str">
        <f t="shared" si="91"/>
        <v>--</v>
      </c>
      <c r="V55" s="203" t="str">
        <f t="shared" si="92"/>
        <v>--</v>
      </c>
      <c r="W55" s="193" t="str">
        <f t="shared" si="93"/>
        <v>--</v>
      </c>
      <c r="X55" s="203" t="str">
        <f t="shared" si="76"/>
        <v>--</v>
      </c>
      <c r="Y55" s="193" t="str">
        <f t="shared" si="77"/>
        <v>--</v>
      </c>
      <c r="Z55" s="203" t="str">
        <f t="shared" si="94"/>
        <v>--</v>
      </c>
      <c r="AA55" s="203" t="str">
        <f t="shared" si="95"/>
        <v>--</v>
      </c>
      <c r="AB55" s="1368" t="str">
        <f t="shared" si="96"/>
        <v>--</v>
      </c>
      <c r="AC55" s="1356">
        <f t="shared" si="119"/>
        <v>30</v>
      </c>
      <c r="AD55" s="1377" t="str">
        <f t="shared" si="120"/>
        <v>Saltwater Exposure</v>
      </c>
      <c r="AE55" s="1353">
        <f t="shared" si="97"/>
        <v>30</v>
      </c>
      <c r="AF55" s="1364" t="str">
        <f t="shared" si="98"/>
        <v>Basin Plan</v>
      </c>
      <c r="AG55" s="216">
        <f t="shared" si="78"/>
        <v>30</v>
      </c>
      <c r="AH55" s="203">
        <f t="shared" si="43"/>
        <v>30</v>
      </c>
      <c r="AI55" s="203" t="str">
        <f t="shared" si="99"/>
        <v>--</v>
      </c>
      <c r="AJ55" s="203">
        <f t="shared" si="100"/>
        <v>30</v>
      </c>
      <c r="AK55" s="203">
        <f t="shared" si="79"/>
        <v>110</v>
      </c>
      <c r="AL55" s="203" t="str">
        <f t="shared" si="101"/>
        <v>--</v>
      </c>
      <c r="AM55" s="203">
        <f t="shared" si="102"/>
        <v>110</v>
      </c>
      <c r="AN55" s="203" t="str">
        <f t="shared" si="80"/>
        <v>--</v>
      </c>
      <c r="AO55" s="203" t="str">
        <f t="shared" si="103"/>
        <v>--</v>
      </c>
      <c r="AP55" s="203" t="str">
        <f t="shared" si="104"/>
        <v>--</v>
      </c>
      <c r="AQ55" s="203" t="str">
        <f t="shared" si="105"/>
        <v>--</v>
      </c>
      <c r="AR55" s="1262" t="str">
        <f t="shared" si="106"/>
        <v>--</v>
      </c>
      <c r="AS55" s="203">
        <f t="shared" si="81"/>
        <v>27</v>
      </c>
      <c r="AT55" s="193" t="str">
        <f t="shared" si="82"/>
        <v>10% US EPA SW CMC</v>
      </c>
      <c r="AU55" s="203" t="str">
        <f t="shared" si="107"/>
        <v>--</v>
      </c>
      <c r="AV55" s="203">
        <f t="shared" si="108"/>
        <v>270</v>
      </c>
      <c r="AW55" s="2047" t="str">
        <f t="shared" si="109"/>
        <v>--</v>
      </c>
      <c r="AX55" s="2054" t="str">
        <f t="shared" si="110"/>
        <v>--</v>
      </c>
      <c r="AZ55" s="22"/>
      <c r="BA55" s="350"/>
      <c r="BB55" s="27">
        <f t="shared" si="111"/>
        <v>530</v>
      </c>
      <c r="BC55" s="351" t="str">
        <f t="shared" si="112"/>
        <v>US EPA FW CCC</v>
      </c>
      <c r="BD55" s="27">
        <f t="shared" si="113"/>
        <v>110</v>
      </c>
      <c r="BE55" s="351" t="str">
        <f t="shared" si="114"/>
        <v>US EPA SW CCC</v>
      </c>
      <c r="BF55" s="350"/>
      <c r="BG55" s="350"/>
      <c r="BH55" s="350"/>
      <c r="BI55" s="350"/>
      <c r="BJ55" s="350"/>
      <c r="BK55" s="1311"/>
      <c r="BL55" s="1311"/>
      <c r="BM55" s="350"/>
      <c r="BN55" s="350"/>
      <c r="BO55" s="350"/>
      <c r="BP55" s="35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row>
    <row r="56" spans="1:142" ht="12.95" customHeight="1">
      <c r="A56" s="897" t="s">
        <v>185</v>
      </c>
      <c r="B56" s="432" t="s">
        <v>186</v>
      </c>
      <c r="C56" s="205">
        <f t="shared" si="115"/>
        <v>4</v>
      </c>
      <c r="D56" s="207" t="str">
        <f t="shared" si="116"/>
        <v>Seafood Ingestion</v>
      </c>
      <c r="E56" s="1637">
        <f t="shared" si="49"/>
        <v>4</v>
      </c>
      <c r="F56" s="187" t="str">
        <f t="shared" si="35"/>
        <v>Cal Ocean Plan</v>
      </c>
      <c r="G56" s="1326">
        <f t="shared" si="83"/>
        <v>14000</v>
      </c>
      <c r="H56" s="1327">
        <f t="shared" si="84"/>
        <v>4</v>
      </c>
      <c r="I56" s="1359">
        <f t="shared" si="85"/>
        <v>300</v>
      </c>
      <c r="J56" s="1379">
        <f t="shared" si="117"/>
        <v>75</v>
      </c>
      <c r="K56" s="1361" t="str">
        <f t="shared" si="118"/>
        <v>Freshwater Exposure</v>
      </c>
      <c r="L56" s="209">
        <f t="shared" si="72"/>
        <v>75</v>
      </c>
      <c r="M56" s="1371" t="str">
        <f t="shared" si="86"/>
        <v>50% US EPA FW Chronic LOEL</v>
      </c>
      <c r="N56" s="216">
        <f t="shared" si="73"/>
        <v>75</v>
      </c>
      <c r="O56" s="203" t="str">
        <f t="shared" si="87"/>
        <v>--</v>
      </c>
      <c r="P56" s="203">
        <f t="shared" si="74"/>
        <v>75</v>
      </c>
      <c r="Q56" s="203" t="str">
        <f t="shared" si="88"/>
        <v>--</v>
      </c>
      <c r="R56" s="203" t="str">
        <f t="shared" si="89"/>
        <v>--</v>
      </c>
      <c r="S56" s="203">
        <f t="shared" si="75"/>
        <v>75</v>
      </c>
      <c r="T56" s="203" t="str">
        <f t="shared" si="90"/>
        <v>--</v>
      </c>
      <c r="U56" s="203">
        <f t="shared" si="91"/>
        <v>150</v>
      </c>
      <c r="V56" s="203" t="str">
        <f t="shared" si="92"/>
        <v>--</v>
      </c>
      <c r="W56" s="193" t="str">
        <f t="shared" si="93"/>
        <v>--</v>
      </c>
      <c r="X56" s="203">
        <f t="shared" si="76"/>
        <v>23</v>
      </c>
      <c r="Y56" s="193" t="str">
        <f t="shared" si="77"/>
        <v>10% US EPA FW Acute LOEL</v>
      </c>
      <c r="Z56" s="203" t="str">
        <f t="shared" si="94"/>
        <v>--</v>
      </c>
      <c r="AA56" s="203" t="str">
        <f t="shared" si="95"/>
        <v>--</v>
      </c>
      <c r="AB56" s="1368">
        <f t="shared" si="96"/>
        <v>230</v>
      </c>
      <c r="AC56" s="1356">
        <f t="shared" si="119"/>
        <v>30</v>
      </c>
      <c r="AD56" s="1377" t="str">
        <f t="shared" si="120"/>
        <v>Saltwater Exposure</v>
      </c>
      <c r="AE56" s="1353">
        <f t="shared" si="97"/>
        <v>30</v>
      </c>
      <c r="AF56" s="1364" t="str">
        <f t="shared" si="98"/>
        <v>Basin Plan</v>
      </c>
      <c r="AG56" s="216">
        <f t="shared" si="78"/>
        <v>30</v>
      </c>
      <c r="AH56" s="203">
        <f t="shared" si="43"/>
        <v>30</v>
      </c>
      <c r="AI56" s="203" t="str">
        <f t="shared" si="99"/>
        <v>--</v>
      </c>
      <c r="AJ56" s="203">
        <f t="shared" si="100"/>
        <v>30</v>
      </c>
      <c r="AK56" s="203" t="str">
        <f t="shared" si="79"/>
        <v>--</v>
      </c>
      <c r="AL56" s="203" t="str">
        <f t="shared" si="101"/>
        <v>--</v>
      </c>
      <c r="AM56" s="203" t="str">
        <f t="shared" si="102"/>
        <v>--</v>
      </c>
      <c r="AN56" s="203" t="str">
        <f t="shared" si="80"/>
        <v>--</v>
      </c>
      <c r="AO56" s="203" t="str">
        <f t="shared" si="103"/>
        <v>--</v>
      </c>
      <c r="AP56" s="203" t="str">
        <f t="shared" si="104"/>
        <v>--</v>
      </c>
      <c r="AQ56" s="203" t="str">
        <f t="shared" si="105"/>
        <v>--</v>
      </c>
      <c r="AR56" s="1262" t="str">
        <f t="shared" si="106"/>
        <v>--</v>
      </c>
      <c r="AS56" s="203">
        <f t="shared" si="81"/>
        <v>485</v>
      </c>
      <c r="AT56" s="193" t="str">
        <f t="shared" si="82"/>
        <v>10% US EPA SW Acute LOEL</v>
      </c>
      <c r="AU56" s="203" t="str">
        <f t="shared" si="107"/>
        <v>--</v>
      </c>
      <c r="AV56" s="203" t="str">
        <f t="shared" si="108"/>
        <v>--</v>
      </c>
      <c r="AW56" s="2047">
        <f t="shared" si="109"/>
        <v>4850</v>
      </c>
      <c r="AX56" s="2054" t="str">
        <f t="shared" si="110"/>
        <v>--</v>
      </c>
      <c r="AZ56" s="22"/>
      <c r="BA56" s="350"/>
      <c r="BB56" s="27">
        <f t="shared" si="111"/>
        <v>75</v>
      </c>
      <c r="BC56" s="351" t="str">
        <f t="shared" si="112"/>
        <v>50% US EPA FW Chronic LOEL</v>
      </c>
      <c r="BD56" s="27" t="str">
        <f t="shared" si="113"/>
        <v>--</v>
      </c>
      <c r="BE56" s="351" t="str">
        <f t="shared" si="114"/>
        <v>--</v>
      </c>
      <c r="BF56" s="350"/>
      <c r="BG56" s="350"/>
      <c r="BH56" s="350"/>
      <c r="BI56" s="350"/>
      <c r="BJ56" s="350"/>
      <c r="BK56" s="1304"/>
      <c r="BL56" s="1311"/>
      <c r="BM56" s="350"/>
      <c r="BN56" s="350"/>
      <c r="BO56" s="350"/>
      <c r="BP56" s="35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row>
    <row r="57" spans="1:142" ht="12.95" customHeight="1">
      <c r="A57" s="897" t="s">
        <v>187</v>
      </c>
      <c r="B57" s="432" t="s">
        <v>188</v>
      </c>
      <c r="C57" s="205">
        <f t="shared" si="115"/>
        <v>1.7</v>
      </c>
      <c r="D57" s="207" t="str">
        <f t="shared" si="116"/>
        <v>Seafood Ingestion</v>
      </c>
      <c r="E57" s="1637">
        <f t="shared" si="49"/>
        <v>1.7</v>
      </c>
      <c r="F57" s="187" t="str">
        <f t="shared" si="35"/>
        <v>National Criteria</v>
      </c>
      <c r="G57" s="1326">
        <f t="shared" si="83"/>
        <v>9.1</v>
      </c>
      <c r="H57" s="1327">
        <f t="shared" si="84"/>
        <v>2.6</v>
      </c>
      <c r="I57" s="1359">
        <f t="shared" si="85"/>
        <v>1.7</v>
      </c>
      <c r="J57" s="1379">
        <f t="shared" si="117"/>
        <v>115</v>
      </c>
      <c r="K57" s="1361" t="str">
        <f t="shared" si="118"/>
        <v>Freshwater Exposure</v>
      </c>
      <c r="L57" s="209">
        <f t="shared" si="72"/>
        <v>115</v>
      </c>
      <c r="M57" s="1371" t="str">
        <f t="shared" si="86"/>
        <v>50% US EPA FW Chronic LOEL</v>
      </c>
      <c r="N57" s="216">
        <f t="shared" si="73"/>
        <v>115</v>
      </c>
      <c r="O57" s="203" t="str">
        <f t="shared" si="87"/>
        <v>--</v>
      </c>
      <c r="P57" s="203">
        <f t="shared" si="74"/>
        <v>115</v>
      </c>
      <c r="Q57" s="203" t="str">
        <f t="shared" si="88"/>
        <v>--</v>
      </c>
      <c r="R57" s="203" t="str">
        <f t="shared" si="89"/>
        <v>--</v>
      </c>
      <c r="S57" s="203">
        <f t="shared" si="75"/>
        <v>115</v>
      </c>
      <c r="T57" s="203" t="str">
        <f t="shared" si="90"/>
        <v>--</v>
      </c>
      <c r="U57" s="203">
        <f t="shared" si="91"/>
        <v>230</v>
      </c>
      <c r="V57" s="203" t="str">
        <f t="shared" si="92"/>
        <v>--</v>
      </c>
      <c r="W57" s="193" t="str">
        <f t="shared" si="93"/>
        <v>--</v>
      </c>
      <c r="X57" s="203">
        <f t="shared" si="76"/>
        <v>33</v>
      </c>
      <c r="Y57" s="193" t="str">
        <f t="shared" si="77"/>
        <v>10% US EPA FW Acute LOEL</v>
      </c>
      <c r="Z57" s="203" t="str">
        <f t="shared" si="94"/>
        <v>--</v>
      </c>
      <c r="AA57" s="203" t="str">
        <f t="shared" si="95"/>
        <v>--</v>
      </c>
      <c r="AB57" s="1368">
        <f t="shared" si="96"/>
        <v>330</v>
      </c>
      <c r="AC57" s="1356">
        <f t="shared" si="119"/>
        <v>185</v>
      </c>
      <c r="AD57" s="1377" t="str">
        <f t="shared" si="120"/>
        <v>Saltwater Exposure</v>
      </c>
      <c r="AE57" s="1353">
        <f t="shared" si="97"/>
        <v>185</v>
      </c>
      <c r="AF57" s="1364" t="str">
        <f t="shared" si="98"/>
        <v>50% US EPA SW Chronic LOEL</v>
      </c>
      <c r="AG57" s="216">
        <f t="shared" si="78"/>
        <v>185</v>
      </c>
      <c r="AH57" s="203" t="str">
        <f t="shared" si="43"/>
        <v>--</v>
      </c>
      <c r="AI57" s="203" t="str">
        <f t="shared" si="99"/>
        <v>--</v>
      </c>
      <c r="AJ57" s="203" t="str">
        <f t="shared" si="100"/>
        <v>--</v>
      </c>
      <c r="AK57" s="203">
        <f t="shared" si="79"/>
        <v>185</v>
      </c>
      <c r="AL57" s="203" t="str">
        <f t="shared" si="101"/>
        <v>--</v>
      </c>
      <c r="AM57" s="203" t="str">
        <f t="shared" si="102"/>
        <v>--</v>
      </c>
      <c r="AN57" s="203">
        <f t="shared" si="80"/>
        <v>185</v>
      </c>
      <c r="AO57" s="203" t="str">
        <f t="shared" si="103"/>
        <v>--</v>
      </c>
      <c r="AP57" s="203">
        <f t="shared" si="104"/>
        <v>370</v>
      </c>
      <c r="AQ57" s="203" t="str">
        <f t="shared" si="105"/>
        <v>--</v>
      </c>
      <c r="AR57" s="1262" t="str">
        <f t="shared" si="106"/>
        <v>--</v>
      </c>
      <c r="AS57" s="203">
        <f t="shared" si="81"/>
        <v>59</v>
      </c>
      <c r="AT57" s="193" t="str">
        <f t="shared" si="82"/>
        <v>10% US EPA SW Acute LOEL</v>
      </c>
      <c r="AU57" s="203" t="str">
        <f t="shared" si="107"/>
        <v>--</v>
      </c>
      <c r="AV57" s="203" t="str">
        <f t="shared" si="108"/>
        <v>--</v>
      </c>
      <c r="AW57" s="2047">
        <f t="shared" si="109"/>
        <v>590</v>
      </c>
      <c r="AX57" s="2054" t="str">
        <f t="shared" si="110"/>
        <v>--</v>
      </c>
      <c r="AZ57" s="22"/>
      <c r="BA57" s="350"/>
      <c r="BB57" s="27">
        <f t="shared" si="111"/>
        <v>115</v>
      </c>
      <c r="BC57" s="351" t="str">
        <f t="shared" si="112"/>
        <v>50% US EPA FW Chronic LOEL</v>
      </c>
      <c r="BD57" s="27">
        <f t="shared" si="113"/>
        <v>185</v>
      </c>
      <c r="BE57" s="351" t="str">
        <f t="shared" si="114"/>
        <v>50% US EPA SW Chronic LOEL</v>
      </c>
      <c r="BF57" s="350"/>
      <c r="BG57" s="350"/>
      <c r="BH57" s="350"/>
      <c r="BI57" s="350"/>
      <c r="BJ57" s="350"/>
      <c r="BK57" s="350"/>
      <c r="BL57" s="1311"/>
      <c r="BM57" s="350"/>
      <c r="BN57" s="350"/>
      <c r="BO57" s="350"/>
      <c r="BP57" s="35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row>
    <row r="58" spans="1:142" ht="12.95" customHeight="1">
      <c r="A58" s="897" t="s">
        <v>189</v>
      </c>
      <c r="B58" s="432" t="s">
        <v>190</v>
      </c>
      <c r="C58" s="205">
        <f t="shared" si="115"/>
        <v>335000</v>
      </c>
      <c r="D58" s="207" t="str">
        <f t="shared" si="116"/>
        <v>Freshwater Goal</v>
      </c>
      <c r="E58" s="1637" t="str">
        <f t="shared" si="49"/>
        <v>--</v>
      </c>
      <c r="F58" s="187" t="str">
        <f t="shared" si="35"/>
        <v>--</v>
      </c>
      <c r="G58" s="1326" t="str">
        <f t="shared" si="83"/>
        <v>--</v>
      </c>
      <c r="H58" s="1327" t="str">
        <f t="shared" si="84"/>
        <v>--</v>
      </c>
      <c r="I58" s="1359" t="str">
        <f t="shared" si="85"/>
        <v>--</v>
      </c>
      <c r="J58" s="1379">
        <f t="shared" si="117"/>
        <v>335000</v>
      </c>
      <c r="K58" s="1361" t="str">
        <f t="shared" si="118"/>
        <v>Freshwater Exposure</v>
      </c>
      <c r="L58" s="209">
        <f t="shared" si="72"/>
        <v>335000</v>
      </c>
      <c r="M58" s="1371" t="str">
        <f t="shared" si="86"/>
        <v>5% Acute FW LC50</v>
      </c>
      <c r="N58" s="216">
        <f t="shared" si="73"/>
        <v>335000</v>
      </c>
      <c r="O58" s="203" t="str">
        <f t="shared" si="87"/>
        <v>--</v>
      </c>
      <c r="P58" s="203">
        <f t="shared" si="74"/>
        <v>335000</v>
      </c>
      <c r="Q58" s="203" t="str">
        <f t="shared" si="88"/>
        <v>--</v>
      </c>
      <c r="R58" s="203" t="str">
        <f t="shared" si="89"/>
        <v>--</v>
      </c>
      <c r="S58" s="203" t="str">
        <f t="shared" si="75"/>
        <v>--</v>
      </c>
      <c r="T58" s="203" t="str">
        <f t="shared" si="90"/>
        <v>--</v>
      </c>
      <c r="U58" s="203" t="str">
        <f t="shared" si="91"/>
        <v>--</v>
      </c>
      <c r="V58" s="203">
        <f t="shared" si="92"/>
        <v>335000</v>
      </c>
      <c r="W58" s="193" t="str">
        <f t="shared" si="93"/>
        <v>5% Acute FW LC50</v>
      </c>
      <c r="X58" s="203">
        <f t="shared" si="76"/>
        <v>33500</v>
      </c>
      <c r="Y58" s="193" t="str">
        <f t="shared" si="77"/>
        <v>10% US EPA FW CMC</v>
      </c>
      <c r="Z58" s="203" t="str">
        <f t="shared" si="94"/>
        <v>--</v>
      </c>
      <c r="AA58" s="203">
        <f t="shared" si="95"/>
        <v>335000</v>
      </c>
      <c r="AB58" s="1368" t="str">
        <f t="shared" si="96"/>
        <v>--</v>
      </c>
      <c r="AC58" s="1356">
        <f t="shared" si="119"/>
        <v>500000</v>
      </c>
      <c r="AD58" s="1377" t="str">
        <f t="shared" si="120"/>
        <v>Saltwater Exposure</v>
      </c>
      <c r="AE58" s="1353">
        <f t="shared" si="97"/>
        <v>500000</v>
      </c>
      <c r="AF58" s="1364" t="str">
        <f t="shared" si="98"/>
        <v>5% Acute FW LC 50</v>
      </c>
      <c r="AG58" s="216">
        <f t="shared" si="78"/>
        <v>500000</v>
      </c>
      <c r="AH58" s="203" t="str">
        <f t="shared" si="43"/>
        <v>--</v>
      </c>
      <c r="AI58" s="203" t="str">
        <f t="shared" si="99"/>
        <v>--</v>
      </c>
      <c r="AJ58" s="203" t="str">
        <f t="shared" si="100"/>
        <v>--</v>
      </c>
      <c r="AK58" s="203">
        <f t="shared" si="79"/>
        <v>500000</v>
      </c>
      <c r="AL58" s="203" t="str">
        <f t="shared" si="101"/>
        <v>--</v>
      </c>
      <c r="AM58" s="203" t="str">
        <f t="shared" si="102"/>
        <v>--</v>
      </c>
      <c r="AN58" s="203" t="str">
        <f t="shared" si="80"/>
        <v>--</v>
      </c>
      <c r="AO58" s="203" t="str">
        <f t="shared" si="103"/>
        <v>--</v>
      </c>
      <c r="AP58" s="203" t="str">
        <f t="shared" si="104"/>
        <v>--</v>
      </c>
      <c r="AQ58" s="203">
        <f t="shared" si="105"/>
        <v>500000</v>
      </c>
      <c r="AR58" s="1262" t="str">
        <f t="shared" si="106"/>
        <v>5% Acute FW LC 50</v>
      </c>
      <c r="AS58" s="203" t="str">
        <f t="shared" si="81"/>
        <v>--</v>
      </c>
      <c r="AT58" s="193" t="str">
        <f t="shared" si="82"/>
        <v>--</v>
      </c>
      <c r="AU58" s="203" t="str">
        <f t="shared" si="107"/>
        <v>--</v>
      </c>
      <c r="AV58" s="203" t="str">
        <f t="shared" si="108"/>
        <v>--</v>
      </c>
      <c r="AW58" s="2047" t="str">
        <f t="shared" si="109"/>
        <v>--</v>
      </c>
      <c r="AX58" s="2054" t="str">
        <f t="shared" si="110"/>
        <v>--</v>
      </c>
      <c r="AZ58" s="22"/>
      <c r="BA58" s="350"/>
      <c r="BB58" s="27">
        <f t="shared" si="111"/>
        <v>335000</v>
      </c>
      <c r="BC58" s="351" t="str">
        <f t="shared" si="112"/>
        <v>5% Acute FW LC50</v>
      </c>
      <c r="BD58" s="27">
        <f t="shared" si="113"/>
        <v>500000</v>
      </c>
      <c r="BE58" s="351" t="str">
        <f t="shared" si="114"/>
        <v>5% Acute FW LC 50</v>
      </c>
      <c r="BF58" s="350"/>
      <c r="BG58" s="350"/>
      <c r="BH58" s="350"/>
      <c r="BI58" s="350"/>
      <c r="BJ58" s="350"/>
      <c r="BK58" s="350"/>
      <c r="BL58" s="1304"/>
      <c r="BM58" s="350"/>
      <c r="BN58" s="350"/>
      <c r="BO58" s="350"/>
      <c r="BP58" s="35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row>
    <row r="59" spans="1:142" ht="12.95" customHeight="1">
      <c r="A59" s="897" t="s">
        <v>191</v>
      </c>
      <c r="B59" s="432" t="s">
        <v>192</v>
      </c>
      <c r="C59" s="205">
        <f t="shared" si="115"/>
        <v>5.1000000000000002E-9</v>
      </c>
      <c r="D59" s="207" t="str">
        <f t="shared" si="116"/>
        <v>Seafood Ingestion</v>
      </c>
      <c r="E59" s="1637">
        <f t="shared" si="49"/>
        <v>5.1000000000000002E-9</v>
      </c>
      <c r="F59" s="187" t="str">
        <f t="shared" si="35"/>
        <v>National Criteria</v>
      </c>
      <c r="G59" s="1326">
        <f t="shared" si="83"/>
        <v>1.4E-8</v>
      </c>
      <c r="H59" s="1327" t="str">
        <f t="shared" si="84"/>
        <v>--</v>
      </c>
      <c r="I59" s="1359">
        <f t="shared" si="85"/>
        <v>5.1000000000000002E-9</v>
      </c>
      <c r="J59" s="1379">
        <f t="shared" si="117"/>
        <v>5.0000000000000004E-6</v>
      </c>
      <c r="K59" s="1361" t="str">
        <f t="shared" si="118"/>
        <v>Freshwater Exposure</v>
      </c>
      <c r="L59" s="209">
        <f t="shared" si="72"/>
        <v>5.0000000000000004E-6</v>
      </c>
      <c r="M59" s="1371" t="str">
        <f t="shared" si="86"/>
        <v>50% US EPA FW Chronic LOEL</v>
      </c>
      <c r="N59" s="216">
        <f t="shared" si="73"/>
        <v>5.0000000000000004E-6</v>
      </c>
      <c r="O59" s="203" t="str">
        <f t="shared" si="87"/>
        <v>--</v>
      </c>
      <c r="P59" s="203">
        <f t="shared" si="74"/>
        <v>5.0000000000000004E-6</v>
      </c>
      <c r="Q59" s="203" t="str">
        <f t="shared" si="88"/>
        <v>--</v>
      </c>
      <c r="R59" s="203" t="str">
        <f t="shared" si="89"/>
        <v>--</v>
      </c>
      <c r="S59" s="203">
        <f t="shared" si="75"/>
        <v>5.0000000000000004E-6</v>
      </c>
      <c r="T59" s="203" t="str">
        <f t="shared" si="90"/>
        <v>--</v>
      </c>
      <c r="U59" s="203">
        <f t="shared" si="91"/>
        <v>1.0000000000000001E-5</v>
      </c>
      <c r="V59" s="203" t="str">
        <f t="shared" si="92"/>
        <v>--</v>
      </c>
      <c r="W59" s="193" t="str">
        <f t="shared" si="93"/>
        <v>--</v>
      </c>
      <c r="X59" s="203">
        <f t="shared" si="76"/>
        <v>1E-3</v>
      </c>
      <c r="Y59" s="193" t="str">
        <f t="shared" si="77"/>
        <v>10% US EPA FW Acute LOEL</v>
      </c>
      <c r="Z59" s="203" t="str">
        <f t="shared" si="94"/>
        <v>--</v>
      </c>
      <c r="AA59" s="203" t="str">
        <f t="shared" si="95"/>
        <v>--</v>
      </c>
      <c r="AB59" s="1368">
        <f t="shared" si="96"/>
        <v>0.01</v>
      </c>
      <c r="AC59" s="1356" t="str">
        <f t="shared" si="119"/>
        <v>--</v>
      </c>
      <c r="AD59" s="1377" t="str">
        <f t="shared" si="120"/>
        <v>--</v>
      </c>
      <c r="AE59" s="1353" t="str">
        <f t="shared" si="97"/>
        <v>--</v>
      </c>
      <c r="AF59" s="1364" t="str">
        <f t="shared" si="98"/>
        <v>--</v>
      </c>
      <c r="AG59" s="216" t="str">
        <f t="shared" si="78"/>
        <v>--</v>
      </c>
      <c r="AH59" s="203" t="str">
        <f t="shared" si="43"/>
        <v>--</v>
      </c>
      <c r="AI59" s="203" t="str">
        <f t="shared" si="99"/>
        <v>--</v>
      </c>
      <c r="AJ59" s="203" t="str">
        <f t="shared" si="100"/>
        <v>--</v>
      </c>
      <c r="AK59" s="203" t="str">
        <f t="shared" si="79"/>
        <v>--</v>
      </c>
      <c r="AL59" s="203" t="str">
        <f t="shared" si="101"/>
        <v>--</v>
      </c>
      <c r="AM59" s="203" t="str">
        <f t="shared" si="102"/>
        <v>--</v>
      </c>
      <c r="AN59" s="203" t="str">
        <f t="shared" si="80"/>
        <v>--</v>
      </c>
      <c r="AO59" s="203" t="str">
        <f t="shared" si="103"/>
        <v>--</v>
      </c>
      <c r="AP59" s="203" t="str">
        <f t="shared" si="104"/>
        <v>--</v>
      </c>
      <c r="AQ59" s="203" t="str">
        <f t="shared" si="105"/>
        <v>--</v>
      </c>
      <c r="AR59" s="1262" t="str">
        <f t="shared" si="106"/>
        <v>--</v>
      </c>
      <c r="AS59" s="203" t="str">
        <f t="shared" si="81"/>
        <v>--</v>
      </c>
      <c r="AT59" s="193" t="str">
        <f t="shared" si="82"/>
        <v>--</v>
      </c>
      <c r="AU59" s="203" t="str">
        <f t="shared" si="107"/>
        <v>--</v>
      </c>
      <c r="AV59" s="203" t="str">
        <f t="shared" si="108"/>
        <v>--</v>
      </c>
      <c r="AW59" s="2047" t="str">
        <f t="shared" si="109"/>
        <v>--</v>
      </c>
      <c r="AX59" s="2054" t="str">
        <f t="shared" si="110"/>
        <v>--</v>
      </c>
      <c r="AZ59" s="22"/>
      <c r="BA59" s="350"/>
      <c r="BB59" s="27">
        <f t="shared" si="111"/>
        <v>5.0000000000000004E-6</v>
      </c>
      <c r="BC59" s="351" t="str">
        <f t="shared" si="112"/>
        <v>50% US EPA FW Chronic LOEL</v>
      </c>
      <c r="BD59" s="27" t="str">
        <f t="shared" si="113"/>
        <v>--</v>
      </c>
      <c r="BE59" s="351" t="str">
        <f t="shared" si="114"/>
        <v>--</v>
      </c>
      <c r="BF59" s="350"/>
      <c r="BG59" s="350"/>
      <c r="BH59" s="350"/>
      <c r="BI59" s="350"/>
      <c r="BJ59" s="350"/>
      <c r="BK59" s="350"/>
      <c r="BL59" s="1311"/>
      <c r="BM59" s="350"/>
      <c r="BN59" s="350"/>
      <c r="BO59" s="350"/>
      <c r="BP59" s="35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row>
    <row r="60" spans="1:142" ht="12.95" customHeight="1">
      <c r="A60" s="897" t="s">
        <v>193</v>
      </c>
      <c r="B60" s="432" t="s">
        <v>194</v>
      </c>
      <c r="C60" s="205">
        <f t="shared" si="115"/>
        <v>8.6999999999999994E-3</v>
      </c>
      <c r="D60" s="207" t="str">
        <f t="shared" si="116"/>
        <v>Saltwater Goal</v>
      </c>
      <c r="E60" s="1637">
        <f t="shared" si="49"/>
        <v>240</v>
      </c>
      <c r="F60" s="187" t="str">
        <f t="shared" si="35"/>
        <v>Cal Tox Rule</v>
      </c>
      <c r="G60" s="1326">
        <f t="shared" si="83"/>
        <v>240</v>
      </c>
      <c r="H60" s="1327" t="str">
        <f t="shared" si="84"/>
        <v>--</v>
      </c>
      <c r="I60" s="1359" t="str">
        <f t="shared" si="85"/>
        <v>--</v>
      </c>
      <c r="J60" s="1379">
        <f t="shared" si="117"/>
        <v>5.6000000000000001E-2</v>
      </c>
      <c r="K60" s="1361" t="str">
        <f t="shared" si="118"/>
        <v>Freshwater Exposure</v>
      </c>
      <c r="L60" s="209">
        <f t="shared" si="72"/>
        <v>5.6000000000000001E-2</v>
      </c>
      <c r="M60" s="1371" t="str">
        <f t="shared" si="86"/>
        <v>CTR FW CCC</v>
      </c>
      <c r="N60" s="216">
        <f t="shared" si="73"/>
        <v>5.6000000000000001E-2</v>
      </c>
      <c r="O60" s="203" t="str">
        <f t="shared" si="87"/>
        <v>--</v>
      </c>
      <c r="P60" s="203">
        <f t="shared" si="74"/>
        <v>5.6000000000000001E-2</v>
      </c>
      <c r="Q60" s="203">
        <f t="shared" si="88"/>
        <v>5.6000000000000001E-2</v>
      </c>
      <c r="R60" s="203">
        <f t="shared" si="89"/>
        <v>5.6000000000000001E-2</v>
      </c>
      <c r="S60" s="203">
        <f t="shared" si="75"/>
        <v>5.6000000000000001E-2</v>
      </c>
      <c r="T60" s="203">
        <f t="shared" si="90"/>
        <v>5.6000000000000001E-2</v>
      </c>
      <c r="U60" s="203" t="str">
        <f t="shared" si="91"/>
        <v>--</v>
      </c>
      <c r="V60" s="203" t="str">
        <f t="shared" si="92"/>
        <v>--</v>
      </c>
      <c r="W60" s="193" t="str">
        <f t="shared" si="93"/>
        <v>--</v>
      </c>
      <c r="X60" s="203">
        <f t="shared" si="76"/>
        <v>2.1999999999999999E-2</v>
      </c>
      <c r="Y60" s="193" t="str">
        <f t="shared" si="77"/>
        <v>10% CTR FW CMC</v>
      </c>
      <c r="Z60" s="203">
        <f t="shared" si="94"/>
        <v>0.22</v>
      </c>
      <c r="AA60" s="203" t="str">
        <f t="shared" si="95"/>
        <v>--</v>
      </c>
      <c r="AB60" s="1368" t="str">
        <f t="shared" si="96"/>
        <v>--</v>
      </c>
      <c r="AC60" s="1356">
        <f t="shared" si="119"/>
        <v>8.6999999999999994E-3</v>
      </c>
      <c r="AD60" s="1377" t="str">
        <f t="shared" si="120"/>
        <v>Saltwater Exposure</v>
      </c>
      <c r="AE60" s="1353">
        <f t="shared" si="97"/>
        <v>8.6999999999999994E-3</v>
      </c>
      <c r="AF60" s="1364" t="str">
        <f t="shared" si="98"/>
        <v>CTR SW CCC</v>
      </c>
      <c r="AG60" s="216">
        <f t="shared" si="78"/>
        <v>8.6999999999999994E-3</v>
      </c>
      <c r="AH60" s="203">
        <f t="shared" si="43"/>
        <v>8.9999999999999993E-3</v>
      </c>
      <c r="AI60" s="203" t="str">
        <f t="shared" si="99"/>
        <v>--</v>
      </c>
      <c r="AJ60" s="203">
        <f t="shared" si="100"/>
        <v>8.9999999999999993E-3</v>
      </c>
      <c r="AK60" s="203">
        <f t="shared" si="79"/>
        <v>8.6999999999999994E-3</v>
      </c>
      <c r="AL60" s="203">
        <f t="shared" si="101"/>
        <v>8.6999999999999994E-3</v>
      </c>
      <c r="AM60" s="203">
        <f t="shared" si="102"/>
        <v>8.6999999999999994E-3</v>
      </c>
      <c r="AN60" s="203" t="str">
        <f t="shared" si="80"/>
        <v>--</v>
      </c>
      <c r="AO60" s="203" t="str">
        <f t="shared" si="103"/>
        <v>--</v>
      </c>
      <c r="AP60" s="203" t="str">
        <f t="shared" si="104"/>
        <v>--</v>
      </c>
      <c r="AQ60" s="203" t="str">
        <f t="shared" si="105"/>
        <v>--</v>
      </c>
      <c r="AR60" s="1262" t="str">
        <f t="shared" si="106"/>
        <v>--</v>
      </c>
      <c r="AS60" s="203">
        <f t="shared" si="81"/>
        <v>3.4000000000000002E-3</v>
      </c>
      <c r="AT60" s="193" t="str">
        <f t="shared" si="82"/>
        <v>10% US EPA SW CMC</v>
      </c>
      <c r="AU60" s="203">
        <f t="shared" si="107"/>
        <v>3.4000000000000002E-2</v>
      </c>
      <c r="AV60" s="203">
        <f t="shared" si="108"/>
        <v>3.4000000000000002E-2</v>
      </c>
      <c r="AW60" s="2047" t="str">
        <f t="shared" si="109"/>
        <v>--</v>
      </c>
      <c r="AX60" s="2054" t="str">
        <f t="shared" si="110"/>
        <v>--</v>
      </c>
      <c r="AZ60" s="22"/>
      <c r="BA60" s="350"/>
      <c r="BB60" s="27">
        <f t="shared" si="111"/>
        <v>5.6000000000000001E-2</v>
      </c>
      <c r="BC60" s="351" t="str">
        <f t="shared" si="112"/>
        <v>CTR FW CCC</v>
      </c>
      <c r="BD60" s="27">
        <f t="shared" si="113"/>
        <v>8.6999999999999994E-3</v>
      </c>
      <c r="BE60" s="351" t="str">
        <f t="shared" si="114"/>
        <v>CTR SW CCC</v>
      </c>
      <c r="BF60" s="350"/>
      <c r="BG60" s="350"/>
      <c r="BH60" s="350"/>
      <c r="BI60" s="350"/>
      <c r="BJ60" s="350"/>
      <c r="BK60" s="350"/>
      <c r="BL60" s="1311"/>
      <c r="BM60" s="350"/>
      <c r="BN60" s="350"/>
      <c r="BO60" s="350"/>
      <c r="BP60" s="35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row>
    <row r="61" spans="1:142" ht="12.95" customHeight="1">
      <c r="A61" s="897" t="s">
        <v>195</v>
      </c>
      <c r="B61" s="432" t="s">
        <v>196</v>
      </c>
      <c r="C61" s="205">
        <f t="shared" si="115"/>
        <v>2E-3</v>
      </c>
      <c r="D61" s="207" t="str">
        <f t="shared" si="116"/>
        <v>Saltwater Goal</v>
      </c>
      <c r="E61" s="1637">
        <f t="shared" si="49"/>
        <v>0.03</v>
      </c>
      <c r="F61" s="187" t="str">
        <f t="shared" si="35"/>
        <v>National Criteria</v>
      </c>
      <c r="G61" s="1326">
        <f t="shared" si="83"/>
        <v>0.81</v>
      </c>
      <c r="H61" s="1327" t="str">
        <f t="shared" si="84"/>
        <v>--</v>
      </c>
      <c r="I61" s="1359">
        <f t="shared" si="85"/>
        <v>0.03</v>
      </c>
      <c r="J61" s="1379">
        <f t="shared" si="117"/>
        <v>3.5999999999999997E-2</v>
      </c>
      <c r="K61" s="1361" t="str">
        <f t="shared" si="118"/>
        <v>Freshwater Exposure</v>
      </c>
      <c r="L61" s="209">
        <f t="shared" si="72"/>
        <v>3.5999999999999997E-2</v>
      </c>
      <c r="M61" s="1371" t="str">
        <f t="shared" si="86"/>
        <v>CTR FW CCC</v>
      </c>
      <c r="N61" s="216">
        <f t="shared" si="73"/>
        <v>3.5999999999999997E-2</v>
      </c>
      <c r="O61" s="203" t="str">
        <f t="shared" si="87"/>
        <v>--</v>
      </c>
      <c r="P61" s="203">
        <f t="shared" si="74"/>
        <v>3.5999999999999997E-2</v>
      </c>
      <c r="Q61" s="203">
        <f t="shared" si="88"/>
        <v>3.5999999999999997E-2</v>
      </c>
      <c r="R61" s="203">
        <f t="shared" si="89"/>
        <v>3.5999999999999997E-2</v>
      </c>
      <c r="S61" s="203">
        <f t="shared" si="75"/>
        <v>6.0999999999999999E-2</v>
      </c>
      <c r="T61" s="203">
        <f t="shared" si="90"/>
        <v>6.0999999999999999E-2</v>
      </c>
      <c r="U61" s="203" t="str">
        <f t="shared" si="91"/>
        <v>--</v>
      </c>
      <c r="V61" s="203" t="str">
        <f t="shared" si="92"/>
        <v>--</v>
      </c>
      <c r="W61" s="193" t="str">
        <f t="shared" si="93"/>
        <v>--</v>
      </c>
      <c r="X61" s="203">
        <f t="shared" si="76"/>
        <v>8.6E-3</v>
      </c>
      <c r="Y61" s="193" t="str">
        <f t="shared" si="77"/>
        <v>10% CTR FW CMC</v>
      </c>
      <c r="Z61" s="203">
        <f t="shared" si="94"/>
        <v>8.5999999999999993E-2</v>
      </c>
      <c r="AA61" s="203" t="str">
        <f t="shared" si="95"/>
        <v>--</v>
      </c>
      <c r="AB61" s="1368" t="str">
        <f t="shared" si="96"/>
        <v>--</v>
      </c>
      <c r="AC61" s="1356">
        <f t="shared" si="119"/>
        <v>2E-3</v>
      </c>
      <c r="AD61" s="1377" t="str">
        <f t="shared" si="120"/>
        <v>Saltwater Exposure</v>
      </c>
      <c r="AE61" s="1353">
        <f t="shared" si="97"/>
        <v>2E-3</v>
      </c>
      <c r="AF61" s="1364" t="str">
        <f t="shared" si="98"/>
        <v>Basin Plan</v>
      </c>
      <c r="AG61" s="216">
        <f t="shared" si="78"/>
        <v>2E-3</v>
      </c>
      <c r="AH61" s="203">
        <f t="shared" si="43"/>
        <v>2E-3</v>
      </c>
      <c r="AI61" s="203" t="str">
        <f t="shared" si="99"/>
        <v>--</v>
      </c>
      <c r="AJ61" s="203">
        <f t="shared" si="100"/>
        <v>2E-3</v>
      </c>
      <c r="AK61" s="203">
        <f t="shared" si="79"/>
        <v>2.3E-3</v>
      </c>
      <c r="AL61" s="203">
        <f t="shared" si="101"/>
        <v>2.3E-3</v>
      </c>
      <c r="AM61" s="203">
        <f t="shared" si="102"/>
        <v>2.3E-3</v>
      </c>
      <c r="AN61" s="203">
        <f t="shared" si="80"/>
        <v>0.01</v>
      </c>
      <c r="AO61" s="203">
        <f t="shared" si="103"/>
        <v>0.01</v>
      </c>
      <c r="AP61" s="203" t="str">
        <f t="shared" si="104"/>
        <v>--</v>
      </c>
      <c r="AQ61" s="203" t="str">
        <f t="shared" si="105"/>
        <v>--</v>
      </c>
      <c r="AR61" s="1262" t="str">
        <f t="shared" si="106"/>
        <v>--</v>
      </c>
      <c r="AS61" s="203">
        <f t="shared" si="81"/>
        <v>3.6999999999999997E-3</v>
      </c>
      <c r="AT61" s="193" t="str">
        <f t="shared" si="82"/>
        <v>10% US EPA SW CMC</v>
      </c>
      <c r="AU61" s="203">
        <f t="shared" si="107"/>
        <v>3.6999999999999998E-2</v>
      </c>
      <c r="AV61" s="203">
        <f t="shared" si="108"/>
        <v>3.6999999999999998E-2</v>
      </c>
      <c r="AW61" s="2047" t="str">
        <f t="shared" si="109"/>
        <v>--</v>
      </c>
      <c r="AX61" s="2054" t="str">
        <f t="shared" si="110"/>
        <v>--</v>
      </c>
      <c r="AZ61" s="22"/>
      <c r="BA61" s="350"/>
      <c r="BB61" s="27">
        <f t="shared" si="111"/>
        <v>3.5999999999999997E-2</v>
      </c>
      <c r="BC61" s="351" t="str">
        <f t="shared" si="112"/>
        <v>CTR FW CCC</v>
      </c>
      <c r="BD61" s="27">
        <f t="shared" si="113"/>
        <v>2.3E-3</v>
      </c>
      <c r="BE61" s="351" t="str">
        <f t="shared" si="114"/>
        <v>CTR SW CCC</v>
      </c>
      <c r="BF61" s="350"/>
      <c r="BG61" s="350"/>
      <c r="BH61" s="350"/>
      <c r="BI61" s="350"/>
      <c r="BJ61" s="350"/>
      <c r="BK61" s="350"/>
      <c r="BL61" s="1311"/>
      <c r="BM61" s="350"/>
      <c r="BN61" s="350"/>
      <c r="BO61" s="350"/>
      <c r="BP61" s="35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row>
    <row r="62" spans="1:142" ht="12.95" customHeight="1">
      <c r="A62" s="897" t="s">
        <v>197</v>
      </c>
      <c r="B62" s="432" t="s">
        <v>198</v>
      </c>
      <c r="C62" s="205">
        <f t="shared" si="115"/>
        <v>43</v>
      </c>
      <c r="D62" s="207" t="str">
        <f t="shared" si="116"/>
        <v>Saltwater Goal</v>
      </c>
      <c r="E62" s="1637">
        <f t="shared" si="49"/>
        <v>130</v>
      </c>
      <c r="F62" s="187" t="str">
        <f t="shared" si="35"/>
        <v>National Criteria</v>
      </c>
      <c r="G62" s="1326">
        <f t="shared" si="83"/>
        <v>29000</v>
      </c>
      <c r="H62" s="1327">
        <f t="shared" si="84"/>
        <v>4100</v>
      </c>
      <c r="I62" s="1359">
        <f t="shared" si="85"/>
        <v>130</v>
      </c>
      <c r="J62" s="1379">
        <f t="shared" si="117"/>
        <v>290</v>
      </c>
      <c r="K62" s="1361" t="str">
        <f t="shared" si="118"/>
        <v>Freshwater Exposure</v>
      </c>
      <c r="L62" s="209">
        <f t="shared" si="72"/>
        <v>290</v>
      </c>
      <c r="M62" s="1371" t="str">
        <f t="shared" si="86"/>
        <v>US EPA Ecotox FW Chronic</v>
      </c>
      <c r="N62" s="216">
        <f t="shared" si="73"/>
        <v>290</v>
      </c>
      <c r="O62" s="203" t="str">
        <f t="shared" si="87"/>
        <v>--</v>
      </c>
      <c r="P62" s="203">
        <f t="shared" si="74"/>
        <v>290</v>
      </c>
      <c r="Q62" s="203" t="str">
        <f t="shared" si="88"/>
        <v>--</v>
      </c>
      <c r="R62" s="203" t="str">
        <f t="shared" si="89"/>
        <v>--</v>
      </c>
      <c r="S62" s="203">
        <f t="shared" si="75"/>
        <v>290</v>
      </c>
      <c r="T62" s="203">
        <f t="shared" si="90"/>
        <v>290</v>
      </c>
      <c r="U62" s="203" t="str">
        <f t="shared" si="91"/>
        <v>--</v>
      </c>
      <c r="V62" s="203" t="str">
        <f t="shared" si="92"/>
        <v>--</v>
      </c>
      <c r="W62" s="193" t="str">
        <f t="shared" si="93"/>
        <v>--</v>
      </c>
      <c r="X62" s="203">
        <f t="shared" si="76"/>
        <v>3200</v>
      </c>
      <c r="Y62" s="193" t="str">
        <f t="shared" si="77"/>
        <v>10% US EPA FW Acute LOEL</v>
      </c>
      <c r="Z62" s="203" t="str">
        <f t="shared" si="94"/>
        <v>--</v>
      </c>
      <c r="AA62" s="203" t="str">
        <f t="shared" si="95"/>
        <v>--</v>
      </c>
      <c r="AB62" s="1368">
        <f t="shared" si="96"/>
        <v>32000</v>
      </c>
      <c r="AC62" s="1356">
        <f t="shared" si="119"/>
        <v>43</v>
      </c>
      <c r="AD62" s="1377" t="str">
        <f t="shared" si="120"/>
        <v>Saltwater Exposure</v>
      </c>
      <c r="AE62" s="1353">
        <f t="shared" si="97"/>
        <v>43</v>
      </c>
      <c r="AF62" s="1364" t="str">
        <f t="shared" si="98"/>
        <v>10% US EPA SW Acute LOEL</v>
      </c>
      <c r="AG62" s="216" t="str">
        <f t="shared" si="78"/>
        <v>--</v>
      </c>
      <c r="AH62" s="203" t="str">
        <f t="shared" si="43"/>
        <v>--</v>
      </c>
      <c r="AI62" s="203" t="str">
        <f t="shared" si="99"/>
        <v>--</v>
      </c>
      <c r="AJ62" s="203" t="str">
        <f t="shared" si="100"/>
        <v>--</v>
      </c>
      <c r="AK62" s="203" t="str">
        <f t="shared" si="79"/>
        <v>--</v>
      </c>
      <c r="AL62" s="203" t="str">
        <f t="shared" si="101"/>
        <v>--</v>
      </c>
      <c r="AM62" s="203" t="str">
        <f t="shared" si="102"/>
        <v>--</v>
      </c>
      <c r="AN62" s="203" t="str">
        <f t="shared" si="80"/>
        <v>--</v>
      </c>
      <c r="AO62" s="203" t="str">
        <f t="shared" si="103"/>
        <v>--</v>
      </c>
      <c r="AP62" s="203" t="str">
        <f t="shared" si="104"/>
        <v>--</v>
      </c>
      <c r="AQ62" s="203" t="str">
        <f t="shared" si="105"/>
        <v>--</v>
      </c>
      <c r="AR62" s="1262" t="str">
        <f t="shared" si="106"/>
        <v>--</v>
      </c>
      <c r="AS62" s="203">
        <f t="shared" si="81"/>
        <v>43</v>
      </c>
      <c r="AT62" s="193" t="str">
        <f t="shared" si="82"/>
        <v>10% US EPA SW Acute LOEL</v>
      </c>
      <c r="AU62" s="203" t="str">
        <f t="shared" si="107"/>
        <v>--</v>
      </c>
      <c r="AV62" s="203" t="str">
        <f t="shared" si="108"/>
        <v>--</v>
      </c>
      <c r="AW62" s="2047">
        <f t="shared" si="109"/>
        <v>430</v>
      </c>
      <c r="AX62" s="2054" t="str">
        <f t="shared" si="110"/>
        <v>--</v>
      </c>
      <c r="AZ62" s="22"/>
      <c r="BA62" s="350"/>
      <c r="BB62" s="27">
        <f t="shared" si="111"/>
        <v>290</v>
      </c>
      <c r="BC62" s="351" t="str">
        <f t="shared" si="112"/>
        <v>US EPA Ecotox FW Chronic</v>
      </c>
      <c r="BD62" s="27" t="str">
        <f t="shared" si="113"/>
        <v>--</v>
      </c>
      <c r="BE62" s="351" t="str">
        <f t="shared" si="114"/>
        <v>--</v>
      </c>
      <c r="BF62" s="350"/>
      <c r="BG62" s="350"/>
      <c r="BH62" s="350"/>
      <c r="BI62" s="350"/>
      <c r="BJ62" s="350"/>
      <c r="BK62" s="350"/>
      <c r="BL62" s="1303"/>
      <c r="BM62" s="350"/>
      <c r="BN62" s="350"/>
      <c r="BO62" s="350"/>
      <c r="BP62" s="35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row>
    <row r="63" spans="1:142" ht="12.95" customHeight="1">
      <c r="A63" s="897" t="s">
        <v>199</v>
      </c>
      <c r="B63" s="432" t="s">
        <v>200</v>
      </c>
      <c r="C63" s="205">
        <f t="shared" si="115"/>
        <v>5.9000000000000003E-6</v>
      </c>
      <c r="D63" s="207" t="str">
        <f t="shared" si="116"/>
        <v>Seafood Ingestion</v>
      </c>
      <c r="E63" s="1637">
        <f t="shared" si="49"/>
        <v>5.9000000000000003E-6</v>
      </c>
      <c r="F63" s="187" t="str">
        <f t="shared" si="35"/>
        <v>National Criteria</v>
      </c>
      <c r="G63" s="1326">
        <f t="shared" si="83"/>
        <v>2.1000000000000001E-4</v>
      </c>
      <c r="H63" s="1327">
        <f t="shared" si="84"/>
        <v>5.0000000000000002E-5</v>
      </c>
      <c r="I63" s="1359">
        <f t="shared" si="85"/>
        <v>5.9000000000000003E-6</v>
      </c>
      <c r="J63" s="1379">
        <f t="shared" si="117"/>
        <v>3.8E-3</v>
      </c>
      <c r="K63" s="1361" t="str">
        <f t="shared" si="118"/>
        <v>Freshwater Exposure</v>
      </c>
      <c r="L63" s="209">
        <f t="shared" si="72"/>
        <v>3.8E-3</v>
      </c>
      <c r="M63" s="1371" t="str">
        <f t="shared" si="86"/>
        <v>CTR FW CCC</v>
      </c>
      <c r="N63" s="216">
        <f t="shared" si="73"/>
        <v>3.8E-3</v>
      </c>
      <c r="O63" s="203" t="str">
        <f t="shared" si="87"/>
        <v>--</v>
      </c>
      <c r="P63" s="203">
        <f t="shared" si="74"/>
        <v>3.8E-3</v>
      </c>
      <c r="Q63" s="203">
        <f t="shared" si="88"/>
        <v>3.8E-3</v>
      </c>
      <c r="R63" s="203">
        <f t="shared" si="89"/>
        <v>3.8E-3</v>
      </c>
      <c r="S63" s="203">
        <f t="shared" si="75"/>
        <v>6.8999999999999999E-3</v>
      </c>
      <c r="T63" s="203">
        <f t="shared" si="90"/>
        <v>6.8999999999999999E-3</v>
      </c>
      <c r="U63" s="203" t="str">
        <f t="shared" si="91"/>
        <v>--</v>
      </c>
      <c r="V63" s="203" t="str">
        <f t="shared" si="92"/>
        <v>--</v>
      </c>
      <c r="W63" s="193" t="str">
        <f t="shared" si="93"/>
        <v>--</v>
      </c>
      <c r="X63" s="203">
        <f t="shared" si="76"/>
        <v>5.1999999999999998E-3</v>
      </c>
      <c r="Y63" s="193" t="str">
        <f t="shared" si="77"/>
        <v>10% CTR FW CMC</v>
      </c>
      <c r="Z63" s="203">
        <f t="shared" si="94"/>
        <v>5.1999999999999998E-2</v>
      </c>
      <c r="AA63" s="203" t="str">
        <f t="shared" si="95"/>
        <v>--</v>
      </c>
      <c r="AB63" s="1368" t="str">
        <f t="shared" si="96"/>
        <v>--</v>
      </c>
      <c r="AC63" s="1356">
        <f t="shared" si="119"/>
        <v>3.5999999999999999E-3</v>
      </c>
      <c r="AD63" s="1377" t="str">
        <f t="shared" si="120"/>
        <v>Saltwater Exposure</v>
      </c>
      <c r="AE63" s="1353">
        <f t="shared" si="97"/>
        <v>3.5999999999999999E-3</v>
      </c>
      <c r="AF63" s="1364" t="str">
        <f t="shared" si="98"/>
        <v>CTR SW CCC</v>
      </c>
      <c r="AG63" s="216">
        <f t="shared" si="78"/>
        <v>3.5999999999999999E-3</v>
      </c>
      <c r="AH63" s="203" t="str">
        <f t="shared" si="43"/>
        <v>--</v>
      </c>
      <c r="AI63" s="203" t="str">
        <f t="shared" si="99"/>
        <v>--</v>
      </c>
      <c r="AJ63" s="203" t="str">
        <f t="shared" si="100"/>
        <v>--</v>
      </c>
      <c r="AK63" s="203">
        <f t="shared" si="79"/>
        <v>3.5999999999999999E-3</v>
      </c>
      <c r="AL63" s="203">
        <f t="shared" si="101"/>
        <v>3.5999999999999999E-3</v>
      </c>
      <c r="AM63" s="203">
        <f t="shared" si="102"/>
        <v>3.5999999999999999E-3</v>
      </c>
      <c r="AN63" s="203" t="str">
        <f t="shared" si="80"/>
        <v>--</v>
      </c>
      <c r="AO63" s="203" t="str">
        <f t="shared" si="103"/>
        <v>--</v>
      </c>
      <c r="AP63" s="203" t="str">
        <f t="shared" si="104"/>
        <v>--</v>
      </c>
      <c r="AQ63" s="203" t="str">
        <f t="shared" si="105"/>
        <v>--</v>
      </c>
      <c r="AR63" s="1262" t="str">
        <f t="shared" si="106"/>
        <v>--</v>
      </c>
      <c r="AS63" s="203">
        <f t="shared" si="81"/>
        <v>5.3E-3</v>
      </c>
      <c r="AT63" s="193" t="str">
        <f t="shared" si="82"/>
        <v>10% US EPA SW CMC</v>
      </c>
      <c r="AU63" s="203">
        <f t="shared" si="107"/>
        <v>5.2999999999999999E-2</v>
      </c>
      <c r="AV63" s="203">
        <f t="shared" si="108"/>
        <v>5.2999999999999999E-2</v>
      </c>
      <c r="AW63" s="2047" t="str">
        <f t="shared" si="109"/>
        <v>--</v>
      </c>
      <c r="AX63" s="2054" t="str">
        <f t="shared" si="110"/>
        <v>--</v>
      </c>
      <c r="AZ63" s="22"/>
      <c r="BA63" s="350"/>
      <c r="BB63" s="27">
        <f t="shared" si="111"/>
        <v>3.8E-3</v>
      </c>
      <c r="BC63" s="351" t="str">
        <f t="shared" si="112"/>
        <v>CTR FW CCC</v>
      </c>
      <c r="BD63" s="27">
        <f t="shared" si="113"/>
        <v>3.5999999999999999E-3</v>
      </c>
      <c r="BE63" s="351" t="str">
        <f t="shared" si="114"/>
        <v>CTR SW CCC</v>
      </c>
      <c r="BF63" s="350"/>
      <c r="BG63" s="350"/>
      <c r="BH63" s="350"/>
      <c r="BI63" s="350"/>
      <c r="BJ63" s="350"/>
      <c r="BK63" s="350"/>
      <c r="BL63" s="1310"/>
      <c r="BM63" s="350"/>
      <c r="BN63" s="350"/>
      <c r="BO63" s="350"/>
      <c r="BP63" s="35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row>
    <row r="64" spans="1:142" ht="12.95" customHeight="1">
      <c r="A64" s="897" t="s">
        <v>201</v>
      </c>
      <c r="B64" s="432" t="s">
        <v>202</v>
      </c>
      <c r="C64" s="205">
        <f t="shared" si="115"/>
        <v>2.0000000000000002E-5</v>
      </c>
      <c r="D64" s="207" t="str">
        <f t="shared" si="116"/>
        <v>Seafood Ingestion</v>
      </c>
      <c r="E64" s="1637">
        <f t="shared" si="49"/>
        <v>2.0000000000000002E-5</v>
      </c>
      <c r="F64" s="187" t="str">
        <f t="shared" si="35"/>
        <v>Cal Ocean Plan</v>
      </c>
      <c r="G64" s="1326">
        <f t="shared" si="83"/>
        <v>1.1E-4</v>
      </c>
      <c r="H64" s="1327">
        <f t="shared" si="84"/>
        <v>2.0000000000000002E-5</v>
      </c>
      <c r="I64" s="1359">
        <f t="shared" si="85"/>
        <v>3.1999999999999999E-5</v>
      </c>
      <c r="J64" s="1379">
        <f t="shared" si="117"/>
        <v>3.8E-3</v>
      </c>
      <c r="K64" s="1361" t="str">
        <f t="shared" si="118"/>
        <v>Freshwater Exposure</v>
      </c>
      <c r="L64" s="209">
        <f t="shared" si="72"/>
        <v>3.8E-3</v>
      </c>
      <c r="M64" s="1371" t="str">
        <f t="shared" si="86"/>
        <v>CTR FW CCC</v>
      </c>
      <c r="N64" s="216">
        <f t="shared" si="73"/>
        <v>3.8E-3</v>
      </c>
      <c r="O64" s="203" t="str">
        <f t="shared" si="87"/>
        <v>--</v>
      </c>
      <c r="P64" s="203">
        <f t="shared" si="74"/>
        <v>3.8E-3</v>
      </c>
      <c r="Q64" s="203">
        <f t="shared" si="88"/>
        <v>3.8E-3</v>
      </c>
      <c r="R64" s="203">
        <f t="shared" si="89"/>
        <v>3.8E-3</v>
      </c>
      <c r="S64" s="203" t="str">
        <f t="shared" si="75"/>
        <v>--</v>
      </c>
      <c r="T64" s="203" t="str">
        <f t="shared" si="90"/>
        <v>--</v>
      </c>
      <c r="U64" s="203" t="str">
        <f t="shared" si="91"/>
        <v>--</v>
      </c>
      <c r="V64" s="203" t="str">
        <f t="shared" si="92"/>
        <v>--</v>
      </c>
      <c r="W64" s="193" t="str">
        <f t="shared" si="93"/>
        <v>--</v>
      </c>
      <c r="X64" s="203">
        <f t="shared" si="76"/>
        <v>5.1999999999999998E-3</v>
      </c>
      <c r="Y64" s="193" t="str">
        <f t="shared" si="77"/>
        <v>10% CTR FW CMC</v>
      </c>
      <c r="Z64" s="203">
        <f t="shared" si="94"/>
        <v>5.1999999999999998E-2</v>
      </c>
      <c r="AA64" s="203" t="str">
        <f t="shared" si="95"/>
        <v>--</v>
      </c>
      <c r="AB64" s="1368" t="str">
        <f t="shared" si="96"/>
        <v>--</v>
      </c>
      <c r="AC64" s="1356">
        <f t="shared" si="119"/>
        <v>3.5999999999999999E-3</v>
      </c>
      <c r="AD64" s="1377" t="str">
        <f t="shared" si="120"/>
        <v>Saltwater Exposure</v>
      </c>
      <c r="AE64" s="1353">
        <f t="shared" si="97"/>
        <v>3.5999999999999999E-3</v>
      </c>
      <c r="AF64" s="1364" t="str">
        <f t="shared" si="98"/>
        <v>CTR SW CCC</v>
      </c>
      <c r="AG64" s="216">
        <f t="shared" si="78"/>
        <v>3.5999999999999999E-3</v>
      </c>
      <c r="AH64" s="203" t="str">
        <f t="shared" si="43"/>
        <v>--</v>
      </c>
      <c r="AI64" s="203" t="str">
        <f t="shared" si="99"/>
        <v>--</v>
      </c>
      <c r="AJ64" s="203" t="str">
        <f t="shared" si="100"/>
        <v>--</v>
      </c>
      <c r="AK64" s="203">
        <f t="shared" si="79"/>
        <v>3.5999999999999999E-3</v>
      </c>
      <c r="AL64" s="203">
        <f t="shared" si="101"/>
        <v>3.5999999999999999E-3</v>
      </c>
      <c r="AM64" s="203">
        <f t="shared" si="102"/>
        <v>3.5999999999999999E-3</v>
      </c>
      <c r="AN64" s="203" t="str">
        <f t="shared" si="80"/>
        <v>--</v>
      </c>
      <c r="AO64" s="203" t="str">
        <f t="shared" si="103"/>
        <v>--</v>
      </c>
      <c r="AP64" s="203" t="str">
        <f t="shared" si="104"/>
        <v>--</v>
      </c>
      <c r="AQ64" s="203" t="str">
        <f t="shared" si="105"/>
        <v>--</v>
      </c>
      <c r="AR64" s="1262" t="str">
        <f t="shared" si="106"/>
        <v>--</v>
      </c>
      <c r="AS64" s="203">
        <f t="shared" si="81"/>
        <v>5.3E-3</v>
      </c>
      <c r="AT64" s="193" t="str">
        <f t="shared" si="82"/>
        <v>10% US EPA SW CMC</v>
      </c>
      <c r="AU64" s="203">
        <f t="shared" si="107"/>
        <v>5.2999999999999999E-2</v>
      </c>
      <c r="AV64" s="203">
        <f t="shared" si="108"/>
        <v>5.2999999999999999E-2</v>
      </c>
      <c r="AW64" s="2047" t="str">
        <f t="shared" si="109"/>
        <v>--</v>
      </c>
      <c r="AX64" s="2054" t="str">
        <f t="shared" si="110"/>
        <v>--</v>
      </c>
      <c r="AZ64" s="22"/>
      <c r="BA64" s="350"/>
      <c r="BB64" s="27">
        <f t="shared" si="111"/>
        <v>3.8E-3</v>
      </c>
      <c r="BC64" s="351" t="str">
        <f t="shared" si="112"/>
        <v>CTR FW CCC</v>
      </c>
      <c r="BD64" s="27">
        <f t="shared" si="113"/>
        <v>3.5999999999999999E-3</v>
      </c>
      <c r="BE64" s="351" t="str">
        <f t="shared" si="114"/>
        <v>CTR SW CCC</v>
      </c>
      <c r="BF64" s="350"/>
      <c r="BG64" s="350"/>
      <c r="BH64" s="350"/>
      <c r="BI64" s="350"/>
      <c r="BJ64" s="350"/>
      <c r="BK64" s="350"/>
      <c r="BL64" s="1303"/>
      <c r="BM64" s="350"/>
      <c r="BN64" s="350"/>
      <c r="BO64" s="350"/>
      <c r="BP64" s="35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row>
    <row r="65" spans="1:142" ht="12.95" customHeight="1">
      <c r="A65" s="897" t="s">
        <v>203</v>
      </c>
      <c r="B65" s="432" t="s">
        <v>204</v>
      </c>
      <c r="C65" s="205">
        <f t="shared" si="115"/>
        <v>7.8999999999999996E-5</v>
      </c>
      <c r="D65" s="207" t="str">
        <f t="shared" si="116"/>
        <v>Seafood Ingestion</v>
      </c>
      <c r="E65" s="1637">
        <f t="shared" si="49"/>
        <v>7.8999999999999996E-5</v>
      </c>
      <c r="F65" s="187" t="str">
        <f t="shared" si="35"/>
        <v>National Criteria</v>
      </c>
      <c r="G65" s="1326">
        <f t="shared" si="83"/>
        <v>7.6999999999999996E-4</v>
      </c>
      <c r="H65" s="1327">
        <f t="shared" si="84"/>
        <v>2.1000000000000001E-4</v>
      </c>
      <c r="I65" s="1359">
        <f t="shared" si="85"/>
        <v>7.8999999999999996E-5</v>
      </c>
      <c r="J65" s="1379">
        <f t="shared" si="117"/>
        <v>3.68</v>
      </c>
      <c r="K65" s="1361" t="str">
        <f t="shared" si="118"/>
        <v>Freshwater Exposure</v>
      </c>
      <c r="L65" s="209">
        <f t="shared" si="72"/>
        <v>3.68</v>
      </c>
      <c r="M65" s="1371" t="str">
        <f t="shared" si="86"/>
        <v>US EPA FW CCC</v>
      </c>
      <c r="N65" s="216">
        <f t="shared" si="73"/>
        <v>3.68</v>
      </c>
      <c r="O65" s="203" t="str">
        <f t="shared" si="87"/>
        <v>--</v>
      </c>
      <c r="P65" s="203">
        <f t="shared" si="74"/>
        <v>3.68</v>
      </c>
      <c r="Q65" s="203" t="str">
        <f t="shared" si="88"/>
        <v>--</v>
      </c>
      <c r="R65" s="203">
        <f t="shared" si="89"/>
        <v>3.68</v>
      </c>
      <c r="S65" s="203" t="str">
        <f t="shared" si="75"/>
        <v>--</v>
      </c>
      <c r="T65" s="203" t="str">
        <f t="shared" si="90"/>
        <v>--</v>
      </c>
      <c r="U65" s="203" t="str">
        <f t="shared" si="91"/>
        <v>--</v>
      </c>
      <c r="V65" s="203" t="str">
        <f t="shared" si="92"/>
        <v>--</v>
      </c>
      <c r="W65" s="193" t="str">
        <f t="shared" si="93"/>
        <v>--</v>
      </c>
      <c r="X65" s="203" t="str">
        <f t="shared" si="76"/>
        <v>--</v>
      </c>
      <c r="Y65" s="193" t="str">
        <f t="shared" si="77"/>
        <v>--</v>
      </c>
      <c r="Z65" s="203" t="str">
        <f t="shared" si="94"/>
        <v>--</v>
      </c>
      <c r="AA65" s="203" t="str">
        <f t="shared" si="95"/>
        <v>--</v>
      </c>
      <c r="AB65" s="1368" t="str">
        <f t="shared" si="96"/>
        <v>--</v>
      </c>
      <c r="AC65" s="1356">
        <f t="shared" si="119"/>
        <v>64.5</v>
      </c>
      <c r="AD65" s="1377" t="str">
        <f t="shared" si="120"/>
        <v>Saltwater Exposure</v>
      </c>
      <c r="AE65" s="1353">
        <f t="shared" si="97"/>
        <v>64.5</v>
      </c>
      <c r="AF65" s="1364" t="str">
        <f t="shared" si="98"/>
        <v>50% US EPA SW Chronic LOEL</v>
      </c>
      <c r="AG65" s="216">
        <f t="shared" si="78"/>
        <v>64.5</v>
      </c>
      <c r="AH65" s="203" t="str">
        <f t="shared" si="43"/>
        <v>--</v>
      </c>
      <c r="AI65" s="203" t="str">
        <f t="shared" si="99"/>
        <v>--</v>
      </c>
      <c r="AJ65" s="203" t="str">
        <f t="shared" si="100"/>
        <v>--</v>
      </c>
      <c r="AK65" s="203">
        <f t="shared" si="79"/>
        <v>64.5</v>
      </c>
      <c r="AL65" s="203" t="str">
        <f t="shared" si="101"/>
        <v>--</v>
      </c>
      <c r="AM65" s="203" t="str">
        <f t="shared" si="102"/>
        <v>--</v>
      </c>
      <c r="AN65" s="203">
        <f t="shared" si="80"/>
        <v>64.5</v>
      </c>
      <c r="AO65" s="203" t="str">
        <f t="shared" si="103"/>
        <v>--</v>
      </c>
      <c r="AP65" s="203">
        <f t="shared" si="104"/>
        <v>129</v>
      </c>
      <c r="AQ65" s="203" t="str">
        <f t="shared" si="105"/>
        <v>--</v>
      </c>
      <c r="AR65" s="1262" t="str">
        <f t="shared" si="106"/>
        <v>--</v>
      </c>
      <c r="AS65" s="203">
        <f t="shared" si="81"/>
        <v>16</v>
      </c>
      <c r="AT65" s="193" t="str">
        <f t="shared" si="82"/>
        <v>10% US EPA SW Acute LOEL</v>
      </c>
      <c r="AU65" s="203" t="str">
        <f t="shared" si="107"/>
        <v>--</v>
      </c>
      <c r="AV65" s="203" t="str">
        <f t="shared" si="108"/>
        <v>--</v>
      </c>
      <c r="AW65" s="2047">
        <f t="shared" si="109"/>
        <v>160</v>
      </c>
      <c r="AX65" s="2054" t="str">
        <f t="shared" si="110"/>
        <v>--</v>
      </c>
      <c r="AZ65" s="22"/>
      <c r="BA65" s="350"/>
      <c r="BB65" s="27">
        <f t="shared" si="111"/>
        <v>3.68</v>
      </c>
      <c r="BC65" s="351" t="str">
        <f t="shared" si="112"/>
        <v>US EPA FW CCC</v>
      </c>
      <c r="BD65" s="27">
        <f t="shared" si="113"/>
        <v>64.5</v>
      </c>
      <c r="BE65" s="351" t="str">
        <f t="shared" si="114"/>
        <v>50% US EPA SW Chronic LOEL</v>
      </c>
      <c r="BF65" s="350"/>
      <c r="BG65" s="350"/>
      <c r="BH65" s="350"/>
      <c r="BI65" s="350"/>
      <c r="BJ65" s="350"/>
      <c r="BK65" s="350"/>
      <c r="BL65" s="1310"/>
      <c r="BM65" s="350"/>
      <c r="BN65" s="350"/>
      <c r="BO65" s="350"/>
      <c r="BP65" s="35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row>
    <row r="66" spans="1:142" ht="12.95" customHeight="1">
      <c r="A66" s="897" t="s">
        <v>205</v>
      </c>
      <c r="B66" s="432" t="s">
        <v>206</v>
      </c>
      <c r="C66" s="205">
        <f t="shared" si="115"/>
        <v>0.01</v>
      </c>
      <c r="D66" s="207" t="str">
        <f t="shared" si="116"/>
        <v>Seafood Ingestion</v>
      </c>
      <c r="E66" s="1637">
        <f t="shared" si="49"/>
        <v>0.01</v>
      </c>
      <c r="F66" s="187" t="str">
        <f t="shared" si="35"/>
        <v>National Criteria</v>
      </c>
      <c r="G66" s="1326">
        <f t="shared" si="83"/>
        <v>50</v>
      </c>
      <c r="H66" s="1327">
        <f t="shared" si="84"/>
        <v>14</v>
      </c>
      <c r="I66" s="1359">
        <f t="shared" si="85"/>
        <v>0.01</v>
      </c>
      <c r="J66" s="1379">
        <f t="shared" si="117"/>
        <v>4.6500000000000004</v>
      </c>
      <c r="K66" s="1361" t="str">
        <f t="shared" si="118"/>
        <v>Freshwater Exposure</v>
      </c>
      <c r="L66" s="209">
        <f t="shared" si="72"/>
        <v>4.6500000000000004</v>
      </c>
      <c r="M66" s="1371" t="str">
        <f t="shared" si="86"/>
        <v>50% US EPA FW Chronic LOEL</v>
      </c>
      <c r="N66" s="216">
        <f t="shared" si="73"/>
        <v>4.6500000000000004</v>
      </c>
      <c r="O66" s="203" t="str">
        <f t="shared" si="87"/>
        <v>--</v>
      </c>
      <c r="P66" s="203">
        <f t="shared" si="74"/>
        <v>4.6500000000000004</v>
      </c>
      <c r="Q66" s="203" t="str">
        <f t="shared" si="88"/>
        <v>--</v>
      </c>
      <c r="R66" s="203" t="str">
        <f t="shared" si="89"/>
        <v>--</v>
      </c>
      <c r="S66" s="203">
        <f t="shared" si="75"/>
        <v>4.6500000000000004</v>
      </c>
      <c r="T66" s="203" t="str">
        <f t="shared" si="90"/>
        <v>--</v>
      </c>
      <c r="U66" s="203">
        <f t="shared" si="91"/>
        <v>9.3000000000000007</v>
      </c>
      <c r="V66" s="203" t="str">
        <f t="shared" si="92"/>
        <v>--</v>
      </c>
      <c r="W66" s="193" t="str">
        <f t="shared" si="93"/>
        <v>--</v>
      </c>
      <c r="X66" s="203">
        <f t="shared" si="76"/>
        <v>9</v>
      </c>
      <c r="Y66" s="193" t="str">
        <f t="shared" si="77"/>
        <v>10% US EPA FW Acute LOEL</v>
      </c>
      <c r="Z66" s="203" t="str">
        <f t="shared" si="94"/>
        <v>--</v>
      </c>
      <c r="AA66" s="203" t="str">
        <f t="shared" si="95"/>
        <v>--</v>
      </c>
      <c r="AB66" s="1368">
        <f t="shared" si="96"/>
        <v>90</v>
      </c>
      <c r="AC66" s="1356">
        <f t="shared" si="119"/>
        <v>3.2</v>
      </c>
      <c r="AD66" s="1377" t="str">
        <f t="shared" si="120"/>
        <v>Saltwater Exposure</v>
      </c>
      <c r="AE66" s="1353">
        <f t="shared" si="97"/>
        <v>3.2</v>
      </c>
      <c r="AF66" s="1364" t="str">
        <f t="shared" si="98"/>
        <v>10% US EPA SW Acute LOEL</v>
      </c>
      <c r="AG66" s="216" t="str">
        <f t="shared" si="78"/>
        <v>--</v>
      </c>
      <c r="AH66" s="203" t="str">
        <f t="shared" si="43"/>
        <v>--</v>
      </c>
      <c r="AI66" s="203" t="str">
        <f t="shared" si="99"/>
        <v>--</v>
      </c>
      <c r="AJ66" s="203" t="str">
        <f t="shared" si="100"/>
        <v>--</v>
      </c>
      <c r="AK66" s="203" t="str">
        <f t="shared" si="79"/>
        <v>--</v>
      </c>
      <c r="AL66" s="203" t="str">
        <f t="shared" si="101"/>
        <v>--</v>
      </c>
      <c r="AM66" s="203" t="str">
        <f t="shared" si="102"/>
        <v>--</v>
      </c>
      <c r="AN66" s="203" t="str">
        <f t="shared" si="80"/>
        <v>--</v>
      </c>
      <c r="AO66" s="203" t="str">
        <f t="shared" si="103"/>
        <v>--</v>
      </c>
      <c r="AP66" s="203" t="str">
        <f t="shared" si="104"/>
        <v>--</v>
      </c>
      <c r="AQ66" s="203" t="str">
        <f t="shared" si="105"/>
        <v>--</v>
      </c>
      <c r="AR66" s="1262" t="str">
        <f t="shared" si="106"/>
        <v>--</v>
      </c>
      <c r="AS66" s="203">
        <f t="shared" si="81"/>
        <v>3.2</v>
      </c>
      <c r="AT66" s="193" t="str">
        <f t="shared" si="82"/>
        <v>10% US EPA SW Acute LOEL</v>
      </c>
      <c r="AU66" s="203" t="str">
        <f t="shared" si="107"/>
        <v>--</v>
      </c>
      <c r="AV66" s="203" t="str">
        <f t="shared" si="108"/>
        <v>--</v>
      </c>
      <c r="AW66" s="2047">
        <f t="shared" si="109"/>
        <v>32</v>
      </c>
      <c r="AX66" s="2054" t="str">
        <f t="shared" si="110"/>
        <v>--</v>
      </c>
      <c r="AZ66" s="22"/>
      <c r="BA66" s="350"/>
      <c r="BB66" s="27">
        <f t="shared" si="111"/>
        <v>4.6500000000000004</v>
      </c>
      <c r="BC66" s="351" t="str">
        <f t="shared" si="112"/>
        <v>50% US EPA FW Chronic LOEL</v>
      </c>
      <c r="BD66" s="27" t="str">
        <f t="shared" si="113"/>
        <v>--</v>
      </c>
      <c r="BE66" s="351" t="str">
        <f t="shared" si="114"/>
        <v>--</v>
      </c>
      <c r="BF66" s="350"/>
      <c r="BG66" s="350"/>
      <c r="BH66" s="350"/>
      <c r="BI66" s="350"/>
      <c r="BJ66" s="350"/>
      <c r="BK66" s="350"/>
      <c r="BL66" s="1303"/>
      <c r="BM66" s="350"/>
      <c r="BN66" s="350"/>
      <c r="BO66" s="350"/>
      <c r="BP66" s="35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row>
    <row r="67" spans="1:142" ht="12.95" customHeight="1">
      <c r="A67" s="2110" t="s">
        <v>4279</v>
      </c>
      <c r="B67" s="432" t="s">
        <v>208</v>
      </c>
      <c r="C67" s="205">
        <f t="shared" si="115"/>
        <v>4.0000000000000001E-3</v>
      </c>
      <c r="D67" s="207" t="str">
        <f t="shared" si="116"/>
        <v>Saltwater Goal</v>
      </c>
      <c r="E67" s="1637">
        <f t="shared" si="49"/>
        <v>6.3E-2</v>
      </c>
      <c r="F67" s="187" t="str">
        <f t="shared" si="35"/>
        <v>Cal Tox Rule</v>
      </c>
      <c r="G67" s="1326">
        <f t="shared" si="83"/>
        <v>6.3E-2</v>
      </c>
      <c r="H67" s="1327" t="str">
        <f t="shared" si="84"/>
        <v>--</v>
      </c>
      <c r="I67" s="1359">
        <f t="shared" si="85"/>
        <v>4.4000000000000004</v>
      </c>
      <c r="J67" s="1379">
        <f t="shared" si="117"/>
        <v>0.08</v>
      </c>
      <c r="K67" s="1361" t="str">
        <f t="shared" si="118"/>
        <v>Freshwater Exposure</v>
      </c>
      <c r="L67" s="209">
        <f t="shared" si="72"/>
        <v>0.08</v>
      </c>
      <c r="M67" s="1371" t="str">
        <f t="shared" si="86"/>
        <v>US EPA Ecotox FW Chronic</v>
      </c>
      <c r="N67" s="216">
        <f t="shared" si="73"/>
        <v>0.08</v>
      </c>
      <c r="O67" s="203" t="str">
        <f t="shared" si="87"/>
        <v>--</v>
      </c>
      <c r="P67" s="203">
        <f t="shared" si="74"/>
        <v>0.08</v>
      </c>
      <c r="Q67" s="203" t="str">
        <f t="shared" si="88"/>
        <v>--</v>
      </c>
      <c r="R67" s="203" t="str">
        <f t="shared" si="89"/>
        <v>--</v>
      </c>
      <c r="S67" s="203">
        <f t="shared" si="75"/>
        <v>0.08</v>
      </c>
      <c r="T67" s="203">
        <f t="shared" si="90"/>
        <v>0.08</v>
      </c>
      <c r="U67" s="203" t="str">
        <f t="shared" si="91"/>
        <v>--</v>
      </c>
      <c r="V67" s="203" t="str">
        <f t="shared" si="92"/>
        <v>--</v>
      </c>
      <c r="W67" s="193" t="str">
        <f t="shared" si="93"/>
        <v>--</v>
      </c>
      <c r="X67" s="203">
        <f t="shared" si="76"/>
        <v>9.5000000000000001E-2</v>
      </c>
      <c r="Y67" s="193" t="str">
        <f t="shared" si="77"/>
        <v>10% CTR FW CMC</v>
      </c>
      <c r="Z67" s="203">
        <f t="shared" si="94"/>
        <v>0.95</v>
      </c>
      <c r="AA67" s="203" t="str">
        <f t="shared" si="95"/>
        <v>--</v>
      </c>
      <c r="AB67" s="1368" t="str">
        <f t="shared" si="96"/>
        <v>--</v>
      </c>
      <c r="AC67" s="1356">
        <f t="shared" si="119"/>
        <v>4.0000000000000001E-3</v>
      </c>
      <c r="AD67" s="1377" t="str">
        <f t="shared" si="120"/>
        <v>Saltwater Exposure</v>
      </c>
      <c r="AE67" s="1353">
        <f t="shared" si="97"/>
        <v>4.0000000000000001E-3</v>
      </c>
      <c r="AF67" s="1364" t="str">
        <f t="shared" si="98"/>
        <v>Basin Plan</v>
      </c>
      <c r="AG67" s="216">
        <f t="shared" si="78"/>
        <v>4.0000000000000001E-3</v>
      </c>
      <c r="AH67" s="203">
        <f t="shared" si="43"/>
        <v>4.0000000000000001E-3</v>
      </c>
      <c r="AI67" s="203" t="str">
        <f t="shared" si="99"/>
        <v>--</v>
      </c>
      <c r="AJ67" s="203">
        <f t="shared" si="100"/>
        <v>4.0000000000000001E-3</v>
      </c>
      <c r="AK67" s="203" t="str">
        <f t="shared" si="79"/>
        <v>--</v>
      </c>
      <c r="AL67" s="203" t="str">
        <f t="shared" si="101"/>
        <v>--</v>
      </c>
      <c r="AM67" s="203" t="str">
        <f t="shared" si="102"/>
        <v>--</v>
      </c>
      <c r="AN67" s="203" t="str">
        <f t="shared" si="80"/>
        <v>--</v>
      </c>
      <c r="AO67" s="203" t="str">
        <f t="shared" si="103"/>
        <v>--</v>
      </c>
      <c r="AP67" s="203" t="str">
        <f t="shared" si="104"/>
        <v>--</v>
      </c>
      <c r="AQ67" s="203" t="str">
        <f t="shared" si="105"/>
        <v>--</v>
      </c>
      <c r="AR67" s="1262" t="str">
        <f t="shared" si="106"/>
        <v>--</v>
      </c>
      <c r="AS67" s="203">
        <f t="shared" si="81"/>
        <v>1.6E-2</v>
      </c>
      <c r="AT67" s="193" t="str">
        <f t="shared" si="82"/>
        <v>10% US EPA SW CMC</v>
      </c>
      <c r="AU67" s="203">
        <f t="shared" si="107"/>
        <v>0.16</v>
      </c>
      <c r="AV67" s="203">
        <f t="shared" si="108"/>
        <v>0.16</v>
      </c>
      <c r="AW67" s="2047" t="str">
        <f t="shared" si="109"/>
        <v>--</v>
      </c>
      <c r="AX67" s="2054" t="str">
        <f t="shared" si="110"/>
        <v>--</v>
      </c>
      <c r="AZ67" s="22"/>
      <c r="BA67" s="350"/>
      <c r="BB67" s="27">
        <f t="shared" si="111"/>
        <v>0.08</v>
      </c>
      <c r="BC67" s="351" t="str">
        <f t="shared" si="112"/>
        <v>US EPA Ecotox FW Chronic</v>
      </c>
      <c r="BD67" s="27" t="str">
        <f t="shared" si="113"/>
        <v>--</v>
      </c>
      <c r="BE67" s="351" t="str">
        <f t="shared" si="114"/>
        <v>--</v>
      </c>
      <c r="BF67" s="350"/>
      <c r="BG67" s="350"/>
      <c r="BH67" s="350"/>
      <c r="BI67" s="350"/>
      <c r="BJ67" s="350"/>
      <c r="BK67" s="350"/>
      <c r="BL67" s="1303"/>
      <c r="BM67" s="350"/>
      <c r="BN67" s="350"/>
      <c r="BO67" s="350"/>
      <c r="BP67" s="35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row>
    <row r="68" spans="1:142" ht="12.95" customHeight="1">
      <c r="A68" s="897" t="s">
        <v>209</v>
      </c>
      <c r="B68" s="432" t="s">
        <v>210</v>
      </c>
      <c r="C68" s="205">
        <f t="shared" si="115"/>
        <v>0.1</v>
      </c>
      <c r="D68" s="207" t="str">
        <f t="shared" si="116"/>
        <v>Seafood Ingestion</v>
      </c>
      <c r="E68" s="1637">
        <f t="shared" si="49"/>
        <v>0.1</v>
      </c>
      <c r="F68" s="187" t="str">
        <f t="shared" si="35"/>
        <v>National Criteria</v>
      </c>
      <c r="G68" s="1326">
        <f t="shared" si="83"/>
        <v>8.9</v>
      </c>
      <c r="H68" s="1327">
        <f t="shared" si="84"/>
        <v>2.5</v>
      </c>
      <c r="I68" s="1359">
        <f t="shared" si="85"/>
        <v>0.1</v>
      </c>
      <c r="J68" s="1379">
        <f t="shared" si="117"/>
        <v>12</v>
      </c>
      <c r="K68" s="1361" t="str">
        <f t="shared" si="118"/>
        <v>Freshwater Exposure</v>
      </c>
      <c r="L68" s="209">
        <f t="shared" si="72"/>
        <v>12</v>
      </c>
      <c r="M68" s="1371" t="str">
        <f t="shared" si="86"/>
        <v>US EPA Ecotox FW Chronic</v>
      </c>
      <c r="N68" s="216">
        <f t="shared" si="73"/>
        <v>12</v>
      </c>
      <c r="O68" s="203" t="str">
        <f t="shared" si="87"/>
        <v>--</v>
      </c>
      <c r="P68" s="203">
        <f t="shared" si="74"/>
        <v>12</v>
      </c>
      <c r="Q68" s="203" t="str">
        <f t="shared" si="88"/>
        <v>--</v>
      </c>
      <c r="R68" s="203" t="str">
        <f t="shared" si="89"/>
        <v>--</v>
      </c>
      <c r="S68" s="203">
        <f t="shared" si="75"/>
        <v>12</v>
      </c>
      <c r="T68" s="203">
        <f t="shared" si="90"/>
        <v>12</v>
      </c>
      <c r="U68" s="203">
        <f t="shared" si="91"/>
        <v>540</v>
      </c>
      <c r="V68" s="203" t="str">
        <f t="shared" si="92"/>
        <v>--</v>
      </c>
      <c r="W68" s="193" t="str">
        <f t="shared" si="93"/>
        <v>--</v>
      </c>
      <c r="X68" s="203">
        <f t="shared" si="76"/>
        <v>98</v>
      </c>
      <c r="Y68" s="193" t="str">
        <f t="shared" si="77"/>
        <v>10% US EPA FW Acute LOEL</v>
      </c>
      <c r="Z68" s="203" t="str">
        <f t="shared" si="94"/>
        <v>--</v>
      </c>
      <c r="AA68" s="203" t="str">
        <f t="shared" si="95"/>
        <v>--</v>
      </c>
      <c r="AB68" s="1368">
        <f t="shared" si="96"/>
        <v>980</v>
      </c>
      <c r="AC68" s="1356">
        <f t="shared" si="119"/>
        <v>94</v>
      </c>
      <c r="AD68" s="1377" t="str">
        <f t="shared" si="120"/>
        <v>Saltwater Exposure</v>
      </c>
      <c r="AE68" s="1353">
        <f t="shared" si="97"/>
        <v>94</v>
      </c>
      <c r="AF68" s="1364" t="str">
        <f t="shared" si="98"/>
        <v>10% US EPA SW Acute LOEL</v>
      </c>
      <c r="AG68" s="216" t="str">
        <f t="shared" si="78"/>
        <v>--</v>
      </c>
      <c r="AH68" s="203" t="str">
        <f t="shared" si="43"/>
        <v>--</v>
      </c>
      <c r="AI68" s="203" t="str">
        <f t="shared" si="99"/>
        <v>--</v>
      </c>
      <c r="AJ68" s="203" t="str">
        <f t="shared" si="100"/>
        <v>--</v>
      </c>
      <c r="AK68" s="203" t="str">
        <f t="shared" si="79"/>
        <v>--</v>
      </c>
      <c r="AL68" s="203" t="str">
        <f t="shared" si="101"/>
        <v>--</v>
      </c>
      <c r="AM68" s="203" t="str">
        <f t="shared" si="102"/>
        <v>--</v>
      </c>
      <c r="AN68" s="203" t="str">
        <f t="shared" si="80"/>
        <v>--</v>
      </c>
      <c r="AO68" s="203" t="str">
        <f t="shared" si="103"/>
        <v>--</v>
      </c>
      <c r="AP68" s="203" t="str">
        <f t="shared" si="104"/>
        <v>--</v>
      </c>
      <c r="AQ68" s="203" t="str">
        <f t="shared" si="105"/>
        <v>--</v>
      </c>
      <c r="AR68" s="1262" t="str">
        <f t="shared" si="106"/>
        <v>--</v>
      </c>
      <c r="AS68" s="203">
        <f t="shared" si="81"/>
        <v>94</v>
      </c>
      <c r="AT68" s="193" t="str">
        <f t="shared" si="82"/>
        <v>10% US EPA SW Acute LOEL</v>
      </c>
      <c r="AU68" s="203" t="str">
        <f t="shared" si="107"/>
        <v>--</v>
      </c>
      <c r="AV68" s="203" t="str">
        <f t="shared" si="108"/>
        <v>--</v>
      </c>
      <c r="AW68" s="2047">
        <f t="shared" si="109"/>
        <v>940</v>
      </c>
      <c r="AX68" s="2054" t="str">
        <f t="shared" si="110"/>
        <v>--</v>
      </c>
      <c r="AZ68" s="22"/>
      <c r="BA68" s="350"/>
      <c r="BB68" s="27">
        <f t="shared" si="111"/>
        <v>12</v>
      </c>
      <c r="BC68" s="351" t="str">
        <f t="shared" si="112"/>
        <v>US EPA Ecotox FW Chronic</v>
      </c>
      <c r="BD68" s="27" t="str">
        <f t="shared" si="113"/>
        <v>--</v>
      </c>
      <c r="BE68" s="351" t="str">
        <f t="shared" si="114"/>
        <v>--</v>
      </c>
      <c r="BF68" s="350"/>
      <c r="BG68" s="350"/>
      <c r="BH68" s="350"/>
      <c r="BI68" s="350"/>
      <c r="BJ68" s="350"/>
      <c r="BK68" s="350"/>
      <c r="BL68" s="1306"/>
      <c r="BM68" s="350"/>
      <c r="BN68" s="350"/>
      <c r="BO68" s="350"/>
      <c r="BP68" s="35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row>
    <row r="69" spans="1:142" ht="12.95" customHeight="1">
      <c r="A69" s="897" t="s">
        <v>211</v>
      </c>
      <c r="B69" s="432" t="s">
        <v>212</v>
      </c>
      <c r="C69" s="205">
        <f t="shared" si="115"/>
        <v>2</v>
      </c>
      <c r="D69" s="207" t="str">
        <f t="shared" si="116"/>
        <v>Saltwater Goal</v>
      </c>
      <c r="E69" s="1637" t="str">
        <f t="shared" si="49"/>
        <v>--</v>
      </c>
      <c r="F69" s="187" t="str">
        <f t="shared" si="35"/>
        <v>--</v>
      </c>
      <c r="G69" s="1326" t="str">
        <f t="shared" ref="G69:G100" si="121">IF((VLOOKUP($A69,Table_IP_7,MATCH("ctr",heading_IP_7,0),FALSE))="--", "--",(VLOOKUP($A69,Table_IP_7,MATCH("ctr",heading_IP_7,0),FALSE)))</f>
        <v>--</v>
      </c>
      <c r="H69" s="1327" t="str">
        <f t="shared" ref="H69:H100" si="122">IF((VLOOKUP($A69,Table_IP_7,MATCH("op",heading_IP_7,0),FALSE))="--", "--",(VLOOKUP($A69,Table_IP_7,MATCH("op",heading_IP_7,0),FALSE)))</f>
        <v>--</v>
      </c>
      <c r="I69" s="1359" t="str">
        <f t="shared" ref="I69:I100" si="123">IF((VLOOKUP($A69,Table_IP_7,MATCH("nwq",heading_IP_7,0),FALSE))="--", "--",(VLOOKUP($A69,Table_IP_7,MATCH("nwq",heading_IP_7,0),FALSE)))</f>
        <v>--</v>
      </c>
      <c r="J69" s="1379">
        <f t="shared" si="117"/>
        <v>2.5</v>
      </c>
      <c r="K69" s="1361" t="str">
        <f t="shared" si="118"/>
        <v>Freshwater Exposure</v>
      </c>
      <c r="L69" s="209">
        <f t="shared" si="72"/>
        <v>2.5</v>
      </c>
      <c r="M69" s="1371" t="str">
        <f t="shared" ref="M69:M100" si="124">IF(L69="--", "--", IF(L69=BB69,BC69,(IF(L69=X69,Y69,(IF(L69=O69,"Basin Plan",""))))))</f>
        <v>CTR FW CCC</v>
      </c>
      <c r="N69" s="216">
        <f t="shared" si="73"/>
        <v>2.5</v>
      </c>
      <c r="O69" s="203">
        <f t="shared" ref="O69:O100" si="125">(VLOOKUP($A69,Table_IP_5,MATCH("FW other",heading_IP_5,0),FALSE))</f>
        <v>2.5</v>
      </c>
      <c r="P69" s="203">
        <f t="shared" si="74"/>
        <v>2.5</v>
      </c>
      <c r="Q69" s="203">
        <f t="shared" ref="Q69:Q100" si="126">(VLOOKUP($A69,Table_IP_5,MATCH("FW CCC",heading_IP_5,0),FALSE))</f>
        <v>2.5</v>
      </c>
      <c r="R69" s="203">
        <f t="shared" ref="R69:R100" si="127">VLOOKUP($A69,Table_IP_6, MATCH("FW CCC", heading_IP_6, 0), FALSE)</f>
        <v>2.5</v>
      </c>
      <c r="S69" s="203">
        <f t="shared" si="75"/>
        <v>2.5</v>
      </c>
      <c r="T69" s="203">
        <f t="shared" ref="T69:T100" si="128">(VLOOKUP($A69,Table_IP_6, MATCH("FW TH", heading_IP_6, 0), FALSE))</f>
        <v>2.5</v>
      </c>
      <c r="U69" s="203" t="str">
        <f t="shared" ref="U69:U100" si="129">(VLOOKUP($A69,Table_IP_6, MATCH("FW C-LOEL", heading_IP_6, 0), FALSE))</f>
        <v>--</v>
      </c>
      <c r="V69" s="203" t="str">
        <f t="shared" ref="V69:V100" si="130">(VLOOKUP($A69,Table_IP_6, MATCH("FW other", heading_IP_6, 0), FALSE))</f>
        <v>--</v>
      </c>
      <c r="W69" s="193" t="str">
        <f t="shared" ref="W69:W100" si="131">IF(VLOOKUP($A69,Table_IP_6, MATCH("FW other basis", heading_IP_6, 0), FALSE)=0, " ", (VLOOKUP($A69,Table_IP_6, MATCH("FW other basis", heading_IP_6, 0), FALSE)))</f>
        <v>--</v>
      </c>
      <c r="X69" s="203">
        <f t="shared" si="76"/>
        <v>6.5</v>
      </c>
      <c r="Y69" s="193" t="str">
        <f t="shared" si="77"/>
        <v>10% CTR FW CMC</v>
      </c>
      <c r="Z69" s="203">
        <f t="shared" ref="Z69:Z100" si="132">(VLOOKUP($A69,Table_IP_5, MATCH("FW CMC", heading_IP_5, 0), FALSE))</f>
        <v>65</v>
      </c>
      <c r="AA69" s="203" t="str">
        <f t="shared" ref="AA69:AA100" si="133">(VLOOKUP($A69,Table_IP_6, MATCH("FW other", heading_IP_6, 0), FALSE))</f>
        <v>--</v>
      </c>
      <c r="AB69" s="1368" t="str">
        <f t="shared" ref="AB69:AB100" si="134">(VLOOKUP($A69,Table_IP_6, MATCH("FW A-LOEL", heading_IP_6, 0), FALSE))</f>
        <v>--</v>
      </c>
      <c r="AC69" s="1356">
        <f t="shared" si="119"/>
        <v>2</v>
      </c>
      <c r="AD69" s="1377" t="str">
        <f t="shared" si="120"/>
        <v>Saltwater Exposure</v>
      </c>
      <c r="AE69" s="1353">
        <f t="shared" ref="AE69:AE100" si="135">IF(AG69="--",AS69, AG69)</f>
        <v>2</v>
      </c>
      <c r="AF69" s="1364" t="str">
        <f t="shared" ref="AF69:AF100" si="136">IF(AE69=BD69,BE69,(IF(AE69=AS69,AT69,(IF(AE69=AH69,"Basin Plan","")))))</f>
        <v>Basin Plan</v>
      </c>
      <c r="AG69" s="216">
        <f t="shared" si="78"/>
        <v>2</v>
      </c>
      <c r="AH69" s="203">
        <f t="shared" si="43"/>
        <v>2</v>
      </c>
      <c r="AI69" s="203">
        <f t="shared" ref="AI69:AI100" si="137">VLOOKUP($A69,Table_IP_5,MATCH("M other",heading_IP_5,0),FALSE)</f>
        <v>8.1</v>
      </c>
      <c r="AJ69" s="203">
        <f t="shared" ref="AJ69:AJ100" si="138">VLOOKUP($A69,Table_IP_5,MATCH("M M",heading_IP_5,0),FALSE)</f>
        <v>2</v>
      </c>
      <c r="AK69" s="203">
        <f t="shared" si="79"/>
        <v>8.1</v>
      </c>
      <c r="AL69" s="203">
        <f t="shared" ref="AL69:AL100" si="139">(VLOOKUP($A69,Table_IP_5, MATCH("M CCC", heading_IP_5, 0), FALSE))</f>
        <v>8.1</v>
      </c>
      <c r="AM69" s="203">
        <f t="shared" ref="AM69:AM100" si="140">VLOOKUP($A69,Table_IP_6, MATCH("M CCC", heading_IP_6, 0), FALSE)</f>
        <v>8.1</v>
      </c>
      <c r="AN69" s="203">
        <f t="shared" si="80"/>
        <v>8.1</v>
      </c>
      <c r="AO69" s="203">
        <f t="shared" ref="AO69:AO100" si="141">VLOOKUP($A69,Table_IP_6, MATCH("M TH", heading_IP_6, 0), FALSE)</f>
        <v>8.1</v>
      </c>
      <c r="AP69" s="203" t="str">
        <f t="shared" ref="AP69:AP100" si="142">VLOOKUP($A69,Table_IP_6, MATCH("M C-LOEL", heading_IP_6, 0), FALSE)</f>
        <v>--</v>
      </c>
      <c r="AQ69" s="203" t="str">
        <f t="shared" ref="AQ69:AQ100" si="143">VLOOKUP($A69,Table_IP_6, MATCH("M other", heading_IP_6, 0), FALSE)</f>
        <v>--</v>
      </c>
      <c r="AR69" s="1262" t="str">
        <f t="shared" ref="AR69:AR100" si="144">IF(VLOOKUP($A69,Table_IP_6, MATCH("M other basis", heading_IP_6, 0), FALSE)= " ", " ", VLOOKUP($A69,Table_IP_6, MATCH("M other basis", heading_IP_6, 0), FALSE))</f>
        <v>--</v>
      </c>
      <c r="AS69" s="203">
        <f t="shared" si="81"/>
        <v>21</v>
      </c>
      <c r="AT69" s="193" t="str">
        <f t="shared" si="82"/>
        <v>10% US EPA SW CMC</v>
      </c>
      <c r="AU69" s="203">
        <f t="shared" ref="AU69:AU100" si="145">(VLOOKUP($A69,Table_IP_5, MATCH("M CMC", heading_IP_5, 0), FALSE))</f>
        <v>210</v>
      </c>
      <c r="AV69" s="203">
        <f t="shared" ref="AV69:AV100" si="146">VLOOKUP($A69,Table_IP_6, MATCH("M CMC", heading_IP_6, 0), FALSE)</f>
        <v>210</v>
      </c>
      <c r="AW69" s="2047" t="str">
        <f t="shared" ref="AW69:AW100" si="147">VLOOKUP($A69,Table_IP_6, MATCH("M A-LOEL", heading_IP_6, 0), FALSE)</f>
        <v>--</v>
      </c>
      <c r="AX69" s="2054" t="str">
        <f t="shared" ref="AX69:AX100" si="148">(VLOOKUP($A69,Table_IP_6,MATCH("Bioac Exp",heading_IP_6,0),FALSE))</f>
        <v>--</v>
      </c>
      <c r="AZ69" s="22"/>
      <c r="BA69" s="350"/>
      <c r="BB69" s="27">
        <f t="shared" ref="BB69:BB100" si="149">IF(Q69&lt;&gt;"--",Q69,IF(R69&lt;&gt;"--",R69,IF(S69&lt;&gt;"--",S69,IF(V69&lt;&gt;"--",V69, "--"))))</f>
        <v>2.5</v>
      </c>
      <c r="BC69" s="351" t="str">
        <f t="shared" ref="BC69:BC100" si="150">IF(BB69="--","--",(IF(BB69=Q69,"CTR FW CCC",(IF(BB69=R69,"US EPA FW CCC",(IF(BB69=T69,"US EPA Ecotox FW Chronic",(IF(BB69=V69,W69,"50% US EPA FW Chronic LOEL")))))))))</f>
        <v>CTR FW CCC</v>
      </c>
      <c r="BD69" s="27">
        <f t="shared" ref="BD69:BD100" si="151">IF(AL69&lt;&gt;"--",AL69,IF(AM69&lt;&gt;"--",AM69,IF(AN69&lt;&gt;"--",AN69,IF(AQ69&lt;&gt;"--",AQ69,"--"))))</f>
        <v>8.1</v>
      </c>
      <c r="BE69" s="351" t="str">
        <f t="shared" ref="BE69:BE100" si="152">IF(BD69="--","--",(IF(BD69=AL69,"CTR SW CCC",(IF(BD69=AM69,"US EPA SW CCC",(IF(BD69=AO69,"US EPA Ecotox SW Chronic",(IF(BD69=AQ69,AR69,"50% US EPA SW Chronic LOEL")))))))))</f>
        <v>CTR SW CCC</v>
      </c>
      <c r="BF69" s="350"/>
      <c r="BG69" s="350"/>
      <c r="BH69" s="350"/>
      <c r="BI69" s="350"/>
      <c r="BJ69" s="350"/>
      <c r="BK69" s="350"/>
      <c r="BL69" s="1306"/>
      <c r="BM69" s="350"/>
      <c r="BN69" s="350"/>
      <c r="BO69" s="350"/>
      <c r="BP69" s="35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row>
    <row r="70" spans="1:142" ht="12.95" customHeight="1">
      <c r="A70" s="897" t="s">
        <v>213</v>
      </c>
      <c r="B70" s="432" t="s">
        <v>214</v>
      </c>
      <c r="C70" s="205">
        <f t="shared" ref="C70:C101" si="153">IF(AND(E70="--",L70="--",AE70="--"),"--",(MIN(E70,L70,AE70)))</f>
        <v>2.5000000000000001E-2</v>
      </c>
      <c r="D70" s="207" t="str">
        <f t="shared" ref="D70:D101" si="154">IF(C70="--","--",IF(C70=L70, "Freshwater Goal", IF(C70=AE70,"Saltwater Goal", "Seafood Ingestion")))</f>
        <v>Freshwater Goal</v>
      </c>
      <c r="E70" s="1637">
        <f t="shared" si="49"/>
        <v>5.0999999999999997E-2</v>
      </c>
      <c r="F70" s="187" t="str">
        <f t="shared" ref="F70:F133" si="155">IF(E70="--","--",IF(E70=G70, "Cal Tox Rule", IF(E70=H70,"Cal Ocean Plan", "National Criteria")))</f>
        <v>Cal Tox Rule</v>
      </c>
      <c r="G70" s="1326">
        <f t="shared" si="121"/>
        <v>5.0999999999999997E-2</v>
      </c>
      <c r="H70" s="1327" t="str">
        <f t="shared" si="122"/>
        <v>--</v>
      </c>
      <c r="I70" s="1359" t="str">
        <f t="shared" si="123"/>
        <v>--</v>
      </c>
      <c r="J70" s="1379">
        <f t="shared" ref="J70:J101" si="156">IF(AND(AX70="--",L70="--"), "--", MIN(AX70,L70))</f>
        <v>2.5000000000000001E-2</v>
      </c>
      <c r="K70" s="1361" t="str">
        <f t="shared" ref="K70:K101" si="157">IF(J70="--","--",IF(J70=L70,"Freshwater Exposure","Bioaccumulation Exposure"))</f>
        <v>Freshwater Exposure</v>
      </c>
      <c r="L70" s="209">
        <f t="shared" si="72"/>
        <v>2.5000000000000001E-2</v>
      </c>
      <c r="M70" s="1371" t="str">
        <f t="shared" si="124"/>
        <v>Basin Plan</v>
      </c>
      <c r="N70" s="216">
        <f t="shared" si="73"/>
        <v>2.5000000000000001E-2</v>
      </c>
      <c r="O70" s="203">
        <f t="shared" si="125"/>
        <v>2.5000000000000001E-2</v>
      </c>
      <c r="P70" s="203">
        <f t="shared" si="74"/>
        <v>0.77</v>
      </c>
      <c r="Q70" s="203" t="str">
        <f t="shared" si="126"/>
        <v>--</v>
      </c>
      <c r="R70" s="203">
        <f t="shared" si="127"/>
        <v>0.77</v>
      </c>
      <c r="S70" s="203">
        <f t="shared" si="75"/>
        <v>1.3</v>
      </c>
      <c r="T70" s="203">
        <f t="shared" si="128"/>
        <v>1.3</v>
      </c>
      <c r="U70" s="203" t="str">
        <f t="shared" si="129"/>
        <v>--</v>
      </c>
      <c r="V70" s="203" t="str">
        <f t="shared" si="130"/>
        <v>--</v>
      </c>
      <c r="W70" s="193" t="str">
        <f t="shared" si="131"/>
        <v>--</v>
      </c>
      <c r="X70" s="203" t="str">
        <f t="shared" si="76"/>
        <v>--</v>
      </c>
      <c r="Y70" s="193" t="str">
        <f t="shared" si="77"/>
        <v>--</v>
      </c>
      <c r="Z70" s="203" t="str">
        <f t="shared" si="132"/>
        <v>--</v>
      </c>
      <c r="AA70" s="203" t="str">
        <f t="shared" si="133"/>
        <v>--</v>
      </c>
      <c r="AB70" s="1368" t="str">
        <f t="shared" si="134"/>
        <v>--</v>
      </c>
      <c r="AC70" s="1356">
        <f t="shared" ref="AC70:AC101" si="158">IF(AND(AX70="--",AE70="--"), "--", MIN(AX70,AE70))</f>
        <v>2.5000000000000001E-2</v>
      </c>
      <c r="AD70" s="1377" t="str">
        <f t="shared" ref="AD70:AD101" si="159">IF(AC70="--","--",IF(AC70=AE70, "Saltwater Exposure","Bioaccumulation Exposure"))</f>
        <v>Saltwater Exposure</v>
      </c>
      <c r="AE70" s="1353">
        <f t="shared" si="135"/>
        <v>2.5000000000000001E-2</v>
      </c>
      <c r="AF70" s="1364" t="str">
        <f t="shared" si="136"/>
        <v>Basin Plan</v>
      </c>
      <c r="AG70" s="216">
        <f t="shared" si="78"/>
        <v>2.5000000000000001E-2</v>
      </c>
      <c r="AH70" s="203">
        <f t="shared" ref="AH70:AH133" si="160">IF(AND(AI70="--",AJ70="--"),"--", IF(AI70="--",AJ70, IF(AJ70="--", AI70, MIN(AI70,AJ70))))</f>
        <v>2.5000000000000001E-2</v>
      </c>
      <c r="AI70" s="203">
        <f t="shared" si="137"/>
        <v>2.5000000000000001E-2</v>
      </c>
      <c r="AJ70" s="203">
        <f t="shared" si="138"/>
        <v>0.04</v>
      </c>
      <c r="AK70" s="203">
        <f t="shared" si="79"/>
        <v>0.94</v>
      </c>
      <c r="AL70" s="203" t="str">
        <f t="shared" si="139"/>
        <v>--</v>
      </c>
      <c r="AM70" s="203">
        <f t="shared" si="140"/>
        <v>0.94</v>
      </c>
      <c r="AN70" s="203">
        <f t="shared" si="80"/>
        <v>1.1000000000000001</v>
      </c>
      <c r="AO70" s="203">
        <f t="shared" si="141"/>
        <v>1.1000000000000001</v>
      </c>
      <c r="AP70" s="203" t="str">
        <f t="shared" si="142"/>
        <v>--</v>
      </c>
      <c r="AQ70" s="203" t="str">
        <f t="shared" si="143"/>
        <v>--</v>
      </c>
      <c r="AR70" s="1262" t="str">
        <f t="shared" si="144"/>
        <v>--</v>
      </c>
      <c r="AS70" s="203">
        <f t="shared" si="81"/>
        <v>0.18</v>
      </c>
      <c r="AT70" s="193" t="str">
        <f t="shared" si="82"/>
        <v>10% US EPA SW CMC</v>
      </c>
      <c r="AU70" s="203" t="str">
        <f t="shared" si="145"/>
        <v>--</v>
      </c>
      <c r="AV70" s="203">
        <f t="shared" si="146"/>
        <v>1.8</v>
      </c>
      <c r="AW70" s="2047" t="str">
        <f t="shared" si="147"/>
        <v>--</v>
      </c>
      <c r="AX70" s="2054" t="str">
        <f t="shared" si="148"/>
        <v>--</v>
      </c>
      <c r="AZ70" s="22"/>
      <c r="BA70" s="350"/>
      <c r="BB70" s="27">
        <f t="shared" si="149"/>
        <v>0.77</v>
      </c>
      <c r="BC70" s="351" t="str">
        <f t="shared" si="150"/>
        <v>US EPA FW CCC</v>
      </c>
      <c r="BD70" s="27">
        <f t="shared" si="151"/>
        <v>0.94</v>
      </c>
      <c r="BE70" s="351" t="str">
        <f t="shared" si="152"/>
        <v>US EPA SW CCC</v>
      </c>
      <c r="BF70" s="350"/>
      <c r="BG70" s="350"/>
      <c r="BH70" s="350"/>
      <c r="BI70" s="350"/>
      <c r="BJ70" s="350"/>
      <c r="BK70" s="350"/>
      <c r="BL70" s="1308"/>
      <c r="BM70" s="350"/>
      <c r="BN70" s="350"/>
      <c r="BO70" s="350"/>
      <c r="BP70" s="35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row>
    <row r="71" spans="1:142" ht="12.95" customHeight="1">
      <c r="A71" s="897" t="s">
        <v>215</v>
      </c>
      <c r="B71" s="432" t="s">
        <v>216</v>
      </c>
      <c r="C71" s="205">
        <f t="shared" si="153"/>
        <v>3.0000000000000001E-3</v>
      </c>
      <c r="D71" s="207" t="str">
        <f t="shared" si="154"/>
        <v>Saltwater Goal</v>
      </c>
      <c r="E71" s="1637">
        <f t="shared" ref="E71:E124" si="161">IF(AND(G71="--",H71="--",I71="--"), "--", MIN(G71,H71,I71))</f>
        <v>0.02</v>
      </c>
      <c r="F71" s="187" t="str">
        <f t="shared" si="155"/>
        <v>National Criteria</v>
      </c>
      <c r="G71" s="1326" t="str">
        <f t="shared" si="121"/>
        <v>--</v>
      </c>
      <c r="H71" s="1327" t="str">
        <f t="shared" si="122"/>
        <v>--</v>
      </c>
      <c r="I71" s="1359">
        <f t="shared" si="123"/>
        <v>0.02</v>
      </c>
      <c r="J71" s="1379">
        <f t="shared" si="156"/>
        <v>1.9E-2</v>
      </c>
      <c r="K71" s="1361" t="str">
        <f t="shared" si="157"/>
        <v>Freshwater Exposure</v>
      </c>
      <c r="L71" s="209">
        <f t="shared" si="72"/>
        <v>1.9E-2</v>
      </c>
      <c r="M71" s="1371" t="str">
        <f t="shared" si="124"/>
        <v>US EPA Ecotox FW Chronic</v>
      </c>
      <c r="N71" s="216">
        <f t="shared" si="73"/>
        <v>1.9E-2</v>
      </c>
      <c r="O71" s="203" t="str">
        <f t="shared" si="125"/>
        <v>--</v>
      </c>
      <c r="P71" s="203">
        <f t="shared" si="74"/>
        <v>1.9E-2</v>
      </c>
      <c r="Q71" s="203" t="str">
        <f t="shared" si="126"/>
        <v>--</v>
      </c>
      <c r="R71" s="203" t="str">
        <f t="shared" si="127"/>
        <v>--</v>
      </c>
      <c r="S71" s="203">
        <f t="shared" si="75"/>
        <v>1.9E-2</v>
      </c>
      <c r="T71" s="203">
        <f t="shared" si="128"/>
        <v>1.9E-2</v>
      </c>
      <c r="U71" s="203" t="str">
        <f t="shared" si="129"/>
        <v>--</v>
      </c>
      <c r="V71" s="203" t="str">
        <f t="shared" si="130"/>
        <v>--</v>
      </c>
      <c r="W71" s="193" t="str">
        <f t="shared" si="131"/>
        <v>--</v>
      </c>
      <c r="X71" s="203" t="str">
        <f t="shared" si="76"/>
        <v>--</v>
      </c>
      <c r="Y71" s="193" t="str">
        <f t="shared" si="77"/>
        <v>--</v>
      </c>
      <c r="Z71" s="203" t="str">
        <f t="shared" si="132"/>
        <v>--</v>
      </c>
      <c r="AA71" s="203" t="str">
        <f t="shared" si="133"/>
        <v>--</v>
      </c>
      <c r="AB71" s="1368" t="str">
        <f t="shared" si="134"/>
        <v>--</v>
      </c>
      <c r="AC71" s="1356">
        <f t="shared" si="158"/>
        <v>3.0000000000000001E-3</v>
      </c>
      <c r="AD71" s="1377" t="str">
        <f t="shared" si="159"/>
        <v>Saltwater Exposure</v>
      </c>
      <c r="AE71" s="1353">
        <f t="shared" si="135"/>
        <v>3.0000000000000001E-3</v>
      </c>
      <c r="AF71" s="1364" t="str">
        <f t="shared" si="136"/>
        <v>10% US EPA SW CMC</v>
      </c>
      <c r="AG71" s="216" t="str">
        <f t="shared" si="78"/>
        <v>--</v>
      </c>
      <c r="AH71" s="203" t="str">
        <f t="shared" si="160"/>
        <v>--</v>
      </c>
      <c r="AI71" s="203" t="str">
        <f t="shared" si="137"/>
        <v>--</v>
      </c>
      <c r="AJ71" s="203" t="str">
        <f t="shared" si="138"/>
        <v>--</v>
      </c>
      <c r="AK71" s="203" t="str">
        <f t="shared" si="79"/>
        <v>--</v>
      </c>
      <c r="AL71" s="203" t="str">
        <f t="shared" si="139"/>
        <v>--</v>
      </c>
      <c r="AM71" s="203" t="str">
        <f t="shared" si="140"/>
        <v>--</v>
      </c>
      <c r="AN71" s="203" t="str">
        <f t="shared" si="80"/>
        <v>--</v>
      </c>
      <c r="AO71" s="203" t="str">
        <f t="shared" si="141"/>
        <v>--</v>
      </c>
      <c r="AP71" s="203" t="str">
        <f t="shared" si="142"/>
        <v>--</v>
      </c>
      <c r="AQ71" s="203" t="str">
        <f t="shared" si="143"/>
        <v>--</v>
      </c>
      <c r="AR71" s="1262" t="str">
        <f t="shared" si="144"/>
        <v>--</v>
      </c>
      <c r="AS71" s="203">
        <f t="shared" si="81"/>
        <v>3.0000000000000001E-3</v>
      </c>
      <c r="AT71" s="193" t="str">
        <f t="shared" si="82"/>
        <v>10% US EPA SW CMC</v>
      </c>
      <c r="AU71" s="203" t="str">
        <f t="shared" si="145"/>
        <v>--</v>
      </c>
      <c r="AV71" s="203">
        <f t="shared" si="146"/>
        <v>0.03</v>
      </c>
      <c r="AW71" s="2047" t="str">
        <f t="shared" si="147"/>
        <v>--</v>
      </c>
      <c r="AX71" s="2054" t="str">
        <f t="shared" si="148"/>
        <v>--</v>
      </c>
      <c r="AZ71" s="22"/>
      <c r="BA71" s="350"/>
      <c r="BB71" s="27">
        <f t="shared" si="149"/>
        <v>1.9E-2</v>
      </c>
      <c r="BC71" s="351" t="str">
        <f t="shared" si="150"/>
        <v>US EPA Ecotox FW Chronic</v>
      </c>
      <c r="BD71" s="27" t="str">
        <f t="shared" si="151"/>
        <v>--</v>
      </c>
      <c r="BE71" s="351" t="str">
        <f t="shared" si="152"/>
        <v>--</v>
      </c>
      <c r="BF71" s="350"/>
      <c r="BG71" s="350"/>
      <c r="BH71" s="350"/>
      <c r="BI71" s="350"/>
      <c r="BJ71" s="350"/>
      <c r="BK71" s="350"/>
      <c r="BL71" s="1308"/>
      <c r="BM71" s="350"/>
      <c r="BN71" s="350"/>
      <c r="BO71" s="350"/>
      <c r="BP71" s="35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row>
    <row r="72" spans="1:142" ht="12.95" customHeight="1">
      <c r="A72" s="897" t="s">
        <v>217</v>
      </c>
      <c r="B72" s="432" t="s">
        <v>218</v>
      </c>
      <c r="C72" s="205">
        <f t="shared" si="153"/>
        <v>1000</v>
      </c>
      <c r="D72" s="207" t="str">
        <f t="shared" si="154"/>
        <v>Seafood Ingestion</v>
      </c>
      <c r="E72" s="1637">
        <f t="shared" si="161"/>
        <v>1000</v>
      </c>
      <c r="F72" s="187" t="str">
        <f t="shared" si="155"/>
        <v>National Criteria</v>
      </c>
      <c r="G72" s="1326">
        <f t="shared" si="121"/>
        <v>1600</v>
      </c>
      <c r="H72" s="1327" t="str">
        <f t="shared" si="122"/>
        <v>--</v>
      </c>
      <c r="I72" s="1359">
        <f t="shared" si="123"/>
        <v>1000</v>
      </c>
      <c r="J72" s="1379">
        <f t="shared" si="156"/>
        <v>2200</v>
      </c>
      <c r="K72" s="1361" t="str">
        <f t="shared" si="157"/>
        <v>Freshwater Exposure</v>
      </c>
      <c r="L72" s="209">
        <f t="shared" si="72"/>
        <v>2200</v>
      </c>
      <c r="M72" s="1371" t="str">
        <f t="shared" si="124"/>
        <v>USDOE FW Chronic PRG</v>
      </c>
      <c r="N72" s="216">
        <f t="shared" si="73"/>
        <v>2200</v>
      </c>
      <c r="O72" s="203" t="str">
        <f t="shared" si="125"/>
        <v>--</v>
      </c>
      <c r="P72" s="203">
        <f t="shared" si="74"/>
        <v>2200</v>
      </c>
      <c r="Q72" s="203" t="str">
        <f t="shared" si="126"/>
        <v>--</v>
      </c>
      <c r="R72" s="203" t="str">
        <f t="shared" si="127"/>
        <v>--</v>
      </c>
      <c r="S72" s="203" t="str">
        <f t="shared" si="75"/>
        <v>--</v>
      </c>
      <c r="T72" s="203" t="str">
        <f t="shared" si="128"/>
        <v>--</v>
      </c>
      <c r="U72" s="203" t="str">
        <f t="shared" si="129"/>
        <v>--</v>
      </c>
      <c r="V72" s="203">
        <f t="shared" si="130"/>
        <v>2200</v>
      </c>
      <c r="W72" s="193" t="str">
        <f t="shared" si="131"/>
        <v>USDOE FW Chronic PRG</v>
      </c>
      <c r="X72" s="203">
        <f t="shared" si="76"/>
        <v>220</v>
      </c>
      <c r="Y72" s="193" t="str">
        <f t="shared" si="77"/>
        <v>10% US EPA FW CMC</v>
      </c>
      <c r="Z72" s="203" t="str">
        <f t="shared" si="132"/>
        <v>--</v>
      </c>
      <c r="AA72" s="203">
        <f t="shared" si="133"/>
        <v>2200</v>
      </c>
      <c r="AB72" s="1368">
        <f t="shared" si="134"/>
        <v>11000</v>
      </c>
      <c r="AC72" s="1356">
        <f t="shared" si="158"/>
        <v>3200</v>
      </c>
      <c r="AD72" s="1377" t="str">
        <f t="shared" si="159"/>
        <v>Saltwater Exposure</v>
      </c>
      <c r="AE72" s="1353">
        <f t="shared" si="135"/>
        <v>3200</v>
      </c>
      <c r="AF72" s="1364" t="str">
        <f t="shared" si="136"/>
        <v>50% US EPA SW Chronic LOEL</v>
      </c>
      <c r="AG72" s="216">
        <f t="shared" si="78"/>
        <v>3200</v>
      </c>
      <c r="AH72" s="203" t="str">
        <f t="shared" si="160"/>
        <v>--</v>
      </c>
      <c r="AI72" s="203" t="str">
        <f t="shared" si="137"/>
        <v>--</v>
      </c>
      <c r="AJ72" s="203" t="str">
        <f t="shared" si="138"/>
        <v>--</v>
      </c>
      <c r="AK72" s="203">
        <f t="shared" si="79"/>
        <v>3200</v>
      </c>
      <c r="AL72" s="203" t="str">
        <f t="shared" si="139"/>
        <v>--</v>
      </c>
      <c r="AM72" s="203" t="str">
        <f t="shared" si="140"/>
        <v>--</v>
      </c>
      <c r="AN72" s="203">
        <f t="shared" si="80"/>
        <v>3200</v>
      </c>
      <c r="AO72" s="203" t="str">
        <f t="shared" si="141"/>
        <v>--</v>
      </c>
      <c r="AP72" s="203">
        <f t="shared" si="142"/>
        <v>6400</v>
      </c>
      <c r="AQ72" s="203" t="str">
        <f t="shared" si="143"/>
        <v>--</v>
      </c>
      <c r="AR72" s="1262" t="str">
        <f t="shared" si="144"/>
        <v>--</v>
      </c>
      <c r="AS72" s="203">
        <f t="shared" si="81"/>
        <v>1200</v>
      </c>
      <c r="AT72" s="193" t="str">
        <f t="shared" si="82"/>
        <v>10% US EPA SW Acute LOEL</v>
      </c>
      <c r="AU72" s="203" t="str">
        <f t="shared" si="145"/>
        <v>--</v>
      </c>
      <c r="AV72" s="203" t="str">
        <f t="shared" si="146"/>
        <v>--</v>
      </c>
      <c r="AW72" s="2047">
        <f t="shared" si="147"/>
        <v>12000</v>
      </c>
      <c r="AX72" s="2054" t="str">
        <f t="shared" si="148"/>
        <v>--</v>
      </c>
      <c r="AZ72" s="22"/>
      <c r="BA72" s="350"/>
      <c r="BB72" s="27">
        <f t="shared" si="149"/>
        <v>2200</v>
      </c>
      <c r="BC72" s="351" t="str">
        <f t="shared" si="150"/>
        <v>USDOE FW Chronic PRG</v>
      </c>
      <c r="BD72" s="27">
        <f t="shared" si="151"/>
        <v>3200</v>
      </c>
      <c r="BE72" s="351" t="str">
        <f t="shared" si="152"/>
        <v>50% US EPA SW Chronic LOEL</v>
      </c>
      <c r="BF72" s="350"/>
      <c r="BG72" s="350"/>
      <c r="BH72" s="350"/>
      <c r="BI72" s="350"/>
      <c r="BJ72" s="350"/>
      <c r="BK72" s="350"/>
      <c r="BL72" s="1304"/>
      <c r="BM72" s="350"/>
      <c r="BN72" s="350"/>
      <c r="BO72" s="350"/>
      <c r="BP72" s="35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row>
    <row r="73" spans="1:142" ht="12.95" customHeight="1">
      <c r="A73" s="897" t="s">
        <v>219</v>
      </c>
      <c r="B73" s="432" t="s">
        <v>220</v>
      </c>
      <c r="C73" s="205">
        <f t="shared" si="153"/>
        <v>14000</v>
      </c>
      <c r="D73" s="207" t="str">
        <f t="shared" si="154"/>
        <v>Freshwater Goal</v>
      </c>
      <c r="E73" s="1637" t="str">
        <f t="shared" si="161"/>
        <v>--</v>
      </c>
      <c r="F73" s="187" t="str">
        <f t="shared" si="155"/>
        <v>--</v>
      </c>
      <c r="G73" s="1326" t="str">
        <f t="shared" si="121"/>
        <v>--</v>
      </c>
      <c r="H73" s="1327" t="str">
        <f t="shared" si="122"/>
        <v>--</v>
      </c>
      <c r="I73" s="1359" t="str">
        <f t="shared" si="123"/>
        <v>--</v>
      </c>
      <c r="J73" s="1379">
        <f t="shared" si="156"/>
        <v>14000</v>
      </c>
      <c r="K73" s="1361" t="str">
        <f t="shared" si="157"/>
        <v>Freshwater Exposure</v>
      </c>
      <c r="L73" s="209">
        <f t="shared" si="72"/>
        <v>14000</v>
      </c>
      <c r="M73" s="1371" t="str">
        <f t="shared" si="124"/>
        <v>USDOE FW Chronic PRG</v>
      </c>
      <c r="N73" s="216">
        <f t="shared" si="73"/>
        <v>14000</v>
      </c>
      <c r="O73" s="203" t="str">
        <f t="shared" si="125"/>
        <v>--</v>
      </c>
      <c r="P73" s="203">
        <f t="shared" si="74"/>
        <v>14000</v>
      </c>
      <c r="Q73" s="203" t="str">
        <f t="shared" si="126"/>
        <v>--</v>
      </c>
      <c r="R73" s="203" t="str">
        <f t="shared" si="127"/>
        <v>--</v>
      </c>
      <c r="S73" s="203" t="str">
        <f t="shared" si="75"/>
        <v>--</v>
      </c>
      <c r="T73" s="203" t="str">
        <f t="shared" si="128"/>
        <v>--</v>
      </c>
      <c r="U73" s="203" t="str">
        <f t="shared" si="129"/>
        <v>--</v>
      </c>
      <c r="V73" s="203">
        <f t="shared" si="130"/>
        <v>14000</v>
      </c>
      <c r="W73" s="193" t="str">
        <f t="shared" si="131"/>
        <v>USDOE FW Chronic PRG</v>
      </c>
      <c r="X73" s="203">
        <f t="shared" si="76"/>
        <v>1400</v>
      </c>
      <c r="Y73" s="193" t="str">
        <f t="shared" si="77"/>
        <v>10% US EPA FW CMC</v>
      </c>
      <c r="Z73" s="203" t="str">
        <f t="shared" si="132"/>
        <v>--</v>
      </c>
      <c r="AA73" s="203">
        <f t="shared" si="133"/>
        <v>14000</v>
      </c>
      <c r="AB73" s="1368" t="str">
        <f t="shared" si="134"/>
        <v>--</v>
      </c>
      <c r="AC73" s="1356" t="str">
        <f t="shared" si="158"/>
        <v>--</v>
      </c>
      <c r="AD73" s="1377" t="str">
        <f t="shared" si="159"/>
        <v>--</v>
      </c>
      <c r="AE73" s="1353" t="str">
        <f t="shared" si="135"/>
        <v>--</v>
      </c>
      <c r="AF73" s="1364" t="str">
        <f t="shared" si="136"/>
        <v>--</v>
      </c>
      <c r="AG73" s="216" t="str">
        <f t="shared" si="78"/>
        <v>--</v>
      </c>
      <c r="AH73" s="203" t="str">
        <f t="shared" si="160"/>
        <v>--</v>
      </c>
      <c r="AI73" s="203" t="str">
        <f t="shared" si="137"/>
        <v>--</v>
      </c>
      <c r="AJ73" s="203" t="str">
        <f t="shared" si="138"/>
        <v>--</v>
      </c>
      <c r="AK73" s="203" t="str">
        <f t="shared" si="79"/>
        <v>--</v>
      </c>
      <c r="AL73" s="203" t="str">
        <f t="shared" si="139"/>
        <v>--</v>
      </c>
      <c r="AM73" s="203" t="str">
        <f t="shared" si="140"/>
        <v>--</v>
      </c>
      <c r="AN73" s="203" t="str">
        <f t="shared" si="80"/>
        <v>--</v>
      </c>
      <c r="AO73" s="203" t="str">
        <f t="shared" si="141"/>
        <v>--</v>
      </c>
      <c r="AP73" s="203" t="str">
        <f t="shared" si="142"/>
        <v>--</v>
      </c>
      <c r="AQ73" s="203" t="str">
        <f t="shared" si="143"/>
        <v>--</v>
      </c>
      <c r="AR73" s="1262" t="str">
        <f t="shared" si="144"/>
        <v>--</v>
      </c>
      <c r="AS73" s="203" t="str">
        <f t="shared" si="81"/>
        <v>--</v>
      </c>
      <c r="AT73" s="193" t="str">
        <f t="shared" si="82"/>
        <v>--</v>
      </c>
      <c r="AU73" s="203" t="str">
        <f t="shared" si="145"/>
        <v>--</v>
      </c>
      <c r="AV73" s="203" t="str">
        <f t="shared" si="146"/>
        <v>--</v>
      </c>
      <c r="AW73" s="2047" t="str">
        <f t="shared" si="147"/>
        <v>--</v>
      </c>
      <c r="AX73" s="2054" t="str">
        <f t="shared" si="148"/>
        <v>--</v>
      </c>
      <c r="AZ73" s="22"/>
      <c r="BA73" s="350"/>
      <c r="BB73" s="27">
        <f t="shared" si="149"/>
        <v>14000</v>
      </c>
      <c r="BC73" s="351" t="str">
        <f t="shared" si="150"/>
        <v>USDOE FW Chronic PRG</v>
      </c>
      <c r="BD73" s="27" t="str">
        <f t="shared" si="151"/>
        <v>--</v>
      </c>
      <c r="BE73" s="351" t="str">
        <f t="shared" si="152"/>
        <v>--</v>
      </c>
      <c r="BF73" s="350"/>
      <c r="BG73" s="350"/>
      <c r="BH73" s="350"/>
      <c r="BI73" s="350"/>
      <c r="BJ73" s="350"/>
      <c r="BK73" s="350"/>
      <c r="BL73" s="1304"/>
      <c r="BM73" s="350"/>
      <c r="BN73" s="350"/>
      <c r="BO73" s="350"/>
      <c r="BP73" s="35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row>
    <row r="74" spans="1:142" ht="12.95" customHeight="1">
      <c r="A74" s="897" t="s">
        <v>221</v>
      </c>
      <c r="B74" s="432" t="s">
        <v>222</v>
      </c>
      <c r="C74" s="205">
        <f t="shared" si="153"/>
        <v>170</v>
      </c>
      <c r="D74" s="207" t="str">
        <f t="shared" si="154"/>
        <v>Freshwater Goal</v>
      </c>
      <c r="E74" s="1637" t="str">
        <f t="shared" si="161"/>
        <v>--</v>
      </c>
      <c r="F74" s="187" t="str">
        <f t="shared" si="155"/>
        <v>--</v>
      </c>
      <c r="G74" s="1326" t="str">
        <f t="shared" si="121"/>
        <v>--</v>
      </c>
      <c r="H74" s="1327" t="str">
        <f t="shared" si="122"/>
        <v>--</v>
      </c>
      <c r="I74" s="1359" t="str">
        <f t="shared" si="123"/>
        <v>--</v>
      </c>
      <c r="J74" s="1379">
        <f t="shared" si="156"/>
        <v>170</v>
      </c>
      <c r="K74" s="1361" t="str">
        <f t="shared" si="157"/>
        <v>Freshwater Exposure</v>
      </c>
      <c r="L74" s="209">
        <f t="shared" si="72"/>
        <v>170</v>
      </c>
      <c r="M74" s="1371" t="str">
        <f t="shared" si="124"/>
        <v>USDOE FW Chronic PRG</v>
      </c>
      <c r="N74" s="216">
        <f t="shared" si="73"/>
        <v>170</v>
      </c>
      <c r="O74" s="203" t="str">
        <f t="shared" si="125"/>
        <v>--</v>
      </c>
      <c r="P74" s="203">
        <f t="shared" si="74"/>
        <v>170</v>
      </c>
      <c r="Q74" s="203" t="str">
        <f t="shared" si="126"/>
        <v>--</v>
      </c>
      <c r="R74" s="203" t="str">
        <f t="shared" si="127"/>
        <v>--</v>
      </c>
      <c r="S74" s="203" t="str">
        <f t="shared" si="75"/>
        <v>--</v>
      </c>
      <c r="T74" s="203" t="str">
        <f t="shared" si="128"/>
        <v>--</v>
      </c>
      <c r="U74" s="203" t="str">
        <f t="shared" si="129"/>
        <v>--</v>
      </c>
      <c r="V74" s="203">
        <f t="shared" si="130"/>
        <v>170</v>
      </c>
      <c r="W74" s="193" t="str">
        <f t="shared" si="131"/>
        <v>USDOE FW Chronic PRG</v>
      </c>
      <c r="X74" s="203">
        <f t="shared" si="76"/>
        <v>17</v>
      </c>
      <c r="Y74" s="193" t="str">
        <f t="shared" si="77"/>
        <v>10% US EPA FW CMC</v>
      </c>
      <c r="Z74" s="203" t="str">
        <f t="shared" si="132"/>
        <v>--</v>
      </c>
      <c r="AA74" s="203">
        <f t="shared" si="133"/>
        <v>170</v>
      </c>
      <c r="AB74" s="1368" t="str">
        <f t="shared" si="134"/>
        <v>--</v>
      </c>
      <c r="AC74" s="1356" t="str">
        <f t="shared" si="158"/>
        <v>--</v>
      </c>
      <c r="AD74" s="1377" t="str">
        <f t="shared" si="159"/>
        <v>--</v>
      </c>
      <c r="AE74" s="1353" t="str">
        <f t="shared" si="135"/>
        <v>--</v>
      </c>
      <c r="AF74" s="1364" t="str">
        <f t="shared" si="136"/>
        <v>--</v>
      </c>
      <c r="AG74" s="216" t="str">
        <f t="shared" si="78"/>
        <v>--</v>
      </c>
      <c r="AH74" s="203" t="str">
        <f t="shared" si="160"/>
        <v>--</v>
      </c>
      <c r="AI74" s="203" t="str">
        <f t="shared" si="137"/>
        <v>--</v>
      </c>
      <c r="AJ74" s="203" t="str">
        <f t="shared" si="138"/>
        <v>--</v>
      </c>
      <c r="AK74" s="203" t="str">
        <f t="shared" si="79"/>
        <v>--</v>
      </c>
      <c r="AL74" s="203" t="str">
        <f t="shared" si="139"/>
        <v>--</v>
      </c>
      <c r="AM74" s="203" t="str">
        <f t="shared" si="140"/>
        <v>--</v>
      </c>
      <c r="AN74" s="203" t="str">
        <f t="shared" si="80"/>
        <v>--</v>
      </c>
      <c r="AO74" s="203" t="str">
        <f t="shared" si="141"/>
        <v>--</v>
      </c>
      <c r="AP74" s="203" t="str">
        <f t="shared" si="142"/>
        <v>--</v>
      </c>
      <c r="AQ74" s="203" t="str">
        <f t="shared" si="143"/>
        <v>--</v>
      </c>
      <c r="AR74" s="1262" t="str">
        <f t="shared" si="144"/>
        <v>--</v>
      </c>
      <c r="AS74" s="203" t="str">
        <f t="shared" si="81"/>
        <v>--</v>
      </c>
      <c r="AT74" s="193" t="str">
        <f t="shared" si="82"/>
        <v>--</v>
      </c>
      <c r="AU74" s="203" t="str">
        <f t="shared" si="145"/>
        <v>--</v>
      </c>
      <c r="AV74" s="203" t="str">
        <f t="shared" si="146"/>
        <v>--</v>
      </c>
      <c r="AW74" s="2047" t="str">
        <f t="shared" si="147"/>
        <v>--</v>
      </c>
      <c r="AX74" s="2054" t="str">
        <f t="shared" si="148"/>
        <v>--</v>
      </c>
      <c r="AZ74" s="22"/>
      <c r="BA74" s="350"/>
      <c r="BB74" s="27">
        <f t="shared" si="149"/>
        <v>170</v>
      </c>
      <c r="BC74" s="351" t="str">
        <f t="shared" si="150"/>
        <v>USDOE FW Chronic PRG</v>
      </c>
      <c r="BD74" s="27" t="str">
        <f t="shared" si="151"/>
        <v>--</v>
      </c>
      <c r="BE74" s="351" t="str">
        <f t="shared" si="152"/>
        <v>--</v>
      </c>
      <c r="BF74" s="350"/>
      <c r="BG74" s="350"/>
      <c r="BH74" s="350"/>
      <c r="BI74" s="350"/>
      <c r="BJ74" s="350"/>
      <c r="BK74" s="350"/>
      <c r="BL74" s="1311"/>
      <c r="BM74" s="350"/>
      <c r="BN74" s="350"/>
      <c r="BO74" s="350"/>
      <c r="BP74" s="35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row>
    <row r="75" spans="1:142" ht="12.95" customHeight="1">
      <c r="A75" s="897" t="s">
        <v>223</v>
      </c>
      <c r="B75" s="432" t="s">
        <v>224</v>
      </c>
      <c r="C75" s="205">
        <f t="shared" si="153"/>
        <v>3.0000000000000001E-3</v>
      </c>
      <c r="D75" s="207" t="str">
        <f t="shared" si="154"/>
        <v>Freshwater Goal</v>
      </c>
      <c r="E75" s="1637" t="str">
        <f t="shared" si="161"/>
        <v>--</v>
      </c>
      <c r="F75" s="187" t="str">
        <f t="shared" si="155"/>
        <v>--</v>
      </c>
      <c r="G75" s="1326" t="str">
        <f t="shared" si="121"/>
        <v>--</v>
      </c>
      <c r="H75" s="1327" t="str">
        <f t="shared" si="122"/>
        <v>--</v>
      </c>
      <c r="I75" s="1359" t="str">
        <f t="shared" si="123"/>
        <v>--</v>
      </c>
      <c r="J75" s="1379">
        <f t="shared" si="156"/>
        <v>3.0000000000000001E-3</v>
      </c>
      <c r="K75" s="1361" t="str">
        <f t="shared" si="157"/>
        <v>Freshwater Exposure</v>
      </c>
      <c r="L75" s="209">
        <f t="shared" si="72"/>
        <v>3.0000000000000001E-3</v>
      </c>
      <c r="M75" s="1371" t="str">
        <f t="shared" si="124"/>
        <v>US EPA Ecotox FW Chronic</v>
      </c>
      <c r="N75" s="216">
        <f t="shared" si="73"/>
        <v>3.0000000000000001E-3</v>
      </c>
      <c r="O75" s="203" t="str">
        <f t="shared" si="125"/>
        <v>--</v>
      </c>
      <c r="P75" s="203">
        <f t="shared" si="74"/>
        <v>3.0000000000000001E-3</v>
      </c>
      <c r="Q75" s="203" t="str">
        <f t="shared" si="126"/>
        <v>--</v>
      </c>
      <c r="R75" s="203" t="str">
        <f t="shared" si="127"/>
        <v>--</v>
      </c>
      <c r="S75" s="203">
        <f t="shared" si="75"/>
        <v>3.0000000000000001E-3</v>
      </c>
      <c r="T75" s="203">
        <f t="shared" si="128"/>
        <v>3.0000000000000001E-3</v>
      </c>
      <c r="U75" s="203" t="str">
        <f t="shared" si="129"/>
        <v>--</v>
      </c>
      <c r="V75" s="203" t="str">
        <f t="shared" si="130"/>
        <v>--</v>
      </c>
      <c r="W75" s="193" t="str">
        <f t="shared" si="131"/>
        <v>--</v>
      </c>
      <c r="X75" s="203" t="str">
        <f t="shared" si="76"/>
        <v>--</v>
      </c>
      <c r="Y75" s="193" t="str">
        <f t="shared" si="77"/>
        <v>--</v>
      </c>
      <c r="Z75" s="203" t="str">
        <f t="shared" si="132"/>
        <v>--</v>
      </c>
      <c r="AA75" s="203" t="str">
        <f t="shared" si="133"/>
        <v>--</v>
      </c>
      <c r="AB75" s="1368" t="str">
        <f t="shared" si="134"/>
        <v>--</v>
      </c>
      <c r="AC75" s="1356" t="str">
        <f t="shared" si="158"/>
        <v>--</v>
      </c>
      <c r="AD75" s="1377" t="str">
        <f t="shared" si="159"/>
        <v>--</v>
      </c>
      <c r="AE75" s="1353" t="str">
        <f t="shared" si="135"/>
        <v>--</v>
      </c>
      <c r="AF75" s="1364" t="str">
        <f t="shared" si="136"/>
        <v>--</v>
      </c>
      <c r="AG75" s="216" t="str">
        <f t="shared" si="78"/>
        <v>--</v>
      </c>
      <c r="AH75" s="203" t="str">
        <f t="shared" si="160"/>
        <v>--</v>
      </c>
      <c r="AI75" s="203" t="str">
        <f t="shared" si="137"/>
        <v>--</v>
      </c>
      <c r="AJ75" s="203" t="str">
        <f t="shared" si="138"/>
        <v>--</v>
      </c>
      <c r="AK75" s="203" t="str">
        <f t="shared" si="79"/>
        <v>--</v>
      </c>
      <c r="AL75" s="203" t="str">
        <f t="shared" si="139"/>
        <v>--</v>
      </c>
      <c r="AM75" s="203" t="str">
        <f t="shared" si="140"/>
        <v>--</v>
      </c>
      <c r="AN75" s="203" t="str">
        <f t="shared" si="80"/>
        <v>--</v>
      </c>
      <c r="AO75" s="203" t="str">
        <f t="shared" si="141"/>
        <v>--</v>
      </c>
      <c r="AP75" s="203" t="str">
        <f t="shared" si="142"/>
        <v>--</v>
      </c>
      <c r="AQ75" s="203" t="str">
        <f t="shared" si="143"/>
        <v>--</v>
      </c>
      <c r="AR75" s="1262" t="str">
        <f t="shared" si="144"/>
        <v>--</v>
      </c>
      <c r="AS75" s="203" t="str">
        <f t="shared" si="81"/>
        <v>--</v>
      </c>
      <c r="AT75" s="193" t="str">
        <f t="shared" si="82"/>
        <v>--</v>
      </c>
      <c r="AU75" s="203" t="str">
        <f t="shared" si="145"/>
        <v>--</v>
      </c>
      <c r="AV75" s="203" t="str">
        <f t="shared" si="146"/>
        <v>--</v>
      </c>
      <c r="AW75" s="2047" t="str">
        <f t="shared" si="147"/>
        <v>--</v>
      </c>
      <c r="AX75" s="2054" t="str">
        <f t="shared" si="148"/>
        <v>--</v>
      </c>
      <c r="AZ75" s="22"/>
      <c r="BA75" s="350"/>
      <c r="BB75" s="27">
        <f t="shared" si="149"/>
        <v>3.0000000000000001E-3</v>
      </c>
      <c r="BC75" s="351" t="str">
        <f t="shared" si="150"/>
        <v>US EPA Ecotox FW Chronic</v>
      </c>
      <c r="BD75" s="27" t="str">
        <f t="shared" si="151"/>
        <v>--</v>
      </c>
      <c r="BE75" s="351" t="str">
        <f t="shared" si="152"/>
        <v>--</v>
      </c>
      <c r="BF75" s="350"/>
      <c r="BG75" s="350"/>
      <c r="BH75" s="350"/>
      <c r="BI75" s="350"/>
      <c r="BJ75" s="350"/>
      <c r="BK75" s="350"/>
      <c r="BL75" s="1311"/>
      <c r="BM75" s="350"/>
      <c r="BN75" s="350"/>
      <c r="BO75" s="350"/>
      <c r="BP75" s="35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row>
    <row r="76" spans="1:142" ht="12.95" customHeight="1">
      <c r="A76" s="897" t="s">
        <v>225</v>
      </c>
      <c r="B76" s="432" t="s">
        <v>226</v>
      </c>
      <c r="C76" s="205">
        <f t="shared" si="153"/>
        <v>2.1</v>
      </c>
      <c r="D76" s="207" t="str">
        <f t="shared" si="154"/>
        <v>Freshwater Goal</v>
      </c>
      <c r="E76" s="1637" t="str">
        <f t="shared" si="161"/>
        <v>--</v>
      </c>
      <c r="F76" s="187" t="str">
        <f t="shared" si="155"/>
        <v>--</v>
      </c>
      <c r="G76" s="1326" t="str">
        <f t="shared" si="121"/>
        <v>--</v>
      </c>
      <c r="H76" s="1327" t="str">
        <f t="shared" si="122"/>
        <v>--</v>
      </c>
      <c r="I76" s="1359" t="str">
        <f t="shared" si="123"/>
        <v>--</v>
      </c>
      <c r="J76" s="1379">
        <f t="shared" si="156"/>
        <v>2.1</v>
      </c>
      <c r="K76" s="1361" t="str">
        <f t="shared" si="157"/>
        <v>Freshwater Exposure</v>
      </c>
      <c r="L76" s="209">
        <f t="shared" si="72"/>
        <v>2.1</v>
      </c>
      <c r="M76" s="1371" t="str">
        <f t="shared" si="124"/>
        <v>USDOE FW Chronic PRG</v>
      </c>
      <c r="N76" s="216">
        <f t="shared" si="73"/>
        <v>2.1</v>
      </c>
      <c r="O76" s="203" t="str">
        <f t="shared" si="125"/>
        <v>--</v>
      </c>
      <c r="P76" s="203">
        <f t="shared" si="74"/>
        <v>2.1</v>
      </c>
      <c r="Q76" s="203" t="str">
        <f t="shared" si="126"/>
        <v>--</v>
      </c>
      <c r="R76" s="203" t="str">
        <f t="shared" si="127"/>
        <v>--</v>
      </c>
      <c r="S76" s="203" t="str">
        <f t="shared" si="75"/>
        <v>--</v>
      </c>
      <c r="T76" s="203" t="str">
        <f t="shared" si="128"/>
        <v>--</v>
      </c>
      <c r="U76" s="203" t="str">
        <f t="shared" si="129"/>
        <v>--</v>
      </c>
      <c r="V76" s="203">
        <f t="shared" si="130"/>
        <v>2.1</v>
      </c>
      <c r="W76" s="193" t="str">
        <f t="shared" si="131"/>
        <v>USDOE FW Chronic PRG</v>
      </c>
      <c r="X76" s="203">
        <f t="shared" si="76"/>
        <v>0.21000000000000002</v>
      </c>
      <c r="Y76" s="193" t="str">
        <f t="shared" si="77"/>
        <v>10% US EPA FW CMC</v>
      </c>
      <c r="Z76" s="203" t="str">
        <f t="shared" si="132"/>
        <v>--</v>
      </c>
      <c r="AA76" s="203">
        <f t="shared" si="133"/>
        <v>2.1</v>
      </c>
      <c r="AB76" s="1368" t="str">
        <f t="shared" si="134"/>
        <v>--</v>
      </c>
      <c r="AC76" s="1356">
        <f t="shared" si="158"/>
        <v>30</v>
      </c>
      <c r="AD76" s="1377" t="str">
        <f t="shared" si="159"/>
        <v>Saltwater Exposure</v>
      </c>
      <c r="AE76" s="1353">
        <f t="shared" si="135"/>
        <v>30</v>
      </c>
      <c r="AF76" s="1364" t="str">
        <f t="shared" si="136"/>
        <v>10% US EPA SW Acute LOEL</v>
      </c>
      <c r="AG76" s="216" t="str">
        <f t="shared" si="78"/>
        <v>--</v>
      </c>
      <c r="AH76" s="203" t="str">
        <f t="shared" si="160"/>
        <v>--</v>
      </c>
      <c r="AI76" s="203" t="str">
        <f t="shared" si="137"/>
        <v>--</v>
      </c>
      <c r="AJ76" s="203" t="str">
        <f t="shared" si="138"/>
        <v>--</v>
      </c>
      <c r="AK76" s="203" t="str">
        <f t="shared" si="79"/>
        <v>--</v>
      </c>
      <c r="AL76" s="203" t="str">
        <f t="shared" si="139"/>
        <v>--</v>
      </c>
      <c r="AM76" s="203" t="str">
        <f t="shared" si="140"/>
        <v>--</v>
      </c>
      <c r="AN76" s="203" t="str">
        <f t="shared" si="80"/>
        <v>--</v>
      </c>
      <c r="AO76" s="203" t="str">
        <f t="shared" si="141"/>
        <v>--</v>
      </c>
      <c r="AP76" s="203" t="str">
        <f t="shared" si="142"/>
        <v>--</v>
      </c>
      <c r="AQ76" s="203" t="str">
        <f t="shared" si="143"/>
        <v>--</v>
      </c>
      <c r="AR76" s="1262" t="str">
        <f t="shared" si="144"/>
        <v>--</v>
      </c>
      <c r="AS76" s="203">
        <f t="shared" si="81"/>
        <v>30</v>
      </c>
      <c r="AT76" s="193" t="str">
        <f t="shared" si="82"/>
        <v>10% US EPA SW Acute LOEL</v>
      </c>
      <c r="AU76" s="203" t="str">
        <f t="shared" si="145"/>
        <v>--</v>
      </c>
      <c r="AV76" s="203" t="str">
        <f t="shared" si="146"/>
        <v>--</v>
      </c>
      <c r="AW76" s="2047">
        <f t="shared" si="147"/>
        <v>300</v>
      </c>
      <c r="AX76" s="2054" t="str">
        <f t="shared" si="148"/>
        <v>--</v>
      </c>
      <c r="AZ76" s="22"/>
      <c r="BA76" s="350"/>
      <c r="BB76" s="27">
        <f t="shared" si="149"/>
        <v>2.1</v>
      </c>
      <c r="BC76" s="351" t="str">
        <f t="shared" si="150"/>
        <v>USDOE FW Chronic PRG</v>
      </c>
      <c r="BD76" s="27" t="str">
        <f t="shared" si="151"/>
        <v>--</v>
      </c>
      <c r="BE76" s="351" t="str">
        <f t="shared" si="152"/>
        <v>--</v>
      </c>
      <c r="BF76" s="350"/>
      <c r="BG76" s="350"/>
      <c r="BH76" s="350"/>
      <c r="BI76" s="350"/>
      <c r="BJ76" s="350"/>
      <c r="BK76" s="350"/>
      <c r="BL76" s="1311"/>
      <c r="BM76" s="350"/>
      <c r="BN76" s="350"/>
      <c r="BO76" s="350"/>
      <c r="BP76" s="35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row>
    <row r="77" spans="1:142" ht="12.95" customHeight="1">
      <c r="A77" s="897" t="s">
        <v>227</v>
      </c>
      <c r="B77" s="432" t="s">
        <v>228</v>
      </c>
      <c r="C77" s="205">
        <f t="shared" si="153"/>
        <v>8000</v>
      </c>
      <c r="D77" s="207" t="str">
        <f t="shared" si="154"/>
        <v>Saltwater Goal</v>
      </c>
      <c r="E77" s="1637" t="str">
        <f t="shared" si="161"/>
        <v>--</v>
      </c>
      <c r="F77" s="187" t="str">
        <f t="shared" si="155"/>
        <v>--</v>
      </c>
      <c r="G77" s="1326" t="str">
        <f t="shared" si="121"/>
        <v>--</v>
      </c>
      <c r="H77" s="1327" t="str">
        <f t="shared" si="122"/>
        <v>--</v>
      </c>
      <c r="I77" s="1359" t="str">
        <f t="shared" si="123"/>
        <v>--</v>
      </c>
      <c r="J77" s="1379">
        <f t="shared" si="156"/>
        <v>66000</v>
      </c>
      <c r="K77" s="1361" t="str">
        <f t="shared" si="157"/>
        <v>Freshwater Exposure</v>
      </c>
      <c r="L77" s="209">
        <f t="shared" si="72"/>
        <v>66000</v>
      </c>
      <c r="M77" s="1371" t="str">
        <f t="shared" si="124"/>
        <v>CTR FW CCC</v>
      </c>
      <c r="N77" s="216">
        <f t="shared" si="73"/>
        <v>66000</v>
      </c>
      <c r="O77" s="203" t="str">
        <f t="shared" si="125"/>
        <v>--</v>
      </c>
      <c r="P77" s="203">
        <f t="shared" si="74"/>
        <v>66000</v>
      </c>
      <c r="Q77" s="203">
        <f t="shared" si="126"/>
        <v>66000</v>
      </c>
      <c r="R77" s="203" t="str">
        <f t="shared" si="127"/>
        <v>--</v>
      </c>
      <c r="S77" s="203" t="str">
        <f t="shared" si="75"/>
        <v>--</v>
      </c>
      <c r="T77" s="203" t="str">
        <f t="shared" si="128"/>
        <v>--</v>
      </c>
      <c r="U77" s="203" t="str">
        <f t="shared" si="129"/>
        <v>--</v>
      </c>
      <c r="V77" s="203" t="str">
        <f t="shared" si="130"/>
        <v>--</v>
      </c>
      <c r="W77" s="193" t="str">
        <f t="shared" si="131"/>
        <v>--</v>
      </c>
      <c r="X77" s="203">
        <f t="shared" si="76"/>
        <v>11500</v>
      </c>
      <c r="Y77" s="193" t="str">
        <f t="shared" si="77"/>
        <v>10% CTR FW CMC</v>
      </c>
      <c r="Z77" s="203">
        <f t="shared" si="132"/>
        <v>115000</v>
      </c>
      <c r="AA77" s="203" t="str">
        <f t="shared" si="133"/>
        <v>--</v>
      </c>
      <c r="AB77" s="1368" t="str">
        <f t="shared" si="134"/>
        <v>--</v>
      </c>
      <c r="AC77" s="1356">
        <f t="shared" si="158"/>
        <v>8000</v>
      </c>
      <c r="AD77" s="1377" t="str">
        <f t="shared" si="159"/>
        <v>Saltwater Exposure</v>
      </c>
      <c r="AE77" s="1353">
        <f t="shared" si="135"/>
        <v>8000</v>
      </c>
      <c r="AF77" s="1364" t="str">
        <f t="shared" si="136"/>
        <v>CTR SW CCC</v>
      </c>
      <c r="AG77" s="216">
        <f t="shared" si="78"/>
        <v>8000</v>
      </c>
      <c r="AH77" s="203" t="str">
        <f t="shared" si="160"/>
        <v>--</v>
      </c>
      <c r="AI77" s="203" t="str">
        <f t="shared" si="137"/>
        <v>--</v>
      </c>
      <c r="AJ77" s="203" t="str">
        <f t="shared" si="138"/>
        <v>--</v>
      </c>
      <c r="AK77" s="203">
        <f t="shared" si="79"/>
        <v>8000</v>
      </c>
      <c r="AL77" s="203">
        <f t="shared" si="139"/>
        <v>8000</v>
      </c>
      <c r="AM77" s="203" t="str">
        <f t="shared" si="140"/>
        <v>--</v>
      </c>
      <c r="AN77" s="203" t="str">
        <f t="shared" si="80"/>
        <v>--</v>
      </c>
      <c r="AO77" s="203" t="str">
        <f t="shared" si="141"/>
        <v>--</v>
      </c>
      <c r="AP77" s="203" t="str">
        <f t="shared" si="142"/>
        <v>--</v>
      </c>
      <c r="AQ77" s="203" t="str">
        <f t="shared" si="143"/>
        <v>--</v>
      </c>
      <c r="AR77" s="1262" t="str">
        <f t="shared" si="144"/>
        <v>--</v>
      </c>
      <c r="AS77" s="203">
        <f t="shared" si="81"/>
        <v>1400</v>
      </c>
      <c r="AT77" s="193" t="str">
        <f t="shared" si="82"/>
        <v>10% CTR SW CMC</v>
      </c>
      <c r="AU77" s="203">
        <f t="shared" si="145"/>
        <v>14000</v>
      </c>
      <c r="AV77" s="203" t="str">
        <f t="shared" si="146"/>
        <v>--</v>
      </c>
      <c r="AW77" s="2047" t="str">
        <f t="shared" si="147"/>
        <v>--</v>
      </c>
      <c r="AX77" s="2054" t="str">
        <f t="shared" si="148"/>
        <v>--</v>
      </c>
      <c r="AZ77" s="22"/>
      <c r="BA77" s="350"/>
      <c r="BB77" s="27">
        <f t="shared" si="149"/>
        <v>66000</v>
      </c>
      <c r="BC77" s="351" t="str">
        <f t="shared" si="150"/>
        <v>CTR FW CCC</v>
      </c>
      <c r="BD77" s="27">
        <f t="shared" si="151"/>
        <v>8000</v>
      </c>
      <c r="BE77" s="351" t="str">
        <f t="shared" si="152"/>
        <v>CTR SW CCC</v>
      </c>
      <c r="BF77" s="350"/>
      <c r="BG77" s="350"/>
      <c r="BH77" s="350"/>
      <c r="BI77" s="350"/>
      <c r="BJ77" s="350"/>
      <c r="BK77" s="350"/>
      <c r="BL77" s="1311"/>
      <c r="BM77" s="350"/>
      <c r="BN77" s="350"/>
      <c r="BO77" s="350"/>
      <c r="BP77" s="35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row>
    <row r="78" spans="1:142" ht="12.95" customHeight="1">
      <c r="A78" s="897" t="s">
        <v>229</v>
      </c>
      <c r="B78" s="432" t="s">
        <v>230</v>
      </c>
      <c r="C78" s="205">
        <f t="shared" si="153"/>
        <v>240</v>
      </c>
      <c r="D78" s="207" t="str">
        <f t="shared" si="154"/>
        <v>Freshwater Goal</v>
      </c>
      <c r="E78" s="1637" t="str">
        <f t="shared" si="161"/>
        <v>--</v>
      </c>
      <c r="F78" s="187" t="str">
        <f t="shared" si="155"/>
        <v>--</v>
      </c>
      <c r="G78" s="1326" t="str">
        <f t="shared" si="121"/>
        <v>--</v>
      </c>
      <c r="H78" s="1327" t="str">
        <f t="shared" si="122"/>
        <v>--</v>
      </c>
      <c r="I78" s="1359" t="str">
        <f t="shared" si="123"/>
        <v>--</v>
      </c>
      <c r="J78" s="1379">
        <f t="shared" si="156"/>
        <v>240</v>
      </c>
      <c r="K78" s="1361" t="str">
        <f t="shared" si="157"/>
        <v>Freshwater Exposure</v>
      </c>
      <c r="L78" s="209">
        <f t="shared" si="72"/>
        <v>240</v>
      </c>
      <c r="M78" s="1371" t="str">
        <f t="shared" si="124"/>
        <v>US EPA Ecotox FW Chronic</v>
      </c>
      <c r="N78" s="216">
        <f t="shared" si="73"/>
        <v>240</v>
      </c>
      <c r="O78" s="203" t="str">
        <f t="shared" si="125"/>
        <v>--</v>
      </c>
      <c r="P78" s="203">
        <f t="shared" si="74"/>
        <v>240</v>
      </c>
      <c r="Q78" s="203" t="str">
        <f t="shared" si="126"/>
        <v>--</v>
      </c>
      <c r="R78" s="203" t="str">
        <f t="shared" si="127"/>
        <v>--</v>
      </c>
      <c r="S78" s="203">
        <f t="shared" si="75"/>
        <v>240</v>
      </c>
      <c r="T78" s="203">
        <f t="shared" si="128"/>
        <v>240</v>
      </c>
      <c r="U78" s="203" t="str">
        <f t="shared" si="129"/>
        <v>--</v>
      </c>
      <c r="V78" s="203" t="str">
        <f t="shared" si="130"/>
        <v>--</v>
      </c>
      <c r="W78" s="193" t="str">
        <f t="shared" si="131"/>
        <v>--</v>
      </c>
      <c r="X78" s="203" t="str">
        <f t="shared" si="76"/>
        <v>--</v>
      </c>
      <c r="Y78" s="193" t="str">
        <f t="shared" si="77"/>
        <v>--</v>
      </c>
      <c r="Z78" s="203" t="str">
        <f t="shared" si="132"/>
        <v>--</v>
      </c>
      <c r="AA78" s="203" t="str">
        <f t="shared" si="133"/>
        <v>--</v>
      </c>
      <c r="AB78" s="1368" t="str">
        <f t="shared" si="134"/>
        <v>--</v>
      </c>
      <c r="AC78" s="1356" t="str">
        <f t="shared" si="158"/>
        <v>--</v>
      </c>
      <c r="AD78" s="1377" t="str">
        <f t="shared" si="159"/>
        <v>--</v>
      </c>
      <c r="AE78" s="1353" t="str">
        <f t="shared" si="135"/>
        <v>--</v>
      </c>
      <c r="AF78" s="1364" t="str">
        <f t="shared" si="136"/>
        <v>--</v>
      </c>
      <c r="AG78" s="216" t="str">
        <f t="shared" si="78"/>
        <v>--</v>
      </c>
      <c r="AH78" s="203" t="str">
        <f t="shared" si="160"/>
        <v>--</v>
      </c>
      <c r="AI78" s="203" t="str">
        <f t="shared" si="137"/>
        <v>--</v>
      </c>
      <c r="AJ78" s="203" t="str">
        <f t="shared" si="138"/>
        <v>--</v>
      </c>
      <c r="AK78" s="203" t="str">
        <f t="shared" si="79"/>
        <v>--</v>
      </c>
      <c r="AL78" s="203" t="str">
        <f t="shared" si="139"/>
        <v>--</v>
      </c>
      <c r="AM78" s="203" t="str">
        <f t="shared" si="140"/>
        <v>--</v>
      </c>
      <c r="AN78" s="203" t="str">
        <f t="shared" si="80"/>
        <v>--</v>
      </c>
      <c r="AO78" s="203" t="str">
        <f t="shared" si="141"/>
        <v>--</v>
      </c>
      <c r="AP78" s="203" t="str">
        <f t="shared" si="142"/>
        <v>--</v>
      </c>
      <c r="AQ78" s="203" t="str">
        <f t="shared" si="143"/>
        <v>--</v>
      </c>
      <c r="AR78" s="1262" t="str">
        <f t="shared" si="144"/>
        <v>--</v>
      </c>
      <c r="AS78" s="203" t="str">
        <f t="shared" si="81"/>
        <v>--</v>
      </c>
      <c r="AT78" s="193" t="str">
        <f t="shared" si="82"/>
        <v>--</v>
      </c>
      <c r="AU78" s="203" t="str">
        <f t="shared" si="145"/>
        <v>--</v>
      </c>
      <c r="AV78" s="203" t="str">
        <f t="shared" si="146"/>
        <v>--</v>
      </c>
      <c r="AW78" s="2047" t="str">
        <f t="shared" si="147"/>
        <v>--</v>
      </c>
      <c r="AX78" s="2054" t="str">
        <f t="shared" si="148"/>
        <v>--</v>
      </c>
      <c r="AZ78" s="22"/>
      <c r="BA78" s="350"/>
      <c r="BB78" s="27">
        <f t="shared" si="149"/>
        <v>240</v>
      </c>
      <c r="BC78" s="351" t="str">
        <f t="shared" si="150"/>
        <v>US EPA Ecotox FW Chronic</v>
      </c>
      <c r="BD78" s="27" t="str">
        <f t="shared" si="151"/>
        <v>--</v>
      </c>
      <c r="BE78" s="351" t="str">
        <f t="shared" si="152"/>
        <v>--</v>
      </c>
      <c r="BF78" s="350"/>
      <c r="BG78" s="350"/>
      <c r="BH78" s="350"/>
      <c r="BI78" s="350"/>
      <c r="BJ78" s="350"/>
      <c r="BK78" s="350"/>
      <c r="BL78" s="1311"/>
      <c r="BM78" s="350"/>
      <c r="BN78" s="350"/>
      <c r="BO78" s="350"/>
      <c r="BP78" s="35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row>
    <row r="79" spans="1:142" ht="12.95" customHeight="1">
      <c r="A79" s="897" t="s">
        <v>231</v>
      </c>
      <c r="B79" s="432" t="s">
        <v>232</v>
      </c>
      <c r="C79" s="205">
        <f t="shared" si="153"/>
        <v>5</v>
      </c>
      <c r="D79" s="207" t="str">
        <f t="shared" si="154"/>
        <v>Saltwater Goal</v>
      </c>
      <c r="E79" s="1637">
        <f t="shared" si="161"/>
        <v>4600</v>
      </c>
      <c r="F79" s="187" t="str">
        <f t="shared" si="155"/>
        <v>Cal Tox Rule</v>
      </c>
      <c r="G79" s="1326">
        <f t="shared" si="121"/>
        <v>4600</v>
      </c>
      <c r="H79" s="1327" t="str">
        <f t="shared" si="122"/>
        <v>--</v>
      </c>
      <c r="I79" s="1359">
        <f t="shared" si="123"/>
        <v>4600</v>
      </c>
      <c r="J79" s="1379">
        <f t="shared" si="156"/>
        <v>52</v>
      </c>
      <c r="K79" s="1361" t="str">
        <f t="shared" si="157"/>
        <v>Freshwater Exposure</v>
      </c>
      <c r="L79" s="209">
        <f t="shared" si="72"/>
        <v>52</v>
      </c>
      <c r="M79" s="1371" t="str">
        <f t="shared" si="124"/>
        <v>CTR FW CCC</v>
      </c>
      <c r="N79" s="216">
        <f t="shared" si="73"/>
        <v>52</v>
      </c>
      <c r="O79" s="203">
        <f t="shared" si="125"/>
        <v>52</v>
      </c>
      <c r="P79" s="203">
        <f t="shared" si="74"/>
        <v>52</v>
      </c>
      <c r="Q79" s="203">
        <f t="shared" si="126"/>
        <v>52</v>
      </c>
      <c r="R79" s="203">
        <f t="shared" si="127"/>
        <v>52</v>
      </c>
      <c r="S79" s="203">
        <f t="shared" si="75"/>
        <v>160</v>
      </c>
      <c r="T79" s="203">
        <f t="shared" si="128"/>
        <v>160</v>
      </c>
      <c r="U79" s="203" t="str">
        <f t="shared" si="129"/>
        <v>--</v>
      </c>
      <c r="V79" s="203" t="str">
        <f t="shared" si="130"/>
        <v>--</v>
      </c>
      <c r="W79" s="193" t="str">
        <f t="shared" si="131"/>
        <v>--</v>
      </c>
      <c r="X79" s="203">
        <f t="shared" si="76"/>
        <v>47</v>
      </c>
      <c r="Y79" s="193" t="str">
        <f t="shared" si="77"/>
        <v>10% CTR FW CMC</v>
      </c>
      <c r="Z79" s="203">
        <f t="shared" si="132"/>
        <v>470</v>
      </c>
      <c r="AA79" s="203" t="str">
        <f t="shared" si="133"/>
        <v>--</v>
      </c>
      <c r="AB79" s="1368" t="str">
        <f t="shared" si="134"/>
        <v>--</v>
      </c>
      <c r="AC79" s="1356">
        <f t="shared" si="158"/>
        <v>5</v>
      </c>
      <c r="AD79" s="1377" t="str">
        <f t="shared" si="159"/>
        <v>Saltwater Exposure</v>
      </c>
      <c r="AE79" s="1353">
        <f t="shared" si="135"/>
        <v>5</v>
      </c>
      <c r="AF79" s="1364" t="str">
        <f t="shared" si="136"/>
        <v>Basin Plan</v>
      </c>
      <c r="AG79" s="216">
        <f t="shared" si="78"/>
        <v>5</v>
      </c>
      <c r="AH79" s="203">
        <f t="shared" si="160"/>
        <v>5</v>
      </c>
      <c r="AI79" s="203">
        <f t="shared" si="137"/>
        <v>8.1999999999999993</v>
      </c>
      <c r="AJ79" s="203">
        <f t="shared" si="138"/>
        <v>5</v>
      </c>
      <c r="AK79" s="203">
        <f t="shared" si="79"/>
        <v>8.1999999999999993</v>
      </c>
      <c r="AL79" s="203">
        <f t="shared" si="139"/>
        <v>8.1999999999999993</v>
      </c>
      <c r="AM79" s="203">
        <f t="shared" si="140"/>
        <v>8.1999999999999993</v>
      </c>
      <c r="AN79" s="203">
        <f t="shared" si="80"/>
        <v>8.1999999999999993</v>
      </c>
      <c r="AO79" s="203">
        <f t="shared" si="141"/>
        <v>8.1999999999999993</v>
      </c>
      <c r="AP79" s="203" t="str">
        <f t="shared" si="142"/>
        <v>--</v>
      </c>
      <c r="AQ79" s="203" t="str">
        <f t="shared" si="143"/>
        <v>--</v>
      </c>
      <c r="AR79" s="1262" t="str">
        <f t="shared" si="144"/>
        <v>--</v>
      </c>
      <c r="AS79" s="203">
        <f t="shared" si="81"/>
        <v>7.4</v>
      </c>
      <c r="AT79" s="193" t="str">
        <f t="shared" si="82"/>
        <v>10% US EPA SW CMC</v>
      </c>
      <c r="AU79" s="203">
        <f t="shared" si="145"/>
        <v>74</v>
      </c>
      <c r="AV79" s="203">
        <f t="shared" si="146"/>
        <v>74</v>
      </c>
      <c r="AW79" s="2047" t="str">
        <f t="shared" si="147"/>
        <v>--</v>
      </c>
      <c r="AX79" s="2054" t="str">
        <f t="shared" si="148"/>
        <v>--</v>
      </c>
      <c r="AZ79" s="22"/>
      <c r="BA79" s="350"/>
      <c r="BB79" s="27">
        <f t="shared" si="149"/>
        <v>52</v>
      </c>
      <c r="BC79" s="351" t="str">
        <f t="shared" si="150"/>
        <v>CTR FW CCC</v>
      </c>
      <c r="BD79" s="27">
        <f t="shared" si="151"/>
        <v>8.1999999999999993</v>
      </c>
      <c r="BE79" s="351" t="str">
        <f t="shared" si="152"/>
        <v>CTR SW CCC</v>
      </c>
      <c r="BF79" s="350"/>
      <c r="BG79" s="350"/>
      <c r="BH79" s="350"/>
      <c r="BI79" s="350"/>
      <c r="BJ79" s="350"/>
      <c r="BK79" s="350"/>
      <c r="BL79" s="1311"/>
      <c r="BM79" s="350"/>
      <c r="BN79" s="350"/>
      <c r="BO79" s="350"/>
      <c r="BP79" s="35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row>
    <row r="80" spans="1:142" ht="12.95" customHeight="1">
      <c r="A80" s="897" t="s">
        <v>233</v>
      </c>
      <c r="B80" s="432" t="s">
        <v>234</v>
      </c>
      <c r="C80" s="205">
        <f t="shared" si="153"/>
        <v>15</v>
      </c>
      <c r="D80" s="207" t="str">
        <f t="shared" si="154"/>
        <v>Saltwater Goal</v>
      </c>
      <c r="E80" s="1637">
        <f t="shared" si="161"/>
        <v>90</v>
      </c>
      <c r="F80" s="187" t="str">
        <f t="shared" si="155"/>
        <v>National Criteria</v>
      </c>
      <c r="G80" s="1326">
        <f t="shared" si="121"/>
        <v>2700</v>
      </c>
      <c r="H80" s="1327" t="str">
        <f t="shared" si="122"/>
        <v>--</v>
      </c>
      <c r="I80" s="1359">
        <f t="shared" si="123"/>
        <v>90</v>
      </c>
      <c r="J80" s="1379">
        <f t="shared" si="156"/>
        <v>23</v>
      </c>
      <c r="K80" s="1361" t="str">
        <f t="shared" si="157"/>
        <v>Freshwater Exposure</v>
      </c>
      <c r="L80" s="209">
        <f t="shared" si="72"/>
        <v>23</v>
      </c>
      <c r="M80" s="1371" t="str">
        <f t="shared" si="124"/>
        <v>US EPA Ecotox FW Chronic</v>
      </c>
      <c r="N80" s="216">
        <f t="shared" si="73"/>
        <v>23</v>
      </c>
      <c r="O80" s="203" t="str">
        <f t="shared" si="125"/>
        <v>--</v>
      </c>
      <c r="P80" s="203">
        <f t="shared" si="74"/>
        <v>23</v>
      </c>
      <c r="Q80" s="203" t="str">
        <f t="shared" si="126"/>
        <v>--</v>
      </c>
      <c r="R80" s="203" t="str">
        <f t="shared" si="127"/>
        <v>--</v>
      </c>
      <c r="S80" s="203">
        <f t="shared" si="75"/>
        <v>23</v>
      </c>
      <c r="T80" s="203">
        <f t="shared" si="128"/>
        <v>23</v>
      </c>
      <c r="U80" s="203">
        <f t="shared" si="129"/>
        <v>520</v>
      </c>
      <c r="V80" s="203" t="str">
        <f t="shared" si="130"/>
        <v>--</v>
      </c>
      <c r="W80" s="193" t="str">
        <f t="shared" si="131"/>
        <v>--</v>
      </c>
      <c r="X80" s="203">
        <f t="shared" si="76"/>
        <v>170</v>
      </c>
      <c r="Y80" s="193" t="str">
        <f t="shared" si="77"/>
        <v>10% US EPA FW Acute LOEL</v>
      </c>
      <c r="Z80" s="203" t="str">
        <f t="shared" si="132"/>
        <v>--</v>
      </c>
      <c r="AA80" s="203" t="str">
        <f t="shared" si="133"/>
        <v>--</v>
      </c>
      <c r="AB80" s="1368">
        <f t="shared" si="134"/>
        <v>1700</v>
      </c>
      <c r="AC80" s="1356">
        <f t="shared" si="158"/>
        <v>15</v>
      </c>
      <c r="AD80" s="1377" t="str">
        <f t="shared" si="159"/>
        <v>Saltwater Exposure</v>
      </c>
      <c r="AE80" s="1353">
        <f t="shared" si="135"/>
        <v>15</v>
      </c>
      <c r="AF80" s="1364" t="str">
        <f t="shared" si="136"/>
        <v>Basin Plan</v>
      </c>
      <c r="AG80" s="216">
        <f t="shared" si="78"/>
        <v>15</v>
      </c>
      <c r="AH80" s="203">
        <f t="shared" si="160"/>
        <v>15</v>
      </c>
      <c r="AI80" s="203">
        <f t="shared" si="137"/>
        <v>15</v>
      </c>
      <c r="AJ80" s="203" t="str">
        <f t="shared" si="138"/>
        <v>--</v>
      </c>
      <c r="AK80" s="203">
        <f t="shared" si="79"/>
        <v>40</v>
      </c>
      <c r="AL80" s="203" t="str">
        <f t="shared" si="139"/>
        <v>--</v>
      </c>
      <c r="AM80" s="203" t="str">
        <f t="shared" si="140"/>
        <v>--</v>
      </c>
      <c r="AN80" s="203">
        <f t="shared" si="80"/>
        <v>40</v>
      </c>
      <c r="AO80" s="203">
        <f t="shared" si="141"/>
        <v>40</v>
      </c>
      <c r="AP80" s="203">
        <f t="shared" si="142"/>
        <v>710</v>
      </c>
      <c r="AQ80" s="203" t="str">
        <f t="shared" si="143"/>
        <v>--</v>
      </c>
      <c r="AR80" s="1262" t="str">
        <f t="shared" si="144"/>
        <v>--</v>
      </c>
      <c r="AS80" s="203">
        <f t="shared" si="81"/>
        <v>97</v>
      </c>
      <c r="AT80" s="193" t="str">
        <f t="shared" si="82"/>
        <v>10% US EPA SW Acute LOEL</v>
      </c>
      <c r="AU80" s="203" t="str">
        <f t="shared" si="145"/>
        <v>--</v>
      </c>
      <c r="AV80" s="203" t="str">
        <f t="shared" si="146"/>
        <v>--</v>
      </c>
      <c r="AW80" s="2047">
        <f t="shared" si="147"/>
        <v>970</v>
      </c>
      <c r="AX80" s="2054" t="str">
        <f t="shared" si="148"/>
        <v>--</v>
      </c>
      <c r="AZ80" s="22"/>
      <c r="BA80" s="350"/>
      <c r="BB80" s="27">
        <f t="shared" si="149"/>
        <v>23</v>
      </c>
      <c r="BC80" s="351" t="str">
        <f t="shared" si="150"/>
        <v>US EPA Ecotox FW Chronic</v>
      </c>
      <c r="BD80" s="27">
        <f t="shared" si="151"/>
        <v>40</v>
      </c>
      <c r="BE80" s="351" t="str">
        <f t="shared" si="152"/>
        <v>US EPA Ecotox SW Chronic</v>
      </c>
      <c r="BF80" s="350"/>
      <c r="BG80" s="350"/>
      <c r="BH80" s="350"/>
      <c r="BI80" s="350"/>
      <c r="BJ80" s="350"/>
      <c r="BK80" s="350"/>
      <c r="BL80" s="1311"/>
      <c r="BM80" s="350"/>
      <c r="BN80" s="350"/>
      <c r="BO80" s="350"/>
      <c r="BP80" s="35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row>
    <row r="81" spans="1:142" ht="12.95" customHeight="1">
      <c r="A81" s="897" t="s">
        <v>235</v>
      </c>
      <c r="B81" s="432" t="s">
        <v>236</v>
      </c>
      <c r="C81" s="205">
        <f t="shared" si="153"/>
        <v>0.73</v>
      </c>
      <c r="D81" s="207" t="str">
        <f t="shared" si="154"/>
        <v>Freshwater Goal</v>
      </c>
      <c r="E81" s="1637">
        <f t="shared" si="161"/>
        <v>400</v>
      </c>
      <c r="F81" s="187" t="str">
        <f t="shared" si="155"/>
        <v>National Criteria</v>
      </c>
      <c r="G81" s="1326">
        <f t="shared" si="121"/>
        <v>110000</v>
      </c>
      <c r="H81" s="1327" t="str">
        <f t="shared" si="122"/>
        <v>--</v>
      </c>
      <c r="I81" s="1359">
        <f t="shared" si="123"/>
        <v>400</v>
      </c>
      <c r="J81" s="1379">
        <f t="shared" si="156"/>
        <v>0.73</v>
      </c>
      <c r="K81" s="1361" t="str">
        <f t="shared" si="157"/>
        <v>Freshwater Exposure</v>
      </c>
      <c r="L81" s="209">
        <f t="shared" si="72"/>
        <v>0.73</v>
      </c>
      <c r="M81" s="1371" t="str">
        <f t="shared" si="124"/>
        <v>USDOE FW Chronic PRG</v>
      </c>
      <c r="N81" s="216">
        <f t="shared" si="73"/>
        <v>0.73</v>
      </c>
      <c r="O81" s="203" t="str">
        <f t="shared" si="125"/>
        <v>--</v>
      </c>
      <c r="P81" s="203">
        <f t="shared" si="74"/>
        <v>0.73</v>
      </c>
      <c r="Q81" s="203" t="str">
        <f t="shared" si="126"/>
        <v>--</v>
      </c>
      <c r="R81" s="203" t="str">
        <f t="shared" si="127"/>
        <v>--</v>
      </c>
      <c r="S81" s="203" t="str">
        <f t="shared" si="75"/>
        <v>--</v>
      </c>
      <c r="T81" s="203" t="str">
        <f t="shared" si="128"/>
        <v>--</v>
      </c>
      <c r="U81" s="203" t="str">
        <f t="shared" si="129"/>
        <v>--</v>
      </c>
      <c r="V81" s="203">
        <f t="shared" si="130"/>
        <v>0.73</v>
      </c>
      <c r="W81" s="193" t="str">
        <f t="shared" si="131"/>
        <v>USDOE FW Chronic PRG</v>
      </c>
      <c r="X81" s="203">
        <f t="shared" si="76"/>
        <v>7.2999999999999995E-2</v>
      </c>
      <c r="Y81" s="193" t="str">
        <f t="shared" si="77"/>
        <v>10% US EPA FW CMC</v>
      </c>
      <c r="Z81" s="203" t="str">
        <f t="shared" si="132"/>
        <v>--</v>
      </c>
      <c r="AA81" s="203">
        <f t="shared" si="133"/>
        <v>0.73</v>
      </c>
      <c r="AB81" s="1368" t="str">
        <f t="shared" si="134"/>
        <v>--</v>
      </c>
      <c r="AC81" s="1356">
        <f t="shared" si="158"/>
        <v>15</v>
      </c>
      <c r="AD81" s="1377" t="str">
        <f t="shared" si="159"/>
        <v>Saltwater Exposure</v>
      </c>
      <c r="AE81" s="1353">
        <f t="shared" si="135"/>
        <v>15</v>
      </c>
      <c r="AF81" s="1364" t="str">
        <f t="shared" si="136"/>
        <v>Basin Plan</v>
      </c>
      <c r="AG81" s="216">
        <f t="shared" si="78"/>
        <v>15</v>
      </c>
      <c r="AH81" s="203">
        <f t="shared" si="160"/>
        <v>15</v>
      </c>
      <c r="AI81" s="203">
        <f t="shared" si="137"/>
        <v>15</v>
      </c>
      <c r="AJ81" s="203" t="str">
        <f t="shared" si="138"/>
        <v>--</v>
      </c>
      <c r="AK81" s="203" t="str">
        <f t="shared" si="79"/>
        <v>--</v>
      </c>
      <c r="AL81" s="203" t="str">
        <f t="shared" si="139"/>
        <v>--</v>
      </c>
      <c r="AM81" s="203" t="str">
        <f t="shared" si="140"/>
        <v>--</v>
      </c>
      <c r="AN81" s="203" t="str">
        <f t="shared" si="80"/>
        <v>--</v>
      </c>
      <c r="AO81" s="203" t="str">
        <f t="shared" si="141"/>
        <v>--</v>
      </c>
      <c r="AP81" s="203" t="str">
        <f t="shared" si="142"/>
        <v>--</v>
      </c>
      <c r="AQ81" s="203" t="str">
        <f t="shared" si="143"/>
        <v>--</v>
      </c>
      <c r="AR81" s="1262" t="str">
        <f t="shared" si="144"/>
        <v>--</v>
      </c>
      <c r="AS81" s="203" t="str">
        <f t="shared" si="81"/>
        <v>--</v>
      </c>
      <c r="AT81" s="193" t="str">
        <f t="shared" si="82"/>
        <v>--</v>
      </c>
      <c r="AU81" s="203" t="str">
        <f t="shared" si="145"/>
        <v>--</v>
      </c>
      <c r="AV81" s="203" t="str">
        <f t="shared" si="146"/>
        <v>--</v>
      </c>
      <c r="AW81" s="2047" t="str">
        <f t="shared" si="147"/>
        <v>--</v>
      </c>
      <c r="AX81" s="2054" t="str">
        <f t="shared" si="148"/>
        <v>--</v>
      </c>
      <c r="AZ81" s="22"/>
      <c r="BA81" s="350"/>
      <c r="BB81" s="27">
        <f t="shared" si="149"/>
        <v>0.73</v>
      </c>
      <c r="BC81" s="351" t="str">
        <f t="shared" si="150"/>
        <v>USDOE FW Chronic PRG</v>
      </c>
      <c r="BD81" s="27" t="str">
        <f t="shared" si="151"/>
        <v>--</v>
      </c>
      <c r="BE81" s="351" t="str">
        <f t="shared" si="152"/>
        <v>--</v>
      </c>
      <c r="BF81" s="350"/>
      <c r="BG81" s="350"/>
      <c r="BH81" s="350"/>
      <c r="BI81" s="350"/>
      <c r="BJ81" s="350"/>
      <c r="BK81" s="350"/>
      <c r="BL81" s="1311"/>
      <c r="BM81" s="350"/>
      <c r="BN81" s="350"/>
      <c r="BO81" s="350"/>
      <c r="BP81" s="35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row>
    <row r="82" spans="1:142" ht="12.95" customHeight="1">
      <c r="A82" s="897" t="s">
        <v>237</v>
      </c>
      <c r="B82" s="432" t="s">
        <v>238</v>
      </c>
      <c r="C82" s="205">
        <f t="shared" si="153"/>
        <v>1.2999999999999999E-3</v>
      </c>
      <c r="D82" s="207" t="str">
        <f t="shared" si="154"/>
        <v>Seafood Ingestion</v>
      </c>
      <c r="E82" s="1637">
        <f t="shared" si="161"/>
        <v>1.2999999999999999E-3</v>
      </c>
      <c r="F82" s="187" t="str">
        <f t="shared" si="155"/>
        <v>National Criteria</v>
      </c>
      <c r="G82" s="1326">
        <f t="shared" si="121"/>
        <v>4.9000000000000002E-2</v>
      </c>
      <c r="H82" s="1327" t="str">
        <f t="shared" si="122"/>
        <v>--</v>
      </c>
      <c r="I82" s="1359">
        <f t="shared" si="123"/>
        <v>1.2999999999999999E-3</v>
      </c>
      <c r="J82" s="1379">
        <f t="shared" si="156"/>
        <v>2.7E-2</v>
      </c>
      <c r="K82" s="1361" t="str">
        <f t="shared" si="157"/>
        <v>Freshwater Exposure</v>
      </c>
      <c r="L82" s="209">
        <f t="shared" si="72"/>
        <v>2.7E-2</v>
      </c>
      <c r="M82" s="1371" t="str">
        <f t="shared" si="124"/>
        <v>USDOE FW Chronic PRG</v>
      </c>
      <c r="N82" s="216">
        <f t="shared" si="73"/>
        <v>2.7E-2</v>
      </c>
      <c r="O82" s="203" t="str">
        <f t="shared" si="125"/>
        <v>--</v>
      </c>
      <c r="P82" s="203">
        <f t="shared" si="74"/>
        <v>2.7E-2</v>
      </c>
      <c r="Q82" s="203" t="str">
        <f t="shared" si="126"/>
        <v>--</v>
      </c>
      <c r="R82" s="203" t="str">
        <f t="shared" si="127"/>
        <v>--</v>
      </c>
      <c r="S82" s="203" t="str">
        <f t="shared" si="75"/>
        <v>--</v>
      </c>
      <c r="T82" s="203" t="str">
        <f t="shared" si="128"/>
        <v>--</v>
      </c>
      <c r="U82" s="203" t="str">
        <f t="shared" si="129"/>
        <v>--</v>
      </c>
      <c r="V82" s="203">
        <f t="shared" si="130"/>
        <v>2.7E-2</v>
      </c>
      <c r="W82" s="193" t="str">
        <f t="shared" si="131"/>
        <v>USDOE FW Chronic PRG</v>
      </c>
      <c r="X82" s="203">
        <f t="shared" si="76"/>
        <v>2.7000000000000001E-3</v>
      </c>
      <c r="Y82" s="193" t="str">
        <f t="shared" si="77"/>
        <v>10% US EPA FW CMC</v>
      </c>
      <c r="Z82" s="203" t="str">
        <f t="shared" si="132"/>
        <v>--</v>
      </c>
      <c r="AA82" s="203">
        <f t="shared" si="133"/>
        <v>2.7E-2</v>
      </c>
      <c r="AB82" s="1368" t="str">
        <f t="shared" si="134"/>
        <v>--</v>
      </c>
      <c r="AC82" s="1356">
        <f t="shared" si="158"/>
        <v>15</v>
      </c>
      <c r="AD82" s="1377" t="str">
        <f t="shared" si="159"/>
        <v>Saltwater Exposure</v>
      </c>
      <c r="AE82" s="1353">
        <f t="shared" si="135"/>
        <v>15</v>
      </c>
      <c r="AF82" s="1364" t="str">
        <f t="shared" si="136"/>
        <v>Basin Plan</v>
      </c>
      <c r="AG82" s="216">
        <f t="shared" si="78"/>
        <v>15</v>
      </c>
      <c r="AH82" s="203">
        <f t="shared" si="160"/>
        <v>15</v>
      </c>
      <c r="AI82" s="203">
        <f t="shared" si="137"/>
        <v>15</v>
      </c>
      <c r="AJ82" s="203" t="str">
        <f t="shared" si="138"/>
        <v>--</v>
      </c>
      <c r="AK82" s="203" t="str">
        <f t="shared" si="79"/>
        <v>--</v>
      </c>
      <c r="AL82" s="203" t="str">
        <f t="shared" si="139"/>
        <v>--</v>
      </c>
      <c r="AM82" s="203" t="str">
        <f t="shared" si="140"/>
        <v>--</v>
      </c>
      <c r="AN82" s="203" t="str">
        <f t="shared" si="80"/>
        <v>--</v>
      </c>
      <c r="AO82" s="203" t="str">
        <f t="shared" si="141"/>
        <v>--</v>
      </c>
      <c r="AP82" s="203" t="str">
        <f t="shared" si="142"/>
        <v>--</v>
      </c>
      <c r="AQ82" s="203" t="str">
        <f t="shared" si="143"/>
        <v>--</v>
      </c>
      <c r="AR82" s="1262" t="str">
        <f t="shared" si="144"/>
        <v>--</v>
      </c>
      <c r="AS82" s="203" t="str">
        <f t="shared" si="81"/>
        <v>--</v>
      </c>
      <c r="AT82" s="193" t="str">
        <f t="shared" si="82"/>
        <v>--</v>
      </c>
      <c r="AU82" s="203" t="str">
        <f t="shared" si="145"/>
        <v>--</v>
      </c>
      <c r="AV82" s="203" t="str">
        <f t="shared" si="146"/>
        <v>--</v>
      </c>
      <c r="AW82" s="2047" t="str">
        <f t="shared" si="147"/>
        <v>--</v>
      </c>
      <c r="AX82" s="2054" t="str">
        <f t="shared" si="148"/>
        <v>--</v>
      </c>
      <c r="AZ82" s="22"/>
      <c r="BA82" s="350"/>
      <c r="BB82" s="27">
        <f t="shared" si="149"/>
        <v>2.7E-2</v>
      </c>
      <c r="BC82" s="351" t="str">
        <f t="shared" si="150"/>
        <v>USDOE FW Chronic PRG</v>
      </c>
      <c r="BD82" s="27" t="str">
        <f t="shared" si="151"/>
        <v>--</v>
      </c>
      <c r="BE82" s="351" t="str">
        <f t="shared" si="152"/>
        <v>--</v>
      </c>
      <c r="BF82" s="350"/>
      <c r="BG82" s="350"/>
      <c r="BH82" s="350"/>
      <c r="BI82" s="350"/>
      <c r="BJ82" s="350"/>
      <c r="BK82" s="350"/>
      <c r="BL82" s="1311"/>
      <c r="BM82" s="350"/>
      <c r="BN82" s="350"/>
      <c r="BO82" s="350"/>
      <c r="BP82" s="35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row>
    <row r="83" spans="1:142" ht="12.95" customHeight="1">
      <c r="A83" s="897" t="s">
        <v>239</v>
      </c>
      <c r="B83" s="432" t="s">
        <v>240</v>
      </c>
      <c r="C83" s="205">
        <f t="shared" si="153"/>
        <v>1.2999999999999999E-4</v>
      </c>
      <c r="D83" s="207" t="str">
        <f t="shared" si="154"/>
        <v>Seafood Ingestion</v>
      </c>
      <c r="E83" s="1637">
        <f t="shared" si="161"/>
        <v>1.2999999999999999E-4</v>
      </c>
      <c r="F83" s="187" t="str">
        <f t="shared" si="155"/>
        <v>National Criteria</v>
      </c>
      <c r="G83" s="1326">
        <f t="shared" si="121"/>
        <v>4.9000000000000002E-2</v>
      </c>
      <c r="H83" s="1327" t="str">
        <f t="shared" si="122"/>
        <v>--</v>
      </c>
      <c r="I83" s="1359">
        <f t="shared" si="123"/>
        <v>1.2999999999999999E-4</v>
      </c>
      <c r="J83" s="1379">
        <f t="shared" si="156"/>
        <v>1.4E-2</v>
      </c>
      <c r="K83" s="1361" t="str">
        <f t="shared" si="157"/>
        <v>Freshwater Exposure</v>
      </c>
      <c r="L83" s="209">
        <f t="shared" si="72"/>
        <v>1.4E-2</v>
      </c>
      <c r="M83" s="1371" t="str">
        <f t="shared" si="124"/>
        <v>US EPA Ecotox FW Chronic</v>
      </c>
      <c r="N83" s="216">
        <f t="shared" si="73"/>
        <v>1.4E-2</v>
      </c>
      <c r="O83" s="203" t="str">
        <f t="shared" si="125"/>
        <v>--</v>
      </c>
      <c r="P83" s="203">
        <f t="shared" si="74"/>
        <v>1.4E-2</v>
      </c>
      <c r="Q83" s="203" t="str">
        <f t="shared" si="126"/>
        <v>--</v>
      </c>
      <c r="R83" s="203" t="str">
        <f t="shared" si="127"/>
        <v>--</v>
      </c>
      <c r="S83" s="203">
        <f t="shared" si="75"/>
        <v>1.4E-2</v>
      </c>
      <c r="T83" s="203">
        <f t="shared" si="128"/>
        <v>1.4E-2</v>
      </c>
      <c r="U83" s="203" t="str">
        <f t="shared" si="129"/>
        <v>--</v>
      </c>
      <c r="V83" s="203" t="str">
        <f t="shared" si="130"/>
        <v>--</v>
      </c>
      <c r="W83" s="193" t="str">
        <f t="shared" si="131"/>
        <v>--</v>
      </c>
      <c r="X83" s="203" t="str">
        <f t="shared" si="76"/>
        <v>--</v>
      </c>
      <c r="Y83" s="193" t="str">
        <f t="shared" si="77"/>
        <v>--</v>
      </c>
      <c r="Z83" s="203" t="str">
        <f t="shared" si="132"/>
        <v>--</v>
      </c>
      <c r="AA83" s="203" t="str">
        <f t="shared" si="133"/>
        <v>--</v>
      </c>
      <c r="AB83" s="1368" t="str">
        <f t="shared" si="134"/>
        <v>--</v>
      </c>
      <c r="AC83" s="1356">
        <f t="shared" si="158"/>
        <v>15</v>
      </c>
      <c r="AD83" s="1377" t="str">
        <f t="shared" si="159"/>
        <v>Saltwater Exposure</v>
      </c>
      <c r="AE83" s="1353">
        <f t="shared" si="135"/>
        <v>15</v>
      </c>
      <c r="AF83" s="1364" t="str">
        <f t="shared" si="136"/>
        <v>Basin Plan</v>
      </c>
      <c r="AG83" s="216">
        <f t="shared" si="78"/>
        <v>15</v>
      </c>
      <c r="AH83" s="203">
        <f t="shared" si="160"/>
        <v>15</v>
      </c>
      <c r="AI83" s="203">
        <f t="shared" si="137"/>
        <v>15</v>
      </c>
      <c r="AJ83" s="203" t="str">
        <f t="shared" si="138"/>
        <v>--</v>
      </c>
      <c r="AK83" s="203" t="str">
        <f t="shared" si="79"/>
        <v>--</v>
      </c>
      <c r="AL83" s="203" t="str">
        <f t="shared" si="139"/>
        <v>--</v>
      </c>
      <c r="AM83" s="203" t="str">
        <f t="shared" si="140"/>
        <v>--</v>
      </c>
      <c r="AN83" s="203" t="str">
        <f t="shared" si="80"/>
        <v>--</v>
      </c>
      <c r="AO83" s="203" t="str">
        <f t="shared" si="141"/>
        <v>--</v>
      </c>
      <c r="AP83" s="203" t="str">
        <f t="shared" si="142"/>
        <v>--</v>
      </c>
      <c r="AQ83" s="203" t="str">
        <f t="shared" si="143"/>
        <v>--</v>
      </c>
      <c r="AR83" s="1262" t="str">
        <f t="shared" si="144"/>
        <v>--</v>
      </c>
      <c r="AS83" s="203" t="str">
        <f t="shared" si="81"/>
        <v>--</v>
      </c>
      <c r="AT83" s="193" t="str">
        <f t="shared" si="82"/>
        <v>--</v>
      </c>
      <c r="AU83" s="203" t="str">
        <f t="shared" si="145"/>
        <v>--</v>
      </c>
      <c r="AV83" s="203" t="str">
        <f t="shared" si="146"/>
        <v>--</v>
      </c>
      <c r="AW83" s="2047" t="str">
        <f t="shared" si="147"/>
        <v>--</v>
      </c>
      <c r="AX83" s="2054" t="str">
        <f t="shared" si="148"/>
        <v>--</v>
      </c>
      <c r="AZ83" s="22"/>
      <c r="BA83" s="350"/>
      <c r="BB83" s="27">
        <f t="shared" si="149"/>
        <v>1.4E-2</v>
      </c>
      <c r="BC83" s="351" t="str">
        <f t="shared" si="150"/>
        <v>US EPA Ecotox FW Chronic</v>
      </c>
      <c r="BD83" s="27" t="str">
        <f t="shared" si="151"/>
        <v>--</v>
      </c>
      <c r="BE83" s="351" t="str">
        <f t="shared" si="152"/>
        <v>--</v>
      </c>
      <c r="BF83" s="350"/>
      <c r="BG83" s="350"/>
      <c r="BH83" s="350"/>
      <c r="BI83" s="350"/>
      <c r="BJ83" s="350"/>
      <c r="BK83" s="350"/>
      <c r="BL83" s="1304"/>
      <c r="BM83" s="350"/>
      <c r="BN83" s="350"/>
      <c r="BO83" s="350"/>
      <c r="BP83" s="35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row>
    <row r="84" spans="1:142" ht="12.95" customHeight="1">
      <c r="A84" s="897" t="s">
        <v>241</v>
      </c>
      <c r="B84" s="432" t="s">
        <v>242</v>
      </c>
      <c r="C84" s="205">
        <f t="shared" si="153"/>
        <v>1.2999999999999999E-3</v>
      </c>
      <c r="D84" s="207" t="str">
        <f t="shared" si="154"/>
        <v>Seafood Ingestion</v>
      </c>
      <c r="E84" s="1637">
        <f t="shared" si="161"/>
        <v>1.2999999999999999E-3</v>
      </c>
      <c r="F84" s="187" t="str">
        <f t="shared" si="155"/>
        <v>National Criteria</v>
      </c>
      <c r="G84" s="1326">
        <f t="shared" si="121"/>
        <v>4.9000000000000002E-2</v>
      </c>
      <c r="H84" s="1327" t="str">
        <f t="shared" si="122"/>
        <v>--</v>
      </c>
      <c r="I84" s="1359">
        <f t="shared" si="123"/>
        <v>1.2999999999999999E-3</v>
      </c>
      <c r="J84" s="1379" t="str">
        <f t="shared" si="156"/>
        <v>--</v>
      </c>
      <c r="K84" s="1361" t="str">
        <f t="shared" si="157"/>
        <v>--</v>
      </c>
      <c r="L84" s="209" t="str">
        <f t="shared" si="72"/>
        <v>--</v>
      </c>
      <c r="M84" s="1371" t="str">
        <f t="shared" si="124"/>
        <v>--</v>
      </c>
      <c r="N84" s="216" t="str">
        <f t="shared" si="73"/>
        <v>--</v>
      </c>
      <c r="O84" s="203" t="str">
        <f t="shared" si="125"/>
        <v>--</v>
      </c>
      <c r="P84" s="203" t="str">
        <f t="shared" si="74"/>
        <v>--</v>
      </c>
      <c r="Q84" s="203" t="str">
        <f t="shared" si="126"/>
        <v>--</v>
      </c>
      <c r="R84" s="203" t="str">
        <f t="shared" si="127"/>
        <v>--</v>
      </c>
      <c r="S84" s="203" t="str">
        <f t="shared" si="75"/>
        <v>--</v>
      </c>
      <c r="T84" s="203" t="str">
        <f t="shared" si="128"/>
        <v>--</v>
      </c>
      <c r="U84" s="203" t="str">
        <f t="shared" si="129"/>
        <v>--</v>
      </c>
      <c r="V84" s="203" t="str">
        <f t="shared" si="130"/>
        <v>--</v>
      </c>
      <c r="W84" s="193" t="str">
        <f t="shared" si="131"/>
        <v>--</v>
      </c>
      <c r="X84" s="203" t="str">
        <f t="shared" si="76"/>
        <v>--</v>
      </c>
      <c r="Y84" s="193" t="str">
        <f t="shared" si="77"/>
        <v>--</v>
      </c>
      <c r="Z84" s="203" t="str">
        <f t="shared" si="132"/>
        <v>--</v>
      </c>
      <c r="AA84" s="203" t="str">
        <f t="shared" si="133"/>
        <v>--</v>
      </c>
      <c r="AB84" s="1368" t="str">
        <f t="shared" si="134"/>
        <v>--</v>
      </c>
      <c r="AC84" s="1356">
        <f t="shared" si="158"/>
        <v>15</v>
      </c>
      <c r="AD84" s="1377" t="str">
        <f t="shared" si="159"/>
        <v>Saltwater Exposure</v>
      </c>
      <c r="AE84" s="1353">
        <f t="shared" si="135"/>
        <v>15</v>
      </c>
      <c r="AF84" s="1364" t="str">
        <f t="shared" si="136"/>
        <v>Basin Plan</v>
      </c>
      <c r="AG84" s="216">
        <f t="shared" si="78"/>
        <v>15</v>
      </c>
      <c r="AH84" s="203">
        <f t="shared" si="160"/>
        <v>15</v>
      </c>
      <c r="AI84" s="203">
        <f t="shared" si="137"/>
        <v>15</v>
      </c>
      <c r="AJ84" s="203" t="str">
        <f t="shared" si="138"/>
        <v>--</v>
      </c>
      <c r="AK84" s="203" t="str">
        <f t="shared" si="79"/>
        <v>--</v>
      </c>
      <c r="AL84" s="203" t="str">
        <f t="shared" si="139"/>
        <v>--</v>
      </c>
      <c r="AM84" s="203" t="str">
        <f t="shared" si="140"/>
        <v>--</v>
      </c>
      <c r="AN84" s="203" t="str">
        <f t="shared" si="80"/>
        <v>--</v>
      </c>
      <c r="AO84" s="203" t="str">
        <f t="shared" si="141"/>
        <v>--</v>
      </c>
      <c r="AP84" s="203" t="str">
        <f t="shared" si="142"/>
        <v>--</v>
      </c>
      <c r="AQ84" s="203" t="str">
        <f t="shared" si="143"/>
        <v>--</v>
      </c>
      <c r="AR84" s="1262" t="str">
        <f t="shared" si="144"/>
        <v>--</v>
      </c>
      <c r="AS84" s="203" t="str">
        <f t="shared" si="81"/>
        <v>--</v>
      </c>
      <c r="AT84" s="193" t="str">
        <f t="shared" si="82"/>
        <v>--</v>
      </c>
      <c r="AU84" s="203" t="str">
        <f t="shared" si="145"/>
        <v>--</v>
      </c>
      <c r="AV84" s="203" t="str">
        <f t="shared" si="146"/>
        <v>--</v>
      </c>
      <c r="AW84" s="2047" t="str">
        <f t="shared" si="147"/>
        <v>--</v>
      </c>
      <c r="AX84" s="2054" t="str">
        <f t="shared" si="148"/>
        <v>--</v>
      </c>
      <c r="AZ84" s="22"/>
      <c r="BA84" s="350"/>
      <c r="BB84" s="27" t="str">
        <f t="shared" si="149"/>
        <v>--</v>
      </c>
      <c r="BC84" s="351" t="str">
        <f t="shared" si="150"/>
        <v>--</v>
      </c>
      <c r="BD84" s="27" t="str">
        <f t="shared" si="151"/>
        <v>--</v>
      </c>
      <c r="BE84" s="351" t="str">
        <f t="shared" si="152"/>
        <v>--</v>
      </c>
      <c r="BF84" s="350"/>
      <c r="BG84" s="350"/>
      <c r="BH84" s="350"/>
      <c r="BI84" s="350"/>
      <c r="BJ84" s="350"/>
      <c r="BK84" s="350"/>
      <c r="BL84" s="1311"/>
      <c r="BM84" s="350"/>
      <c r="BN84" s="350"/>
      <c r="BO84" s="350"/>
      <c r="BP84" s="35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row>
    <row r="85" spans="1:142" ht="12.95" customHeight="1">
      <c r="A85" s="897" t="s">
        <v>243</v>
      </c>
      <c r="B85" s="432" t="s">
        <v>244</v>
      </c>
      <c r="C85" s="205">
        <f t="shared" si="153"/>
        <v>1.2999999999999999E-2</v>
      </c>
      <c r="D85" s="207" t="str">
        <f t="shared" si="154"/>
        <v>Seafood Ingestion</v>
      </c>
      <c r="E85" s="1637">
        <f t="shared" si="161"/>
        <v>1.2999999999999999E-2</v>
      </c>
      <c r="F85" s="187" t="str">
        <f t="shared" si="155"/>
        <v>National Criteria</v>
      </c>
      <c r="G85" s="1326">
        <f t="shared" si="121"/>
        <v>4.9000000000000002E-2</v>
      </c>
      <c r="H85" s="1327" t="str">
        <f t="shared" si="122"/>
        <v>--</v>
      </c>
      <c r="I85" s="1359">
        <f t="shared" si="123"/>
        <v>1.2999999999999999E-2</v>
      </c>
      <c r="J85" s="1379">
        <f t="shared" si="156"/>
        <v>3.7</v>
      </c>
      <c r="K85" s="1361" t="str">
        <f t="shared" si="157"/>
        <v>Freshwater Exposure</v>
      </c>
      <c r="L85" s="209">
        <f t="shared" si="72"/>
        <v>3.7</v>
      </c>
      <c r="M85" s="1371" t="str">
        <f t="shared" si="124"/>
        <v>50% MOEE FW Chronic LOEL</v>
      </c>
      <c r="N85" s="216">
        <f t="shared" si="73"/>
        <v>3.7</v>
      </c>
      <c r="O85" s="203" t="str">
        <f t="shared" si="125"/>
        <v>--</v>
      </c>
      <c r="P85" s="203">
        <f t="shared" si="74"/>
        <v>3.7</v>
      </c>
      <c r="Q85" s="203" t="str">
        <f t="shared" si="126"/>
        <v>--</v>
      </c>
      <c r="R85" s="203" t="str">
        <f t="shared" si="127"/>
        <v>--</v>
      </c>
      <c r="S85" s="203" t="str">
        <f t="shared" si="75"/>
        <v>--</v>
      </c>
      <c r="T85" s="203" t="str">
        <f t="shared" si="128"/>
        <v>--</v>
      </c>
      <c r="U85" s="203" t="str">
        <f t="shared" si="129"/>
        <v>--</v>
      </c>
      <c r="V85" s="203">
        <f t="shared" si="130"/>
        <v>3.7</v>
      </c>
      <c r="W85" s="193" t="str">
        <f t="shared" si="131"/>
        <v>50% MOEE FW Chronic LOEL</v>
      </c>
      <c r="X85" s="203">
        <f t="shared" si="76"/>
        <v>0.37</v>
      </c>
      <c r="Y85" s="193" t="str">
        <f t="shared" si="77"/>
        <v>10% US EPA FW CMC</v>
      </c>
      <c r="Z85" s="203" t="str">
        <f t="shared" si="132"/>
        <v>--</v>
      </c>
      <c r="AA85" s="203">
        <f t="shared" si="133"/>
        <v>3.7</v>
      </c>
      <c r="AB85" s="1368" t="str">
        <f t="shared" si="134"/>
        <v>--</v>
      </c>
      <c r="AC85" s="1356">
        <f t="shared" si="158"/>
        <v>15</v>
      </c>
      <c r="AD85" s="1377" t="str">
        <f t="shared" si="159"/>
        <v>Saltwater Exposure</v>
      </c>
      <c r="AE85" s="1353">
        <f t="shared" si="135"/>
        <v>15</v>
      </c>
      <c r="AF85" s="1364" t="str">
        <f t="shared" si="136"/>
        <v>Basin Plan</v>
      </c>
      <c r="AG85" s="216">
        <f t="shared" si="78"/>
        <v>15</v>
      </c>
      <c r="AH85" s="203">
        <f t="shared" si="160"/>
        <v>15</v>
      </c>
      <c r="AI85" s="203">
        <f t="shared" si="137"/>
        <v>15</v>
      </c>
      <c r="AJ85" s="203" t="str">
        <f t="shared" si="138"/>
        <v>--</v>
      </c>
      <c r="AK85" s="203" t="str">
        <f t="shared" si="79"/>
        <v>--</v>
      </c>
      <c r="AL85" s="203" t="str">
        <f t="shared" si="139"/>
        <v>--</v>
      </c>
      <c r="AM85" s="203" t="str">
        <f t="shared" si="140"/>
        <v>--</v>
      </c>
      <c r="AN85" s="203" t="str">
        <f t="shared" si="80"/>
        <v>--</v>
      </c>
      <c r="AO85" s="203" t="str">
        <f t="shared" si="141"/>
        <v>--</v>
      </c>
      <c r="AP85" s="203" t="str">
        <f t="shared" si="142"/>
        <v>--</v>
      </c>
      <c r="AQ85" s="203" t="str">
        <f t="shared" si="143"/>
        <v>--</v>
      </c>
      <c r="AR85" s="1262" t="str">
        <f t="shared" si="144"/>
        <v>--</v>
      </c>
      <c r="AS85" s="203" t="str">
        <f t="shared" si="81"/>
        <v>--</v>
      </c>
      <c r="AT85" s="193" t="str">
        <f t="shared" si="82"/>
        <v>--</v>
      </c>
      <c r="AU85" s="203" t="str">
        <f t="shared" si="145"/>
        <v>--</v>
      </c>
      <c r="AV85" s="203" t="str">
        <f t="shared" si="146"/>
        <v>--</v>
      </c>
      <c r="AW85" s="2047" t="str">
        <f t="shared" si="147"/>
        <v>--</v>
      </c>
      <c r="AX85" s="2054" t="str">
        <f t="shared" si="148"/>
        <v>--</v>
      </c>
      <c r="AZ85" s="22"/>
      <c r="BA85" s="350"/>
      <c r="BB85" s="27">
        <f t="shared" si="149"/>
        <v>3.7</v>
      </c>
      <c r="BC85" s="351" t="str">
        <f t="shared" si="150"/>
        <v>50% MOEE FW Chronic LOEL</v>
      </c>
      <c r="BD85" s="27" t="str">
        <f t="shared" si="151"/>
        <v>--</v>
      </c>
      <c r="BE85" s="351" t="str">
        <f t="shared" si="152"/>
        <v>--</v>
      </c>
      <c r="BF85" s="350"/>
      <c r="BG85" s="350"/>
      <c r="BH85" s="350"/>
      <c r="BI85" s="350"/>
      <c r="BJ85" s="350"/>
      <c r="BK85" s="350"/>
      <c r="BL85" s="1311"/>
      <c r="BM85" s="350"/>
      <c r="BN85" s="350"/>
      <c r="BO85" s="350"/>
      <c r="BP85" s="35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row>
    <row r="86" spans="1:142" ht="12.95" customHeight="1">
      <c r="A86" s="897" t="s">
        <v>245</v>
      </c>
      <c r="B86" s="432" t="s">
        <v>246</v>
      </c>
      <c r="C86" s="205">
        <f t="shared" si="153"/>
        <v>4.9000000000000002E-2</v>
      </c>
      <c r="D86" s="207" t="str">
        <f t="shared" si="154"/>
        <v>Seafood Ingestion</v>
      </c>
      <c r="E86" s="1637">
        <f t="shared" si="161"/>
        <v>4.9000000000000002E-2</v>
      </c>
      <c r="F86" s="187" t="str">
        <f t="shared" si="155"/>
        <v>Cal Tox Rule</v>
      </c>
      <c r="G86" s="1326">
        <f t="shared" si="121"/>
        <v>4.9000000000000002E-2</v>
      </c>
      <c r="H86" s="1327" t="str">
        <f t="shared" si="122"/>
        <v>--</v>
      </c>
      <c r="I86" s="1359">
        <f t="shared" si="123"/>
        <v>0.13</v>
      </c>
      <c r="J86" s="1379">
        <f t="shared" si="156"/>
        <v>0.35</v>
      </c>
      <c r="K86" s="1361" t="str">
        <f t="shared" si="157"/>
        <v>Freshwater Exposure</v>
      </c>
      <c r="L86" s="209">
        <f t="shared" si="72"/>
        <v>0.35</v>
      </c>
      <c r="M86" s="1371" t="str">
        <f t="shared" si="124"/>
        <v>50% MOEE FW Chronic LOEL</v>
      </c>
      <c r="N86" s="216">
        <f t="shared" si="73"/>
        <v>0.35</v>
      </c>
      <c r="O86" s="203" t="str">
        <f t="shared" si="125"/>
        <v>--</v>
      </c>
      <c r="P86" s="203">
        <f t="shared" si="74"/>
        <v>0.35</v>
      </c>
      <c r="Q86" s="203" t="str">
        <f t="shared" si="126"/>
        <v>--</v>
      </c>
      <c r="R86" s="203" t="str">
        <f t="shared" si="127"/>
        <v>--</v>
      </c>
      <c r="S86" s="203" t="str">
        <f t="shared" si="75"/>
        <v>--</v>
      </c>
      <c r="T86" s="203" t="str">
        <f t="shared" si="128"/>
        <v>--</v>
      </c>
      <c r="U86" s="203" t="str">
        <f t="shared" si="129"/>
        <v>--</v>
      </c>
      <c r="V86" s="203">
        <f t="shared" si="130"/>
        <v>0.35</v>
      </c>
      <c r="W86" s="193" t="str">
        <f t="shared" si="131"/>
        <v>50% MOEE FW Chronic LOEL</v>
      </c>
      <c r="X86" s="203">
        <f t="shared" si="76"/>
        <v>3.4999999999999996E-2</v>
      </c>
      <c r="Y86" s="193" t="str">
        <f t="shared" si="77"/>
        <v>10% US EPA FW CMC</v>
      </c>
      <c r="Z86" s="203" t="str">
        <f t="shared" si="132"/>
        <v>--</v>
      </c>
      <c r="AA86" s="203">
        <f t="shared" si="133"/>
        <v>0.35</v>
      </c>
      <c r="AB86" s="1368" t="str">
        <f t="shared" si="134"/>
        <v>--</v>
      </c>
      <c r="AC86" s="1356">
        <f t="shared" si="158"/>
        <v>15</v>
      </c>
      <c r="AD86" s="1377" t="str">
        <f t="shared" si="159"/>
        <v>Saltwater Exposure</v>
      </c>
      <c r="AE86" s="1353">
        <f t="shared" si="135"/>
        <v>15</v>
      </c>
      <c r="AF86" s="1364" t="str">
        <f t="shared" si="136"/>
        <v>Basin Plan</v>
      </c>
      <c r="AG86" s="216">
        <f t="shared" si="78"/>
        <v>15</v>
      </c>
      <c r="AH86" s="203">
        <f t="shared" si="160"/>
        <v>15</v>
      </c>
      <c r="AI86" s="203">
        <f t="shared" si="137"/>
        <v>15</v>
      </c>
      <c r="AJ86" s="203" t="str">
        <f t="shared" si="138"/>
        <v>--</v>
      </c>
      <c r="AK86" s="203" t="str">
        <f t="shared" si="79"/>
        <v>--</v>
      </c>
      <c r="AL86" s="203" t="str">
        <f t="shared" si="139"/>
        <v>--</v>
      </c>
      <c r="AM86" s="203" t="str">
        <f t="shared" si="140"/>
        <v>--</v>
      </c>
      <c r="AN86" s="203" t="str">
        <f t="shared" si="80"/>
        <v>--</v>
      </c>
      <c r="AO86" s="203" t="str">
        <f t="shared" si="141"/>
        <v>--</v>
      </c>
      <c r="AP86" s="203" t="str">
        <f t="shared" si="142"/>
        <v>--</v>
      </c>
      <c r="AQ86" s="203" t="str">
        <f t="shared" si="143"/>
        <v>--</v>
      </c>
      <c r="AR86" s="1262" t="str">
        <f t="shared" si="144"/>
        <v>--</v>
      </c>
      <c r="AS86" s="203" t="str">
        <f t="shared" si="81"/>
        <v>--</v>
      </c>
      <c r="AT86" s="193" t="str">
        <f t="shared" si="82"/>
        <v>--</v>
      </c>
      <c r="AU86" s="203" t="str">
        <f t="shared" si="145"/>
        <v>--</v>
      </c>
      <c r="AV86" s="203" t="str">
        <f t="shared" si="146"/>
        <v>--</v>
      </c>
      <c r="AW86" s="2047" t="str">
        <f t="shared" si="147"/>
        <v>--</v>
      </c>
      <c r="AX86" s="2054" t="str">
        <f t="shared" si="148"/>
        <v>--</v>
      </c>
      <c r="AZ86" s="22"/>
      <c r="BA86" s="350"/>
      <c r="BB86" s="27">
        <f t="shared" si="149"/>
        <v>0.35</v>
      </c>
      <c r="BC86" s="351" t="str">
        <f t="shared" si="150"/>
        <v>50% MOEE FW Chronic LOEL</v>
      </c>
      <c r="BD86" s="27" t="str">
        <f t="shared" si="151"/>
        <v>--</v>
      </c>
      <c r="BE86" s="351" t="str">
        <f t="shared" si="152"/>
        <v>--</v>
      </c>
      <c r="BF86" s="350"/>
      <c r="BG86" s="350"/>
      <c r="BH86" s="350"/>
      <c r="BI86" s="350"/>
      <c r="BJ86" s="350"/>
      <c r="BK86" s="350"/>
      <c r="BL86" s="1311"/>
      <c r="BM86" s="350"/>
      <c r="BN86" s="350"/>
      <c r="BO86" s="350"/>
      <c r="BP86" s="35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row>
    <row r="87" spans="1:142" ht="12.95" customHeight="1">
      <c r="A87" s="897" t="s">
        <v>247</v>
      </c>
      <c r="B87" s="432" t="s">
        <v>248</v>
      </c>
      <c r="C87" s="205">
        <f t="shared" si="153"/>
        <v>1.2999999999999999E-4</v>
      </c>
      <c r="D87" s="207" t="str">
        <f t="shared" si="154"/>
        <v>Seafood Ingestion</v>
      </c>
      <c r="E87" s="1637">
        <f t="shared" si="161"/>
        <v>1.2999999999999999E-4</v>
      </c>
      <c r="F87" s="187" t="str">
        <f t="shared" si="155"/>
        <v>National Criteria</v>
      </c>
      <c r="G87" s="1326">
        <f t="shared" si="121"/>
        <v>4.9000000000000002E-2</v>
      </c>
      <c r="H87" s="1327" t="str">
        <f t="shared" si="122"/>
        <v>--</v>
      </c>
      <c r="I87" s="1359">
        <f t="shared" si="123"/>
        <v>1.2999999999999999E-4</v>
      </c>
      <c r="J87" s="1379">
        <f t="shared" si="156"/>
        <v>7.5</v>
      </c>
      <c r="K87" s="1361" t="str">
        <f t="shared" si="157"/>
        <v>Freshwater Exposure</v>
      </c>
      <c r="L87" s="209">
        <f t="shared" ref="L87:L96" si="162">IF(N87="--",X87, N87)</f>
        <v>7.5</v>
      </c>
      <c r="M87" s="1371" t="str">
        <f t="shared" si="124"/>
        <v>50% MOEE FW Chronic LOEL</v>
      </c>
      <c r="N87" s="216">
        <f t="shared" ref="N87:N96" si="163">IF(AND(O87="--",P87="--"),"--", IF(O87="--",P87, IF(P87="--", O87, MIN(P87,O87))))</f>
        <v>7.5</v>
      </c>
      <c r="O87" s="203" t="str">
        <f t="shared" si="125"/>
        <v>--</v>
      </c>
      <c r="P87" s="203">
        <f t="shared" ref="P87:P96" si="164">IF(Q87&lt;&gt;"--",Q87,IF(R87&lt;&gt;"--",R87,IF(S87&lt;&gt;"--",S87, V87)))</f>
        <v>7.5</v>
      </c>
      <c r="Q87" s="203" t="str">
        <f t="shared" si="126"/>
        <v>--</v>
      </c>
      <c r="R87" s="203" t="str">
        <f t="shared" si="127"/>
        <v>--</v>
      </c>
      <c r="S87" s="203" t="str">
        <f t="shared" ref="S87:S96" si="165">IF(AND(T87="--",U87="--"), "--", IF(T87="--",U87/2, IF(U87="--",T87, MIN(T87,U87/2))))</f>
        <v>--</v>
      </c>
      <c r="T87" s="203" t="str">
        <f t="shared" si="128"/>
        <v>--</v>
      </c>
      <c r="U87" s="203" t="str">
        <f t="shared" si="129"/>
        <v>--</v>
      </c>
      <c r="V87" s="203">
        <f t="shared" si="130"/>
        <v>7.5</v>
      </c>
      <c r="W87" s="193" t="str">
        <f t="shared" si="131"/>
        <v>50% MOEE FW Chronic LOEL</v>
      </c>
      <c r="X87" s="203">
        <f t="shared" ref="X87:X96" si="166">IF(AND(Z87="--",AA87="--",AB87="--"), "--", (IF(Z87&lt;&gt;"--",Z87/10,(IF(AA87&lt;&gt;"--",AA87/10,AB87/10)))))</f>
        <v>0.75</v>
      </c>
      <c r="Y87" s="193" t="str">
        <f t="shared" ref="Y87:Y96" si="167">IF(X87="--","--",IF(AND(Z87="--",AA87="--"),"10% US EPA FW Acute LOEL",IF(AA87="--","10% CTR FW CMC","10% US EPA FW CMC")))</f>
        <v>10% US EPA FW CMC</v>
      </c>
      <c r="Z87" s="203" t="str">
        <f t="shared" si="132"/>
        <v>--</v>
      </c>
      <c r="AA87" s="203">
        <f t="shared" si="133"/>
        <v>7.5</v>
      </c>
      <c r="AB87" s="1368" t="str">
        <f t="shared" si="134"/>
        <v>--</v>
      </c>
      <c r="AC87" s="1356">
        <f t="shared" si="158"/>
        <v>15</v>
      </c>
      <c r="AD87" s="1377" t="str">
        <f t="shared" si="159"/>
        <v>Saltwater Exposure</v>
      </c>
      <c r="AE87" s="1353">
        <f t="shared" si="135"/>
        <v>15</v>
      </c>
      <c r="AF87" s="1364" t="str">
        <f t="shared" si="136"/>
        <v>Basin Plan</v>
      </c>
      <c r="AG87" s="216">
        <f t="shared" ref="AG87:AG96" si="168">IF(AND(AH87="--",AK87="--"),"--", IF(AH87="--",AK87, IF(AK87="--", AH87, MIN(AK87,AH87))))</f>
        <v>15</v>
      </c>
      <c r="AH87" s="203">
        <f t="shared" si="160"/>
        <v>15</v>
      </c>
      <c r="AI87" s="203">
        <f t="shared" si="137"/>
        <v>15</v>
      </c>
      <c r="AJ87" s="203" t="str">
        <f t="shared" si="138"/>
        <v>--</v>
      </c>
      <c r="AK87" s="203" t="str">
        <f t="shared" ref="AK87:AK96" si="169">IF(AL87&lt;&gt;"--",AL87,IF(AM87&lt;&gt;"--",AM87,IF(AN87&lt;&gt;"--",AN87,IF(AQ87&lt;&gt;"--",AQ87,"--"))))</f>
        <v>--</v>
      </c>
      <c r="AL87" s="203" t="str">
        <f t="shared" si="139"/>
        <v>--</v>
      </c>
      <c r="AM87" s="203" t="str">
        <f t="shared" si="140"/>
        <v>--</v>
      </c>
      <c r="AN87" s="203" t="str">
        <f t="shared" ref="AN87:AN96" si="170">IF(AND(AO87="--",AP87="--"), "--", IF(AO87="--",AP87/2, IF(AP87="--",AO87, MIN(AO87,AP87/2))))</f>
        <v>--</v>
      </c>
      <c r="AO87" s="203" t="str">
        <f t="shared" si="141"/>
        <v>--</v>
      </c>
      <c r="AP87" s="203" t="str">
        <f t="shared" si="142"/>
        <v>--</v>
      </c>
      <c r="AQ87" s="203" t="str">
        <f t="shared" si="143"/>
        <v>--</v>
      </c>
      <c r="AR87" s="1262" t="str">
        <f t="shared" si="144"/>
        <v>--</v>
      </c>
      <c r="AS87" s="203" t="str">
        <f t="shared" ref="AS87:AS96" si="171">IF(AND(AU87="--",AV87="--",AW87="--"), "--", (IF(AU87&lt;&gt;"--",AU87/10,(IF(AV87&lt;&gt;"--",AV87/10,AW87/10)))))</f>
        <v>--</v>
      </c>
      <c r="AT87" s="193" t="str">
        <f t="shared" ref="AT87:AT96" si="172">IF(AS87="--","--",IF(AND(AU87="--",AV87="--"),"10% US EPA SW Acute LOEL",IF(AV87="--","10% CTR SW CMC","10% US EPA SW CMC")))</f>
        <v>--</v>
      </c>
      <c r="AU87" s="203" t="str">
        <f t="shared" si="145"/>
        <v>--</v>
      </c>
      <c r="AV87" s="203" t="str">
        <f t="shared" si="146"/>
        <v>--</v>
      </c>
      <c r="AW87" s="2047" t="str">
        <f t="shared" si="147"/>
        <v>--</v>
      </c>
      <c r="AX87" s="2054" t="str">
        <f t="shared" si="148"/>
        <v>--</v>
      </c>
      <c r="AZ87" s="22"/>
      <c r="BA87" s="350"/>
      <c r="BB87" s="27">
        <f t="shared" si="149"/>
        <v>7.5</v>
      </c>
      <c r="BC87" s="351" t="str">
        <f t="shared" si="150"/>
        <v>50% MOEE FW Chronic LOEL</v>
      </c>
      <c r="BD87" s="27" t="str">
        <f t="shared" si="151"/>
        <v>--</v>
      </c>
      <c r="BE87" s="351" t="str">
        <f t="shared" si="152"/>
        <v>--</v>
      </c>
      <c r="BF87" s="350"/>
      <c r="BG87" s="350"/>
      <c r="BH87" s="350"/>
      <c r="BI87" s="350"/>
      <c r="BJ87" s="350"/>
      <c r="BK87" s="350"/>
      <c r="BL87" s="1311"/>
      <c r="BM87" s="350"/>
      <c r="BN87" s="350"/>
      <c r="BO87" s="350"/>
      <c r="BP87" s="35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row>
    <row r="88" spans="1:142" ht="12.95" customHeight="1">
      <c r="A88" s="897" t="s">
        <v>249</v>
      </c>
      <c r="B88" s="432" t="s">
        <v>250</v>
      </c>
      <c r="C88" s="205">
        <f t="shared" si="153"/>
        <v>8</v>
      </c>
      <c r="D88" s="207" t="str">
        <f t="shared" si="154"/>
        <v>Saltwater Goal</v>
      </c>
      <c r="E88" s="1637">
        <f t="shared" si="161"/>
        <v>20</v>
      </c>
      <c r="F88" s="187" t="str">
        <f t="shared" si="155"/>
        <v>National Criteria</v>
      </c>
      <c r="G88" s="1326">
        <f t="shared" si="121"/>
        <v>370</v>
      </c>
      <c r="H88" s="1327" t="str">
        <f t="shared" si="122"/>
        <v>--</v>
      </c>
      <c r="I88" s="1359">
        <f t="shared" si="123"/>
        <v>20</v>
      </c>
      <c r="J88" s="1379">
        <f t="shared" si="156"/>
        <v>8.1</v>
      </c>
      <c r="K88" s="1361" t="str">
        <f t="shared" si="157"/>
        <v>Freshwater Exposure</v>
      </c>
      <c r="L88" s="209">
        <f t="shared" si="162"/>
        <v>8.1</v>
      </c>
      <c r="M88" s="1371" t="str">
        <f t="shared" si="124"/>
        <v>US EPA Ecotox FW Chronic</v>
      </c>
      <c r="N88" s="216">
        <f t="shared" si="163"/>
        <v>8.1</v>
      </c>
      <c r="O88" s="203" t="str">
        <f t="shared" si="125"/>
        <v>--</v>
      </c>
      <c r="P88" s="203">
        <f t="shared" si="164"/>
        <v>8.1</v>
      </c>
      <c r="Q88" s="203" t="str">
        <f t="shared" si="126"/>
        <v>--</v>
      </c>
      <c r="R88" s="203" t="str">
        <f t="shared" si="127"/>
        <v>--</v>
      </c>
      <c r="S88" s="203">
        <f t="shared" si="165"/>
        <v>8.1</v>
      </c>
      <c r="T88" s="203">
        <f t="shared" si="128"/>
        <v>8.1</v>
      </c>
      <c r="U88" s="203" t="str">
        <f t="shared" si="129"/>
        <v>--</v>
      </c>
      <c r="V88" s="203" t="str">
        <f t="shared" si="130"/>
        <v>--</v>
      </c>
      <c r="W88" s="193" t="str">
        <f t="shared" si="131"/>
        <v>--</v>
      </c>
      <c r="X88" s="203">
        <f t="shared" si="166"/>
        <v>398</v>
      </c>
      <c r="Y88" s="193" t="str">
        <f t="shared" si="167"/>
        <v>10% US EPA FW Acute LOEL</v>
      </c>
      <c r="Z88" s="203" t="str">
        <f t="shared" si="132"/>
        <v>--</v>
      </c>
      <c r="AA88" s="203" t="str">
        <f t="shared" si="133"/>
        <v>--</v>
      </c>
      <c r="AB88" s="1368">
        <f t="shared" si="134"/>
        <v>3980</v>
      </c>
      <c r="AC88" s="1356">
        <f t="shared" si="158"/>
        <v>8</v>
      </c>
      <c r="AD88" s="1377" t="str">
        <f t="shared" si="159"/>
        <v>Saltwater Exposure</v>
      </c>
      <c r="AE88" s="1353">
        <f t="shared" si="135"/>
        <v>8</v>
      </c>
      <c r="AF88" s="1364" t="str">
        <f t="shared" si="136"/>
        <v>50% US EPA SW Chronic LOEL</v>
      </c>
      <c r="AG88" s="216">
        <f t="shared" si="168"/>
        <v>8</v>
      </c>
      <c r="AH88" s="203">
        <f t="shared" si="160"/>
        <v>15</v>
      </c>
      <c r="AI88" s="203">
        <f t="shared" si="137"/>
        <v>15</v>
      </c>
      <c r="AJ88" s="203" t="str">
        <f t="shared" si="138"/>
        <v>--</v>
      </c>
      <c r="AK88" s="203">
        <f t="shared" si="169"/>
        <v>8</v>
      </c>
      <c r="AL88" s="203" t="str">
        <f t="shared" si="139"/>
        <v>--</v>
      </c>
      <c r="AM88" s="203" t="str">
        <f t="shared" si="140"/>
        <v>--</v>
      </c>
      <c r="AN88" s="203">
        <f t="shared" si="170"/>
        <v>8</v>
      </c>
      <c r="AO88" s="203">
        <f t="shared" si="141"/>
        <v>11</v>
      </c>
      <c r="AP88" s="203">
        <f t="shared" si="142"/>
        <v>16</v>
      </c>
      <c r="AQ88" s="203" t="str">
        <f t="shared" si="143"/>
        <v>--</v>
      </c>
      <c r="AR88" s="1262" t="str">
        <f t="shared" si="144"/>
        <v>--</v>
      </c>
      <c r="AS88" s="203">
        <f t="shared" si="171"/>
        <v>4</v>
      </c>
      <c r="AT88" s="193" t="str">
        <f t="shared" si="172"/>
        <v>10% US EPA SW Acute LOEL</v>
      </c>
      <c r="AU88" s="203" t="str">
        <f t="shared" si="145"/>
        <v>--</v>
      </c>
      <c r="AV88" s="203" t="str">
        <f t="shared" si="146"/>
        <v>--</v>
      </c>
      <c r="AW88" s="2047">
        <f t="shared" si="147"/>
        <v>40</v>
      </c>
      <c r="AX88" s="2054" t="str">
        <f t="shared" si="148"/>
        <v>--</v>
      </c>
      <c r="AZ88" s="22"/>
      <c r="BA88" s="350"/>
      <c r="BB88" s="27">
        <f t="shared" si="149"/>
        <v>8.1</v>
      </c>
      <c r="BC88" s="351" t="str">
        <f t="shared" si="150"/>
        <v>US EPA Ecotox FW Chronic</v>
      </c>
      <c r="BD88" s="27">
        <f t="shared" si="151"/>
        <v>8</v>
      </c>
      <c r="BE88" s="351" t="str">
        <f t="shared" si="152"/>
        <v>50% US EPA SW Chronic LOEL</v>
      </c>
      <c r="BF88" s="350"/>
      <c r="BG88" s="350"/>
      <c r="BH88" s="350"/>
      <c r="BI88" s="350"/>
      <c r="BJ88" s="350"/>
      <c r="BK88" s="350"/>
      <c r="BL88" s="1311"/>
      <c r="BM88" s="350"/>
      <c r="BN88" s="350"/>
      <c r="BO88" s="350"/>
      <c r="BP88" s="35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row>
    <row r="89" spans="1:142" ht="12.95" customHeight="1">
      <c r="A89" s="897" t="s">
        <v>251</v>
      </c>
      <c r="B89" s="432" t="s">
        <v>252</v>
      </c>
      <c r="C89" s="205">
        <f t="shared" si="153"/>
        <v>3.9</v>
      </c>
      <c r="D89" s="207" t="str">
        <f t="shared" si="154"/>
        <v>Freshwater Goal</v>
      </c>
      <c r="E89" s="1637">
        <f t="shared" si="161"/>
        <v>70</v>
      </c>
      <c r="F89" s="187" t="str">
        <f t="shared" si="155"/>
        <v>National Criteria</v>
      </c>
      <c r="G89" s="1326">
        <f t="shared" si="121"/>
        <v>14000</v>
      </c>
      <c r="H89" s="1327" t="str">
        <f t="shared" si="122"/>
        <v>--</v>
      </c>
      <c r="I89" s="1359">
        <f t="shared" si="123"/>
        <v>70</v>
      </c>
      <c r="J89" s="1379">
        <f t="shared" si="156"/>
        <v>3.9</v>
      </c>
      <c r="K89" s="1361" t="str">
        <f t="shared" si="157"/>
        <v>Freshwater Exposure</v>
      </c>
      <c r="L89" s="209">
        <f t="shared" si="162"/>
        <v>3.9</v>
      </c>
      <c r="M89" s="1371" t="str">
        <f t="shared" si="124"/>
        <v>US EPA Ecotox FW Chronic</v>
      </c>
      <c r="N89" s="216">
        <f t="shared" si="163"/>
        <v>3.9</v>
      </c>
      <c r="O89" s="203" t="str">
        <f t="shared" si="125"/>
        <v>--</v>
      </c>
      <c r="P89" s="203">
        <f t="shared" si="164"/>
        <v>3.9</v>
      </c>
      <c r="Q89" s="203" t="str">
        <f t="shared" si="126"/>
        <v>--</v>
      </c>
      <c r="R89" s="203" t="str">
        <f t="shared" si="127"/>
        <v>--</v>
      </c>
      <c r="S89" s="203">
        <f t="shared" si="165"/>
        <v>3.9</v>
      </c>
      <c r="T89" s="203">
        <f t="shared" si="128"/>
        <v>3.9</v>
      </c>
      <c r="U89" s="203" t="str">
        <f t="shared" si="129"/>
        <v>--</v>
      </c>
      <c r="V89" s="203" t="str">
        <f t="shared" si="130"/>
        <v>--</v>
      </c>
      <c r="W89" s="193" t="str">
        <f t="shared" si="131"/>
        <v>--</v>
      </c>
      <c r="X89" s="203" t="str">
        <f t="shared" si="166"/>
        <v>--</v>
      </c>
      <c r="Y89" s="193" t="str">
        <f t="shared" si="167"/>
        <v>--</v>
      </c>
      <c r="Z89" s="203" t="str">
        <f t="shared" si="132"/>
        <v>--</v>
      </c>
      <c r="AA89" s="203" t="str">
        <f t="shared" si="133"/>
        <v>--</v>
      </c>
      <c r="AB89" s="1368" t="str">
        <f t="shared" si="134"/>
        <v>--</v>
      </c>
      <c r="AC89" s="1356">
        <f t="shared" si="158"/>
        <v>15</v>
      </c>
      <c r="AD89" s="1377" t="str">
        <f t="shared" si="159"/>
        <v>Saltwater Exposure</v>
      </c>
      <c r="AE89" s="1353">
        <f t="shared" si="135"/>
        <v>15</v>
      </c>
      <c r="AF89" s="1364" t="str">
        <f t="shared" si="136"/>
        <v>Basin Plan</v>
      </c>
      <c r="AG89" s="216">
        <f t="shared" si="168"/>
        <v>15</v>
      </c>
      <c r="AH89" s="203">
        <f t="shared" si="160"/>
        <v>15</v>
      </c>
      <c r="AI89" s="203">
        <f t="shared" si="137"/>
        <v>15</v>
      </c>
      <c r="AJ89" s="203" t="str">
        <f t="shared" si="138"/>
        <v>--</v>
      </c>
      <c r="AK89" s="203" t="str">
        <f t="shared" si="169"/>
        <v>--</v>
      </c>
      <c r="AL89" s="203" t="str">
        <f t="shared" si="139"/>
        <v>--</v>
      </c>
      <c r="AM89" s="203" t="str">
        <f t="shared" si="140"/>
        <v>--</v>
      </c>
      <c r="AN89" s="203" t="str">
        <f t="shared" si="170"/>
        <v>--</v>
      </c>
      <c r="AO89" s="203" t="str">
        <f t="shared" si="141"/>
        <v>--</v>
      </c>
      <c r="AP89" s="203" t="str">
        <f t="shared" si="142"/>
        <v>--</v>
      </c>
      <c r="AQ89" s="203" t="str">
        <f t="shared" si="143"/>
        <v>--</v>
      </c>
      <c r="AR89" s="1262" t="str">
        <f t="shared" si="144"/>
        <v>--</v>
      </c>
      <c r="AS89" s="203">
        <f t="shared" si="171"/>
        <v>30</v>
      </c>
      <c r="AT89" s="193" t="str">
        <f t="shared" si="172"/>
        <v>10% US EPA SW Acute LOEL</v>
      </c>
      <c r="AU89" s="203" t="str">
        <f t="shared" si="145"/>
        <v>--</v>
      </c>
      <c r="AV89" s="203" t="str">
        <f t="shared" si="146"/>
        <v>--</v>
      </c>
      <c r="AW89" s="2047">
        <f t="shared" si="147"/>
        <v>300</v>
      </c>
      <c r="AX89" s="2054" t="str">
        <f t="shared" si="148"/>
        <v>--</v>
      </c>
      <c r="AZ89" s="22"/>
      <c r="BA89" s="350"/>
      <c r="BB89" s="27">
        <f t="shared" si="149"/>
        <v>3.9</v>
      </c>
      <c r="BC89" s="351" t="str">
        <f t="shared" si="150"/>
        <v>US EPA Ecotox FW Chronic</v>
      </c>
      <c r="BD89" s="27" t="str">
        <f t="shared" si="151"/>
        <v>--</v>
      </c>
      <c r="BE89" s="351" t="str">
        <f t="shared" si="152"/>
        <v>--</v>
      </c>
      <c r="BF89" s="350"/>
      <c r="BG89" s="350"/>
      <c r="BH89" s="350"/>
      <c r="BI89" s="350"/>
      <c r="BJ89" s="350"/>
      <c r="BK89" s="350"/>
      <c r="BL89" s="1311"/>
      <c r="BM89" s="350"/>
      <c r="BN89" s="350"/>
      <c r="BO89" s="350"/>
      <c r="BP89" s="35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row>
    <row r="90" spans="1:142" ht="12.95" customHeight="1">
      <c r="A90" s="897" t="s">
        <v>253</v>
      </c>
      <c r="B90" s="432" t="s">
        <v>254</v>
      </c>
      <c r="C90" s="205">
        <f t="shared" si="153"/>
        <v>1.2999999999999999E-3</v>
      </c>
      <c r="D90" s="207" t="str">
        <f t="shared" si="154"/>
        <v>Seafood Ingestion</v>
      </c>
      <c r="E90" s="1637">
        <f t="shared" si="161"/>
        <v>1.2999999999999999E-3</v>
      </c>
      <c r="F90" s="187" t="str">
        <f t="shared" si="155"/>
        <v>National Criteria</v>
      </c>
      <c r="G90" s="1326">
        <f t="shared" si="121"/>
        <v>4.9000000000000002E-2</v>
      </c>
      <c r="H90" s="1327" t="str">
        <f t="shared" si="122"/>
        <v>--</v>
      </c>
      <c r="I90" s="1359">
        <f t="shared" si="123"/>
        <v>1.2999999999999999E-3</v>
      </c>
      <c r="J90" s="1379" t="str">
        <f t="shared" si="156"/>
        <v>--</v>
      </c>
      <c r="K90" s="1361" t="str">
        <f t="shared" si="157"/>
        <v>--</v>
      </c>
      <c r="L90" s="209" t="str">
        <f t="shared" si="162"/>
        <v>--</v>
      </c>
      <c r="M90" s="1371" t="str">
        <f t="shared" si="124"/>
        <v>--</v>
      </c>
      <c r="N90" s="216" t="str">
        <f t="shared" si="163"/>
        <v>--</v>
      </c>
      <c r="O90" s="203" t="str">
        <f t="shared" si="125"/>
        <v>--</v>
      </c>
      <c r="P90" s="203" t="str">
        <f t="shared" si="164"/>
        <v>--</v>
      </c>
      <c r="Q90" s="203" t="str">
        <f t="shared" si="126"/>
        <v>--</v>
      </c>
      <c r="R90" s="203" t="str">
        <f t="shared" si="127"/>
        <v>--</v>
      </c>
      <c r="S90" s="203" t="str">
        <f t="shared" si="165"/>
        <v>--</v>
      </c>
      <c r="T90" s="203" t="str">
        <f t="shared" si="128"/>
        <v>--</v>
      </c>
      <c r="U90" s="203" t="str">
        <f t="shared" si="129"/>
        <v>--</v>
      </c>
      <c r="V90" s="203" t="str">
        <f t="shared" si="130"/>
        <v>--</v>
      </c>
      <c r="W90" s="193" t="str">
        <f t="shared" si="131"/>
        <v>--</v>
      </c>
      <c r="X90" s="203" t="str">
        <f t="shared" si="166"/>
        <v>--</v>
      </c>
      <c r="Y90" s="193" t="str">
        <f t="shared" si="167"/>
        <v>--</v>
      </c>
      <c r="Z90" s="203" t="str">
        <f t="shared" si="132"/>
        <v>--</v>
      </c>
      <c r="AA90" s="203" t="str">
        <f t="shared" si="133"/>
        <v>--</v>
      </c>
      <c r="AB90" s="1368" t="str">
        <f t="shared" si="134"/>
        <v>--</v>
      </c>
      <c r="AC90" s="1356">
        <f t="shared" si="158"/>
        <v>15</v>
      </c>
      <c r="AD90" s="1377" t="str">
        <f t="shared" si="159"/>
        <v>Saltwater Exposure</v>
      </c>
      <c r="AE90" s="1353">
        <f t="shared" si="135"/>
        <v>15</v>
      </c>
      <c r="AF90" s="1364" t="str">
        <f t="shared" si="136"/>
        <v>Basin Plan</v>
      </c>
      <c r="AG90" s="216">
        <f t="shared" si="168"/>
        <v>15</v>
      </c>
      <c r="AH90" s="203">
        <f t="shared" si="160"/>
        <v>15</v>
      </c>
      <c r="AI90" s="203">
        <f t="shared" si="137"/>
        <v>15</v>
      </c>
      <c r="AJ90" s="203" t="str">
        <f t="shared" si="138"/>
        <v>--</v>
      </c>
      <c r="AK90" s="203" t="str">
        <f t="shared" si="169"/>
        <v>--</v>
      </c>
      <c r="AL90" s="203" t="str">
        <f t="shared" si="139"/>
        <v>--</v>
      </c>
      <c r="AM90" s="203" t="str">
        <f t="shared" si="140"/>
        <v>--</v>
      </c>
      <c r="AN90" s="203" t="str">
        <f t="shared" si="170"/>
        <v>--</v>
      </c>
      <c r="AO90" s="203" t="str">
        <f t="shared" si="141"/>
        <v>--</v>
      </c>
      <c r="AP90" s="203" t="str">
        <f t="shared" si="142"/>
        <v>--</v>
      </c>
      <c r="AQ90" s="203" t="str">
        <f t="shared" si="143"/>
        <v>--</v>
      </c>
      <c r="AR90" s="1262" t="str">
        <f t="shared" si="144"/>
        <v>--</v>
      </c>
      <c r="AS90" s="203" t="str">
        <f t="shared" si="171"/>
        <v>--</v>
      </c>
      <c r="AT90" s="193" t="str">
        <f t="shared" si="172"/>
        <v>--</v>
      </c>
      <c r="AU90" s="203" t="str">
        <f t="shared" si="145"/>
        <v>--</v>
      </c>
      <c r="AV90" s="203" t="str">
        <f t="shared" si="146"/>
        <v>--</v>
      </c>
      <c r="AW90" s="2047" t="str">
        <f t="shared" si="147"/>
        <v>--</v>
      </c>
      <c r="AX90" s="2054" t="str">
        <f t="shared" si="148"/>
        <v>--</v>
      </c>
      <c r="AZ90" s="22"/>
      <c r="BA90" s="350"/>
      <c r="BB90" s="27" t="str">
        <f t="shared" si="149"/>
        <v>--</v>
      </c>
      <c r="BC90" s="351" t="str">
        <f t="shared" si="150"/>
        <v>--</v>
      </c>
      <c r="BD90" s="27" t="str">
        <f t="shared" si="151"/>
        <v>--</v>
      </c>
      <c r="BE90" s="351" t="str">
        <f t="shared" si="152"/>
        <v>--</v>
      </c>
      <c r="BF90" s="350"/>
      <c r="BG90" s="350"/>
      <c r="BH90" s="350"/>
      <c r="BI90" s="350"/>
      <c r="BJ90" s="350"/>
      <c r="BK90" s="350"/>
      <c r="BL90" s="1311"/>
      <c r="BM90" s="350"/>
      <c r="BN90" s="350"/>
      <c r="BO90" s="350"/>
      <c r="BP90" s="35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row>
    <row r="91" spans="1:142" ht="12.95" customHeight="1">
      <c r="A91" s="897" t="s">
        <v>255</v>
      </c>
      <c r="B91" s="432" t="s">
        <v>256</v>
      </c>
      <c r="C91" s="205">
        <f t="shared" si="153"/>
        <v>15</v>
      </c>
      <c r="D91" s="207" t="str">
        <f t="shared" si="154"/>
        <v>Saltwater Goal</v>
      </c>
      <c r="E91" s="1637" t="str">
        <f t="shared" si="161"/>
        <v>--</v>
      </c>
      <c r="F91" s="187" t="str">
        <f t="shared" si="155"/>
        <v>--</v>
      </c>
      <c r="G91" s="1326" t="str">
        <f t="shared" si="121"/>
        <v>--</v>
      </c>
      <c r="H91" s="1327" t="str">
        <f t="shared" si="122"/>
        <v>--</v>
      </c>
      <c r="I91" s="1359" t="str">
        <f t="shared" si="123"/>
        <v>--</v>
      </c>
      <c r="J91" s="1379">
        <f t="shared" si="156"/>
        <v>24</v>
      </c>
      <c r="K91" s="1361" t="str">
        <f t="shared" si="157"/>
        <v>Freshwater Exposure</v>
      </c>
      <c r="L91" s="209">
        <f t="shared" si="162"/>
        <v>24</v>
      </c>
      <c r="M91" s="1371" t="str">
        <f t="shared" si="124"/>
        <v>US EPA Ecotox FW Chronic</v>
      </c>
      <c r="N91" s="216">
        <f t="shared" si="163"/>
        <v>24</v>
      </c>
      <c r="O91" s="203" t="str">
        <f t="shared" si="125"/>
        <v>--</v>
      </c>
      <c r="P91" s="203">
        <f t="shared" si="164"/>
        <v>24</v>
      </c>
      <c r="Q91" s="203" t="str">
        <f t="shared" si="126"/>
        <v>--</v>
      </c>
      <c r="R91" s="203" t="str">
        <f t="shared" si="127"/>
        <v>--</v>
      </c>
      <c r="S91" s="203">
        <f t="shared" si="165"/>
        <v>24</v>
      </c>
      <c r="T91" s="203">
        <f t="shared" si="128"/>
        <v>24</v>
      </c>
      <c r="U91" s="203">
        <f t="shared" si="129"/>
        <v>620</v>
      </c>
      <c r="V91" s="203" t="str">
        <f t="shared" si="130"/>
        <v>--</v>
      </c>
      <c r="W91" s="193" t="str">
        <f t="shared" si="131"/>
        <v>--</v>
      </c>
      <c r="X91" s="203">
        <f t="shared" si="166"/>
        <v>230</v>
      </c>
      <c r="Y91" s="193" t="str">
        <f t="shared" si="167"/>
        <v>10% US EPA FW Acute LOEL</v>
      </c>
      <c r="Z91" s="203" t="str">
        <f t="shared" si="132"/>
        <v>--</v>
      </c>
      <c r="AA91" s="203" t="str">
        <f t="shared" si="133"/>
        <v>--</v>
      </c>
      <c r="AB91" s="1368">
        <f t="shared" si="134"/>
        <v>2300</v>
      </c>
      <c r="AC91" s="1356">
        <f t="shared" si="158"/>
        <v>15</v>
      </c>
      <c r="AD91" s="1377" t="str">
        <f t="shared" si="159"/>
        <v>Saltwater Exposure</v>
      </c>
      <c r="AE91" s="1353">
        <f t="shared" si="135"/>
        <v>15</v>
      </c>
      <c r="AF91" s="1364" t="str">
        <f t="shared" si="136"/>
        <v>Basin Plan</v>
      </c>
      <c r="AG91" s="216">
        <f t="shared" si="168"/>
        <v>15</v>
      </c>
      <c r="AH91" s="203">
        <f t="shared" si="160"/>
        <v>15</v>
      </c>
      <c r="AI91" s="203">
        <f t="shared" si="137"/>
        <v>15</v>
      </c>
      <c r="AJ91" s="203" t="str">
        <f t="shared" si="138"/>
        <v>--</v>
      </c>
      <c r="AK91" s="203" t="str">
        <f t="shared" si="169"/>
        <v>--</v>
      </c>
      <c r="AL91" s="203" t="str">
        <f t="shared" si="139"/>
        <v>--</v>
      </c>
      <c r="AM91" s="203" t="str">
        <f t="shared" si="140"/>
        <v>--</v>
      </c>
      <c r="AN91" s="203" t="str">
        <f t="shared" si="170"/>
        <v>--</v>
      </c>
      <c r="AO91" s="203" t="str">
        <f t="shared" si="141"/>
        <v>--</v>
      </c>
      <c r="AP91" s="203" t="str">
        <f t="shared" si="142"/>
        <v>--</v>
      </c>
      <c r="AQ91" s="203" t="str">
        <f t="shared" si="143"/>
        <v>--</v>
      </c>
      <c r="AR91" s="1262" t="str">
        <f t="shared" si="144"/>
        <v>--</v>
      </c>
      <c r="AS91" s="203">
        <f t="shared" si="171"/>
        <v>235</v>
      </c>
      <c r="AT91" s="193" t="str">
        <f t="shared" si="172"/>
        <v>10% US EPA SW Acute LOEL</v>
      </c>
      <c r="AU91" s="203" t="str">
        <f t="shared" si="145"/>
        <v>--</v>
      </c>
      <c r="AV91" s="203" t="str">
        <f t="shared" si="146"/>
        <v>--</v>
      </c>
      <c r="AW91" s="2047">
        <f t="shared" si="147"/>
        <v>2350</v>
      </c>
      <c r="AX91" s="2054" t="str">
        <f t="shared" si="148"/>
        <v>--</v>
      </c>
      <c r="AZ91" s="22"/>
      <c r="BA91" s="350"/>
      <c r="BB91" s="27">
        <f t="shared" si="149"/>
        <v>24</v>
      </c>
      <c r="BC91" s="351" t="str">
        <f t="shared" si="150"/>
        <v>US EPA Ecotox FW Chronic</v>
      </c>
      <c r="BD91" s="27" t="str">
        <f t="shared" si="151"/>
        <v>--</v>
      </c>
      <c r="BE91" s="351" t="str">
        <f t="shared" si="152"/>
        <v>--</v>
      </c>
      <c r="BF91" s="350"/>
      <c r="BG91" s="350"/>
      <c r="BH91" s="350"/>
      <c r="BI91" s="350"/>
      <c r="BJ91" s="350"/>
      <c r="BK91" s="350"/>
      <c r="BL91" s="1311"/>
      <c r="BM91" s="350"/>
      <c r="BN91" s="350"/>
      <c r="BO91" s="350"/>
      <c r="BP91" s="35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row>
    <row r="92" spans="1:142" ht="12.95" customHeight="1">
      <c r="A92" s="897" t="s">
        <v>257</v>
      </c>
      <c r="B92" s="432" t="s">
        <v>258</v>
      </c>
      <c r="C92" s="205">
        <f t="shared" si="153"/>
        <v>2</v>
      </c>
      <c r="D92" s="207" t="str">
        <f t="shared" si="154"/>
        <v>Freshwater Goal</v>
      </c>
      <c r="E92" s="1637">
        <f t="shared" si="161"/>
        <v>30</v>
      </c>
      <c r="F92" s="187" t="str">
        <f t="shared" si="155"/>
        <v>National Criteria</v>
      </c>
      <c r="G92" s="1326">
        <f t="shared" si="121"/>
        <v>11000</v>
      </c>
      <c r="H92" s="1327" t="str">
        <f t="shared" si="122"/>
        <v>--</v>
      </c>
      <c r="I92" s="1359">
        <f t="shared" si="123"/>
        <v>30</v>
      </c>
      <c r="J92" s="1379">
        <f t="shared" si="156"/>
        <v>2</v>
      </c>
      <c r="K92" s="1361" t="str">
        <f t="shared" si="157"/>
        <v>Freshwater Exposure</v>
      </c>
      <c r="L92" s="209">
        <f t="shared" si="162"/>
        <v>2</v>
      </c>
      <c r="M92" s="1371" t="str">
        <f t="shared" si="124"/>
        <v>50% MOEE FW Chronic LOEL</v>
      </c>
      <c r="N92" s="216">
        <f t="shared" si="163"/>
        <v>2</v>
      </c>
      <c r="O92" s="203" t="str">
        <f t="shared" si="125"/>
        <v>--</v>
      </c>
      <c r="P92" s="203">
        <f t="shared" si="164"/>
        <v>2</v>
      </c>
      <c r="Q92" s="203" t="str">
        <f t="shared" si="126"/>
        <v>--</v>
      </c>
      <c r="R92" s="203" t="str">
        <f t="shared" si="127"/>
        <v>--</v>
      </c>
      <c r="S92" s="203" t="str">
        <f t="shared" si="165"/>
        <v>--</v>
      </c>
      <c r="T92" s="203" t="str">
        <f t="shared" si="128"/>
        <v>--</v>
      </c>
      <c r="U92" s="203" t="str">
        <f t="shared" si="129"/>
        <v>--</v>
      </c>
      <c r="V92" s="203">
        <f t="shared" si="130"/>
        <v>2</v>
      </c>
      <c r="W92" s="193" t="str">
        <f t="shared" si="131"/>
        <v>50% MOEE FW Chronic LOEL</v>
      </c>
      <c r="X92" s="203">
        <f t="shared" si="166"/>
        <v>0.2</v>
      </c>
      <c r="Y92" s="193" t="str">
        <f t="shared" si="167"/>
        <v>10% US EPA FW CMC</v>
      </c>
      <c r="Z92" s="203" t="str">
        <f t="shared" si="132"/>
        <v>--</v>
      </c>
      <c r="AA92" s="203">
        <f t="shared" si="133"/>
        <v>2</v>
      </c>
      <c r="AB92" s="1368" t="str">
        <f t="shared" si="134"/>
        <v>--</v>
      </c>
      <c r="AC92" s="1356">
        <f t="shared" si="158"/>
        <v>15</v>
      </c>
      <c r="AD92" s="1377" t="str">
        <f t="shared" si="159"/>
        <v>Saltwater Exposure</v>
      </c>
      <c r="AE92" s="1353">
        <f t="shared" si="135"/>
        <v>15</v>
      </c>
      <c r="AF92" s="1364" t="str">
        <f t="shared" si="136"/>
        <v>Basin Plan</v>
      </c>
      <c r="AG92" s="216">
        <f t="shared" si="168"/>
        <v>15</v>
      </c>
      <c r="AH92" s="203">
        <f t="shared" si="160"/>
        <v>15</v>
      </c>
      <c r="AI92" s="203">
        <f t="shared" si="137"/>
        <v>15</v>
      </c>
      <c r="AJ92" s="203" t="str">
        <f t="shared" si="138"/>
        <v>--</v>
      </c>
      <c r="AK92" s="203" t="str">
        <f t="shared" si="169"/>
        <v>--</v>
      </c>
      <c r="AL92" s="203" t="str">
        <f t="shared" si="139"/>
        <v>--</v>
      </c>
      <c r="AM92" s="203" t="str">
        <f t="shared" si="140"/>
        <v>--</v>
      </c>
      <c r="AN92" s="203" t="str">
        <f t="shared" si="170"/>
        <v>--</v>
      </c>
      <c r="AO92" s="203" t="str">
        <f t="shared" si="141"/>
        <v>--</v>
      </c>
      <c r="AP92" s="203" t="str">
        <f t="shared" si="142"/>
        <v>--</v>
      </c>
      <c r="AQ92" s="203" t="str">
        <f t="shared" si="143"/>
        <v>--</v>
      </c>
      <c r="AR92" s="1262" t="str">
        <f t="shared" si="144"/>
        <v>--</v>
      </c>
      <c r="AS92" s="203" t="str">
        <f t="shared" si="171"/>
        <v>--</v>
      </c>
      <c r="AT92" s="193" t="str">
        <f t="shared" si="172"/>
        <v>--</v>
      </c>
      <c r="AU92" s="203" t="str">
        <f t="shared" si="145"/>
        <v>--</v>
      </c>
      <c r="AV92" s="203" t="str">
        <f t="shared" si="146"/>
        <v>--</v>
      </c>
      <c r="AW92" s="2047" t="str">
        <f t="shared" si="147"/>
        <v>--</v>
      </c>
      <c r="AX92" s="2054" t="str">
        <f t="shared" si="148"/>
        <v>--</v>
      </c>
      <c r="AZ92" s="22"/>
      <c r="BA92" s="350"/>
      <c r="BB92" s="27">
        <f t="shared" si="149"/>
        <v>2</v>
      </c>
      <c r="BC92" s="351" t="str">
        <f t="shared" si="150"/>
        <v>50% MOEE FW Chronic LOEL</v>
      </c>
      <c r="BD92" s="27" t="str">
        <f t="shared" si="151"/>
        <v>--</v>
      </c>
      <c r="BE92" s="351" t="str">
        <f t="shared" si="152"/>
        <v>--</v>
      </c>
      <c r="BF92" s="350"/>
      <c r="BG92" s="350"/>
      <c r="BH92" s="350"/>
      <c r="BI92" s="350"/>
      <c r="BJ92" s="350"/>
      <c r="BK92" s="350"/>
      <c r="BL92" s="1311"/>
      <c r="BM92" s="350"/>
      <c r="BN92" s="350"/>
      <c r="BO92" s="350"/>
      <c r="BP92" s="35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row>
    <row r="93" spans="1:142" ht="12.95" customHeight="1">
      <c r="A93" s="897" t="s">
        <v>259</v>
      </c>
      <c r="B93" s="432" t="s">
        <v>260</v>
      </c>
      <c r="C93" s="205">
        <f t="shared" si="153"/>
        <v>0.04</v>
      </c>
      <c r="D93" s="207" t="str">
        <f t="shared" si="154"/>
        <v>Seafood Ingestion</v>
      </c>
      <c r="E93" s="1637">
        <f t="shared" si="161"/>
        <v>0.04</v>
      </c>
      <c r="F93" s="187" t="str">
        <f t="shared" si="155"/>
        <v>National Criteria</v>
      </c>
      <c r="G93" s="1326">
        <f t="shared" si="121"/>
        <v>8.1999999999999993</v>
      </c>
      <c r="H93" s="1327" t="str">
        <f t="shared" si="122"/>
        <v>--</v>
      </c>
      <c r="I93" s="1359">
        <f t="shared" si="123"/>
        <v>0.04</v>
      </c>
      <c r="J93" s="1379">
        <f t="shared" si="156"/>
        <v>15</v>
      </c>
      <c r="K93" s="1361" t="str">
        <f t="shared" si="157"/>
        <v>Freshwater Exposure</v>
      </c>
      <c r="L93" s="209">
        <f t="shared" si="162"/>
        <v>15</v>
      </c>
      <c r="M93" s="1371" t="str">
        <f t="shared" si="124"/>
        <v>CTR FW CCC</v>
      </c>
      <c r="N93" s="216">
        <f t="shared" si="163"/>
        <v>15</v>
      </c>
      <c r="O93" s="203" t="str">
        <f t="shared" si="125"/>
        <v>--</v>
      </c>
      <c r="P93" s="203">
        <f t="shared" si="164"/>
        <v>15</v>
      </c>
      <c r="Q93" s="203">
        <f t="shared" si="126"/>
        <v>15</v>
      </c>
      <c r="R93" s="203">
        <f t="shared" si="127"/>
        <v>15</v>
      </c>
      <c r="S93" s="203">
        <f t="shared" si="165"/>
        <v>13</v>
      </c>
      <c r="T93" s="203">
        <f t="shared" si="128"/>
        <v>13</v>
      </c>
      <c r="U93" s="203" t="str">
        <f t="shared" si="129"/>
        <v>--</v>
      </c>
      <c r="V93" s="203" t="str">
        <f t="shared" si="130"/>
        <v>--</v>
      </c>
      <c r="W93" s="193" t="str">
        <f t="shared" si="131"/>
        <v>--</v>
      </c>
      <c r="X93" s="203">
        <f t="shared" si="166"/>
        <v>1.9</v>
      </c>
      <c r="Y93" s="193" t="str">
        <f t="shared" si="167"/>
        <v>10% CTR FW CMC</v>
      </c>
      <c r="Z93" s="203">
        <f t="shared" si="132"/>
        <v>19</v>
      </c>
      <c r="AA93" s="203" t="str">
        <f t="shared" si="133"/>
        <v>--</v>
      </c>
      <c r="AB93" s="1368" t="str">
        <f t="shared" si="134"/>
        <v>--</v>
      </c>
      <c r="AC93" s="1356">
        <f t="shared" si="158"/>
        <v>1</v>
      </c>
      <c r="AD93" s="1377" t="str">
        <f t="shared" si="159"/>
        <v>Saltwater Exposure</v>
      </c>
      <c r="AE93" s="1353">
        <f t="shared" si="135"/>
        <v>1</v>
      </c>
      <c r="AF93" s="1364" t="str">
        <f t="shared" si="136"/>
        <v>Basin Plan</v>
      </c>
      <c r="AG93" s="216">
        <f t="shared" si="168"/>
        <v>1</v>
      </c>
      <c r="AH93" s="203">
        <f t="shared" si="160"/>
        <v>1</v>
      </c>
      <c r="AI93" s="203" t="str">
        <f t="shared" si="137"/>
        <v>--</v>
      </c>
      <c r="AJ93" s="203">
        <f t="shared" si="138"/>
        <v>1</v>
      </c>
      <c r="AK93" s="203">
        <f t="shared" si="169"/>
        <v>7.9</v>
      </c>
      <c r="AL93" s="203">
        <f t="shared" si="139"/>
        <v>7.9</v>
      </c>
      <c r="AM93" s="203">
        <f t="shared" si="140"/>
        <v>7.9</v>
      </c>
      <c r="AN93" s="203">
        <f t="shared" si="170"/>
        <v>7.9</v>
      </c>
      <c r="AO93" s="203">
        <f t="shared" si="141"/>
        <v>7.9</v>
      </c>
      <c r="AP93" s="203" t="str">
        <f t="shared" si="142"/>
        <v>--</v>
      </c>
      <c r="AQ93" s="203" t="str">
        <f t="shared" si="143"/>
        <v>--</v>
      </c>
      <c r="AR93" s="1262" t="str">
        <f t="shared" si="144"/>
        <v>--</v>
      </c>
      <c r="AS93" s="203">
        <f t="shared" si="171"/>
        <v>1.3</v>
      </c>
      <c r="AT93" s="193" t="str">
        <f t="shared" si="172"/>
        <v>10% US EPA SW CMC</v>
      </c>
      <c r="AU93" s="203">
        <f t="shared" si="145"/>
        <v>13</v>
      </c>
      <c r="AV93" s="203">
        <f t="shared" si="146"/>
        <v>13</v>
      </c>
      <c r="AW93" s="2047" t="str">
        <f t="shared" si="147"/>
        <v>--</v>
      </c>
      <c r="AX93" s="2054" t="str">
        <f t="shared" si="148"/>
        <v>--</v>
      </c>
      <c r="AZ93" s="22"/>
      <c r="BA93" s="350"/>
      <c r="BB93" s="27">
        <f t="shared" si="149"/>
        <v>15</v>
      </c>
      <c r="BC93" s="351" t="str">
        <f t="shared" si="150"/>
        <v>CTR FW CCC</v>
      </c>
      <c r="BD93" s="27">
        <f t="shared" si="151"/>
        <v>7.9</v>
      </c>
      <c r="BE93" s="351" t="str">
        <f t="shared" si="152"/>
        <v>CTR SW CCC</v>
      </c>
      <c r="BF93" s="350"/>
      <c r="BG93" s="350"/>
      <c r="BH93" s="350"/>
      <c r="BI93" s="350"/>
      <c r="BJ93" s="350"/>
      <c r="BK93" s="350"/>
      <c r="BL93" s="1311"/>
      <c r="BM93" s="350"/>
      <c r="BN93" s="350"/>
      <c r="BO93" s="350"/>
      <c r="BP93" s="35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row>
    <row r="94" spans="1:142" ht="12.95" customHeight="1">
      <c r="A94" s="897" t="s">
        <v>261</v>
      </c>
      <c r="B94" s="432" t="s">
        <v>1261</v>
      </c>
      <c r="C94" s="205">
        <f t="shared" si="153"/>
        <v>600</v>
      </c>
      <c r="D94" s="207" t="str">
        <f t="shared" si="154"/>
        <v>Freshwater Goal</v>
      </c>
      <c r="E94" s="1637" t="str">
        <f t="shared" si="161"/>
        <v>--</v>
      </c>
      <c r="F94" s="187" t="str">
        <f t="shared" si="155"/>
        <v>--</v>
      </c>
      <c r="G94" s="1326" t="str">
        <f t="shared" si="121"/>
        <v>--</v>
      </c>
      <c r="H94" s="1327" t="str">
        <f t="shared" si="122"/>
        <v>--</v>
      </c>
      <c r="I94" s="1359" t="str">
        <f t="shared" si="123"/>
        <v>--</v>
      </c>
      <c r="J94" s="1379">
        <f t="shared" si="156"/>
        <v>600</v>
      </c>
      <c r="K94" s="1361" t="str">
        <f t="shared" si="157"/>
        <v>Freshwater Exposure</v>
      </c>
      <c r="L94" s="209">
        <f t="shared" si="162"/>
        <v>600</v>
      </c>
      <c r="M94" s="1371" t="str">
        <f t="shared" si="124"/>
        <v>US EPA Ecotox FW Chronic</v>
      </c>
      <c r="N94" s="216">
        <f t="shared" si="163"/>
        <v>600</v>
      </c>
      <c r="O94" s="203" t="str">
        <f t="shared" si="125"/>
        <v>--</v>
      </c>
      <c r="P94" s="203">
        <f t="shared" si="164"/>
        <v>600</v>
      </c>
      <c r="Q94" s="203" t="str">
        <f t="shared" si="126"/>
        <v>--</v>
      </c>
      <c r="R94" s="203" t="str">
        <f t="shared" si="127"/>
        <v>--</v>
      </c>
      <c r="S94" s="203">
        <f t="shared" si="165"/>
        <v>600</v>
      </c>
      <c r="T94" s="203">
        <f t="shared" si="128"/>
        <v>600</v>
      </c>
      <c r="U94" s="203" t="str">
        <f t="shared" si="129"/>
        <v>--</v>
      </c>
      <c r="V94" s="203" t="str">
        <f t="shared" si="130"/>
        <v>--</v>
      </c>
      <c r="W94" s="193" t="str">
        <f t="shared" si="131"/>
        <v>--</v>
      </c>
      <c r="X94" s="203" t="str">
        <f t="shared" si="166"/>
        <v>--</v>
      </c>
      <c r="Y94" s="193" t="str">
        <f t="shared" si="167"/>
        <v>--</v>
      </c>
      <c r="Z94" s="203" t="str">
        <f t="shared" si="132"/>
        <v>--</v>
      </c>
      <c r="AA94" s="203" t="str">
        <f t="shared" si="133"/>
        <v>--</v>
      </c>
      <c r="AB94" s="1368" t="str">
        <f t="shared" si="134"/>
        <v>--</v>
      </c>
      <c r="AC94" s="1356" t="str">
        <f t="shared" si="158"/>
        <v>--</v>
      </c>
      <c r="AD94" s="1377" t="str">
        <f t="shared" si="159"/>
        <v>--</v>
      </c>
      <c r="AE94" s="1353" t="str">
        <f t="shared" si="135"/>
        <v>--</v>
      </c>
      <c r="AF94" s="1364" t="str">
        <f t="shared" si="136"/>
        <v>--</v>
      </c>
      <c r="AG94" s="216" t="str">
        <f t="shared" si="168"/>
        <v>--</v>
      </c>
      <c r="AH94" s="203" t="str">
        <f t="shared" si="160"/>
        <v>--</v>
      </c>
      <c r="AI94" s="203" t="str">
        <f t="shared" si="137"/>
        <v>--</v>
      </c>
      <c r="AJ94" s="203" t="str">
        <f t="shared" si="138"/>
        <v>--</v>
      </c>
      <c r="AK94" s="203" t="str">
        <f t="shared" si="169"/>
        <v>--</v>
      </c>
      <c r="AL94" s="203" t="str">
        <f t="shared" si="139"/>
        <v>--</v>
      </c>
      <c r="AM94" s="203" t="str">
        <f t="shared" si="140"/>
        <v>--</v>
      </c>
      <c r="AN94" s="203" t="str">
        <f t="shared" si="170"/>
        <v>--</v>
      </c>
      <c r="AO94" s="203" t="str">
        <f t="shared" si="141"/>
        <v>--</v>
      </c>
      <c r="AP94" s="203" t="str">
        <f t="shared" si="142"/>
        <v>--</v>
      </c>
      <c r="AQ94" s="203" t="str">
        <f t="shared" si="143"/>
        <v>--</v>
      </c>
      <c r="AR94" s="1262" t="str">
        <f t="shared" si="144"/>
        <v>--</v>
      </c>
      <c r="AS94" s="203" t="str">
        <f t="shared" si="171"/>
        <v>--</v>
      </c>
      <c r="AT94" s="193" t="str">
        <f t="shared" si="172"/>
        <v>--</v>
      </c>
      <c r="AU94" s="203" t="str">
        <f t="shared" si="145"/>
        <v>--</v>
      </c>
      <c r="AV94" s="203" t="str">
        <f t="shared" si="146"/>
        <v>--</v>
      </c>
      <c r="AW94" s="2047" t="str">
        <f t="shared" si="147"/>
        <v>--</v>
      </c>
      <c r="AX94" s="2054" t="str">
        <f t="shared" si="148"/>
        <v>--</v>
      </c>
      <c r="AZ94" s="22"/>
      <c r="BA94" s="350"/>
      <c r="BB94" s="27">
        <f t="shared" si="149"/>
        <v>600</v>
      </c>
      <c r="BC94" s="351" t="str">
        <f t="shared" si="150"/>
        <v>US EPA Ecotox FW Chronic</v>
      </c>
      <c r="BD94" s="27" t="str">
        <f t="shared" si="151"/>
        <v>--</v>
      </c>
      <c r="BE94" s="351" t="str">
        <f t="shared" si="152"/>
        <v>--</v>
      </c>
      <c r="BF94" s="350"/>
      <c r="BG94" s="350"/>
      <c r="BH94" s="350"/>
      <c r="BI94" s="350"/>
      <c r="BJ94" s="350"/>
      <c r="BK94" s="350"/>
      <c r="BL94" s="1311"/>
      <c r="BM94" s="350"/>
      <c r="BN94" s="350"/>
      <c r="BO94" s="350"/>
      <c r="BP94" s="35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row>
    <row r="95" spans="1:142" ht="12.95" customHeight="1">
      <c r="A95" s="897" t="s">
        <v>263</v>
      </c>
      <c r="B95" s="432" t="s">
        <v>115</v>
      </c>
      <c r="C95" s="205">
        <f t="shared" si="153"/>
        <v>443</v>
      </c>
      <c r="D95" s="207" t="str">
        <f t="shared" si="154"/>
        <v>Freshwater Goal</v>
      </c>
      <c r="E95" s="1637" t="str">
        <f t="shared" si="161"/>
        <v>--</v>
      </c>
      <c r="F95" s="187" t="str">
        <f t="shared" si="155"/>
        <v>--</v>
      </c>
      <c r="G95" s="1326" t="str">
        <f t="shared" si="121"/>
        <v>--</v>
      </c>
      <c r="H95" s="1327" t="str">
        <f t="shared" si="122"/>
        <v>--</v>
      </c>
      <c r="I95" s="1359" t="str">
        <f t="shared" si="123"/>
        <v>--</v>
      </c>
      <c r="J95" s="1379">
        <f t="shared" si="156"/>
        <v>443</v>
      </c>
      <c r="K95" s="1361" t="str">
        <f t="shared" si="157"/>
        <v>Freshwater Exposure</v>
      </c>
      <c r="L95" s="209">
        <f>IF(N95="--",X95, N95)</f>
        <v>443</v>
      </c>
      <c r="M95" s="1371" t="str">
        <f t="shared" si="124"/>
        <v>Basin Plan</v>
      </c>
      <c r="N95" s="216">
        <f>IF(AND(O95="--",P95="--"),"--", IF(O95="--",P95, IF(P95="--", O95, MIN(P95,O95))))</f>
        <v>443</v>
      </c>
      <c r="O95" s="203">
        <f>(VLOOKUP($A95,Table_IP_5,MATCH("FW other",heading_IP_5,0),FALSE))</f>
        <v>443</v>
      </c>
      <c r="P95" s="203" t="str">
        <f t="shared" si="164"/>
        <v>--</v>
      </c>
      <c r="Q95" s="203" t="str">
        <f t="shared" si="126"/>
        <v>--</v>
      </c>
      <c r="R95" s="203" t="str">
        <f t="shared" si="127"/>
        <v>--</v>
      </c>
      <c r="S95" s="203" t="str">
        <f t="shared" si="165"/>
        <v>--</v>
      </c>
      <c r="T95" s="203" t="str">
        <f t="shared" si="128"/>
        <v>--</v>
      </c>
      <c r="U95" s="203" t="str">
        <f t="shared" si="129"/>
        <v>--</v>
      </c>
      <c r="V95" s="203" t="str">
        <f t="shared" si="130"/>
        <v>--</v>
      </c>
      <c r="W95" s="193" t="str">
        <f t="shared" si="131"/>
        <v>--</v>
      </c>
      <c r="X95" s="203" t="str">
        <f t="shared" si="166"/>
        <v>--</v>
      </c>
      <c r="Y95" s="193" t="str">
        <f t="shared" si="167"/>
        <v>--</v>
      </c>
      <c r="Z95" s="203" t="str">
        <f t="shared" si="132"/>
        <v>--</v>
      </c>
      <c r="AA95" s="203" t="str">
        <f t="shared" si="133"/>
        <v>--</v>
      </c>
      <c r="AB95" s="1368" t="str">
        <f t="shared" si="134"/>
        <v>--</v>
      </c>
      <c r="AC95" s="1356">
        <f t="shared" si="158"/>
        <v>3700</v>
      </c>
      <c r="AD95" s="1377" t="str">
        <f t="shared" si="159"/>
        <v>Saltwater Exposure</v>
      </c>
      <c r="AE95" s="1353">
        <f t="shared" si="135"/>
        <v>3700</v>
      </c>
      <c r="AF95" s="1364" t="str">
        <f t="shared" si="136"/>
        <v>Basin Plan</v>
      </c>
      <c r="AG95" s="216">
        <f t="shared" si="168"/>
        <v>3700</v>
      </c>
      <c r="AH95" s="203">
        <f t="shared" si="160"/>
        <v>3700</v>
      </c>
      <c r="AI95" s="203">
        <f t="shared" si="137"/>
        <v>3700</v>
      </c>
      <c r="AJ95" s="203" t="str">
        <f t="shared" si="138"/>
        <v>--</v>
      </c>
      <c r="AK95" s="203" t="str">
        <f t="shared" si="169"/>
        <v>--</v>
      </c>
      <c r="AL95" s="203" t="str">
        <f t="shared" si="139"/>
        <v>--</v>
      </c>
      <c r="AM95" s="203" t="str">
        <f t="shared" si="140"/>
        <v>--</v>
      </c>
      <c r="AN95" s="203" t="str">
        <f t="shared" si="170"/>
        <v>--</v>
      </c>
      <c r="AO95" s="203" t="str">
        <f t="shared" si="141"/>
        <v>--</v>
      </c>
      <c r="AP95" s="203" t="str">
        <f t="shared" si="142"/>
        <v>--</v>
      </c>
      <c r="AQ95" s="203" t="str">
        <f t="shared" si="143"/>
        <v>--</v>
      </c>
      <c r="AR95" s="1262" t="str">
        <f t="shared" si="144"/>
        <v>--</v>
      </c>
      <c r="AS95" s="203" t="str">
        <f t="shared" si="171"/>
        <v>--</v>
      </c>
      <c r="AT95" s="193" t="str">
        <f t="shared" si="172"/>
        <v>--</v>
      </c>
      <c r="AU95" s="203" t="str">
        <f t="shared" si="145"/>
        <v>--</v>
      </c>
      <c r="AV95" s="203" t="str">
        <f t="shared" si="146"/>
        <v>--</v>
      </c>
      <c r="AW95" s="2047" t="str">
        <f t="shared" si="147"/>
        <v>--</v>
      </c>
      <c r="AX95" s="2054" t="str">
        <f t="shared" si="148"/>
        <v>--</v>
      </c>
      <c r="AZ95" s="22"/>
      <c r="BA95" s="350"/>
      <c r="BB95" s="27" t="str">
        <f t="shared" si="149"/>
        <v>--</v>
      </c>
      <c r="BC95" s="351" t="str">
        <f t="shared" si="150"/>
        <v>--</v>
      </c>
      <c r="BD95" s="27" t="str">
        <f t="shared" si="151"/>
        <v>--</v>
      </c>
      <c r="BE95" s="351" t="str">
        <f t="shared" si="152"/>
        <v>--</v>
      </c>
      <c r="BF95" s="350"/>
      <c r="BG95" s="350"/>
      <c r="BH95" s="350"/>
      <c r="BI95" s="350"/>
      <c r="BJ95" s="350"/>
      <c r="BK95" s="350"/>
      <c r="BL95" s="1311"/>
      <c r="BM95" s="350"/>
      <c r="BN95" s="350"/>
      <c r="BO95" s="350"/>
      <c r="BP95" s="35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row>
    <row r="96" spans="1:142" ht="12.95" customHeight="1">
      <c r="A96" s="897" t="s">
        <v>264</v>
      </c>
      <c r="B96" s="432" t="s">
        <v>115</v>
      </c>
      <c r="C96" s="205">
        <f t="shared" si="153"/>
        <v>640</v>
      </c>
      <c r="D96" s="207" t="str">
        <f t="shared" si="154"/>
        <v>Freshwater Goal</v>
      </c>
      <c r="E96" s="1637" t="str">
        <f t="shared" si="161"/>
        <v>--</v>
      </c>
      <c r="F96" s="187" t="str">
        <f t="shared" si="155"/>
        <v>--</v>
      </c>
      <c r="G96" s="1326" t="str">
        <f t="shared" si="121"/>
        <v>--</v>
      </c>
      <c r="H96" s="1327" t="str">
        <f t="shared" si="122"/>
        <v>--</v>
      </c>
      <c r="I96" s="1359" t="str">
        <f t="shared" si="123"/>
        <v>--</v>
      </c>
      <c r="J96" s="1379">
        <f t="shared" si="156"/>
        <v>640</v>
      </c>
      <c r="K96" s="1361" t="str">
        <f t="shared" si="157"/>
        <v>Freshwater Exposure</v>
      </c>
      <c r="L96" s="209">
        <f t="shared" si="162"/>
        <v>640</v>
      </c>
      <c r="M96" s="1371" t="str">
        <f t="shared" si="124"/>
        <v>Basin Plan</v>
      </c>
      <c r="N96" s="216">
        <f t="shared" si="163"/>
        <v>640</v>
      </c>
      <c r="O96" s="203">
        <f t="shared" si="125"/>
        <v>640</v>
      </c>
      <c r="P96" s="203" t="str">
        <f t="shared" si="164"/>
        <v>--</v>
      </c>
      <c r="Q96" s="203" t="str">
        <f t="shared" si="126"/>
        <v>--</v>
      </c>
      <c r="R96" s="203" t="str">
        <f t="shared" si="127"/>
        <v>--</v>
      </c>
      <c r="S96" s="203" t="str">
        <f t="shared" si="165"/>
        <v>--</v>
      </c>
      <c r="T96" s="203" t="str">
        <f t="shared" si="128"/>
        <v>--</v>
      </c>
      <c r="U96" s="203" t="str">
        <f t="shared" si="129"/>
        <v>--</v>
      </c>
      <c r="V96" s="203" t="str">
        <f t="shared" si="130"/>
        <v>--</v>
      </c>
      <c r="W96" s="193" t="str">
        <f t="shared" si="131"/>
        <v>--</v>
      </c>
      <c r="X96" s="203" t="str">
        <f t="shared" si="166"/>
        <v>--</v>
      </c>
      <c r="Y96" s="193" t="str">
        <f t="shared" si="167"/>
        <v>--</v>
      </c>
      <c r="Z96" s="203" t="str">
        <f t="shared" si="132"/>
        <v>--</v>
      </c>
      <c r="AA96" s="203" t="str">
        <f t="shared" si="133"/>
        <v>--</v>
      </c>
      <c r="AB96" s="1368" t="str">
        <f t="shared" si="134"/>
        <v>--</v>
      </c>
      <c r="AC96" s="1356">
        <f t="shared" si="158"/>
        <v>640</v>
      </c>
      <c r="AD96" s="1377" t="str">
        <f t="shared" si="159"/>
        <v>Saltwater Exposure</v>
      </c>
      <c r="AE96" s="1353">
        <f t="shared" si="135"/>
        <v>640</v>
      </c>
      <c r="AF96" s="1364" t="str">
        <f t="shared" si="136"/>
        <v>Basin Plan</v>
      </c>
      <c r="AG96" s="216">
        <f t="shared" si="168"/>
        <v>640</v>
      </c>
      <c r="AH96" s="203">
        <f t="shared" si="160"/>
        <v>640</v>
      </c>
      <c r="AI96" s="203">
        <f t="shared" si="137"/>
        <v>640</v>
      </c>
      <c r="AJ96" s="203" t="str">
        <f t="shared" si="138"/>
        <v>--</v>
      </c>
      <c r="AK96" s="203" t="str">
        <f t="shared" si="169"/>
        <v>--</v>
      </c>
      <c r="AL96" s="203" t="str">
        <f t="shared" si="139"/>
        <v>--</v>
      </c>
      <c r="AM96" s="203" t="str">
        <f t="shared" si="140"/>
        <v>--</v>
      </c>
      <c r="AN96" s="203" t="str">
        <f t="shared" si="170"/>
        <v>--</v>
      </c>
      <c r="AO96" s="203" t="str">
        <f t="shared" si="141"/>
        <v>--</v>
      </c>
      <c r="AP96" s="203" t="str">
        <f t="shared" si="142"/>
        <v>--</v>
      </c>
      <c r="AQ96" s="203" t="str">
        <f t="shared" si="143"/>
        <v>--</v>
      </c>
      <c r="AR96" s="1262" t="str">
        <f t="shared" si="144"/>
        <v>--</v>
      </c>
      <c r="AS96" s="203" t="str">
        <f t="shared" si="171"/>
        <v>--</v>
      </c>
      <c r="AT96" s="193" t="str">
        <f t="shared" si="172"/>
        <v>--</v>
      </c>
      <c r="AU96" s="203" t="str">
        <f t="shared" si="145"/>
        <v>--</v>
      </c>
      <c r="AV96" s="203" t="str">
        <f t="shared" si="146"/>
        <v>--</v>
      </c>
      <c r="AW96" s="2047" t="str">
        <f t="shared" si="147"/>
        <v>--</v>
      </c>
      <c r="AX96" s="2054" t="str">
        <f t="shared" si="148"/>
        <v>--</v>
      </c>
      <c r="AZ96" s="22"/>
      <c r="BA96" s="350"/>
      <c r="BB96" s="27" t="str">
        <f t="shared" si="149"/>
        <v>--</v>
      </c>
      <c r="BC96" s="351" t="str">
        <f t="shared" si="150"/>
        <v>--</v>
      </c>
      <c r="BD96" s="27" t="str">
        <f t="shared" si="151"/>
        <v>--</v>
      </c>
      <c r="BE96" s="351" t="str">
        <f t="shared" si="152"/>
        <v>--</v>
      </c>
      <c r="BF96" s="350"/>
      <c r="BG96" s="350"/>
      <c r="BH96" s="350"/>
      <c r="BI96" s="350"/>
      <c r="BJ96" s="350"/>
      <c r="BK96" s="350"/>
      <c r="BL96" s="1311"/>
      <c r="BM96" s="350"/>
      <c r="BN96" s="350"/>
      <c r="BO96" s="350"/>
      <c r="BP96" s="35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row>
    <row r="97" spans="1:142" ht="12.95" customHeight="1">
      <c r="A97" s="897" t="s">
        <v>265</v>
      </c>
      <c r="B97" s="432" t="s">
        <v>115</v>
      </c>
      <c r="C97" s="205">
        <f t="shared" si="153"/>
        <v>640</v>
      </c>
      <c r="D97" s="207" t="str">
        <f t="shared" si="154"/>
        <v>Freshwater Goal</v>
      </c>
      <c r="E97" s="1637" t="str">
        <f t="shared" si="161"/>
        <v>--</v>
      </c>
      <c r="F97" s="187" t="str">
        <f t="shared" si="155"/>
        <v>--</v>
      </c>
      <c r="G97" s="1326" t="str">
        <f t="shared" si="121"/>
        <v>--</v>
      </c>
      <c r="H97" s="1327" t="str">
        <f t="shared" si="122"/>
        <v>--</v>
      </c>
      <c r="I97" s="1359" t="str">
        <f t="shared" si="123"/>
        <v>--</v>
      </c>
      <c r="J97" s="1379">
        <f t="shared" si="156"/>
        <v>640</v>
      </c>
      <c r="K97" s="1361" t="str">
        <f t="shared" si="157"/>
        <v>Freshwater Exposure</v>
      </c>
      <c r="L97" s="209">
        <f t="shared" ref="L97:L124" si="173">IF(N97="--",X97, N97)</f>
        <v>640</v>
      </c>
      <c r="M97" s="1371" t="str">
        <f t="shared" si="124"/>
        <v>Basin Plan</v>
      </c>
      <c r="N97" s="216">
        <f t="shared" ref="N97:N124" si="174">IF(AND(O97="--",P97="--"),"--", IF(O97="--",P97, IF(P97="--", O97, MIN(P97,O97))))</f>
        <v>640</v>
      </c>
      <c r="O97" s="203">
        <f t="shared" si="125"/>
        <v>640</v>
      </c>
      <c r="P97" s="203" t="str">
        <f t="shared" ref="P97:P124" si="175">IF(Q97&lt;&gt;"--",Q97,IF(R97&lt;&gt;"--",R97,IF(S97&lt;&gt;"--",S97, V97)))</f>
        <v>--</v>
      </c>
      <c r="Q97" s="203" t="str">
        <f t="shared" si="126"/>
        <v>--</v>
      </c>
      <c r="R97" s="203" t="str">
        <f t="shared" si="127"/>
        <v>--</v>
      </c>
      <c r="S97" s="203" t="str">
        <f t="shared" ref="S97:S124" si="176">IF(AND(T97="--",U97="--"), "--", IF(T97="--",U97/2, IF(U97="--",T97, MIN(T97,U97/2))))</f>
        <v>--</v>
      </c>
      <c r="T97" s="203" t="str">
        <f t="shared" si="128"/>
        <v>--</v>
      </c>
      <c r="U97" s="203" t="str">
        <f t="shared" si="129"/>
        <v>--</v>
      </c>
      <c r="V97" s="203" t="str">
        <f t="shared" si="130"/>
        <v>--</v>
      </c>
      <c r="W97" s="193" t="str">
        <f t="shared" si="131"/>
        <v>--</v>
      </c>
      <c r="X97" s="203" t="str">
        <f t="shared" ref="X97:X124" si="177">IF(AND(Z97="--",AA97="--",AB97="--"), "--", (IF(Z97&lt;&gt;"--",Z97/10,(IF(AA97&lt;&gt;"--",AA97/10,AB97/10)))))</f>
        <v>--</v>
      </c>
      <c r="Y97" s="193" t="str">
        <f t="shared" ref="Y97:Y124" si="178">IF(X97="--","--",IF(AND(Z97="--",AA97="--"),"10% US EPA FW Acute LOEL",IF(AA97="--","10% CTR FW CMC","10% US EPA FW CMC")))</f>
        <v>--</v>
      </c>
      <c r="Z97" s="203" t="str">
        <f t="shared" si="132"/>
        <v>--</v>
      </c>
      <c r="AA97" s="203" t="str">
        <f t="shared" si="133"/>
        <v>--</v>
      </c>
      <c r="AB97" s="1368" t="str">
        <f t="shared" si="134"/>
        <v>--</v>
      </c>
      <c r="AC97" s="1356">
        <f t="shared" si="158"/>
        <v>640</v>
      </c>
      <c r="AD97" s="1377" t="str">
        <f t="shared" si="159"/>
        <v>Saltwater Exposure</v>
      </c>
      <c r="AE97" s="1353">
        <f t="shared" si="135"/>
        <v>640</v>
      </c>
      <c r="AF97" s="1364" t="str">
        <f t="shared" si="136"/>
        <v>Basin Plan</v>
      </c>
      <c r="AG97" s="216">
        <f t="shared" ref="AG97:AG124" si="179">IF(AND(AH97="--",AK97="--"),"--", IF(AH97="--",AK97, IF(AK97="--", AH97, MIN(AK97,AH97))))</f>
        <v>640</v>
      </c>
      <c r="AH97" s="203">
        <f t="shared" si="160"/>
        <v>640</v>
      </c>
      <c r="AI97" s="203">
        <f t="shared" si="137"/>
        <v>640</v>
      </c>
      <c r="AJ97" s="203" t="str">
        <f t="shared" si="138"/>
        <v>--</v>
      </c>
      <c r="AK97" s="203" t="str">
        <f t="shared" ref="AK97:AK124" si="180">IF(AL97&lt;&gt;"--",AL97,IF(AM97&lt;&gt;"--",AM97,IF(AN97&lt;&gt;"--",AN97,IF(AQ97&lt;&gt;"--",AQ97,"--"))))</f>
        <v>--</v>
      </c>
      <c r="AL97" s="203" t="str">
        <f t="shared" si="139"/>
        <v>--</v>
      </c>
      <c r="AM97" s="203" t="str">
        <f t="shared" si="140"/>
        <v>--</v>
      </c>
      <c r="AN97" s="203" t="str">
        <f t="shared" ref="AN97:AN124" si="181">IF(AND(AO97="--",AP97="--"), "--", IF(AO97="--",AP97/2, IF(AP97="--",AO97, MIN(AO97,AP97/2))))</f>
        <v>--</v>
      </c>
      <c r="AO97" s="203" t="str">
        <f t="shared" si="141"/>
        <v>--</v>
      </c>
      <c r="AP97" s="203" t="str">
        <f t="shared" si="142"/>
        <v>--</v>
      </c>
      <c r="AQ97" s="203" t="str">
        <f t="shared" si="143"/>
        <v>--</v>
      </c>
      <c r="AR97" s="1262" t="str">
        <f t="shared" si="144"/>
        <v>--</v>
      </c>
      <c r="AS97" s="203" t="str">
        <f t="shared" ref="AS97:AS124" si="182">IF(AND(AU97="--",AV97="--",AW97="--"), "--", (IF(AU97&lt;&gt;"--",AU97/10,(IF(AV97&lt;&gt;"--",AV97/10,AW97/10)))))</f>
        <v>--</v>
      </c>
      <c r="AT97" s="193" t="str">
        <f t="shared" ref="AT97:AT124" si="183">IF(AS97="--","--",IF(AND(AU97="--",AV97="--"),"10% US EPA SW Acute LOEL",IF(AV97="--","10% CTR SW CMC","10% US EPA SW CMC")))</f>
        <v>--</v>
      </c>
      <c r="AU97" s="203" t="str">
        <f t="shared" si="145"/>
        <v>--</v>
      </c>
      <c r="AV97" s="203" t="str">
        <f t="shared" si="146"/>
        <v>--</v>
      </c>
      <c r="AW97" s="2047" t="str">
        <f t="shared" si="147"/>
        <v>--</v>
      </c>
      <c r="AX97" s="2054" t="str">
        <f t="shared" si="148"/>
        <v>--</v>
      </c>
      <c r="AZ97" s="22"/>
      <c r="BA97" s="350"/>
      <c r="BB97" s="27" t="str">
        <f t="shared" si="149"/>
        <v>--</v>
      </c>
      <c r="BC97" s="351" t="str">
        <f t="shared" si="150"/>
        <v>--</v>
      </c>
      <c r="BD97" s="27" t="str">
        <f t="shared" si="151"/>
        <v>--</v>
      </c>
      <c r="BE97" s="351" t="str">
        <f t="shared" si="152"/>
        <v>--</v>
      </c>
      <c r="BF97" s="350"/>
      <c r="BG97" s="350"/>
      <c r="BH97" s="350"/>
      <c r="BI97" s="350"/>
      <c r="BJ97" s="350"/>
      <c r="BK97" s="350"/>
      <c r="BL97" s="1308"/>
      <c r="BM97" s="350"/>
      <c r="BN97" s="350"/>
      <c r="BO97" s="350"/>
      <c r="BP97" s="35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row>
    <row r="98" spans="1:142" ht="12.95" customHeight="1">
      <c r="A98" s="897" t="s">
        <v>266</v>
      </c>
      <c r="B98" s="432" t="s">
        <v>115</v>
      </c>
      <c r="C98" s="205">
        <f t="shared" si="153"/>
        <v>640</v>
      </c>
      <c r="D98" s="207" t="str">
        <f t="shared" si="154"/>
        <v>Freshwater Goal</v>
      </c>
      <c r="E98" s="1637" t="str">
        <f t="shared" si="161"/>
        <v>--</v>
      </c>
      <c r="F98" s="187" t="str">
        <f t="shared" si="155"/>
        <v>--</v>
      </c>
      <c r="G98" s="1326" t="str">
        <f t="shared" si="121"/>
        <v>--</v>
      </c>
      <c r="H98" s="1327" t="str">
        <f t="shared" si="122"/>
        <v>--</v>
      </c>
      <c r="I98" s="1359" t="str">
        <f t="shared" si="123"/>
        <v>--</v>
      </c>
      <c r="J98" s="1379">
        <f t="shared" si="156"/>
        <v>640</v>
      </c>
      <c r="K98" s="1361" t="str">
        <f t="shared" si="157"/>
        <v>Freshwater Exposure</v>
      </c>
      <c r="L98" s="209">
        <f t="shared" si="173"/>
        <v>640</v>
      </c>
      <c r="M98" s="1371" t="str">
        <f t="shared" si="124"/>
        <v>Basin Plan</v>
      </c>
      <c r="N98" s="216">
        <f t="shared" si="174"/>
        <v>640</v>
      </c>
      <c r="O98" s="203">
        <f t="shared" si="125"/>
        <v>640</v>
      </c>
      <c r="P98" s="203" t="str">
        <f t="shared" si="175"/>
        <v>--</v>
      </c>
      <c r="Q98" s="203" t="str">
        <f t="shared" si="126"/>
        <v>--</v>
      </c>
      <c r="R98" s="203" t="str">
        <f t="shared" si="127"/>
        <v>--</v>
      </c>
      <c r="S98" s="203" t="str">
        <f t="shared" si="176"/>
        <v>--</v>
      </c>
      <c r="T98" s="203" t="str">
        <f t="shared" si="128"/>
        <v>--</v>
      </c>
      <c r="U98" s="203" t="str">
        <f t="shared" si="129"/>
        <v>--</v>
      </c>
      <c r="V98" s="203" t="str">
        <f t="shared" si="130"/>
        <v>--</v>
      </c>
      <c r="W98" s="193" t="str">
        <f t="shared" si="131"/>
        <v>--</v>
      </c>
      <c r="X98" s="203" t="str">
        <f t="shared" si="177"/>
        <v>--</v>
      </c>
      <c r="Y98" s="193" t="str">
        <f t="shared" si="178"/>
        <v>--</v>
      </c>
      <c r="Z98" s="203" t="str">
        <f t="shared" si="132"/>
        <v>--</v>
      </c>
      <c r="AA98" s="203" t="str">
        <f t="shared" si="133"/>
        <v>--</v>
      </c>
      <c r="AB98" s="1368" t="str">
        <f t="shared" si="134"/>
        <v>--</v>
      </c>
      <c r="AC98" s="1356">
        <f t="shared" si="158"/>
        <v>640</v>
      </c>
      <c r="AD98" s="1377" t="str">
        <f t="shared" si="159"/>
        <v>Saltwater Exposure</v>
      </c>
      <c r="AE98" s="1353">
        <f t="shared" si="135"/>
        <v>640</v>
      </c>
      <c r="AF98" s="1364" t="str">
        <f t="shared" si="136"/>
        <v>Basin Plan</v>
      </c>
      <c r="AG98" s="216">
        <f t="shared" si="179"/>
        <v>640</v>
      </c>
      <c r="AH98" s="203">
        <f t="shared" si="160"/>
        <v>640</v>
      </c>
      <c r="AI98" s="203">
        <f t="shared" si="137"/>
        <v>640</v>
      </c>
      <c r="AJ98" s="203" t="str">
        <f t="shared" si="138"/>
        <v>--</v>
      </c>
      <c r="AK98" s="203" t="str">
        <f t="shared" si="180"/>
        <v>--</v>
      </c>
      <c r="AL98" s="203" t="str">
        <f t="shared" si="139"/>
        <v>--</v>
      </c>
      <c r="AM98" s="203" t="str">
        <f t="shared" si="140"/>
        <v>--</v>
      </c>
      <c r="AN98" s="203" t="str">
        <f t="shared" si="181"/>
        <v>--</v>
      </c>
      <c r="AO98" s="203" t="str">
        <f t="shared" si="141"/>
        <v>--</v>
      </c>
      <c r="AP98" s="203" t="str">
        <f t="shared" si="142"/>
        <v>--</v>
      </c>
      <c r="AQ98" s="203" t="str">
        <f t="shared" si="143"/>
        <v>--</v>
      </c>
      <c r="AR98" s="1262" t="str">
        <f t="shared" si="144"/>
        <v>--</v>
      </c>
      <c r="AS98" s="203" t="str">
        <f t="shared" si="182"/>
        <v>--</v>
      </c>
      <c r="AT98" s="193" t="str">
        <f t="shared" si="183"/>
        <v>--</v>
      </c>
      <c r="AU98" s="203" t="str">
        <f t="shared" si="145"/>
        <v>--</v>
      </c>
      <c r="AV98" s="203" t="str">
        <f t="shared" si="146"/>
        <v>--</v>
      </c>
      <c r="AW98" s="2047" t="str">
        <f t="shared" si="147"/>
        <v>--</v>
      </c>
      <c r="AX98" s="2054" t="str">
        <f t="shared" si="148"/>
        <v>--</v>
      </c>
      <c r="AZ98" s="22"/>
      <c r="BA98" s="350"/>
      <c r="BB98" s="27" t="str">
        <f t="shared" si="149"/>
        <v>--</v>
      </c>
      <c r="BC98" s="351" t="str">
        <f t="shared" si="150"/>
        <v>--</v>
      </c>
      <c r="BD98" s="27" t="str">
        <f t="shared" si="151"/>
        <v>--</v>
      </c>
      <c r="BE98" s="351" t="str">
        <f t="shared" si="152"/>
        <v>--</v>
      </c>
      <c r="BF98" s="350"/>
      <c r="BG98" s="350"/>
      <c r="BH98" s="350"/>
      <c r="BI98" s="350"/>
      <c r="BJ98" s="350"/>
      <c r="BK98" s="350"/>
      <c r="BL98" s="1308"/>
      <c r="BM98" s="350"/>
      <c r="BN98" s="350"/>
      <c r="BO98" s="350"/>
      <c r="BP98" s="35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row>
    <row r="99" spans="1:142" ht="12.95" customHeight="1">
      <c r="A99" s="897" t="s">
        <v>267</v>
      </c>
      <c r="B99" s="432" t="s">
        <v>115</v>
      </c>
      <c r="C99" s="205">
        <f t="shared" si="153"/>
        <v>640</v>
      </c>
      <c r="D99" s="207" t="str">
        <f t="shared" si="154"/>
        <v>Freshwater Goal</v>
      </c>
      <c r="E99" s="1637" t="str">
        <f t="shared" si="161"/>
        <v>--</v>
      </c>
      <c r="F99" s="187" t="str">
        <f t="shared" si="155"/>
        <v>--</v>
      </c>
      <c r="G99" s="1326" t="str">
        <f t="shared" si="121"/>
        <v>--</v>
      </c>
      <c r="H99" s="1327" t="str">
        <f t="shared" si="122"/>
        <v>--</v>
      </c>
      <c r="I99" s="1359" t="str">
        <f t="shared" si="123"/>
        <v>--</v>
      </c>
      <c r="J99" s="1379">
        <f t="shared" si="156"/>
        <v>640</v>
      </c>
      <c r="K99" s="1361" t="str">
        <f t="shared" si="157"/>
        <v>Freshwater Exposure</v>
      </c>
      <c r="L99" s="209">
        <f t="shared" si="173"/>
        <v>640</v>
      </c>
      <c r="M99" s="1371" t="str">
        <f t="shared" si="124"/>
        <v>Basin Plan</v>
      </c>
      <c r="N99" s="216">
        <f t="shared" si="174"/>
        <v>640</v>
      </c>
      <c r="O99" s="203">
        <f t="shared" si="125"/>
        <v>640</v>
      </c>
      <c r="P99" s="203" t="str">
        <f t="shared" si="175"/>
        <v>--</v>
      </c>
      <c r="Q99" s="203" t="str">
        <f t="shared" si="126"/>
        <v>--</v>
      </c>
      <c r="R99" s="203" t="str">
        <f t="shared" si="127"/>
        <v>--</v>
      </c>
      <c r="S99" s="203" t="str">
        <f t="shared" si="176"/>
        <v>--</v>
      </c>
      <c r="T99" s="203" t="str">
        <f t="shared" si="128"/>
        <v>--</v>
      </c>
      <c r="U99" s="203" t="str">
        <f t="shared" si="129"/>
        <v>--</v>
      </c>
      <c r="V99" s="203" t="str">
        <f t="shared" si="130"/>
        <v>--</v>
      </c>
      <c r="W99" s="193" t="str">
        <f t="shared" si="131"/>
        <v>--</v>
      </c>
      <c r="X99" s="203" t="str">
        <f t="shared" si="177"/>
        <v>--</v>
      </c>
      <c r="Y99" s="193" t="str">
        <f t="shared" si="178"/>
        <v>--</v>
      </c>
      <c r="Z99" s="203" t="str">
        <f t="shared" si="132"/>
        <v>--</v>
      </c>
      <c r="AA99" s="203" t="str">
        <f t="shared" si="133"/>
        <v>--</v>
      </c>
      <c r="AB99" s="1368" t="str">
        <f t="shared" si="134"/>
        <v>--</v>
      </c>
      <c r="AC99" s="1356">
        <f t="shared" si="158"/>
        <v>640</v>
      </c>
      <c r="AD99" s="1377" t="str">
        <f t="shared" si="159"/>
        <v>Saltwater Exposure</v>
      </c>
      <c r="AE99" s="1353">
        <f t="shared" si="135"/>
        <v>640</v>
      </c>
      <c r="AF99" s="1364" t="str">
        <f t="shared" si="136"/>
        <v>Basin Plan</v>
      </c>
      <c r="AG99" s="216">
        <f t="shared" si="179"/>
        <v>640</v>
      </c>
      <c r="AH99" s="203">
        <f t="shared" si="160"/>
        <v>640</v>
      </c>
      <c r="AI99" s="203">
        <f t="shared" si="137"/>
        <v>640</v>
      </c>
      <c r="AJ99" s="203" t="str">
        <f t="shared" si="138"/>
        <v>--</v>
      </c>
      <c r="AK99" s="203" t="str">
        <f t="shared" si="180"/>
        <v>--</v>
      </c>
      <c r="AL99" s="203" t="str">
        <f t="shared" si="139"/>
        <v>--</v>
      </c>
      <c r="AM99" s="203" t="str">
        <f t="shared" si="140"/>
        <v>--</v>
      </c>
      <c r="AN99" s="203" t="str">
        <f t="shared" si="181"/>
        <v>--</v>
      </c>
      <c r="AO99" s="203" t="str">
        <f t="shared" si="141"/>
        <v>--</v>
      </c>
      <c r="AP99" s="203" t="str">
        <f t="shared" si="142"/>
        <v>--</v>
      </c>
      <c r="AQ99" s="203" t="str">
        <f t="shared" si="143"/>
        <v>--</v>
      </c>
      <c r="AR99" s="1262" t="str">
        <f t="shared" si="144"/>
        <v>--</v>
      </c>
      <c r="AS99" s="203" t="str">
        <f t="shared" si="182"/>
        <v>--</v>
      </c>
      <c r="AT99" s="193" t="str">
        <f t="shared" si="183"/>
        <v>--</v>
      </c>
      <c r="AU99" s="203" t="str">
        <f t="shared" si="145"/>
        <v>--</v>
      </c>
      <c r="AV99" s="203" t="str">
        <f t="shared" si="146"/>
        <v>--</v>
      </c>
      <c r="AW99" s="2047" t="str">
        <f t="shared" si="147"/>
        <v>--</v>
      </c>
      <c r="AX99" s="2054" t="str">
        <f t="shared" si="148"/>
        <v>--</v>
      </c>
      <c r="AZ99" s="22"/>
      <c r="BA99" s="350"/>
      <c r="BB99" s="27" t="str">
        <f t="shared" si="149"/>
        <v>--</v>
      </c>
      <c r="BC99" s="351" t="str">
        <f t="shared" si="150"/>
        <v>--</v>
      </c>
      <c r="BD99" s="27" t="str">
        <f t="shared" si="151"/>
        <v>--</v>
      </c>
      <c r="BE99" s="351" t="str">
        <f t="shared" si="152"/>
        <v>--</v>
      </c>
      <c r="BF99" s="350"/>
      <c r="BG99" s="350"/>
      <c r="BH99" s="350"/>
      <c r="BI99" s="350"/>
      <c r="BJ99" s="350"/>
      <c r="BK99" s="350"/>
      <c r="BL99" s="1308"/>
      <c r="BM99" s="350"/>
      <c r="BN99" s="350"/>
      <c r="BO99" s="350"/>
      <c r="BP99" s="35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row>
    <row r="100" spans="1:142" ht="12.95" customHeight="1">
      <c r="A100" s="1141" t="s">
        <v>268</v>
      </c>
      <c r="B100" s="432" t="s">
        <v>115</v>
      </c>
      <c r="C100" s="205" t="str">
        <f t="shared" si="153"/>
        <v>--</v>
      </c>
      <c r="D100" s="207" t="str">
        <f t="shared" si="154"/>
        <v>--</v>
      </c>
      <c r="E100" s="1637" t="str">
        <f t="shared" si="161"/>
        <v>--</v>
      </c>
      <c r="F100" s="187" t="str">
        <f t="shared" si="155"/>
        <v>--</v>
      </c>
      <c r="G100" s="1326" t="str">
        <f t="shared" si="121"/>
        <v>--</v>
      </c>
      <c r="H100" s="1327" t="str">
        <f t="shared" si="122"/>
        <v>--</v>
      </c>
      <c r="I100" s="1359" t="str">
        <f t="shared" si="123"/>
        <v>--</v>
      </c>
      <c r="J100" s="1379" t="str">
        <f t="shared" si="156"/>
        <v>--</v>
      </c>
      <c r="K100" s="1361" t="str">
        <f t="shared" si="157"/>
        <v>--</v>
      </c>
      <c r="L100" s="209" t="str">
        <f t="shared" si="173"/>
        <v>--</v>
      </c>
      <c r="M100" s="1371" t="str">
        <f t="shared" si="124"/>
        <v>--</v>
      </c>
      <c r="N100" s="216" t="str">
        <f t="shared" si="174"/>
        <v>--</v>
      </c>
      <c r="O100" s="203" t="str">
        <f t="shared" si="125"/>
        <v>--</v>
      </c>
      <c r="P100" s="203" t="str">
        <f t="shared" si="175"/>
        <v>--</v>
      </c>
      <c r="Q100" s="203" t="str">
        <f t="shared" si="126"/>
        <v>--</v>
      </c>
      <c r="R100" s="203" t="str">
        <f t="shared" si="127"/>
        <v>--</v>
      </c>
      <c r="S100" s="203" t="str">
        <f t="shared" si="176"/>
        <v>--</v>
      </c>
      <c r="T100" s="203" t="str">
        <f t="shared" si="128"/>
        <v>--</v>
      </c>
      <c r="U100" s="203" t="str">
        <f t="shared" si="129"/>
        <v>--</v>
      </c>
      <c r="V100" s="203" t="str">
        <f t="shared" si="130"/>
        <v>--</v>
      </c>
      <c r="W100" s="193" t="str">
        <f t="shared" si="131"/>
        <v>--</v>
      </c>
      <c r="X100" s="203" t="str">
        <f t="shared" si="177"/>
        <v>--</v>
      </c>
      <c r="Y100" s="193" t="str">
        <f t="shared" si="178"/>
        <v>--</v>
      </c>
      <c r="Z100" s="203" t="str">
        <f t="shared" si="132"/>
        <v>--</v>
      </c>
      <c r="AA100" s="203" t="str">
        <f t="shared" si="133"/>
        <v>--</v>
      </c>
      <c r="AB100" s="1368" t="str">
        <f t="shared" si="134"/>
        <v>--</v>
      </c>
      <c r="AC100" s="1356" t="str">
        <f t="shared" si="158"/>
        <v>--</v>
      </c>
      <c r="AD100" s="1377" t="str">
        <f t="shared" si="159"/>
        <v>--</v>
      </c>
      <c r="AE100" s="1353" t="str">
        <f t="shared" si="135"/>
        <v>--</v>
      </c>
      <c r="AF100" s="1364" t="str">
        <f t="shared" si="136"/>
        <v>--</v>
      </c>
      <c r="AG100" s="216" t="str">
        <f t="shared" si="179"/>
        <v>--</v>
      </c>
      <c r="AH100" s="203" t="str">
        <f t="shared" si="160"/>
        <v>--</v>
      </c>
      <c r="AI100" s="203" t="str">
        <f t="shared" si="137"/>
        <v>--</v>
      </c>
      <c r="AJ100" s="203" t="str">
        <f t="shared" si="138"/>
        <v>--</v>
      </c>
      <c r="AK100" s="203" t="str">
        <f t="shared" si="180"/>
        <v>--</v>
      </c>
      <c r="AL100" s="203" t="str">
        <f t="shared" si="139"/>
        <v>--</v>
      </c>
      <c r="AM100" s="203" t="str">
        <f t="shared" si="140"/>
        <v>--</v>
      </c>
      <c r="AN100" s="203" t="str">
        <f t="shared" si="181"/>
        <v>--</v>
      </c>
      <c r="AO100" s="203" t="str">
        <f t="shared" si="141"/>
        <v>--</v>
      </c>
      <c r="AP100" s="203" t="str">
        <f t="shared" si="142"/>
        <v>--</v>
      </c>
      <c r="AQ100" s="203" t="str">
        <f t="shared" si="143"/>
        <v>--</v>
      </c>
      <c r="AR100" s="1262" t="str">
        <f t="shared" si="144"/>
        <v>--</v>
      </c>
      <c r="AS100" s="203" t="str">
        <f t="shared" si="182"/>
        <v>--</v>
      </c>
      <c r="AT100" s="193" t="str">
        <f t="shared" si="183"/>
        <v>--</v>
      </c>
      <c r="AU100" s="203" t="str">
        <f t="shared" si="145"/>
        <v>--</v>
      </c>
      <c r="AV100" s="203" t="str">
        <f t="shared" si="146"/>
        <v>--</v>
      </c>
      <c r="AW100" s="2047" t="str">
        <f t="shared" si="147"/>
        <v>--</v>
      </c>
      <c r="AX100" s="2054" t="str">
        <f t="shared" si="148"/>
        <v>--</v>
      </c>
      <c r="AZ100" s="22"/>
      <c r="BA100" s="350"/>
      <c r="BB100" s="27" t="str">
        <f t="shared" si="149"/>
        <v>--</v>
      </c>
      <c r="BC100" s="351" t="str">
        <f t="shared" si="150"/>
        <v>--</v>
      </c>
      <c r="BD100" s="27" t="str">
        <f t="shared" si="151"/>
        <v>--</v>
      </c>
      <c r="BE100" s="351" t="str">
        <f t="shared" si="152"/>
        <v>--</v>
      </c>
      <c r="BF100" s="350"/>
      <c r="BG100" s="350"/>
      <c r="BH100" s="350"/>
      <c r="BI100" s="350"/>
      <c r="BJ100" s="350"/>
      <c r="BK100" s="350"/>
      <c r="BL100" s="1308"/>
      <c r="BM100" s="350"/>
      <c r="BN100" s="350"/>
      <c r="BO100" s="350"/>
      <c r="BP100" s="35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row>
    <row r="101" spans="1:142" ht="12.95" customHeight="1">
      <c r="A101" s="897" t="s">
        <v>269</v>
      </c>
      <c r="B101" s="432" t="s">
        <v>270</v>
      </c>
      <c r="C101" s="205" t="str">
        <f t="shared" si="153"/>
        <v>--</v>
      </c>
      <c r="D101" s="207" t="str">
        <f t="shared" si="154"/>
        <v>--</v>
      </c>
      <c r="E101" s="1637" t="str">
        <f t="shared" si="161"/>
        <v>--</v>
      </c>
      <c r="F101" s="187" t="str">
        <f t="shared" si="155"/>
        <v>--</v>
      </c>
      <c r="G101" s="1326" t="str">
        <f t="shared" ref="G101:G128" si="184">IF((VLOOKUP($A101,Table_IP_7,MATCH("ctr",heading_IP_7,0),FALSE))="--", "--",(VLOOKUP($A101,Table_IP_7,MATCH("ctr",heading_IP_7,0),FALSE)))</f>
        <v>--</v>
      </c>
      <c r="H101" s="1327" t="str">
        <f t="shared" ref="H101:H132" si="185">IF((VLOOKUP($A101,Table_IP_7,MATCH("op",heading_IP_7,0),FALSE))="--", "--",(VLOOKUP($A101,Table_IP_7,MATCH("op",heading_IP_7,0),FALSE)))</f>
        <v>--</v>
      </c>
      <c r="I101" s="1359" t="str">
        <f t="shared" ref="I101:I128" si="186">IF((VLOOKUP($A101,Table_IP_7,MATCH("nwq",heading_IP_7,0),FALSE))="--", "--",(VLOOKUP($A101,Table_IP_7,MATCH("nwq",heading_IP_7,0),FALSE)))</f>
        <v>--</v>
      </c>
      <c r="J101" s="1379">
        <f t="shared" si="156"/>
        <v>0.2</v>
      </c>
      <c r="K101" s="1361" t="str">
        <f t="shared" si="157"/>
        <v>Bioaccumulation Exposure</v>
      </c>
      <c r="L101" s="209" t="str">
        <f t="shared" si="173"/>
        <v>--</v>
      </c>
      <c r="M101" s="1371" t="str">
        <f t="shared" ref="M101:M132" si="187">IF(L101="--", "--", IF(L101=BB101,BC101,(IF(L101=X101,Y101,(IF(L101=O101,"Basin Plan",""))))))</f>
        <v>--</v>
      </c>
      <c r="N101" s="216" t="str">
        <f t="shared" si="174"/>
        <v>--</v>
      </c>
      <c r="O101" s="203" t="str">
        <f t="shared" ref="O101:O139" si="188">(VLOOKUP($A101,Table_IP_5,MATCH("FW other",heading_IP_5,0),FALSE))</f>
        <v>--</v>
      </c>
      <c r="P101" s="203" t="str">
        <f t="shared" si="175"/>
        <v>--</v>
      </c>
      <c r="Q101" s="203" t="str">
        <f t="shared" ref="Q101:Q139" si="189">(VLOOKUP($A101,Table_IP_5,MATCH("FW CCC",heading_IP_5,0),FALSE))</f>
        <v>--</v>
      </c>
      <c r="R101" s="203" t="str">
        <f t="shared" ref="R101:R139" si="190">VLOOKUP($A101,Table_IP_6, MATCH("FW CCC", heading_IP_6, 0), FALSE)</f>
        <v>--</v>
      </c>
      <c r="S101" s="203" t="str">
        <f t="shared" si="176"/>
        <v>--</v>
      </c>
      <c r="T101" s="203" t="str">
        <f t="shared" ref="T101:T139" si="191">(VLOOKUP($A101,Table_IP_6, MATCH("FW TH", heading_IP_6, 0), FALSE))</f>
        <v>--</v>
      </c>
      <c r="U101" s="203" t="str">
        <f t="shared" ref="U101:U139" si="192">(VLOOKUP($A101,Table_IP_6, MATCH("FW C-LOEL", heading_IP_6, 0), FALSE))</f>
        <v>--</v>
      </c>
      <c r="V101" s="203" t="str">
        <f t="shared" ref="V101:V139" si="193">(VLOOKUP($A101,Table_IP_6, MATCH("FW other", heading_IP_6, 0), FALSE))</f>
        <v>--</v>
      </c>
      <c r="W101" s="193" t="str">
        <f t="shared" ref="W101:W139" si="194">IF(VLOOKUP($A101,Table_IP_6, MATCH("FW other basis", heading_IP_6, 0), FALSE)=0, " ", (VLOOKUP($A101,Table_IP_6, MATCH("FW other basis", heading_IP_6, 0), FALSE)))</f>
        <v>--</v>
      </c>
      <c r="X101" s="203" t="str">
        <f t="shared" si="177"/>
        <v>--</v>
      </c>
      <c r="Y101" s="193" t="str">
        <f t="shared" si="178"/>
        <v>--</v>
      </c>
      <c r="Z101" s="203" t="str">
        <f t="shared" ref="Z101:Z139" si="195">(VLOOKUP($A101,Table_IP_5, MATCH("FW CMC", heading_IP_5, 0), FALSE))</f>
        <v>--</v>
      </c>
      <c r="AA101" s="203" t="str">
        <f t="shared" ref="AA101:AA139" si="196">(VLOOKUP($A101,Table_IP_6, MATCH("FW other", heading_IP_6, 0), FALSE))</f>
        <v>--</v>
      </c>
      <c r="AB101" s="1368" t="str">
        <f t="shared" ref="AB101:AB139" si="197">(VLOOKUP($A101,Table_IP_6, MATCH("FW A-LOEL", heading_IP_6, 0), FALSE))</f>
        <v>--</v>
      </c>
      <c r="AC101" s="1356">
        <f t="shared" si="158"/>
        <v>0.2</v>
      </c>
      <c r="AD101" s="1377" t="str">
        <f t="shared" si="159"/>
        <v>Bioaccumulation Exposure</v>
      </c>
      <c r="AE101" s="1353" t="str">
        <f t="shared" ref="AE101:AE132" si="198">IF(AG101="--",AS101, AG101)</f>
        <v>--</v>
      </c>
      <c r="AF101" s="1364" t="str">
        <f t="shared" ref="AF101:AF132" si="199">IF(AE101=BD101,BE101,(IF(AE101=AS101,AT101,(IF(AE101=AH101,"Basin Plan","")))))</f>
        <v>--</v>
      </c>
      <c r="AG101" s="216" t="str">
        <f t="shared" si="179"/>
        <v>--</v>
      </c>
      <c r="AH101" s="203" t="str">
        <f t="shared" si="160"/>
        <v>--</v>
      </c>
      <c r="AI101" s="203" t="str">
        <f t="shared" ref="AI101:AI139" si="200">VLOOKUP($A101,Table_IP_5,MATCH("M other",heading_IP_5,0),FALSE)</f>
        <v>--</v>
      </c>
      <c r="AJ101" s="203" t="str">
        <f t="shared" ref="AJ101:AJ132" si="201">VLOOKUP($A101,Table_IP_5,MATCH("M M",heading_IP_5,0),FALSE)</f>
        <v>--</v>
      </c>
      <c r="AK101" s="203" t="str">
        <f t="shared" si="180"/>
        <v>--</v>
      </c>
      <c r="AL101" s="203" t="str">
        <f t="shared" ref="AL101:AL139" si="202">(VLOOKUP($A101,Table_IP_5, MATCH("M CCC", heading_IP_5, 0), FALSE))</f>
        <v>--</v>
      </c>
      <c r="AM101" s="203" t="str">
        <f t="shared" ref="AM101:AM139" si="203">VLOOKUP($A101,Table_IP_6, MATCH("M CCC", heading_IP_6, 0), FALSE)</f>
        <v>--</v>
      </c>
      <c r="AN101" s="203" t="str">
        <f t="shared" si="181"/>
        <v>--</v>
      </c>
      <c r="AO101" s="203" t="str">
        <f t="shared" ref="AO101:AO139" si="204">VLOOKUP($A101,Table_IP_6, MATCH("M TH", heading_IP_6, 0), FALSE)</f>
        <v>--</v>
      </c>
      <c r="AP101" s="203" t="str">
        <f t="shared" ref="AP101:AP139" si="205">VLOOKUP($A101,Table_IP_6, MATCH("M C-LOEL", heading_IP_6, 0), FALSE)</f>
        <v>--</v>
      </c>
      <c r="AQ101" s="203" t="str">
        <f t="shared" ref="AQ101:AQ139" si="206">VLOOKUP($A101,Table_IP_6, MATCH("M other", heading_IP_6, 0), FALSE)</f>
        <v>--</v>
      </c>
      <c r="AR101" s="1262" t="str">
        <f t="shared" ref="AR101:AR139" si="207">IF(VLOOKUP($A101,Table_IP_6, MATCH("M other basis", heading_IP_6, 0), FALSE)= " ", " ", VLOOKUP($A101,Table_IP_6, MATCH("M other basis", heading_IP_6, 0), FALSE))</f>
        <v>--</v>
      </c>
      <c r="AS101" s="203" t="str">
        <f t="shared" si="182"/>
        <v>--</v>
      </c>
      <c r="AT101" s="193" t="str">
        <f t="shared" si="183"/>
        <v>--</v>
      </c>
      <c r="AU101" s="203" t="str">
        <f t="shared" ref="AU101:AU139" si="208">(VLOOKUP($A101,Table_IP_5, MATCH("M CMC", heading_IP_5, 0), FALSE))</f>
        <v>--</v>
      </c>
      <c r="AV101" s="203" t="str">
        <f t="shared" ref="AV101:AV139" si="209">VLOOKUP($A101,Table_IP_6, MATCH("M CMC", heading_IP_6, 0), FALSE)</f>
        <v>--</v>
      </c>
      <c r="AW101" s="2047" t="str">
        <f t="shared" ref="AW101:AW139" si="210">VLOOKUP($A101,Table_IP_6, MATCH("M A-LOEL", heading_IP_6, 0), FALSE)</f>
        <v>--</v>
      </c>
      <c r="AX101" s="2054">
        <f t="shared" ref="AX101:AX128" si="211">(VLOOKUP($A101,Table_IP_6,MATCH("Bioac Exp",heading_IP_6,0),FALSE))</f>
        <v>0.2</v>
      </c>
      <c r="AZ101" s="22"/>
      <c r="BA101" s="350"/>
      <c r="BB101" s="27" t="str">
        <f t="shared" ref="BB101:BB124" si="212">IF(Q101&lt;&gt;"--",Q101,IF(R101&lt;&gt;"--",R101,IF(S101&lt;&gt;"--",S101,IF(V101&lt;&gt;"--",V101, "--"))))</f>
        <v>--</v>
      </c>
      <c r="BC101" s="351" t="str">
        <f t="shared" ref="BC101:BC124" si="213">IF(BB101="--","--",(IF(BB101=Q101,"CTR FW CCC",(IF(BB101=R101,"US EPA FW CCC",(IF(BB101=T101,"US EPA Ecotox FW Chronic",(IF(BB101=V101,W101,"50% US EPA FW Chronic LOEL")))))))))</f>
        <v>--</v>
      </c>
      <c r="BD101" s="27" t="str">
        <f t="shared" ref="BD101:BD124" si="214">IF(AL101&lt;&gt;"--",AL101,IF(AM101&lt;&gt;"--",AM101,IF(AN101&lt;&gt;"--",AN101,IF(AQ101&lt;&gt;"--",AQ101,"--"))))</f>
        <v>--</v>
      </c>
      <c r="BE101" s="351" t="str">
        <f t="shared" ref="BE101:BE124" si="215">IF(BD101="--","--",(IF(BD101=AL101,"CTR SW CCC",(IF(BD101=AM101,"US EPA SW CCC",(IF(BD101=AO101,"US EPA Ecotox SW Chronic",(IF(BD101=AQ101,AR101,"50% US EPA SW Chronic LOEL")))))))))</f>
        <v>--</v>
      </c>
      <c r="BF101" s="350"/>
      <c r="BG101" s="350"/>
      <c r="BH101" s="350"/>
      <c r="BI101" s="350"/>
      <c r="BJ101" s="350"/>
      <c r="BK101" s="350"/>
      <c r="BL101" s="1304"/>
      <c r="BM101" s="350"/>
      <c r="BN101" s="350"/>
      <c r="BO101" s="350"/>
      <c r="BP101" s="35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row>
    <row r="102" spans="1:142" ht="12.95" customHeight="1">
      <c r="A102" s="897" t="s">
        <v>271</v>
      </c>
      <c r="B102" s="432" t="s">
        <v>272</v>
      </c>
      <c r="C102" s="205">
        <f t="shared" ref="C102:C133" si="216">IF(AND(E102="--",L102="--",AE102="--"),"--",(MIN(E102,L102,AE102)))</f>
        <v>75.7</v>
      </c>
      <c r="D102" s="207" t="str">
        <f t="shared" ref="D102:D133" si="217">IF(C102="--","--",IF(C102=L102, "Freshwater Goal", IF(C102=AE102,"Saltwater Goal", "Seafood Ingestion")))</f>
        <v>Freshwater Goal</v>
      </c>
      <c r="E102" s="1637" t="str">
        <f t="shared" si="161"/>
        <v>--</v>
      </c>
      <c r="F102" s="187" t="str">
        <f t="shared" si="155"/>
        <v>--</v>
      </c>
      <c r="G102" s="1326" t="str">
        <f t="shared" si="184"/>
        <v>--</v>
      </c>
      <c r="H102" s="1327" t="str">
        <f t="shared" si="185"/>
        <v>--</v>
      </c>
      <c r="I102" s="1359" t="str">
        <f t="shared" si="186"/>
        <v>--</v>
      </c>
      <c r="J102" s="1379">
        <f t="shared" ref="J102:J133" si="218">IF(AND(AX102="--",L102="--"), "--", MIN(AX102,L102))</f>
        <v>75.7</v>
      </c>
      <c r="K102" s="1361" t="str">
        <f t="shared" ref="K102:K133" si="219">IF(J102="--","--",IF(J102=L102,"Freshwater Exposure","Bioaccumulation Exposure"))</f>
        <v>Freshwater Exposure</v>
      </c>
      <c r="L102" s="209">
        <f t="shared" si="173"/>
        <v>75.7</v>
      </c>
      <c r="M102" s="1371" t="str">
        <f t="shared" si="187"/>
        <v>ANL 2024</v>
      </c>
      <c r="N102" s="216">
        <f t="shared" si="174"/>
        <v>75.7</v>
      </c>
      <c r="O102" s="203" t="str">
        <f t="shared" si="188"/>
        <v>--</v>
      </c>
      <c r="P102" s="203">
        <f t="shared" si="175"/>
        <v>75.7</v>
      </c>
      <c r="Q102" s="203" t="str">
        <f t="shared" si="189"/>
        <v>--</v>
      </c>
      <c r="R102" s="203" t="str">
        <f t="shared" si="190"/>
        <v>--</v>
      </c>
      <c r="S102" s="203" t="str">
        <f t="shared" si="176"/>
        <v>--</v>
      </c>
      <c r="T102" s="203" t="str">
        <f t="shared" si="191"/>
        <v>--</v>
      </c>
      <c r="U102" s="203" t="str">
        <f t="shared" si="192"/>
        <v>--</v>
      </c>
      <c r="V102" s="203">
        <f t="shared" si="193"/>
        <v>75.7</v>
      </c>
      <c r="W102" s="193" t="str">
        <f t="shared" si="194"/>
        <v>ANL 2024</v>
      </c>
      <c r="X102" s="203">
        <f t="shared" si="177"/>
        <v>7.57</v>
      </c>
      <c r="Y102" s="193" t="str">
        <f t="shared" si="178"/>
        <v>10% US EPA FW CMC</v>
      </c>
      <c r="Z102" s="203" t="str">
        <f t="shared" si="195"/>
        <v>--</v>
      </c>
      <c r="AA102" s="203">
        <f t="shared" si="196"/>
        <v>75.7</v>
      </c>
      <c r="AB102" s="1368">
        <f t="shared" si="197"/>
        <v>5300</v>
      </c>
      <c r="AC102" s="1356">
        <f t="shared" ref="AC102:AC133" si="220">IF(AND(AX102="--",AE102="--"), "--", MIN(AX102,AE102))</f>
        <v>119</v>
      </c>
      <c r="AD102" s="1377" t="str">
        <f t="shared" ref="AD102:AD133" si="221">IF(AC102="--","--",IF(AC102=AE102, "Saltwater Exposure","Bioaccumulation Exposure"))</f>
        <v>Bioaccumulation Exposure</v>
      </c>
      <c r="AE102" s="1353" t="str">
        <f t="shared" si="198"/>
        <v>--</v>
      </c>
      <c r="AF102" s="1364" t="str">
        <f t="shared" si="199"/>
        <v>--</v>
      </c>
      <c r="AG102" s="216" t="str">
        <f t="shared" si="179"/>
        <v>--</v>
      </c>
      <c r="AH102" s="203" t="str">
        <f t="shared" si="160"/>
        <v>--</v>
      </c>
      <c r="AI102" s="203" t="str">
        <f t="shared" si="200"/>
        <v>--</v>
      </c>
      <c r="AJ102" s="203" t="str">
        <f t="shared" si="201"/>
        <v>--</v>
      </c>
      <c r="AK102" s="203" t="str">
        <f t="shared" si="180"/>
        <v>--</v>
      </c>
      <c r="AL102" s="203" t="str">
        <f t="shared" si="202"/>
        <v>--</v>
      </c>
      <c r="AM102" s="203" t="str">
        <f t="shared" si="203"/>
        <v>--</v>
      </c>
      <c r="AN102" s="203" t="str">
        <f t="shared" si="181"/>
        <v>--</v>
      </c>
      <c r="AO102" s="203" t="str">
        <f t="shared" si="204"/>
        <v>--</v>
      </c>
      <c r="AP102" s="203" t="str">
        <f t="shared" si="205"/>
        <v>--</v>
      </c>
      <c r="AQ102" s="203" t="str">
        <f t="shared" si="206"/>
        <v>--</v>
      </c>
      <c r="AR102" s="1262" t="str">
        <f t="shared" si="207"/>
        <v>--</v>
      </c>
      <c r="AS102" s="203" t="str">
        <f t="shared" si="182"/>
        <v>--</v>
      </c>
      <c r="AT102" s="193" t="str">
        <f t="shared" si="183"/>
        <v>--</v>
      </c>
      <c r="AU102" s="203" t="str">
        <f t="shared" si="208"/>
        <v>--</v>
      </c>
      <c r="AV102" s="203" t="str">
        <f t="shared" si="209"/>
        <v>--</v>
      </c>
      <c r="AW102" s="2047" t="str">
        <f t="shared" si="210"/>
        <v>--</v>
      </c>
      <c r="AX102" s="2054">
        <f t="shared" si="211"/>
        <v>119</v>
      </c>
      <c r="AZ102" s="36"/>
      <c r="BA102" s="36"/>
      <c r="BB102" s="27">
        <f t="shared" si="212"/>
        <v>75.7</v>
      </c>
      <c r="BC102" s="351" t="str">
        <f t="shared" si="213"/>
        <v>ANL 2024</v>
      </c>
      <c r="BD102" s="27" t="str">
        <f t="shared" si="214"/>
        <v>--</v>
      </c>
      <c r="BE102" s="351" t="str">
        <f t="shared" si="215"/>
        <v>--</v>
      </c>
      <c r="BF102" s="350"/>
      <c r="BG102" s="350"/>
      <c r="BH102" s="350"/>
      <c r="BI102" s="350"/>
      <c r="BJ102" s="350"/>
      <c r="BK102" s="350"/>
      <c r="BL102" s="1304"/>
      <c r="BM102" s="350"/>
      <c r="BN102" s="350"/>
      <c r="BO102" s="350"/>
      <c r="BP102" s="35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row>
    <row r="103" spans="1:142" ht="12.95" customHeight="1">
      <c r="A103" s="897" t="s">
        <v>273</v>
      </c>
      <c r="B103" s="432" t="s">
        <v>115</v>
      </c>
      <c r="C103" s="205">
        <f t="shared" si="216"/>
        <v>140</v>
      </c>
      <c r="D103" s="207" t="str">
        <f t="shared" si="217"/>
        <v>Freshwater Goal</v>
      </c>
      <c r="E103" s="1637" t="str">
        <f t="shared" si="161"/>
        <v>--</v>
      </c>
      <c r="F103" s="187" t="str">
        <f t="shared" si="155"/>
        <v>--</v>
      </c>
      <c r="G103" s="1326" t="str">
        <f t="shared" si="184"/>
        <v>--</v>
      </c>
      <c r="H103" s="1327" t="str">
        <f t="shared" si="185"/>
        <v>--</v>
      </c>
      <c r="I103" s="1359" t="str">
        <f t="shared" si="186"/>
        <v>--</v>
      </c>
      <c r="J103" s="1379">
        <f t="shared" si="218"/>
        <v>140</v>
      </c>
      <c r="K103" s="1361" t="str">
        <f t="shared" si="219"/>
        <v>Freshwater Exposure</v>
      </c>
      <c r="L103" s="209">
        <f t="shared" ref="L103:L110" si="222">IF(N103="--",X103, N103)</f>
        <v>140</v>
      </c>
      <c r="M103" s="1371" t="str">
        <f t="shared" si="187"/>
        <v>Divine 2020</v>
      </c>
      <c r="N103" s="216">
        <f t="shared" ref="N103:N110" si="223">IF(AND(O103="--",P103="--"),"--", IF(O103="--",P103, IF(P103="--", O103, MIN(P103,O103))))</f>
        <v>140</v>
      </c>
      <c r="O103" s="203" t="str">
        <f t="shared" si="188"/>
        <v>--</v>
      </c>
      <c r="P103" s="203">
        <f t="shared" ref="P103:P110" si="224">IF(Q103&lt;&gt;"--",Q103,IF(R103&lt;&gt;"--",R103,IF(S103&lt;&gt;"--",S103, V103)))</f>
        <v>140</v>
      </c>
      <c r="Q103" s="203" t="str">
        <f t="shared" si="189"/>
        <v>--</v>
      </c>
      <c r="R103" s="203" t="str">
        <f t="shared" si="190"/>
        <v>--</v>
      </c>
      <c r="S103" s="203" t="str">
        <f t="shared" ref="S103:S110" si="225">IF(AND(T103="--",U103="--"), "--", IF(T103="--",U103/2, IF(U103="--",T103, MIN(T103,U103/2))))</f>
        <v>--</v>
      </c>
      <c r="T103" s="203" t="str">
        <f t="shared" si="191"/>
        <v>--</v>
      </c>
      <c r="U103" s="203" t="str">
        <f t="shared" si="192"/>
        <v>--</v>
      </c>
      <c r="V103" s="203">
        <f t="shared" si="193"/>
        <v>140</v>
      </c>
      <c r="W103" s="193" t="str">
        <f t="shared" si="194"/>
        <v>Divine 2020</v>
      </c>
      <c r="X103" s="203">
        <f t="shared" ref="X103:X110" si="226">IF(AND(Z103="--",AA103="--",AB103="--"), "--", (IF(Z103&lt;&gt;"--",Z103/10,(IF(AA103&lt;&gt;"--",AA103/10,AB103/10)))))</f>
        <v>14</v>
      </c>
      <c r="Y103" s="193" t="str">
        <f t="shared" ref="Y103:Y110" si="227">IF(X103="--","--",IF(AND(Z103="--",AA103="--"),"10% US EPA FW Acute LOEL",IF(AA103="--","10% CTR FW CMC","10% US EPA FW CMC")))</f>
        <v>10% US EPA FW CMC</v>
      </c>
      <c r="Z103" s="203" t="str">
        <f t="shared" si="195"/>
        <v>--</v>
      </c>
      <c r="AA103" s="203">
        <f t="shared" si="196"/>
        <v>140</v>
      </c>
      <c r="AB103" s="1368" t="str">
        <f t="shared" si="197"/>
        <v>--</v>
      </c>
      <c r="AC103" s="1356" t="str">
        <f t="shared" si="220"/>
        <v>--</v>
      </c>
      <c r="AD103" s="1377" t="str">
        <f t="shared" si="221"/>
        <v>--</v>
      </c>
      <c r="AE103" s="1353" t="str">
        <f t="shared" si="198"/>
        <v>--</v>
      </c>
      <c r="AF103" s="1364" t="str">
        <f t="shared" si="199"/>
        <v>--</v>
      </c>
      <c r="AG103" s="216" t="str">
        <f t="shared" ref="AG103:AG110" si="228">IF(AND(AH103="--",AK103="--"),"--", IF(AH103="--",AK103, IF(AK103="--", AH103, MIN(AK103,AH103))))</f>
        <v>--</v>
      </c>
      <c r="AH103" s="203" t="str">
        <f t="shared" si="160"/>
        <v>--</v>
      </c>
      <c r="AI103" s="203" t="str">
        <f t="shared" si="200"/>
        <v>--</v>
      </c>
      <c r="AJ103" s="203" t="str">
        <f t="shared" si="201"/>
        <v>--</v>
      </c>
      <c r="AK103" s="203" t="str">
        <f t="shared" ref="AK103:AK110" si="229">IF(AL103&lt;&gt;"--",AL103,IF(AM103&lt;&gt;"--",AM103,IF(AN103&lt;&gt;"--",AN103,IF(AQ103&lt;&gt;"--",AQ103,"--"))))</f>
        <v>--</v>
      </c>
      <c r="AL103" s="203" t="str">
        <f t="shared" si="202"/>
        <v>--</v>
      </c>
      <c r="AM103" s="203" t="str">
        <f t="shared" si="203"/>
        <v>--</v>
      </c>
      <c r="AN103" s="203" t="str">
        <f t="shared" ref="AN103:AN110" si="230">IF(AND(AO103="--",AP103="--"), "--", IF(AO103="--",AP103/2, IF(AP103="--",AO103, MIN(AO103,AP103/2))))</f>
        <v>--</v>
      </c>
      <c r="AO103" s="203" t="str">
        <f t="shared" si="204"/>
        <v>--</v>
      </c>
      <c r="AP103" s="203" t="str">
        <f t="shared" si="205"/>
        <v>--</v>
      </c>
      <c r="AQ103" s="203" t="str">
        <f t="shared" si="206"/>
        <v>--</v>
      </c>
      <c r="AR103" s="1262" t="str">
        <f t="shared" si="207"/>
        <v>--</v>
      </c>
      <c r="AS103" s="203" t="str">
        <f t="shared" ref="AS103:AS110" si="231">IF(AND(AU103="--",AV103="--",AW103="--"), "--", (IF(AU103&lt;&gt;"--",AU103/10,(IF(AV103&lt;&gt;"--",AV103/10,AW103/10)))))</f>
        <v>--</v>
      </c>
      <c r="AT103" s="193" t="str">
        <f t="shared" ref="AT103:AT110" si="232">IF(AS103="--","--",IF(AND(AU103="--",AV103="--"),"10% US EPA SW Acute LOEL",IF(AV103="--","10% CTR SW CMC","10% US EPA SW CMC")))</f>
        <v>--</v>
      </c>
      <c r="AU103" s="203" t="str">
        <f t="shared" si="208"/>
        <v>--</v>
      </c>
      <c r="AV103" s="203" t="str">
        <f t="shared" si="209"/>
        <v>--</v>
      </c>
      <c r="AW103" s="2047" t="str">
        <f t="shared" si="210"/>
        <v>--</v>
      </c>
      <c r="AX103" s="2054" t="str">
        <f t="shared" si="211"/>
        <v>--</v>
      </c>
      <c r="AZ103" s="36"/>
      <c r="BA103" s="36"/>
      <c r="BB103" s="27">
        <f t="shared" si="212"/>
        <v>140</v>
      </c>
      <c r="BC103" s="351" t="str">
        <f t="shared" si="213"/>
        <v>Divine 2020</v>
      </c>
      <c r="BD103" s="27" t="str">
        <f t="shared" si="214"/>
        <v>--</v>
      </c>
      <c r="BE103" s="351" t="str">
        <f t="shared" si="215"/>
        <v>--</v>
      </c>
      <c r="BF103" s="350"/>
      <c r="BG103" s="350"/>
      <c r="BH103" s="350"/>
      <c r="BI103" s="350"/>
      <c r="BJ103" s="350"/>
      <c r="BK103" s="350"/>
      <c r="BL103" s="1304"/>
      <c r="BM103" s="350"/>
      <c r="BN103" s="350"/>
      <c r="BO103" s="350"/>
      <c r="BP103" s="35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row>
    <row r="104" spans="1:142" ht="12.95" customHeight="1">
      <c r="A104" s="897" t="s">
        <v>275</v>
      </c>
      <c r="B104" s="432" t="s">
        <v>276</v>
      </c>
      <c r="C104" s="205">
        <f t="shared" si="216"/>
        <v>33.799999999999997</v>
      </c>
      <c r="D104" s="207" t="str">
        <f t="shared" si="217"/>
        <v>Freshwater Goal</v>
      </c>
      <c r="E104" s="1637" t="str">
        <f t="shared" si="161"/>
        <v>--</v>
      </c>
      <c r="F104" s="187" t="str">
        <f t="shared" si="155"/>
        <v>--</v>
      </c>
      <c r="G104" s="1326" t="str">
        <f t="shared" si="184"/>
        <v>--</v>
      </c>
      <c r="H104" s="1327" t="str">
        <f t="shared" si="185"/>
        <v>--</v>
      </c>
      <c r="I104" s="1359" t="str">
        <f t="shared" si="186"/>
        <v>--</v>
      </c>
      <c r="J104" s="1379">
        <f t="shared" si="218"/>
        <v>33.799999999999997</v>
      </c>
      <c r="K104" s="1361" t="str">
        <f t="shared" si="219"/>
        <v>Freshwater Exposure</v>
      </c>
      <c r="L104" s="209">
        <f t="shared" si="222"/>
        <v>33.799999999999997</v>
      </c>
      <c r="M104" s="1371" t="str">
        <f t="shared" si="187"/>
        <v>ANL 2024</v>
      </c>
      <c r="N104" s="216">
        <f t="shared" si="223"/>
        <v>33.799999999999997</v>
      </c>
      <c r="O104" s="203" t="str">
        <f t="shared" si="188"/>
        <v>--</v>
      </c>
      <c r="P104" s="203">
        <f t="shared" si="224"/>
        <v>33.799999999999997</v>
      </c>
      <c r="Q104" s="203" t="str">
        <f t="shared" si="189"/>
        <v>--</v>
      </c>
      <c r="R104" s="203" t="str">
        <f t="shared" si="190"/>
        <v>--</v>
      </c>
      <c r="S104" s="203" t="str">
        <f t="shared" si="225"/>
        <v>--</v>
      </c>
      <c r="T104" s="203" t="str">
        <f t="shared" si="191"/>
        <v>--</v>
      </c>
      <c r="U104" s="203" t="str">
        <f t="shared" si="192"/>
        <v>--</v>
      </c>
      <c r="V104" s="203">
        <f t="shared" si="193"/>
        <v>33.799999999999997</v>
      </c>
      <c r="W104" s="193" t="str">
        <f t="shared" si="194"/>
        <v>ANL 2024</v>
      </c>
      <c r="X104" s="203">
        <f t="shared" si="226"/>
        <v>3.38</v>
      </c>
      <c r="Y104" s="193" t="str">
        <f t="shared" si="227"/>
        <v>10% US EPA FW CMC</v>
      </c>
      <c r="Z104" s="203" t="str">
        <f t="shared" si="195"/>
        <v>--</v>
      </c>
      <c r="AA104" s="203">
        <f t="shared" si="196"/>
        <v>33.799999999999997</v>
      </c>
      <c r="AB104" s="1368">
        <f t="shared" si="197"/>
        <v>4800</v>
      </c>
      <c r="AC104" s="1356">
        <f t="shared" si="220"/>
        <v>544</v>
      </c>
      <c r="AD104" s="1377" t="str">
        <f t="shared" si="221"/>
        <v>Bioaccumulation Exposure</v>
      </c>
      <c r="AE104" s="1353" t="str">
        <f t="shared" si="198"/>
        <v>--</v>
      </c>
      <c r="AF104" s="1364" t="str">
        <f t="shared" si="199"/>
        <v>--</v>
      </c>
      <c r="AG104" s="216" t="str">
        <f t="shared" si="228"/>
        <v>--</v>
      </c>
      <c r="AH104" s="203" t="str">
        <f t="shared" si="160"/>
        <v>--</v>
      </c>
      <c r="AI104" s="203" t="str">
        <f t="shared" si="200"/>
        <v>--</v>
      </c>
      <c r="AJ104" s="203" t="str">
        <f t="shared" si="201"/>
        <v>--</v>
      </c>
      <c r="AK104" s="203" t="str">
        <f t="shared" si="229"/>
        <v>--</v>
      </c>
      <c r="AL104" s="203" t="str">
        <f t="shared" si="202"/>
        <v>--</v>
      </c>
      <c r="AM104" s="203" t="str">
        <f t="shared" si="203"/>
        <v>--</v>
      </c>
      <c r="AN104" s="203" t="str">
        <f t="shared" si="230"/>
        <v>--</v>
      </c>
      <c r="AO104" s="203" t="str">
        <f t="shared" si="204"/>
        <v>--</v>
      </c>
      <c r="AP104" s="203" t="str">
        <f t="shared" si="205"/>
        <v>--</v>
      </c>
      <c r="AQ104" s="203" t="str">
        <f t="shared" si="206"/>
        <v>--</v>
      </c>
      <c r="AR104" s="1262" t="str">
        <f t="shared" si="207"/>
        <v>--</v>
      </c>
      <c r="AS104" s="203" t="str">
        <f t="shared" si="231"/>
        <v>--</v>
      </c>
      <c r="AT104" s="193" t="str">
        <f t="shared" si="232"/>
        <v>--</v>
      </c>
      <c r="AU104" s="203" t="str">
        <f t="shared" si="208"/>
        <v>--</v>
      </c>
      <c r="AV104" s="203" t="str">
        <f t="shared" si="209"/>
        <v>--</v>
      </c>
      <c r="AW104" s="2047" t="str">
        <f t="shared" si="210"/>
        <v>--</v>
      </c>
      <c r="AX104" s="2054">
        <f t="shared" si="211"/>
        <v>544</v>
      </c>
      <c r="AZ104" s="36"/>
      <c r="BA104" s="36"/>
      <c r="BB104" s="27">
        <f t="shared" si="212"/>
        <v>33.799999999999997</v>
      </c>
      <c r="BC104" s="351" t="str">
        <f t="shared" si="213"/>
        <v>ANL 2024</v>
      </c>
      <c r="BD104" s="27" t="str">
        <f t="shared" si="214"/>
        <v>--</v>
      </c>
      <c r="BE104" s="351" t="str">
        <f t="shared" si="215"/>
        <v>--</v>
      </c>
      <c r="BF104" s="350"/>
      <c r="BG104" s="350"/>
      <c r="BH104" s="350"/>
      <c r="BI104" s="350"/>
      <c r="BK104" s="350"/>
      <c r="BL104" s="1311"/>
      <c r="BM104" s="350"/>
      <c r="BN104" s="350"/>
      <c r="BO104" s="350"/>
      <c r="BP104" s="35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row>
    <row r="105" spans="1:142" ht="12.95" customHeight="1">
      <c r="A105" s="897" t="s">
        <v>277</v>
      </c>
      <c r="B105" s="432" t="s">
        <v>278</v>
      </c>
      <c r="C105" s="205">
        <f t="shared" si="216"/>
        <v>870</v>
      </c>
      <c r="D105" s="207" t="str">
        <f t="shared" si="217"/>
        <v>Freshwater Goal</v>
      </c>
      <c r="E105" s="1637" t="str">
        <f t="shared" si="161"/>
        <v>--</v>
      </c>
      <c r="F105" s="187" t="str">
        <f t="shared" si="155"/>
        <v>--</v>
      </c>
      <c r="G105" s="1326" t="str">
        <f t="shared" si="184"/>
        <v>--</v>
      </c>
      <c r="H105" s="1327" t="str">
        <f t="shared" si="185"/>
        <v>--</v>
      </c>
      <c r="I105" s="1359" t="str">
        <f t="shared" si="186"/>
        <v>--</v>
      </c>
      <c r="J105" s="1379">
        <f t="shared" si="218"/>
        <v>870</v>
      </c>
      <c r="K105" s="1361" t="str">
        <f t="shared" si="219"/>
        <v>Freshwater Exposure</v>
      </c>
      <c r="L105" s="209">
        <f t="shared" si="222"/>
        <v>870</v>
      </c>
      <c r="M105" s="1371" t="str">
        <f t="shared" si="187"/>
        <v>Divine 2020</v>
      </c>
      <c r="N105" s="216">
        <f t="shared" si="223"/>
        <v>870</v>
      </c>
      <c r="O105" s="203" t="str">
        <f t="shared" si="188"/>
        <v>--</v>
      </c>
      <c r="P105" s="203">
        <f>IF(Q105&lt;&gt;"--",Q105,IF(R105&lt;&gt;"--",R105,IF(S105&lt;&gt;"--",S105, V105)))</f>
        <v>870</v>
      </c>
      <c r="Q105" s="203" t="str">
        <f t="shared" si="189"/>
        <v>--</v>
      </c>
      <c r="R105" s="203" t="str">
        <f t="shared" si="190"/>
        <v>--</v>
      </c>
      <c r="S105" s="203" t="str">
        <f t="shared" si="225"/>
        <v>--</v>
      </c>
      <c r="T105" s="203" t="str">
        <f t="shared" si="191"/>
        <v>--</v>
      </c>
      <c r="U105" s="203" t="str">
        <f t="shared" si="192"/>
        <v>--</v>
      </c>
      <c r="V105" s="203">
        <f t="shared" si="193"/>
        <v>870</v>
      </c>
      <c r="W105" s="193" t="str">
        <f t="shared" si="194"/>
        <v>Divine 2020</v>
      </c>
      <c r="X105" s="203">
        <f t="shared" si="226"/>
        <v>87</v>
      </c>
      <c r="Y105" s="193" t="str">
        <f t="shared" si="227"/>
        <v>10% US EPA FW CMC</v>
      </c>
      <c r="Z105" s="203" t="str">
        <f t="shared" si="195"/>
        <v>--</v>
      </c>
      <c r="AA105" s="203">
        <f t="shared" si="196"/>
        <v>870</v>
      </c>
      <c r="AB105" s="1368" t="str">
        <f t="shared" si="197"/>
        <v>--</v>
      </c>
      <c r="AC105" s="1356" t="str">
        <f t="shared" si="220"/>
        <v>--</v>
      </c>
      <c r="AD105" s="1377" t="str">
        <f t="shared" si="221"/>
        <v>--</v>
      </c>
      <c r="AE105" s="1353" t="str">
        <f t="shared" si="198"/>
        <v>--</v>
      </c>
      <c r="AF105" s="1364" t="str">
        <f t="shared" si="199"/>
        <v>--</v>
      </c>
      <c r="AG105" s="216" t="str">
        <f t="shared" si="228"/>
        <v>--</v>
      </c>
      <c r="AH105" s="203" t="str">
        <f t="shared" si="160"/>
        <v>--</v>
      </c>
      <c r="AI105" s="203" t="str">
        <f t="shared" si="200"/>
        <v>--</v>
      </c>
      <c r="AJ105" s="203" t="str">
        <f t="shared" si="201"/>
        <v>--</v>
      </c>
      <c r="AK105" s="203" t="str">
        <f t="shared" si="229"/>
        <v>--</v>
      </c>
      <c r="AL105" s="203" t="str">
        <f t="shared" si="202"/>
        <v>--</v>
      </c>
      <c r="AM105" s="203" t="str">
        <f t="shared" si="203"/>
        <v>--</v>
      </c>
      <c r="AN105" s="203" t="str">
        <f t="shared" si="230"/>
        <v>--</v>
      </c>
      <c r="AO105" s="203" t="str">
        <f t="shared" si="204"/>
        <v>--</v>
      </c>
      <c r="AP105" s="203" t="str">
        <f t="shared" si="205"/>
        <v>--</v>
      </c>
      <c r="AQ105" s="203" t="str">
        <f t="shared" si="206"/>
        <v>--</v>
      </c>
      <c r="AR105" s="1262" t="str">
        <f t="shared" si="207"/>
        <v>--</v>
      </c>
      <c r="AS105" s="203" t="str">
        <f t="shared" si="231"/>
        <v>--</v>
      </c>
      <c r="AT105" s="193" t="str">
        <f t="shared" si="232"/>
        <v>--</v>
      </c>
      <c r="AU105" s="203" t="str">
        <f t="shared" si="208"/>
        <v>--</v>
      </c>
      <c r="AV105" s="203" t="str">
        <f t="shared" si="209"/>
        <v>--</v>
      </c>
      <c r="AW105" s="2047" t="str">
        <f t="shared" si="210"/>
        <v>--</v>
      </c>
      <c r="AX105" s="2054" t="str">
        <f t="shared" si="211"/>
        <v>--</v>
      </c>
      <c r="AZ105" s="36"/>
      <c r="BA105" s="36"/>
      <c r="BB105" s="27">
        <f t="shared" si="212"/>
        <v>870</v>
      </c>
      <c r="BC105" s="351" t="str">
        <f t="shared" si="213"/>
        <v>Divine 2020</v>
      </c>
      <c r="BD105" s="27" t="str">
        <f t="shared" si="214"/>
        <v>--</v>
      </c>
      <c r="BE105" s="351" t="str">
        <f t="shared" si="215"/>
        <v>--</v>
      </c>
      <c r="BF105" s="350"/>
      <c r="BG105" s="350"/>
      <c r="BH105" s="350"/>
      <c r="BI105" s="350"/>
      <c r="BL105" s="1311"/>
      <c r="BM105" s="350"/>
      <c r="BN105" s="350"/>
      <c r="BO105" s="350"/>
      <c r="BP105" s="35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row>
    <row r="106" spans="1:142" ht="12.95" customHeight="1">
      <c r="A106" s="897" t="s">
        <v>279</v>
      </c>
      <c r="B106" s="432" t="s">
        <v>280</v>
      </c>
      <c r="C106" s="205">
        <f t="shared" si="216"/>
        <v>3.5999999999999998E-6</v>
      </c>
      <c r="D106" s="207" t="str">
        <f t="shared" si="217"/>
        <v>Seafood Ingestion</v>
      </c>
      <c r="E106" s="1637">
        <f t="shared" si="161"/>
        <v>3.5999999999999998E-6</v>
      </c>
      <c r="F106" s="187" t="str">
        <f t="shared" si="155"/>
        <v>National Criteria</v>
      </c>
      <c r="G106" s="1326" t="str">
        <f t="shared" si="184"/>
        <v>--</v>
      </c>
      <c r="H106" s="1327" t="str">
        <f t="shared" si="185"/>
        <v>--</v>
      </c>
      <c r="I106" s="1359">
        <f t="shared" si="186"/>
        <v>3.5999999999999998E-6</v>
      </c>
      <c r="J106" s="1379">
        <f t="shared" si="218"/>
        <v>47.6</v>
      </c>
      <c r="K106" s="1361" t="str">
        <f t="shared" si="219"/>
        <v>Bioaccumulation Exposure</v>
      </c>
      <c r="L106" s="209">
        <f t="shared" si="222"/>
        <v>100</v>
      </c>
      <c r="M106" s="1371" t="str">
        <f t="shared" si="187"/>
        <v>US EPA FW CCC</v>
      </c>
      <c r="N106" s="216">
        <f>IF(AND(O106="--",P106="--"),"--", IF(O106="--",P106, IF(P106="--", O106, MIN(P106,O106))))</f>
        <v>100</v>
      </c>
      <c r="O106" s="203" t="str">
        <f t="shared" si="188"/>
        <v>--</v>
      </c>
      <c r="P106" s="203">
        <f t="shared" si="224"/>
        <v>100</v>
      </c>
      <c r="Q106" s="203" t="str">
        <f t="shared" si="189"/>
        <v>--</v>
      </c>
      <c r="R106" s="203">
        <f>VLOOKUP($A106,Table_IP_6, MATCH("FW CCC", heading_IP_6, 0), FALSE)</f>
        <v>100</v>
      </c>
      <c r="S106" s="203" t="str">
        <f>IF(AND(T106="--",U106="--"), "--", IF(T106="--",U106/2, IF(U106="--",T106, MIN(T106,U106/2))))</f>
        <v>--</v>
      </c>
      <c r="T106" s="203" t="str">
        <f t="shared" si="191"/>
        <v>--</v>
      </c>
      <c r="U106" s="203" t="str">
        <f t="shared" si="192"/>
        <v>--</v>
      </c>
      <c r="V106" s="203">
        <f t="shared" si="193"/>
        <v>109</v>
      </c>
      <c r="W106" s="193" t="str">
        <f t="shared" si="194"/>
        <v>ANL 2024</v>
      </c>
      <c r="X106" s="203">
        <f t="shared" si="226"/>
        <v>10.9</v>
      </c>
      <c r="Y106" s="193" t="str">
        <f t="shared" si="227"/>
        <v>10% US EPA FW CMC</v>
      </c>
      <c r="Z106" s="203" t="str">
        <f t="shared" si="195"/>
        <v>--</v>
      </c>
      <c r="AA106" s="203">
        <f t="shared" si="196"/>
        <v>109</v>
      </c>
      <c r="AB106" s="1368" t="str">
        <f t="shared" si="197"/>
        <v>--</v>
      </c>
      <c r="AC106" s="1356">
        <f t="shared" si="220"/>
        <v>3.16</v>
      </c>
      <c r="AD106" s="1377" t="str">
        <f t="shared" si="221"/>
        <v>Saltwater Exposure</v>
      </c>
      <c r="AE106" s="1353">
        <f t="shared" si="198"/>
        <v>3.16</v>
      </c>
      <c r="AF106" s="1364" t="str">
        <f t="shared" si="199"/>
        <v>ANL 2024</v>
      </c>
      <c r="AG106" s="216">
        <f t="shared" si="228"/>
        <v>3.16</v>
      </c>
      <c r="AH106" s="203" t="str">
        <f t="shared" si="160"/>
        <v>--</v>
      </c>
      <c r="AI106" s="203" t="str">
        <f t="shared" si="200"/>
        <v>--</v>
      </c>
      <c r="AJ106" s="203" t="str">
        <f t="shared" si="201"/>
        <v>--</v>
      </c>
      <c r="AK106" s="203">
        <f t="shared" si="229"/>
        <v>3.16</v>
      </c>
      <c r="AL106" s="203" t="str">
        <f t="shared" si="202"/>
        <v>--</v>
      </c>
      <c r="AM106" s="203" t="str">
        <f t="shared" si="203"/>
        <v>--</v>
      </c>
      <c r="AN106" s="203" t="str">
        <f t="shared" si="230"/>
        <v>--</v>
      </c>
      <c r="AO106" s="203" t="str">
        <f t="shared" si="204"/>
        <v>--</v>
      </c>
      <c r="AP106" s="203" t="str">
        <f t="shared" si="205"/>
        <v>--</v>
      </c>
      <c r="AQ106" s="203">
        <f t="shared" si="206"/>
        <v>3.16</v>
      </c>
      <c r="AR106" s="1262" t="str">
        <f t="shared" si="207"/>
        <v>ANL 2024</v>
      </c>
      <c r="AS106" s="203" t="str">
        <f t="shared" si="231"/>
        <v>--</v>
      </c>
      <c r="AT106" s="193" t="str">
        <f t="shared" si="232"/>
        <v>--</v>
      </c>
      <c r="AU106" s="203" t="str">
        <f t="shared" si="208"/>
        <v>--</v>
      </c>
      <c r="AV106" s="203" t="str">
        <f t="shared" si="209"/>
        <v>--</v>
      </c>
      <c r="AW106" s="2047" t="str">
        <f t="shared" si="210"/>
        <v>--</v>
      </c>
      <c r="AX106" s="2054">
        <f t="shared" si="211"/>
        <v>47.6</v>
      </c>
      <c r="AZ106" s="36"/>
      <c r="BA106" s="36"/>
      <c r="BB106" s="27">
        <f t="shared" si="212"/>
        <v>100</v>
      </c>
      <c r="BC106" s="351" t="str">
        <f t="shared" si="213"/>
        <v>US EPA FW CCC</v>
      </c>
      <c r="BD106" s="27">
        <f t="shared" si="214"/>
        <v>3.16</v>
      </c>
      <c r="BE106" s="351" t="str">
        <f t="shared" si="215"/>
        <v>ANL 2024</v>
      </c>
      <c r="BF106" s="350"/>
      <c r="BG106" s="350"/>
      <c r="BH106" s="350"/>
      <c r="BI106" s="350"/>
      <c r="BM106" s="350"/>
      <c r="BN106" s="350"/>
      <c r="BO106" s="350"/>
      <c r="BP106" s="35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row>
    <row r="107" spans="1:142" ht="12.95" customHeight="1">
      <c r="A107" s="897" t="s">
        <v>281</v>
      </c>
      <c r="B107" s="432" t="s">
        <v>282</v>
      </c>
      <c r="C107" s="205">
        <f t="shared" si="216"/>
        <v>16.899999999999999</v>
      </c>
      <c r="D107" s="207" t="str">
        <f t="shared" si="217"/>
        <v>Freshwater Goal</v>
      </c>
      <c r="E107" s="1637" t="str">
        <f t="shared" si="161"/>
        <v>--</v>
      </c>
      <c r="F107" s="187" t="str">
        <f t="shared" si="155"/>
        <v>--</v>
      </c>
      <c r="G107" s="1326" t="str">
        <f t="shared" si="184"/>
        <v>--</v>
      </c>
      <c r="H107" s="1327" t="str">
        <f t="shared" si="185"/>
        <v>--</v>
      </c>
      <c r="I107" s="1359" t="str">
        <f t="shared" si="186"/>
        <v>--</v>
      </c>
      <c r="J107" s="1379">
        <f t="shared" si="218"/>
        <v>0.11600000000000001</v>
      </c>
      <c r="K107" s="1361" t="str">
        <f t="shared" si="219"/>
        <v>Bioaccumulation Exposure</v>
      </c>
      <c r="L107" s="209">
        <f t="shared" si="222"/>
        <v>16.899999999999999</v>
      </c>
      <c r="M107" s="1371" t="str">
        <f t="shared" si="187"/>
        <v>ANL 2024</v>
      </c>
      <c r="N107" s="216">
        <f t="shared" si="223"/>
        <v>16.899999999999999</v>
      </c>
      <c r="O107" s="203" t="str">
        <f t="shared" si="188"/>
        <v>--</v>
      </c>
      <c r="P107" s="203">
        <f t="shared" si="224"/>
        <v>16.899999999999999</v>
      </c>
      <c r="Q107" s="203" t="str">
        <f t="shared" si="189"/>
        <v>--</v>
      </c>
      <c r="R107" s="203" t="str">
        <f t="shared" si="190"/>
        <v>--</v>
      </c>
      <c r="S107" s="203" t="str">
        <f t="shared" si="225"/>
        <v>--</v>
      </c>
      <c r="T107" s="203" t="str">
        <f t="shared" si="191"/>
        <v>--</v>
      </c>
      <c r="U107" s="203" t="str">
        <f t="shared" si="192"/>
        <v>--</v>
      </c>
      <c r="V107" s="203">
        <f t="shared" si="193"/>
        <v>16.899999999999999</v>
      </c>
      <c r="W107" s="193" t="str">
        <f t="shared" si="194"/>
        <v>ANL 2024</v>
      </c>
      <c r="X107" s="203">
        <f t="shared" si="226"/>
        <v>1.69</v>
      </c>
      <c r="Y107" s="193" t="str">
        <f t="shared" si="227"/>
        <v>10% US EPA FW CMC</v>
      </c>
      <c r="Z107" s="203" t="str">
        <f t="shared" si="195"/>
        <v>--</v>
      </c>
      <c r="AA107" s="203">
        <f t="shared" si="196"/>
        <v>16.899999999999999</v>
      </c>
      <c r="AB107" s="1368">
        <f t="shared" si="197"/>
        <v>650</v>
      </c>
      <c r="AC107" s="1356">
        <f t="shared" si="220"/>
        <v>0.11600000000000001</v>
      </c>
      <c r="AD107" s="1377" t="str">
        <f t="shared" si="221"/>
        <v>Bioaccumulation Exposure</v>
      </c>
      <c r="AE107" s="1353" t="str">
        <f t="shared" si="198"/>
        <v>--</v>
      </c>
      <c r="AF107" s="1364" t="str">
        <f t="shared" si="199"/>
        <v>--</v>
      </c>
      <c r="AG107" s="216" t="str">
        <f t="shared" si="228"/>
        <v>--</v>
      </c>
      <c r="AH107" s="203" t="str">
        <f t="shared" si="160"/>
        <v>--</v>
      </c>
      <c r="AI107" s="203" t="str">
        <f t="shared" si="200"/>
        <v>--</v>
      </c>
      <c r="AJ107" s="203" t="str">
        <f t="shared" si="201"/>
        <v>--</v>
      </c>
      <c r="AK107" s="203" t="str">
        <f t="shared" si="229"/>
        <v>--</v>
      </c>
      <c r="AL107" s="203" t="str">
        <f t="shared" si="202"/>
        <v>--</v>
      </c>
      <c r="AM107" s="203" t="str">
        <f t="shared" si="203"/>
        <v>--</v>
      </c>
      <c r="AN107" s="203" t="str">
        <f t="shared" si="230"/>
        <v>--</v>
      </c>
      <c r="AO107" s="203" t="str">
        <f t="shared" si="204"/>
        <v>--</v>
      </c>
      <c r="AP107" s="203" t="str">
        <f t="shared" si="205"/>
        <v>--</v>
      </c>
      <c r="AQ107" s="203" t="str">
        <f t="shared" si="206"/>
        <v>--</v>
      </c>
      <c r="AR107" s="1262" t="str">
        <f t="shared" si="207"/>
        <v>--</v>
      </c>
      <c r="AS107" s="203" t="str">
        <f t="shared" si="231"/>
        <v>--</v>
      </c>
      <c r="AT107" s="193" t="str">
        <f t="shared" si="232"/>
        <v>--</v>
      </c>
      <c r="AU107" s="203" t="str">
        <f t="shared" si="208"/>
        <v>--</v>
      </c>
      <c r="AV107" s="203" t="str">
        <f t="shared" si="209"/>
        <v>--</v>
      </c>
      <c r="AW107" s="2047" t="str">
        <f t="shared" si="210"/>
        <v>--</v>
      </c>
      <c r="AX107" s="2054">
        <f t="shared" si="211"/>
        <v>0.11600000000000001</v>
      </c>
      <c r="AZ107" s="36"/>
      <c r="BA107" s="36"/>
      <c r="BB107" s="27">
        <f t="shared" si="212"/>
        <v>16.899999999999999</v>
      </c>
      <c r="BC107" s="351" t="str">
        <f t="shared" si="213"/>
        <v>ANL 2024</v>
      </c>
      <c r="BD107" s="27" t="str">
        <f t="shared" si="214"/>
        <v>--</v>
      </c>
      <c r="BE107" s="351" t="str">
        <f t="shared" si="215"/>
        <v>--</v>
      </c>
      <c r="BF107" s="350"/>
      <c r="BG107" s="350"/>
      <c r="BH107" s="350"/>
      <c r="BI107" s="350"/>
      <c r="BM107" s="350"/>
      <c r="BN107" s="350"/>
      <c r="BO107" s="350"/>
      <c r="BP107" s="35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row>
    <row r="108" spans="1:142" ht="12.95" customHeight="1">
      <c r="A108" s="897" t="s">
        <v>283</v>
      </c>
      <c r="B108" s="432" t="s">
        <v>284</v>
      </c>
      <c r="C108" s="205">
        <f t="shared" si="216"/>
        <v>3.44</v>
      </c>
      <c r="D108" s="207" t="str">
        <f t="shared" si="217"/>
        <v>Freshwater Goal</v>
      </c>
      <c r="E108" s="1637" t="str">
        <f t="shared" si="161"/>
        <v>--</v>
      </c>
      <c r="F108" s="187" t="str">
        <f t="shared" si="155"/>
        <v>--</v>
      </c>
      <c r="G108" s="1326" t="str">
        <f t="shared" si="184"/>
        <v>--</v>
      </c>
      <c r="H108" s="1327" t="str">
        <f t="shared" si="185"/>
        <v>--</v>
      </c>
      <c r="I108" s="1359" t="str">
        <f t="shared" si="186"/>
        <v>--</v>
      </c>
      <c r="J108" s="1379">
        <f t="shared" si="218"/>
        <v>9.3700000000000006E-2</v>
      </c>
      <c r="K108" s="1361" t="str">
        <f t="shared" si="219"/>
        <v>Bioaccumulation Exposure</v>
      </c>
      <c r="L108" s="209">
        <f t="shared" si="222"/>
        <v>3.44</v>
      </c>
      <c r="M108" s="1371" t="str">
        <f t="shared" si="187"/>
        <v>ANL 2024</v>
      </c>
      <c r="N108" s="216">
        <f t="shared" si="223"/>
        <v>3.44</v>
      </c>
      <c r="O108" s="203" t="str">
        <f t="shared" si="188"/>
        <v>--</v>
      </c>
      <c r="P108" s="203">
        <f t="shared" si="224"/>
        <v>3.44</v>
      </c>
      <c r="Q108" s="203" t="str">
        <f t="shared" si="189"/>
        <v>--</v>
      </c>
      <c r="R108" s="203" t="str">
        <f t="shared" si="190"/>
        <v>--</v>
      </c>
      <c r="S108" s="203" t="str">
        <f t="shared" si="225"/>
        <v>--</v>
      </c>
      <c r="T108" s="203" t="str">
        <f t="shared" si="191"/>
        <v>--</v>
      </c>
      <c r="U108" s="203" t="str">
        <f t="shared" si="192"/>
        <v>--</v>
      </c>
      <c r="V108" s="203">
        <f t="shared" si="193"/>
        <v>3.44</v>
      </c>
      <c r="W108" s="193" t="str">
        <f t="shared" si="194"/>
        <v>ANL 2024</v>
      </c>
      <c r="X108" s="203">
        <f t="shared" si="226"/>
        <v>0.34399999999999997</v>
      </c>
      <c r="Y108" s="193" t="str">
        <f t="shared" si="227"/>
        <v>10% US EPA FW CMC</v>
      </c>
      <c r="Z108" s="203" t="str">
        <f t="shared" si="195"/>
        <v>--</v>
      </c>
      <c r="AA108" s="203">
        <f t="shared" si="196"/>
        <v>3.44</v>
      </c>
      <c r="AB108" s="1368">
        <f t="shared" si="197"/>
        <v>500</v>
      </c>
      <c r="AC108" s="1356">
        <f t="shared" si="220"/>
        <v>9.3700000000000006E-2</v>
      </c>
      <c r="AD108" s="1377" t="str">
        <f t="shared" si="221"/>
        <v>Bioaccumulation Exposure</v>
      </c>
      <c r="AE108" s="1353" t="str">
        <f t="shared" si="198"/>
        <v>--</v>
      </c>
      <c r="AF108" s="1364" t="str">
        <f t="shared" si="199"/>
        <v>--</v>
      </c>
      <c r="AG108" s="216" t="str">
        <f t="shared" si="228"/>
        <v>--</v>
      </c>
      <c r="AH108" s="203" t="str">
        <f t="shared" si="160"/>
        <v>--</v>
      </c>
      <c r="AI108" s="203" t="str">
        <f t="shared" si="200"/>
        <v>--</v>
      </c>
      <c r="AJ108" s="203" t="str">
        <f t="shared" si="201"/>
        <v>--</v>
      </c>
      <c r="AK108" s="203" t="str">
        <f t="shared" si="229"/>
        <v>--</v>
      </c>
      <c r="AL108" s="203" t="str">
        <f t="shared" si="202"/>
        <v>--</v>
      </c>
      <c r="AM108" s="203" t="str">
        <f t="shared" si="203"/>
        <v>--</v>
      </c>
      <c r="AN108" s="203" t="str">
        <f t="shared" si="230"/>
        <v>--</v>
      </c>
      <c r="AO108" s="203" t="str">
        <f t="shared" si="204"/>
        <v>--</v>
      </c>
      <c r="AP108" s="203" t="str">
        <f t="shared" si="205"/>
        <v>--</v>
      </c>
      <c r="AQ108" s="203" t="str">
        <f t="shared" si="206"/>
        <v>--</v>
      </c>
      <c r="AR108" s="1262" t="str">
        <f t="shared" si="207"/>
        <v>--</v>
      </c>
      <c r="AS108" s="203" t="str">
        <f t="shared" si="231"/>
        <v>--</v>
      </c>
      <c r="AT108" s="193" t="str">
        <f t="shared" si="232"/>
        <v>--</v>
      </c>
      <c r="AU108" s="203" t="str">
        <f t="shared" si="208"/>
        <v>--</v>
      </c>
      <c r="AV108" s="203" t="str">
        <f t="shared" si="209"/>
        <v>--</v>
      </c>
      <c r="AW108" s="2047" t="str">
        <f t="shared" si="210"/>
        <v>--</v>
      </c>
      <c r="AX108" s="2054">
        <f t="shared" si="211"/>
        <v>9.3700000000000006E-2</v>
      </c>
      <c r="AZ108" s="36"/>
      <c r="BA108" s="36"/>
      <c r="BB108" s="27">
        <f t="shared" si="212"/>
        <v>3.44</v>
      </c>
      <c r="BC108" s="351" t="str">
        <f t="shared" si="213"/>
        <v>ANL 2024</v>
      </c>
      <c r="BD108" s="27" t="str">
        <f t="shared" si="214"/>
        <v>--</v>
      </c>
      <c r="BE108" s="351" t="str">
        <f t="shared" si="215"/>
        <v>--</v>
      </c>
      <c r="BF108" s="350"/>
      <c r="BG108" s="350"/>
      <c r="BH108" s="350"/>
      <c r="BI108" s="350"/>
      <c r="BM108" s="350"/>
      <c r="BN108" s="350"/>
      <c r="BO108" s="350"/>
      <c r="BP108" s="35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row>
    <row r="109" spans="1:142" ht="12.95" customHeight="1">
      <c r="A109" s="897" t="s">
        <v>285</v>
      </c>
      <c r="B109" s="432" t="s">
        <v>286</v>
      </c>
      <c r="C109" s="205">
        <f t="shared" si="216"/>
        <v>49</v>
      </c>
      <c r="D109" s="207" t="str">
        <f t="shared" si="217"/>
        <v>Freshwater Goal</v>
      </c>
      <c r="E109" s="1637" t="str">
        <f t="shared" si="161"/>
        <v>--</v>
      </c>
      <c r="F109" s="187" t="str">
        <f t="shared" si="155"/>
        <v>--</v>
      </c>
      <c r="G109" s="1326" t="str">
        <f t="shared" si="184"/>
        <v>--</v>
      </c>
      <c r="H109" s="1327" t="str">
        <f t="shared" si="185"/>
        <v>--</v>
      </c>
      <c r="I109" s="1359" t="str">
        <f t="shared" si="186"/>
        <v>--</v>
      </c>
      <c r="J109" s="1379">
        <f t="shared" si="218"/>
        <v>49</v>
      </c>
      <c r="K109" s="1361" t="str">
        <f t="shared" si="219"/>
        <v>Freshwater Exposure</v>
      </c>
      <c r="L109" s="209">
        <f t="shared" si="222"/>
        <v>49</v>
      </c>
      <c r="M109" s="1371" t="str">
        <f t="shared" si="187"/>
        <v>Divine 2020</v>
      </c>
      <c r="N109" s="216">
        <f t="shared" si="223"/>
        <v>49</v>
      </c>
      <c r="O109" s="203" t="str">
        <f t="shared" si="188"/>
        <v>--</v>
      </c>
      <c r="P109" s="203">
        <f t="shared" si="224"/>
        <v>49</v>
      </c>
      <c r="Q109" s="203" t="str">
        <f t="shared" si="189"/>
        <v>--</v>
      </c>
      <c r="R109" s="203" t="str">
        <f t="shared" si="190"/>
        <v>--</v>
      </c>
      <c r="S109" s="203" t="str">
        <f t="shared" si="225"/>
        <v>--</v>
      </c>
      <c r="T109" s="203" t="str">
        <f t="shared" si="191"/>
        <v>--</v>
      </c>
      <c r="U109" s="203" t="str">
        <f t="shared" si="192"/>
        <v>--</v>
      </c>
      <c r="V109" s="203">
        <f t="shared" si="193"/>
        <v>49</v>
      </c>
      <c r="W109" s="193" t="str">
        <f t="shared" si="194"/>
        <v>Divine 2020</v>
      </c>
      <c r="X109" s="203">
        <f t="shared" si="226"/>
        <v>4.9000000000000004</v>
      </c>
      <c r="Y109" s="193" t="str">
        <f t="shared" si="227"/>
        <v>10% US EPA FW CMC</v>
      </c>
      <c r="Z109" s="203" t="str">
        <f t="shared" si="195"/>
        <v>--</v>
      </c>
      <c r="AA109" s="203">
        <f t="shared" si="196"/>
        <v>49</v>
      </c>
      <c r="AB109" s="1368" t="str">
        <f t="shared" si="197"/>
        <v>--</v>
      </c>
      <c r="AC109" s="1356" t="str">
        <f t="shared" si="220"/>
        <v>--</v>
      </c>
      <c r="AD109" s="1377" t="str">
        <f t="shared" si="221"/>
        <v>--</v>
      </c>
      <c r="AE109" s="1353" t="str">
        <f t="shared" si="198"/>
        <v>--</v>
      </c>
      <c r="AF109" s="1364" t="str">
        <f t="shared" si="199"/>
        <v>--</v>
      </c>
      <c r="AG109" s="216" t="str">
        <f t="shared" si="228"/>
        <v>--</v>
      </c>
      <c r="AH109" s="203" t="str">
        <f t="shared" si="160"/>
        <v>--</v>
      </c>
      <c r="AI109" s="203" t="str">
        <f t="shared" si="200"/>
        <v>--</v>
      </c>
      <c r="AJ109" s="203" t="str">
        <f t="shared" si="201"/>
        <v>--</v>
      </c>
      <c r="AK109" s="203" t="str">
        <f t="shared" si="229"/>
        <v>--</v>
      </c>
      <c r="AL109" s="203" t="str">
        <f t="shared" si="202"/>
        <v>--</v>
      </c>
      <c r="AM109" s="203" t="str">
        <f t="shared" si="203"/>
        <v>--</v>
      </c>
      <c r="AN109" s="203" t="str">
        <f t="shared" si="230"/>
        <v>--</v>
      </c>
      <c r="AO109" s="203" t="str">
        <f t="shared" si="204"/>
        <v>--</v>
      </c>
      <c r="AP109" s="203" t="str">
        <f t="shared" si="205"/>
        <v>--</v>
      </c>
      <c r="AQ109" s="203" t="str">
        <f t="shared" si="206"/>
        <v>--</v>
      </c>
      <c r="AR109" s="1262" t="str">
        <f t="shared" si="207"/>
        <v>--</v>
      </c>
      <c r="AS109" s="203" t="str">
        <f t="shared" si="231"/>
        <v>--</v>
      </c>
      <c r="AT109" s="193" t="str">
        <f t="shared" si="232"/>
        <v>--</v>
      </c>
      <c r="AU109" s="203" t="str">
        <f t="shared" si="208"/>
        <v>--</v>
      </c>
      <c r="AV109" s="203" t="str">
        <f t="shared" si="209"/>
        <v>--</v>
      </c>
      <c r="AW109" s="2047" t="str">
        <f t="shared" si="210"/>
        <v>--</v>
      </c>
      <c r="AX109" s="2054" t="str">
        <f t="shared" si="211"/>
        <v>--</v>
      </c>
      <c r="AZ109" s="36"/>
      <c r="BA109" s="36"/>
      <c r="BB109" s="27">
        <f t="shared" si="212"/>
        <v>49</v>
      </c>
      <c r="BC109" s="351" t="str">
        <f t="shared" si="213"/>
        <v>Divine 2020</v>
      </c>
      <c r="BD109" s="27" t="str">
        <f t="shared" si="214"/>
        <v>--</v>
      </c>
      <c r="BE109" s="351" t="str">
        <f t="shared" si="215"/>
        <v>--</v>
      </c>
      <c r="BF109" s="350"/>
      <c r="BG109" s="350"/>
      <c r="BH109" s="350"/>
      <c r="BI109" s="350"/>
      <c r="BM109" s="350"/>
      <c r="BN109" s="350"/>
      <c r="BO109" s="350"/>
      <c r="BP109" s="35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row>
    <row r="110" spans="1:142" ht="12.95" customHeight="1">
      <c r="A110" s="897" t="s">
        <v>287</v>
      </c>
      <c r="B110" s="432" t="s">
        <v>288</v>
      </c>
      <c r="C110" s="205">
        <f t="shared" si="216"/>
        <v>72</v>
      </c>
      <c r="D110" s="207" t="str">
        <f t="shared" si="217"/>
        <v>Freshwater Goal</v>
      </c>
      <c r="E110" s="1637" t="str">
        <f t="shared" si="161"/>
        <v>--</v>
      </c>
      <c r="F110" s="187" t="str">
        <f t="shared" si="155"/>
        <v>--</v>
      </c>
      <c r="G110" s="1326" t="str">
        <f t="shared" si="184"/>
        <v>--</v>
      </c>
      <c r="H110" s="1327" t="str">
        <f t="shared" si="185"/>
        <v>--</v>
      </c>
      <c r="I110" s="1359" t="str">
        <f t="shared" si="186"/>
        <v>--</v>
      </c>
      <c r="J110" s="1379">
        <f t="shared" si="218"/>
        <v>72</v>
      </c>
      <c r="K110" s="1361" t="str">
        <f t="shared" si="219"/>
        <v>Freshwater Exposure</v>
      </c>
      <c r="L110" s="209">
        <f t="shared" si="222"/>
        <v>72</v>
      </c>
      <c r="M110" s="1371" t="str">
        <f t="shared" si="187"/>
        <v>Divine 2020</v>
      </c>
      <c r="N110" s="216">
        <f t="shared" si="223"/>
        <v>72</v>
      </c>
      <c r="O110" s="203" t="str">
        <f t="shared" si="188"/>
        <v>--</v>
      </c>
      <c r="P110" s="203">
        <f t="shared" si="224"/>
        <v>72</v>
      </c>
      <c r="Q110" s="203" t="str">
        <f t="shared" si="189"/>
        <v>--</v>
      </c>
      <c r="R110" s="203" t="str">
        <f t="shared" si="190"/>
        <v>--</v>
      </c>
      <c r="S110" s="203" t="str">
        <f t="shared" si="225"/>
        <v>--</v>
      </c>
      <c r="T110" s="203" t="str">
        <f t="shared" si="191"/>
        <v>--</v>
      </c>
      <c r="U110" s="203" t="str">
        <f t="shared" si="192"/>
        <v>--</v>
      </c>
      <c r="V110" s="203">
        <f t="shared" si="193"/>
        <v>72</v>
      </c>
      <c r="W110" s="193" t="str">
        <f t="shared" si="194"/>
        <v>Divine 2020</v>
      </c>
      <c r="X110" s="203">
        <f t="shared" si="226"/>
        <v>7.2</v>
      </c>
      <c r="Y110" s="193" t="str">
        <f t="shared" si="227"/>
        <v>10% US EPA FW CMC</v>
      </c>
      <c r="Z110" s="203" t="str">
        <f t="shared" si="195"/>
        <v>--</v>
      </c>
      <c r="AA110" s="203">
        <f t="shared" si="196"/>
        <v>72</v>
      </c>
      <c r="AB110" s="1368" t="str">
        <f t="shared" si="197"/>
        <v>--</v>
      </c>
      <c r="AC110" s="1356" t="str">
        <f t="shared" si="220"/>
        <v>--</v>
      </c>
      <c r="AD110" s="1377" t="str">
        <f t="shared" si="221"/>
        <v>--</v>
      </c>
      <c r="AE110" s="1353" t="str">
        <f t="shared" si="198"/>
        <v>--</v>
      </c>
      <c r="AF110" s="1364" t="str">
        <f t="shared" si="199"/>
        <v>--</v>
      </c>
      <c r="AG110" s="216" t="str">
        <f t="shared" si="228"/>
        <v>--</v>
      </c>
      <c r="AH110" s="203" t="str">
        <f t="shared" si="160"/>
        <v>--</v>
      </c>
      <c r="AI110" s="203" t="str">
        <f t="shared" si="200"/>
        <v>--</v>
      </c>
      <c r="AJ110" s="203" t="str">
        <f t="shared" si="201"/>
        <v>--</v>
      </c>
      <c r="AK110" s="203" t="str">
        <f t="shared" si="229"/>
        <v>--</v>
      </c>
      <c r="AL110" s="203" t="str">
        <f t="shared" si="202"/>
        <v>--</v>
      </c>
      <c r="AM110" s="203" t="str">
        <f t="shared" si="203"/>
        <v>--</v>
      </c>
      <c r="AN110" s="203" t="str">
        <f t="shared" si="230"/>
        <v>--</v>
      </c>
      <c r="AO110" s="203" t="str">
        <f t="shared" si="204"/>
        <v>--</v>
      </c>
      <c r="AP110" s="203" t="str">
        <f t="shared" si="205"/>
        <v>--</v>
      </c>
      <c r="AQ110" s="203" t="str">
        <f t="shared" si="206"/>
        <v>--</v>
      </c>
      <c r="AR110" s="1262" t="str">
        <f t="shared" si="207"/>
        <v>--</v>
      </c>
      <c r="AS110" s="203" t="str">
        <f t="shared" si="231"/>
        <v>--</v>
      </c>
      <c r="AT110" s="193" t="str">
        <f t="shared" si="232"/>
        <v>--</v>
      </c>
      <c r="AU110" s="203" t="str">
        <f t="shared" si="208"/>
        <v>--</v>
      </c>
      <c r="AV110" s="203" t="str">
        <f t="shared" si="209"/>
        <v>--</v>
      </c>
      <c r="AW110" s="2047" t="str">
        <f t="shared" si="210"/>
        <v>--</v>
      </c>
      <c r="AX110" s="2054" t="str">
        <f t="shared" si="211"/>
        <v>--</v>
      </c>
      <c r="AZ110" s="36"/>
      <c r="BA110" s="36"/>
      <c r="BB110" s="27">
        <f t="shared" si="212"/>
        <v>72</v>
      </c>
      <c r="BC110" s="351" t="str">
        <f t="shared" si="213"/>
        <v>Divine 2020</v>
      </c>
      <c r="BD110" s="27" t="str">
        <f t="shared" si="214"/>
        <v>--</v>
      </c>
      <c r="BE110" s="351" t="str">
        <f t="shared" si="215"/>
        <v>--</v>
      </c>
      <c r="BF110" s="350"/>
      <c r="BG110" s="350"/>
      <c r="BH110" s="350"/>
      <c r="BI110" s="350"/>
      <c r="BM110" s="350"/>
      <c r="BN110" s="350"/>
      <c r="BO110" s="350"/>
      <c r="BP110" s="35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row>
    <row r="111" spans="1:142" ht="12.95" customHeight="1">
      <c r="A111" s="897" t="s">
        <v>289</v>
      </c>
      <c r="B111" s="432" t="s">
        <v>290</v>
      </c>
      <c r="C111" s="205" t="str">
        <f t="shared" si="216"/>
        <v>--</v>
      </c>
      <c r="D111" s="207" t="str">
        <f t="shared" si="217"/>
        <v>--</v>
      </c>
      <c r="E111" s="1637" t="str">
        <f t="shared" si="161"/>
        <v>--</v>
      </c>
      <c r="F111" s="187" t="str">
        <f t="shared" si="155"/>
        <v>--</v>
      </c>
      <c r="G111" s="1326" t="str">
        <f t="shared" si="184"/>
        <v>--</v>
      </c>
      <c r="H111" s="1327" t="str">
        <f t="shared" si="185"/>
        <v>--</v>
      </c>
      <c r="I111" s="1359" t="str">
        <f t="shared" si="186"/>
        <v>--</v>
      </c>
      <c r="J111" s="1379" t="str">
        <f t="shared" si="218"/>
        <v>--</v>
      </c>
      <c r="K111" s="1361" t="str">
        <f t="shared" si="219"/>
        <v>--</v>
      </c>
      <c r="L111" s="209" t="str">
        <f t="shared" si="173"/>
        <v>--</v>
      </c>
      <c r="M111" s="1371" t="str">
        <f t="shared" si="187"/>
        <v>--</v>
      </c>
      <c r="N111" s="216" t="str">
        <f t="shared" si="174"/>
        <v>--</v>
      </c>
      <c r="O111" s="203" t="str">
        <f t="shared" si="188"/>
        <v>--</v>
      </c>
      <c r="P111" s="203" t="str">
        <f t="shared" si="175"/>
        <v>--</v>
      </c>
      <c r="Q111" s="203" t="str">
        <f t="shared" si="189"/>
        <v>--</v>
      </c>
      <c r="R111" s="203" t="str">
        <f t="shared" si="190"/>
        <v>--</v>
      </c>
      <c r="S111" s="203" t="str">
        <f t="shared" si="176"/>
        <v>--</v>
      </c>
      <c r="T111" s="203" t="str">
        <f t="shared" si="191"/>
        <v>--</v>
      </c>
      <c r="U111" s="203" t="str">
        <f t="shared" si="192"/>
        <v>--</v>
      </c>
      <c r="V111" s="203" t="str">
        <f t="shared" si="193"/>
        <v>--</v>
      </c>
      <c r="W111" s="193" t="str">
        <f t="shared" si="194"/>
        <v>--</v>
      </c>
      <c r="X111" s="203" t="str">
        <f t="shared" si="177"/>
        <v>--</v>
      </c>
      <c r="Y111" s="193" t="str">
        <f t="shared" si="178"/>
        <v>--</v>
      </c>
      <c r="Z111" s="203" t="str">
        <f t="shared" si="195"/>
        <v>--</v>
      </c>
      <c r="AA111" s="203" t="str">
        <f t="shared" si="196"/>
        <v>--</v>
      </c>
      <c r="AB111" s="1368" t="str">
        <f t="shared" si="197"/>
        <v>--</v>
      </c>
      <c r="AC111" s="1356" t="str">
        <f t="shared" si="220"/>
        <v>--</v>
      </c>
      <c r="AD111" s="1377" t="str">
        <f t="shared" si="221"/>
        <v>--</v>
      </c>
      <c r="AE111" s="1353" t="str">
        <f t="shared" si="198"/>
        <v>--</v>
      </c>
      <c r="AF111" s="1364" t="str">
        <f t="shared" si="199"/>
        <v>--</v>
      </c>
      <c r="AG111" s="216" t="str">
        <f t="shared" si="179"/>
        <v>--</v>
      </c>
      <c r="AH111" s="203" t="str">
        <f t="shared" si="160"/>
        <v>--</v>
      </c>
      <c r="AI111" s="203" t="str">
        <f t="shared" si="200"/>
        <v>--</v>
      </c>
      <c r="AJ111" s="203" t="str">
        <f t="shared" si="201"/>
        <v>--</v>
      </c>
      <c r="AK111" s="203" t="str">
        <f t="shared" si="180"/>
        <v>--</v>
      </c>
      <c r="AL111" s="203" t="str">
        <f t="shared" si="202"/>
        <v>--</v>
      </c>
      <c r="AM111" s="203" t="str">
        <f t="shared" si="203"/>
        <v>--</v>
      </c>
      <c r="AN111" s="203" t="str">
        <f t="shared" si="181"/>
        <v>--</v>
      </c>
      <c r="AO111" s="203" t="str">
        <f t="shared" si="204"/>
        <v>--</v>
      </c>
      <c r="AP111" s="203" t="str">
        <f t="shared" si="205"/>
        <v>--</v>
      </c>
      <c r="AQ111" s="203" t="str">
        <f t="shared" si="206"/>
        <v>--</v>
      </c>
      <c r="AR111" s="1262" t="str">
        <f t="shared" si="207"/>
        <v>--</v>
      </c>
      <c r="AS111" s="203" t="str">
        <f t="shared" si="182"/>
        <v>--</v>
      </c>
      <c r="AT111" s="193" t="str">
        <f t="shared" si="183"/>
        <v>--</v>
      </c>
      <c r="AU111" s="203" t="str">
        <f t="shared" si="208"/>
        <v>--</v>
      </c>
      <c r="AV111" s="203" t="str">
        <f t="shared" si="209"/>
        <v>--</v>
      </c>
      <c r="AW111" s="2047" t="str">
        <f t="shared" si="210"/>
        <v>--</v>
      </c>
      <c r="AX111" s="2054" t="str">
        <f t="shared" si="211"/>
        <v>--</v>
      </c>
      <c r="AZ111" s="36"/>
      <c r="BA111" s="36"/>
      <c r="BB111" s="27" t="str">
        <f t="shared" si="212"/>
        <v>--</v>
      </c>
      <c r="BC111" s="351" t="str">
        <f t="shared" si="213"/>
        <v>--</v>
      </c>
      <c r="BD111" s="27" t="str">
        <f t="shared" si="214"/>
        <v>--</v>
      </c>
      <c r="BE111" s="351" t="str">
        <f t="shared" si="215"/>
        <v>--</v>
      </c>
      <c r="BF111" s="350"/>
      <c r="BG111" s="350"/>
      <c r="BH111" s="350"/>
      <c r="BI111" s="350"/>
      <c r="BM111" s="350"/>
      <c r="BN111" s="350"/>
      <c r="BO111" s="350"/>
      <c r="BP111" s="35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row>
    <row r="112" spans="1:142" ht="12.95" customHeight="1">
      <c r="A112" s="897" t="s">
        <v>291</v>
      </c>
      <c r="B112" s="432" t="s">
        <v>292</v>
      </c>
      <c r="C112" s="205" t="str">
        <f t="shared" si="216"/>
        <v>--</v>
      </c>
      <c r="D112" s="207" t="str">
        <f t="shared" si="217"/>
        <v>--</v>
      </c>
      <c r="E112" s="1637" t="str">
        <f t="shared" si="161"/>
        <v>--</v>
      </c>
      <c r="F112" s="187" t="str">
        <f t="shared" si="155"/>
        <v>--</v>
      </c>
      <c r="G112" s="1326" t="str">
        <f t="shared" si="184"/>
        <v>--</v>
      </c>
      <c r="H112" s="1327" t="str">
        <f t="shared" si="185"/>
        <v>--</v>
      </c>
      <c r="I112" s="1359" t="str">
        <f t="shared" si="186"/>
        <v>--</v>
      </c>
      <c r="J112" s="1379" t="str">
        <f t="shared" si="218"/>
        <v>--</v>
      </c>
      <c r="K112" s="1361" t="str">
        <f t="shared" si="219"/>
        <v>--</v>
      </c>
      <c r="L112" s="209" t="str">
        <f t="shared" si="173"/>
        <v>--</v>
      </c>
      <c r="M112" s="1371" t="str">
        <f t="shared" si="187"/>
        <v>--</v>
      </c>
      <c r="N112" s="216" t="str">
        <f t="shared" si="174"/>
        <v>--</v>
      </c>
      <c r="O112" s="203" t="str">
        <f t="shared" si="188"/>
        <v>--</v>
      </c>
      <c r="P112" s="203" t="str">
        <f t="shared" si="175"/>
        <v>--</v>
      </c>
      <c r="Q112" s="203" t="str">
        <f t="shared" si="189"/>
        <v>--</v>
      </c>
      <c r="R112" s="203" t="str">
        <f t="shared" si="190"/>
        <v>--</v>
      </c>
      <c r="S112" s="203" t="str">
        <f t="shared" si="176"/>
        <v>--</v>
      </c>
      <c r="T112" s="203" t="str">
        <f t="shared" si="191"/>
        <v>--</v>
      </c>
      <c r="U112" s="203" t="str">
        <f t="shared" si="192"/>
        <v>--</v>
      </c>
      <c r="V112" s="203" t="str">
        <f t="shared" si="193"/>
        <v>--</v>
      </c>
      <c r="W112" s="193" t="str">
        <f t="shared" si="194"/>
        <v>--</v>
      </c>
      <c r="X112" s="203" t="str">
        <f t="shared" si="177"/>
        <v>--</v>
      </c>
      <c r="Y112" s="193" t="str">
        <f t="shared" si="178"/>
        <v>--</v>
      </c>
      <c r="Z112" s="203" t="str">
        <f t="shared" si="195"/>
        <v>--</v>
      </c>
      <c r="AA112" s="203" t="str">
        <f t="shared" si="196"/>
        <v>--</v>
      </c>
      <c r="AB112" s="1368" t="str">
        <f t="shared" si="197"/>
        <v>--</v>
      </c>
      <c r="AC112" s="1356" t="str">
        <f t="shared" si="220"/>
        <v>--</v>
      </c>
      <c r="AD112" s="1377" t="str">
        <f t="shared" si="221"/>
        <v>--</v>
      </c>
      <c r="AE112" s="1353" t="str">
        <f t="shared" si="198"/>
        <v>--</v>
      </c>
      <c r="AF112" s="1364" t="str">
        <f t="shared" si="199"/>
        <v>--</v>
      </c>
      <c r="AG112" s="216" t="str">
        <f t="shared" si="179"/>
        <v>--</v>
      </c>
      <c r="AH112" s="203" t="str">
        <f t="shared" si="160"/>
        <v>--</v>
      </c>
      <c r="AI112" s="203" t="str">
        <f t="shared" si="200"/>
        <v>--</v>
      </c>
      <c r="AJ112" s="203" t="str">
        <f t="shared" si="201"/>
        <v>--</v>
      </c>
      <c r="AK112" s="203" t="str">
        <f t="shared" si="180"/>
        <v>--</v>
      </c>
      <c r="AL112" s="203" t="str">
        <f t="shared" si="202"/>
        <v>--</v>
      </c>
      <c r="AM112" s="203" t="str">
        <f t="shared" si="203"/>
        <v>--</v>
      </c>
      <c r="AN112" s="203" t="str">
        <f t="shared" si="181"/>
        <v>--</v>
      </c>
      <c r="AO112" s="203" t="str">
        <f t="shared" si="204"/>
        <v>--</v>
      </c>
      <c r="AP112" s="203" t="str">
        <f t="shared" si="205"/>
        <v>--</v>
      </c>
      <c r="AQ112" s="203" t="str">
        <f t="shared" si="206"/>
        <v>--</v>
      </c>
      <c r="AR112" s="1262" t="str">
        <f t="shared" si="207"/>
        <v>--</v>
      </c>
      <c r="AS112" s="203" t="str">
        <f t="shared" si="182"/>
        <v>--</v>
      </c>
      <c r="AT112" s="193" t="str">
        <f t="shared" si="183"/>
        <v>--</v>
      </c>
      <c r="AU112" s="203" t="str">
        <f t="shared" si="208"/>
        <v>--</v>
      </c>
      <c r="AV112" s="203" t="str">
        <f t="shared" si="209"/>
        <v>--</v>
      </c>
      <c r="AW112" s="2047" t="str">
        <f t="shared" si="210"/>
        <v>--</v>
      </c>
      <c r="AX112" s="2054" t="str">
        <f t="shared" si="211"/>
        <v>--</v>
      </c>
      <c r="AZ112" s="36"/>
      <c r="BA112" s="36"/>
      <c r="BB112" s="27" t="str">
        <f t="shared" si="212"/>
        <v>--</v>
      </c>
      <c r="BC112" s="351" t="str">
        <f t="shared" si="213"/>
        <v>--</v>
      </c>
      <c r="BD112" s="27" t="str">
        <f t="shared" si="214"/>
        <v>--</v>
      </c>
      <c r="BE112" s="351" t="str">
        <f t="shared" si="215"/>
        <v>--</v>
      </c>
      <c r="BF112" s="350"/>
      <c r="BG112" s="350"/>
      <c r="BH112" s="350"/>
      <c r="BI112" s="350"/>
      <c r="BM112" s="350"/>
      <c r="BN112" s="350"/>
      <c r="BO112" s="350"/>
      <c r="BP112" s="35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row>
    <row r="113" spans="1:142" ht="12.95" customHeight="1">
      <c r="A113" s="897" t="s">
        <v>293</v>
      </c>
      <c r="B113" s="432" t="s">
        <v>294</v>
      </c>
      <c r="C113" s="205">
        <f t="shared" si="216"/>
        <v>0.5</v>
      </c>
      <c r="D113" s="207" t="str">
        <f t="shared" si="217"/>
        <v>Seafood Ingestion</v>
      </c>
      <c r="E113" s="1637">
        <f t="shared" si="161"/>
        <v>0.5</v>
      </c>
      <c r="F113" s="187" t="str">
        <f t="shared" si="155"/>
        <v>National Criteria</v>
      </c>
      <c r="G113" s="1326" t="str">
        <f t="shared" si="184"/>
        <v>--</v>
      </c>
      <c r="H113" s="1327" t="str">
        <f t="shared" si="185"/>
        <v>--</v>
      </c>
      <c r="I113" s="1359">
        <f t="shared" si="186"/>
        <v>0.5</v>
      </c>
      <c r="J113" s="1379">
        <f t="shared" si="218"/>
        <v>209</v>
      </c>
      <c r="K113" s="1361" t="str">
        <f t="shared" si="219"/>
        <v>Bioaccumulation Exposure</v>
      </c>
      <c r="L113" s="209">
        <f t="shared" si="173"/>
        <v>446</v>
      </c>
      <c r="M113" s="1371" t="str">
        <f t="shared" si="187"/>
        <v>ANL 2024</v>
      </c>
      <c r="N113" s="216">
        <f t="shared" si="174"/>
        <v>446</v>
      </c>
      <c r="O113" s="203" t="str">
        <f t="shared" si="188"/>
        <v>--</v>
      </c>
      <c r="P113" s="203">
        <f t="shared" si="175"/>
        <v>446</v>
      </c>
      <c r="Q113" s="203" t="str">
        <f t="shared" si="189"/>
        <v>--</v>
      </c>
      <c r="R113" s="203" t="str">
        <f t="shared" si="190"/>
        <v>--</v>
      </c>
      <c r="S113" s="203" t="str">
        <f t="shared" si="176"/>
        <v>--</v>
      </c>
      <c r="T113" s="203" t="str">
        <f t="shared" si="191"/>
        <v>--</v>
      </c>
      <c r="U113" s="203" t="str">
        <f t="shared" si="192"/>
        <v>--</v>
      </c>
      <c r="V113" s="203">
        <f t="shared" si="193"/>
        <v>446</v>
      </c>
      <c r="W113" s="193" t="str">
        <f t="shared" si="194"/>
        <v>ANL 2024</v>
      </c>
      <c r="X113" s="203">
        <f t="shared" si="177"/>
        <v>44.6</v>
      </c>
      <c r="Y113" s="193" t="str">
        <f t="shared" si="178"/>
        <v>10% US EPA FW CMC</v>
      </c>
      <c r="Z113" s="203" t="str">
        <f t="shared" si="195"/>
        <v>--</v>
      </c>
      <c r="AA113" s="203">
        <f t="shared" si="196"/>
        <v>446</v>
      </c>
      <c r="AB113" s="1368" t="str">
        <f t="shared" si="197"/>
        <v>--</v>
      </c>
      <c r="AC113" s="1356">
        <f t="shared" si="220"/>
        <v>209</v>
      </c>
      <c r="AD113" s="1377" t="str">
        <f t="shared" si="221"/>
        <v>Bioaccumulation Exposure</v>
      </c>
      <c r="AE113" s="1353" t="str">
        <f t="shared" si="198"/>
        <v>--</v>
      </c>
      <c r="AF113" s="1364" t="str">
        <f t="shared" si="199"/>
        <v>--</v>
      </c>
      <c r="AG113" s="216" t="str">
        <f t="shared" si="179"/>
        <v>--</v>
      </c>
      <c r="AH113" s="203" t="str">
        <f t="shared" si="160"/>
        <v>--</v>
      </c>
      <c r="AI113" s="203" t="str">
        <f t="shared" si="200"/>
        <v>--</v>
      </c>
      <c r="AJ113" s="203" t="str">
        <f t="shared" si="201"/>
        <v>--</v>
      </c>
      <c r="AK113" s="203" t="str">
        <f t="shared" si="180"/>
        <v>--</v>
      </c>
      <c r="AL113" s="203" t="str">
        <f t="shared" si="202"/>
        <v>--</v>
      </c>
      <c r="AM113" s="203" t="str">
        <f t="shared" si="203"/>
        <v>--</v>
      </c>
      <c r="AN113" s="203" t="str">
        <f t="shared" si="181"/>
        <v>--</v>
      </c>
      <c r="AO113" s="203" t="str">
        <f t="shared" si="204"/>
        <v>--</v>
      </c>
      <c r="AP113" s="203" t="str">
        <f t="shared" si="205"/>
        <v>--</v>
      </c>
      <c r="AQ113" s="203" t="str">
        <f t="shared" si="206"/>
        <v>--</v>
      </c>
      <c r="AR113" s="1262" t="str">
        <f t="shared" si="207"/>
        <v>--</v>
      </c>
      <c r="AS113" s="203" t="str">
        <f t="shared" si="182"/>
        <v>--</v>
      </c>
      <c r="AT113" s="193" t="str">
        <f t="shared" si="183"/>
        <v>--</v>
      </c>
      <c r="AU113" s="203" t="str">
        <f t="shared" si="208"/>
        <v>--</v>
      </c>
      <c r="AV113" s="203" t="str">
        <f t="shared" si="209"/>
        <v>--</v>
      </c>
      <c r="AW113" s="2047" t="str">
        <f t="shared" si="210"/>
        <v>--</v>
      </c>
      <c r="AX113" s="2054">
        <f t="shared" si="211"/>
        <v>209</v>
      </c>
      <c r="AZ113" s="36"/>
      <c r="BA113" s="36"/>
      <c r="BB113" s="27">
        <f t="shared" si="212"/>
        <v>446</v>
      </c>
      <c r="BC113" s="351" t="str">
        <f t="shared" si="213"/>
        <v>ANL 2024</v>
      </c>
      <c r="BD113" s="27" t="str">
        <f t="shared" si="214"/>
        <v>--</v>
      </c>
      <c r="BE113" s="351" t="str">
        <f t="shared" si="215"/>
        <v>--</v>
      </c>
      <c r="BF113" s="350"/>
      <c r="BG113" s="350"/>
      <c r="BH113" s="350"/>
      <c r="BI113" s="350"/>
      <c r="BM113" s="350"/>
      <c r="BN113" s="350"/>
      <c r="BO113" s="350"/>
      <c r="BP113" s="35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row>
    <row r="114" spans="1:142" ht="12.95" customHeight="1">
      <c r="A114" s="897" t="s">
        <v>295</v>
      </c>
      <c r="B114" s="432" t="s">
        <v>296</v>
      </c>
      <c r="C114" s="205">
        <f t="shared" si="216"/>
        <v>94.2</v>
      </c>
      <c r="D114" s="207" t="str">
        <f t="shared" si="217"/>
        <v>Freshwater Goal</v>
      </c>
      <c r="E114" s="1637" t="str">
        <f t="shared" si="161"/>
        <v>--</v>
      </c>
      <c r="F114" s="187" t="str">
        <f t="shared" si="155"/>
        <v>--</v>
      </c>
      <c r="G114" s="1326" t="str">
        <f t="shared" si="184"/>
        <v>--</v>
      </c>
      <c r="H114" s="1327" t="str">
        <f t="shared" si="185"/>
        <v>--</v>
      </c>
      <c r="I114" s="1359" t="str">
        <f t="shared" si="186"/>
        <v>--</v>
      </c>
      <c r="J114" s="1379">
        <f t="shared" si="218"/>
        <v>14.1</v>
      </c>
      <c r="K114" s="1361" t="str">
        <f t="shared" si="219"/>
        <v>Bioaccumulation Exposure</v>
      </c>
      <c r="L114" s="209">
        <f>IF(N114="--",X114, N114)</f>
        <v>94.2</v>
      </c>
      <c r="M114" s="1371" t="str">
        <f t="shared" si="187"/>
        <v>ANL 2024</v>
      </c>
      <c r="N114" s="216">
        <f>IF(AND(O114="--",P114="--"),"--", IF(O114="--",P114, IF(P114="--", O114, MIN(P114,O114))))</f>
        <v>94.2</v>
      </c>
      <c r="O114" s="203" t="str">
        <f t="shared" si="188"/>
        <v>--</v>
      </c>
      <c r="P114" s="203">
        <f>IF(Q114&lt;&gt;"--",Q114,IF(R114&lt;&gt;"--",R114,IF(S114&lt;&gt;"--",S114, V114)))</f>
        <v>94.2</v>
      </c>
      <c r="Q114" s="203" t="str">
        <f t="shared" si="189"/>
        <v>--</v>
      </c>
      <c r="R114" s="203" t="str">
        <f t="shared" si="190"/>
        <v>--</v>
      </c>
      <c r="S114" s="203" t="str">
        <f t="shared" si="176"/>
        <v>--</v>
      </c>
      <c r="T114" s="203" t="str">
        <f t="shared" si="191"/>
        <v>--</v>
      </c>
      <c r="U114" s="203" t="str">
        <f t="shared" si="192"/>
        <v>--</v>
      </c>
      <c r="V114" s="203">
        <f t="shared" si="193"/>
        <v>94.2</v>
      </c>
      <c r="W114" s="193" t="str">
        <f t="shared" si="194"/>
        <v>ANL 2024</v>
      </c>
      <c r="X114" s="203">
        <f t="shared" si="177"/>
        <v>9.42</v>
      </c>
      <c r="Y114" s="193" t="str">
        <f t="shared" si="178"/>
        <v>10% US EPA FW CMC</v>
      </c>
      <c r="Z114" s="203" t="str">
        <f t="shared" si="195"/>
        <v>--</v>
      </c>
      <c r="AA114" s="203">
        <f t="shared" si="196"/>
        <v>94.2</v>
      </c>
      <c r="AB114" s="1368">
        <f t="shared" si="197"/>
        <v>210</v>
      </c>
      <c r="AC114" s="1356">
        <f t="shared" si="220"/>
        <v>14.1</v>
      </c>
      <c r="AD114" s="1377" t="str">
        <f t="shared" si="221"/>
        <v>Bioaccumulation Exposure</v>
      </c>
      <c r="AE114" s="1353" t="str">
        <f t="shared" si="198"/>
        <v>--</v>
      </c>
      <c r="AF114" s="1364" t="str">
        <f t="shared" si="199"/>
        <v>--</v>
      </c>
      <c r="AG114" s="216" t="str">
        <f t="shared" si="179"/>
        <v>--</v>
      </c>
      <c r="AH114" s="203" t="str">
        <f t="shared" si="160"/>
        <v>--</v>
      </c>
      <c r="AI114" s="203" t="str">
        <f t="shared" si="200"/>
        <v>--</v>
      </c>
      <c r="AJ114" s="203" t="str">
        <f t="shared" si="201"/>
        <v>--</v>
      </c>
      <c r="AK114" s="203" t="str">
        <f t="shared" si="180"/>
        <v>--</v>
      </c>
      <c r="AL114" s="203" t="str">
        <f t="shared" si="202"/>
        <v>--</v>
      </c>
      <c r="AM114" s="203" t="str">
        <f t="shared" si="203"/>
        <v>--</v>
      </c>
      <c r="AN114" s="203" t="str">
        <f t="shared" si="181"/>
        <v>--</v>
      </c>
      <c r="AO114" s="203" t="str">
        <f t="shared" si="204"/>
        <v>--</v>
      </c>
      <c r="AP114" s="203" t="str">
        <f t="shared" si="205"/>
        <v>--</v>
      </c>
      <c r="AQ114" s="203" t="str">
        <f t="shared" si="206"/>
        <v>--</v>
      </c>
      <c r="AR114" s="1262" t="str">
        <f t="shared" si="207"/>
        <v>--</v>
      </c>
      <c r="AS114" s="203" t="str">
        <f t="shared" si="182"/>
        <v>--</v>
      </c>
      <c r="AT114" s="193" t="str">
        <f t="shared" si="183"/>
        <v>--</v>
      </c>
      <c r="AU114" s="203" t="str">
        <f t="shared" si="208"/>
        <v>--</v>
      </c>
      <c r="AV114" s="203" t="str">
        <f t="shared" si="209"/>
        <v>--</v>
      </c>
      <c r="AW114" s="2047" t="str">
        <f t="shared" si="210"/>
        <v>--</v>
      </c>
      <c r="AX114" s="2054">
        <f t="shared" si="211"/>
        <v>14.1</v>
      </c>
      <c r="AZ114" s="36"/>
      <c r="BA114" s="36"/>
      <c r="BB114" s="27">
        <f t="shared" si="212"/>
        <v>94.2</v>
      </c>
      <c r="BC114" s="351" t="str">
        <f t="shared" si="213"/>
        <v>ANL 2024</v>
      </c>
      <c r="BD114" s="27" t="str">
        <f t="shared" si="214"/>
        <v>--</v>
      </c>
      <c r="BE114" s="351" t="str">
        <f t="shared" si="215"/>
        <v>--</v>
      </c>
      <c r="BF114" s="350"/>
      <c r="BG114" s="350"/>
      <c r="BH114" s="350"/>
      <c r="BI114" s="350"/>
      <c r="BM114" s="350"/>
      <c r="BN114" s="350"/>
      <c r="BO114" s="350"/>
      <c r="BP114" s="35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row>
    <row r="115" spans="1:142" ht="12.95" customHeight="1">
      <c r="A115" s="897" t="s">
        <v>297</v>
      </c>
      <c r="B115" s="432" t="s">
        <v>298</v>
      </c>
      <c r="C115" s="205">
        <f t="shared" si="216"/>
        <v>6.9999999999999994E-5</v>
      </c>
      <c r="D115" s="207" t="str">
        <f t="shared" si="217"/>
        <v>Seafood Ingestion</v>
      </c>
      <c r="E115" s="1637">
        <f>IF(AND(G115="--",H115="--",I115="--"), "--", MIN(G115,H115,I115))</f>
        <v>6.9999999999999994E-5</v>
      </c>
      <c r="F115" s="187" t="str">
        <f t="shared" si="155"/>
        <v>National Criteria</v>
      </c>
      <c r="G115" s="1326" t="str">
        <f t="shared" si="184"/>
        <v>--</v>
      </c>
      <c r="H115" s="1327" t="str">
        <f t="shared" si="185"/>
        <v>--</v>
      </c>
      <c r="I115" s="1359">
        <f t="shared" si="186"/>
        <v>6.9999999999999994E-5</v>
      </c>
      <c r="J115" s="1379">
        <f t="shared" si="218"/>
        <v>1.67E-2</v>
      </c>
      <c r="K115" s="1361" t="str">
        <f t="shared" si="219"/>
        <v>Bioaccumulation Exposure</v>
      </c>
      <c r="L115" s="209">
        <f t="shared" si="173"/>
        <v>0.25</v>
      </c>
      <c r="M115" s="1371" t="str">
        <f t="shared" si="187"/>
        <v>US EPA FW CCC</v>
      </c>
      <c r="N115" s="216">
        <f t="shared" si="174"/>
        <v>0.25</v>
      </c>
      <c r="O115" s="203" t="str">
        <f t="shared" si="188"/>
        <v>--</v>
      </c>
      <c r="P115" s="203">
        <f t="shared" si="175"/>
        <v>0.25</v>
      </c>
      <c r="Q115" s="203" t="str">
        <f t="shared" si="189"/>
        <v>--</v>
      </c>
      <c r="R115" s="203">
        <f t="shared" si="190"/>
        <v>0.25</v>
      </c>
      <c r="S115" s="203" t="str">
        <f t="shared" si="176"/>
        <v>--</v>
      </c>
      <c r="T115" s="203" t="str">
        <f t="shared" si="191"/>
        <v>--</v>
      </c>
      <c r="U115" s="203" t="str">
        <f t="shared" si="192"/>
        <v>--</v>
      </c>
      <c r="V115" s="203">
        <f t="shared" si="193"/>
        <v>4.8499999999999996</v>
      </c>
      <c r="W115" s="193" t="str">
        <f t="shared" si="194"/>
        <v>ANL 2024</v>
      </c>
      <c r="X115" s="203">
        <f t="shared" si="177"/>
        <v>0.48499999999999999</v>
      </c>
      <c r="Y115" s="193" t="str">
        <f t="shared" si="178"/>
        <v>10% US EPA FW CMC</v>
      </c>
      <c r="Z115" s="203" t="str">
        <f t="shared" si="195"/>
        <v>--</v>
      </c>
      <c r="AA115" s="203">
        <f t="shared" si="196"/>
        <v>4.8499999999999996</v>
      </c>
      <c r="AB115" s="1368" t="str">
        <f t="shared" si="197"/>
        <v>--</v>
      </c>
      <c r="AC115" s="1356">
        <f>IF(AND(AX115="--",AE115="--"), "--", MIN(AX115,AE115))</f>
        <v>1.67E-2</v>
      </c>
      <c r="AD115" s="1377" t="str">
        <f t="shared" si="221"/>
        <v>Bioaccumulation Exposure</v>
      </c>
      <c r="AE115" s="1353">
        <f t="shared" si="198"/>
        <v>1.44</v>
      </c>
      <c r="AF115" s="1364" t="str">
        <f t="shared" si="199"/>
        <v>ANL 2024</v>
      </c>
      <c r="AG115" s="216">
        <f t="shared" si="179"/>
        <v>1.44</v>
      </c>
      <c r="AH115" s="203" t="str">
        <f t="shared" si="160"/>
        <v>--</v>
      </c>
      <c r="AI115" s="203" t="str">
        <f t="shared" si="200"/>
        <v>--</v>
      </c>
      <c r="AJ115" s="203" t="str">
        <f t="shared" si="201"/>
        <v>--</v>
      </c>
      <c r="AK115" s="203">
        <f t="shared" si="180"/>
        <v>1.44</v>
      </c>
      <c r="AL115" s="203" t="str">
        <f t="shared" si="202"/>
        <v>--</v>
      </c>
      <c r="AM115" s="203" t="str">
        <f t="shared" si="203"/>
        <v>--</v>
      </c>
      <c r="AN115" s="203" t="str">
        <f t="shared" si="181"/>
        <v>--</v>
      </c>
      <c r="AO115" s="203" t="str">
        <f t="shared" si="204"/>
        <v>--</v>
      </c>
      <c r="AP115" s="203" t="str">
        <f t="shared" si="205"/>
        <v>--</v>
      </c>
      <c r="AQ115" s="203">
        <f t="shared" si="206"/>
        <v>1.44</v>
      </c>
      <c r="AR115" s="1262" t="str">
        <f t="shared" si="207"/>
        <v>ANL 2024</v>
      </c>
      <c r="AS115" s="203" t="str">
        <f t="shared" si="182"/>
        <v>--</v>
      </c>
      <c r="AT115" s="193" t="str">
        <f t="shared" si="183"/>
        <v>--</v>
      </c>
      <c r="AU115" s="203" t="str">
        <f t="shared" si="208"/>
        <v>--</v>
      </c>
      <c r="AV115" s="203" t="str">
        <f t="shared" si="209"/>
        <v>--</v>
      </c>
      <c r="AW115" s="2047" t="str">
        <f t="shared" si="210"/>
        <v>--</v>
      </c>
      <c r="AX115" s="2054">
        <f t="shared" si="211"/>
        <v>1.67E-2</v>
      </c>
      <c r="AZ115" s="36"/>
      <c r="BA115" s="36"/>
      <c r="BB115" s="27">
        <f t="shared" si="212"/>
        <v>0.25</v>
      </c>
      <c r="BC115" s="351" t="str">
        <f t="shared" si="213"/>
        <v>US EPA FW CCC</v>
      </c>
      <c r="BD115" s="27">
        <f t="shared" si="214"/>
        <v>1.44</v>
      </c>
      <c r="BE115" s="351" t="str">
        <f t="shared" si="215"/>
        <v>ANL 2024</v>
      </c>
      <c r="BG115" s="350"/>
      <c r="BH115" s="350"/>
      <c r="BI115" s="350"/>
      <c r="BM115" s="350"/>
      <c r="BN115" s="350"/>
      <c r="BO115" s="350"/>
      <c r="BP115" s="35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row>
    <row r="116" spans="1:142" ht="12.95" customHeight="1">
      <c r="A116" s="897" t="s">
        <v>299</v>
      </c>
      <c r="B116" s="432" t="s">
        <v>300</v>
      </c>
      <c r="C116" s="205" t="str">
        <f t="shared" si="216"/>
        <v>--</v>
      </c>
      <c r="D116" s="207" t="str">
        <f t="shared" si="217"/>
        <v>--</v>
      </c>
      <c r="E116" s="1637" t="str">
        <f t="shared" si="161"/>
        <v>--</v>
      </c>
      <c r="F116" s="187" t="str">
        <f t="shared" si="155"/>
        <v>--</v>
      </c>
      <c r="G116" s="1326" t="str">
        <f t="shared" si="184"/>
        <v>--</v>
      </c>
      <c r="H116" s="1327" t="str">
        <f t="shared" si="185"/>
        <v>--</v>
      </c>
      <c r="I116" s="1359" t="str">
        <f t="shared" si="186"/>
        <v>--</v>
      </c>
      <c r="J116" s="1379" t="str">
        <f t="shared" si="218"/>
        <v>--</v>
      </c>
      <c r="K116" s="1361" t="str">
        <f t="shared" si="219"/>
        <v>--</v>
      </c>
      <c r="L116" s="209" t="str">
        <f t="shared" si="173"/>
        <v>--</v>
      </c>
      <c r="M116" s="1371" t="str">
        <f t="shared" si="187"/>
        <v>--</v>
      </c>
      <c r="N116" s="216" t="str">
        <f t="shared" si="174"/>
        <v>--</v>
      </c>
      <c r="O116" s="203" t="str">
        <f t="shared" si="188"/>
        <v>--</v>
      </c>
      <c r="P116" s="203" t="str">
        <f t="shared" si="175"/>
        <v>--</v>
      </c>
      <c r="Q116" s="203" t="str">
        <f t="shared" si="189"/>
        <v>--</v>
      </c>
      <c r="R116" s="203" t="str">
        <f t="shared" si="190"/>
        <v>--</v>
      </c>
      <c r="S116" s="203" t="str">
        <f t="shared" si="176"/>
        <v>--</v>
      </c>
      <c r="T116" s="203" t="str">
        <f t="shared" si="191"/>
        <v>--</v>
      </c>
      <c r="U116" s="203" t="str">
        <f t="shared" si="192"/>
        <v>--</v>
      </c>
      <c r="V116" s="203" t="str">
        <f t="shared" si="193"/>
        <v>--</v>
      </c>
      <c r="W116" s="193" t="str">
        <f t="shared" si="194"/>
        <v>--</v>
      </c>
      <c r="X116" s="203" t="str">
        <f>IF(AND(Z116="--",AA116="--",AB116="--"), "--", (IF(Z116&lt;&gt;"--",Z116/10,(IF(AA116&lt;&gt;"--",AA116/10,AB116/10)))))</f>
        <v>--</v>
      </c>
      <c r="Y116" s="193" t="str">
        <f t="shared" si="178"/>
        <v>--</v>
      </c>
      <c r="Z116" s="203" t="str">
        <f t="shared" si="195"/>
        <v>--</v>
      </c>
      <c r="AA116" s="203" t="str">
        <f t="shared" si="196"/>
        <v>--</v>
      </c>
      <c r="AB116" s="1368" t="str">
        <f t="shared" si="197"/>
        <v>--</v>
      </c>
      <c r="AC116" s="1356" t="str">
        <f t="shared" si="220"/>
        <v>--</v>
      </c>
      <c r="AD116" s="1377" t="str">
        <f t="shared" si="221"/>
        <v>--</v>
      </c>
      <c r="AE116" s="1353" t="str">
        <f t="shared" si="198"/>
        <v>--</v>
      </c>
      <c r="AF116" s="1364" t="str">
        <f t="shared" si="199"/>
        <v>--</v>
      </c>
      <c r="AG116" s="216" t="str">
        <f t="shared" si="179"/>
        <v>--</v>
      </c>
      <c r="AH116" s="203" t="str">
        <f t="shared" si="160"/>
        <v>--</v>
      </c>
      <c r="AI116" s="203" t="str">
        <f t="shared" si="200"/>
        <v>--</v>
      </c>
      <c r="AJ116" s="203" t="str">
        <f t="shared" si="201"/>
        <v>--</v>
      </c>
      <c r="AK116" s="203" t="str">
        <f t="shared" si="180"/>
        <v>--</v>
      </c>
      <c r="AL116" s="203" t="str">
        <f t="shared" si="202"/>
        <v>--</v>
      </c>
      <c r="AM116" s="203" t="str">
        <f t="shared" si="203"/>
        <v>--</v>
      </c>
      <c r="AN116" s="203" t="str">
        <f t="shared" si="181"/>
        <v>--</v>
      </c>
      <c r="AO116" s="203" t="str">
        <f t="shared" si="204"/>
        <v>--</v>
      </c>
      <c r="AP116" s="203" t="str">
        <f t="shared" si="205"/>
        <v>--</v>
      </c>
      <c r="AQ116" s="203" t="str">
        <f t="shared" si="206"/>
        <v>--</v>
      </c>
      <c r="AR116" s="1262" t="str">
        <f t="shared" si="207"/>
        <v>--</v>
      </c>
      <c r="AS116" s="203" t="str">
        <f t="shared" si="182"/>
        <v>--</v>
      </c>
      <c r="AT116" s="193" t="str">
        <f t="shared" si="183"/>
        <v>--</v>
      </c>
      <c r="AU116" s="203" t="str">
        <f t="shared" si="208"/>
        <v>--</v>
      </c>
      <c r="AV116" s="203" t="str">
        <f t="shared" si="209"/>
        <v>--</v>
      </c>
      <c r="AW116" s="2047" t="str">
        <f t="shared" si="210"/>
        <v>--</v>
      </c>
      <c r="AX116" s="2054" t="str">
        <f t="shared" si="211"/>
        <v>--</v>
      </c>
      <c r="AZ116" s="22"/>
      <c r="BA116" s="350"/>
      <c r="BB116" s="27" t="str">
        <f t="shared" si="212"/>
        <v>--</v>
      </c>
      <c r="BC116" s="351" t="str">
        <f t="shared" si="213"/>
        <v>--</v>
      </c>
      <c r="BD116" s="27" t="str">
        <f t="shared" si="214"/>
        <v>--</v>
      </c>
      <c r="BE116" s="351" t="str">
        <f t="shared" si="215"/>
        <v>--</v>
      </c>
      <c r="BF116" s="350"/>
      <c r="BG116" s="350"/>
      <c r="BH116" s="350"/>
      <c r="BI116" s="350"/>
      <c r="BM116" s="350"/>
      <c r="BN116" s="350"/>
      <c r="BO116" s="350"/>
      <c r="BP116" s="35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row>
    <row r="117" spans="1:142" ht="12.95" customHeight="1">
      <c r="A117" s="897" t="s">
        <v>301</v>
      </c>
      <c r="B117" s="432" t="s">
        <v>302</v>
      </c>
      <c r="C117" s="205">
        <f t="shared" si="216"/>
        <v>30</v>
      </c>
      <c r="D117" s="207" t="str">
        <f t="shared" si="217"/>
        <v>Saltwater Goal</v>
      </c>
      <c r="E117" s="1637">
        <f t="shared" si="161"/>
        <v>300000</v>
      </c>
      <c r="F117" s="187" t="str">
        <f t="shared" si="155"/>
        <v>National Criteria</v>
      </c>
      <c r="G117" s="1326">
        <f t="shared" si="184"/>
        <v>4600000</v>
      </c>
      <c r="H117" s="1327" t="str">
        <f t="shared" si="185"/>
        <v>--</v>
      </c>
      <c r="I117" s="1359">
        <f t="shared" si="186"/>
        <v>300000</v>
      </c>
      <c r="J117" s="1379">
        <f t="shared" si="218"/>
        <v>1280</v>
      </c>
      <c r="K117" s="1361" t="str">
        <f t="shared" si="219"/>
        <v>Freshwater Exposure</v>
      </c>
      <c r="L117" s="209">
        <f>IF(N117="--",X117, N117)</f>
        <v>1280</v>
      </c>
      <c r="M117" s="1371" t="str">
        <f t="shared" si="187"/>
        <v>50% US EPA FW Chronic LOEL</v>
      </c>
      <c r="N117" s="216">
        <f t="shared" si="174"/>
        <v>1280</v>
      </c>
      <c r="O117" s="203" t="str">
        <f t="shared" si="188"/>
        <v>--</v>
      </c>
      <c r="P117" s="203">
        <f t="shared" si="175"/>
        <v>1280</v>
      </c>
      <c r="Q117" s="203" t="str">
        <f t="shared" si="189"/>
        <v>--</v>
      </c>
      <c r="R117" s="203" t="str">
        <f t="shared" si="190"/>
        <v>--</v>
      </c>
      <c r="S117" s="203">
        <f t="shared" si="176"/>
        <v>1280</v>
      </c>
      <c r="T117" s="203" t="str">
        <f t="shared" si="191"/>
        <v>--</v>
      </c>
      <c r="U117" s="203">
        <f t="shared" si="192"/>
        <v>2560</v>
      </c>
      <c r="V117" s="203" t="str">
        <f t="shared" si="193"/>
        <v>--</v>
      </c>
      <c r="W117" s="193" t="str">
        <f t="shared" si="194"/>
        <v>--</v>
      </c>
      <c r="X117" s="203">
        <f>IF(AND(Z117="--",AA117="--",AB117="--"), "--", (IF(Z117&lt;&gt;"--",Z117/10,(IF(AA117&lt;&gt;"--",AA117/10,AB117/10)))))</f>
        <v>1020</v>
      </c>
      <c r="Y117" s="193" t="str">
        <f t="shared" si="178"/>
        <v>10% US EPA FW Acute LOEL</v>
      </c>
      <c r="Z117" s="203" t="str">
        <f t="shared" si="195"/>
        <v>--</v>
      </c>
      <c r="AA117" s="203" t="str">
        <f t="shared" si="196"/>
        <v>--</v>
      </c>
      <c r="AB117" s="1368">
        <f t="shared" si="197"/>
        <v>10200</v>
      </c>
      <c r="AC117" s="1356">
        <f t="shared" si="220"/>
        <v>30</v>
      </c>
      <c r="AD117" s="1377" t="str">
        <f t="shared" si="221"/>
        <v>Saltwater Exposure</v>
      </c>
      <c r="AE117" s="1353">
        <f t="shared" si="198"/>
        <v>30</v>
      </c>
      <c r="AF117" s="1364" t="str">
        <f t="shared" si="199"/>
        <v>Basin Plan</v>
      </c>
      <c r="AG117" s="216">
        <f t="shared" si="179"/>
        <v>30</v>
      </c>
      <c r="AH117" s="203">
        <f t="shared" si="160"/>
        <v>30</v>
      </c>
      <c r="AI117" s="203" t="str">
        <f t="shared" si="200"/>
        <v>--</v>
      </c>
      <c r="AJ117" s="203">
        <f t="shared" si="201"/>
        <v>30</v>
      </c>
      <c r="AK117" s="203" t="str">
        <f t="shared" si="180"/>
        <v>--</v>
      </c>
      <c r="AL117" s="203" t="str">
        <f t="shared" si="202"/>
        <v>--</v>
      </c>
      <c r="AM117" s="203" t="str">
        <f t="shared" si="203"/>
        <v>--</v>
      </c>
      <c r="AN117" s="203" t="str">
        <f t="shared" si="181"/>
        <v>--</v>
      </c>
      <c r="AO117" s="203" t="str">
        <f t="shared" si="204"/>
        <v>--</v>
      </c>
      <c r="AP117" s="203" t="str">
        <f t="shared" si="205"/>
        <v>--</v>
      </c>
      <c r="AQ117" s="203" t="str">
        <f t="shared" si="206"/>
        <v>--</v>
      </c>
      <c r="AR117" s="1262" t="str">
        <f t="shared" si="207"/>
        <v>--</v>
      </c>
      <c r="AS117" s="203">
        <f t="shared" si="182"/>
        <v>580</v>
      </c>
      <c r="AT117" s="193" t="str">
        <f t="shared" si="183"/>
        <v>10% US EPA SW Acute LOEL</v>
      </c>
      <c r="AU117" s="203" t="str">
        <f t="shared" si="208"/>
        <v>--</v>
      </c>
      <c r="AV117" s="203" t="str">
        <f t="shared" si="209"/>
        <v>--</v>
      </c>
      <c r="AW117" s="2047">
        <f t="shared" si="210"/>
        <v>5800</v>
      </c>
      <c r="AX117" s="2054" t="str">
        <f t="shared" si="211"/>
        <v>--</v>
      </c>
      <c r="AZ117" s="22"/>
      <c r="BA117" s="350"/>
      <c r="BB117" s="27">
        <f t="shared" si="212"/>
        <v>1280</v>
      </c>
      <c r="BC117" s="351" t="str">
        <f t="shared" si="213"/>
        <v>50% US EPA FW Chronic LOEL</v>
      </c>
      <c r="BD117" s="27" t="str">
        <f t="shared" si="214"/>
        <v>--</v>
      </c>
      <c r="BE117" s="351" t="str">
        <f t="shared" si="215"/>
        <v>--</v>
      </c>
      <c r="BF117" s="350"/>
      <c r="BG117" s="350"/>
      <c r="BH117" s="350"/>
      <c r="BM117" s="350"/>
      <c r="BN117" s="350"/>
      <c r="BO117" s="350"/>
      <c r="BP117" s="35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row>
    <row r="118" spans="1:142" ht="12.95" customHeight="1">
      <c r="A118" s="897" t="s">
        <v>303</v>
      </c>
      <c r="B118" s="432" t="s">
        <v>304</v>
      </c>
      <c r="C118" s="205">
        <f t="shared" si="216"/>
        <v>1.9000000000000001E-5</v>
      </c>
      <c r="D118" s="207" t="str">
        <f t="shared" si="217"/>
        <v>Seafood Ingestion</v>
      </c>
      <c r="E118" s="1637">
        <f t="shared" si="161"/>
        <v>1.9000000000000001E-5</v>
      </c>
      <c r="F118" s="187" t="str">
        <f t="shared" si="155"/>
        <v>Cal Ocean Plan</v>
      </c>
      <c r="G118" s="1326">
        <f t="shared" si="184"/>
        <v>1.7000000000000001E-4</v>
      </c>
      <c r="H118" s="1327">
        <f t="shared" si="185"/>
        <v>1.9000000000000001E-5</v>
      </c>
      <c r="I118" s="1359" t="str">
        <f t="shared" si="186"/>
        <v>--</v>
      </c>
      <c r="J118" s="1379">
        <f t="shared" si="218"/>
        <v>1.4E-2</v>
      </c>
      <c r="K118" s="1361" t="str">
        <f t="shared" si="219"/>
        <v>Freshwater Exposure</v>
      </c>
      <c r="L118" s="209">
        <f>IF(N118="--",X118, N118)</f>
        <v>1.4E-2</v>
      </c>
      <c r="M118" s="1371" t="str">
        <f t="shared" si="187"/>
        <v>CTR FW CCC</v>
      </c>
      <c r="N118" s="216">
        <f t="shared" si="174"/>
        <v>1.4E-2</v>
      </c>
      <c r="O118" s="203" t="str">
        <f t="shared" si="188"/>
        <v>--</v>
      </c>
      <c r="P118" s="203">
        <f t="shared" si="175"/>
        <v>1.4E-2</v>
      </c>
      <c r="Q118" s="203">
        <f t="shared" si="189"/>
        <v>1.4E-2</v>
      </c>
      <c r="R118" s="203">
        <f t="shared" si="190"/>
        <v>1.4E-2</v>
      </c>
      <c r="S118" s="203">
        <f t="shared" si="176"/>
        <v>0.19</v>
      </c>
      <c r="T118" s="203">
        <f t="shared" si="191"/>
        <v>0.19</v>
      </c>
      <c r="U118" s="203" t="str">
        <f t="shared" si="192"/>
        <v>--</v>
      </c>
      <c r="V118" s="203" t="str">
        <f t="shared" si="193"/>
        <v>--</v>
      </c>
      <c r="W118" s="193" t="str">
        <f t="shared" si="194"/>
        <v>--</v>
      </c>
      <c r="X118" s="203" t="str">
        <f t="shared" si="177"/>
        <v>--</v>
      </c>
      <c r="Y118" s="193" t="str">
        <f t="shared" si="178"/>
        <v>--</v>
      </c>
      <c r="Z118" s="203" t="str">
        <f t="shared" si="195"/>
        <v>--</v>
      </c>
      <c r="AA118" s="203" t="str">
        <f t="shared" si="196"/>
        <v>--</v>
      </c>
      <c r="AB118" s="1368" t="str">
        <f t="shared" si="197"/>
        <v>--</v>
      </c>
      <c r="AC118" s="1356">
        <f t="shared" si="220"/>
        <v>0.03</v>
      </c>
      <c r="AD118" s="1377" t="str">
        <f t="shared" si="221"/>
        <v>Saltwater Exposure</v>
      </c>
      <c r="AE118" s="1353">
        <f t="shared" si="198"/>
        <v>0.03</v>
      </c>
      <c r="AF118" s="1364" t="str">
        <f t="shared" si="199"/>
        <v>CTR SW CCC</v>
      </c>
      <c r="AG118" s="216">
        <f t="shared" si="179"/>
        <v>0.03</v>
      </c>
      <c r="AH118" s="203" t="str">
        <f t="shared" si="160"/>
        <v>--</v>
      </c>
      <c r="AI118" s="203" t="str">
        <f t="shared" si="200"/>
        <v>--</v>
      </c>
      <c r="AJ118" s="203" t="str">
        <f t="shared" si="201"/>
        <v>--</v>
      </c>
      <c r="AK118" s="203">
        <f t="shared" si="180"/>
        <v>0.03</v>
      </c>
      <c r="AL118" s="203">
        <f t="shared" si="202"/>
        <v>0.03</v>
      </c>
      <c r="AM118" s="203">
        <f t="shared" si="203"/>
        <v>0.03</v>
      </c>
      <c r="AN118" s="203" t="str">
        <f t="shared" si="181"/>
        <v>--</v>
      </c>
      <c r="AO118" s="203" t="str">
        <f t="shared" si="204"/>
        <v>--</v>
      </c>
      <c r="AP118" s="203" t="str">
        <f t="shared" si="205"/>
        <v>--</v>
      </c>
      <c r="AQ118" s="203" t="str">
        <f t="shared" si="206"/>
        <v>--</v>
      </c>
      <c r="AR118" s="1262" t="str">
        <f t="shared" si="207"/>
        <v>--</v>
      </c>
      <c r="AS118" s="203" t="str">
        <f t="shared" si="182"/>
        <v>--</v>
      </c>
      <c r="AT118" s="193" t="str">
        <f t="shared" si="183"/>
        <v>--</v>
      </c>
      <c r="AU118" s="203" t="str">
        <f t="shared" si="208"/>
        <v>--</v>
      </c>
      <c r="AV118" s="203" t="str">
        <f t="shared" si="209"/>
        <v>--</v>
      </c>
      <c r="AW118" s="2047" t="str">
        <f t="shared" si="210"/>
        <v>--</v>
      </c>
      <c r="AX118" s="2054" t="str">
        <f t="shared" si="211"/>
        <v>--</v>
      </c>
      <c r="AZ118" s="22"/>
      <c r="BA118" s="350"/>
      <c r="BB118" s="27">
        <f t="shared" si="212"/>
        <v>1.4E-2</v>
      </c>
      <c r="BC118" s="351" t="str">
        <f t="shared" si="213"/>
        <v>CTR FW CCC</v>
      </c>
      <c r="BD118" s="27">
        <f t="shared" si="214"/>
        <v>0.03</v>
      </c>
      <c r="BE118" s="351" t="str">
        <f t="shared" si="215"/>
        <v>CTR SW CCC</v>
      </c>
      <c r="BF118" s="350"/>
      <c r="BG118" s="350"/>
      <c r="BH118" s="350"/>
      <c r="BM118" s="350"/>
      <c r="BN118" s="350"/>
      <c r="BO118" s="350"/>
      <c r="BP118" s="35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row>
    <row r="119" spans="1:142" ht="12.95" customHeight="1">
      <c r="A119" s="897" t="s">
        <v>305</v>
      </c>
      <c r="B119" s="432" t="s">
        <v>306</v>
      </c>
      <c r="C119" s="205">
        <f t="shared" si="216"/>
        <v>0.5</v>
      </c>
      <c r="D119" s="207" t="str">
        <f t="shared" si="217"/>
        <v>Saltwater Goal</v>
      </c>
      <c r="E119" s="1637">
        <f t="shared" si="161"/>
        <v>4200</v>
      </c>
      <c r="F119" s="187" t="str">
        <f t="shared" si="155"/>
        <v>National Criteria</v>
      </c>
      <c r="G119" s="1326" t="str">
        <f t="shared" si="184"/>
        <v>--</v>
      </c>
      <c r="H119" s="1327" t="str">
        <f t="shared" si="185"/>
        <v>--</v>
      </c>
      <c r="I119" s="1359">
        <f t="shared" si="186"/>
        <v>4200</v>
      </c>
      <c r="J119" s="1379">
        <f t="shared" si="218"/>
        <v>5</v>
      </c>
      <c r="K119" s="1361" t="str">
        <f t="shared" si="219"/>
        <v>Freshwater Exposure</v>
      </c>
      <c r="L119" s="209">
        <f t="shared" si="173"/>
        <v>5</v>
      </c>
      <c r="M119" s="1371" t="str">
        <f t="shared" si="187"/>
        <v>CTR FW CCC</v>
      </c>
      <c r="N119" s="216">
        <f>IF(AND(O119="--",P119="--"),"--", IF(O119="--",P119, IF(P119="--", O119, MIN(P119,O119))))</f>
        <v>5</v>
      </c>
      <c r="O119" s="203" t="str">
        <f t="shared" si="188"/>
        <v>--</v>
      </c>
      <c r="P119" s="203">
        <f>IF(Q119&lt;&gt;"--",Q119,IF(R119&lt;&gt;"--",R119,IF(S119&lt;&gt;"--",S119, V119)))</f>
        <v>5</v>
      </c>
      <c r="Q119" s="203">
        <f t="shared" si="189"/>
        <v>5</v>
      </c>
      <c r="R119" s="203">
        <f t="shared" si="190"/>
        <v>5</v>
      </c>
      <c r="S119" s="203">
        <f t="shared" si="176"/>
        <v>5</v>
      </c>
      <c r="T119" s="203">
        <f t="shared" si="191"/>
        <v>5</v>
      </c>
      <c r="U119" s="203" t="str">
        <f t="shared" si="192"/>
        <v>--</v>
      </c>
      <c r="V119" s="203" t="str">
        <f t="shared" si="193"/>
        <v>--</v>
      </c>
      <c r="W119" s="193" t="str">
        <f t="shared" si="194"/>
        <v>--</v>
      </c>
      <c r="X119" s="203" t="str">
        <f t="shared" si="177"/>
        <v>--</v>
      </c>
      <c r="Y119" s="193" t="str">
        <f t="shared" si="178"/>
        <v>--</v>
      </c>
      <c r="Z119" s="203" t="str">
        <f t="shared" si="195"/>
        <v>--</v>
      </c>
      <c r="AA119" s="203" t="str">
        <f t="shared" si="196"/>
        <v>--</v>
      </c>
      <c r="AB119" s="1368" t="str">
        <f t="shared" si="197"/>
        <v>--</v>
      </c>
      <c r="AC119" s="1356">
        <f t="shared" si="220"/>
        <v>0.5</v>
      </c>
      <c r="AD119" s="1377" t="str">
        <f t="shared" si="221"/>
        <v>Saltwater Exposure</v>
      </c>
      <c r="AE119" s="1353">
        <f t="shared" si="198"/>
        <v>0.5</v>
      </c>
      <c r="AF119" s="1364" t="str">
        <f t="shared" si="199"/>
        <v>Basin Plan</v>
      </c>
      <c r="AG119" s="216">
        <f t="shared" si="179"/>
        <v>0.5</v>
      </c>
      <c r="AH119" s="203">
        <f t="shared" si="160"/>
        <v>0.5</v>
      </c>
      <c r="AI119" s="203">
        <f t="shared" si="200"/>
        <v>0.5</v>
      </c>
      <c r="AJ119" s="203">
        <f t="shared" si="201"/>
        <v>15</v>
      </c>
      <c r="AK119" s="203">
        <f t="shared" si="180"/>
        <v>71</v>
      </c>
      <c r="AL119" s="203">
        <f t="shared" si="202"/>
        <v>71</v>
      </c>
      <c r="AM119" s="203">
        <f t="shared" si="203"/>
        <v>71</v>
      </c>
      <c r="AN119" s="203">
        <f t="shared" si="181"/>
        <v>71</v>
      </c>
      <c r="AO119" s="203">
        <f t="shared" si="204"/>
        <v>71</v>
      </c>
      <c r="AP119" s="203" t="str">
        <f t="shared" si="205"/>
        <v>--</v>
      </c>
      <c r="AQ119" s="203" t="str">
        <f t="shared" si="206"/>
        <v>--</v>
      </c>
      <c r="AR119" s="1262" t="str">
        <f t="shared" si="207"/>
        <v>--</v>
      </c>
      <c r="AS119" s="203">
        <f t="shared" si="182"/>
        <v>29</v>
      </c>
      <c r="AT119" s="193" t="str">
        <f t="shared" si="183"/>
        <v>10% US EPA SW CMC</v>
      </c>
      <c r="AU119" s="203">
        <f t="shared" si="208"/>
        <v>290</v>
      </c>
      <c r="AV119" s="203">
        <f t="shared" si="209"/>
        <v>290</v>
      </c>
      <c r="AW119" s="2047" t="str">
        <f t="shared" si="210"/>
        <v>--</v>
      </c>
      <c r="AX119" s="2054" t="str">
        <f t="shared" si="211"/>
        <v>--</v>
      </c>
      <c r="AZ119" s="22"/>
      <c r="BA119" s="350"/>
      <c r="BB119" s="27">
        <f t="shared" si="212"/>
        <v>5</v>
      </c>
      <c r="BC119" s="351" t="str">
        <f t="shared" si="213"/>
        <v>CTR FW CCC</v>
      </c>
      <c r="BD119" s="27">
        <f t="shared" si="214"/>
        <v>71</v>
      </c>
      <c r="BE119" s="351" t="str">
        <f t="shared" si="215"/>
        <v>CTR SW CCC</v>
      </c>
      <c r="BF119" s="350"/>
      <c r="BG119" s="350"/>
      <c r="BH119" s="350"/>
      <c r="BL119" s="1"/>
      <c r="BM119" s="350"/>
      <c r="BN119" s="350"/>
      <c r="BO119" s="350"/>
      <c r="BP119" s="35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row>
    <row r="120" spans="1:142" ht="12.95" customHeight="1">
      <c r="A120" s="897" t="s">
        <v>307</v>
      </c>
      <c r="B120" s="432" t="s">
        <v>308</v>
      </c>
      <c r="C120" s="205">
        <f t="shared" si="216"/>
        <v>0.7</v>
      </c>
      <c r="D120" s="207" t="str">
        <f t="shared" si="217"/>
        <v>Saltwater Goal</v>
      </c>
      <c r="E120" s="1637" t="str">
        <f t="shared" si="161"/>
        <v>--</v>
      </c>
      <c r="F120" s="187" t="str">
        <f t="shared" si="155"/>
        <v>--</v>
      </c>
      <c r="G120" s="1326" t="str">
        <f t="shared" si="184"/>
        <v>--</v>
      </c>
      <c r="H120" s="1327" t="str">
        <f t="shared" si="185"/>
        <v>--</v>
      </c>
      <c r="I120" s="1359" t="str">
        <f t="shared" si="186"/>
        <v>--</v>
      </c>
      <c r="J120" s="1379">
        <f t="shared" si="218"/>
        <v>3.4</v>
      </c>
      <c r="K120" s="1361" t="str">
        <f t="shared" si="219"/>
        <v>Freshwater Exposure</v>
      </c>
      <c r="L120" s="209">
        <f t="shared" ref="L120" si="233">IF(N120="--",X120, N120)</f>
        <v>3.4</v>
      </c>
      <c r="M120" s="1371" t="str">
        <f t="shared" si="187"/>
        <v>Basin Plan</v>
      </c>
      <c r="N120" s="216">
        <f t="shared" ref="N120" si="234">IF(AND(O120="--",P120="--"),"--", IF(O120="--",P120, IF(P120="--", O120, MIN(P120,O120))))</f>
        <v>3.4</v>
      </c>
      <c r="O120" s="203">
        <f t="shared" si="188"/>
        <v>3.4</v>
      </c>
      <c r="P120" s="203" t="str">
        <f t="shared" ref="P120" si="235">IF(Q120&lt;&gt;"--",Q120,IF(R120&lt;&gt;"--",R120,IF(S120&lt;&gt;"--",S120, V120)))</f>
        <v>--</v>
      </c>
      <c r="Q120" s="203" t="str">
        <f t="shared" si="189"/>
        <v>--</v>
      </c>
      <c r="R120" s="203" t="str">
        <f t="shared" si="190"/>
        <v>--</v>
      </c>
      <c r="S120" s="203" t="str">
        <f t="shared" ref="S120" si="236">IF(AND(T120="--",U120="--"), "--", IF(T120="--",U120/2, IF(U120="--",T120, MIN(T120,U120/2))))</f>
        <v>--</v>
      </c>
      <c r="T120" s="203" t="str">
        <f t="shared" si="191"/>
        <v>--</v>
      </c>
      <c r="U120" s="203" t="str">
        <f t="shared" si="192"/>
        <v>--</v>
      </c>
      <c r="V120" s="203" t="str">
        <f t="shared" si="193"/>
        <v>--</v>
      </c>
      <c r="W120" s="193" t="str">
        <f t="shared" si="194"/>
        <v>--</v>
      </c>
      <c r="X120" s="203">
        <f t="shared" ref="X120" si="237">IF(AND(Z120="--",AA120="--",AB120="--"), "--", (IF(Z120&lt;&gt;"--",Z120/10,(IF(AA120&lt;&gt;"--",AA120/10,AB120/10)))))</f>
        <v>0.33999999999999997</v>
      </c>
      <c r="Y120" s="193" t="str">
        <f t="shared" ref="Y120" si="238">IF(X120="--","--",IF(AND(Z120="--",AA120="--"),"10% US EPA FW Acute LOEL",IF(AA120="--","10% CTR FW CMC","10% US EPA FW CMC")))</f>
        <v>10% CTR FW CMC</v>
      </c>
      <c r="Z120" s="203">
        <f t="shared" si="195"/>
        <v>3.4</v>
      </c>
      <c r="AA120" s="203" t="str">
        <f t="shared" si="196"/>
        <v>--</v>
      </c>
      <c r="AB120" s="1368" t="str">
        <f t="shared" si="197"/>
        <v>--</v>
      </c>
      <c r="AC120" s="1356">
        <f t="shared" si="220"/>
        <v>0.7</v>
      </c>
      <c r="AD120" s="1377" t="str">
        <f t="shared" si="221"/>
        <v>Saltwater Exposure</v>
      </c>
      <c r="AE120" s="1353">
        <f t="shared" si="198"/>
        <v>0.7</v>
      </c>
      <c r="AF120" s="1364" t="str">
        <f t="shared" si="199"/>
        <v>Basin Plan</v>
      </c>
      <c r="AG120" s="216">
        <f t="shared" ref="AG120" si="239">IF(AND(AH120="--",AK120="--"),"--", IF(AH120="--",AK120, IF(AK120="--", AH120, MIN(AK120,AH120))))</f>
        <v>0.7</v>
      </c>
      <c r="AH120" s="203">
        <f t="shared" si="160"/>
        <v>0.7</v>
      </c>
      <c r="AI120" s="203" t="str">
        <f t="shared" si="200"/>
        <v>--</v>
      </c>
      <c r="AJ120" s="203">
        <f t="shared" si="201"/>
        <v>0.7</v>
      </c>
      <c r="AK120" s="203" t="str">
        <f t="shared" ref="AK120" si="240">IF(AL120&lt;&gt;"--",AL120,IF(AM120&lt;&gt;"--",AM120,IF(AN120&lt;&gt;"--",AN120,IF(AQ120&lt;&gt;"--",AQ120,"--"))))</f>
        <v>--</v>
      </c>
      <c r="AL120" s="203" t="str">
        <f t="shared" si="202"/>
        <v>--</v>
      </c>
      <c r="AM120" s="203" t="str">
        <f t="shared" si="203"/>
        <v>--</v>
      </c>
      <c r="AN120" s="203" t="str">
        <f t="shared" ref="AN120" si="241">IF(AND(AO120="--",AP120="--"), "--", IF(AO120="--",AP120/2, IF(AP120="--",AO120, MIN(AO120,AP120/2))))</f>
        <v>--</v>
      </c>
      <c r="AO120" s="203" t="str">
        <f t="shared" si="204"/>
        <v>--</v>
      </c>
      <c r="AP120" s="203" t="str">
        <f t="shared" si="205"/>
        <v>--</v>
      </c>
      <c r="AQ120" s="203" t="str">
        <f t="shared" si="206"/>
        <v>--</v>
      </c>
      <c r="AR120" s="1262" t="str">
        <f t="shared" si="207"/>
        <v>--</v>
      </c>
      <c r="AS120" s="203">
        <f t="shared" ref="AS120" si="242">IF(AND(AU120="--",AV120="--",AW120="--"), "--", (IF(AU120&lt;&gt;"--",AU120/10,(IF(AV120&lt;&gt;"--",AV120/10,AW120/10)))))</f>
        <v>0.19</v>
      </c>
      <c r="AT120" s="193" t="str">
        <f t="shared" ref="AT120" si="243">IF(AS120="--","--",IF(AND(AU120="--",AV120="--"),"10% US EPA SW Acute LOEL",IF(AV120="--","10% CTR SW CMC","10% US EPA SW CMC")))</f>
        <v>10% US EPA SW CMC</v>
      </c>
      <c r="AU120" s="203">
        <f t="shared" si="208"/>
        <v>1.9</v>
      </c>
      <c r="AV120" s="203">
        <f t="shared" si="209"/>
        <v>1.9</v>
      </c>
      <c r="AW120" s="2047" t="str">
        <f t="shared" si="210"/>
        <v>--</v>
      </c>
      <c r="AX120" s="2054" t="str">
        <f t="shared" si="211"/>
        <v>--</v>
      </c>
      <c r="AZ120" s="22"/>
      <c r="BA120" s="350"/>
      <c r="BB120" s="27" t="str">
        <f t="shared" si="212"/>
        <v>--</v>
      </c>
      <c r="BC120" s="351" t="str">
        <f t="shared" si="213"/>
        <v>--</v>
      </c>
      <c r="BD120" s="27" t="str">
        <f t="shared" si="214"/>
        <v>--</v>
      </c>
      <c r="BE120" s="351" t="str">
        <f t="shared" si="215"/>
        <v>--</v>
      </c>
      <c r="BF120" s="350"/>
      <c r="BG120" s="350"/>
      <c r="BH120" s="350"/>
      <c r="BL120" s="55"/>
      <c r="BM120" s="350"/>
      <c r="BN120" s="350"/>
      <c r="BO120" s="350"/>
      <c r="BP120" s="35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row>
    <row r="121" spans="1:142" ht="12.95" customHeight="1">
      <c r="A121" s="897" t="s">
        <v>309</v>
      </c>
      <c r="B121" s="432" t="s">
        <v>310</v>
      </c>
      <c r="C121" s="205" t="str">
        <f t="shared" si="216"/>
        <v>--</v>
      </c>
      <c r="D121" s="207" t="str">
        <f t="shared" si="217"/>
        <v>--</v>
      </c>
      <c r="E121" s="1637" t="str">
        <f t="shared" si="161"/>
        <v>--</v>
      </c>
      <c r="F121" s="187" t="str">
        <f t="shared" si="155"/>
        <v>--</v>
      </c>
      <c r="G121" s="1326" t="str">
        <f t="shared" si="184"/>
        <v>--</v>
      </c>
      <c r="H121" s="1327" t="str">
        <f t="shared" si="185"/>
        <v>--</v>
      </c>
      <c r="I121" s="1359" t="str">
        <f t="shared" si="186"/>
        <v>--</v>
      </c>
      <c r="J121" s="1379" t="str">
        <f t="shared" si="218"/>
        <v>--</v>
      </c>
      <c r="K121" s="1361" t="str">
        <f t="shared" si="219"/>
        <v>--</v>
      </c>
      <c r="L121" s="209" t="str">
        <f t="shared" si="173"/>
        <v>--</v>
      </c>
      <c r="M121" s="1371" t="str">
        <f t="shared" si="187"/>
        <v>--</v>
      </c>
      <c r="N121" s="216" t="str">
        <f t="shared" si="174"/>
        <v>--</v>
      </c>
      <c r="O121" s="203" t="str">
        <f t="shared" si="188"/>
        <v>--</v>
      </c>
      <c r="P121" s="203" t="str">
        <f t="shared" si="175"/>
        <v>--</v>
      </c>
      <c r="Q121" s="203" t="str">
        <f t="shared" si="189"/>
        <v>--</v>
      </c>
      <c r="R121" s="203" t="str">
        <f t="shared" si="190"/>
        <v>--</v>
      </c>
      <c r="S121" s="203" t="str">
        <f t="shared" si="176"/>
        <v>--</v>
      </c>
      <c r="T121" s="203" t="str">
        <f t="shared" si="191"/>
        <v>--</v>
      </c>
      <c r="U121" s="203" t="str">
        <f t="shared" si="192"/>
        <v>--</v>
      </c>
      <c r="V121" s="203" t="str">
        <f t="shared" si="193"/>
        <v>--</v>
      </c>
      <c r="W121" s="193" t="str">
        <f t="shared" si="194"/>
        <v>--</v>
      </c>
      <c r="X121" s="203" t="str">
        <f t="shared" si="177"/>
        <v>--</v>
      </c>
      <c r="Y121" s="193" t="str">
        <f t="shared" si="178"/>
        <v>--</v>
      </c>
      <c r="Z121" s="203" t="str">
        <f t="shared" si="195"/>
        <v>--</v>
      </c>
      <c r="AA121" s="203" t="str">
        <f t="shared" si="196"/>
        <v>--</v>
      </c>
      <c r="AB121" s="1368" t="str">
        <f t="shared" si="197"/>
        <v>--</v>
      </c>
      <c r="AC121" s="1356" t="str">
        <f t="shared" si="220"/>
        <v>--</v>
      </c>
      <c r="AD121" s="1377" t="str">
        <f t="shared" si="221"/>
        <v>--</v>
      </c>
      <c r="AE121" s="1353" t="str">
        <f t="shared" si="198"/>
        <v>--</v>
      </c>
      <c r="AF121" s="1364" t="str">
        <f t="shared" si="199"/>
        <v>--</v>
      </c>
      <c r="AG121" s="216" t="str">
        <f t="shared" si="179"/>
        <v>--</v>
      </c>
      <c r="AH121" s="203" t="str">
        <f t="shared" si="160"/>
        <v>--</v>
      </c>
      <c r="AI121" s="203" t="str">
        <f t="shared" si="200"/>
        <v>--</v>
      </c>
      <c r="AJ121" s="203" t="str">
        <f t="shared" si="201"/>
        <v>--</v>
      </c>
      <c r="AK121" s="203" t="str">
        <f t="shared" si="180"/>
        <v>--</v>
      </c>
      <c r="AL121" s="203" t="str">
        <f t="shared" si="202"/>
        <v>--</v>
      </c>
      <c r="AM121" s="203" t="str">
        <f t="shared" si="203"/>
        <v>--</v>
      </c>
      <c r="AN121" s="203" t="str">
        <f t="shared" si="181"/>
        <v>--</v>
      </c>
      <c r="AO121" s="203" t="str">
        <f t="shared" si="204"/>
        <v>--</v>
      </c>
      <c r="AP121" s="203" t="str">
        <f t="shared" si="205"/>
        <v>--</v>
      </c>
      <c r="AQ121" s="203" t="str">
        <f t="shared" si="206"/>
        <v>--</v>
      </c>
      <c r="AR121" s="1262" t="str">
        <f t="shared" si="207"/>
        <v>--</v>
      </c>
      <c r="AS121" s="203" t="str">
        <f t="shared" si="182"/>
        <v>--</v>
      </c>
      <c r="AT121" s="193" t="str">
        <f t="shared" si="183"/>
        <v>--</v>
      </c>
      <c r="AU121" s="203" t="str">
        <f t="shared" si="208"/>
        <v>--</v>
      </c>
      <c r="AV121" s="203" t="str">
        <f t="shared" si="209"/>
        <v>--</v>
      </c>
      <c r="AW121" s="2047" t="str">
        <f t="shared" si="210"/>
        <v>--</v>
      </c>
      <c r="AX121" s="2054" t="str">
        <f t="shared" si="211"/>
        <v>--</v>
      </c>
      <c r="AZ121" s="22"/>
      <c r="BA121" s="350"/>
      <c r="BB121" s="27" t="str">
        <f t="shared" si="212"/>
        <v>--</v>
      </c>
      <c r="BC121" s="351" t="str">
        <f t="shared" si="213"/>
        <v>--</v>
      </c>
      <c r="BD121" s="27" t="str">
        <f t="shared" si="214"/>
        <v>--</v>
      </c>
      <c r="BE121" s="351" t="str">
        <f t="shared" si="215"/>
        <v>--</v>
      </c>
      <c r="BF121" s="350"/>
      <c r="BG121" s="350"/>
      <c r="BH121" s="350"/>
      <c r="BJ121" s="1"/>
      <c r="BL121" s="55"/>
      <c r="BM121" s="350"/>
      <c r="BN121" s="350"/>
      <c r="BO121" s="350"/>
      <c r="BP121" s="35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row>
    <row r="122" spans="1:142" ht="12.95" customHeight="1">
      <c r="A122" s="897" t="s">
        <v>311</v>
      </c>
      <c r="B122" s="432" t="s">
        <v>312</v>
      </c>
      <c r="C122" s="205">
        <f t="shared" si="216"/>
        <v>18000</v>
      </c>
      <c r="D122" s="207" t="str">
        <f t="shared" si="217"/>
        <v>Freshwater Goal</v>
      </c>
      <c r="E122" s="1637" t="str">
        <f t="shared" si="161"/>
        <v>--</v>
      </c>
      <c r="F122" s="187" t="str">
        <f t="shared" si="155"/>
        <v>--</v>
      </c>
      <c r="G122" s="1326" t="str">
        <f t="shared" si="184"/>
        <v>--</v>
      </c>
      <c r="H122" s="1327" t="str">
        <f t="shared" si="185"/>
        <v>--</v>
      </c>
      <c r="I122" s="1359" t="str">
        <f t="shared" si="186"/>
        <v>--</v>
      </c>
      <c r="J122" s="1379">
        <f t="shared" si="218"/>
        <v>18000</v>
      </c>
      <c r="K122" s="1361" t="str">
        <f t="shared" si="219"/>
        <v>Freshwater Exposure</v>
      </c>
      <c r="L122" s="209">
        <f t="shared" si="173"/>
        <v>18000</v>
      </c>
      <c r="M122" s="1371" t="str">
        <f t="shared" si="187"/>
        <v>10% Acute FW LC50</v>
      </c>
      <c r="N122" s="216">
        <f t="shared" si="174"/>
        <v>18000</v>
      </c>
      <c r="O122" s="203" t="str">
        <f t="shared" si="188"/>
        <v>--</v>
      </c>
      <c r="P122" s="203">
        <f t="shared" si="175"/>
        <v>18000</v>
      </c>
      <c r="Q122" s="203" t="str">
        <f t="shared" si="189"/>
        <v>--</v>
      </c>
      <c r="R122" s="203" t="str">
        <f t="shared" si="190"/>
        <v>--</v>
      </c>
      <c r="S122" s="203" t="str">
        <f t="shared" si="176"/>
        <v>--</v>
      </c>
      <c r="T122" s="203" t="str">
        <f t="shared" si="191"/>
        <v>--</v>
      </c>
      <c r="U122" s="203" t="str">
        <f t="shared" si="192"/>
        <v>--</v>
      </c>
      <c r="V122" s="203">
        <f t="shared" si="193"/>
        <v>18000</v>
      </c>
      <c r="W122" s="193" t="str">
        <f t="shared" si="194"/>
        <v>10% Acute FW LC50</v>
      </c>
      <c r="X122" s="203">
        <f t="shared" si="177"/>
        <v>1800</v>
      </c>
      <c r="Y122" s="193" t="str">
        <f t="shared" si="178"/>
        <v>10% US EPA FW CMC</v>
      </c>
      <c r="Z122" s="203" t="str">
        <f t="shared" si="195"/>
        <v>--</v>
      </c>
      <c r="AA122" s="203">
        <f t="shared" si="196"/>
        <v>18000</v>
      </c>
      <c r="AB122" s="1368" t="str">
        <f t="shared" si="197"/>
        <v>--</v>
      </c>
      <c r="AC122" s="1356" t="str">
        <f t="shared" si="220"/>
        <v>--</v>
      </c>
      <c r="AD122" s="1377" t="str">
        <f t="shared" si="221"/>
        <v>--</v>
      </c>
      <c r="AE122" s="1353" t="str">
        <f t="shared" si="198"/>
        <v>--</v>
      </c>
      <c r="AF122" s="1364" t="str">
        <f t="shared" si="199"/>
        <v>--</v>
      </c>
      <c r="AG122" s="216" t="str">
        <f t="shared" si="179"/>
        <v>--</v>
      </c>
      <c r="AH122" s="203" t="str">
        <f t="shared" si="160"/>
        <v>--</v>
      </c>
      <c r="AI122" s="203" t="str">
        <f t="shared" si="200"/>
        <v>--</v>
      </c>
      <c r="AJ122" s="203" t="str">
        <f t="shared" si="201"/>
        <v>--</v>
      </c>
      <c r="AK122" s="203" t="str">
        <f t="shared" si="180"/>
        <v>--</v>
      </c>
      <c r="AL122" s="203" t="str">
        <f t="shared" si="202"/>
        <v>--</v>
      </c>
      <c r="AM122" s="203" t="str">
        <f t="shared" si="203"/>
        <v>--</v>
      </c>
      <c r="AN122" s="203" t="str">
        <f t="shared" si="181"/>
        <v>--</v>
      </c>
      <c r="AO122" s="203" t="str">
        <f t="shared" si="204"/>
        <v>--</v>
      </c>
      <c r="AP122" s="203" t="str">
        <f t="shared" si="205"/>
        <v>--</v>
      </c>
      <c r="AQ122" s="203" t="str">
        <f t="shared" si="206"/>
        <v>--</v>
      </c>
      <c r="AR122" s="1262" t="str">
        <f t="shared" si="207"/>
        <v>--</v>
      </c>
      <c r="AS122" s="203" t="str">
        <f t="shared" si="182"/>
        <v>--</v>
      </c>
      <c r="AT122" s="193" t="str">
        <f t="shared" si="183"/>
        <v>--</v>
      </c>
      <c r="AU122" s="203" t="str">
        <f t="shared" si="208"/>
        <v>--</v>
      </c>
      <c r="AV122" s="203" t="str">
        <f t="shared" si="209"/>
        <v>--</v>
      </c>
      <c r="AW122" s="2047" t="str">
        <f t="shared" si="210"/>
        <v>--</v>
      </c>
      <c r="AX122" s="2054" t="str">
        <f t="shared" si="211"/>
        <v>--</v>
      </c>
      <c r="AZ122" s="22"/>
      <c r="BB122" s="27">
        <f t="shared" si="212"/>
        <v>18000</v>
      </c>
      <c r="BC122" s="351" t="str">
        <f t="shared" si="213"/>
        <v>10% Acute FW LC50</v>
      </c>
      <c r="BD122" s="27" t="str">
        <f t="shared" si="214"/>
        <v>--</v>
      </c>
      <c r="BE122" s="351" t="str">
        <f t="shared" si="215"/>
        <v>--</v>
      </c>
      <c r="BF122" s="350"/>
      <c r="BG122" s="350"/>
      <c r="BH122" s="350"/>
      <c r="BJ122" s="55"/>
      <c r="BK122" s="1"/>
      <c r="BL122" s="55"/>
      <c r="BM122" s="350"/>
      <c r="BN122" s="350"/>
      <c r="BO122" s="350"/>
      <c r="BP122" s="35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row>
    <row r="123" spans="1:142" ht="11.25" customHeight="1">
      <c r="A123" s="897" t="s">
        <v>313</v>
      </c>
      <c r="B123" s="432" t="s">
        <v>314</v>
      </c>
      <c r="C123" s="205">
        <f t="shared" si="216"/>
        <v>932</v>
      </c>
      <c r="D123" s="207" t="str">
        <f t="shared" si="217"/>
        <v>Freshwater Goal</v>
      </c>
      <c r="E123" s="1637" t="str">
        <f t="shared" si="161"/>
        <v>--</v>
      </c>
      <c r="F123" s="187" t="str">
        <f t="shared" si="155"/>
        <v>--</v>
      </c>
      <c r="G123" s="1326" t="str">
        <f t="shared" si="184"/>
        <v>--</v>
      </c>
      <c r="H123" s="1327" t="str">
        <f t="shared" si="185"/>
        <v>--</v>
      </c>
      <c r="I123" s="1359" t="str">
        <f t="shared" si="186"/>
        <v>--</v>
      </c>
      <c r="J123" s="1379">
        <f t="shared" si="218"/>
        <v>932</v>
      </c>
      <c r="K123" s="1361" t="str">
        <f t="shared" si="219"/>
        <v>Freshwater Exposure</v>
      </c>
      <c r="L123" s="209">
        <f t="shared" si="173"/>
        <v>932</v>
      </c>
      <c r="M123" s="1371" t="str">
        <f t="shared" si="187"/>
        <v>10% US EPA FW Acute LOEL</v>
      </c>
      <c r="N123" s="216" t="str">
        <f t="shared" si="174"/>
        <v>--</v>
      </c>
      <c r="O123" s="203" t="str">
        <f t="shared" si="188"/>
        <v>--</v>
      </c>
      <c r="P123" s="203" t="str">
        <f t="shared" si="175"/>
        <v>--</v>
      </c>
      <c r="Q123" s="203" t="str">
        <f t="shared" si="189"/>
        <v>--</v>
      </c>
      <c r="R123" s="203" t="str">
        <f t="shared" si="190"/>
        <v>--</v>
      </c>
      <c r="S123" s="203" t="str">
        <f t="shared" si="176"/>
        <v>--</v>
      </c>
      <c r="T123" s="203" t="str">
        <f t="shared" si="191"/>
        <v>--</v>
      </c>
      <c r="U123" s="203" t="str">
        <f t="shared" si="192"/>
        <v>--</v>
      </c>
      <c r="V123" s="203" t="str">
        <f t="shared" si="193"/>
        <v>--</v>
      </c>
      <c r="W123" s="193" t="str">
        <f t="shared" si="194"/>
        <v>--</v>
      </c>
      <c r="X123" s="203">
        <f t="shared" si="177"/>
        <v>932</v>
      </c>
      <c r="Y123" s="193" t="str">
        <f t="shared" si="178"/>
        <v>10% US EPA FW Acute LOEL</v>
      </c>
      <c r="Z123" s="203" t="str">
        <f t="shared" si="195"/>
        <v>--</v>
      </c>
      <c r="AA123" s="203" t="str">
        <f t="shared" si="196"/>
        <v>--</v>
      </c>
      <c r="AB123" s="1368">
        <f t="shared" si="197"/>
        <v>9320</v>
      </c>
      <c r="AC123" s="1356" t="str">
        <f t="shared" si="220"/>
        <v>--</v>
      </c>
      <c r="AD123" s="1377" t="str">
        <f t="shared" si="221"/>
        <v>--</v>
      </c>
      <c r="AE123" s="1353" t="str">
        <f t="shared" si="198"/>
        <v>--</v>
      </c>
      <c r="AF123" s="1364" t="str">
        <f t="shared" si="199"/>
        <v>--</v>
      </c>
      <c r="AG123" s="216" t="str">
        <f t="shared" si="179"/>
        <v>--</v>
      </c>
      <c r="AH123" s="203" t="str">
        <f t="shared" si="160"/>
        <v>--</v>
      </c>
      <c r="AI123" s="203" t="str">
        <f t="shared" si="200"/>
        <v>--</v>
      </c>
      <c r="AJ123" s="203" t="str">
        <f t="shared" si="201"/>
        <v>--</v>
      </c>
      <c r="AK123" s="203" t="str">
        <f t="shared" si="180"/>
        <v>--</v>
      </c>
      <c r="AL123" s="203" t="str">
        <f t="shared" si="202"/>
        <v>--</v>
      </c>
      <c r="AM123" s="203" t="str">
        <f t="shared" si="203"/>
        <v>--</v>
      </c>
      <c r="AN123" s="203" t="str">
        <f t="shared" si="181"/>
        <v>--</v>
      </c>
      <c r="AO123" s="203" t="str">
        <f t="shared" si="204"/>
        <v>--</v>
      </c>
      <c r="AP123" s="203" t="str">
        <f t="shared" si="205"/>
        <v>--</v>
      </c>
      <c r="AQ123" s="203" t="str">
        <f t="shared" si="206"/>
        <v>--</v>
      </c>
      <c r="AR123" s="1262" t="str">
        <f t="shared" si="207"/>
        <v>--</v>
      </c>
      <c r="AS123" s="203" t="str">
        <f t="shared" si="182"/>
        <v>--</v>
      </c>
      <c r="AT123" s="193" t="str">
        <f t="shared" si="183"/>
        <v>--</v>
      </c>
      <c r="AU123" s="203" t="str">
        <f t="shared" si="208"/>
        <v>--</v>
      </c>
      <c r="AV123" s="203" t="str">
        <f t="shared" si="209"/>
        <v>--</v>
      </c>
      <c r="AW123" s="2047" t="str">
        <f t="shared" si="210"/>
        <v>--</v>
      </c>
      <c r="AX123" s="2054" t="str">
        <f t="shared" si="211"/>
        <v>--</v>
      </c>
      <c r="AZ123" s="22"/>
      <c r="BA123" s="350"/>
      <c r="BB123" s="27" t="str">
        <f t="shared" si="212"/>
        <v>--</v>
      </c>
      <c r="BC123" s="351" t="str">
        <f t="shared" si="213"/>
        <v>--</v>
      </c>
      <c r="BD123" s="27" t="str">
        <f t="shared" si="214"/>
        <v>--</v>
      </c>
      <c r="BE123" s="351" t="str">
        <f t="shared" si="215"/>
        <v>--</v>
      </c>
      <c r="BJ123" s="55"/>
      <c r="BK123" s="55"/>
      <c r="BL123" s="55"/>
    </row>
    <row r="124" spans="1:142">
      <c r="A124" s="897" t="s">
        <v>315</v>
      </c>
      <c r="B124" s="432" t="s">
        <v>316</v>
      </c>
      <c r="C124" s="205">
        <f t="shared" si="216"/>
        <v>2.2999999999999998</v>
      </c>
      <c r="D124" s="207" t="str">
        <f t="shared" si="217"/>
        <v>Seafood Ingestion</v>
      </c>
      <c r="E124" s="1637">
        <f t="shared" si="161"/>
        <v>2.2999999999999998</v>
      </c>
      <c r="F124" s="187" t="str">
        <f t="shared" si="155"/>
        <v>Cal Ocean Plan</v>
      </c>
      <c r="G124" s="1326">
        <f t="shared" si="184"/>
        <v>11</v>
      </c>
      <c r="H124" s="1327">
        <f t="shared" si="185"/>
        <v>2.2999999999999998</v>
      </c>
      <c r="I124" s="1359">
        <f t="shared" si="186"/>
        <v>3</v>
      </c>
      <c r="J124" s="1379">
        <f t="shared" si="218"/>
        <v>420</v>
      </c>
      <c r="K124" s="1361" t="str">
        <f t="shared" si="219"/>
        <v>Freshwater Exposure</v>
      </c>
      <c r="L124" s="209">
        <f t="shared" si="173"/>
        <v>420</v>
      </c>
      <c r="M124" s="1371" t="str">
        <f t="shared" si="187"/>
        <v>US EPA Ecotox FW Chronic</v>
      </c>
      <c r="N124" s="216">
        <f t="shared" si="174"/>
        <v>420</v>
      </c>
      <c r="O124" s="203" t="str">
        <f t="shared" si="188"/>
        <v>--</v>
      </c>
      <c r="P124" s="203">
        <f t="shared" si="175"/>
        <v>420</v>
      </c>
      <c r="Q124" s="203" t="str">
        <f t="shared" si="189"/>
        <v>--</v>
      </c>
      <c r="R124" s="203" t="str">
        <f t="shared" si="190"/>
        <v>--</v>
      </c>
      <c r="S124" s="203">
        <f t="shared" si="176"/>
        <v>420</v>
      </c>
      <c r="T124" s="203">
        <f t="shared" si="191"/>
        <v>420</v>
      </c>
      <c r="U124" s="203">
        <f t="shared" si="192"/>
        <v>2400</v>
      </c>
      <c r="V124" s="203" t="str">
        <f t="shared" si="193"/>
        <v>--</v>
      </c>
      <c r="W124" s="193" t="str">
        <f t="shared" si="194"/>
        <v>--</v>
      </c>
      <c r="X124" s="203">
        <f t="shared" si="177"/>
        <v>932</v>
      </c>
      <c r="Y124" s="193" t="str">
        <f t="shared" si="178"/>
        <v>10% US EPA FW Acute LOEL</v>
      </c>
      <c r="Z124" s="203" t="str">
        <f t="shared" si="195"/>
        <v>--</v>
      </c>
      <c r="AA124" s="203" t="str">
        <f t="shared" si="196"/>
        <v>--</v>
      </c>
      <c r="AB124" s="1368">
        <f t="shared" si="197"/>
        <v>9320</v>
      </c>
      <c r="AC124" s="1356">
        <f t="shared" si="220"/>
        <v>902</v>
      </c>
      <c r="AD124" s="1377" t="str">
        <f t="shared" si="221"/>
        <v>Saltwater Exposure</v>
      </c>
      <c r="AE124" s="1353">
        <f t="shared" si="198"/>
        <v>902</v>
      </c>
      <c r="AF124" s="1364" t="str">
        <f t="shared" si="199"/>
        <v>10% US EPA SW Acute LOEL</v>
      </c>
      <c r="AG124" s="216" t="str">
        <f t="shared" si="179"/>
        <v>--</v>
      </c>
      <c r="AH124" s="203" t="str">
        <f t="shared" si="160"/>
        <v>--</v>
      </c>
      <c r="AI124" s="203" t="str">
        <f t="shared" si="200"/>
        <v>--</v>
      </c>
      <c r="AJ124" s="203" t="str">
        <f t="shared" si="201"/>
        <v>--</v>
      </c>
      <c r="AK124" s="203" t="str">
        <f t="shared" si="180"/>
        <v>--</v>
      </c>
      <c r="AL124" s="203" t="str">
        <f t="shared" si="202"/>
        <v>--</v>
      </c>
      <c r="AM124" s="203" t="str">
        <f t="shared" si="203"/>
        <v>--</v>
      </c>
      <c r="AN124" s="203" t="str">
        <f t="shared" si="181"/>
        <v>--</v>
      </c>
      <c r="AO124" s="203" t="str">
        <f t="shared" si="204"/>
        <v>--</v>
      </c>
      <c r="AP124" s="203" t="str">
        <f t="shared" si="205"/>
        <v>--</v>
      </c>
      <c r="AQ124" s="203" t="str">
        <f t="shared" si="206"/>
        <v>--</v>
      </c>
      <c r="AR124" s="1262" t="str">
        <f t="shared" si="207"/>
        <v>--</v>
      </c>
      <c r="AS124" s="203">
        <f t="shared" si="182"/>
        <v>902</v>
      </c>
      <c r="AT124" s="193" t="str">
        <f t="shared" si="183"/>
        <v>10% US EPA SW Acute LOEL</v>
      </c>
      <c r="AU124" s="203" t="str">
        <f t="shared" si="208"/>
        <v>--</v>
      </c>
      <c r="AV124" s="203" t="str">
        <f t="shared" si="209"/>
        <v>--</v>
      </c>
      <c r="AW124" s="2047">
        <f t="shared" si="210"/>
        <v>9020</v>
      </c>
      <c r="AX124" s="2054" t="str">
        <f t="shared" si="211"/>
        <v>--</v>
      </c>
      <c r="AZ124" s="22"/>
      <c r="BB124" s="27">
        <f t="shared" si="212"/>
        <v>420</v>
      </c>
      <c r="BC124" s="351" t="str">
        <f t="shared" si="213"/>
        <v>US EPA Ecotox FW Chronic</v>
      </c>
      <c r="BD124" s="27" t="str">
        <f t="shared" si="214"/>
        <v>--</v>
      </c>
      <c r="BE124" s="351" t="str">
        <f t="shared" si="215"/>
        <v>--</v>
      </c>
      <c r="BJ124" s="55"/>
      <c r="BK124" s="55"/>
      <c r="BL124" s="55"/>
    </row>
    <row r="125" spans="1:142">
      <c r="A125" s="897" t="s">
        <v>317</v>
      </c>
      <c r="B125" s="432" t="s">
        <v>318</v>
      </c>
      <c r="C125" s="205">
        <f t="shared" si="216"/>
        <v>2</v>
      </c>
      <c r="D125" s="207" t="str">
        <f t="shared" si="217"/>
        <v>Seafood Ingestion</v>
      </c>
      <c r="E125" s="1637">
        <f>IF(AND(G125="--",H125="--",I125="--"), "--", MIN(G125,H125,I125))</f>
        <v>2</v>
      </c>
      <c r="F125" s="187" t="str">
        <f t="shared" si="155"/>
        <v>Cal Ocean Plan</v>
      </c>
      <c r="G125" s="1326">
        <f t="shared" si="184"/>
        <v>8.85</v>
      </c>
      <c r="H125" s="1327">
        <f t="shared" si="185"/>
        <v>2</v>
      </c>
      <c r="I125" s="1359">
        <f t="shared" si="186"/>
        <v>29</v>
      </c>
      <c r="J125" s="1379">
        <f t="shared" si="218"/>
        <v>120</v>
      </c>
      <c r="K125" s="1361" t="str">
        <f t="shared" si="219"/>
        <v>Freshwater Exposure</v>
      </c>
      <c r="L125" s="209">
        <f t="shared" ref="L125:L139" si="244">IF(N125="--",X125, N125)</f>
        <v>120</v>
      </c>
      <c r="M125" s="1371" t="str">
        <f t="shared" si="187"/>
        <v/>
      </c>
      <c r="N125" s="216">
        <f t="shared" ref="N125:N139" si="245">IF(AND(O125="--",P125="--"),"--", IF(O125="--",P125, IF(P125="--", O125, MIN(P125,O125))))</f>
        <v>120</v>
      </c>
      <c r="O125" s="203" t="str">
        <f t="shared" si="188"/>
        <v>--</v>
      </c>
      <c r="P125" s="203">
        <f t="shared" ref="P125:P139" si="246">IF(Q125&lt;&gt;"--",Q125,IF(R125&lt;&gt;"--",R125,IF(S125&lt;&gt;"--",S125, V125)))</f>
        <v>120</v>
      </c>
      <c r="Q125" s="203" t="str">
        <f t="shared" si="189"/>
        <v>--</v>
      </c>
      <c r="R125" s="203" t="str">
        <f t="shared" si="190"/>
        <v>--</v>
      </c>
      <c r="S125" s="203">
        <f t="shared" ref="S125:S139" si="247">IF(AND(T125="--",U125="--"), "--", IF(T125="--",U125/2, IF(U125="--",T125, MIN(T125,U125/2))))</f>
        <v>120</v>
      </c>
      <c r="T125" s="203">
        <f t="shared" si="191"/>
        <v>120</v>
      </c>
      <c r="U125" s="203">
        <f t="shared" si="192"/>
        <v>840</v>
      </c>
      <c r="V125" s="203" t="str">
        <f t="shared" si="193"/>
        <v>--</v>
      </c>
      <c r="W125" s="193" t="str">
        <f t="shared" si="194"/>
        <v>--</v>
      </c>
      <c r="X125" s="203">
        <f t="shared" ref="X125:X139" si="248">IF(AND(Z125="--",AA125="--",AB125="--"), "--", (IF(Z125&lt;&gt;"--",Z125/10,(IF(AA125&lt;&gt;"--",AA125/10,AB125/10)))))</f>
        <v>528</v>
      </c>
      <c r="Y125" s="193" t="str">
        <f t="shared" ref="Y125:Y139" si="249">IF(X125="--","--",IF(AND(Z125="--",AA125="--"),"10% US EPA FW Acute LOEL",IF(AA125="--","10% CTR FW CMC","10% US EPA FW CMC")))</f>
        <v>10% US EPA FW Acute LOEL</v>
      </c>
      <c r="Z125" s="203" t="str">
        <f t="shared" si="195"/>
        <v>--</v>
      </c>
      <c r="AA125" s="203" t="str">
        <f t="shared" si="196"/>
        <v>--</v>
      </c>
      <c r="AB125" s="1368">
        <f t="shared" si="197"/>
        <v>5280</v>
      </c>
      <c r="AC125" s="1356">
        <f t="shared" si="220"/>
        <v>225</v>
      </c>
      <c r="AD125" s="1377" t="str">
        <f t="shared" si="221"/>
        <v>Saltwater Exposure</v>
      </c>
      <c r="AE125" s="1353">
        <f t="shared" si="198"/>
        <v>225</v>
      </c>
      <c r="AF125" s="1364" t="str">
        <f t="shared" si="199"/>
        <v/>
      </c>
      <c r="AG125" s="216">
        <f t="shared" ref="AG125:AG139" si="250">IF(AND(AH125="--",AK125="--"),"--", IF(AH125="--",AK125, IF(AK125="--", AH125, MIN(AK125,AH125))))</f>
        <v>225</v>
      </c>
      <c r="AH125" s="203" t="str">
        <f t="shared" si="160"/>
        <v>--</v>
      </c>
      <c r="AI125" s="203" t="str">
        <f t="shared" si="200"/>
        <v>--</v>
      </c>
      <c r="AJ125" s="203" t="str">
        <f t="shared" si="201"/>
        <v>--</v>
      </c>
      <c r="AK125" s="203">
        <f t="shared" ref="AK125:AK139" si="251">IF(AL125&lt;&gt;"--",AL125,IF(AM125&lt;&gt;"--",AM125,IF(AN125&lt;&gt;"--",AN125,IF(AQ125&lt;&gt;"--",AQ125,"--"))))</f>
        <v>225</v>
      </c>
      <c r="AL125" s="203" t="str">
        <f t="shared" si="202"/>
        <v>--</v>
      </c>
      <c r="AM125" s="203" t="str">
        <f t="shared" si="203"/>
        <v>--</v>
      </c>
      <c r="AN125" s="203">
        <f t="shared" ref="AN125:AN139" si="252">IF(AND(AO125="--",AP125="--"), "--", IF(AO125="--",AP125/2, IF(AP125="--",AO125, MIN(AO125,AP125/2))))</f>
        <v>225</v>
      </c>
      <c r="AO125" s="203" t="str">
        <f t="shared" si="204"/>
        <v>--</v>
      </c>
      <c r="AP125" s="203">
        <f t="shared" si="205"/>
        <v>450</v>
      </c>
      <c r="AQ125" s="203" t="str">
        <f t="shared" si="206"/>
        <v>--</v>
      </c>
      <c r="AR125" s="1262" t="str">
        <f t="shared" si="207"/>
        <v>--</v>
      </c>
      <c r="AS125" s="203">
        <f t="shared" ref="AS125:AS139" si="253">IF(AND(AU125="--",AV125="--",AW125="--"), "--", (IF(AU125&lt;&gt;"--",AU125/10,(IF(AV125&lt;&gt;"--",AV125/10,AW125/10)))))</f>
        <v>1020</v>
      </c>
      <c r="AT125" s="193" t="str">
        <f t="shared" ref="AT125:AT139" si="254">IF(AS125="--","--",IF(AND(AU125="--",AV125="--"),"10% US EPA SW Acute LOEL",IF(AV125="--","10% CTR SW CMC","10% US EPA SW CMC")))</f>
        <v>10% US EPA SW Acute LOEL</v>
      </c>
      <c r="AU125" s="203" t="str">
        <f t="shared" si="208"/>
        <v>--</v>
      </c>
      <c r="AV125" s="203" t="str">
        <f t="shared" si="209"/>
        <v>--</v>
      </c>
      <c r="AW125" s="2047">
        <f t="shared" si="210"/>
        <v>10200</v>
      </c>
      <c r="AX125" s="2054" t="str">
        <f t="shared" si="211"/>
        <v>--</v>
      </c>
      <c r="AZ125" s="22"/>
      <c r="BC125" s="4"/>
      <c r="BD125" s="10"/>
      <c r="BE125" s="4"/>
      <c r="BJ125" s="55"/>
      <c r="BK125" s="55"/>
      <c r="BL125" s="55"/>
    </row>
    <row r="126" spans="1:142">
      <c r="A126" s="897" t="s">
        <v>319</v>
      </c>
      <c r="B126" s="432" t="s">
        <v>320</v>
      </c>
      <c r="C126" s="205">
        <f t="shared" si="216"/>
        <v>0.47</v>
      </c>
      <c r="D126" s="207" t="str">
        <f t="shared" si="217"/>
        <v>Seafood Ingestion</v>
      </c>
      <c r="E126" s="1637">
        <f t="shared" ref="E126:E139" si="255">IF(AND(G126="--",H126="--",I126="--"), "--", MIN(G126,H126,I126))</f>
        <v>0.47</v>
      </c>
      <c r="F126" s="187" t="str">
        <f t="shared" si="155"/>
        <v>National Criteria</v>
      </c>
      <c r="G126" s="1326">
        <f t="shared" si="184"/>
        <v>6.3</v>
      </c>
      <c r="H126" s="1327">
        <f t="shared" si="185"/>
        <v>2</v>
      </c>
      <c r="I126" s="1359">
        <f t="shared" si="186"/>
        <v>0.47</v>
      </c>
      <c r="J126" s="1379">
        <f t="shared" si="218"/>
        <v>20</v>
      </c>
      <c r="K126" s="1361" t="str">
        <f t="shared" si="219"/>
        <v>Freshwater Exposure</v>
      </c>
      <c r="L126" s="209">
        <f t="shared" si="244"/>
        <v>20</v>
      </c>
      <c r="M126" s="1371" t="str">
        <f t="shared" si="187"/>
        <v/>
      </c>
      <c r="N126" s="216">
        <f t="shared" si="245"/>
        <v>20</v>
      </c>
      <c r="O126" s="203" t="str">
        <f t="shared" si="188"/>
        <v>--</v>
      </c>
      <c r="P126" s="203">
        <f t="shared" si="246"/>
        <v>20</v>
      </c>
      <c r="Q126" s="203" t="str">
        <f t="shared" si="189"/>
        <v>--</v>
      </c>
      <c r="R126" s="203" t="str">
        <f t="shared" si="190"/>
        <v>--</v>
      </c>
      <c r="S126" s="203">
        <f t="shared" si="247"/>
        <v>20</v>
      </c>
      <c r="T126" s="203" t="str">
        <f t="shared" si="191"/>
        <v>--</v>
      </c>
      <c r="U126" s="203">
        <f t="shared" si="192"/>
        <v>40</v>
      </c>
      <c r="V126" s="203" t="str">
        <f t="shared" si="193"/>
        <v>--</v>
      </c>
      <c r="W126" s="193" t="str">
        <f t="shared" si="194"/>
        <v>--</v>
      </c>
      <c r="X126" s="203">
        <f t="shared" si="248"/>
        <v>140</v>
      </c>
      <c r="Y126" s="193" t="str">
        <f t="shared" si="249"/>
        <v>10% US EPA FW Acute LOEL</v>
      </c>
      <c r="Z126" s="203" t="str">
        <f t="shared" si="195"/>
        <v>--</v>
      </c>
      <c r="AA126" s="203" t="str">
        <f t="shared" si="196"/>
        <v>--</v>
      </c>
      <c r="AB126" s="1368">
        <f t="shared" si="197"/>
        <v>1400</v>
      </c>
      <c r="AC126" s="1356">
        <f t="shared" si="220"/>
        <v>213</v>
      </c>
      <c r="AD126" s="1377" t="str">
        <f t="shared" si="221"/>
        <v>Saltwater Exposure</v>
      </c>
      <c r="AE126" s="1353">
        <f t="shared" si="198"/>
        <v>213</v>
      </c>
      <c r="AF126" s="1364" t="str">
        <f t="shared" si="199"/>
        <v>10% US EPA SW Acute LOEL</v>
      </c>
      <c r="AG126" s="216" t="str">
        <f t="shared" si="250"/>
        <v>--</v>
      </c>
      <c r="AH126" s="203" t="str">
        <f t="shared" si="160"/>
        <v>--</v>
      </c>
      <c r="AI126" s="203" t="str">
        <f t="shared" si="200"/>
        <v>--</v>
      </c>
      <c r="AJ126" s="203" t="str">
        <f t="shared" si="201"/>
        <v>--</v>
      </c>
      <c r="AK126" s="203" t="str">
        <f t="shared" si="251"/>
        <v>--</v>
      </c>
      <c r="AL126" s="203" t="str">
        <f t="shared" si="202"/>
        <v>--</v>
      </c>
      <c r="AM126" s="203" t="str">
        <f t="shared" si="203"/>
        <v>--</v>
      </c>
      <c r="AN126" s="203" t="str">
        <f t="shared" si="252"/>
        <v>--</v>
      </c>
      <c r="AO126" s="203" t="str">
        <f t="shared" si="204"/>
        <v>--</v>
      </c>
      <c r="AP126" s="203" t="str">
        <f t="shared" si="205"/>
        <v>--</v>
      </c>
      <c r="AQ126" s="203" t="str">
        <f t="shared" si="206"/>
        <v>--</v>
      </c>
      <c r="AR126" s="1262" t="str">
        <f t="shared" si="207"/>
        <v>--</v>
      </c>
      <c r="AS126" s="203">
        <f t="shared" si="253"/>
        <v>213</v>
      </c>
      <c r="AT126" s="193" t="str">
        <f t="shared" si="254"/>
        <v>10% US EPA SW Acute LOEL</v>
      </c>
      <c r="AU126" s="203" t="str">
        <f t="shared" si="208"/>
        <v>--</v>
      </c>
      <c r="AV126" s="203" t="str">
        <f t="shared" si="209"/>
        <v>--</v>
      </c>
      <c r="AW126" s="2047">
        <f t="shared" si="210"/>
        <v>2130</v>
      </c>
      <c r="AX126" s="2054" t="str">
        <f t="shared" si="211"/>
        <v>--</v>
      </c>
      <c r="AZ126" s="22"/>
      <c r="BC126" s="4"/>
      <c r="BD126" s="10"/>
      <c r="BE126" s="4"/>
      <c r="BJ126" s="55"/>
      <c r="BK126" s="55"/>
      <c r="BL126" s="55"/>
    </row>
    <row r="127" spans="1:142">
      <c r="A127" s="897" t="s">
        <v>321</v>
      </c>
      <c r="B127" s="432" t="s">
        <v>322</v>
      </c>
      <c r="C127" s="205">
        <f t="shared" si="216"/>
        <v>130</v>
      </c>
      <c r="D127" s="207" t="str">
        <f t="shared" si="217"/>
        <v>Freshwater Goal</v>
      </c>
      <c r="E127" s="1637">
        <f t="shared" si="255"/>
        <v>520</v>
      </c>
      <c r="F127" s="187" t="str">
        <f t="shared" si="155"/>
        <v>National Criteria</v>
      </c>
      <c r="G127" s="1326">
        <f t="shared" si="184"/>
        <v>200000</v>
      </c>
      <c r="H127" s="1327">
        <f t="shared" si="185"/>
        <v>85000</v>
      </c>
      <c r="I127" s="1359">
        <f t="shared" si="186"/>
        <v>520</v>
      </c>
      <c r="J127" s="1379">
        <f t="shared" si="218"/>
        <v>130</v>
      </c>
      <c r="K127" s="1361" t="str">
        <f t="shared" si="219"/>
        <v>Freshwater Exposure</v>
      </c>
      <c r="L127" s="209">
        <f t="shared" si="244"/>
        <v>130</v>
      </c>
      <c r="M127" s="1371" t="str">
        <f t="shared" si="187"/>
        <v/>
      </c>
      <c r="N127" s="216">
        <f t="shared" si="245"/>
        <v>130</v>
      </c>
      <c r="O127" s="203" t="str">
        <f t="shared" si="188"/>
        <v>--</v>
      </c>
      <c r="P127" s="203">
        <f t="shared" si="246"/>
        <v>130</v>
      </c>
      <c r="Q127" s="203" t="str">
        <f t="shared" si="189"/>
        <v>--</v>
      </c>
      <c r="R127" s="203" t="str">
        <f t="shared" si="190"/>
        <v>--</v>
      </c>
      <c r="S127" s="203">
        <f t="shared" si="247"/>
        <v>130</v>
      </c>
      <c r="T127" s="203">
        <f t="shared" si="191"/>
        <v>130</v>
      </c>
      <c r="U127" s="203" t="str">
        <f t="shared" si="192"/>
        <v>--</v>
      </c>
      <c r="V127" s="203" t="str">
        <f t="shared" si="193"/>
        <v>--</v>
      </c>
      <c r="W127" s="193" t="str">
        <f t="shared" si="194"/>
        <v>--</v>
      </c>
      <c r="X127" s="203">
        <f t="shared" si="248"/>
        <v>1750</v>
      </c>
      <c r="Y127" s="193" t="str">
        <f t="shared" si="249"/>
        <v>10% US EPA FW Acute LOEL</v>
      </c>
      <c r="Z127" s="203" t="str">
        <f t="shared" si="195"/>
        <v>--</v>
      </c>
      <c r="AA127" s="203" t="str">
        <f t="shared" si="196"/>
        <v>--</v>
      </c>
      <c r="AB127" s="1368">
        <f t="shared" si="197"/>
        <v>17500</v>
      </c>
      <c r="AC127" s="1356">
        <f t="shared" si="220"/>
        <v>2500</v>
      </c>
      <c r="AD127" s="1377" t="str">
        <f t="shared" si="221"/>
        <v>Saltwater Exposure</v>
      </c>
      <c r="AE127" s="1353">
        <f t="shared" si="198"/>
        <v>2500</v>
      </c>
      <c r="AF127" s="1364" t="str">
        <f t="shared" si="199"/>
        <v/>
      </c>
      <c r="AG127" s="216">
        <f t="shared" si="250"/>
        <v>2500</v>
      </c>
      <c r="AH127" s="203" t="str">
        <f t="shared" si="160"/>
        <v>--</v>
      </c>
      <c r="AI127" s="203" t="str">
        <f t="shared" si="200"/>
        <v>--</v>
      </c>
      <c r="AJ127" s="203" t="str">
        <f t="shared" si="201"/>
        <v>--</v>
      </c>
      <c r="AK127" s="203">
        <f t="shared" si="251"/>
        <v>2500</v>
      </c>
      <c r="AL127" s="203" t="str">
        <f t="shared" si="202"/>
        <v>--</v>
      </c>
      <c r="AM127" s="203" t="str">
        <f t="shared" si="203"/>
        <v>--</v>
      </c>
      <c r="AN127" s="203">
        <f t="shared" si="252"/>
        <v>2500</v>
      </c>
      <c r="AO127" s="203" t="str">
        <f t="shared" si="204"/>
        <v>--</v>
      </c>
      <c r="AP127" s="203">
        <f t="shared" si="205"/>
        <v>5000</v>
      </c>
      <c r="AQ127" s="203" t="str">
        <f t="shared" si="206"/>
        <v>--</v>
      </c>
      <c r="AR127" s="1262" t="str">
        <f t="shared" si="207"/>
        <v>--</v>
      </c>
      <c r="AS127" s="203">
        <f t="shared" si="253"/>
        <v>630</v>
      </c>
      <c r="AT127" s="193" t="str">
        <f t="shared" si="254"/>
        <v>10% US EPA SW Acute LOEL</v>
      </c>
      <c r="AU127" s="203" t="str">
        <f t="shared" si="208"/>
        <v>--</v>
      </c>
      <c r="AV127" s="203" t="str">
        <f t="shared" si="209"/>
        <v>--</v>
      </c>
      <c r="AW127" s="2047">
        <f t="shared" si="210"/>
        <v>6300</v>
      </c>
      <c r="AX127" s="2054" t="str">
        <f t="shared" si="211"/>
        <v>--</v>
      </c>
      <c r="AZ127" s="22"/>
      <c r="BC127" s="4"/>
      <c r="BD127" s="10"/>
      <c r="BE127" s="4"/>
      <c r="BJ127" s="55"/>
      <c r="BK127" s="55"/>
      <c r="BL127" s="55"/>
    </row>
    <row r="128" spans="1:142">
      <c r="A128" s="897" t="s">
        <v>323</v>
      </c>
      <c r="B128" s="432" t="s">
        <v>324</v>
      </c>
      <c r="C128" s="205">
        <f t="shared" si="216"/>
        <v>2.0000000000000001E-4</v>
      </c>
      <c r="D128" s="207" t="str">
        <f t="shared" si="217"/>
        <v>Freshwater Goal</v>
      </c>
      <c r="E128" s="1637">
        <f t="shared" si="255"/>
        <v>2.1000000000000001E-4</v>
      </c>
      <c r="F128" s="187" t="str">
        <f t="shared" si="155"/>
        <v>Cal Ocean Plan</v>
      </c>
      <c r="G128" s="1326">
        <f t="shared" si="184"/>
        <v>7.5000000000000002E-4</v>
      </c>
      <c r="H128" s="1327">
        <f t="shared" si="185"/>
        <v>2.1000000000000001E-4</v>
      </c>
      <c r="I128" s="1359">
        <f t="shared" si="186"/>
        <v>7.1000000000000002E-4</v>
      </c>
      <c r="J128" s="1379">
        <f t="shared" si="218"/>
        <v>2.0000000000000001E-4</v>
      </c>
      <c r="K128" s="1361" t="str">
        <f t="shared" si="219"/>
        <v>Freshwater Exposure</v>
      </c>
      <c r="L128" s="209">
        <f t="shared" si="244"/>
        <v>2.0000000000000001E-4</v>
      </c>
      <c r="M128" s="1371" t="str">
        <f t="shared" si="187"/>
        <v/>
      </c>
      <c r="N128" s="216">
        <f t="shared" si="245"/>
        <v>2.0000000000000001E-4</v>
      </c>
      <c r="O128" s="203" t="str">
        <f t="shared" si="188"/>
        <v>--</v>
      </c>
      <c r="P128" s="203">
        <f t="shared" si="246"/>
        <v>2.0000000000000001E-4</v>
      </c>
      <c r="Q128" s="203">
        <f t="shared" si="189"/>
        <v>2.0000000000000001E-4</v>
      </c>
      <c r="R128" s="203">
        <f t="shared" si="190"/>
        <v>2.0000000000000001E-4</v>
      </c>
      <c r="S128" s="203">
        <f t="shared" si="247"/>
        <v>1.0999999999999999E-2</v>
      </c>
      <c r="T128" s="203">
        <f t="shared" si="191"/>
        <v>1.0999999999999999E-2</v>
      </c>
      <c r="U128" s="203" t="str">
        <f t="shared" si="192"/>
        <v>--</v>
      </c>
      <c r="V128" s="203" t="str">
        <f t="shared" si="193"/>
        <v>--</v>
      </c>
      <c r="W128" s="193" t="str">
        <f t="shared" si="194"/>
        <v>--</v>
      </c>
      <c r="X128" s="203">
        <f t="shared" si="248"/>
        <v>7.2999999999999995E-2</v>
      </c>
      <c r="Y128" s="193" t="str">
        <f t="shared" si="249"/>
        <v>10% CTR FW CMC</v>
      </c>
      <c r="Z128" s="203">
        <f t="shared" si="195"/>
        <v>0.73</v>
      </c>
      <c r="AA128" s="203" t="str">
        <f t="shared" si="196"/>
        <v>--</v>
      </c>
      <c r="AB128" s="1368" t="str">
        <f t="shared" si="197"/>
        <v>--</v>
      </c>
      <c r="AC128" s="1356">
        <f t="shared" si="220"/>
        <v>2.0000000000000001E-4</v>
      </c>
      <c r="AD128" s="1377" t="str">
        <f t="shared" si="221"/>
        <v>Saltwater Exposure</v>
      </c>
      <c r="AE128" s="1353">
        <f t="shared" si="198"/>
        <v>2.0000000000000001E-4</v>
      </c>
      <c r="AF128" s="1364" t="str">
        <f t="shared" si="199"/>
        <v/>
      </c>
      <c r="AG128" s="216">
        <f t="shared" si="250"/>
        <v>2.0000000000000001E-4</v>
      </c>
      <c r="AH128" s="203" t="str">
        <f t="shared" si="160"/>
        <v>--</v>
      </c>
      <c r="AI128" s="203" t="str">
        <f t="shared" si="200"/>
        <v>--</v>
      </c>
      <c r="AJ128" s="203" t="str">
        <f t="shared" si="201"/>
        <v>--</v>
      </c>
      <c r="AK128" s="203">
        <f t="shared" si="251"/>
        <v>2.0000000000000001E-4</v>
      </c>
      <c r="AL128" s="203">
        <f t="shared" si="202"/>
        <v>2.0000000000000001E-4</v>
      </c>
      <c r="AM128" s="203">
        <f t="shared" si="203"/>
        <v>2.0000000000000001E-4</v>
      </c>
      <c r="AN128" s="203">
        <f t="shared" si="252"/>
        <v>0.21</v>
      </c>
      <c r="AO128" s="203">
        <f t="shared" si="204"/>
        <v>0.21</v>
      </c>
      <c r="AP128" s="203" t="str">
        <f t="shared" si="205"/>
        <v>--</v>
      </c>
      <c r="AQ128" s="203" t="str">
        <f t="shared" si="206"/>
        <v>--</v>
      </c>
      <c r="AR128" s="1262" t="str">
        <f t="shared" si="207"/>
        <v>--</v>
      </c>
      <c r="AS128" s="203">
        <f t="shared" si="253"/>
        <v>2.0999999999999998E-2</v>
      </c>
      <c r="AT128" s="193" t="str">
        <f t="shared" si="254"/>
        <v>10% US EPA SW CMC</v>
      </c>
      <c r="AU128" s="203">
        <f t="shared" si="208"/>
        <v>0.21</v>
      </c>
      <c r="AV128" s="203">
        <f t="shared" si="209"/>
        <v>0.21</v>
      </c>
      <c r="AW128" s="2047" t="str">
        <f t="shared" si="210"/>
        <v>--</v>
      </c>
      <c r="AX128" s="2054" t="str">
        <f t="shared" si="211"/>
        <v>--</v>
      </c>
      <c r="AZ128" s="22"/>
      <c r="BC128" s="4"/>
      <c r="BD128" s="10"/>
      <c r="BE128" s="4"/>
      <c r="BJ128" s="55"/>
      <c r="BK128" s="55"/>
      <c r="BL128" s="3"/>
    </row>
    <row r="129" spans="1:64">
      <c r="A129" s="897" t="s">
        <v>325</v>
      </c>
      <c r="B129" s="432" t="s">
        <v>326</v>
      </c>
      <c r="C129" s="205">
        <f t="shared" si="216"/>
        <v>7.5999999999999998E-2</v>
      </c>
      <c r="D129" s="207" t="str">
        <f t="shared" si="217"/>
        <v>Seafood Ingestion</v>
      </c>
      <c r="E129" s="1637">
        <f t="shared" si="255"/>
        <v>7.5999999999999998E-2</v>
      </c>
      <c r="F129" s="187" t="str">
        <f t="shared" si="155"/>
        <v>National Criteria</v>
      </c>
      <c r="G129" s="1326" t="str">
        <f t="shared" ref="G129:G139" si="256">IF((VLOOKUP($A129,Table_IP_7,MATCH("ctr",heading_IP_7,0),FALSE))="--", "--",(VLOOKUP($A129,Table_IP_7,MATCH("ctr",heading_IP_7,0),FALSE)))</f>
        <v>--</v>
      </c>
      <c r="H129" s="1327" t="str">
        <f t="shared" si="185"/>
        <v>--</v>
      </c>
      <c r="I129" s="1359">
        <f t="shared" ref="I129:I139" si="257">IF((VLOOKUP($A129,Table_IP_7,MATCH("nwq",heading_IP_7,0),FALSE))="--", "--",(VLOOKUP($A129,Table_IP_7,MATCH("nwq",heading_IP_7,0),FALSE)))</f>
        <v>7.5999999999999998E-2</v>
      </c>
      <c r="J129" s="1379">
        <f t="shared" si="218"/>
        <v>25</v>
      </c>
      <c r="K129" s="1361" t="str">
        <f t="shared" si="219"/>
        <v>Freshwater Exposure</v>
      </c>
      <c r="L129" s="209">
        <f t="shared" si="244"/>
        <v>25</v>
      </c>
      <c r="M129" s="1371" t="str">
        <f t="shared" si="187"/>
        <v>10% US EPA FW Acute LOEL</v>
      </c>
      <c r="N129" s="216">
        <f t="shared" si="245"/>
        <v>25</v>
      </c>
      <c r="O129" s="203" t="str">
        <f t="shared" si="188"/>
        <v>--</v>
      </c>
      <c r="P129" s="203">
        <f t="shared" si="246"/>
        <v>25</v>
      </c>
      <c r="Q129" s="203" t="str">
        <f t="shared" si="189"/>
        <v>--</v>
      </c>
      <c r="R129" s="203" t="str">
        <f t="shared" si="190"/>
        <v>--</v>
      </c>
      <c r="S129" s="203">
        <f t="shared" si="247"/>
        <v>25</v>
      </c>
      <c r="T129" s="203">
        <f t="shared" si="191"/>
        <v>110</v>
      </c>
      <c r="U129" s="203">
        <f t="shared" si="192"/>
        <v>50</v>
      </c>
      <c r="V129" s="203" t="str">
        <f t="shared" si="193"/>
        <v>--</v>
      </c>
      <c r="W129" s="193" t="str">
        <f t="shared" si="194"/>
        <v>--</v>
      </c>
      <c r="X129" s="203">
        <f t="shared" si="248"/>
        <v>25</v>
      </c>
      <c r="Y129" s="193" t="str">
        <f t="shared" si="249"/>
        <v>10% US EPA FW Acute LOEL</v>
      </c>
      <c r="Z129" s="203" t="str">
        <f t="shared" si="195"/>
        <v>--</v>
      </c>
      <c r="AA129" s="203" t="str">
        <f t="shared" si="196"/>
        <v>--</v>
      </c>
      <c r="AB129" s="1368">
        <f t="shared" si="197"/>
        <v>250</v>
      </c>
      <c r="AC129" s="1356">
        <f t="shared" si="220"/>
        <v>64.5</v>
      </c>
      <c r="AD129" s="1377" t="str">
        <f t="shared" si="221"/>
        <v>Saltwater Exposure</v>
      </c>
      <c r="AE129" s="1353">
        <f t="shared" si="198"/>
        <v>64.5</v>
      </c>
      <c r="AF129" s="1364" t="str">
        <f t="shared" si="199"/>
        <v/>
      </c>
      <c r="AG129" s="216">
        <f t="shared" si="250"/>
        <v>64.5</v>
      </c>
      <c r="AH129" s="203" t="str">
        <f t="shared" si="160"/>
        <v>--</v>
      </c>
      <c r="AI129" s="203" t="str">
        <f t="shared" si="200"/>
        <v>--</v>
      </c>
      <c r="AJ129" s="203" t="str">
        <f t="shared" si="201"/>
        <v>--</v>
      </c>
      <c r="AK129" s="203">
        <f t="shared" si="251"/>
        <v>64.5</v>
      </c>
      <c r="AL129" s="203" t="str">
        <f t="shared" si="202"/>
        <v>--</v>
      </c>
      <c r="AM129" s="203" t="str">
        <f t="shared" si="203"/>
        <v>--</v>
      </c>
      <c r="AN129" s="203">
        <f t="shared" si="252"/>
        <v>64.5</v>
      </c>
      <c r="AO129" s="203" t="str">
        <f t="shared" si="204"/>
        <v>--</v>
      </c>
      <c r="AP129" s="203">
        <f t="shared" si="205"/>
        <v>129</v>
      </c>
      <c r="AQ129" s="203" t="str">
        <f t="shared" si="206"/>
        <v>--</v>
      </c>
      <c r="AR129" s="1262" t="str">
        <f t="shared" si="207"/>
        <v>--</v>
      </c>
      <c r="AS129" s="203">
        <f t="shared" si="253"/>
        <v>16</v>
      </c>
      <c r="AT129" s="193" t="str">
        <f t="shared" si="254"/>
        <v>10% US EPA SW Acute LOEL</v>
      </c>
      <c r="AU129" s="203" t="str">
        <f t="shared" si="208"/>
        <v>--</v>
      </c>
      <c r="AV129" s="203" t="str">
        <f t="shared" si="209"/>
        <v>--</v>
      </c>
      <c r="AW129" s="2047">
        <f t="shared" si="210"/>
        <v>160</v>
      </c>
      <c r="AX129" s="2054" t="str">
        <f t="shared" ref="AX129:AX139" si="258">(VLOOKUP($A129,Table_IP_6,MATCH("Bioac Exp",heading_IP_6,0),FALSE))</f>
        <v>--</v>
      </c>
      <c r="AZ129" s="22"/>
      <c r="BC129" s="4"/>
      <c r="BD129" s="10"/>
      <c r="BE129" s="4"/>
      <c r="BJ129" s="55"/>
      <c r="BK129" s="55"/>
    </row>
    <row r="130" spans="1:64">
      <c r="A130" s="897" t="s">
        <v>327</v>
      </c>
      <c r="B130" s="432" t="s">
        <v>328</v>
      </c>
      <c r="C130" s="205">
        <f t="shared" si="216"/>
        <v>62</v>
      </c>
      <c r="D130" s="207" t="str">
        <f t="shared" si="217"/>
        <v>Freshwater Goal</v>
      </c>
      <c r="E130" s="1637">
        <f t="shared" si="255"/>
        <v>200000</v>
      </c>
      <c r="F130" s="187" t="str">
        <f t="shared" si="155"/>
        <v>National Criteria</v>
      </c>
      <c r="G130" s="1326" t="str">
        <f t="shared" si="256"/>
        <v>--</v>
      </c>
      <c r="H130" s="1327">
        <f t="shared" si="185"/>
        <v>540000</v>
      </c>
      <c r="I130" s="1359">
        <f t="shared" si="257"/>
        <v>200000</v>
      </c>
      <c r="J130" s="1379">
        <f t="shared" si="218"/>
        <v>62</v>
      </c>
      <c r="K130" s="1361" t="str">
        <f t="shared" si="219"/>
        <v>Freshwater Exposure</v>
      </c>
      <c r="L130" s="209">
        <f t="shared" si="244"/>
        <v>62</v>
      </c>
      <c r="M130" s="1371" t="str">
        <f t="shared" si="187"/>
        <v/>
      </c>
      <c r="N130" s="216">
        <f t="shared" si="245"/>
        <v>62</v>
      </c>
      <c r="O130" s="203" t="str">
        <f t="shared" si="188"/>
        <v>--</v>
      </c>
      <c r="P130" s="203">
        <f t="shared" si="246"/>
        <v>62</v>
      </c>
      <c r="Q130" s="203" t="str">
        <f t="shared" si="189"/>
        <v>--</v>
      </c>
      <c r="R130" s="203" t="str">
        <f t="shared" si="190"/>
        <v>--</v>
      </c>
      <c r="S130" s="203">
        <f t="shared" si="247"/>
        <v>62</v>
      </c>
      <c r="T130" s="203">
        <f t="shared" si="191"/>
        <v>62</v>
      </c>
      <c r="U130" s="203" t="str">
        <f t="shared" si="192"/>
        <v>--</v>
      </c>
      <c r="V130" s="203" t="str">
        <f t="shared" si="193"/>
        <v>--</v>
      </c>
      <c r="W130" s="193" t="str">
        <f t="shared" si="194"/>
        <v>--</v>
      </c>
      <c r="X130" s="203">
        <f t="shared" si="248"/>
        <v>1800</v>
      </c>
      <c r="Y130" s="193" t="str">
        <f t="shared" si="249"/>
        <v>10% US EPA FW Acute LOEL</v>
      </c>
      <c r="Z130" s="203" t="str">
        <f t="shared" si="195"/>
        <v>--</v>
      </c>
      <c r="AA130" s="203" t="str">
        <f t="shared" si="196"/>
        <v>--</v>
      </c>
      <c r="AB130" s="1368">
        <f t="shared" si="197"/>
        <v>18000</v>
      </c>
      <c r="AC130" s="1356">
        <f t="shared" si="220"/>
        <v>3120</v>
      </c>
      <c r="AD130" s="1377" t="str">
        <f t="shared" si="221"/>
        <v>Saltwater Exposure</v>
      </c>
      <c r="AE130" s="1353">
        <f t="shared" si="198"/>
        <v>3120</v>
      </c>
      <c r="AF130" s="1364" t="str">
        <f t="shared" si="199"/>
        <v>10% US EPA SW Acute LOEL</v>
      </c>
      <c r="AG130" s="216" t="str">
        <f t="shared" si="250"/>
        <v>--</v>
      </c>
      <c r="AH130" s="203" t="str">
        <f t="shared" si="160"/>
        <v>--</v>
      </c>
      <c r="AI130" s="203" t="str">
        <f t="shared" si="200"/>
        <v>--</v>
      </c>
      <c r="AJ130" s="203" t="str">
        <f t="shared" si="201"/>
        <v>--</v>
      </c>
      <c r="AK130" s="203" t="str">
        <f t="shared" si="251"/>
        <v>--</v>
      </c>
      <c r="AL130" s="203" t="str">
        <f t="shared" si="202"/>
        <v>--</v>
      </c>
      <c r="AM130" s="203" t="str">
        <f t="shared" si="203"/>
        <v>--</v>
      </c>
      <c r="AN130" s="203" t="str">
        <f t="shared" si="252"/>
        <v>--</v>
      </c>
      <c r="AO130" s="203" t="str">
        <f t="shared" si="204"/>
        <v>--</v>
      </c>
      <c r="AP130" s="203" t="str">
        <f t="shared" si="205"/>
        <v>--</v>
      </c>
      <c r="AQ130" s="203" t="str">
        <f t="shared" si="206"/>
        <v>--</v>
      </c>
      <c r="AR130" s="1262" t="str">
        <f t="shared" si="207"/>
        <v>--</v>
      </c>
      <c r="AS130" s="203">
        <f t="shared" si="253"/>
        <v>3120</v>
      </c>
      <c r="AT130" s="193" t="str">
        <f t="shared" si="254"/>
        <v>10% US EPA SW Acute LOEL</v>
      </c>
      <c r="AU130" s="203" t="str">
        <f t="shared" si="208"/>
        <v>--</v>
      </c>
      <c r="AV130" s="203" t="str">
        <f t="shared" si="209"/>
        <v>--</v>
      </c>
      <c r="AW130" s="2047">
        <f t="shared" si="210"/>
        <v>31200</v>
      </c>
      <c r="AX130" s="2054" t="str">
        <f t="shared" si="258"/>
        <v>--</v>
      </c>
      <c r="AZ130" s="22"/>
      <c r="BC130" s="4"/>
      <c r="BD130" s="10"/>
      <c r="BE130" s="4"/>
      <c r="BJ130" s="3"/>
      <c r="BK130" s="55"/>
    </row>
    <row r="131" spans="1:64">
      <c r="A131" s="897" t="s">
        <v>329</v>
      </c>
      <c r="B131" s="432" t="s">
        <v>330</v>
      </c>
      <c r="C131" s="205">
        <f t="shared" si="216"/>
        <v>8.9</v>
      </c>
      <c r="D131" s="207" t="str">
        <f t="shared" si="217"/>
        <v>Seafood Ingestion</v>
      </c>
      <c r="E131" s="1637">
        <f t="shared" si="255"/>
        <v>8.9</v>
      </c>
      <c r="F131" s="187" t="str">
        <f t="shared" si="155"/>
        <v>National Criteria</v>
      </c>
      <c r="G131" s="1326">
        <f t="shared" si="256"/>
        <v>42</v>
      </c>
      <c r="H131" s="1327" t="str">
        <f t="shared" si="185"/>
        <v>--</v>
      </c>
      <c r="I131" s="1359">
        <f t="shared" si="257"/>
        <v>8.9</v>
      </c>
      <c r="J131" s="1379">
        <f t="shared" si="218"/>
        <v>4700</v>
      </c>
      <c r="K131" s="1361" t="str">
        <f t="shared" si="219"/>
        <v>Freshwater Exposure</v>
      </c>
      <c r="L131" s="209">
        <f t="shared" si="244"/>
        <v>4700</v>
      </c>
      <c r="M131" s="1371" t="str">
        <f t="shared" si="187"/>
        <v/>
      </c>
      <c r="N131" s="216">
        <f t="shared" si="245"/>
        <v>4700</v>
      </c>
      <c r="O131" s="203" t="str">
        <f t="shared" si="188"/>
        <v>--</v>
      </c>
      <c r="P131" s="203">
        <f t="shared" si="246"/>
        <v>4700</v>
      </c>
      <c r="Q131" s="203" t="str">
        <f t="shared" si="189"/>
        <v>--</v>
      </c>
      <c r="R131" s="203" t="str">
        <f t="shared" si="190"/>
        <v>--</v>
      </c>
      <c r="S131" s="203">
        <f t="shared" si="247"/>
        <v>4700</v>
      </c>
      <c r="T131" s="203" t="str">
        <f t="shared" si="191"/>
        <v>--</v>
      </c>
      <c r="U131" s="203">
        <f t="shared" si="192"/>
        <v>9400</v>
      </c>
      <c r="V131" s="203" t="str">
        <f t="shared" si="193"/>
        <v>--</v>
      </c>
      <c r="W131" s="193" t="str">
        <f t="shared" si="194"/>
        <v>--</v>
      </c>
      <c r="X131" s="203">
        <f t="shared" si="248"/>
        <v>1800</v>
      </c>
      <c r="Y131" s="193" t="str">
        <f t="shared" si="249"/>
        <v>10% US EPA FW Acute LOEL</v>
      </c>
      <c r="Z131" s="203" t="str">
        <f t="shared" si="195"/>
        <v>--</v>
      </c>
      <c r="AA131" s="203" t="str">
        <f t="shared" si="196"/>
        <v>--</v>
      </c>
      <c r="AB131" s="1368">
        <f t="shared" si="197"/>
        <v>18000</v>
      </c>
      <c r="AC131" s="1356" t="str">
        <f t="shared" si="220"/>
        <v>--</v>
      </c>
      <c r="AD131" s="1377" t="str">
        <f t="shared" si="221"/>
        <v>--</v>
      </c>
      <c r="AE131" s="1353" t="str">
        <f t="shared" si="198"/>
        <v>--</v>
      </c>
      <c r="AF131" s="1364" t="str">
        <f t="shared" si="199"/>
        <v>--</v>
      </c>
      <c r="AG131" s="216" t="str">
        <f t="shared" si="250"/>
        <v>--</v>
      </c>
      <c r="AH131" s="203" t="str">
        <f t="shared" si="160"/>
        <v>--</v>
      </c>
      <c r="AI131" s="203" t="str">
        <f t="shared" si="200"/>
        <v>--</v>
      </c>
      <c r="AJ131" s="203" t="str">
        <f t="shared" si="201"/>
        <v>--</v>
      </c>
      <c r="AK131" s="203" t="str">
        <f t="shared" si="251"/>
        <v>--</v>
      </c>
      <c r="AL131" s="203" t="str">
        <f t="shared" si="202"/>
        <v>--</v>
      </c>
      <c r="AM131" s="203" t="str">
        <f t="shared" si="203"/>
        <v>--</v>
      </c>
      <c r="AN131" s="203" t="str">
        <f t="shared" si="252"/>
        <v>--</v>
      </c>
      <c r="AO131" s="203" t="str">
        <f t="shared" si="204"/>
        <v>--</v>
      </c>
      <c r="AP131" s="203" t="str">
        <f t="shared" si="205"/>
        <v>--</v>
      </c>
      <c r="AQ131" s="203" t="str">
        <f t="shared" si="206"/>
        <v>--</v>
      </c>
      <c r="AR131" s="1262" t="str">
        <f t="shared" si="207"/>
        <v>--</v>
      </c>
      <c r="AS131" s="203" t="str">
        <f t="shared" si="253"/>
        <v>--</v>
      </c>
      <c r="AT131" s="193" t="str">
        <f t="shared" si="254"/>
        <v>--</v>
      </c>
      <c r="AU131" s="203" t="str">
        <f t="shared" si="208"/>
        <v>--</v>
      </c>
      <c r="AV131" s="203" t="str">
        <f t="shared" si="209"/>
        <v>--</v>
      </c>
      <c r="AW131" s="2047" t="str">
        <f t="shared" si="210"/>
        <v>--</v>
      </c>
      <c r="AX131" s="2054" t="str">
        <f t="shared" si="258"/>
        <v>--</v>
      </c>
      <c r="AZ131" s="22"/>
      <c r="BC131" s="4"/>
      <c r="BD131" s="10"/>
      <c r="BE131" s="4"/>
      <c r="BK131" s="3"/>
    </row>
    <row r="132" spans="1:64">
      <c r="A132" s="897" t="s">
        <v>331</v>
      </c>
      <c r="B132" s="432" t="s">
        <v>332</v>
      </c>
      <c r="C132" s="205">
        <f t="shared" si="216"/>
        <v>7</v>
      </c>
      <c r="D132" s="207" t="str">
        <f t="shared" si="217"/>
        <v>Seafood Ingestion</v>
      </c>
      <c r="E132" s="1637">
        <f t="shared" si="255"/>
        <v>7</v>
      </c>
      <c r="F132" s="187" t="str">
        <f t="shared" si="155"/>
        <v>National Criteria</v>
      </c>
      <c r="G132" s="1326">
        <f t="shared" si="256"/>
        <v>81</v>
      </c>
      <c r="H132" s="1327">
        <f t="shared" si="185"/>
        <v>27</v>
      </c>
      <c r="I132" s="1359">
        <f t="shared" si="257"/>
        <v>7</v>
      </c>
      <c r="J132" s="1379">
        <f t="shared" si="218"/>
        <v>360</v>
      </c>
      <c r="K132" s="1361" t="str">
        <f t="shared" si="219"/>
        <v>Freshwater Exposure</v>
      </c>
      <c r="L132" s="209">
        <f t="shared" si="244"/>
        <v>360</v>
      </c>
      <c r="M132" s="1371" t="str">
        <f t="shared" si="187"/>
        <v/>
      </c>
      <c r="N132" s="216">
        <f t="shared" si="245"/>
        <v>360</v>
      </c>
      <c r="O132" s="203" t="str">
        <f t="shared" si="188"/>
        <v>--</v>
      </c>
      <c r="P132" s="203">
        <f t="shared" si="246"/>
        <v>360</v>
      </c>
      <c r="Q132" s="203" t="str">
        <f t="shared" si="189"/>
        <v>--</v>
      </c>
      <c r="R132" s="203" t="str">
        <f t="shared" si="190"/>
        <v>--</v>
      </c>
      <c r="S132" s="203">
        <f t="shared" si="247"/>
        <v>360</v>
      </c>
      <c r="T132" s="203">
        <f t="shared" si="191"/>
        <v>360</v>
      </c>
      <c r="U132" s="203">
        <f t="shared" si="192"/>
        <v>21900</v>
      </c>
      <c r="V132" s="203" t="str">
        <f t="shared" si="193"/>
        <v>--</v>
      </c>
      <c r="W132" s="193" t="str">
        <f t="shared" si="194"/>
        <v>--</v>
      </c>
      <c r="X132" s="203">
        <f t="shared" si="248"/>
        <v>4500</v>
      </c>
      <c r="Y132" s="193" t="str">
        <f t="shared" si="249"/>
        <v>10% US EPA FW Acute LOEL</v>
      </c>
      <c r="Z132" s="203" t="str">
        <f t="shared" si="195"/>
        <v>--</v>
      </c>
      <c r="AA132" s="203" t="str">
        <f t="shared" si="196"/>
        <v>--</v>
      </c>
      <c r="AB132" s="1368">
        <f t="shared" si="197"/>
        <v>45000</v>
      </c>
      <c r="AC132" s="1356">
        <f t="shared" si="220"/>
        <v>200</v>
      </c>
      <c r="AD132" s="1377" t="str">
        <f t="shared" si="221"/>
        <v>Saltwater Exposure</v>
      </c>
      <c r="AE132" s="1353">
        <f t="shared" si="198"/>
        <v>200</v>
      </c>
      <c r="AF132" s="1364" t="str">
        <f t="shared" si="199"/>
        <v>10% US EPA SW Acute LOEL</v>
      </c>
      <c r="AG132" s="216" t="str">
        <f t="shared" si="250"/>
        <v>--</v>
      </c>
      <c r="AH132" s="203" t="str">
        <f t="shared" si="160"/>
        <v>--</v>
      </c>
      <c r="AI132" s="203" t="str">
        <f t="shared" si="200"/>
        <v>--</v>
      </c>
      <c r="AJ132" s="203" t="str">
        <f t="shared" si="201"/>
        <v>--</v>
      </c>
      <c r="AK132" s="203" t="str">
        <f t="shared" si="251"/>
        <v>--</v>
      </c>
      <c r="AL132" s="203" t="str">
        <f t="shared" si="202"/>
        <v>--</v>
      </c>
      <c r="AM132" s="203" t="str">
        <f t="shared" si="203"/>
        <v>--</v>
      </c>
      <c r="AN132" s="203" t="str">
        <f t="shared" si="252"/>
        <v>--</v>
      </c>
      <c r="AO132" s="203" t="str">
        <f t="shared" si="204"/>
        <v>--</v>
      </c>
      <c r="AP132" s="203" t="str">
        <f t="shared" si="205"/>
        <v>--</v>
      </c>
      <c r="AQ132" s="203" t="str">
        <f t="shared" si="206"/>
        <v>--</v>
      </c>
      <c r="AR132" s="1262" t="str">
        <f t="shared" si="207"/>
        <v>--</v>
      </c>
      <c r="AS132" s="203">
        <f t="shared" si="253"/>
        <v>200</v>
      </c>
      <c r="AT132" s="193" t="str">
        <f t="shared" si="254"/>
        <v>10% US EPA SW Acute LOEL</v>
      </c>
      <c r="AU132" s="203" t="str">
        <f t="shared" si="208"/>
        <v>--</v>
      </c>
      <c r="AV132" s="203" t="str">
        <f t="shared" si="209"/>
        <v>--</v>
      </c>
      <c r="AW132" s="2047">
        <f t="shared" si="210"/>
        <v>2000</v>
      </c>
      <c r="AX132" s="2054" t="str">
        <f t="shared" si="258"/>
        <v>--</v>
      </c>
      <c r="AZ132" s="22"/>
      <c r="BC132" s="4"/>
      <c r="BD132" s="10"/>
      <c r="BE132" s="4"/>
    </row>
    <row r="133" spans="1:64">
      <c r="A133" s="897" t="s">
        <v>333</v>
      </c>
      <c r="B133" s="432" t="s">
        <v>334</v>
      </c>
      <c r="C133" s="205">
        <f t="shared" si="216"/>
        <v>1</v>
      </c>
      <c r="D133" s="207" t="str">
        <f t="shared" si="217"/>
        <v>Saltwater Goal</v>
      </c>
      <c r="E133" s="1637">
        <f t="shared" si="255"/>
        <v>600</v>
      </c>
      <c r="F133" s="187" t="str">
        <f t="shared" si="155"/>
        <v>National Criteria</v>
      </c>
      <c r="G133" s="1326" t="str">
        <f t="shared" si="256"/>
        <v>--</v>
      </c>
      <c r="H133" s="1327" t="str">
        <f t="shared" ref="H133:H139" si="259">IF((VLOOKUP($A133,Table_IP_7,MATCH("op",heading_IP_7,0),FALSE))="--", "--",(VLOOKUP($A133,Table_IP_7,MATCH("op",heading_IP_7,0),FALSE)))</f>
        <v>--</v>
      </c>
      <c r="I133" s="1359">
        <f t="shared" si="257"/>
        <v>600</v>
      </c>
      <c r="J133" s="1379">
        <f t="shared" si="218"/>
        <v>63</v>
      </c>
      <c r="K133" s="1361" t="str">
        <f t="shared" si="219"/>
        <v>Freshwater Exposure</v>
      </c>
      <c r="L133" s="209">
        <f t="shared" si="244"/>
        <v>63</v>
      </c>
      <c r="M133" s="1371" t="str">
        <f t="shared" ref="M133:M139" si="260">IF(L133="--", "--", IF(L133=BB133,BC133,(IF(L133=X133,Y133,(IF(L133=O133,"Basin Plan",""))))))</f>
        <v/>
      </c>
      <c r="N133" s="216">
        <f t="shared" si="245"/>
        <v>63</v>
      </c>
      <c r="O133" s="203" t="str">
        <f t="shared" si="188"/>
        <v>--</v>
      </c>
      <c r="P133" s="203">
        <f t="shared" si="246"/>
        <v>63</v>
      </c>
      <c r="Q133" s="203" t="str">
        <f t="shared" si="189"/>
        <v>--</v>
      </c>
      <c r="R133" s="203">
        <f t="shared" si="190"/>
        <v>63</v>
      </c>
      <c r="S133" s="203" t="str">
        <f t="shared" si="247"/>
        <v>--</v>
      </c>
      <c r="T133" s="203" t="str">
        <f t="shared" si="191"/>
        <v>--</v>
      </c>
      <c r="U133" s="203" t="str">
        <f t="shared" si="192"/>
        <v>--</v>
      </c>
      <c r="V133" s="203" t="str">
        <f t="shared" si="193"/>
        <v>--</v>
      </c>
      <c r="W133" s="193" t="str">
        <f t="shared" si="194"/>
        <v>--</v>
      </c>
      <c r="X133" s="203" t="str">
        <f t="shared" si="248"/>
        <v>--</v>
      </c>
      <c r="Y133" s="193" t="str">
        <f t="shared" si="249"/>
        <v>--</v>
      </c>
      <c r="Z133" s="203" t="str">
        <f t="shared" si="195"/>
        <v>--</v>
      </c>
      <c r="AA133" s="203" t="str">
        <f t="shared" si="196"/>
        <v>--</v>
      </c>
      <c r="AB133" s="1368" t="str">
        <f t="shared" si="197"/>
        <v>--</v>
      </c>
      <c r="AC133" s="1356">
        <f t="shared" si="220"/>
        <v>1</v>
      </c>
      <c r="AD133" s="1377" t="str">
        <f t="shared" si="221"/>
        <v>Saltwater Exposure</v>
      </c>
      <c r="AE133" s="1353">
        <f t="shared" ref="AE133:AE139" si="261">IF(AG133="--",AS133, AG133)</f>
        <v>1</v>
      </c>
      <c r="AF133" s="1364" t="str">
        <f t="shared" ref="AF133:AF139" si="262">IF(AE133=BD133,BE133,(IF(AE133=AS133,AT133,(IF(AE133=AH133,"Basin Plan","")))))</f>
        <v>Basin Plan</v>
      </c>
      <c r="AG133" s="216">
        <f t="shared" si="250"/>
        <v>1</v>
      </c>
      <c r="AH133" s="203">
        <f t="shared" si="160"/>
        <v>1</v>
      </c>
      <c r="AI133" s="203" t="str">
        <f t="shared" si="200"/>
        <v>--</v>
      </c>
      <c r="AJ133" s="203">
        <f t="shared" ref="AJ133:AJ139" si="263">VLOOKUP($A133,Table_IP_5,MATCH("M M",heading_IP_5,0),FALSE)</f>
        <v>1</v>
      </c>
      <c r="AK133" s="203">
        <f t="shared" si="251"/>
        <v>11</v>
      </c>
      <c r="AL133" s="203" t="str">
        <f t="shared" si="202"/>
        <v>--</v>
      </c>
      <c r="AM133" s="203">
        <f t="shared" si="203"/>
        <v>11</v>
      </c>
      <c r="AN133" s="203" t="str">
        <f t="shared" si="252"/>
        <v>--</v>
      </c>
      <c r="AO133" s="203" t="str">
        <f t="shared" si="204"/>
        <v>--</v>
      </c>
      <c r="AP133" s="203" t="str">
        <f t="shared" si="205"/>
        <v>--</v>
      </c>
      <c r="AQ133" s="203" t="str">
        <f t="shared" si="206"/>
        <v>--</v>
      </c>
      <c r="AR133" s="1262" t="str">
        <f t="shared" si="207"/>
        <v>--</v>
      </c>
      <c r="AS133" s="203">
        <f t="shared" si="253"/>
        <v>24</v>
      </c>
      <c r="AT133" s="193" t="str">
        <f t="shared" si="254"/>
        <v>10% US EPA SW CMC</v>
      </c>
      <c r="AU133" s="203" t="str">
        <f t="shared" si="208"/>
        <v>--</v>
      </c>
      <c r="AV133" s="203">
        <f t="shared" si="209"/>
        <v>240</v>
      </c>
      <c r="AW133" s="2047" t="str">
        <f t="shared" si="210"/>
        <v>--</v>
      </c>
      <c r="AX133" s="2054" t="str">
        <f t="shared" si="258"/>
        <v>--</v>
      </c>
      <c r="AZ133" s="22"/>
      <c r="BC133" s="4"/>
      <c r="BD133" s="10"/>
      <c r="BE133" s="4"/>
    </row>
    <row r="134" spans="1:64">
      <c r="A134" s="897" t="s">
        <v>335</v>
      </c>
      <c r="B134" s="432" t="s">
        <v>336</v>
      </c>
      <c r="C134" s="205">
        <f t="shared" ref="C134:C139" si="264">IF(AND(E134="--",L134="--",AE134="--"),"--",(MIN(E134,L134,AE134)))</f>
        <v>0.28999999999999998</v>
      </c>
      <c r="D134" s="207" t="str">
        <f t="shared" ref="D134:D139" si="265">IF(C134="--","--",IF(C134=L134, "Freshwater Goal", IF(C134=AE134,"Saltwater Goal", "Seafood Ingestion")))</f>
        <v>Seafood Ingestion</v>
      </c>
      <c r="E134" s="1637">
        <f t="shared" si="255"/>
        <v>0.28999999999999998</v>
      </c>
      <c r="F134" s="187" t="str">
        <f t="shared" ref="F134:F139" si="266">IF(E134="--","--",IF(E134=G134, "Cal Tox Rule", IF(E134=H134,"Cal Ocean Plan", "National Criteria")))</f>
        <v>Cal Ocean Plan</v>
      </c>
      <c r="G134" s="1326">
        <f t="shared" si="256"/>
        <v>6.5</v>
      </c>
      <c r="H134" s="1327">
        <f t="shared" si="259"/>
        <v>0.28999999999999998</v>
      </c>
      <c r="I134" s="1359">
        <f t="shared" si="257"/>
        <v>2.8</v>
      </c>
      <c r="J134" s="1379">
        <f t="shared" ref="J134:J139" si="267">IF(AND(AX134="--",L134="--"), "--", MIN(AX134,L134))</f>
        <v>485</v>
      </c>
      <c r="K134" s="1361" t="str">
        <f t="shared" ref="K134:K139" si="268">IF(J134="--","--",IF(J134=L134,"Freshwater Exposure","Bioaccumulation Exposure"))</f>
        <v>Freshwater Exposure</v>
      </c>
      <c r="L134" s="209">
        <f t="shared" si="244"/>
        <v>485</v>
      </c>
      <c r="M134" s="1371" t="str">
        <f t="shared" si="260"/>
        <v/>
      </c>
      <c r="N134" s="216">
        <f t="shared" si="245"/>
        <v>485</v>
      </c>
      <c r="O134" s="203" t="str">
        <f t="shared" si="188"/>
        <v>--</v>
      </c>
      <c r="P134" s="203">
        <f t="shared" si="246"/>
        <v>485</v>
      </c>
      <c r="Q134" s="203" t="str">
        <f t="shared" si="189"/>
        <v>--</v>
      </c>
      <c r="R134" s="203" t="str">
        <f t="shared" si="190"/>
        <v>--</v>
      </c>
      <c r="S134" s="203">
        <f t="shared" si="247"/>
        <v>485</v>
      </c>
      <c r="T134" s="203" t="str">
        <f t="shared" si="191"/>
        <v>--</v>
      </c>
      <c r="U134" s="203">
        <f t="shared" si="192"/>
        <v>970</v>
      </c>
      <c r="V134" s="203" t="str">
        <f t="shared" si="193"/>
        <v>--</v>
      </c>
      <c r="W134" s="193" t="str">
        <f t="shared" si="194"/>
        <v>--</v>
      </c>
      <c r="X134" s="203" t="str">
        <f t="shared" si="248"/>
        <v>--</v>
      </c>
      <c r="Y134" s="193" t="str">
        <f t="shared" si="249"/>
        <v>--</v>
      </c>
      <c r="Z134" s="203" t="str">
        <f t="shared" si="195"/>
        <v>--</v>
      </c>
      <c r="AA134" s="203" t="str">
        <f t="shared" si="196"/>
        <v>--</v>
      </c>
      <c r="AB134" s="1368" t="str">
        <f t="shared" si="197"/>
        <v>--</v>
      </c>
      <c r="AC134" s="1356">
        <f t="shared" ref="AC134:AC139" si="269">IF(AND(AX134="--",AE134="--"), "--", MIN(AX134,AE134))</f>
        <v>1</v>
      </c>
      <c r="AD134" s="1377" t="str">
        <f t="shared" ref="AD134:AD139" si="270">IF(AC134="--","--",IF(AC134=AE134, "Saltwater Exposure","Bioaccumulation Exposure"))</f>
        <v>Saltwater Exposure</v>
      </c>
      <c r="AE134" s="1353">
        <f t="shared" si="261"/>
        <v>1</v>
      </c>
      <c r="AF134" s="1364" t="str">
        <f t="shared" si="262"/>
        <v>Basin Plan</v>
      </c>
      <c r="AG134" s="216">
        <f t="shared" si="250"/>
        <v>1</v>
      </c>
      <c r="AH134" s="203">
        <f t="shared" ref="AH134:AH139" si="271">IF(AND(AI134="--",AJ134="--"),"--", IF(AI134="--",AJ134, IF(AJ134="--", AI134, MIN(AI134,AJ134))))</f>
        <v>1</v>
      </c>
      <c r="AI134" s="203" t="str">
        <f t="shared" si="200"/>
        <v>--</v>
      </c>
      <c r="AJ134" s="203">
        <f t="shared" si="263"/>
        <v>1</v>
      </c>
      <c r="AK134" s="203" t="str">
        <f t="shared" si="251"/>
        <v>--</v>
      </c>
      <c r="AL134" s="203" t="str">
        <f t="shared" si="202"/>
        <v>--</v>
      </c>
      <c r="AM134" s="203" t="str">
        <f t="shared" si="203"/>
        <v>--</v>
      </c>
      <c r="AN134" s="203" t="str">
        <f t="shared" si="252"/>
        <v>--</v>
      </c>
      <c r="AO134" s="203" t="str">
        <f t="shared" si="204"/>
        <v>--</v>
      </c>
      <c r="AP134" s="203" t="str">
        <f t="shared" si="205"/>
        <v>--</v>
      </c>
      <c r="AQ134" s="203" t="str">
        <f t="shared" si="206"/>
        <v>--</v>
      </c>
      <c r="AR134" s="1262" t="str">
        <f t="shared" si="207"/>
        <v>--</v>
      </c>
      <c r="AS134" s="203" t="str">
        <f t="shared" si="253"/>
        <v>--</v>
      </c>
      <c r="AT134" s="193" t="str">
        <f t="shared" si="254"/>
        <v>--</v>
      </c>
      <c r="AU134" s="203" t="str">
        <f t="shared" si="208"/>
        <v>--</v>
      </c>
      <c r="AV134" s="203" t="str">
        <f t="shared" si="209"/>
        <v>--</v>
      </c>
      <c r="AW134" s="2047" t="str">
        <f t="shared" si="210"/>
        <v>--</v>
      </c>
      <c r="AX134" s="2054" t="str">
        <f t="shared" si="258"/>
        <v>--</v>
      </c>
      <c r="AZ134" s="22"/>
      <c r="BC134" s="4"/>
      <c r="BD134" s="10"/>
      <c r="BE134" s="4"/>
    </row>
    <row r="135" spans="1:64">
      <c r="A135" s="897" t="s">
        <v>337</v>
      </c>
      <c r="B135" s="432" t="s">
        <v>338</v>
      </c>
      <c r="C135" s="205">
        <f t="shared" si="264"/>
        <v>6.0000000000000001E-3</v>
      </c>
      <c r="D135" s="207" t="str">
        <f t="shared" si="265"/>
        <v>Saltwater Goal</v>
      </c>
      <c r="E135" s="1637" t="str">
        <f t="shared" si="255"/>
        <v>--</v>
      </c>
      <c r="F135" s="187" t="str">
        <f t="shared" si="266"/>
        <v>--</v>
      </c>
      <c r="G135" s="1326" t="str">
        <f t="shared" si="256"/>
        <v>--</v>
      </c>
      <c r="H135" s="1327" t="str">
        <f t="shared" si="259"/>
        <v>--</v>
      </c>
      <c r="I135" s="1359" t="str">
        <f t="shared" si="257"/>
        <v>--</v>
      </c>
      <c r="J135" s="1379">
        <f t="shared" si="267"/>
        <v>2700</v>
      </c>
      <c r="K135" s="1361" t="str">
        <f t="shared" si="268"/>
        <v>Freshwater Exposure</v>
      </c>
      <c r="L135" s="209">
        <f t="shared" si="244"/>
        <v>2700</v>
      </c>
      <c r="M135" s="1371" t="str">
        <f t="shared" si="260"/>
        <v/>
      </c>
      <c r="N135" s="216">
        <f t="shared" si="245"/>
        <v>2700</v>
      </c>
      <c r="O135" s="203" t="str">
        <f t="shared" si="188"/>
        <v>--</v>
      </c>
      <c r="P135" s="203">
        <f t="shared" si="246"/>
        <v>2700</v>
      </c>
      <c r="Q135" s="203" t="str">
        <f t="shared" si="189"/>
        <v>--</v>
      </c>
      <c r="R135" s="203" t="str">
        <f t="shared" si="190"/>
        <v>--</v>
      </c>
      <c r="S135" s="203" t="str">
        <f t="shared" si="247"/>
        <v>--</v>
      </c>
      <c r="T135" s="203" t="str">
        <f t="shared" si="191"/>
        <v>--</v>
      </c>
      <c r="U135" s="203" t="str">
        <f t="shared" si="192"/>
        <v>--</v>
      </c>
      <c r="V135" s="203">
        <f t="shared" si="193"/>
        <v>2700</v>
      </c>
      <c r="W135" s="193" t="str">
        <f t="shared" si="194"/>
        <v>10% Acute FW LC50</v>
      </c>
      <c r="X135" s="203">
        <f t="shared" si="248"/>
        <v>270</v>
      </c>
      <c r="Y135" s="193" t="str">
        <f t="shared" si="249"/>
        <v>10% US EPA FW CMC</v>
      </c>
      <c r="Z135" s="203" t="str">
        <f t="shared" si="195"/>
        <v>--</v>
      </c>
      <c r="AA135" s="203">
        <f t="shared" si="196"/>
        <v>2700</v>
      </c>
      <c r="AB135" s="1368" t="str">
        <f t="shared" si="197"/>
        <v>--</v>
      </c>
      <c r="AC135" s="1356">
        <f t="shared" si="269"/>
        <v>6.0000000000000001E-3</v>
      </c>
      <c r="AD135" s="1377" t="str">
        <f t="shared" si="270"/>
        <v>Saltwater Exposure</v>
      </c>
      <c r="AE135" s="1353">
        <f t="shared" si="261"/>
        <v>6.0000000000000001E-3</v>
      </c>
      <c r="AF135" s="1364" t="str">
        <f t="shared" si="262"/>
        <v/>
      </c>
      <c r="AG135" s="216">
        <f t="shared" si="250"/>
        <v>6.0000000000000001E-3</v>
      </c>
      <c r="AH135" s="203" t="str">
        <f t="shared" si="271"/>
        <v>--</v>
      </c>
      <c r="AI135" s="203" t="str">
        <f t="shared" si="200"/>
        <v>--</v>
      </c>
      <c r="AJ135" s="203" t="str">
        <f t="shared" si="263"/>
        <v>--</v>
      </c>
      <c r="AK135" s="203">
        <f t="shared" si="251"/>
        <v>6.0000000000000001E-3</v>
      </c>
      <c r="AL135" s="203" t="str">
        <f t="shared" si="202"/>
        <v>--</v>
      </c>
      <c r="AM135" s="203" t="str">
        <f t="shared" si="203"/>
        <v>--</v>
      </c>
      <c r="AN135" s="203" t="str">
        <f t="shared" si="252"/>
        <v>--</v>
      </c>
      <c r="AO135" s="203" t="str">
        <f t="shared" si="204"/>
        <v>--</v>
      </c>
      <c r="AP135" s="203" t="str">
        <f t="shared" si="205"/>
        <v>--</v>
      </c>
      <c r="AQ135" s="203">
        <f t="shared" si="206"/>
        <v>6.0000000000000001E-3</v>
      </c>
      <c r="AR135" s="1262" t="str">
        <f t="shared" si="207"/>
        <v>10% Acute SW LC50</v>
      </c>
      <c r="AS135" s="203" t="str">
        <f t="shared" si="253"/>
        <v>--</v>
      </c>
      <c r="AT135" s="193" t="str">
        <f t="shared" si="254"/>
        <v>--</v>
      </c>
      <c r="AU135" s="203" t="str">
        <f t="shared" si="208"/>
        <v>--</v>
      </c>
      <c r="AV135" s="203" t="str">
        <f t="shared" si="209"/>
        <v>--</v>
      </c>
      <c r="AW135" s="2047" t="str">
        <f t="shared" si="210"/>
        <v>--</v>
      </c>
      <c r="AX135" s="2054" t="str">
        <f t="shared" si="258"/>
        <v>--</v>
      </c>
      <c r="AZ135" s="22"/>
      <c r="BC135" s="4"/>
      <c r="BD135" s="10"/>
      <c r="BE135" s="4"/>
    </row>
    <row r="136" spans="1:64">
      <c r="A136" s="897" t="s">
        <v>339</v>
      </c>
      <c r="B136" s="432" t="s">
        <v>340</v>
      </c>
      <c r="C136" s="205">
        <f t="shared" si="264"/>
        <v>19</v>
      </c>
      <c r="D136" s="207" t="str">
        <f t="shared" si="265"/>
        <v>Freshwater Goal</v>
      </c>
      <c r="E136" s="1637" t="str">
        <f t="shared" si="255"/>
        <v>--</v>
      </c>
      <c r="F136" s="187" t="str">
        <f t="shared" si="266"/>
        <v>--</v>
      </c>
      <c r="G136" s="1326" t="str">
        <f t="shared" si="256"/>
        <v>--</v>
      </c>
      <c r="H136" s="1327" t="str">
        <f t="shared" si="259"/>
        <v>--</v>
      </c>
      <c r="I136" s="1359" t="str">
        <f t="shared" si="257"/>
        <v>--</v>
      </c>
      <c r="J136" s="1379">
        <f t="shared" si="267"/>
        <v>19</v>
      </c>
      <c r="K136" s="1361" t="str">
        <f t="shared" si="268"/>
        <v>Freshwater Exposure</v>
      </c>
      <c r="L136" s="209">
        <f t="shared" si="244"/>
        <v>19</v>
      </c>
      <c r="M136" s="1371" t="str">
        <f t="shared" si="260"/>
        <v/>
      </c>
      <c r="N136" s="216">
        <f t="shared" si="245"/>
        <v>19</v>
      </c>
      <c r="O136" s="203" t="str">
        <f t="shared" si="188"/>
        <v>--</v>
      </c>
      <c r="P136" s="203">
        <f t="shared" si="246"/>
        <v>19</v>
      </c>
      <c r="Q136" s="203" t="str">
        <f t="shared" si="189"/>
        <v>--</v>
      </c>
      <c r="R136" s="203" t="str">
        <f t="shared" si="190"/>
        <v>--</v>
      </c>
      <c r="S136" s="203">
        <f t="shared" si="247"/>
        <v>19</v>
      </c>
      <c r="T136" s="203">
        <f t="shared" si="191"/>
        <v>19</v>
      </c>
      <c r="U136" s="203" t="str">
        <f t="shared" si="192"/>
        <v>--</v>
      </c>
      <c r="V136" s="203" t="str">
        <f t="shared" si="193"/>
        <v>--</v>
      </c>
      <c r="W136" s="193" t="str">
        <f t="shared" si="194"/>
        <v>--</v>
      </c>
      <c r="X136" s="203" t="str">
        <f t="shared" si="248"/>
        <v>--</v>
      </c>
      <c r="Y136" s="193" t="str">
        <f t="shared" si="249"/>
        <v>--</v>
      </c>
      <c r="Z136" s="203" t="str">
        <f t="shared" si="195"/>
        <v>--</v>
      </c>
      <c r="AA136" s="203" t="str">
        <f t="shared" si="196"/>
        <v>--</v>
      </c>
      <c r="AB136" s="1368" t="str">
        <f t="shared" si="197"/>
        <v>--</v>
      </c>
      <c r="AC136" s="1356" t="str">
        <f t="shared" si="269"/>
        <v>--</v>
      </c>
      <c r="AD136" s="1377" t="str">
        <f t="shared" si="270"/>
        <v>--</v>
      </c>
      <c r="AE136" s="1353" t="str">
        <f t="shared" si="261"/>
        <v>--</v>
      </c>
      <c r="AF136" s="1364" t="str">
        <f t="shared" si="262"/>
        <v>--</v>
      </c>
      <c r="AG136" s="216" t="str">
        <f t="shared" si="250"/>
        <v>--</v>
      </c>
      <c r="AH136" s="203" t="str">
        <f t="shared" si="271"/>
        <v>--</v>
      </c>
      <c r="AI136" s="203" t="str">
        <f t="shared" si="200"/>
        <v>--</v>
      </c>
      <c r="AJ136" s="203" t="str">
        <f t="shared" si="263"/>
        <v>--</v>
      </c>
      <c r="AK136" s="203" t="str">
        <f t="shared" si="251"/>
        <v>--</v>
      </c>
      <c r="AL136" s="203" t="str">
        <f t="shared" si="202"/>
        <v>--</v>
      </c>
      <c r="AM136" s="203" t="str">
        <f t="shared" si="203"/>
        <v>--</v>
      </c>
      <c r="AN136" s="203" t="str">
        <f t="shared" si="252"/>
        <v>--</v>
      </c>
      <c r="AO136" s="203" t="str">
        <f t="shared" si="204"/>
        <v>--</v>
      </c>
      <c r="AP136" s="203" t="str">
        <f t="shared" si="205"/>
        <v>--</v>
      </c>
      <c r="AQ136" s="203" t="str">
        <f t="shared" si="206"/>
        <v>--</v>
      </c>
      <c r="AR136" s="1262" t="str">
        <f t="shared" si="207"/>
        <v>--</v>
      </c>
      <c r="AS136" s="203" t="str">
        <f t="shared" si="253"/>
        <v>--</v>
      </c>
      <c r="AT136" s="193" t="str">
        <f t="shared" si="254"/>
        <v>--</v>
      </c>
      <c r="AU136" s="203" t="str">
        <f t="shared" si="208"/>
        <v>--</v>
      </c>
      <c r="AV136" s="203" t="str">
        <f t="shared" si="209"/>
        <v>--</v>
      </c>
      <c r="AW136" s="2047" t="str">
        <f t="shared" si="210"/>
        <v>--</v>
      </c>
      <c r="AX136" s="2054" t="str">
        <f t="shared" si="258"/>
        <v>--</v>
      </c>
      <c r="AZ136" s="22"/>
      <c r="BC136" s="4"/>
      <c r="BD136" s="10"/>
      <c r="BE136" s="4"/>
    </row>
    <row r="137" spans="1:64">
      <c r="A137" s="897" t="s">
        <v>341</v>
      </c>
      <c r="B137" s="432" t="s">
        <v>342</v>
      </c>
      <c r="C137" s="205">
        <f t="shared" si="264"/>
        <v>1.6</v>
      </c>
      <c r="D137" s="207" t="str">
        <f t="shared" si="265"/>
        <v>Seafood Ingestion</v>
      </c>
      <c r="E137" s="1637">
        <f t="shared" si="255"/>
        <v>1.6</v>
      </c>
      <c r="F137" s="187" t="str">
        <f t="shared" si="266"/>
        <v>National Criteria</v>
      </c>
      <c r="G137" s="1326">
        <f t="shared" si="256"/>
        <v>525</v>
      </c>
      <c r="H137" s="1327">
        <f t="shared" si="259"/>
        <v>36</v>
      </c>
      <c r="I137" s="1359">
        <f t="shared" si="257"/>
        <v>1.6</v>
      </c>
      <c r="J137" s="1379">
        <f t="shared" si="267"/>
        <v>782</v>
      </c>
      <c r="K137" s="1361" t="str">
        <f t="shared" si="268"/>
        <v>Freshwater Exposure</v>
      </c>
      <c r="L137" s="209">
        <f t="shared" si="244"/>
        <v>782</v>
      </c>
      <c r="M137" s="1371" t="str">
        <f t="shared" si="260"/>
        <v/>
      </c>
      <c r="N137" s="216">
        <f t="shared" si="245"/>
        <v>782</v>
      </c>
      <c r="O137" s="203" t="str">
        <f t="shared" si="188"/>
        <v>--</v>
      </c>
      <c r="P137" s="203">
        <f t="shared" si="246"/>
        <v>782</v>
      </c>
      <c r="Q137" s="203" t="str">
        <f t="shared" si="189"/>
        <v>--</v>
      </c>
      <c r="R137" s="203" t="str">
        <f t="shared" si="190"/>
        <v>--</v>
      </c>
      <c r="S137" s="203" t="str">
        <f t="shared" si="247"/>
        <v>--</v>
      </c>
      <c r="T137" s="203" t="str">
        <f t="shared" si="191"/>
        <v>--</v>
      </c>
      <c r="U137" s="203" t="str">
        <f t="shared" si="192"/>
        <v>--</v>
      </c>
      <c r="V137" s="203">
        <f t="shared" si="193"/>
        <v>782</v>
      </c>
      <c r="W137" s="193" t="str">
        <f t="shared" si="194"/>
        <v>USDOE FW Chronic PRG</v>
      </c>
      <c r="X137" s="203">
        <f t="shared" si="248"/>
        <v>78.2</v>
      </c>
      <c r="Y137" s="193" t="str">
        <f t="shared" si="249"/>
        <v>10% US EPA FW CMC</v>
      </c>
      <c r="Z137" s="203" t="str">
        <f t="shared" si="195"/>
        <v>--</v>
      </c>
      <c r="AA137" s="203">
        <f t="shared" si="196"/>
        <v>782</v>
      </c>
      <c r="AB137" s="1368" t="str">
        <f t="shared" si="197"/>
        <v>--</v>
      </c>
      <c r="AC137" s="1356" t="str">
        <f t="shared" si="269"/>
        <v>--</v>
      </c>
      <c r="AD137" s="1377" t="str">
        <f t="shared" si="270"/>
        <v>--</v>
      </c>
      <c r="AE137" s="1353" t="str">
        <f t="shared" si="261"/>
        <v>--</v>
      </c>
      <c r="AF137" s="1364" t="str">
        <f t="shared" si="262"/>
        <v>--</v>
      </c>
      <c r="AG137" s="216" t="str">
        <f t="shared" si="250"/>
        <v>--</v>
      </c>
      <c r="AH137" s="203" t="str">
        <f t="shared" si="271"/>
        <v>--</v>
      </c>
      <c r="AI137" s="203" t="str">
        <f t="shared" si="200"/>
        <v>--</v>
      </c>
      <c r="AJ137" s="203" t="str">
        <f t="shared" si="263"/>
        <v>--</v>
      </c>
      <c r="AK137" s="203" t="str">
        <f t="shared" si="251"/>
        <v>--</v>
      </c>
      <c r="AL137" s="203" t="str">
        <f t="shared" si="202"/>
        <v>--</v>
      </c>
      <c r="AM137" s="203" t="str">
        <f t="shared" si="203"/>
        <v>--</v>
      </c>
      <c r="AN137" s="203" t="str">
        <f t="shared" si="252"/>
        <v>--</v>
      </c>
      <c r="AO137" s="203" t="str">
        <f t="shared" si="204"/>
        <v>--</v>
      </c>
      <c r="AP137" s="203" t="str">
        <f t="shared" si="205"/>
        <v>--</v>
      </c>
      <c r="AQ137" s="203" t="str">
        <f t="shared" si="206"/>
        <v>--</v>
      </c>
      <c r="AR137" s="1262" t="str">
        <f t="shared" si="207"/>
        <v>--</v>
      </c>
      <c r="AS137" s="203" t="str">
        <f t="shared" si="253"/>
        <v>--</v>
      </c>
      <c r="AT137" s="193" t="str">
        <f t="shared" si="254"/>
        <v>--</v>
      </c>
      <c r="AU137" s="203" t="str">
        <f t="shared" si="208"/>
        <v>--</v>
      </c>
      <c r="AV137" s="203" t="str">
        <f t="shared" si="209"/>
        <v>--</v>
      </c>
      <c r="AW137" s="2047" t="str">
        <f t="shared" si="210"/>
        <v>--</v>
      </c>
      <c r="AX137" s="2054" t="str">
        <f t="shared" si="258"/>
        <v>--</v>
      </c>
      <c r="AZ137" s="22"/>
      <c r="BC137" s="4"/>
      <c r="BD137" s="10"/>
      <c r="BE137" s="4"/>
    </row>
    <row r="138" spans="1:64">
      <c r="A138" s="897" t="s">
        <v>343</v>
      </c>
      <c r="B138" s="432" t="s">
        <v>344</v>
      </c>
      <c r="C138" s="205">
        <f t="shared" si="264"/>
        <v>100</v>
      </c>
      <c r="D138" s="207" t="str">
        <f t="shared" si="265"/>
        <v>Saltwater Goal</v>
      </c>
      <c r="E138" s="1637" t="str">
        <f t="shared" si="255"/>
        <v>--</v>
      </c>
      <c r="F138" s="187" t="str">
        <f t="shared" si="266"/>
        <v>--</v>
      </c>
      <c r="G138" s="1326" t="str">
        <f t="shared" si="256"/>
        <v>--</v>
      </c>
      <c r="H138" s="1327" t="str">
        <f t="shared" si="259"/>
        <v>--</v>
      </c>
      <c r="I138" s="1359" t="str">
        <f t="shared" si="257"/>
        <v>--</v>
      </c>
      <c r="J138" s="1379" t="str">
        <f t="shared" si="267"/>
        <v>--</v>
      </c>
      <c r="K138" s="1361" t="str">
        <f t="shared" si="268"/>
        <v>--</v>
      </c>
      <c r="L138" s="209" t="str">
        <f t="shared" si="244"/>
        <v>--</v>
      </c>
      <c r="M138" s="1371" t="str">
        <f t="shared" si="260"/>
        <v>--</v>
      </c>
      <c r="N138" s="216" t="str">
        <f t="shared" si="245"/>
        <v>--</v>
      </c>
      <c r="O138" s="203" t="str">
        <f t="shared" si="188"/>
        <v>--</v>
      </c>
      <c r="P138" s="203" t="str">
        <f t="shared" si="246"/>
        <v>--</v>
      </c>
      <c r="Q138" s="203" t="str">
        <f t="shared" si="189"/>
        <v>--</v>
      </c>
      <c r="R138" s="203" t="str">
        <f t="shared" si="190"/>
        <v>--</v>
      </c>
      <c r="S138" s="203" t="str">
        <f t="shared" si="247"/>
        <v>--</v>
      </c>
      <c r="T138" s="203" t="str">
        <f t="shared" si="191"/>
        <v>--</v>
      </c>
      <c r="U138" s="203" t="str">
        <f t="shared" si="192"/>
        <v>--</v>
      </c>
      <c r="V138" s="203" t="str">
        <f t="shared" si="193"/>
        <v>--</v>
      </c>
      <c r="W138" s="193" t="str">
        <f t="shared" si="194"/>
        <v>--</v>
      </c>
      <c r="X138" s="203" t="str">
        <f t="shared" si="248"/>
        <v>--</v>
      </c>
      <c r="Y138" s="193" t="str">
        <f t="shared" si="249"/>
        <v>--</v>
      </c>
      <c r="Z138" s="203" t="str">
        <f t="shared" si="195"/>
        <v>--</v>
      </c>
      <c r="AA138" s="203" t="str">
        <f t="shared" si="196"/>
        <v>--</v>
      </c>
      <c r="AB138" s="1368" t="str">
        <f t="shared" si="197"/>
        <v>--</v>
      </c>
      <c r="AC138" s="1356">
        <f t="shared" si="269"/>
        <v>100</v>
      </c>
      <c r="AD138" s="1377" t="str">
        <f t="shared" si="270"/>
        <v>Saltwater Exposure</v>
      </c>
      <c r="AE138" s="1353">
        <f t="shared" si="261"/>
        <v>100</v>
      </c>
      <c r="AF138" s="1364" t="str">
        <f t="shared" si="262"/>
        <v/>
      </c>
      <c r="AG138" s="216">
        <f t="shared" si="250"/>
        <v>100</v>
      </c>
      <c r="AH138" s="203" t="str">
        <f t="shared" si="271"/>
        <v>--</v>
      </c>
      <c r="AI138" s="203" t="str">
        <f t="shared" si="200"/>
        <v>--</v>
      </c>
      <c r="AJ138" s="203" t="str">
        <f t="shared" si="263"/>
        <v>--</v>
      </c>
      <c r="AK138" s="203">
        <f t="shared" si="251"/>
        <v>100</v>
      </c>
      <c r="AL138" s="203" t="str">
        <f t="shared" si="202"/>
        <v>--</v>
      </c>
      <c r="AM138" s="203" t="str">
        <f t="shared" si="203"/>
        <v>--</v>
      </c>
      <c r="AN138" s="203" t="str">
        <f t="shared" si="252"/>
        <v>--</v>
      </c>
      <c r="AO138" s="203" t="str">
        <f t="shared" si="204"/>
        <v>--</v>
      </c>
      <c r="AP138" s="203" t="str">
        <f t="shared" si="205"/>
        <v>--</v>
      </c>
      <c r="AQ138" s="203">
        <f t="shared" si="206"/>
        <v>100</v>
      </c>
      <c r="AR138" s="1262" t="str">
        <f t="shared" si="207"/>
        <v>5% acute SW LC 50</v>
      </c>
      <c r="AS138" s="203" t="str">
        <f t="shared" si="253"/>
        <v>--</v>
      </c>
      <c r="AT138" s="193" t="str">
        <f t="shared" si="254"/>
        <v>--</v>
      </c>
      <c r="AU138" s="203" t="str">
        <f t="shared" si="208"/>
        <v>--</v>
      </c>
      <c r="AV138" s="203" t="str">
        <f t="shared" si="209"/>
        <v>--</v>
      </c>
      <c r="AW138" s="2047" t="str">
        <f t="shared" si="210"/>
        <v>--</v>
      </c>
      <c r="AX138" s="2054" t="str">
        <f t="shared" si="258"/>
        <v>--</v>
      </c>
      <c r="AZ138" s="22"/>
      <c r="BC138" s="4"/>
      <c r="BD138" s="10"/>
      <c r="BE138" s="4"/>
      <c r="BI138" s="1"/>
    </row>
    <row r="139" spans="1:64" ht="13.5" thickBot="1">
      <c r="A139" s="897" t="s">
        <v>345</v>
      </c>
      <c r="B139" s="432" t="s">
        <v>346</v>
      </c>
      <c r="C139" s="205">
        <f t="shared" si="264"/>
        <v>20</v>
      </c>
      <c r="D139" s="207" t="str">
        <f t="shared" si="265"/>
        <v>Saltwater Goal</v>
      </c>
      <c r="E139" s="1637">
        <f t="shared" si="255"/>
        <v>26000</v>
      </c>
      <c r="F139" s="1639" t="str">
        <f t="shared" si="266"/>
        <v>National Criteria</v>
      </c>
      <c r="G139" s="1326" t="str">
        <f t="shared" si="256"/>
        <v>--</v>
      </c>
      <c r="H139" s="1328" t="str">
        <f t="shared" si="259"/>
        <v>--</v>
      </c>
      <c r="I139" s="1359">
        <f t="shared" si="257"/>
        <v>26000</v>
      </c>
      <c r="J139" s="1380">
        <f t="shared" si="267"/>
        <v>120</v>
      </c>
      <c r="K139" s="1362" t="str">
        <f t="shared" si="268"/>
        <v>Freshwater Exposure</v>
      </c>
      <c r="L139" s="209">
        <f t="shared" si="244"/>
        <v>120</v>
      </c>
      <c r="M139" s="1371" t="str">
        <f t="shared" si="260"/>
        <v>Basin Plan</v>
      </c>
      <c r="N139" s="1374">
        <f t="shared" si="245"/>
        <v>120</v>
      </c>
      <c r="O139" s="1365">
        <f t="shared" si="188"/>
        <v>120</v>
      </c>
      <c r="P139" s="1365">
        <f t="shared" si="246"/>
        <v>120</v>
      </c>
      <c r="Q139" s="1365">
        <f t="shared" si="189"/>
        <v>120</v>
      </c>
      <c r="R139" s="1365">
        <f t="shared" si="190"/>
        <v>120</v>
      </c>
      <c r="S139" s="1365">
        <f t="shared" si="247"/>
        <v>100</v>
      </c>
      <c r="T139" s="1365">
        <f t="shared" si="191"/>
        <v>100</v>
      </c>
      <c r="U139" s="1365" t="str">
        <f t="shared" si="192"/>
        <v>--</v>
      </c>
      <c r="V139" s="1365" t="str">
        <f t="shared" si="193"/>
        <v>--</v>
      </c>
      <c r="W139" s="1372" t="str">
        <f t="shared" si="194"/>
        <v>--</v>
      </c>
      <c r="X139" s="203">
        <f t="shared" si="248"/>
        <v>12</v>
      </c>
      <c r="Y139" s="193" t="str">
        <f t="shared" si="249"/>
        <v>10% CTR FW CMC</v>
      </c>
      <c r="Z139" s="203">
        <f t="shared" si="195"/>
        <v>120</v>
      </c>
      <c r="AA139" s="203" t="str">
        <f t="shared" si="196"/>
        <v>--</v>
      </c>
      <c r="AB139" s="1368" t="str">
        <f t="shared" si="197"/>
        <v>--</v>
      </c>
      <c r="AC139" s="1357">
        <f t="shared" si="269"/>
        <v>20</v>
      </c>
      <c r="AD139" s="1377" t="str">
        <f t="shared" si="270"/>
        <v>Saltwater Exposure</v>
      </c>
      <c r="AE139" s="1354">
        <f t="shared" si="261"/>
        <v>20</v>
      </c>
      <c r="AF139" s="1373" t="str">
        <f t="shared" si="262"/>
        <v>Basin Plan</v>
      </c>
      <c r="AG139" s="1374">
        <f t="shared" si="250"/>
        <v>20</v>
      </c>
      <c r="AH139" s="1365">
        <f t="shared" si="271"/>
        <v>20</v>
      </c>
      <c r="AI139" s="1365">
        <f t="shared" si="200"/>
        <v>81</v>
      </c>
      <c r="AJ139" s="1365">
        <f t="shared" si="263"/>
        <v>20</v>
      </c>
      <c r="AK139" s="1365">
        <f t="shared" si="251"/>
        <v>81</v>
      </c>
      <c r="AL139" s="1365">
        <f t="shared" si="202"/>
        <v>81</v>
      </c>
      <c r="AM139" s="1365">
        <f t="shared" si="203"/>
        <v>81</v>
      </c>
      <c r="AN139" s="1365">
        <f t="shared" si="252"/>
        <v>81</v>
      </c>
      <c r="AO139" s="1365">
        <f t="shared" si="204"/>
        <v>81</v>
      </c>
      <c r="AP139" s="1365" t="str">
        <f t="shared" si="205"/>
        <v>--</v>
      </c>
      <c r="AQ139" s="1365" t="str">
        <f t="shared" si="206"/>
        <v>--</v>
      </c>
      <c r="AR139" s="1375" t="str">
        <f t="shared" si="207"/>
        <v>--</v>
      </c>
      <c r="AS139" s="1365">
        <f t="shared" si="253"/>
        <v>9</v>
      </c>
      <c r="AT139" s="1372" t="str">
        <f t="shared" si="254"/>
        <v>10% US EPA SW CMC</v>
      </c>
      <c r="AU139" s="1365">
        <f t="shared" si="208"/>
        <v>90</v>
      </c>
      <c r="AV139" s="1365">
        <f t="shared" si="209"/>
        <v>90</v>
      </c>
      <c r="AW139" s="2049" t="str">
        <f t="shared" si="210"/>
        <v>--</v>
      </c>
      <c r="AX139" s="2055" t="str">
        <f t="shared" si="258"/>
        <v>--</v>
      </c>
      <c r="AZ139" s="22"/>
      <c r="BC139" s="4"/>
      <c r="BD139" s="10"/>
      <c r="BE139" s="4"/>
      <c r="BI139" s="55"/>
    </row>
    <row r="140" spans="1:64" ht="13.5" thickTop="1">
      <c r="A140" s="390"/>
      <c r="B140" s="300"/>
      <c r="C140" s="300"/>
      <c r="D140" s="300"/>
      <c r="E140" s="300"/>
      <c r="F140" s="300"/>
      <c r="G140" s="300"/>
      <c r="H140" s="300"/>
      <c r="I140" s="300"/>
      <c r="J140" s="386"/>
      <c r="K140" s="386"/>
      <c r="L140" s="386"/>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00"/>
      <c r="AI140" s="300"/>
      <c r="AJ140" s="300"/>
      <c r="AK140" s="300"/>
      <c r="AL140" s="300"/>
      <c r="AM140" s="19"/>
      <c r="AN140" s="300"/>
      <c r="AO140" s="300"/>
      <c r="AP140" s="300"/>
      <c r="AQ140" s="300"/>
      <c r="AR140" s="19"/>
      <c r="AS140" s="19"/>
      <c r="AT140" s="300"/>
      <c r="AU140" s="300"/>
      <c r="AV140" s="300"/>
      <c r="AW140" s="300"/>
      <c r="AX140" s="301"/>
      <c r="AZ140" s="22"/>
      <c r="BI140" s="55"/>
    </row>
    <row r="141" spans="1:64">
      <c r="A141" s="391" t="s">
        <v>347</v>
      </c>
      <c r="L141" s="86"/>
      <c r="N141" s="86"/>
      <c r="O141" s="86"/>
      <c r="P141" s="86"/>
      <c r="Q141" s="86"/>
      <c r="R141" s="86"/>
      <c r="S141" s="86"/>
      <c r="T141" s="86"/>
      <c r="U141" s="86"/>
      <c r="V141" s="86"/>
      <c r="W141" s="86"/>
      <c r="X141" s="86"/>
      <c r="Y141" s="86"/>
      <c r="Z141" s="86"/>
      <c r="AA141" s="86"/>
      <c r="AB141" s="86"/>
      <c r="AC141" s="86"/>
      <c r="AD141" s="86"/>
      <c r="AE141" s="86"/>
      <c r="AF141" s="86"/>
      <c r="AG141" s="86"/>
      <c r="AW141" s="22"/>
      <c r="AX141" s="288"/>
      <c r="AZ141" s="22"/>
      <c r="BI141" s="55"/>
    </row>
    <row r="142" spans="1:64">
      <c r="A142" s="270" t="s">
        <v>810</v>
      </c>
      <c r="L142" s="86"/>
      <c r="N142" s="86"/>
      <c r="O142" s="86"/>
      <c r="P142" s="86"/>
      <c r="Q142" s="86"/>
      <c r="R142" s="86"/>
      <c r="S142" s="86"/>
      <c r="T142" s="86"/>
      <c r="U142" s="86"/>
      <c r="V142" s="86"/>
      <c r="W142" s="86"/>
      <c r="X142" s="86"/>
      <c r="Y142" s="86"/>
      <c r="Z142" s="86"/>
      <c r="AA142" s="86"/>
      <c r="AB142" s="86"/>
      <c r="AC142" s="86"/>
      <c r="AD142" s="86"/>
      <c r="AE142" s="86"/>
      <c r="AF142" s="86"/>
      <c r="AG142" s="86"/>
      <c r="AW142" s="22"/>
      <c r="AX142" s="288"/>
      <c r="AZ142" s="22"/>
      <c r="BI142" s="55"/>
    </row>
    <row r="143" spans="1:64" s="1" customFormat="1">
      <c r="A143" s="1238" t="s">
        <v>4289</v>
      </c>
      <c r="B143" s="1239"/>
      <c r="C143" s="1239"/>
      <c r="D143" s="1239"/>
      <c r="E143" s="1240"/>
      <c r="F143" s="1240"/>
      <c r="G143" s="1240"/>
      <c r="H143" s="1240"/>
      <c r="I143" s="1240"/>
      <c r="J143" s="1241"/>
      <c r="K143" s="1241"/>
      <c r="L143" s="1241"/>
      <c r="M143" s="1241"/>
      <c r="N143" s="1241"/>
      <c r="O143" s="1241"/>
      <c r="P143" s="1241"/>
      <c r="Q143" s="1241"/>
      <c r="R143" s="1241"/>
      <c r="S143" s="1241"/>
      <c r="T143" s="1241"/>
      <c r="U143" s="1241"/>
      <c r="V143" s="1241"/>
      <c r="W143" s="1241"/>
      <c r="X143" s="1241"/>
      <c r="Y143" s="1241"/>
      <c r="Z143" s="1241"/>
      <c r="AA143" s="1241"/>
      <c r="AB143" s="1241"/>
      <c r="AC143" s="1241"/>
      <c r="AD143" s="1241"/>
      <c r="AE143" s="1241"/>
      <c r="AF143" s="1241"/>
      <c r="AG143" s="1241"/>
      <c r="AH143" s="1102"/>
      <c r="AI143" s="1102"/>
      <c r="AJ143" s="1102"/>
      <c r="AK143" s="1102"/>
      <c r="AL143" s="1102"/>
      <c r="AM143" s="1102"/>
      <c r="AN143" s="1102"/>
      <c r="AO143" s="1102"/>
      <c r="AP143" s="1102"/>
      <c r="AQ143" s="1102"/>
      <c r="AR143" s="1102"/>
      <c r="AS143" s="1102"/>
      <c r="AT143" s="1102"/>
      <c r="AU143" s="1102"/>
      <c r="AV143" s="1102"/>
      <c r="AW143" s="1102"/>
      <c r="AX143" s="1103"/>
      <c r="BI143" s="55"/>
      <c r="BJ143" s="22"/>
      <c r="BK143" s="22"/>
      <c r="BL143" s="22"/>
    </row>
    <row r="144" spans="1:64" s="55" customFormat="1">
      <c r="A144" s="1244" t="s">
        <v>811</v>
      </c>
      <c r="B144" s="1245"/>
      <c r="C144" s="1245"/>
      <c r="D144" s="1245"/>
      <c r="E144" s="1246"/>
      <c r="F144" s="1246"/>
      <c r="G144" s="1246"/>
      <c r="H144" s="1246"/>
      <c r="I144" s="1246"/>
      <c r="J144" s="1246"/>
      <c r="K144" s="1246"/>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5"/>
      <c r="AI144" s="1245"/>
      <c r="AJ144" s="1245"/>
      <c r="AK144" s="1102"/>
      <c r="AL144" s="1102"/>
      <c r="AM144" s="1245"/>
      <c r="AN144" s="1245"/>
      <c r="AO144" s="1245"/>
      <c r="AP144" s="1245"/>
      <c r="AQ144" s="1245"/>
      <c r="AR144" s="1245"/>
      <c r="AS144" s="1245"/>
      <c r="AT144" s="1245"/>
      <c r="AU144" s="1245"/>
      <c r="AV144" s="1245"/>
      <c r="AW144" s="1245"/>
      <c r="AX144" s="1249"/>
      <c r="BJ144" s="22"/>
      <c r="BK144" s="22"/>
      <c r="BL144" s="22"/>
    </row>
    <row r="145" spans="1:68" s="55" customFormat="1">
      <c r="A145" s="1132" t="s">
        <v>348</v>
      </c>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K145" s="1"/>
      <c r="AL145" s="1"/>
      <c r="AX145" s="608"/>
      <c r="BJ145" s="22"/>
      <c r="BK145" s="22"/>
      <c r="BL145" s="22"/>
    </row>
    <row r="146" spans="1:68" s="55" customFormat="1">
      <c r="A146" s="1133" t="s">
        <v>349</v>
      </c>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K146" s="1"/>
      <c r="AL146" s="1"/>
      <c r="AX146" s="608"/>
      <c r="BI146" s="3"/>
      <c r="BJ146" s="22"/>
      <c r="BK146" s="22"/>
      <c r="BL146" s="22"/>
    </row>
    <row r="147" spans="1:68" s="55" customFormat="1">
      <c r="A147" s="1133" t="s">
        <v>350</v>
      </c>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K147" s="1"/>
      <c r="AL147" s="1"/>
      <c r="AX147" s="608"/>
      <c r="BI147" s="22"/>
      <c r="BJ147" s="22"/>
      <c r="BK147" s="22"/>
      <c r="BL147" s="22"/>
    </row>
    <row r="148" spans="1:68" s="55" customFormat="1">
      <c r="A148" s="1133" t="s">
        <v>351</v>
      </c>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K148" s="1"/>
      <c r="AL148" s="1"/>
      <c r="AX148" s="608"/>
      <c r="BI148" s="22"/>
      <c r="BJ148" s="22"/>
      <c r="BK148" s="22"/>
      <c r="BL148" s="22"/>
    </row>
    <row r="149" spans="1:68" s="55" customFormat="1">
      <c r="A149" s="1133" t="s">
        <v>397</v>
      </c>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K149" s="1"/>
      <c r="AL149" s="1"/>
      <c r="AX149" s="608"/>
      <c r="BI149" s="22"/>
      <c r="BJ149" s="22"/>
      <c r="BK149" s="22"/>
      <c r="BL149" s="22"/>
    </row>
    <row r="150" spans="1:68" s="55" customFormat="1">
      <c r="A150" s="1133" t="s">
        <v>353</v>
      </c>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K150" s="1"/>
      <c r="AL150" s="1"/>
      <c r="AX150" s="608"/>
      <c r="BI150" s="22"/>
      <c r="BJ150" s="22"/>
      <c r="BK150" s="22"/>
      <c r="BL150" s="22"/>
    </row>
    <row r="151" spans="1:68" s="55" customFormat="1">
      <c r="A151" s="1133" t="s">
        <v>354</v>
      </c>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K151" s="1"/>
      <c r="AL151" s="1"/>
      <c r="AX151" s="608"/>
      <c r="BI151" s="22"/>
      <c r="BJ151" s="22"/>
      <c r="BK151" s="22"/>
      <c r="BL151" s="22"/>
    </row>
    <row r="152" spans="1:68" s="55" customFormat="1" ht="13.5" thickBot="1">
      <c r="A152" s="9" t="s">
        <v>355</v>
      </c>
      <c r="B152" s="1149"/>
      <c r="C152" s="1149"/>
      <c r="D152" s="1149"/>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c r="AG152" s="383"/>
      <c r="AH152" s="1149"/>
      <c r="AI152" s="1149"/>
      <c r="AJ152" s="1149"/>
      <c r="AK152" s="112"/>
      <c r="AL152" s="112"/>
      <c r="AM152" s="1149"/>
      <c r="AN152" s="1149"/>
      <c r="AO152" s="1149"/>
      <c r="AP152" s="1149"/>
      <c r="AQ152" s="1149"/>
      <c r="AR152" s="1149"/>
      <c r="AS152" s="1149"/>
      <c r="AT152" s="1149"/>
      <c r="AU152" s="1149"/>
      <c r="AV152" s="1149"/>
      <c r="AW152" s="1149"/>
      <c r="AX152" s="1150"/>
      <c r="BI152" s="22"/>
      <c r="BJ152" s="22"/>
      <c r="BK152" s="22"/>
      <c r="BL152" s="22"/>
    </row>
    <row r="153" spans="1:68" ht="13.5" thickTop="1">
      <c r="A153" s="1257"/>
      <c r="AW153" s="22"/>
      <c r="AZ153" s="22"/>
      <c r="BA153" s="22"/>
      <c r="BB153" s="22"/>
      <c r="BC153" s="22"/>
      <c r="BD153" s="22"/>
      <c r="BH153" s="3"/>
      <c r="BN153" s="3"/>
      <c r="BO153" s="3"/>
      <c r="BP153" s="3"/>
    </row>
    <row r="154" spans="1:68">
      <c r="AW154" s="22"/>
    </row>
    <row r="155" spans="1:68">
      <c r="AW155" s="22"/>
    </row>
    <row r="156" spans="1:68">
      <c r="AW156" s="22"/>
    </row>
    <row r="157" spans="1:68">
      <c r="AW157" s="22"/>
    </row>
    <row r="158" spans="1:68">
      <c r="AW158" s="22"/>
    </row>
  </sheetData>
  <sheetProtection algorithmName="SHA-512" hashValue="bzzBwluSKKUwELCt04vMN3jkRoUAb7UxGceYjLOTct8IdspdAe41qsa6Lp2+I3tfHj+iD0fu/Zr8orAVAyp0kQ==" saltValue="R3WC7i/eF0bQtcmEI1pWLg==" spinCount="100000" sheet="1" sort="0" autoFilter="0"/>
  <autoFilter ref="A5:B5" xr:uid="{00000000-0009-0000-0000-00000D000000}"/>
  <mergeCells count="28">
    <mergeCell ref="AX3:AX5"/>
    <mergeCell ref="J3:J5"/>
    <mergeCell ref="K3:K5"/>
    <mergeCell ref="L4:M4"/>
    <mergeCell ref="V4:W4"/>
    <mergeCell ref="N3:W3"/>
    <mergeCell ref="L3:M3"/>
    <mergeCell ref="AS3:AW3"/>
    <mergeCell ref="AQ4:AR4"/>
    <mergeCell ref="AS4:AT4"/>
    <mergeCell ref="AG3:AR3"/>
    <mergeCell ref="AE3:AF3"/>
    <mergeCell ref="AE4:AF4"/>
    <mergeCell ref="E3:E5"/>
    <mergeCell ref="AC3:AC5"/>
    <mergeCell ref="AD3:AD5"/>
    <mergeCell ref="G3:I3"/>
    <mergeCell ref="G4:G5"/>
    <mergeCell ref="H4:H5"/>
    <mergeCell ref="I4:I5"/>
    <mergeCell ref="F3:F5"/>
    <mergeCell ref="X4:Y4"/>
    <mergeCell ref="X3:AB3"/>
    <mergeCell ref="A3:B3"/>
    <mergeCell ref="C3:C5"/>
    <mergeCell ref="D3:D5"/>
    <mergeCell ref="A4:A5"/>
    <mergeCell ref="B4:B5"/>
  </mergeCells>
  <phoneticPr fontId="0" type="noConversion"/>
  <pageMargins left="0.7" right="0.7" top="0.75" bottom="0.75" header="0.3" footer="0.3"/>
  <pageSetup scale="19" fitToHeight="0" orientation="landscape" r:id="rId1"/>
  <headerFooter>
    <oddFooter>&amp;C&amp;P of &amp;N&amp;R&amp;A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rgb="FF00B0F0"/>
    <pageSetUpPr fitToPage="1"/>
  </sheetPr>
  <dimension ref="A1:O351"/>
  <sheetViews>
    <sheetView showGridLines="0" zoomScale="110" zoomScaleNormal="110" workbookViewId="0">
      <pane xSplit="2" ySplit="7" topLeftCell="C8" activePane="bottomRight" state="frozen"/>
      <selection pane="topRight" activeCell="C1" sqref="C1"/>
      <selection pane="bottomLeft" activeCell="A9" sqref="A9"/>
      <selection pane="bottomRight" activeCell="A3" sqref="A3:B3"/>
    </sheetView>
  </sheetViews>
  <sheetFormatPr defaultColWidth="9.140625" defaultRowHeight="11.25"/>
  <cols>
    <col min="1" max="1" width="40.5703125" style="39" customWidth="1"/>
    <col min="2" max="2" width="11.42578125" style="39" customWidth="1"/>
    <col min="3" max="3" width="10.5703125" style="39" customWidth="1"/>
    <col min="4" max="4" width="11.85546875" style="39" customWidth="1"/>
    <col min="5" max="6" width="10.5703125" style="39" customWidth="1"/>
    <col min="7" max="7" width="11.5703125" style="39" customWidth="1"/>
    <col min="8" max="8" width="10.5703125" style="39" customWidth="1"/>
    <col min="9" max="10" width="17.5703125" style="37" customWidth="1"/>
    <col min="11" max="11" width="13.42578125" style="37" customWidth="1"/>
    <col min="12" max="12" width="16" style="39" customWidth="1"/>
    <col min="13" max="13" width="12.85546875" style="39" customWidth="1"/>
    <col min="14" max="15" width="13" style="38" customWidth="1"/>
    <col min="16" max="16384" width="9.140625" style="37"/>
  </cols>
  <sheetData>
    <row r="1" spans="1:15" hidden="1">
      <c r="A1" s="4" t="s">
        <v>812</v>
      </c>
      <c r="B1" s="4"/>
      <c r="C1" s="10" t="s">
        <v>813</v>
      </c>
      <c r="D1" s="10" t="s">
        <v>814</v>
      </c>
      <c r="E1" s="10" t="s">
        <v>815</v>
      </c>
      <c r="F1" s="10" t="s">
        <v>816</v>
      </c>
      <c r="G1" s="10" t="s">
        <v>817</v>
      </c>
      <c r="H1" s="10" t="s">
        <v>818</v>
      </c>
    </row>
    <row r="2" spans="1:15" ht="61.5" customHeight="1" thickBot="1">
      <c r="A2" s="2582" t="s">
        <v>819</v>
      </c>
      <c r="B2" s="2583"/>
      <c r="C2" s="2583"/>
      <c r="D2" s="2583"/>
      <c r="E2" s="2583"/>
      <c r="F2" s="2583"/>
      <c r="G2" s="2583"/>
      <c r="H2" s="2583"/>
      <c r="I2" s="2583"/>
      <c r="J2" s="2583"/>
      <c r="K2" s="2583"/>
      <c r="L2" s="2583"/>
      <c r="M2" s="2583"/>
      <c r="N2" s="2583"/>
      <c r="O2" s="2583"/>
    </row>
    <row r="3" spans="1:15" ht="60" customHeight="1" thickTop="1" thickBot="1">
      <c r="A3" s="2595" t="str">
        <f>'Water Direct Exp (GW-1)'!A3:B3</f>
        <v>2025 (Rev 4)</v>
      </c>
      <c r="B3" s="2596"/>
      <c r="C3" s="2597" t="s">
        <v>820</v>
      </c>
      <c r="D3" s="2598"/>
      <c r="E3" s="2598"/>
      <c r="F3" s="2598"/>
      <c r="G3" s="2598"/>
      <c r="H3" s="2598"/>
      <c r="I3" s="2584" t="s">
        <v>821</v>
      </c>
      <c r="J3" s="2585"/>
      <c r="K3" s="2585"/>
      <c r="L3" s="2585"/>
      <c r="M3" s="2585"/>
      <c r="N3" s="2585"/>
      <c r="O3" s="2586"/>
    </row>
    <row r="4" spans="1:15" s="578" customFormat="1" ht="27.75" customHeight="1" thickBot="1">
      <c r="A4" s="2498" t="s">
        <v>661</v>
      </c>
      <c r="B4" s="2501" t="s">
        <v>80</v>
      </c>
      <c r="C4" s="2599" t="s">
        <v>380</v>
      </c>
      <c r="D4" s="2600"/>
      <c r="E4" s="2600"/>
      <c r="F4" s="2599" t="s">
        <v>467</v>
      </c>
      <c r="G4" s="2600"/>
      <c r="H4" s="2600"/>
      <c r="I4" s="2587"/>
      <c r="J4" s="2588"/>
      <c r="K4" s="2588"/>
      <c r="L4" s="2588"/>
      <c r="M4" s="2588"/>
      <c r="N4" s="2588"/>
      <c r="O4" s="2589"/>
    </row>
    <row r="5" spans="1:15" s="577" customFormat="1" ht="45.75" thickBot="1">
      <c r="A5" s="2499"/>
      <c r="B5" s="2502"/>
      <c r="C5" s="2576" t="s">
        <v>822</v>
      </c>
      <c r="D5" s="2577"/>
      <c r="E5" s="2601"/>
      <c r="F5" s="2576" t="s">
        <v>822</v>
      </c>
      <c r="G5" s="2577"/>
      <c r="H5" s="2578"/>
      <c r="I5" s="2592" t="s">
        <v>823</v>
      </c>
      <c r="J5" s="2452" t="s">
        <v>824</v>
      </c>
      <c r="K5" s="2590" t="s">
        <v>825</v>
      </c>
      <c r="L5" s="2452" t="s">
        <v>826</v>
      </c>
      <c r="M5" s="2590" t="s">
        <v>827</v>
      </c>
      <c r="N5" s="2452" t="s">
        <v>828</v>
      </c>
      <c r="O5" s="1151" t="s">
        <v>829</v>
      </c>
    </row>
    <row r="6" spans="1:15" s="579" customFormat="1" ht="25.5">
      <c r="A6" s="2499"/>
      <c r="B6" s="2502"/>
      <c r="C6" s="682" t="s">
        <v>521</v>
      </c>
      <c r="D6" s="683" t="s">
        <v>830</v>
      </c>
      <c r="E6" s="684" t="s">
        <v>831</v>
      </c>
      <c r="F6" s="680" t="s">
        <v>521</v>
      </c>
      <c r="G6" s="678" t="s">
        <v>830</v>
      </c>
      <c r="H6" s="679" t="s">
        <v>832</v>
      </c>
      <c r="I6" s="2593"/>
      <c r="J6" s="2454"/>
      <c r="K6" s="2591"/>
      <c r="L6" s="2454"/>
      <c r="M6" s="2591"/>
      <c r="N6" s="2454"/>
      <c r="O6" s="717" t="s">
        <v>833</v>
      </c>
    </row>
    <row r="7" spans="1:15" s="583" customFormat="1" ht="13.5" thickBot="1">
      <c r="A7" s="2500"/>
      <c r="B7" s="2503"/>
      <c r="C7" s="580" t="s">
        <v>834</v>
      </c>
      <c r="D7" s="581" t="s">
        <v>834</v>
      </c>
      <c r="E7" s="685" t="s">
        <v>834</v>
      </c>
      <c r="F7" s="681" t="s">
        <v>834</v>
      </c>
      <c r="G7" s="581" t="s">
        <v>834</v>
      </c>
      <c r="H7" s="582" t="s">
        <v>834</v>
      </c>
      <c r="I7" s="2594"/>
      <c r="J7" s="219" t="s">
        <v>835</v>
      </c>
      <c r="K7" s="285" t="s">
        <v>836</v>
      </c>
      <c r="L7" s="285" t="s">
        <v>836</v>
      </c>
      <c r="M7" s="285" t="s">
        <v>836</v>
      </c>
      <c r="N7" s="285" t="s">
        <v>836</v>
      </c>
      <c r="O7" s="812" t="s">
        <v>835</v>
      </c>
    </row>
    <row r="8" spans="1:15" ht="11.25" customHeight="1">
      <c r="A8" s="26" t="s">
        <v>391</v>
      </c>
      <c r="B8" s="428" t="s">
        <v>392</v>
      </c>
      <c r="C8" s="506" t="str">
        <f t="shared" ref="C8:C29" si="0">IF($I8="NV","--",IF(K8="--","--",K8/($J8*$O8*1000)))</f>
        <v>--</v>
      </c>
      <c r="D8" s="506">
        <f t="shared" ref="D8:D29" si="1">IF($I8="NV", "--", IF(L8="--","--", L8/($J8*$O8*1000)))</f>
        <v>22593053.061253536</v>
      </c>
      <c r="E8" s="690">
        <f>IF(MIN(C8,D8)=0,"--",MIN(C8,D8))</f>
        <v>22593053.061253536</v>
      </c>
      <c r="F8" s="686" t="str">
        <f t="shared" ref="F8:F29" si="2">IF($I8="NV", "--", IF(M8="--","--", M8/(J8*$O8*1000)))</f>
        <v>--</v>
      </c>
      <c r="G8" s="506">
        <f>IF(I8="NV","--",IF(N8="--","--",N8/(J8*O8*1000)))</f>
        <v>94890822.857264861</v>
      </c>
      <c r="H8" s="702">
        <f>IF(MIN(F8,G8)=0,"--",MIN(F8,G8))</f>
        <v>94890822.857264861</v>
      </c>
      <c r="I8" s="188" t="str">
        <f t="shared" ref="I8:I38" si="3">VLOOKUP($A8,Table_IP_1,MATCH("volatility",heading_IP_1,0),FALSE)</f>
        <v>V</v>
      </c>
      <c r="J8" s="157">
        <f t="shared" ref="J8:J38" si="4">VLOOKUP($A8,Table_IP_1,MATCH("H'",heading_IP_1,0),FALSE)</f>
        <v>1.43090760425E-3</v>
      </c>
      <c r="K8" s="196" t="str">
        <f t="shared" ref="K8:K38" si="5">VLOOKUP($A8, Table_IA_1, MATCH("IA-Res-C", heading_IA_1, 0), FALSE)</f>
        <v>--</v>
      </c>
      <c r="L8" s="196">
        <f t="shared" ref="L8:L38" si="6">VLOOKUP($A8, Table_IA_1, MATCH("IA-Res-NC", heading_IA_1, 0), FALSE)</f>
        <v>32328.571428571428</v>
      </c>
      <c r="M8" s="538" t="str">
        <f t="shared" ref="M8:M38" si="7">VLOOKUP($A8, Table_IA_1, MATCH("IA-Com-C", heading_IA_1, 0), FALSE)</f>
        <v>--</v>
      </c>
      <c r="N8" s="538">
        <f t="shared" ref="N8:N38" si="8">VLOOKUP($A8, Table_IA_1, MATCH("IA-Com-NC", heading_IA_1, 0), FALSE)</f>
        <v>135780</v>
      </c>
      <c r="O8" s="181">
        <f t="shared" ref="O8:O70" si="9">AFgmin</f>
        <v>1E-3</v>
      </c>
    </row>
    <row r="9" spans="1:15" ht="11.25" customHeight="1">
      <c r="A9" s="897" t="s">
        <v>85</v>
      </c>
      <c r="B9" s="429" t="s">
        <v>86</v>
      </c>
      <c r="C9" s="507">
        <f t="shared" si="0"/>
        <v>0.31853503639157693</v>
      </c>
      <c r="D9" s="171" t="str">
        <f t="shared" si="1"/>
        <v>--</v>
      </c>
      <c r="E9" s="691">
        <f t="shared" ref="E9:E29" si="10">IF(MIN(C9,D9)=0,"--",MIN(C9,D9))</f>
        <v>0.31853503639157693</v>
      </c>
      <c r="F9" s="687">
        <f t="shared" si="2"/>
        <v>1.3913610389584077</v>
      </c>
      <c r="G9" s="171" t="str">
        <f t="shared" ref="G9:G29" si="11">IF(I9="NV","--",IF(N9="--","--",N9/(J9*O9*1000)))</f>
        <v>--</v>
      </c>
      <c r="H9" s="508">
        <f t="shared" ref="H9:H29" si="12">IF(MIN(F9,G9)=0,"--",MIN(F9,G9))</f>
        <v>1.3913610389584077</v>
      </c>
      <c r="I9" s="188" t="str">
        <f t="shared" si="3"/>
        <v>V</v>
      </c>
      <c r="J9" s="157">
        <f t="shared" si="4"/>
        <v>1.79885527392E-3</v>
      </c>
      <c r="K9" s="158">
        <f t="shared" si="5"/>
        <v>5.729984301412873E-4</v>
      </c>
      <c r="L9" s="158" t="str">
        <f t="shared" si="6"/>
        <v>--</v>
      </c>
      <c r="M9" s="538">
        <f t="shared" si="7"/>
        <v>2.5028571428571422E-3</v>
      </c>
      <c r="N9" s="158" t="str">
        <f t="shared" si="8"/>
        <v>--</v>
      </c>
      <c r="O9" s="181">
        <f t="shared" si="9"/>
        <v>1E-3</v>
      </c>
    </row>
    <row r="10" spans="1:15" ht="11.25" customHeight="1">
      <c r="A10" s="897" t="s">
        <v>87</v>
      </c>
      <c r="B10" s="429" t="s">
        <v>88</v>
      </c>
      <c r="C10" s="507" t="str">
        <f t="shared" si="0"/>
        <v>--</v>
      </c>
      <c r="D10" s="158" t="str">
        <f t="shared" si="1"/>
        <v>--</v>
      </c>
      <c r="E10" s="691" t="str">
        <f t="shared" si="10"/>
        <v>--</v>
      </c>
      <c r="F10" s="687" t="str">
        <f t="shared" si="2"/>
        <v>--</v>
      </c>
      <c r="G10" s="158" t="str">
        <f t="shared" si="11"/>
        <v>--</v>
      </c>
      <c r="H10" s="508" t="str">
        <f t="shared" si="12"/>
        <v>--</v>
      </c>
      <c r="I10" s="188" t="str">
        <f t="shared" si="3"/>
        <v>NV</v>
      </c>
      <c r="J10" s="157" t="str">
        <f t="shared" si="4"/>
        <v>--</v>
      </c>
      <c r="K10" s="158" t="str">
        <f t="shared" si="5"/>
        <v>--</v>
      </c>
      <c r="L10" s="158" t="str">
        <f t="shared" si="6"/>
        <v>--</v>
      </c>
      <c r="M10" s="538" t="str">
        <f t="shared" si="7"/>
        <v>--</v>
      </c>
      <c r="N10" s="158" t="str">
        <f t="shared" si="8"/>
        <v>--</v>
      </c>
      <c r="O10" s="181">
        <f t="shared" si="9"/>
        <v>1E-3</v>
      </c>
    </row>
    <row r="11" spans="1:15" ht="11.25" customHeight="1">
      <c r="A11" s="897" t="s">
        <v>89</v>
      </c>
      <c r="B11" s="429" t="s">
        <v>90</v>
      </c>
      <c r="C11" s="507" t="str">
        <f t="shared" si="0"/>
        <v>--</v>
      </c>
      <c r="D11" s="171" t="str">
        <f t="shared" si="1"/>
        <v>--</v>
      </c>
      <c r="E11" s="691" t="str">
        <f t="shared" si="10"/>
        <v>--</v>
      </c>
      <c r="F11" s="687" t="str">
        <f t="shared" si="2"/>
        <v>--</v>
      </c>
      <c r="G11" s="171" t="str">
        <f t="shared" si="11"/>
        <v>--</v>
      </c>
      <c r="H11" s="508" t="str">
        <f t="shared" si="12"/>
        <v>--</v>
      </c>
      <c r="I11" s="188" t="str">
        <f t="shared" si="3"/>
        <v>NV</v>
      </c>
      <c r="J11" s="157" t="str">
        <f t="shared" si="4"/>
        <v>--</v>
      </c>
      <c r="K11" s="158" t="str">
        <f t="shared" si="5"/>
        <v>--</v>
      </c>
      <c r="L11" s="158" t="str">
        <f t="shared" si="6"/>
        <v>--</v>
      </c>
      <c r="M11" s="538" t="str">
        <f t="shared" si="7"/>
        <v>--</v>
      </c>
      <c r="N11" s="158" t="str">
        <f t="shared" si="8"/>
        <v>--</v>
      </c>
      <c r="O11" s="181">
        <f t="shared" si="9"/>
        <v>1E-3</v>
      </c>
    </row>
    <row r="12" spans="1:15" ht="11.25" customHeight="1">
      <c r="A12" s="897" t="s">
        <v>91</v>
      </c>
      <c r="B12" s="429" t="s">
        <v>92</v>
      </c>
      <c r="C12" s="507" t="str">
        <f t="shared" si="0"/>
        <v>--</v>
      </c>
      <c r="D12" s="171" t="str">
        <f t="shared" si="1"/>
        <v>--</v>
      </c>
      <c r="E12" s="691" t="str">
        <f t="shared" si="10"/>
        <v>--</v>
      </c>
      <c r="F12" s="687" t="str">
        <f t="shared" si="2"/>
        <v>--</v>
      </c>
      <c r="G12" s="171" t="str">
        <f t="shared" si="11"/>
        <v>--</v>
      </c>
      <c r="H12" s="508" t="str">
        <f t="shared" si="12"/>
        <v>--</v>
      </c>
      <c r="I12" s="188" t="str">
        <f t="shared" si="3"/>
        <v>NV</v>
      </c>
      <c r="J12" s="157" t="str">
        <f t="shared" si="4"/>
        <v>--</v>
      </c>
      <c r="K12" s="158" t="str">
        <f t="shared" si="5"/>
        <v>--</v>
      </c>
      <c r="L12" s="158" t="str">
        <f t="shared" si="6"/>
        <v>--</v>
      </c>
      <c r="M12" s="538" t="str">
        <f t="shared" si="7"/>
        <v>--</v>
      </c>
      <c r="N12" s="158" t="str">
        <f t="shared" si="8"/>
        <v>--</v>
      </c>
      <c r="O12" s="181">
        <f t="shared" si="9"/>
        <v>1E-3</v>
      </c>
    </row>
    <row r="13" spans="1:15" ht="11.25" customHeight="1">
      <c r="A13" s="897" t="s">
        <v>93</v>
      </c>
      <c r="B13" s="429" t="s">
        <v>94</v>
      </c>
      <c r="C13" s="507">
        <f t="shared" si="0"/>
        <v>0.42669247496832674</v>
      </c>
      <c r="D13" s="171">
        <f t="shared" si="1"/>
        <v>13.788262548262219</v>
      </c>
      <c r="E13" s="691">
        <f t="shared" si="10"/>
        <v>0.42669247496832674</v>
      </c>
      <c r="F13" s="687">
        <f t="shared" si="2"/>
        <v>1.8637927306616511</v>
      </c>
      <c r="G13" s="171">
        <f t="shared" si="11"/>
        <v>57.910702702701315</v>
      </c>
      <c r="H13" s="508">
        <f t="shared" si="12"/>
        <v>1.8637927306616511</v>
      </c>
      <c r="I13" s="188" t="str">
        <f t="shared" si="3"/>
        <v>V</v>
      </c>
      <c r="J13" s="157">
        <f t="shared" si="4"/>
        <v>0.22690106295994</v>
      </c>
      <c r="K13" s="158">
        <f t="shared" si="5"/>
        <v>9.6816976127320931E-2</v>
      </c>
      <c r="L13" s="158">
        <f t="shared" si="6"/>
        <v>3.1285714285714286</v>
      </c>
      <c r="M13" s="538">
        <f t="shared" si="7"/>
        <v>0.42289655172413781</v>
      </c>
      <c r="N13" s="158">
        <f t="shared" si="8"/>
        <v>13.139999999999999</v>
      </c>
      <c r="O13" s="181">
        <f t="shared" si="9"/>
        <v>1E-3</v>
      </c>
    </row>
    <row r="14" spans="1:15" ht="11.25" customHeight="1">
      <c r="A14" s="897" t="s">
        <v>95</v>
      </c>
      <c r="B14" s="429" t="s">
        <v>96</v>
      </c>
      <c r="C14" s="507" t="str">
        <f t="shared" si="0"/>
        <v>--</v>
      </c>
      <c r="D14" s="171" t="str">
        <f t="shared" si="1"/>
        <v>--</v>
      </c>
      <c r="E14" s="691" t="str">
        <f t="shared" si="10"/>
        <v>--</v>
      </c>
      <c r="F14" s="687" t="str">
        <f t="shared" si="2"/>
        <v>--</v>
      </c>
      <c r="G14" s="171" t="str">
        <f t="shared" si="11"/>
        <v>--</v>
      </c>
      <c r="H14" s="508" t="str">
        <f t="shared" si="12"/>
        <v>--</v>
      </c>
      <c r="I14" s="188" t="str">
        <f t="shared" si="3"/>
        <v>NV</v>
      </c>
      <c r="J14" s="157" t="str">
        <f t="shared" si="4"/>
        <v>--</v>
      </c>
      <c r="K14" s="158" t="str">
        <f t="shared" si="5"/>
        <v>--</v>
      </c>
      <c r="L14" s="158" t="str">
        <f t="shared" si="6"/>
        <v>--</v>
      </c>
      <c r="M14" s="538" t="str">
        <f t="shared" si="7"/>
        <v>--</v>
      </c>
      <c r="N14" s="158" t="str">
        <f t="shared" si="8"/>
        <v>--</v>
      </c>
      <c r="O14" s="181">
        <f t="shared" si="9"/>
        <v>1E-3</v>
      </c>
    </row>
    <row r="15" spans="1:15" ht="11.25" customHeight="1">
      <c r="A15" s="897" t="s">
        <v>97</v>
      </c>
      <c r="B15" s="429" t="s">
        <v>98</v>
      </c>
      <c r="C15" s="507" t="str">
        <f t="shared" si="0"/>
        <v>--</v>
      </c>
      <c r="D15" s="171">
        <f t="shared" si="1"/>
        <v>33.127643784776616</v>
      </c>
      <c r="E15" s="691">
        <f t="shared" si="10"/>
        <v>33.127643784776616</v>
      </c>
      <c r="F15" s="687" t="str">
        <f t="shared" si="2"/>
        <v>--</v>
      </c>
      <c r="G15" s="171">
        <f t="shared" si="11"/>
        <v>139.13610389606177</v>
      </c>
      <c r="H15" s="508">
        <f t="shared" si="12"/>
        <v>139.13610389606177</v>
      </c>
      <c r="I15" s="188" t="str">
        <f t="shared" si="3"/>
        <v>V</v>
      </c>
      <c r="J15" s="157">
        <f t="shared" si="4"/>
        <v>1.2591986917420001E-2</v>
      </c>
      <c r="K15" s="158" t="str">
        <f t="shared" si="5"/>
        <v>--</v>
      </c>
      <c r="L15" s="158">
        <f t="shared" si="6"/>
        <v>0.41714285714285715</v>
      </c>
      <c r="M15" s="538" t="str">
        <f t="shared" si="7"/>
        <v>--</v>
      </c>
      <c r="N15" s="158">
        <f t="shared" si="8"/>
        <v>1.7519999999999998</v>
      </c>
      <c r="O15" s="181">
        <f t="shared" si="9"/>
        <v>1E-3</v>
      </c>
    </row>
    <row r="16" spans="1:15" ht="11.25" customHeight="1">
      <c r="A16" s="897" t="s">
        <v>99</v>
      </c>
      <c r="B16" s="429" t="s">
        <v>100</v>
      </c>
      <c r="C16" s="179">
        <f t="shared" si="0"/>
        <v>5.6898221910839517</v>
      </c>
      <c r="D16" s="158" t="str">
        <f t="shared" si="1"/>
        <v>--</v>
      </c>
      <c r="E16" s="691">
        <f t="shared" si="10"/>
        <v>5.6898221910839517</v>
      </c>
      <c r="F16" s="485">
        <f t="shared" si="2"/>
        <v>24.853143330654703</v>
      </c>
      <c r="G16" s="158" t="str">
        <f t="shared" si="11"/>
        <v>--</v>
      </c>
      <c r="H16" s="508">
        <f t="shared" si="12"/>
        <v>24.853143330654703</v>
      </c>
      <c r="I16" s="188" t="str">
        <f t="shared" si="3"/>
        <v>V</v>
      </c>
      <c r="J16" s="157">
        <f t="shared" si="4"/>
        <v>6.9501226491999995E-4</v>
      </c>
      <c r="K16" s="158">
        <f t="shared" si="5"/>
        <v>3.9544962080173343E-3</v>
      </c>
      <c r="L16" s="158" t="str">
        <f t="shared" si="6"/>
        <v>--</v>
      </c>
      <c r="M16" s="538">
        <f t="shared" si="7"/>
        <v>1.7273239436619715E-2</v>
      </c>
      <c r="N16" s="158" t="str">
        <f t="shared" si="8"/>
        <v>--</v>
      </c>
      <c r="O16" s="181">
        <f t="shared" si="9"/>
        <v>1E-3</v>
      </c>
    </row>
    <row r="17" spans="1:15" ht="11.25" customHeight="1">
      <c r="A17" s="897" t="s">
        <v>101</v>
      </c>
      <c r="B17" s="429" t="s">
        <v>102</v>
      </c>
      <c r="C17" s="507" t="str">
        <f t="shared" si="0"/>
        <v>--</v>
      </c>
      <c r="D17" s="171" t="str">
        <f t="shared" si="1"/>
        <v>--</v>
      </c>
      <c r="E17" s="691" t="str">
        <f t="shared" si="10"/>
        <v>--</v>
      </c>
      <c r="F17" s="687" t="str">
        <f t="shared" si="2"/>
        <v>--</v>
      </c>
      <c r="G17" s="171" t="str">
        <f t="shared" si="11"/>
        <v>--</v>
      </c>
      <c r="H17" s="508" t="str">
        <f t="shared" si="12"/>
        <v>--</v>
      </c>
      <c r="I17" s="188" t="str">
        <f t="shared" si="3"/>
        <v>V</v>
      </c>
      <c r="J17" s="157">
        <f t="shared" si="4"/>
        <v>3.0335241210099999E-3</v>
      </c>
      <c r="K17" s="158" t="str">
        <f t="shared" si="5"/>
        <v>--</v>
      </c>
      <c r="L17" s="158" t="str">
        <f t="shared" si="6"/>
        <v>--</v>
      </c>
      <c r="M17" s="538" t="str">
        <f t="shared" si="7"/>
        <v>--</v>
      </c>
      <c r="N17" s="158" t="str">
        <f t="shared" si="8"/>
        <v>--</v>
      </c>
      <c r="O17" s="181">
        <f t="shared" si="9"/>
        <v>1E-3</v>
      </c>
    </row>
    <row r="18" spans="1:15" ht="11.25" customHeight="1">
      <c r="A18" s="897" t="s">
        <v>103</v>
      </c>
      <c r="B18" s="429" t="s">
        <v>104</v>
      </c>
      <c r="C18" s="507" t="str">
        <f t="shared" si="0"/>
        <v>--</v>
      </c>
      <c r="D18" s="171" t="str">
        <f t="shared" si="1"/>
        <v>--</v>
      </c>
      <c r="E18" s="691" t="str">
        <f t="shared" si="10"/>
        <v>--</v>
      </c>
      <c r="F18" s="687" t="str">
        <f t="shared" si="2"/>
        <v>--</v>
      </c>
      <c r="G18" s="171" t="str">
        <f t="shared" si="11"/>
        <v>--</v>
      </c>
      <c r="H18" s="508" t="str">
        <f t="shared" si="12"/>
        <v>--</v>
      </c>
      <c r="I18" s="188" t="str">
        <f t="shared" si="3"/>
        <v>NV</v>
      </c>
      <c r="J18" s="157">
        <f t="shared" si="4"/>
        <v>1.103843009E-5</v>
      </c>
      <c r="K18" s="158" t="str">
        <f t="shared" si="5"/>
        <v>--</v>
      </c>
      <c r="L18" s="158" t="str">
        <f t="shared" si="6"/>
        <v>--</v>
      </c>
      <c r="M18" s="538" t="str">
        <f t="shared" si="7"/>
        <v>--</v>
      </c>
      <c r="N18" s="158" t="str">
        <f t="shared" si="8"/>
        <v>--</v>
      </c>
      <c r="O18" s="181">
        <f t="shared" si="9"/>
        <v>1E-3</v>
      </c>
    </row>
    <row r="19" spans="1:15" ht="11.25" customHeight="1">
      <c r="A19" s="897" t="s">
        <v>105</v>
      </c>
      <c r="B19" s="429" t="s">
        <v>106</v>
      </c>
      <c r="C19" s="507" t="str">
        <f t="shared" si="0"/>
        <v>--</v>
      </c>
      <c r="D19" s="171" t="str">
        <f t="shared" si="1"/>
        <v>--</v>
      </c>
      <c r="E19" s="691" t="str">
        <f t="shared" si="10"/>
        <v>--</v>
      </c>
      <c r="F19" s="687" t="str">
        <f t="shared" si="2"/>
        <v>--</v>
      </c>
      <c r="G19" s="171" t="str">
        <f t="shared" si="11"/>
        <v>--</v>
      </c>
      <c r="H19" s="508" t="str">
        <f t="shared" si="12"/>
        <v>--</v>
      </c>
      <c r="I19" s="188" t="str">
        <f t="shared" si="3"/>
        <v>NV</v>
      </c>
      <c r="J19" s="157" t="str">
        <f t="shared" si="4"/>
        <v>--</v>
      </c>
      <c r="K19" s="158" t="str">
        <f t="shared" si="5"/>
        <v>--</v>
      </c>
      <c r="L19" s="158" t="str">
        <f t="shared" si="6"/>
        <v>--</v>
      </c>
      <c r="M19" s="538" t="str">
        <f t="shared" si="7"/>
        <v>--</v>
      </c>
      <c r="N19" s="158" t="str">
        <f t="shared" si="8"/>
        <v>--</v>
      </c>
      <c r="O19" s="181">
        <f t="shared" si="9"/>
        <v>1E-3</v>
      </c>
    </row>
    <row r="20" spans="1:15" ht="11.25" customHeight="1">
      <c r="A20" s="897" t="s">
        <v>107</v>
      </c>
      <c r="B20" s="429" t="s">
        <v>108</v>
      </c>
      <c r="C20" s="507">
        <f t="shared" si="0"/>
        <v>0.87552465382658373</v>
      </c>
      <c r="D20" s="171" t="str">
        <f t="shared" si="1"/>
        <v>--</v>
      </c>
      <c r="E20" s="691">
        <f t="shared" si="10"/>
        <v>0.87552465382658373</v>
      </c>
      <c r="F20" s="687">
        <f t="shared" si="2"/>
        <v>3.8242916879145175</v>
      </c>
      <c r="G20" s="171" t="str">
        <f t="shared" si="11"/>
        <v>--</v>
      </c>
      <c r="H20" s="508">
        <f t="shared" si="12"/>
        <v>3.8242916879145175</v>
      </c>
      <c r="I20" s="188" t="str">
        <f t="shared" si="3"/>
        <v>V</v>
      </c>
      <c r="J20" s="157">
        <f t="shared" si="4"/>
        <v>8.6672117743249996E-2</v>
      </c>
      <c r="K20" s="158">
        <f t="shared" si="5"/>
        <v>7.5883575883575874E-2</v>
      </c>
      <c r="L20" s="158" t="str">
        <f t="shared" si="6"/>
        <v>--</v>
      </c>
      <c r="M20" s="538">
        <f t="shared" si="7"/>
        <v>0.33145945945945937</v>
      </c>
      <c r="N20" s="158" t="str">
        <f t="shared" si="8"/>
        <v>--</v>
      </c>
      <c r="O20" s="181">
        <f t="shared" si="9"/>
        <v>1E-3</v>
      </c>
    </row>
    <row r="21" spans="1:15" ht="11.25" customHeight="1">
      <c r="A21" s="897" t="s">
        <v>109</v>
      </c>
      <c r="B21" s="429" t="s">
        <v>110</v>
      </c>
      <c r="C21" s="507">
        <f t="shared" si="0"/>
        <v>116.69694791189876</v>
      </c>
      <c r="D21" s="171" t="str">
        <f t="shared" si="1"/>
        <v>--</v>
      </c>
      <c r="E21" s="691">
        <f t="shared" si="10"/>
        <v>116.69694791189876</v>
      </c>
      <c r="F21" s="687">
        <f t="shared" si="2"/>
        <v>509.73226847917368</v>
      </c>
      <c r="G21" s="171" t="str">
        <f t="shared" si="11"/>
        <v>--</v>
      </c>
      <c r="H21" s="508">
        <f t="shared" si="12"/>
        <v>509.73226847917368</v>
      </c>
      <c r="I21" s="188" t="str">
        <f t="shared" si="3"/>
        <v>V</v>
      </c>
      <c r="J21" s="157">
        <f t="shared" si="4"/>
        <v>2.187244480785E-2</v>
      </c>
      <c r="K21" s="158">
        <f t="shared" si="5"/>
        <v>2.5524475524475521</v>
      </c>
      <c r="L21" s="158" t="str">
        <f t="shared" si="6"/>
        <v>--</v>
      </c>
      <c r="M21" s="538">
        <f t="shared" si="7"/>
        <v>11.149090909090905</v>
      </c>
      <c r="N21" s="158" t="str">
        <f t="shared" si="8"/>
        <v>--</v>
      </c>
      <c r="O21" s="181">
        <f t="shared" si="9"/>
        <v>1E-3</v>
      </c>
    </row>
    <row r="22" spans="1:15" ht="11.25" customHeight="1">
      <c r="A22" s="897" t="s">
        <v>111</v>
      </c>
      <c r="B22" s="429" t="s">
        <v>112</v>
      </c>
      <c r="C22" s="507" t="str">
        <f t="shared" si="0"/>
        <v>--</v>
      </c>
      <c r="D22" s="171">
        <f t="shared" si="1"/>
        <v>17.376216426625401</v>
      </c>
      <c r="E22" s="691">
        <f t="shared" si="10"/>
        <v>17.376216426625401</v>
      </c>
      <c r="F22" s="687" t="str">
        <f t="shared" si="2"/>
        <v>--</v>
      </c>
      <c r="G22" s="171">
        <f t="shared" si="11"/>
        <v>72.980108991826683</v>
      </c>
      <c r="H22" s="508">
        <f t="shared" si="12"/>
        <v>72.980108991826683</v>
      </c>
      <c r="I22" s="188" t="str">
        <f t="shared" si="3"/>
        <v>V</v>
      </c>
      <c r="J22" s="157">
        <f t="shared" si="4"/>
        <v>0.30008176614880999</v>
      </c>
      <c r="K22" s="158" t="str">
        <f t="shared" si="5"/>
        <v>--</v>
      </c>
      <c r="L22" s="158">
        <f t="shared" si="6"/>
        <v>5.2142857142857144</v>
      </c>
      <c r="M22" s="538" t="str">
        <f t="shared" si="7"/>
        <v>--</v>
      </c>
      <c r="N22" s="158">
        <f t="shared" si="8"/>
        <v>21.9</v>
      </c>
      <c r="O22" s="181">
        <f t="shared" si="9"/>
        <v>1E-3</v>
      </c>
    </row>
    <row r="23" spans="1:15" ht="11.25" customHeight="1">
      <c r="A23" s="897" t="s">
        <v>116</v>
      </c>
      <c r="B23" s="429" t="s">
        <v>114</v>
      </c>
      <c r="C23" s="507" t="str">
        <f t="shared" si="0"/>
        <v>--</v>
      </c>
      <c r="D23" s="171" t="str">
        <f t="shared" si="1"/>
        <v>--</v>
      </c>
      <c r="E23" s="691" t="str">
        <f t="shared" si="10"/>
        <v>--</v>
      </c>
      <c r="F23" s="687" t="str">
        <f t="shared" si="2"/>
        <v>--</v>
      </c>
      <c r="G23" s="171" t="str">
        <f t="shared" si="11"/>
        <v>--</v>
      </c>
      <c r="H23" s="508" t="str">
        <f t="shared" si="12"/>
        <v>--</v>
      </c>
      <c r="I23" s="188" t="str">
        <f t="shared" si="3"/>
        <v>NV</v>
      </c>
      <c r="J23" s="157" t="str">
        <f t="shared" si="4"/>
        <v>--</v>
      </c>
      <c r="K23" s="158" t="str">
        <f t="shared" si="5"/>
        <v>--</v>
      </c>
      <c r="L23" s="158" t="str">
        <f t="shared" si="6"/>
        <v>--</v>
      </c>
      <c r="M23" s="538" t="str">
        <f t="shared" si="7"/>
        <v>--</v>
      </c>
      <c r="N23" s="158" t="str">
        <f t="shared" si="8"/>
        <v>--</v>
      </c>
      <c r="O23" s="181">
        <f t="shared" si="9"/>
        <v>1E-3</v>
      </c>
    </row>
    <row r="24" spans="1:15" ht="11.25" customHeight="1">
      <c r="A24" s="897" t="s">
        <v>117</v>
      </c>
      <c r="B24" s="429" t="s">
        <v>118</v>
      </c>
      <c r="C24" s="507">
        <f t="shared" si="0"/>
        <v>0.41471107395020562</v>
      </c>
      <c r="D24" s="171">
        <f t="shared" si="1"/>
        <v>36.968530020704051</v>
      </c>
      <c r="E24" s="691">
        <f t="shared" si="10"/>
        <v>0.41471107395020562</v>
      </c>
      <c r="F24" s="687">
        <f t="shared" si="2"/>
        <v>1.8114579710144982</v>
      </c>
      <c r="G24" s="171">
        <f t="shared" si="11"/>
        <v>155.267826086957</v>
      </c>
      <c r="H24" s="508">
        <f t="shared" si="12"/>
        <v>1.8114579710144982</v>
      </c>
      <c r="I24" s="188" t="str">
        <f t="shared" si="3"/>
        <v>V</v>
      </c>
      <c r="J24" s="157">
        <f t="shared" si="4"/>
        <v>1.12837285363859</v>
      </c>
      <c r="K24" s="158">
        <f t="shared" si="5"/>
        <v>0.46794871794871784</v>
      </c>
      <c r="L24" s="158">
        <f t="shared" si="6"/>
        <v>41.714285714285715</v>
      </c>
      <c r="M24" s="538">
        <f t="shared" si="7"/>
        <v>2.0439999999999996</v>
      </c>
      <c r="N24" s="158">
        <f t="shared" si="8"/>
        <v>175.2</v>
      </c>
      <c r="O24" s="181">
        <f t="shared" si="9"/>
        <v>1E-3</v>
      </c>
    </row>
    <row r="25" spans="1:15" ht="11.25" customHeight="1">
      <c r="A25" s="897" t="s">
        <v>119</v>
      </c>
      <c r="B25" s="429" t="s">
        <v>120</v>
      </c>
      <c r="C25" s="507">
        <f t="shared" si="0"/>
        <v>14.130895853115922</v>
      </c>
      <c r="D25" s="171">
        <f t="shared" si="1"/>
        <v>367.40329218101402</v>
      </c>
      <c r="E25" s="691">
        <f t="shared" si="10"/>
        <v>14.130895853115922</v>
      </c>
      <c r="F25" s="687">
        <f t="shared" si="2"/>
        <v>61.723753086410333</v>
      </c>
      <c r="G25" s="171">
        <f t="shared" si="11"/>
        <v>1543.0938271602588</v>
      </c>
      <c r="H25" s="508">
        <f t="shared" si="12"/>
        <v>61.723753086410333</v>
      </c>
      <c r="I25" s="188" t="str">
        <f t="shared" si="3"/>
        <v>V</v>
      </c>
      <c r="J25" s="157">
        <f t="shared" si="4"/>
        <v>1.9869174161899999E-3</v>
      </c>
      <c r="K25" s="158">
        <f t="shared" si="5"/>
        <v>2.8076923076923072E-2</v>
      </c>
      <c r="L25" s="158">
        <f t="shared" si="6"/>
        <v>0.73</v>
      </c>
      <c r="M25" s="538">
        <f t="shared" si="7"/>
        <v>0.12263999999999996</v>
      </c>
      <c r="N25" s="158">
        <f t="shared" si="8"/>
        <v>3.0659999999999998</v>
      </c>
      <c r="O25" s="181">
        <f t="shared" si="9"/>
        <v>1E-3</v>
      </c>
    </row>
    <row r="26" spans="1:15" ht="11.25" customHeight="1">
      <c r="A26" s="897" t="s">
        <v>121</v>
      </c>
      <c r="B26" s="429" t="s">
        <v>122</v>
      </c>
      <c r="C26" s="507" t="str">
        <f t="shared" si="0"/>
        <v>--</v>
      </c>
      <c r="D26" s="171" t="str">
        <f t="shared" si="1"/>
        <v>--</v>
      </c>
      <c r="E26" s="691" t="str">
        <f t="shared" si="10"/>
        <v>--</v>
      </c>
      <c r="F26" s="687" t="str">
        <f t="shared" si="2"/>
        <v>--</v>
      </c>
      <c r="G26" s="171" t="str">
        <f t="shared" si="11"/>
        <v>--</v>
      </c>
      <c r="H26" s="508" t="str">
        <f t="shared" si="12"/>
        <v>--</v>
      </c>
      <c r="I26" s="188" t="str">
        <f t="shared" si="3"/>
        <v>NV</v>
      </c>
      <c r="J26" s="157">
        <f t="shared" si="4"/>
        <v>4.7424366309999998E-5</v>
      </c>
      <c r="K26" s="158" t="str">
        <f t="shared" si="5"/>
        <v>--</v>
      </c>
      <c r="L26" s="158" t="str">
        <f t="shared" si="6"/>
        <v>--</v>
      </c>
      <c r="M26" s="538" t="str">
        <f t="shared" si="7"/>
        <v>--</v>
      </c>
      <c r="N26" s="158" t="str">
        <f t="shared" si="8"/>
        <v>--</v>
      </c>
      <c r="O26" s="181">
        <f t="shared" si="9"/>
        <v>1E-3</v>
      </c>
    </row>
    <row r="27" spans="1:15" ht="11.25" customHeight="1">
      <c r="A27" s="897" t="s">
        <v>123</v>
      </c>
      <c r="B27" s="429" t="s">
        <v>124</v>
      </c>
      <c r="C27" s="507" t="str">
        <f t="shared" si="0"/>
        <v>--</v>
      </c>
      <c r="D27" s="171">
        <f t="shared" si="1"/>
        <v>410.1010564997631</v>
      </c>
      <c r="E27" s="691">
        <f t="shared" si="10"/>
        <v>410.1010564997631</v>
      </c>
      <c r="F27" s="687" t="str">
        <f t="shared" si="2"/>
        <v>--</v>
      </c>
      <c r="G27" s="171">
        <f t="shared" si="11"/>
        <v>1722.4244372990049</v>
      </c>
      <c r="H27" s="508">
        <f t="shared" si="12"/>
        <v>1722.4244372990049</v>
      </c>
      <c r="I27" s="188" t="str">
        <f t="shared" si="3"/>
        <v>V</v>
      </c>
      <c r="J27" s="157">
        <f t="shared" si="4"/>
        <v>0.12714636140638</v>
      </c>
      <c r="K27" s="158" t="str">
        <f t="shared" si="5"/>
        <v>--</v>
      </c>
      <c r="L27" s="158">
        <f t="shared" si="6"/>
        <v>52.142857142857146</v>
      </c>
      <c r="M27" s="538" t="str">
        <f t="shared" si="7"/>
        <v>--</v>
      </c>
      <c r="N27" s="158">
        <f t="shared" si="8"/>
        <v>218.99999999999997</v>
      </c>
      <c r="O27" s="181">
        <f t="shared" si="9"/>
        <v>1E-3</v>
      </c>
    </row>
    <row r="28" spans="1:15" ht="11.25" customHeight="1">
      <c r="A28" s="897" t="s">
        <v>125</v>
      </c>
      <c r="B28" s="429" t="s">
        <v>126</v>
      </c>
      <c r="C28" s="507" t="str">
        <f t="shared" si="0"/>
        <v>--</v>
      </c>
      <c r="D28" s="171">
        <f t="shared" si="1"/>
        <v>9192.1750321750151</v>
      </c>
      <c r="E28" s="691">
        <f t="shared" si="10"/>
        <v>9192.1750321750151</v>
      </c>
      <c r="F28" s="687" t="str">
        <f t="shared" si="2"/>
        <v>--</v>
      </c>
      <c r="G28" s="171">
        <f t="shared" si="11"/>
        <v>38607.13513513506</v>
      </c>
      <c r="H28" s="508">
        <f t="shared" si="12"/>
        <v>38607.13513513506</v>
      </c>
      <c r="I28" s="188" t="str">
        <f t="shared" si="3"/>
        <v>V</v>
      </c>
      <c r="J28" s="157">
        <f t="shared" si="4"/>
        <v>0.45380212591987001</v>
      </c>
      <c r="K28" s="158" t="str">
        <f t="shared" si="5"/>
        <v>--</v>
      </c>
      <c r="L28" s="158">
        <f t="shared" si="6"/>
        <v>4171.4285714285716</v>
      </c>
      <c r="M28" s="538" t="str">
        <f t="shared" si="7"/>
        <v>--</v>
      </c>
      <c r="N28" s="158">
        <f t="shared" si="8"/>
        <v>17520</v>
      </c>
      <c r="O28" s="181">
        <f t="shared" si="9"/>
        <v>1E-3</v>
      </c>
    </row>
    <row r="29" spans="1:15" ht="11.25" customHeight="1">
      <c r="A29" s="897" t="s">
        <v>127</v>
      </c>
      <c r="B29" s="429" t="s">
        <v>128</v>
      </c>
      <c r="C29" s="507">
        <f t="shared" si="0"/>
        <v>0.81360210693226576</v>
      </c>
      <c r="D29" s="158">
        <f t="shared" si="1"/>
        <v>13.55344881276736</v>
      </c>
      <c r="E29" s="691">
        <f t="shared" si="10"/>
        <v>0.81360210693226576</v>
      </c>
      <c r="F29" s="687">
        <f t="shared" si="2"/>
        <v>3.5538140030801371</v>
      </c>
      <c r="G29" s="158">
        <f t="shared" si="11"/>
        <v>56.924485013622906</v>
      </c>
      <c r="H29" s="508">
        <f t="shared" si="12"/>
        <v>3.5538140030801371</v>
      </c>
      <c r="I29" s="188" t="str">
        <f t="shared" si="3"/>
        <v>V</v>
      </c>
      <c r="J29" s="157">
        <f t="shared" si="4"/>
        <v>0.15004088307440999</v>
      </c>
      <c r="K29" s="158">
        <f t="shared" si="5"/>
        <v>0.1220735785953177</v>
      </c>
      <c r="L29" s="158">
        <f t="shared" si="6"/>
        <v>2.0335714285714284</v>
      </c>
      <c r="M29" s="538">
        <f t="shared" si="7"/>
        <v>0.53321739130434775</v>
      </c>
      <c r="N29" s="158">
        <f t="shared" si="8"/>
        <v>8.5409999999999986</v>
      </c>
      <c r="O29" s="181">
        <f t="shared" si="9"/>
        <v>1E-3</v>
      </c>
    </row>
    <row r="30" spans="1:15" ht="11.25" customHeight="1">
      <c r="A30" s="897" t="s">
        <v>129</v>
      </c>
      <c r="B30" s="429" t="s">
        <v>130</v>
      </c>
      <c r="C30" s="507" t="str">
        <f t="shared" ref="C30:C93" si="13">IF($I30="NV","--",IF(K30="--","--",K30/($J30*$O30*1000)))</f>
        <v>--</v>
      </c>
      <c r="D30" s="158">
        <f t="shared" ref="D30:D93" si="14">IF($I30="NV", "--", IF(L30="--","--", L30/($J30*$O30*1000)))</f>
        <v>260.28862973761193</v>
      </c>
      <c r="E30" s="691">
        <f t="shared" ref="E30:E93" si="15">IF(MIN(C30,D30)=0,"--",MIN(C30,D30))</f>
        <v>260.28862973761193</v>
      </c>
      <c r="F30" s="687" t="str">
        <f t="shared" ref="F30:F93" si="16">IF($I30="NV", "--", IF(M30="--","--", M30/(J30*$O30*1000)))</f>
        <v>--</v>
      </c>
      <c r="G30" s="158">
        <f t="shared" ref="G30:G93" si="17">IF(I30="NV","--",IF(N30="--","--",N30/(J30*O30*1000)))</f>
        <v>1093.2122448979701</v>
      </c>
      <c r="H30" s="508">
        <f t="shared" ref="H30:H93" si="18">IF(MIN(F30,G30)=0,"--",MIN(F30,G30))</f>
        <v>1093.2122448979701</v>
      </c>
      <c r="I30" s="188" t="str">
        <f t="shared" si="3"/>
        <v>V</v>
      </c>
      <c r="J30" s="157">
        <f t="shared" si="4"/>
        <v>0.36058871627146</v>
      </c>
      <c r="K30" s="158" t="str">
        <f t="shared" si="5"/>
        <v>--</v>
      </c>
      <c r="L30" s="158">
        <f t="shared" si="6"/>
        <v>93.857142857142861</v>
      </c>
      <c r="M30" s="538" t="str">
        <f t="shared" si="7"/>
        <v>--</v>
      </c>
      <c r="N30" s="158">
        <f t="shared" si="8"/>
        <v>394.2</v>
      </c>
      <c r="O30" s="181">
        <f t="shared" si="9"/>
        <v>1E-3</v>
      </c>
    </row>
    <row r="31" spans="1:15" ht="11.25" customHeight="1">
      <c r="A31" s="897" t="s">
        <v>131</v>
      </c>
      <c r="B31" s="429" t="s">
        <v>132</v>
      </c>
      <c r="C31" s="507" t="str">
        <f t="shared" si="13"/>
        <v>--</v>
      </c>
      <c r="D31" s="158" t="str">
        <f t="shared" si="14"/>
        <v>--</v>
      </c>
      <c r="E31" s="691" t="str">
        <f t="shared" si="15"/>
        <v>--</v>
      </c>
      <c r="F31" s="687" t="str">
        <f t="shared" si="16"/>
        <v>--</v>
      </c>
      <c r="G31" s="158" t="str">
        <f t="shared" si="17"/>
        <v>--</v>
      </c>
      <c r="H31" s="508" t="str">
        <f t="shared" si="18"/>
        <v>--</v>
      </c>
      <c r="I31" s="188" t="str">
        <f t="shared" si="3"/>
        <v>V</v>
      </c>
      <c r="J31" s="157">
        <f t="shared" si="4"/>
        <v>4.5789043335999998E-4</v>
      </c>
      <c r="K31" s="158" t="str">
        <f t="shared" si="5"/>
        <v>--</v>
      </c>
      <c r="L31" s="158" t="str">
        <f t="shared" si="6"/>
        <v>--</v>
      </c>
      <c r="M31" s="538" t="str">
        <f t="shared" si="7"/>
        <v>--</v>
      </c>
      <c r="N31" s="158" t="str">
        <f t="shared" si="8"/>
        <v>--</v>
      </c>
      <c r="O31" s="181">
        <f t="shared" si="9"/>
        <v>1E-3</v>
      </c>
    </row>
    <row r="32" spans="1:15" ht="11.25" customHeight="1">
      <c r="A32" s="897" t="s">
        <v>133</v>
      </c>
      <c r="B32" s="429" t="s">
        <v>134</v>
      </c>
      <c r="C32" s="507" t="str">
        <f t="shared" si="13"/>
        <v>--</v>
      </c>
      <c r="D32" s="158" t="str">
        <f t="shared" si="14"/>
        <v>--</v>
      </c>
      <c r="E32" s="691" t="str">
        <f t="shared" si="15"/>
        <v>--</v>
      </c>
      <c r="F32" s="687" t="str">
        <f t="shared" si="16"/>
        <v>--</v>
      </c>
      <c r="G32" s="158" t="str">
        <f t="shared" si="17"/>
        <v>--</v>
      </c>
      <c r="H32" s="508" t="str">
        <f t="shared" si="18"/>
        <v>--</v>
      </c>
      <c r="I32" s="188" t="str">
        <f t="shared" si="3"/>
        <v>NV</v>
      </c>
      <c r="J32" s="157" t="str">
        <f t="shared" si="4"/>
        <v>--</v>
      </c>
      <c r="K32" s="158" t="str">
        <f t="shared" si="5"/>
        <v>--</v>
      </c>
      <c r="L32" s="158" t="str">
        <f t="shared" si="6"/>
        <v>--</v>
      </c>
      <c r="M32" s="538" t="str">
        <f t="shared" si="7"/>
        <v>--</v>
      </c>
      <c r="N32" s="158" t="str">
        <f t="shared" si="8"/>
        <v>--</v>
      </c>
      <c r="O32" s="181">
        <f t="shared" si="9"/>
        <v>1E-3</v>
      </c>
    </row>
    <row r="33" spans="1:15" ht="11.25" customHeight="1">
      <c r="A33" s="897" t="s">
        <v>135</v>
      </c>
      <c r="B33" s="429" t="s">
        <v>136</v>
      </c>
      <c r="C33" s="507" t="str">
        <f t="shared" si="13"/>
        <v>--</v>
      </c>
      <c r="D33" s="158" t="str">
        <f t="shared" si="14"/>
        <v>--</v>
      </c>
      <c r="E33" s="691" t="str">
        <f t="shared" si="15"/>
        <v>--</v>
      </c>
      <c r="F33" s="687" t="str">
        <f t="shared" si="16"/>
        <v>--</v>
      </c>
      <c r="G33" s="158" t="str">
        <f t="shared" si="17"/>
        <v>--</v>
      </c>
      <c r="H33" s="508" t="str">
        <f t="shared" si="18"/>
        <v>--</v>
      </c>
      <c r="I33" s="188" t="str">
        <f t="shared" si="3"/>
        <v>NV</v>
      </c>
      <c r="J33" s="157" t="str">
        <f t="shared" si="4"/>
        <v>--</v>
      </c>
      <c r="K33" s="158" t="str">
        <f t="shared" si="5"/>
        <v>--</v>
      </c>
      <c r="L33" s="158" t="str">
        <f t="shared" si="6"/>
        <v>--</v>
      </c>
      <c r="M33" s="538" t="str">
        <f t="shared" si="7"/>
        <v>--</v>
      </c>
      <c r="N33" s="158" t="str">
        <f t="shared" si="8"/>
        <v>--</v>
      </c>
      <c r="O33" s="181">
        <f t="shared" si="9"/>
        <v>1E-3</v>
      </c>
    </row>
    <row r="34" spans="1:15" ht="11.25" customHeight="1">
      <c r="A34" s="897" t="s">
        <v>137</v>
      </c>
      <c r="B34" s="429" t="s">
        <v>138</v>
      </c>
      <c r="C34" s="507" t="str">
        <f t="shared" si="13"/>
        <v>--</v>
      </c>
      <c r="D34" s="158" t="str">
        <f t="shared" si="14"/>
        <v>--</v>
      </c>
      <c r="E34" s="691" t="str">
        <f t="shared" si="15"/>
        <v>--</v>
      </c>
      <c r="F34" s="687" t="str">
        <f t="shared" si="16"/>
        <v>--</v>
      </c>
      <c r="G34" s="158" t="str">
        <f t="shared" si="17"/>
        <v>--</v>
      </c>
      <c r="H34" s="508" t="str">
        <f t="shared" si="18"/>
        <v>--</v>
      </c>
      <c r="I34" s="188" t="str">
        <f t="shared" si="3"/>
        <v>NV</v>
      </c>
      <c r="J34" s="157" t="str">
        <f t="shared" si="4"/>
        <v>--</v>
      </c>
      <c r="K34" s="158" t="str">
        <f t="shared" si="5"/>
        <v>--</v>
      </c>
      <c r="L34" s="158" t="str">
        <f t="shared" si="6"/>
        <v>--</v>
      </c>
      <c r="M34" s="538" t="str">
        <f t="shared" si="7"/>
        <v>--</v>
      </c>
      <c r="N34" s="158" t="str">
        <f t="shared" si="8"/>
        <v>--</v>
      </c>
      <c r="O34" s="181">
        <f t="shared" si="9"/>
        <v>1E-3</v>
      </c>
    </row>
    <row r="35" spans="1:15" ht="11.25" customHeight="1">
      <c r="A35" s="897" t="s">
        <v>139</v>
      </c>
      <c r="B35" s="429" t="s">
        <v>140</v>
      </c>
      <c r="C35" s="507" t="str">
        <f t="shared" si="13"/>
        <v>--</v>
      </c>
      <c r="D35" s="158" t="str">
        <f t="shared" si="14"/>
        <v>--</v>
      </c>
      <c r="E35" s="691" t="str">
        <f t="shared" si="15"/>
        <v>--</v>
      </c>
      <c r="F35" s="687" t="str">
        <f t="shared" si="16"/>
        <v>--</v>
      </c>
      <c r="G35" s="158" t="str">
        <f t="shared" si="17"/>
        <v>--</v>
      </c>
      <c r="H35" s="508" t="str">
        <f t="shared" si="18"/>
        <v>--</v>
      </c>
      <c r="I35" s="188" t="str">
        <f t="shared" si="3"/>
        <v>NV</v>
      </c>
      <c r="J35" s="157" t="str">
        <f t="shared" si="4"/>
        <v>--</v>
      </c>
      <c r="K35" s="158" t="str">
        <f t="shared" si="5"/>
        <v>--</v>
      </c>
      <c r="L35" s="158" t="str">
        <f t="shared" si="6"/>
        <v>--</v>
      </c>
      <c r="M35" s="538" t="str">
        <f t="shared" si="7"/>
        <v>--</v>
      </c>
      <c r="N35" s="158" t="str">
        <f t="shared" si="8"/>
        <v>--</v>
      </c>
      <c r="O35" s="181">
        <f t="shared" si="9"/>
        <v>1E-3</v>
      </c>
    </row>
    <row r="36" spans="1:15" ht="11.25" customHeight="1">
      <c r="A36" s="897" t="s">
        <v>141</v>
      </c>
      <c r="B36" s="429" t="s">
        <v>142</v>
      </c>
      <c r="C36" s="507" t="str">
        <f t="shared" si="13"/>
        <v>--</v>
      </c>
      <c r="D36" s="158" t="str">
        <f t="shared" si="14"/>
        <v>--</v>
      </c>
      <c r="E36" s="691" t="str">
        <f t="shared" si="15"/>
        <v>--</v>
      </c>
      <c r="F36" s="687" t="str">
        <f t="shared" si="16"/>
        <v>--</v>
      </c>
      <c r="G36" s="158" t="str">
        <f t="shared" si="17"/>
        <v>--</v>
      </c>
      <c r="H36" s="508" t="str">
        <f t="shared" si="18"/>
        <v>--</v>
      </c>
      <c r="I36" s="188" t="str">
        <f t="shared" si="3"/>
        <v>NV</v>
      </c>
      <c r="J36" s="157" t="str">
        <f t="shared" si="4"/>
        <v>--</v>
      </c>
      <c r="K36" s="158" t="str">
        <f t="shared" si="5"/>
        <v>--</v>
      </c>
      <c r="L36" s="158" t="str">
        <f t="shared" si="6"/>
        <v>--</v>
      </c>
      <c r="M36" s="538" t="str">
        <f t="shared" si="7"/>
        <v>--</v>
      </c>
      <c r="N36" s="158" t="str">
        <f t="shared" si="8"/>
        <v>--</v>
      </c>
      <c r="O36" s="181">
        <f t="shared" si="9"/>
        <v>1E-3</v>
      </c>
    </row>
    <row r="37" spans="1:15" ht="11.25" customHeight="1">
      <c r="A37" s="897" t="s">
        <v>143</v>
      </c>
      <c r="B37" s="429" t="s">
        <v>144</v>
      </c>
      <c r="C37" s="507" t="str">
        <f t="shared" si="13"/>
        <v>--</v>
      </c>
      <c r="D37" s="158">
        <f t="shared" si="14"/>
        <v>201.03270223752151</v>
      </c>
      <c r="E37" s="691">
        <f t="shared" si="15"/>
        <v>201.03270223752151</v>
      </c>
      <c r="F37" s="687" t="str">
        <f t="shared" si="16"/>
        <v>--</v>
      </c>
      <c r="G37" s="158">
        <f t="shared" si="17"/>
        <v>844.33734939759029</v>
      </c>
      <c r="H37" s="508">
        <f t="shared" si="18"/>
        <v>844.33734939759029</v>
      </c>
      <c r="I37" s="188" t="str">
        <f t="shared" si="3"/>
        <v>V</v>
      </c>
      <c r="J37" s="157">
        <f t="shared" si="4"/>
        <v>4.15E-3</v>
      </c>
      <c r="K37" s="158" t="str">
        <f t="shared" si="5"/>
        <v>--</v>
      </c>
      <c r="L37" s="158">
        <f t="shared" si="6"/>
        <v>0.8342857142857143</v>
      </c>
      <c r="M37" s="538" t="str">
        <f t="shared" si="7"/>
        <v>--</v>
      </c>
      <c r="N37" s="158">
        <f t="shared" si="8"/>
        <v>3.5039999999999996</v>
      </c>
      <c r="O37" s="181">
        <f t="shared" si="9"/>
        <v>1E-3</v>
      </c>
    </row>
    <row r="38" spans="1:15" ht="11.25" customHeight="1">
      <c r="A38" s="897" t="s">
        <v>145</v>
      </c>
      <c r="B38" s="429" t="s">
        <v>146</v>
      </c>
      <c r="C38" s="507" t="str">
        <f t="shared" si="13"/>
        <v>--</v>
      </c>
      <c r="D38" s="158" t="str">
        <f t="shared" si="14"/>
        <v>--</v>
      </c>
      <c r="E38" s="691" t="str">
        <f t="shared" si="15"/>
        <v>--</v>
      </c>
      <c r="F38" s="687" t="str">
        <f t="shared" si="16"/>
        <v>--</v>
      </c>
      <c r="G38" s="158" t="str">
        <f t="shared" si="17"/>
        <v>--</v>
      </c>
      <c r="H38" s="508" t="str">
        <f t="shared" si="18"/>
        <v>--</v>
      </c>
      <c r="I38" s="188" t="str">
        <f t="shared" si="3"/>
        <v>V</v>
      </c>
      <c r="J38" s="157">
        <f t="shared" si="4"/>
        <v>3.2011447260830002E-2</v>
      </c>
      <c r="K38" s="158" t="str">
        <f t="shared" si="5"/>
        <v>--</v>
      </c>
      <c r="L38" s="158" t="str">
        <f t="shared" si="6"/>
        <v>--</v>
      </c>
      <c r="M38" s="538" t="str">
        <f t="shared" si="7"/>
        <v>--</v>
      </c>
      <c r="N38" s="158" t="str">
        <f t="shared" si="8"/>
        <v>--</v>
      </c>
      <c r="O38" s="181">
        <f t="shared" si="9"/>
        <v>1E-3</v>
      </c>
    </row>
    <row r="39" spans="1:15" ht="11.25" customHeight="1">
      <c r="A39" s="897" t="s">
        <v>147</v>
      </c>
      <c r="B39" s="429" t="s">
        <v>148</v>
      </c>
      <c r="C39" s="507">
        <f t="shared" si="13"/>
        <v>2.8117598891397772E-2</v>
      </c>
      <c r="D39" s="158">
        <f t="shared" si="14"/>
        <v>34.705150631668118</v>
      </c>
      <c r="E39" s="691">
        <f t="shared" si="15"/>
        <v>2.8117598891397772E-2</v>
      </c>
      <c r="F39" s="687">
        <f t="shared" si="16"/>
        <v>0.34011047619034745</v>
      </c>
      <c r="G39" s="158">
        <f t="shared" si="17"/>
        <v>145.76163265300607</v>
      </c>
      <c r="H39" s="508">
        <f t="shared" si="18"/>
        <v>0.34011047619034745</v>
      </c>
      <c r="I39" s="188" t="str">
        <f t="shared" ref="I39:I70" si="19">VLOOKUP($A39,Table_IP_1,MATCH("volatility",heading_IP_1,0),FALSE)</f>
        <v>V</v>
      </c>
      <c r="J39" s="157">
        <f t="shared" ref="J39:J70" si="20">VLOOKUP($A39,Table_IP_1,MATCH("H'",heading_IP_1,0),FALSE)</f>
        <v>6.0098119378600001E-3</v>
      </c>
      <c r="K39" s="158">
        <f t="shared" ref="K39:K70" si="21">VLOOKUP($A39, Table_IA_1, MATCH("IA-Res-C", heading_IA_1, 0), FALSE)</f>
        <v>1.6898148148148143E-4</v>
      </c>
      <c r="L39" s="158">
        <f t="shared" ref="L39:L70" si="22">VLOOKUP($A39, Table_IA_1, MATCH("IA-Res-NC", heading_IA_1, 0), FALSE)</f>
        <v>0.20857142857142857</v>
      </c>
      <c r="M39" s="538">
        <f t="shared" ref="M39:M70" si="23">VLOOKUP($A39, Table_IA_1, MATCH("IA-Com-C", heading_IA_1, 0), FALSE)</f>
        <v>2.0439999999999994E-3</v>
      </c>
      <c r="N39" s="158">
        <f t="shared" ref="N39:N70" si="24">VLOOKUP($A39, Table_IA_1, MATCH("IA-Com-NC", heading_IA_1, 0), FALSE)</f>
        <v>0.87599999999999989</v>
      </c>
      <c r="O39" s="181">
        <f t="shared" si="9"/>
        <v>1E-3</v>
      </c>
    </row>
    <row r="40" spans="1:15" ht="11.25" customHeight="1">
      <c r="A40" s="897" t="s">
        <v>149</v>
      </c>
      <c r="B40" s="429" t="s">
        <v>150</v>
      </c>
      <c r="C40" s="507">
        <f t="shared" si="13"/>
        <v>0.17609270216960551</v>
      </c>
      <c r="D40" s="158">
        <f t="shared" si="14"/>
        <v>31.394813186809671</v>
      </c>
      <c r="E40" s="691">
        <f t="shared" si="15"/>
        <v>0.17609270216960551</v>
      </c>
      <c r="F40" s="687">
        <f t="shared" si="16"/>
        <v>0.76917292307683682</v>
      </c>
      <c r="G40" s="158">
        <f t="shared" si="17"/>
        <v>131.85821538460061</v>
      </c>
      <c r="H40" s="508">
        <f t="shared" si="18"/>
        <v>0.76917292307683682</v>
      </c>
      <c r="I40" s="188" t="str">
        <f t="shared" si="19"/>
        <v>V</v>
      </c>
      <c r="J40" s="157">
        <f t="shared" si="20"/>
        <v>2.6573998364679999E-2</v>
      </c>
      <c r="K40" s="158">
        <f t="shared" si="21"/>
        <v>4.679487179487179E-3</v>
      </c>
      <c r="L40" s="158">
        <f t="shared" si="22"/>
        <v>0.8342857142857143</v>
      </c>
      <c r="M40" s="538">
        <f t="shared" si="23"/>
        <v>2.0439999999999996E-2</v>
      </c>
      <c r="N40" s="158">
        <f t="shared" si="24"/>
        <v>3.5039999999999996</v>
      </c>
      <c r="O40" s="181">
        <f t="shared" si="9"/>
        <v>1E-3</v>
      </c>
    </row>
    <row r="41" spans="1:15" ht="11.25" customHeight="1">
      <c r="A41" s="897" t="s">
        <v>151</v>
      </c>
      <c r="B41" s="429" t="s">
        <v>152</v>
      </c>
      <c r="C41" s="507" t="str">
        <f t="shared" si="13"/>
        <v>--</v>
      </c>
      <c r="D41" s="158">
        <f t="shared" si="14"/>
        <v>2657.1130952379331</v>
      </c>
      <c r="E41" s="691">
        <f t="shared" si="15"/>
        <v>2657.1130952379331</v>
      </c>
      <c r="F41" s="687" t="str">
        <f t="shared" si="16"/>
        <v>--</v>
      </c>
      <c r="G41" s="158">
        <f t="shared" si="17"/>
        <v>11159.874999999318</v>
      </c>
      <c r="H41" s="508">
        <f t="shared" si="18"/>
        <v>11159.874999999318</v>
      </c>
      <c r="I41" s="188" t="str">
        <f t="shared" si="19"/>
        <v>V</v>
      </c>
      <c r="J41" s="157">
        <f t="shared" si="20"/>
        <v>7.8495502861819999E-2</v>
      </c>
      <c r="K41" s="158" t="str">
        <f t="shared" si="21"/>
        <v>--</v>
      </c>
      <c r="L41" s="158">
        <f t="shared" si="22"/>
        <v>208.57142857142858</v>
      </c>
      <c r="M41" s="538" t="str">
        <f t="shared" si="23"/>
        <v>--</v>
      </c>
      <c r="N41" s="158">
        <f t="shared" si="24"/>
        <v>875.99999999999989</v>
      </c>
      <c r="O41" s="181">
        <f t="shared" si="9"/>
        <v>1E-3</v>
      </c>
    </row>
    <row r="42" spans="1:15" ht="11.25" customHeight="1">
      <c r="A42" s="897" t="s">
        <v>153</v>
      </c>
      <c r="B42" s="429" t="s">
        <v>154</v>
      </c>
      <c r="C42" s="507">
        <f t="shared" si="13"/>
        <v>2.5905753997040555</v>
      </c>
      <c r="D42" s="158">
        <f t="shared" si="14"/>
        <v>8467.4807350326846</v>
      </c>
      <c r="E42" s="691">
        <f t="shared" si="15"/>
        <v>2.5905753997040555</v>
      </c>
      <c r="F42" s="687">
        <f t="shared" si="16"/>
        <v>11.315633345907312</v>
      </c>
      <c r="G42" s="158">
        <f t="shared" si="17"/>
        <v>35563.41908713727</v>
      </c>
      <c r="H42" s="508">
        <f t="shared" si="18"/>
        <v>11.315633345907312</v>
      </c>
      <c r="I42" s="188" t="str">
        <f t="shared" si="19"/>
        <v>V</v>
      </c>
      <c r="J42" s="157">
        <f t="shared" si="20"/>
        <v>9.8528209321340002E-2</v>
      </c>
      <c r="K42" s="158">
        <f t="shared" si="21"/>
        <v>0.25524475524475521</v>
      </c>
      <c r="L42" s="158">
        <f t="shared" si="22"/>
        <v>834.28571428571433</v>
      </c>
      <c r="M42" s="538">
        <f t="shared" si="23"/>
        <v>1.1149090909090906</v>
      </c>
      <c r="N42" s="158">
        <f t="shared" si="24"/>
        <v>3503.9999999999995</v>
      </c>
      <c r="O42" s="181">
        <f t="shared" si="9"/>
        <v>1E-3</v>
      </c>
    </row>
    <row r="43" spans="1:15" ht="11.25" customHeight="1">
      <c r="A43" s="897" t="s">
        <v>155</v>
      </c>
      <c r="B43" s="429" t="s">
        <v>156</v>
      </c>
      <c r="C43" s="507" t="str">
        <f t="shared" si="13"/>
        <v>--</v>
      </c>
      <c r="D43" s="158" t="str">
        <f t="shared" si="14"/>
        <v>--</v>
      </c>
      <c r="E43" s="691" t="str">
        <f t="shared" si="15"/>
        <v>--</v>
      </c>
      <c r="F43" s="687" t="str">
        <f t="shared" si="16"/>
        <v>--</v>
      </c>
      <c r="G43" s="158" t="str">
        <f t="shared" si="17"/>
        <v>--</v>
      </c>
      <c r="H43" s="508" t="str">
        <f t="shared" si="18"/>
        <v>--</v>
      </c>
      <c r="I43" s="188" t="str">
        <f t="shared" si="19"/>
        <v>NV</v>
      </c>
      <c r="J43" s="157">
        <f t="shared" si="20"/>
        <v>1.16107931316E-9</v>
      </c>
      <c r="K43" s="158" t="str">
        <f t="shared" si="21"/>
        <v>--</v>
      </c>
      <c r="L43" s="158" t="str">
        <f t="shared" si="22"/>
        <v>--</v>
      </c>
      <c r="M43" s="538" t="str">
        <f t="shared" si="23"/>
        <v>--</v>
      </c>
      <c r="N43" s="158" t="str">
        <f t="shared" si="24"/>
        <v>--</v>
      </c>
      <c r="O43" s="181">
        <f t="shared" si="9"/>
        <v>1E-3</v>
      </c>
    </row>
    <row r="44" spans="1:15" ht="11.25" customHeight="1">
      <c r="A44" s="897" t="s">
        <v>157</v>
      </c>
      <c r="B44" s="429" t="s">
        <v>158</v>
      </c>
      <c r="C44" s="507" t="str">
        <f t="shared" si="13"/>
        <v>--</v>
      </c>
      <c r="D44" s="158" t="str">
        <f t="shared" si="14"/>
        <v>--</v>
      </c>
      <c r="E44" s="691" t="str">
        <f t="shared" si="15"/>
        <v>--</v>
      </c>
      <c r="F44" s="687" t="str">
        <f t="shared" si="16"/>
        <v>--</v>
      </c>
      <c r="G44" s="158" t="str">
        <f t="shared" si="17"/>
        <v>--</v>
      </c>
      <c r="H44" s="508" t="str">
        <f t="shared" si="18"/>
        <v>--</v>
      </c>
      <c r="I44" s="188" t="str">
        <f t="shared" si="19"/>
        <v>NV</v>
      </c>
      <c r="J44" s="157">
        <f t="shared" si="20"/>
        <v>2.6982829108999998E-4</v>
      </c>
      <c r="K44" s="158" t="str">
        <f t="shared" si="21"/>
        <v>--</v>
      </c>
      <c r="L44" s="158" t="str">
        <f t="shared" si="22"/>
        <v>--</v>
      </c>
      <c r="M44" s="538" t="str">
        <f t="shared" si="23"/>
        <v>--</v>
      </c>
      <c r="N44" s="158" t="str">
        <f t="shared" si="24"/>
        <v>--</v>
      </c>
      <c r="O44" s="181">
        <f t="shared" si="9"/>
        <v>1E-3</v>
      </c>
    </row>
    <row r="45" spans="1:15" ht="11.25" customHeight="1">
      <c r="A45" s="897" t="s">
        <v>159</v>
      </c>
      <c r="B45" s="429" t="s">
        <v>160</v>
      </c>
      <c r="C45" s="507">
        <f t="shared" si="13"/>
        <v>17.019268895253461</v>
      </c>
      <c r="D45" s="158" t="str">
        <f t="shared" si="14"/>
        <v>--</v>
      </c>
      <c r="E45" s="691">
        <f t="shared" si="15"/>
        <v>17.019268895253461</v>
      </c>
      <c r="F45" s="687">
        <f t="shared" si="16"/>
        <v>74.340166534467116</v>
      </c>
      <c r="G45" s="158" t="str">
        <f t="shared" si="17"/>
        <v>--</v>
      </c>
      <c r="H45" s="508">
        <f t="shared" si="18"/>
        <v>74.340166534467116</v>
      </c>
      <c r="I45" s="188" t="str">
        <f t="shared" si="19"/>
        <v>V</v>
      </c>
      <c r="J45" s="157">
        <f t="shared" si="20"/>
        <v>1.7007358953399999E-3</v>
      </c>
      <c r="K45" s="158">
        <f t="shared" si="21"/>
        <v>2.8945281522601105E-2</v>
      </c>
      <c r="L45" s="158" t="str">
        <f t="shared" si="22"/>
        <v>--</v>
      </c>
      <c r="M45" s="538">
        <f t="shared" si="23"/>
        <v>0.12643298969072164</v>
      </c>
      <c r="N45" s="158" t="str">
        <f t="shared" si="24"/>
        <v>--</v>
      </c>
      <c r="O45" s="181">
        <f t="shared" si="9"/>
        <v>1E-3</v>
      </c>
    </row>
    <row r="46" spans="1:15" ht="11.25" customHeight="1">
      <c r="A46" s="897" t="s">
        <v>161</v>
      </c>
      <c r="B46" s="429" t="s">
        <v>162</v>
      </c>
      <c r="C46" s="507" t="str">
        <f t="shared" si="13"/>
        <v>--</v>
      </c>
      <c r="D46" s="158" t="str">
        <f t="shared" si="14"/>
        <v>--</v>
      </c>
      <c r="E46" s="691" t="str">
        <f t="shared" si="15"/>
        <v>--</v>
      </c>
      <c r="F46" s="687" t="str">
        <f t="shared" si="16"/>
        <v>--</v>
      </c>
      <c r="G46" s="158" t="str">
        <f t="shared" si="17"/>
        <v>--</v>
      </c>
      <c r="H46" s="508" t="str">
        <f t="shared" si="18"/>
        <v>--</v>
      </c>
      <c r="I46" s="188" t="str">
        <f t="shared" si="19"/>
        <v>NV</v>
      </c>
      <c r="J46" s="157">
        <f t="shared" si="20"/>
        <v>3.4014717906999999E-4</v>
      </c>
      <c r="K46" s="158" t="str">
        <f t="shared" si="21"/>
        <v>--</v>
      </c>
      <c r="L46" s="158" t="str">
        <f t="shared" si="22"/>
        <v>--</v>
      </c>
      <c r="M46" s="538" t="str">
        <f t="shared" si="23"/>
        <v>--</v>
      </c>
      <c r="N46" s="158" t="str">
        <f t="shared" si="24"/>
        <v>--</v>
      </c>
      <c r="O46" s="181">
        <f t="shared" si="9"/>
        <v>1E-3</v>
      </c>
    </row>
    <row r="47" spans="1:15" ht="11.25" customHeight="1">
      <c r="A47" s="897" t="s">
        <v>163</v>
      </c>
      <c r="B47" s="429" t="s">
        <v>164</v>
      </c>
      <c r="C47" s="507">
        <f t="shared" si="13"/>
        <v>7.6374726252394707</v>
      </c>
      <c r="D47" s="158" t="str">
        <f t="shared" si="14"/>
        <v>--</v>
      </c>
      <c r="E47" s="691">
        <f t="shared" si="15"/>
        <v>7.6374726252394707</v>
      </c>
      <c r="F47" s="687">
        <f t="shared" si="16"/>
        <v>33.360480427046006</v>
      </c>
      <c r="G47" s="158" t="str">
        <f t="shared" si="17"/>
        <v>--</v>
      </c>
      <c r="H47" s="508">
        <f t="shared" si="18"/>
        <v>33.360480427046006</v>
      </c>
      <c r="I47" s="188" t="str">
        <f t="shared" si="19"/>
        <v>V</v>
      </c>
      <c r="J47" s="157">
        <f t="shared" si="20"/>
        <v>0.22976287816843999</v>
      </c>
      <c r="K47" s="158">
        <f t="shared" si="21"/>
        <v>1.7548076923076921</v>
      </c>
      <c r="L47" s="158" t="str">
        <f t="shared" si="22"/>
        <v>--</v>
      </c>
      <c r="M47" s="538">
        <f t="shared" si="23"/>
        <v>7.6649999999999983</v>
      </c>
      <c r="N47" s="158" t="str">
        <f t="shared" si="24"/>
        <v>--</v>
      </c>
      <c r="O47" s="181">
        <f t="shared" si="9"/>
        <v>1E-3</v>
      </c>
    </row>
    <row r="48" spans="1:15" ht="11.25" customHeight="1">
      <c r="A48" s="897" t="s">
        <v>165</v>
      </c>
      <c r="B48" s="429" t="s">
        <v>166</v>
      </c>
      <c r="C48" s="507">
        <f t="shared" si="13"/>
        <v>2.2384665530037382</v>
      </c>
      <c r="D48" s="158">
        <f t="shared" si="14"/>
        <v>151.32033898305272</v>
      </c>
      <c r="E48" s="691">
        <f t="shared" si="15"/>
        <v>2.2384665530037382</v>
      </c>
      <c r="F48" s="687">
        <f t="shared" si="16"/>
        <v>9.7776219035203287</v>
      </c>
      <c r="G48" s="158">
        <f t="shared" si="17"/>
        <v>635.54542372882133</v>
      </c>
      <c r="H48" s="508">
        <f t="shared" si="18"/>
        <v>9.7776219035203287</v>
      </c>
      <c r="I48" s="188" t="str">
        <f t="shared" si="19"/>
        <v>V</v>
      </c>
      <c r="J48" s="157">
        <f t="shared" si="20"/>
        <v>4.824202780049E-2</v>
      </c>
      <c r="K48" s="158">
        <f t="shared" si="21"/>
        <v>0.10798816568047337</v>
      </c>
      <c r="L48" s="158">
        <f t="shared" si="22"/>
        <v>7.3</v>
      </c>
      <c r="M48" s="538">
        <f t="shared" si="23"/>
        <v>0.47169230769230763</v>
      </c>
      <c r="N48" s="158">
        <f t="shared" si="24"/>
        <v>30.659999999999997</v>
      </c>
      <c r="O48" s="181">
        <f t="shared" si="9"/>
        <v>1E-3</v>
      </c>
    </row>
    <row r="49" spans="1:15" ht="11.25" customHeight="1">
      <c r="A49" s="897" t="s">
        <v>167</v>
      </c>
      <c r="B49" s="429" t="s">
        <v>168</v>
      </c>
      <c r="C49" s="507" t="str">
        <f t="shared" si="13"/>
        <v>--</v>
      </c>
      <c r="D49" s="158">
        <f t="shared" si="14"/>
        <v>3.8702226600985239</v>
      </c>
      <c r="E49" s="691">
        <f t="shared" si="15"/>
        <v>3.8702226600985239</v>
      </c>
      <c r="F49" s="687" t="str">
        <f t="shared" si="16"/>
        <v>--</v>
      </c>
      <c r="G49" s="158">
        <f t="shared" si="17"/>
        <v>16.254935172413798</v>
      </c>
      <c r="H49" s="508">
        <f t="shared" si="18"/>
        <v>16.254935172413798</v>
      </c>
      <c r="I49" s="188" t="str">
        <f t="shared" si="19"/>
        <v>V</v>
      </c>
      <c r="J49" s="157">
        <f t="shared" si="20"/>
        <v>1.0670482420278</v>
      </c>
      <c r="K49" s="158" t="str">
        <f t="shared" si="21"/>
        <v>--</v>
      </c>
      <c r="L49" s="158">
        <f t="shared" si="22"/>
        <v>4.1297142857142859</v>
      </c>
      <c r="M49" s="538" t="str">
        <f t="shared" si="23"/>
        <v>--</v>
      </c>
      <c r="N49" s="158">
        <f t="shared" si="24"/>
        <v>17.344799999999999</v>
      </c>
      <c r="O49" s="181">
        <f t="shared" si="9"/>
        <v>1E-3</v>
      </c>
    </row>
    <row r="50" spans="1:15" ht="11.25" customHeight="1">
      <c r="A50" s="897" t="s">
        <v>169</v>
      </c>
      <c r="B50" s="429" t="s">
        <v>170</v>
      </c>
      <c r="C50" s="507" t="str">
        <f t="shared" si="13"/>
        <v>--</v>
      </c>
      <c r="D50" s="158">
        <f t="shared" si="14"/>
        <v>250.08123249299314</v>
      </c>
      <c r="E50" s="691">
        <f t="shared" si="15"/>
        <v>250.08123249299314</v>
      </c>
      <c r="F50" s="687" t="str">
        <f t="shared" si="16"/>
        <v>--</v>
      </c>
      <c r="G50" s="158">
        <f t="shared" si="17"/>
        <v>1050.3411764705711</v>
      </c>
      <c r="H50" s="508">
        <f t="shared" si="18"/>
        <v>1050.3411764705711</v>
      </c>
      <c r="I50" s="188" t="str">
        <f t="shared" si="19"/>
        <v>V</v>
      </c>
      <c r="J50" s="157">
        <f t="shared" si="20"/>
        <v>0.16680294358136</v>
      </c>
      <c r="K50" s="158" t="str">
        <f t="shared" si="21"/>
        <v>--</v>
      </c>
      <c r="L50" s="158">
        <f t="shared" si="22"/>
        <v>41.714285714285715</v>
      </c>
      <c r="M50" s="538" t="str">
        <f t="shared" si="23"/>
        <v>--</v>
      </c>
      <c r="N50" s="158">
        <f t="shared" si="24"/>
        <v>175.2</v>
      </c>
      <c r="O50" s="181">
        <f t="shared" si="9"/>
        <v>1E-3</v>
      </c>
    </row>
    <row r="51" spans="1:15" ht="11.25" customHeight="1">
      <c r="A51" s="897" t="s">
        <v>171</v>
      </c>
      <c r="B51" s="429" t="s">
        <v>172</v>
      </c>
      <c r="C51" s="507" t="str">
        <f t="shared" si="13"/>
        <v>--</v>
      </c>
      <c r="D51" s="158">
        <f t="shared" si="14"/>
        <v>108.77733780079281</v>
      </c>
      <c r="E51" s="691">
        <f t="shared" si="15"/>
        <v>108.77733780079281</v>
      </c>
      <c r="F51" s="687" t="str">
        <f t="shared" si="16"/>
        <v>--</v>
      </c>
      <c r="G51" s="158">
        <f t="shared" si="17"/>
        <v>456.86481876332977</v>
      </c>
      <c r="H51" s="508">
        <f t="shared" si="18"/>
        <v>456.86481876332977</v>
      </c>
      <c r="I51" s="188" t="str">
        <f t="shared" si="19"/>
        <v>V</v>
      </c>
      <c r="J51" s="157">
        <f t="shared" si="20"/>
        <v>0.38348323793949002</v>
      </c>
      <c r="K51" s="158" t="str">
        <f t="shared" si="21"/>
        <v>--</v>
      </c>
      <c r="L51" s="158">
        <f t="shared" si="22"/>
        <v>41.714285714285715</v>
      </c>
      <c r="M51" s="538" t="str">
        <f t="shared" si="23"/>
        <v>--</v>
      </c>
      <c r="N51" s="158">
        <f t="shared" si="24"/>
        <v>175.2</v>
      </c>
      <c r="O51" s="181">
        <f t="shared" si="9"/>
        <v>1E-3</v>
      </c>
    </row>
    <row r="52" spans="1:15" ht="11.25" customHeight="1">
      <c r="A52" s="897" t="s">
        <v>173</v>
      </c>
      <c r="B52" s="429" t="s">
        <v>174</v>
      </c>
      <c r="C52" s="507" t="str">
        <f t="shared" si="13"/>
        <v>--</v>
      </c>
      <c r="D52" s="158" t="str">
        <f t="shared" si="14"/>
        <v>--</v>
      </c>
      <c r="E52" s="691" t="str">
        <f t="shared" si="15"/>
        <v>--</v>
      </c>
      <c r="F52" s="687" t="str">
        <f t="shared" si="16"/>
        <v>--</v>
      </c>
      <c r="G52" s="158" t="str">
        <f t="shared" si="17"/>
        <v>--</v>
      </c>
      <c r="H52" s="508" t="str">
        <f t="shared" si="18"/>
        <v>--</v>
      </c>
      <c r="I52" s="188" t="str">
        <f t="shared" si="19"/>
        <v>NV</v>
      </c>
      <c r="J52" s="157">
        <f t="shared" si="20"/>
        <v>1.7538838921000001E-4</v>
      </c>
      <c r="K52" s="158" t="str">
        <f t="shared" si="21"/>
        <v>--</v>
      </c>
      <c r="L52" s="158" t="str">
        <f t="shared" si="22"/>
        <v>--</v>
      </c>
      <c r="M52" s="538" t="str">
        <f t="shared" si="23"/>
        <v>--</v>
      </c>
      <c r="N52" s="158" t="str">
        <f t="shared" si="24"/>
        <v>--</v>
      </c>
      <c r="O52" s="181">
        <f t="shared" si="9"/>
        <v>1E-3</v>
      </c>
    </row>
    <row r="53" spans="1:15" ht="11.25" customHeight="1">
      <c r="A53" s="897" t="s">
        <v>175</v>
      </c>
      <c r="B53" s="429" t="s">
        <v>176</v>
      </c>
      <c r="C53" s="507">
        <f t="shared" si="13"/>
        <v>6.5819583904690893</v>
      </c>
      <c r="D53" s="158">
        <f t="shared" si="14"/>
        <v>36.18196555217866</v>
      </c>
      <c r="E53" s="691">
        <f t="shared" si="15"/>
        <v>6.5819583904690893</v>
      </c>
      <c r="F53" s="687">
        <f t="shared" si="16"/>
        <v>28.749994249568978</v>
      </c>
      <c r="G53" s="158">
        <f t="shared" si="17"/>
        <v>151.96425531915037</v>
      </c>
      <c r="H53" s="508">
        <f t="shared" si="18"/>
        <v>28.749994249568978</v>
      </c>
      <c r="I53" s="188" t="str">
        <f t="shared" si="19"/>
        <v>V</v>
      </c>
      <c r="J53" s="157">
        <f t="shared" si="20"/>
        <v>0.11529026982829001</v>
      </c>
      <c r="K53" s="158">
        <f t="shared" si="21"/>
        <v>0.75883575883575871</v>
      </c>
      <c r="L53" s="158">
        <f t="shared" si="22"/>
        <v>4.1714285714285717</v>
      </c>
      <c r="M53" s="538">
        <f t="shared" si="23"/>
        <v>3.3145945945945936</v>
      </c>
      <c r="N53" s="158">
        <f t="shared" si="24"/>
        <v>17.52</v>
      </c>
      <c r="O53" s="181">
        <f t="shared" si="9"/>
        <v>1E-3</v>
      </c>
    </row>
    <row r="54" spans="1:15" ht="11.25" customHeight="1">
      <c r="A54" s="897" t="s">
        <v>177</v>
      </c>
      <c r="B54" s="429" t="s">
        <v>178</v>
      </c>
      <c r="C54" s="507">
        <f t="shared" si="13"/>
        <v>4.8363488624053241</v>
      </c>
      <c r="D54" s="158">
        <f t="shared" si="14"/>
        <v>143.70865191147251</v>
      </c>
      <c r="E54" s="691">
        <f t="shared" si="15"/>
        <v>4.8363488624053241</v>
      </c>
      <c r="F54" s="687">
        <f t="shared" si="16"/>
        <v>21.125171830986456</v>
      </c>
      <c r="G54" s="158">
        <f t="shared" si="17"/>
        <v>603.57633802818452</v>
      </c>
      <c r="H54" s="508">
        <f t="shared" si="18"/>
        <v>21.125171830986456</v>
      </c>
      <c r="I54" s="188" t="str">
        <f t="shared" si="19"/>
        <v>V</v>
      </c>
      <c r="J54" s="157">
        <f t="shared" si="20"/>
        <v>0.14513491414554</v>
      </c>
      <c r="K54" s="158">
        <f t="shared" si="21"/>
        <v>0.70192307692307676</v>
      </c>
      <c r="L54" s="158">
        <f t="shared" si="22"/>
        <v>20.857142857142858</v>
      </c>
      <c r="M54" s="538">
        <f t="shared" si="23"/>
        <v>3.0659999999999994</v>
      </c>
      <c r="N54" s="158">
        <f t="shared" si="24"/>
        <v>87.6</v>
      </c>
      <c r="O54" s="181">
        <f t="shared" si="9"/>
        <v>1E-3</v>
      </c>
    </row>
    <row r="55" spans="1:15" ht="11.25" customHeight="1">
      <c r="A55" s="897" t="s">
        <v>179</v>
      </c>
      <c r="B55" s="429" t="s">
        <v>180</v>
      </c>
      <c r="C55" s="507" t="str">
        <f t="shared" si="13"/>
        <v>--</v>
      </c>
      <c r="D55" s="158" t="str">
        <f t="shared" si="14"/>
        <v>--</v>
      </c>
      <c r="E55" s="691" t="str">
        <f t="shared" si="15"/>
        <v>--</v>
      </c>
      <c r="F55" s="687" t="str">
        <f t="shared" si="16"/>
        <v>--</v>
      </c>
      <c r="G55" s="158" t="str">
        <f t="shared" si="17"/>
        <v>--</v>
      </c>
      <c r="H55" s="508" t="str">
        <f t="shared" si="18"/>
        <v>--</v>
      </c>
      <c r="I55" s="188" t="str">
        <f t="shared" si="19"/>
        <v>NV</v>
      </c>
      <c r="J55" s="157">
        <f t="shared" si="20"/>
        <v>4.0883074407E-4</v>
      </c>
      <c r="K55" s="158" t="str">
        <f t="shared" si="21"/>
        <v>--</v>
      </c>
      <c r="L55" s="158" t="str">
        <f t="shared" si="22"/>
        <v>--</v>
      </c>
      <c r="M55" s="538" t="str">
        <f t="shared" si="23"/>
        <v>--</v>
      </c>
      <c r="N55" s="158" t="str">
        <f t="shared" si="24"/>
        <v>--</v>
      </c>
      <c r="O55" s="181">
        <f t="shared" si="9"/>
        <v>1E-3</v>
      </c>
    </row>
    <row r="56" spans="1:15" ht="11.25" customHeight="1">
      <c r="A56" s="897" t="s">
        <v>181</v>
      </c>
      <c r="B56" s="429" t="s">
        <v>182</v>
      </c>
      <c r="C56" s="507" t="str">
        <f t="shared" si="13"/>
        <v>--</v>
      </c>
      <c r="D56" s="158" t="str">
        <f t="shared" si="14"/>
        <v>--</v>
      </c>
      <c r="E56" s="691" t="str">
        <f t="shared" si="15"/>
        <v>--</v>
      </c>
      <c r="F56" s="687" t="str">
        <f t="shared" si="16"/>
        <v>--</v>
      </c>
      <c r="G56" s="158" t="str">
        <f t="shared" si="17"/>
        <v>--</v>
      </c>
      <c r="H56" s="508" t="str">
        <f t="shared" si="18"/>
        <v>--</v>
      </c>
      <c r="I56" s="188" t="str">
        <f t="shared" si="19"/>
        <v>NV</v>
      </c>
      <c r="J56" s="157">
        <f t="shared" si="20"/>
        <v>2.493867539E-5</v>
      </c>
      <c r="K56" s="158" t="str">
        <f t="shared" si="21"/>
        <v>--</v>
      </c>
      <c r="L56" s="158" t="str">
        <f t="shared" si="22"/>
        <v>--</v>
      </c>
      <c r="M56" s="538" t="str">
        <f t="shared" si="23"/>
        <v>--</v>
      </c>
      <c r="N56" s="158" t="str">
        <f t="shared" si="24"/>
        <v>--</v>
      </c>
      <c r="O56" s="181">
        <f t="shared" si="9"/>
        <v>1E-3</v>
      </c>
    </row>
    <row r="57" spans="1:15" ht="11.25" customHeight="1">
      <c r="A57" s="897" t="s">
        <v>183</v>
      </c>
      <c r="B57" s="429" t="s">
        <v>184</v>
      </c>
      <c r="C57" s="507" t="str">
        <f t="shared" si="13"/>
        <v>--</v>
      </c>
      <c r="D57" s="158" t="str">
        <f t="shared" si="14"/>
        <v>--</v>
      </c>
      <c r="E57" s="691" t="str">
        <f t="shared" si="15"/>
        <v>--</v>
      </c>
      <c r="F57" s="687" t="str">
        <f t="shared" si="16"/>
        <v>--</v>
      </c>
      <c r="G57" s="158" t="str">
        <f t="shared" si="17"/>
        <v>--</v>
      </c>
      <c r="H57" s="508" t="str">
        <f t="shared" si="18"/>
        <v>--</v>
      </c>
      <c r="I57" s="188" t="str">
        <f t="shared" si="19"/>
        <v>NV</v>
      </c>
      <c r="J57" s="157">
        <f t="shared" si="20"/>
        <v>3.8879803760000002E-5</v>
      </c>
      <c r="K57" s="158" t="str">
        <f t="shared" si="21"/>
        <v>--</v>
      </c>
      <c r="L57" s="158" t="str">
        <f t="shared" si="22"/>
        <v>--</v>
      </c>
      <c r="M57" s="538" t="str">
        <f t="shared" si="23"/>
        <v>--</v>
      </c>
      <c r="N57" s="158" t="str">
        <f t="shared" si="24"/>
        <v>--</v>
      </c>
      <c r="O57" s="181">
        <f t="shared" si="9"/>
        <v>1E-3</v>
      </c>
    </row>
    <row r="58" spans="1:15" ht="11.25" customHeight="1">
      <c r="A58" s="897" t="s">
        <v>185</v>
      </c>
      <c r="B58" s="429" t="s">
        <v>186</v>
      </c>
      <c r="C58" s="507" t="str">
        <f t="shared" si="13"/>
        <v>--</v>
      </c>
      <c r="D58" s="158" t="str">
        <f t="shared" si="14"/>
        <v>--</v>
      </c>
      <c r="E58" s="691" t="str">
        <f t="shared" si="15"/>
        <v>--</v>
      </c>
      <c r="F58" s="687" t="str">
        <f t="shared" si="16"/>
        <v>--</v>
      </c>
      <c r="G58" s="158" t="str">
        <f t="shared" si="17"/>
        <v>--</v>
      </c>
      <c r="H58" s="508" t="str">
        <f t="shared" si="18"/>
        <v>--</v>
      </c>
      <c r="I58" s="188" t="str">
        <f t="shared" si="19"/>
        <v>NV</v>
      </c>
      <c r="J58" s="157">
        <f t="shared" si="20"/>
        <v>3.51594439902E-6</v>
      </c>
      <c r="K58" s="158" t="str">
        <f t="shared" si="21"/>
        <v>--</v>
      </c>
      <c r="L58" s="158" t="str">
        <f t="shared" si="22"/>
        <v>--</v>
      </c>
      <c r="M58" s="538" t="str">
        <f t="shared" si="23"/>
        <v>--</v>
      </c>
      <c r="N58" s="158" t="str">
        <f t="shared" si="24"/>
        <v>--</v>
      </c>
      <c r="O58" s="181">
        <f t="shared" si="9"/>
        <v>1E-3</v>
      </c>
    </row>
    <row r="59" spans="1:15" ht="11.25" customHeight="1">
      <c r="A59" s="897" t="s">
        <v>187</v>
      </c>
      <c r="B59" s="429" t="s">
        <v>188</v>
      </c>
      <c r="C59" s="507" t="str">
        <f t="shared" si="13"/>
        <v>--</v>
      </c>
      <c r="D59" s="158" t="str">
        <f t="shared" si="14"/>
        <v>--</v>
      </c>
      <c r="E59" s="691" t="str">
        <f t="shared" si="15"/>
        <v>--</v>
      </c>
      <c r="F59" s="687" t="str">
        <f t="shared" si="16"/>
        <v>--</v>
      </c>
      <c r="G59" s="158" t="str">
        <f t="shared" si="17"/>
        <v>--</v>
      </c>
      <c r="H59" s="508" t="str">
        <f t="shared" si="18"/>
        <v>--</v>
      </c>
      <c r="I59" s="188" t="str">
        <f t="shared" si="19"/>
        <v>NV</v>
      </c>
      <c r="J59" s="157">
        <f t="shared" si="20"/>
        <v>2.2076860179899999E-6</v>
      </c>
      <c r="K59" s="158" t="str">
        <f t="shared" si="21"/>
        <v>--</v>
      </c>
      <c r="L59" s="158" t="str">
        <f t="shared" si="22"/>
        <v>--</v>
      </c>
      <c r="M59" s="538" t="str">
        <f t="shared" si="23"/>
        <v>--</v>
      </c>
      <c r="N59" s="158" t="str">
        <f t="shared" si="24"/>
        <v>--</v>
      </c>
      <c r="O59" s="181">
        <f t="shared" si="9"/>
        <v>1E-3</v>
      </c>
    </row>
    <row r="60" spans="1:15" ht="11.25" customHeight="1">
      <c r="A60" s="897" t="s">
        <v>189</v>
      </c>
      <c r="B60" s="429" t="s">
        <v>190</v>
      </c>
      <c r="C60" s="507">
        <f t="shared" si="13"/>
        <v>2861.5064103225818</v>
      </c>
      <c r="D60" s="158">
        <f t="shared" si="14"/>
        <v>159426.78571797244</v>
      </c>
      <c r="E60" s="691">
        <f t="shared" si="15"/>
        <v>2861.5064103225818</v>
      </c>
      <c r="F60" s="687">
        <f t="shared" si="16"/>
        <v>12499.060000289037</v>
      </c>
      <c r="G60" s="158">
        <f t="shared" si="17"/>
        <v>669592.50001548417</v>
      </c>
      <c r="H60" s="508">
        <f t="shared" si="18"/>
        <v>12499.060000289037</v>
      </c>
      <c r="I60" s="188" t="str">
        <f t="shared" si="19"/>
        <v>V</v>
      </c>
      <c r="J60" s="157">
        <f t="shared" si="20"/>
        <v>1.9623875715000001E-4</v>
      </c>
      <c r="K60" s="158">
        <f t="shared" si="21"/>
        <v>0.56153846153846143</v>
      </c>
      <c r="L60" s="158">
        <f t="shared" si="22"/>
        <v>31.285714285714285</v>
      </c>
      <c r="M60" s="538">
        <f t="shared" si="23"/>
        <v>2.4527999999999994</v>
      </c>
      <c r="N60" s="158">
        <f t="shared" si="24"/>
        <v>131.39999999999998</v>
      </c>
      <c r="O60" s="181">
        <f t="shared" si="9"/>
        <v>1E-3</v>
      </c>
    </row>
    <row r="61" spans="1:15" ht="11.25" customHeight="1">
      <c r="A61" s="897" t="s">
        <v>191</v>
      </c>
      <c r="B61" s="429" t="s">
        <v>192</v>
      </c>
      <c r="C61" s="507">
        <f t="shared" si="13"/>
        <v>3.6145344129550594E-5</v>
      </c>
      <c r="D61" s="158">
        <f t="shared" si="14"/>
        <v>2.0406628571426284E-2</v>
      </c>
      <c r="E61" s="691">
        <f t="shared" si="15"/>
        <v>3.6145344129550594E-5</v>
      </c>
      <c r="F61" s="687">
        <f t="shared" si="16"/>
        <v>1.5788286315787699E-4</v>
      </c>
      <c r="G61" s="158">
        <f t="shared" si="17"/>
        <v>8.570783999999039E-2</v>
      </c>
      <c r="H61" s="508">
        <f t="shared" si="18"/>
        <v>1.5788286315787699E-4</v>
      </c>
      <c r="I61" s="188" t="str">
        <f t="shared" si="19"/>
        <v>V</v>
      </c>
      <c r="J61" s="157">
        <f t="shared" si="20"/>
        <v>2.0441537203599999E-3</v>
      </c>
      <c r="K61" s="158">
        <f t="shared" si="21"/>
        <v>7.3886639676113351E-8</v>
      </c>
      <c r="L61" s="158">
        <f t="shared" si="22"/>
        <v>4.1714285714285721E-5</v>
      </c>
      <c r="M61" s="538">
        <f t="shared" si="23"/>
        <v>3.2273684210526308E-7</v>
      </c>
      <c r="N61" s="158">
        <f t="shared" si="24"/>
        <v>1.752E-4</v>
      </c>
      <c r="O61" s="181">
        <f t="shared" si="9"/>
        <v>1E-3</v>
      </c>
    </row>
    <row r="62" spans="1:15" ht="11.25" customHeight="1">
      <c r="A62" s="897" t="s">
        <v>193</v>
      </c>
      <c r="B62" s="429" t="s">
        <v>194</v>
      </c>
      <c r="C62" s="507" t="str">
        <f t="shared" si="13"/>
        <v>--</v>
      </c>
      <c r="D62" s="158" t="str">
        <f t="shared" si="14"/>
        <v>--</v>
      </c>
      <c r="E62" s="691" t="str">
        <f t="shared" si="15"/>
        <v>--</v>
      </c>
      <c r="F62" s="687" t="str">
        <f t="shared" si="16"/>
        <v>--</v>
      </c>
      <c r="G62" s="158" t="str">
        <f t="shared" si="17"/>
        <v>--</v>
      </c>
      <c r="H62" s="508" t="str">
        <f t="shared" si="18"/>
        <v>--</v>
      </c>
      <c r="I62" s="188" t="str">
        <f t="shared" si="19"/>
        <v>V</v>
      </c>
      <c r="J62" s="157">
        <f t="shared" si="20"/>
        <v>2.65739983647E-3</v>
      </c>
      <c r="K62" s="158" t="str">
        <f t="shared" si="21"/>
        <v>--</v>
      </c>
      <c r="L62" s="158" t="str">
        <f t="shared" si="22"/>
        <v>--</v>
      </c>
      <c r="M62" s="538" t="str">
        <f t="shared" si="23"/>
        <v>--</v>
      </c>
      <c r="N62" s="158" t="str">
        <f t="shared" si="24"/>
        <v>--</v>
      </c>
      <c r="O62" s="181">
        <f t="shared" si="9"/>
        <v>1E-3</v>
      </c>
    </row>
    <row r="63" spans="1:15" ht="11.25" customHeight="1">
      <c r="A63" s="897" t="s">
        <v>195</v>
      </c>
      <c r="B63" s="429" t="s">
        <v>196</v>
      </c>
      <c r="C63" s="507" t="str">
        <f t="shared" si="13"/>
        <v>--</v>
      </c>
      <c r="D63" s="158" t="str">
        <f t="shared" si="14"/>
        <v>--</v>
      </c>
      <c r="E63" s="691" t="str">
        <f t="shared" si="15"/>
        <v>--</v>
      </c>
      <c r="F63" s="687" t="str">
        <f t="shared" si="16"/>
        <v>--</v>
      </c>
      <c r="G63" s="158" t="str">
        <f t="shared" si="17"/>
        <v>--</v>
      </c>
      <c r="H63" s="508" t="str">
        <f t="shared" si="18"/>
        <v>--</v>
      </c>
      <c r="I63" s="188" t="str">
        <f t="shared" si="19"/>
        <v>NV</v>
      </c>
      <c r="J63" s="157">
        <f t="shared" si="20"/>
        <v>2.6001635323E-4</v>
      </c>
      <c r="K63" s="158" t="str">
        <f t="shared" si="21"/>
        <v>--</v>
      </c>
      <c r="L63" s="158" t="str">
        <f t="shared" si="22"/>
        <v>--</v>
      </c>
      <c r="M63" s="538" t="str">
        <f t="shared" si="23"/>
        <v>--</v>
      </c>
      <c r="N63" s="158" t="str">
        <f t="shared" si="24"/>
        <v>--</v>
      </c>
      <c r="O63" s="181">
        <f t="shared" si="9"/>
        <v>1E-3</v>
      </c>
    </row>
    <row r="64" spans="1:15" ht="11.25" customHeight="1">
      <c r="A64" s="897" t="s">
        <v>197</v>
      </c>
      <c r="B64" s="429" t="s">
        <v>198</v>
      </c>
      <c r="C64" s="507">
        <f t="shared" si="13"/>
        <v>3.4860991800078076</v>
      </c>
      <c r="D64" s="158">
        <f t="shared" si="14"/>
        <v>3237.0920957215367</v>
      </c>
      <c r="E64" s="691">
        <f t="shared" si="15"/>
        <v>3.4860991800078076</v>
      </c>
      <c r="F64" s="687">
        <f t="shared" si="16"/>
        <v>15.227281218274104</v>
      </c>
      <c r="G64" s="158">
        <f t="shared" si="17"/>
        <v>13595.786802030452</v>
      </c>
      <c r="H64" s="508">
        <f t="shared" si="18"/>
        <v>15.227281218274104</v>
      </c>
      <c r="I64" s="188" t="str">
        <f t="shared" si="19"/>
        <v>V</v>
      </c>
      <c r="J64" s="157">
        <f t="shared" si="20"/>
        <v>0.32215862632870002</v>
      </c>
      <c r="K64" s="158">
        <f t="shared" si="21"/>
        <v>1.1230769230769229</v>
      </c>
      <c r="L64" s="158">
        <f t="shared" si="22"/>
        <v>1042.8571428571429</v>
      </c>
      <c r="M64" s="538">
        <f t="shared" si="23"/>
        <v>4.9055999999999989</v>
      </c>
      <c r="N64" s="158">
        <f t="shared" si="24"/>
        <v>4380</v>
      </c>
      <c r="O64" s="181">
        <f t="shared" si="9"/>
        <v>1E-3</v>
      </c>
    </row>
    <row r="65" spans="1:15" ht="11.25" customHeight="1">
      <c r="A65" s="897" t="s">
        <v>199</v>
      </c>
      <c r="B65" s="429" t="s">
        <v>200</v>
      </c>
      <c r="C65" s="507">
        <f t="shared" si="13"/>
        <v>0.17968643078526389</v>
      </c>
      <c r="D65" s="158" t="str">
        <f t="shared" si="14"/>
        <v>--</v>
      </c>
      <c r="E65" s="691">
        <f t="shared" si="15"/>
        <v>0.17968643078526389</v>
      </c>
      <c r="F65" s="687">
        <f t="shared" si="16"/>
        <v>0.78487032967003267</v>
      </c>
      <c r="G65" s="158" t="str">
        <f t="shared" si="17"/>
        <v>--</v>
      </c>
      <c r="H65" s="508">
        <f t="shared" si="18"/>
        <v>0.78487032967003267</v>
      </c>
      <c r="I65" s="188" t="str">
        <f t="shared" si="19"/>
        <v>V</v>
      </c>
      <c r="J65" s="157">
        <f t="shared" si="20"/>
        <v>1.201962387572E-2</v>
      </c>
      <c r="K65" s="158">
        <f t="shared" si="21"/>
        <v>2.1597633136094673E-3</v>
      </c>
      <c r="L65" s="158" t="str">
        <f t="shared" si="22"/>
        <v>--</v>
      </c>
      <c r="M65" s="538">
        <f t="shared" si="23"/>
        <v>9.433846153846152E-3</v>
      </c>
      <c r="N65" s="158" t="str">
        <f t="shared" si="24"/>
        <v>--</v>
      </c>
      <c r="O65" s="181">
        <f t="shared" si="9"/>
        <v>1E-3</v>
      </c>
    </row>
    <row r="66" spans="1:15" ht="11.25" customHeight="1">
      <c r="A66" s="897" t="s">
        <v>201</v>
      </c>
      <c r="B66" s="429" t="s">
        <v>202</v>
      </c>
      <c r="C66" s="507">
        <f t="shared" si="13"/>
        <v>1.2578050154989402</v>
      </c>
      <c r="D66" s="158" t="str">
        <f t="shared" si="14"/>
        <v>--</v>
      </c>
      <c r="E66" s="691">
        <f t="shared" si="15"/>
        <v>1.2578050154989402</v>
      </c>
      <c r="F66" s="687">
        <f t="shared" si="16"/>
        <v>5.4940923076993702</v>
      </c>
      <c r="G66" s="158" t="str">
        <f t="shared" si="17"/>
        <v>--</v>
      </c>
      <c r="H66" s="508">
        <f t="shared" si="18"/>
        <v>5.4940923076993702</v>
      </c>
      <c r="I66" s="188" t="str">
        <f t="shared" si="19"/>
        <v>V</v>
      </c>
      <c r="J66" s="157">
        <f t="shared" si="20"/>
        <v>8.5854456255E-4</v>
      </c>
      <c r="K66" s="158">
        <f t="shared" si="21"/>
        <v>1.0798816568047336E-3</v>
      </c>
      <c r="L66" s="158" t="str">
        <f t="shared" si="22"/>
        <v>--</v>
      </c>
      <c r="M66" s="538">
        <f t="shared" si="23"/>
        <v>4.716923076923076E-3</v>
      </c>
      <c r="N66" s="158" t="str">
        <f t="shared" si="24"/>
        <v>--</v>
      </c>
      <c r="O66" s="181">
        <f t="shared" si="9"/>
        <v>1E-3</v>
      </c>
    </row>
    <row r="67" spans="1:15" ht="11.25" customHeight="1">
      <c r="A67" s="897" t="s">
        <v>203</v>
      </c>
      <c r="B67" s="429" t="s">
        <v>204</v>
      </c>
      <c r="C67" s="507">
        <f t="shared" si="13"/>
        <v>7.92112501109066E-2</v>
      </c>
      <c r="D67" s="158" t="str">
        <f t="shared" si="14"/>
        <v>--</v>
      </c>
      <c r="E67" s="691">
        <f t="shared" si="15"/>
        <v>7.92112501109066E-2</v>
      </c>
      <c r="F67" s="687">
        <f t="shared" si="16"/>
        <v>0.34599474048443996</v>
      </c>
      <c r="G67" s="158" t="str">
        <f t="shared" si="17"/>
        <v>--</v>
      </c>
      <c r="H67" s="508">
        <f t="shared" si="18"/>
        <v>0.34599474048443996</v>
      </c>
      <c r="I67" s="188" t="str">
        <f t="shared" si="19"/>
        <v>V</v>
      </c>
      <c r="J67" s="157">
        <f t="shared" si="20"/>
        <v>6.9501226492230006E-2</v>
      </c>
      <c r="K67" s="158">
        <f t="shared" si="21"/>
        <v>5.5052790346907989E-3</v>
      </c>
      <c r="L67" s="158" t="str">
        <f t="shared" si="22"/>
        <v>--</v>
      </c>
      <c r="M67" s="538">
        <f t="shared" si="23"/>
        <v>2.4047058823529404E-2</v>
      </c>
      <c r="N67" s="158" t="str">
        <f t="shared" si="24"/>
        <v>--</v>
      </c>
      <c r="O67" s="181">
        <f t="shared" si="9"/>
        <v>1E-3</v>
      </c>
    </row>
    <row r="68" spans="1:15" ht="11.25" customHeight="1">
      <c r="A68" s="897" t="s">
        <v>205</v>
      </c>
      <c r="B68" s="429" t="s">
        <v>206</v>
      </c>
      <c r="C68" s="507">
        <f t="shared" si="13"/>
        <v>0.3030721705479007</v>
      </c>
      <c r="D68" s="158" t="str">
        <f t="shared" si="14"/>
        <v>--</v>
      </c>
      <c r="E68" s="691">
        <f t="shared" si="15"/>
        <v>0.3030721705479007</v>
      </c>
      <c r="F68" s="687">
        <f t="shared" si="16"/>
        <v>1.3238192409532301</v>
      </c>
      <c r="G68" s="158" t="str">
        <f t="shared" si="17"/>
        <v>--</v>
      </c>
      <c r="H68" s="508">
        <f t="shared" si="18"/>
        <v>1.3238192409532301</v>
      </c>
      <c r="I68" s="188" t="str">
        <f t="shared" si="19"/>
        <v>V</v>
      </c>
      <c r="J68" s="157">
        <f t="shared" si="20"/>
        <v>0.42109566639411</v>
      </c>
      <c r="K68" s="158">
        <f t="shared" si="21"/>
        <v>0.1276223776223776</v>
      </c>
      <c r="L68" s="158" t="str">
        <f t="shared" si="22"/>
        <v>--</v>
      </c>
      <c r="M68" s="538">
        <f t="shared" si="23"/>
        <v>0.55745454545454531</v>
      </c>
      <c r="N68" s="158" t="str">
        <f t="shared" si="24"/>
        <v>--</v>
      </c>
      <c r="O68" s="181">
        <f t="shared" si="9"/>
        <v>1E-3</v>
      </c>
    </row>
    <row r="69" spans="1:15" ht="11.25" customHeight="1">
      <c r="A69" s="2110" t="s">
        <v>4279</v>
      </c>
      <c r="B69" s="429" t="s">
        <v>208</v>
      </c>
      <c r="C69" s="507" t="str">
        <f t="shared" si="13"/>
        <v>--</v>
      </c>
      <c r="D69" s="158" t="str">
        <f t="shared" si="14"/>
        <v>--</v>
      </c>
      <c r="E69" s="691" t="str">
        <f t="shared" si="15"/>
        <v>--</v>
      </c>
      <c r="F69" s="687" t="str">
        <f t="shared" si="16"/>
        <v>--</v>
      </c>
      <c r="G69" s="158" t="str">
        <f t="shared" si="17"/>
        <v>--</v>
      </c>
      <c r="H69" s="508" t="str">
        <f t="shared" si="18"/>
        <v>--</v>
      </c>
      <c r="I69" s="188" t="str">
        <f t="shared" si="19"/>
        <v>NV</v>
      </c>
      <c r="J69" s="157">
        <f t="shared" si="20"/>
        <v>2.1013900245E-4</v>
      </c>
      <c r="K69" s="158" t="str">
        <f t="shared" si="21"/>
        <v>--</v>
      </c>
      <c r="L69" s="158" t="str">
        <f t="shared" si="22"/>
        <v>--</v>
      </c>
      <c r="M69" s="538" t="str">
        <f t="shared" si="23"/>
        <v>--</v>
      </c>
      <c r="N69" s="158" t="str">
        <f t="shared" si="24"/>
        <v>--</v>
      </c>
      <c r="O69" s="181">
        <f t="shared" si="9"/>
        <v>1E-3</v>
      </c>
    </row>
    <row r="70" spans="1:15" ht="11.25" customHeight="1">
      <c r="A70" s="897" t="s">
        <v>209</v>
      </c>
      <c r="B70" s="429" t="s">
        <v>210</v>
      </c>
      <c r="C70" s="507">
        <f t="shared" si="13"/>
        <v>1.6049580239811621</v>
      </c>
      <c r="D70" s="158">
        <f t="shared" si="14"/>
        <v>196.72199779654815</v>
      </c>
      <c r="E70" s="691">
        <f t="shared" si="15"/>
        <v>1.6049580239811621</v>
      </c>
      <c r="F70" s="687">
        <f t="shared" si="16"/>
        <v>7.0104566487497149</v>
      </c>
      <c r="G70" s="158">
        <f t="shared" si="17"/>
        <v>826.23239074550213</v>
      </c>
      <c r="H70" s="508">
        <f t="shared" si="18"/>
        <v>7.0104566487497149</v>
      </c>
      <c r="I70" s="188" t="str">
        <f t="shared" si="19"/>
        <v>V</v>
      </c>
      <c r="J70" s="157">
        <f t="shared" si="20"/>
        <v>0.15903515944398999</v>
      </c>
      <c r="K70" s="158">
        <f t="shared" si="21"/>
        <v>0.25524475524475521</v>
      </c>
      <c r="L70" s="158">
        <f t="shared" si="22"/>
        <v>31.285714285714285</v>
      </c>
      <c r="M70" s="538">
        <f t="shared" si="23"/>
        <v>1.1149090909090906</v>
      </c>
      <c r="N70" s="158">
        <f t="shared" si="24"/>
        <v>131.39999999999998</v>
      </c>
      <c r="O70" s="181">
        <f t="shared" si="9"/>
        <v>1E-3</v>
      </c>
    </row>
    <row r="71" spans="1:15" ht="11.25" customHeight="1">
      <c r="A71" s="897" t="s">
        <v>211</v>
      </c>
      <c r="B71" s="429" t="s">
        <v>212</v>
      </c>
      <c r="C71" s="507" t="str">
        <f t="shared" si="13"/>
        <v>--</v>
      </c>
      <c r="D71" s="158" t="str">
        <f t="shared" si="14"/>
        <v>--</v>
      </c>
      <c r="E71" s="691" t="str">
        <f t="shared" si="15"/>
        <v>--</v>
      </c>
      <c r="F71" s="687" t="str">
        <f t="shared" si="16"/>
        <v>--</v>
      </c>
      <c r="G71" s="158" t="str">
        <f t="shared" si="17"/>
        <v>--</v>
      </c>
      <c r="H71" s="508" t="str">
        <f t="shared" si="18"/>
        <v>--</v>
      </c>
      <c r="I71" s="188" t="str">
        <f t="shared" ref="I71:I102" si="25">VLOOKUP($A71,Table_IP_1,MATCH("volatility",heading_IP_1,0),FALSE)</f>
        <v>NV</v>
      </c>
      <c r="J71" s="157" t="str">
        <f t="shared" ref="J71:J102" si="26">VLOOKUP($A71,Table_IP_1,MATCH("H'",heading_IP_1,0),FALSE)</f>
        <v>--</v>
      </c>
      <c r="K71" s="158" t="str">
        <f t="shared" ref="K71:K102" si="27">VLOOKUP($A71, Table_IA_1, MATCH("IA-Res-C", heading_IA_1, 0), FALSE)</f>
        <v>--</v>
      </c>
      <c r="L71" s="158" t="str">
        <f t="shared" ref="L71:L102" si="28">VLOOKUP($A71, Table_IA_1, MATCH("IA-Res-NC", heading_IA_1, 0), FALSE)</f>
        <v>--</v>
      </c>
      <c r="M71" s="538" t="str">
        <f t="shared" ref="M71:M102" si="29">VLOOKUP($A71, Table_IA_1, MATCH("IA-Com-C", heading_IA_1, 0), FALSE)</f>
        <v>--</v>
      </c>
      <c r="N71" s="158" t="str">
        <f t="shared" ref="N71:N102" si="30">VLOOKUP($A71, Table_IA_1, MATCH("IA-Com-NC", heading_IA_1, 0), FALSE)</f>
        <v>--</v>
      </c>
      <c r="O71" s="181">
        <f t="shared" ref="O71:O111" si="31">AFgmin</f>
        <v>1E-3</v>
      </c>
    </row>
    <row r="72" spans="1:15" ht="11.25" customHeight="1">
      <c r="A72" s="897" t="s">
        <v>213</v>
      </c>
      <c r="B72" s="429" t="s">
        <v>214</v>
      </c>
      <c r="C72" s="507" t="str">
        <f t="shared" si="13"/>
        <v>--</v>
      </c>
      <c r="D72" s="158">
        <f t="shared" si="14"/>
        <v>8.8879870129870128E-2</v>
      </c>
      <c r="E72" s="691">
        <f t="shared" si="15"/>
        <v>8.8879870129870128E-2</v>
      </c>
      <c r="F72" s="687" t="str">
        <f t="shared" si="16"/>
        <v>--</v>
      </c>
      <c r="G72" s="158">
        <f t="shared" si="17"/>
        <v>0.37329545454545454</v>
      </c>
      <c r="H72" s="508">
        <f t="shared" si="18"/>
        <v>0.37329545454545454</v>
      </c>
      <c r="I72" s="188" t="str">
        <f t="shared" si="25"/>
        <v>V</v>
      </c>
      <c r="J72" s="157">
        <f t="shared" si="26"/>
        <v>0.35199999999999998</v>
      </c>
      <c r="K72" s="158" t="str">
        <f t="shared" si="27"/>
        <v>--</v>
      </c>
      <c r="L72" s="158">
        <f t="shared" si="28"/>
        <v>3.1285714285714285E-2</v>
      </c>
      <c r="M72" s="538" t="str">
        <f t="shared" si="29"/>
        <v>--</v>
      </c>
      <c r="N72" s="158">
        <f t="shared" si="30"/>
        <v>0.13139999999999999</v>
      </c>
      <c r="O72" s="181">
        <f t="shared" si="31"/>
        <v>1E-3</v>
      </c>
    </row>
    <row r="73" spans="1:15" ht="11.25" customHeight="1">
      <c r="A73" s="897" t="s">
        <v>215</v>
      </c>
      <c r="B73" s="429" t="s">
        <v>216</v>
      </c>
      <c r="C73" s="507" t="str">
        <f t="shared" si="13"/>
        <v>--</v>
      </c>
      <c r="D73" s="158" t="str">
        <f t="shared" si="14"/>
        <v>--</v>
      </c>
      <c r="E73" s="691" t="str">
        <f t="shared" si="15"/>
        <v>--</v>
      </c>
      <c r="F73" s="687" t="str">
        <f t="shared" si="16"/>
        <v>--</v>
      </c>
      <c r="G73" s="158" t="str">
        <f t="shared" si="17"/>
        <v>--</v>
      </c>
      <c r="H73" s="508" t="str">
        <f t="shared" si="18"/>
        <v>--</v>
      </c>
      <c r="I73" s="188" t="str">
        <f t="shared" si="25"/>
        <v>NV</v>
      </c>
      <c r="J73" s="157">
        <f t="shared" si="26"/>
        <v>8.2992641046599993E-6</v>
      </c>
      <c r="K73" s="158" t="str">
        <f t="shared" si="27"/>
        <v>--</v>
      </c>
      <c r="L73" s="158" t="str">
        <f t="shared" si="28"/>
        <v>--</v>
      </c>
      <c r="M73" s="538" t="str">
        <f t="shared" si="29"/>
        <v>--</v>
      </c>
      <c r="N73" s="158" t="str">
        <f t="shared" si="30"/>
        <v>--</v>
      </c>
      <c r="O73" s="181">
        <f t="shared" si="31"/>
        <v>1E-3</v>
      </c>
    </row>
    <row r="74" spans="1:15" ht="11.25" customHeight="1">
      <c r="A74" s="897" t="s">
        <v>217</v>
      </c>
      <c r="B74" s="429" t="s">
        <v>218</v>
      </c>
      <c r="C74" s="507">
        <f t="shared" si="13"/>
        <v>7.630683760683481</v>
      </c>
      <c r="D74" s="158">
        <f t="shared" si="14"/>
        <v>3139.4813186812039</v>
      </c>
      <c r="E74" s="691">
        <f t="shared" si="15"/>
        <v>7.630683760683481</v>
      </c>
      <c r="F74" s="687">
        <f t="shared" si="16"/>
        <v>92.300750769227363</v>
      </c>
      <c r="G74" s="158">
        <f t="shared" si="17"/>
        <v>13185.821538461054</v>
      </c>
      <c r="H74" s="508">
        <f t="shared" si="18"/>
        <v>92.300750769227363</v>
      </c>
      <c r="I74" s="188" t="str">
        <f t="shared" si="25"/>
        <v>V</v>
      </c>
      <c r="J74" s="157">
        <f t="shared" si="26"/>
        <v>0.13286999182338999</v>
      </c>
      <c r="K74" s="158">
        <f t="shared" si="27"/>
        <v>1.0138888888888888</v>
      </c>
      <c r="L74" s="158">
        <f t="shared" si="28"/>
        <v>417.14285714285717</v>
      </c>
      <c r="M74" s="538">
        <f t="shared" si="29"/>
        <v>12.263999999999998</v>
      </c>
      <c r="N74" s="158">
        <f t="shared" si="30"/>
        <v>1751.9999999999998</v>
      </c>
      <c r="O74" s="181">
        <f t="shared" si="31"/>
        <v>1E-3</v>
      </c>
    </row>
    <row r="75" spans="1:15" ht="11.25" customHeight="1">
      <c r="A75" s="897" t="s">
        <v>219</v>
      </c>
      <c r="B75" s="429" t="s">
        <v>220</v>
      </c>
      <c r="C75" s="507" t="str">
        <f t="shared" si="13"/>
        <v>--</v>
      </c>
      <c r="D75" s="158">
        <f t="shared" si="14"/>
        <v>2241501.3808681327</v>
      </c>
      <c r="E75" s="691">
        <f t="shared" si="15"/>
        <v>2241501.3808681327</v>
      </c>
      <c r="F75" s="687" t="str">
        <f t="shared" si="16"/>
        <v>--</v>
      </c>
      <c r="G75" s="158">
        <f t="shared" si="17"/>
        <v>9414305.7996461578</v>
      </c>
      <c r="H75" s="508">
        <f t="shared" si="18"/>
        <v>9414305.7996461578</v>
      </c>
      <c r="I75" s="188" t="str">
        <f t="shared" si="25"/>
        <v>V</v>
      </c>
      <c r="J75" s="157">
        <f t="shared" si="26"/>
        <v>2.3262469337699998E-3</v>
      </c>
      <c r="K75" s="158" t="str">
        <f t="shared" si="27"/>
        <v>--</v>
      </c>
      <c r="L75" s="158">
        <f t="shared" si="28"/>
        <v>5214.2857142857147</v>
      </c>
      <c r="M75" s="538" t="str">
        <f t="shared" si="29"/>
        <v>--</v>
      </c>
      <c r="N75" s="158">
        <f t="shared" si="30"/>
        <v>21900</v>
      </c>
      <c r="O75" s="181">
        <f t="shared" si="31"/>
        <v>1E-3</v>
      </c>
    </row>
    <row r="76" spans="1:15" ht="11.25" customHeight="1">
      <c r="A76" s="897" t="s">
        <v>221</v>
      </c>
      <c r="B76" s="429" t="s">
        <v>222</v>
      </c>
      <c r="C76" s="507" t="str">
        <f t="shared" si="13"/>
        <v>--</v>
      </c>
      <c r="D76" s="158">
        <f t="shared" si="14"/>
        <v>554527.95031085075</v>
      </c>
      <c r="E76" s="691">
        <f t="shared" si="15"/>
        <v>554527.95031085075</v>
      </c>
      <c r="F76" s="687" t="str">
        <f t="shared" si="16"/>
        <v>--</v>
      </c>
      <c r="G76" s="158">
        <f t="shared" si="17"/>
        <v>2329017.3913055728</v>
      </c>
      <c r="H76" s="508">
        <f t="shared" si="18"/>
        <v>2329017.3913055728</v>
      </c>
      <c r="I76" s="188" t="str">
        <f t="shared" si="25"/>
        <v>V</v>
      </c>
      <c r="J76" s="157">
        <f t="shared" si="26"/>
        <v>5.6418642681899996E-3</v>
      </c>
      <c r="K76" s="158" t="str">
        <f t="shared" si="27"/>
        <v>--</v>
      </c>
      <c r="L76" s="158">
        <f t="shared" si="28"/>
        <v>3128.5714285714284</v>
      </c>
      <c r="M76" s="538" t="str">
        <f t="shared" si="29"/>
        <v>--</v>
      </c>
      <c r="N76" s="158">
        <f t="shared" si="30"/>
        <v>13139.999999999998</v>
      </c>
      <c r="O76" s="181">
        <f t="shared" si="31"/>
        <v>1E-3</v>
      </c>
    </row>
    <row r="77" spans="1:15" ht="11.25" customHeight="1">
      <c r="A77" s="897" t="s">
        <v>223</v>
      </c>
      <c r="B77" s="429" t="s">
        <v>224</v>
      </c>
      <c r="C77" s="507" t="str">
        <f t="shared" si="13"/>
        <v>--</v>
      </c>
      <c r="D77" s="158" t="str">
        <f t="shared" si="14"/>
        <v>--</v>
      </c>
      <c r="E77" s="691" t="str">
        <f t="shared" si="15"/>
        <v>--</v>
      </c>
      <c r="F77" s="687" t="str">
        <f t="shared" si="16"/>
        <v>--</v>
      </c>
      <c r="G77" s="158" t="str">
        <f t="shared" si="17"/>
        <v>--</v>
      </c>
      <c r="H77" s="508" t="str">
        <f t="shared" si="18"/>
        <v>--</v>
      </c>
      <c r="I77" s="188" t="str">
        <f t="shared" si="25"/>
        <v>NV</v>
      </c>
      <c r="J77" s="157" t="str">
        <f t="shared" si="26"/>
        <v>--</v>
      </c>
      <c r="K77" s="158" t="str">
        <f t="shared" si="27"/>
        <v>--</v>
      </c>
      <c r="L77" s="158" t="str">
        <f t="shared" si="28"/>
        <v>--</v>
      </c>
      <c r="M77" s="538" t="str">
        <f t="shared" si="29"/>
        <v>--</v>
      </c>
      <c r="N77" s="158" t="str">
        <f t="shared" si="30"/>
        <v>--</v>
      </c>
      <c r="O77" s="181">
        <f t="shared" si="31"/>
        <v>1E-3</v>
      </c>
    </row>
    <row r="78" spans="1:15" ht="11.25" customHeight="1">
      <c r="A78" s="897" t="s">
        <v>225</v>
      </c>
      <c r="B78" s="429" t="s">
        <v>226</v>
      </c>
      <c r="C78" s="507" t="str">
        <f t="shared" si="13"/>
        <v>--</v>
      </c>
      <c r="D78" s="158" t="str">
        <f t="shared" si="14"/>
        <v>--</v>
      </c>
      <c r="E78" s="691" t="str">
        <f t="shared" si="15"/>
        <v>--</v>
      </c>
      <c r="F78" s="687" t="str">
        <f t="shared" si="16"/>
        <v>--</v>
      </c>
      <c r="G78" s="158" t="str">
        <f t="shared" si="17"/>
        <v>--</v>
      </c>
      <c r="H78" s="508" t="str">
        <f t="shared" si="18"/>
        <v>--</v>
      </c>
      <c r="I78" s="188" t="str">
        <f t="shared" si="25"/>
        <v>V</v>
      </c>
      <c r="J78" s="157">
        <f t="shared" si="26"/>
        <v>2.1177432542929999E-2</v>
      </c>
      <c r="K78" s="158" t="str">
        <f t="shared" si="27"/>
        <v>--</v>
      </c>
      <c r="L78" s="158" t="str">
        <f t="shared" si="28"/>
        <v>--</v>
      </c>
      <c r="M78" s="538" t="str">
        <f t="shared" si="29"/>
        <v>--</v>
      </c>
      <c r="N78" s="158" t="str">
        <f t="shared" si="30"/>
        <v>--</v>
      </c>
      <c r="O78" s="181">
        <f t="shared" si="31"/>
        <v>1E-3</v>
      </c>
    </row>
    <row r="79" spans="1:15" ht="11.25" customHeight="1">
      <c r="A79" s="897" t="s">
        <v>227</v>
      </c>
      <c r="B79" s="429" t="s">
        <v>228</v>
      </c>
      <c r="C79" s="507">
        <f t="shared" si="13"/>
        <v>449.98135137049178</v>
      </c>
      <c r="D79" s="158">
        <f t="shared" si="14"/>
        <v>130366.02579705107</v>
      </c>
      <c r="E79" s="691">
        <f t="shared" si="15"/>
        <v>449.98135137049178</v>
      </c>
      <c r="F79" s="687">
        <f t="shared" si="16"/>
        <v>1965.518542786308</v>
      </c>
      <c r="G79" s="158">
        <f t="shared" si="17"/>
        <v>547537.30834761448</v>
      </c>
      <c r="H79" s="508">
        <f t="shared" si="18"/>
        <v>1965.518542786308</v>
      </c>
      <c r="I79" s="188" t="str">
        <f t="shared" si="25"/>
        <v>V</v>
      </c>
      <c r="J79" s="157">
        <f t="shared" si="26"/>
        <v>2.399836467702E-2</v>
      </c>
      <c r="K79" s="158">
        <f t="shared" si="27"/>
        <v>10.798816568047336</v>
      </c>
      <c r="L79" s="158">
        <f t="shared" si="28"/>
        <v>3128.5714285714284</v>
      </c>
      <c r="M79" s="538">
        <f t="shared" si="29"/>
        <v>47.169230769230758</v>
      </c>
      <c r="N79" s="158">
        <f t="shared" si="30"/>
        <v>13139.999999999998</v>
      </c>
      <c r="O79" s="181">
        <f t="shared" si="31"/>
        <v>1E-3</v>
      </c>
    </row>
    <row r="80" spans="1:15" ht="11.25" customHeight="1">
      <c r="A80" s="897" t="s">
        <v>229</v>
      </c>
      <c r="B80" s="429" t="s">
        <v>230</v>
      </c>
      <c r="C80" s="507" t="str">
        <f t="shared" si="13"/>
        <v>--</v>
      </c>
      <c r="D80" s="158" t="str">
        <f t="shared" si="14"/>
        <v>--</v>
      </c>
      <c r="E80" s="691" t="str">
        <f t="shared" si="15"/>
        <v>--</v>
      </c>
      <c r="F80" s="687" t="str">
        <f t="shared" si="16"/>
        <v>--</v>
      </c>
      <c r="G80" s="158" t="str">
        <f t="shared" si="17"/>
        <v>--</v>
      </c>
      <c r="H80" s="508" t="str">
        <f t="shared" si="18"/>
        <v>--</v>
      </c>
      <c r="I80" s="188" t="str">
        <f t="shared" si="25"/>
        <v>NV</v>
      </c>
      <c r="J80" s="157" t="str">
        <f t="shared" si="26"/>
        <v>--</v>
      </c>
      <c r="K80" s="158" t="str">
        <f t="shared" si="27"/>
        <v>--</v>
      </c>
      <c r="L80" s="158" t="str">
        <f t="shared" si="28"/>
        <v>--</v>
      </c>
      <c r="M80" s="538" t="str">
        <f t="shared" si="29"/>
        <v>--</v>
      </c>
      <c r="N80" s="158" t="str">
        <f t="shared" si="30"/>
        <v>--</v>
      </c>
      <c r="O80" s="181">
        <f t="shared" si="31"/>
        <v>1E-3</v>
      </c>
    </row>
    <row r="81" spans="1:15" ht="11.25" customHeight="1">
      <c r="A81" s="897" t="s">
        <v>231</v>
      </c>
      <c r="B81" s="429" t="s">
        <v>232</v>
      </c>
      <c r="C81" s="507" t="str">
        <f t="shared" si="13"/>
        <v>--</v>
      </c>
      <c r="D81" s="158" t="str">
        <f t="shared" si="14"/>
        <v>--</v>
      </c>
      <c r="E81" s="691" t="str">
        <f t="shared" si="15"/>
        <v>--</v>
      </c>
      <c r="F81" s="687" t="str">
        <f t="shared" si="16"/>
        <v>--</v>
      </c>
      <c r="G81" s="158" t="str">
        <f t="shared" si="17"/>
        <v>--</v>
      </c>
      <c r="H81" s="508" t="str">
        <f t="shared" si="18"/>
        <v>--</v>
      </c>
      <c r="I81" s="188" t="str">
        <f t="shared" si="25"/>
        <v>NV</v>
      </c>
      <c r="J81" s="157" t="str">
        <f t="shared" si="26"/>
        <v>--</v>
      </c>
      <c r="K81" s="158" t="str">
        <f t="shared" si="27"/>
        <v>--</v>
      </c>
      <c r="L81" s="158" t="str">
        <f t="shared" si="28"/>
        <v>--</v>
      </c>
      <c r="M81" s="538" t="str">
        <f t="shared" si="29"/>
        <v>--</v>
      </c>
      <c r="N81" s="158" t="str">
        <f t="shared" si="30"/>
        <v>--</v>
      </c>
      <c r="O81" s="181">
        <f t="shared" si="31"/>
        <v>1E-3</v>
      </c>
    </row>
    <row r="82" spans="1:15" ht="11.25" customHeight="1">
      <c r="A82" s="897" t="s">
        <v>233</v>
      </c>
      <c r="B82" s="429" t="s">
        <v>234</v>
      </c>
      <c r="C82" s="507" t="str">
        <f t="shared" si="13"/>
        <v>--</v>
      </c>
      <c r="D82" s="158" t="str">
        <f t="shared" si="14"/>
        <v>--</v>
      </c>
      <c r="E82" s="691" t="str">
        <f t="shared" si="15"/>
        <v>--</v>
      </c>
      <c r="F82" s="687" t="str">
        <f t="shared" si="16"/>
        <v>--</v>
      </c>
      <c r="G82" s="158" t="str">
        <f t="shared" si="17"/>
        <v>--</v>
      </c>
      <c r="H82" s="508" t="str">
        <f t="shared" si="18"/>
        <v>--</v>
      </c>
      <c r="I82" s="188" t="str">
        <f t="shared" si="25"/>
        <v>V</v>
      </c>
      <c r="J82" s="157">
        <f t="shared" si="26"/>
        <v>7.5224856909199998E-3</v>
      </c>
      <c r="K82" s="158" t="str">
        <f t="shared" si="27"/>
        <v>--</v>
      </c>
      <c r="L82" s="158" t="str">
        <f t="shared" si="28"/>
        <v>--</v>
      </c>
      <c r="M82" s="538" t="str">
        <f t="shared" si="29"/>
        <v>--</v>
      </c>
      <c r="N82" s="158" t="str">
        <f t="shared" si="30"/>
        <v>--</v>
      </c>
      <c r="O82" s="181">
        <f t="shared" si="31"/>
        <v>1E-3</v>
      </c>
    </row>
    <row r="83" spans="1:15" ht="11.25" customHeight="1">
      <c r="A83" s="897" t="s">
        <v>235</v>
      </c>
      <c r="B83" s="429" t="s">
        <v>236</v>
      </c>
      <c r="C83" s="507" t="str">
        <f t="shared" si="13"/>
        <v>--</v>
      </c>
      <c r="D83" s="158" t="str">
        <f t="shared" si="14"/>
        <v>--</v>
      </c>
      <c r="E83" s="691" t="str">
        <f t="shared" si="15"/>
        <v>--</v>
      </c>
      <c r="F83" s="687" t="str">
        <f t="shared" si="16"/>
        <v>--</v>
      </c>
      <c r="G83" s="158" t="str">
        <f t="shared" si="17"/>
        <v>--</v>
      </c>
      <c r="H83" s="508" t="str">
        <f t="shared" si="18"/>
        <v>--</v>
      </c>
      <c r="I83" s="188" t="str">
        <f t="shared" si="25"/>
        <v>V</v>
      </c>
      <c r="J83" s="157">
        <f t="shared" si="26"/>
        <v>2.2730989370400002E-3</v>
      </c>
      <c r="K83" s="158" t="str">
        <f t="shared" si="27"/>
        <v>--</v>
      </c>
      <c r="L83" s="158" t="str">
        <f t="shared" si="28"/>
        <v>--</v>
      </c>
      <c r="M83" s="538" t="str">
        <f t="shared" si="29"/>
        <v>--</v>
      </c>
      <c r="N83" s="158" t="str">
        <f t="shared" si="30"/>
        <v>--</v>
      </c>
      <c r="O83" s="181">
        <f t="shared" si="31"/>
        <v>1E-3</v>
      </c>
    </row>
    <row r="84" spans="1:15" ht="11.25" customHeight="1">
      <c r="A84" s="897" t="s">
        <v>237</v>
      </c>
      <c r="B84" s="429" t="s">
        <v>238</v>
      </c>
      <c r="C84" s="507">
        <f t="shared" si="13"/>
        <v>18.787668350028376</v>
      </c>
      <c r="D84" s="158" t="str">
        <f t="shared" si="14"/>
        <v>--</v>
      </c>
      <c r="E84" s="691">
        <f t="shared" si="15"/>
        <v>18.787668350028376</v>
      </c>
      <c r="F84" s="687">
        <f t="shared" si="16"/>
        <v>227.25563636194326</v>
      </c>
      <c r="G84" s="158" t="str">
        <f t="shared" si="17"/>
        <v>--</v>
      </c>
      <c r="H84" s="508">
        <f t="shared" si="18"/>
        <v>227.25563636194326</v>
      </c>
      <c r="I84" s="188" t="str">
        <f t="shared" si="25"/>
        <v>V</v>
      </c>
      <c r="J84" s="157">
        <f t="shared" si="26"/>
        <v>4.9059689289000005E-4</v>
      </c>
      <c r="K84" s="158">
        <f t="shared" si="27"/>
        <v>9.2171717171717158E-3</v>
      </c>
      <c r="L84" s="158" t="str">
        <f t="shared" si="28"/>
        <v>--</v>
      </c>
      <c r="M84" s="538">
        <f t="shared" si="29"/>
        <v>0.11149090909090907</v>
      </c>
      <c r="N84" s="158" t="str">
        <f t="shared" si="30"/>
        <v>--</v>
      </c>
      <c r="O84" s="181">
        <f t="shared" si="31"/>
        <v>1E-3</v>
      </c>
    </row>
    <row r="85" spans="1:15" ht="11.25" customHeight="1">
      <c r="A85" s="897" t="s">
        <v>239</v>
      </c>
      <c r="B85" s="429" t="s">
        <v>240</v>
      </c>
      <c r="C85" s="507" t="str">
        <f t="shared" si="13"/>
        <v>--</v>
      </c>
      <c r="D85" s="158" t="str">
        <f t="shared" si="14"/>
        <v>--</v>
      </c>
      <c r="E85" s="691" t="str">
        <f t="shared" si="15"/>
        <v>--</v>
      </c>
      <c r="F85" s="687" t="str">
        <f t="shared" si="16"/>
        <v>--</v>
      </c>
      <c r="G85" s="158" t="str">
        <f t="shared" si="17"/>
        <v>--</v>
      </c>
      <c r="H85" s="508" t="str">
        <f t="shared" si="18"/>
        <v>--</v>
      </c>
      <c r="I85" s="188" t="str">
        <f t="shared" si="25"/>
        <v>NV</v>
      </c>
      <c r="J85" s="157">
        <f t="shared" si="26"/>
        <v>1.8683564999999999E-5</v>
      </c>
      <c r="K85" s="158" t="str">
        <f t="shared" si="27"/>
        <v>--</v>
      </c>
      <c r="L85" s="158" t="str">
        <f t="shared" si="28"/>
        <v>--</v>
      </c>
      <c r="M85" s="538" t="str">
        <f t="shared" si="29"/>
        <v>--</v>
      </c>
      <c r="N85" s="158" t="str">
        <f t="shared" si="30"/>
        <v>--</v>
      </c>
      <c r="O85" s="181">
        <f t="shared" si="31"/>
        <v>1E-3</v>
      </c>
    </row>
    <row r="86" spans="1:15" ht="11.25" customHeight="1">
      <c r="A86" s="897" t="s">
        <v>241</v>
      </c>
      <c r="B86" s="429" t="s">
        <v>242</v>
      </c>
      <c r="C86" s="507" t="str">
        <f t="shared" si="13"/>
        <v>--</v>
      </c>
      <c r="D86" s="158" t="str">
        <f t="shared" si="14"/>
        <v>--</v>
      </c>
      <c r="E86" s="691" t="str">
        <f t="shared" si="15"/>
        <v>--</v>
      </c>
      <c r="F86" s="687" t="str">
        <f t="shared" si="16"/>
        <v>--</v>
      </c>
      <c r="G86" s="158" t="str">
        <f t="shared" si="17"/>
        <v>--</v>
      </c>
      <c r="H86" s="508" t="str">
        <f t="shared" si="18"/>
        <v>--</v>
      </c>
      <c r="I86" s="188" t="str">
        <f t="shared" si="25"/>
        <v>NV</v>
      </c>
      <c r="J86" s="157">
        <f t="shared" si="26"/>
        <v>2.6860179890000001E-5</v>
      </c>
      <c r="K86" s="158" t="str">
        <f t="shared" si="27"/>
        <v>--</v>
      </c>
      <c r="L86" s="158" t="str">
        <f t="shared" si="28"/>
        <v>--</v>
      </c>
      <c r="M86" s="538" t="str">
        <f t="shared" si="29"/>
        <v>--</v>
      </c>
      <c r="N86" s="158" t="str">
        <f t="shared" si="30"/>
        <v>--</v>
      </c>
      <c r="O86" s="181">
        <f t="shared" si="31"/>
        <v>1E-3</v>
      </c>
    </row>
    <row r="87" spans="1:15" ht="11.25" customHeight="1">
      <c r="A87" s="897" t="s">
        <v>243</v>
      </c>
      <c r="B87" s="429" t="s">
        <v>244</v>
      </c>
      <c r="C87" s="507" t="str">
        <f t="shared" si="13"/>
        <v>--</v>
      </c>
      <c r="D87" s="158" t="str">
        <f t="shared" si="14"/>
        <v>--</v>
      </c>
      <c r="E87" s="691" t="str">
        <f t="shared" si="15"/>
        <v>--</v>
      </c>
      <c r="F87" s="687" t="str">
        <f t="shared" si="16"/>
        <v>--</v>
      </c>
      <c r="G87" s="158" t="str">
        <f t="shared" si="17"/>
        <v>--</v>
      </c>
      <c r="H87" s="508" t="str">
        <f t="shared" si="18"/>
        <v>--</v>
      </c>
      <c r="I87" s="188" t="str">
        <f t="shared" si="25"/>
        <v>NV</v>
      </c>
      <c r="J87" s="157">
        <f t="shared" si="26"/>
        <v>2.3875715449999999E-5</v>
      </c>
      <c r="K87" s="158" t="str">
        <f t="shared" si="27"/>
        <v>--</v>
      </c>
      <c r="L87" s="158" t="str">
        <f t="shared" si="28"/>
        <v>--</v>
      </c>
      <c r="M87" s="538" t="str">
        <f t="shared" si="29"/>
        <v>--</v>
      </c>
      <c r="N87" s="158" t="str">
        <f t="shared" si="30"/>
        <v>--</v>
      </c>
      <c r="O87" s="181">
        <f t="shared" si="31"/>
        <v>1E-3</v>
      </c>
    </row>
    <row r="88" spans="1:15" ht="11.25" customHeight="1">
      <c r="A88" s="897" t="s">
        <v>245</v>
      </c>
      <c r="B88" s="429" t="s">
        <v>246</v>
      </c>
      <c r="C88" s="507" t="str">
        <f t="shared" si="13"/>
        <v>--</v>
      </c>
      <c r="D88" s="158" t="str">
        <f t="shared" si="14"/>
        <v>--</v>
      </c>
      <c r="E88" s="691" t="str">
        <f t="shared" si="15"/>
        <v>--</v>
      </c>
      <c r="F88" s="687" t="str">
        <f t="shared" si="16"/>
        <v>--</v>
      </c>
      <c r="G88" s="158" t="str">
        <f t="shared" si="17"/>
        <v>--</v>
      </c>
      <c r="H88" s="508" t="str">
        <f t="shared" si="18"/>
        <v>--</v>
      </c>
      <c r="I88" s="188" t="str">
        <f t="shared" si="25"/>
        <v>NV</v>
      </c>
      <c r="J88" s="157">
        <f t="shared" si="26"/>
        <v>2.1381847915000001E-4</v>
      </c>
      <c r="K88" s="158" t="str">
        <f t="shared" si="27"/>
        <v>--</v>
      </c>
      <c r="L88" s="158" t="str">
        <f t="shared" si="28"/>
        <v>--</v>
      </c>
      <c r="M88" s="538" t="str">
        <f t="shared" si="29"/>
        <v>--</v>
      </c>
      <c r="N88" s="158" t="str">
        <f t="shared" si="30"/>
        <v>--</v>
      </c>
      <c r="O88" s="181">
        <f t="shared" si="31"/>
        <v>1E-3</v>
      </c>
    </row>
    <row r="89" spans="1:15" ht="11.25" customHeight="1">
      <c r="A89" s="897" t="s">
        <v>247</v>
      </c>
      <c r="B89" s="429" t="s">
        <v>248</v>
      </c>
      <c r="C89" s="507" t="str">
        <f t="shared" si="13"/>
        <v>--</v>
      </c>
      <c r="D89" s="158" t="str">
        <f t="shared" si="14"/>
        <v>--</v>
      </c>
      <c r="E89" s="691" t="str">
        <f t="shared" si="15"/>
        <v>--</v>
      </c>
      <c r="F89" s="687" t="str">
        <f t="shared" si="16"/>
        <v>--</v>
      </c>
      <c r="G89" s="158" t="str">
        <f t="shared" si="17"/>
        <v>--</v>
      </c>
      <c r="H89" s="508" t="str">
        <f t="shared" si="18"/>
        <v>--</v>
      </c>
      <c r="I89" s="188" t="str">
        <f t="shared" si="25"/>
        <v>NV</v>
      </c>
      <c r="J89" s="157">
        <f t="shared" si="26"/>
        <v>5.7645134914099999E-6</v>
      </c>
      <c r="K89" s="158" t="str">
        <f t="shared" si="27"/>
        <v>--</v>
      </c>
      <c r="L89" s="158" t="str">
        <f t="shared" si="28"/>
        <v>--</v>
      </c>
      <c r="M89" s="538" t="str">
        <f t="shared" si="29"/>
        <v>--</v>
      </c>
      <c r="N89" s="158" t="str">
        <f t="shared" si="30"/>
        <v>--</v>
      </c>
      <c r="O89" s="181">
        <f t="shared" si="31"/>
        <v>1E-3</v>
      </c>
    </row>
    <row r="90" spans="1:15" ht="11.25" customHeight="1">
      <c r="A90" s="897" t="s">
        <v>249</v>
      </c>
      <c r="B90" s="429" t="s">
        <v>250</v>
      </c>
      <c r="C90" s="507" t="str">
        <f t="shared" si="13"/>
        <v>--</v>
      </c>
      <c r="D90" s="158" t="str">
        <f t="shared" si="14"/>
        <v>--</v>
      </c>
      <c r="E90" s="691" t="str">
        <f t="shared" si="15"/>
        <v>--</v>
      </c>
      <c r="F90" s="687" t="str">
        <f t="shared" si="16"/>
        <v>--</v>
      </c>
      <c r="G90" s="158" t="str">
        <f t="shared" si="17"/>
        <v>--</v>
      </c>
      <c r="H90" s="508" t="str">
        <f t="shared" si="18"/>
        <v>--</v>
      </c>
      <c r="I90" s="188" t="str">
        <f t="shared" si="25"/>
        <v>NV</v>
      </c>
      <c r="J90" s="157">
        <f t="shared" si="26"/>
        <v>3.6222403925000003E-4</v>
      </c>
      <c r="K90" s="158" t="str">
        <f t="shared" si="27"/>
        <v>--</v>
      </c>
      <c r="L90" s="158" t="str">
        <f t="shared" si="28"/>
        <v>--</v>
      </c>
      <c r="M90" s="538" t="str">
        <f t="shared" si="29"/>
        <v>--</v>
      </c>
      <c r="N90" s="158" t="str">
        <f t="shared" si="30"/>
        <v>--</v>
      </c>
      <c r="O90" s="181">
        <f t="shared" si="31"/>
        <v>1E-3</v>
      </c>
    </row>
    <row r="91" spans="1:15" ht="11.25" customHeight="1">
      <c r="A91" s="897" t="s">
        <v>251</v>
      </c>
      <c r="B91" s="429" t="s">
        <v>252</v>
      </c>
      <c r="C91" s="507" t="str">
        <f t="shared" si="13"/>
        <v>--</v>
      </c>
      <c r="D91" s="158" t="str">
        <f t="shared" si="14"/>
        <v>--</v>
      </c>
      <c r="E91" s="691" t="str">
        <f t="shared" si="15"/>
        <v>--</v>
      </c>
      <c r="F91" s="687" t="str">
        <f t="shared" si="16"/>
        <v>--</v>
      </c>
      <c r="G91" s="158" t="str">
        <f t="shared" si="17"/>
        <v>--</v>
      </c>
      <c r="H91" s="508" t="str">
        <f t="shared" si="18"/>
        <v>--</v>
      </c>
      <c r="I91" s="188" t="str">
        <f t="shared" si="25"/>
        <v>V</v>
      </c>
      <c r="J91" s="157">
        <f t="shared" si="26"/>
        <v>3.9329517579699998E-3</v>
      </c>
      <c r="K91" s="158" t="str">
        <f t="shared" si="27"/>
        <v>--</v>
      </c>
      <c r="L91" s="158" t="str">
        <f t="shared" si="28"/>
        <v>--</v>
      </c>
      <c r="M91" s="538" t="str">
        <f t="shared" si="29"/>
        <v>--</v>
      </c>
      <c r="N91" s="158" t="str">
        <f t="shared" si="30"/>
        <v>--</v>
      </c>
      <c r="O91" s="181">
        <f t="shared" si="31"/>
        <v>1E-3</v>
      </c>
    </row>
    <row r="92" spans="1:15" ht="11.25" customHeight="1">
      <c r="A92" s="897" t="s">
        <v>253</v>
      </c>
      <c r="B92" s="429" t="s">
        <v>254</v>
      </c>
      <c r="C92" s="507" t="str">
        <f t="shared" si="13"/>
        <v>--</v>
      </c>
      <c r="D92" s="158" t="str">
        <f t="shared" si="14"/>
        <v>--</v>
      </c>
      <c r="E92" s="691" t="str">
        <f t="shared" si="15"/>
        <v>--</v>
      </c>
      <c r="F92" s="687" t="str">
        <f t="shared" si="16"/>
        <v>--</v>
      </c>
      <c r="G92" s="158" t="str">
        <f t="shared" si="17"/>
        <v>--</v>
      </c>
      <c r="H92" s="508" t="str">
        <f t="shared" si="18"/>
        <v>--</v>
      </c>
      <c r="I92" s="188" t="str">
        <f t="shared" si="25"/>
        <v>NV</v>
      </c>
      <c r="J92" s="157">
        <f t="shared" si="26"/>
        <v>1.4227309889999999E-5</v>
      </c>
      <c r="K92" s="158" t="str">
        <f t="shared" si="27"/>
        <v>--</v>
      </c>
      <c r="L92" s="158" t="str">
        <f t="shared" si="28"/>
        <v>--</v>
      </c>
      <c r="M92" s="538" t="str">
        <f t="shared" si="29"/>
        <v>--</v>
      </c>
      <c r="N92" s="158" t="str">
        <f t="shared" si="30"/>
        <v>--</v>
      </c>
      <c r="O92" s="181">
        <f t="shared" si="31"/>
        <v>1E-3</v>
      </c>
    </row>
    <row r="93" spans="1:15" ht="11.25" customHeight="1">
      <c r="A93" s="897" t="s">
        <v>255</v>
      </c>
      <c r="B93" s="429" t="s">
        <v>256</v>
      </c>
      <c r="C93" s="507">
        <f t="shared" si="13"/>
        <v>4.5906519950627338</v>
      </c>
      <c r="D93" s="158">
        <f t="shared" si="14"/>
        <v>173.92012987009105</v>
      </c>
      <c r="E93" s="691">
        <f t="shared" si="15"/>
        <v>4.5906519950627338</v>
      </c>
      <c r="F93" s="687">
        <f t="shared" si="16"/>
        <v>20.051967914434027</v>
      </c>
      <c r="G93" s="158">
        <f t="shared" si="17"/>
        <v>730.46454545438235</v>
      </c>
      <c r="H93" s="508">
        <f t="shared" si="18"/>
        <v>20.051967914434027</v>
      </c>
      <c r="I93" s="188" t="str">
        <f t="shared" si="25"/>
        <v>V</v>
      </c>
      <c r="J93" s="157">
        <f t="shared" si="26"/>
        <v>1.7988552739170001E-2</v>
      </c>
      <c r="K93" s="158">
        <f t="shared" si="27"/>
        <v>8.2579185520361975E-2</v>
      </c>
      <c r="L93" s="158">
        <f t="shared" si="28"/>
        <v>3.1285714285714286</v>
      </c>
      <c r="M93" s="538">
        <f t="shared" si="29"/>
        <v>0.36070588235294115</v>
      </c>
      <c r="N93" s="158">
        <f t="shared" si="30"/>
        <v>13.139999999999999</v>
      </c>
      <c r="O93" s="181">
        <f t="shared" si="31"/>
        <v>1E-3</v>
      </c>
    </row>
    <row r="94" spans="1:15" ht="11.25" customHeight="1">
      <c r="A94" s="897" t="s">
        <v>257</v>
      </c>
      <c r="B94" s="429" t="s">
        <v>258</v>
      </c>
      <c r="C94" s="507" t="str">
        <f t="shared" ref="C94:C121" si="32">IF($I94="NV","--",IF(K94="--","--",K94/($J94*$O94*1000)))</f>
        <v>--</v>
      </c>
      <c r="D94" s="158" t="str">
        <f>IF($I94="NV", "--", IF(L94="--","--", L94/($J94*$O94*1000)))</f>
        <v>--</v>
      </c>
      <c r="E94" s="691" t="str">
        <f t="shared" ref="E94:E110" si="33">IF(MIN(C94,D94)=0,"--",MIN(C94,D94))</f>
        <v>--</v>
      </c>
      <c r="F94" s="687" t="str">
        <f t="shared" ref="F94:F121" si="34">IF($I94="NV", "--", IF(M94="--","--", M94/(J94*$O94*1000)))</f>
        <v>--</v>
      </c>
      <c r="G94" s="158" t="str">
        <f t="shared" ref="G94:G111" si="35">IF(I94="NV","--",IF(N94="--","--",N94/(J94*O94*1000)))</f>
        <v>--</v>
      </c>
      <c r="H94" s="508" t="str">
        <f t="shared" ref="H94:H104" si="36">IF(MIN(F94,G94)=0,"--",MIN(F94,G94))</f>
        <v>--</v>
      </c>
      <c r="I94" s="188" t="str">
        <f t="shared" si="25"/>
        <v>V</v>
      </c>
      <c r="J94" s="157">
        <f t="shared" si="26"/>
        <v>4.8650858544999997E-4</v>
      </c>
      <c r="K94" s="158" t="str">
        <f t="shared" si="27"/>
        <v>--</v>
      </c>
      <c r="L94" s="158" t="str">
        <f t="shared" si="28"/>
        <v>--</v>
      </c>
      <c r="M94" s="538" t="str">
        <f t="shared" si="29"/>
        <v>--</v>
      </c>
      <c r="N94" s="158" t="str">
        <f t="shared" si="30"/>
        <v>--</v>
      </c>
      <c r="O94" s="181">
        <f t="shared" si="31"/>
        <v>1E-3</v>
      </c>
    </row>
    <row r="95" spans="1:15" ht="11.25" customHeight="1">
      <c r="A95" s="897" t="s">
        <v>259</v>
      </c>
      <c r="B95" s="429" t="s">
        <v>260</v>
      </c>
      <c r="C95" s="507" t="str">
        <f t="shared" si="32"/>
        <v>--</v>
      </c>
      <c r="D95" s="158" t="str">
        <f>IF($I95="NV", "--", IF(L95="--","--", L95/($J95*$O95*1000)))</f>
        <v>--</v>
      </c>
      <c r="E95" s="691" t="str">
        <f t="shared" si="33"/>
        <v>--</v>
      </c>
      <c r="F95" s="687" t="str">
        <f t="shared" si="34"/>
        <v>--</v>
      </c>
      <c r="G95" s="158" t="str">
        <f t="shared" si="35"/>
        <v>--</v>
      </c>
      <c r="H95" s="508" t="str">
        <f t="shared" si="36"/>
        <v>--</v>
      </c>
      <c r="I95" s="188" t="str">
        <f t="shared" si="25"/>
        <v>NV</v>
      </c>
      <c r="J95" s="157">
        <f t="shared" si="26"/>
        <v>1.0016353229800001E-6</v>
      </c>
      <c r="K95" s="158" t="str">
        <f t="shared" si="27"/>
        <v>--</v>
      </c>
      <c r="L95" s="158" t="str">
        <f t="shared" si="28"/>
        <v>--</v>
      </c>
      <c r="M95" s="538" t="str">
        <f t="shared" si="29"/>
        <v>--</v>
      </c>
      <c r="N95" s="158" t="str">
        <f t="shared" si="30"/>
        <v>--</v>
      </c>
      <c r="O95" s="181">
        <f t="shared" si="31"/>
        <v>1E-3</v>
      </c>
    </row>
    <row r="96" spans="1:15" ht="11.25" customHeight="1">
      <c r="A96" s="897" t="s">
        <v>261</v>
      </c>
      <c r="B96" s="429" t="s">
        <v>1261</v>
      </c>
      <c r="C96" s="507" t="str">
        <f t="shared" si="32"/>
        <v>--</v>
      </c>
      <c r="D96" s="158" t="str">
        <f>IF($I96="NV", "--", IF(L96="--","--", L96/($J96*$O96*1000)))</f>
        <v>--</v>
      </c>
      <c r="E96" s="691" t="str">
        <f t="shared" si="33"/>
        <v>--</v>
      </c>
      <c r="F96" s="687" t="str">
        <f t="shared" si="34"/>
        <v>--</v>
      </c>
      <c r="G96" s="158" t="str">
        <f t="shared" si="35"/>
        <v>--</v>
      </c>
      <c r="H96" s="508" t="str">
        <f t="shared" si="36"/>
        <v>--</v>
      </c>
      <c r="I96" s="188" t="str">
        <f t="shared" si="25"/>
        <v>NV</v>
      </c>
      <c r="J96" s="157" t="str">
        <f t="shared" si="26"/>
        <v>--</v>
      </c>
      <c r="K96" s="158" t="str">
        <f t="shared" si="27"/>
        <v>--</v>
      </c>
      <c r="L96" s="158" t="str">
        <f t="shared" si="28"/>
        <v>--</v>
      </c>
      <c r="M96" s="538" t="str">
        <f t="shared" si="29"/>
        <v>--</v>
      </c>
      <c r="N96" s="158" t="str">
        <f t="shared" si="30"/>
        <v>--</v>
      </c>
      <c r="O96" s="181">
        <f t="shared" si="31"/>
        <v>1E-3</v>
      </c>
    </row>
    <row r="97" spans="1:15" ht="11.25" customHeight="1">
      <c r="A97" s="897" t="s">
        <v>263</v>
      </c>
      <c r="B97" s="429" t="s">
        <v>115</v>
      </c>
      <c r="C97" s="507" t="str">
        <f t="shared" si="32"/>
        <v>--</v>
      </c>
      <c r="D97" s="353" t="s">
        <v>115</v>
      </c>
      <c r="E97" s="691" t="str">
        <f t="shared" si="33"/>
        <v>--</v>
      </c>
      <c r="F97" s="687" t="str">
        <f t="shared" si="34"/>
        <v>--</v>
      </c>
      <c r="G97" s="353" t="s">
        <v>115</v>
      </c>
      <c r="H97" s="508" t="str">
        <f t="shared" si="36"/>
        <v>--</v>
      </c>
      <c r="I97" s="188" t="str">
        <f t="shared" si="25"/>
        <v>V</v>
      </c>
      <c r="J97" s="157">
        <f t="shared" si="26"/>
        <v>73.262600000000006</v>
      </c>
      <c r="K97" s="158" t="str">
        <f t="shared" si="27"/>
        <v>--</v>
      </c>
      <c r="L97" s="158">
        <f t="shared" si="28"/>
        <v>646.01769911504425</v>
      </c>
      <c r="M97" s="538" t="str">
        <f t="shared" si="29"/>
        <v>--</v>
      </c>
      <c r="N97" s="158">
        <f t="shared" si="30"/>
        <v>2713.2743362831852</v>
      </c>
      <c r="O97" s="181">
        <f t="shared" si="31"/>
        <v>1E-3</v>
      </c>
    </row>
    <row r="98" spans="1:15" ht="11.25" customHeight="1">
      <c r="A98" s="897" t="s">
        <v>264</v>
      </c>
      <c r="B98" s="429" t="s">
        <v>115</v>
      </c>
      <c r="C98" s="507" t="str">
        <f t="shared" si="32"/>
        <v>--</v>
      </c>
      <c r="D98" s="353" t="s">
        <v>115</v>
      </c>
      <c r="E98" s="691" t="str">
        <f t="shared" si="33"/>
        <v>--</v>
      </c>
      <c r="F98" s="687" t="str">
        <f t="shared" si="34"/>
        <v>--</v>
      </c>
      <c r="G98" s="353" t="s">
        <v>115</v>
      </c>
      <c r="H98" s="508" t="str">
        <f t="shared" si="36"/>
        <v>--</v>
      </c>
      <c r="I98" s="188" t="str">
        <f t="shared" si="25"/>
        <v>V</v>
      </c>
      <c r="J98" s="157">
        <f t="shared" si="26"/>
        <v>80.290400000000005</v>
      </c>
      <c r="K98" s="158" t="str">
        <f t="shared" si="27"/>
        <v>--</v>
      </c>
      <c r="L98" s="158">
        <f t="shared" si="28"/>
        <v>309.32203389830511</v>
      </c>
      <c r="M98" s="538" t="str">
        <f t="shared" si="29"/>
        <v>--</v>
      </c>
      <c r="N98" s="158">
        <f t="shared" si="30"/>
        <v>1299.1525423728813</v>
      </c>
      <c r="O98" s="181">
        <f t="shared" si="31"/>
        <v>1E-3</v>
      </c>
    </row>
    <row r="99" spans="1:15" ht="11.25" customHeight="1">
      <c r="A99" s="897" t="s">
        <v>265</v>
      </c>
      <c r="B99" s="429" t="s">
        <v>115</v>
      </c>
      <c r="C99" s="507" t="str">
        <f t="shared" si="32"/>
        <v>--</v>
      </c>
      <c r="D99" s="353" t="s">
        <v>115</v>
      </c>
      <c r="E99" s="691" t="str">
        <f t="shared" si="33"/>
        <v>--</v>
      </c>
      <c r="F99" s="687" t="str">
        <f t="shared" si="34"/>
        <v>--</v>
      </c>
      <c r="G99" s="353" t="s">
        <v>115</v>
      </c>
      <c r="H99" s="508" t="str">
        <f t="shared" si="36"/>
        <v>--</v>
      </c>
      <c r="I99" s="188" t="str">
        <f t="shared" si="25"/>
        <v>V</v>
      </c>
      <c r="J99" s="157">
        <f t="shared" si="26"/>
        <v>80.290400000000005</v>
      </c>
      <c r="K99" s="158" t="str">
        <f t="shared" si="27"/>
        <v>--</v>
      </c>
      <c r="L99" s="158">
        <f t="shared" si="28"/>
        <v>309.32203389830511</v>
      </c>
      <c r="M99" s="538" t="str">
        <f t="shared" si="29"/>
        <v>--</v>
      </c>
      <c r="N99" s="158">
        <f t="shared" si="30"/>
        <v>1299.1525423728813</v>
      </c>
      <c r="O99" s="181">
        <f t="shared" si="31"/>
        <v>1E-3</v>
      </c>
    </row>
    <row r="100" spans="1:15" ht="11.25" customHeight="1">
      <c r="A100" s="897" t="s">
        <v>266</v>
      </c>
      <c r="B100" s="429" t="s">
        <v>115</v>
      </c>
      <c r="C100" s="507" t="str">
        <f t="shared" si="32"/>
        <v>--</v>
      </c>
      <c r="D100" s="353" t="s">
        <v>115</v>
      </c>
      <c r="E100" s="691" t="str">
        <f t="shared" si="33"/>
        <v>--</v>
      </c>
      <c r="F100" s="687" t="str">
        <f t="shared" si="34"/>
        <v>--</v>
      </c>
      <c r="G100" s="353" t="s">
        <v>115</v>
      </c>
      <c r="H100" s="508" t="str">
        <f t="shared" si="36"/>
        <v>--</v>
      </c>
      <c r="I100" s="188" t="str">
        <f t="shared" si="25"/>
        <v>V</v>
      </c>
      <c r="J100" s="157">
        <f t="shared" si="26"/>
        <v>72.256399999999999</v>
      </c>
      <c r="K100" s="158" t="str">
        <f t="shared" si="27"/>
        <v>--</v>
      </c>
      <c r="L100" s="158">
        <f t="shared" si="28"/>
        <v>202.77777777777774</v>
      </c>
      <c r="M100" s="538" t="str">
        <f t="shared" si="29"/>
        <v>--</v>
      </c>
      <c r="N100" s="158">
        <f t="shared" si="30"/>
        <v>851.66666666666663</v>
      </c>
      <c r="O100" s="181">
        <f t="shared" si="31"/>
        <v>1E-3</v>
      </c>
    </row>
    <row r="101" spans="1:15" ht="11.25" customHeight="1">
      <c r="A101" s="897" t="s">
        <v>267</v>
      </c>
      <c r="B101" s="429" t="s">
        <v>115</v>
      </c>
      <c r="C101" s="507" t="str">
        <f t="shared" si="32"/>
        <v>--</v>
      </c>
      <c r="D101" s="158" t="str">
        <f t="shared" ref="D101:D121" si="37">IF($I101="NV", "--", IF(L101="--","--", L101/($J101*$O101*1000)))</f>
        <v>--</v>
      </c>
      <c r="E101" s="691" t="str">
        <f t="shared" si="33"/>
        <v>--</v>
      </c>
      <c r="F101" s="687" t="str">
        <f t="shared" si="34"/>
        <v>--</v>
      </c>
      <c r="G101" s="158" t="str">
        <f t="shared" si="35"/>
        <v>--</v>
      </c>
      <c r="H101" s="508" t="str">
        <f t="shared" si="36"/>
        <v>--</v>
      </c>
      <c r="I101" s="188" t="str">
        <f t="shared" si="25"/>
        <v>NV</v>
      </c>
      <c r="J101" s="157">
        <f t="shared" si="26"/>
        <v>5.9600000000000001E-9</v>
      </c>
      <c r="K101" s="158" t="str">
        <f t="shared" si="27"/>
        <v>--</v>
      </c>
      <c r="L101" s="158" t="str">
        <f t="shared" si="28"/>
        <v>--</v>
      </c>
      <c r="M101" s="538" t="str">
        <f t="shared" si="29"/>
        <v>--</v>
      </c>
      <c r="N101" s="158" t="str">
        <f t="shared" si="30"/>
        <v>--</v>
      </c>
      <c r="O101" s="181">
        <f t="shared" si="31"/>
        <v>1E-3</v>
      </c>
    </row>
    <row r="102" spans="1:15" ht="11.25" customHeight="1">
      <c r="A102" s="897" t="s">
        <v>268</v>
      </c>
      <c r="B102" s="429" t="s">
        <v>115</v>
      </c>
      <c r="C102" s="507" t="str">
        <f t="shared" si="32"/>
        <v>--</v>
      </c>
      <c r="D102" s="158" t="str">
        <f t="shared" si="37"/>
        <v>--</v>
      </c>
      <c r="E102" s="691" t="str">
        <f t="shared" si="33"/>
        <v>--</v>
      </c>
      <c r="F102" s="687" t="str">
        <f t="shared" si="34"/>
        <v>--</v>
      </c>
      <c r="G102" s="158" t="str">
        <f t="shared" si="35"/>
        <v>--</v>
      </c>
      <c r="H102" s="508" t="str">
        <f t="shared" si="36"/>
        <v>--</v>
      </c>
      <c r="I102" s="188" t="str">
        <f t="shared" si="25"/>
        <v>NV</v>
      </c>
      <c r="J102" s="157" t="str">
        <f t="shared" si="26"/>
        <v>--</v>
      </c>
      <c r="K102" s="158" t="str">
        <f t="shared" si="27"/>
        <v>--</v>
      </c>
      <c r="L102" s="158" t="str">
        <f t="shared" si="28"/>
        <v>--</v>
      </c>
      <c r="M102" s="538" t="str">
        <f t="shared" si="29"/>
        <v>--</v>
      </c>
      <c r="N102" s="158" t="str">
        <f t="shared" si="30"/>
        <v>--</v>
      </c>
      <c r="O102" s="181">
        <f t="shared" si="31"/>
        <v>1E-3</v>
      </c>
    </row>
    <row r="103" spans="1:15" ht="11.25" customHeight="1">
      <c r="A103" s="897" t="s">
        <v>269</v>
      </c>
      <c r="B103" s="429" t="s">
        <v>270</v>
      </c>
      <c r="C103" s="507" t="str">
        <f t="shared" si="32"/>
        <v>--</v>
      </c>
      <c r="D103" s="158" t="str">
        <f t="shared" si="37"/>
        <v>--</v>
      </c>
      <c r="E103" s="691" t="str">
        <f t="shared" si="33"/>
        <v>--</v>
      </c>
      <c r="F103" s="687" t="str">
        <f t="shared" si="34"/>
        <v>--</v>
      </c>
      <c r="G103" s="158" t="str">
        <f t="shared" si="35"/>
        <v>--</v>
      </c>
      <c r="H103" s="508" t="str">
        <f t="shared" si="36"/>
        <v>--</v>
      </c>
      <c r="I103" s="188" t="str">
        <f t="shared" ref="I103:I130" si="38">VLOOKUP($A103,Table_IP_1,MATCH("volatility",heading_IP_1,0),FALSE)</f>
        <v>V</v>
      </c>
      <c r="J103" s="157">
        <f t="shared" ref="J103:J130" si="39">VLOOKUP($A103,Table_IP_1,MATCH("H'",heading_IP_1,0),FALSE)</f>
        <v>9.2699999999999998E-4</v>
      </c>
      <c r="K103" s="158" t="str">
        <f t="shared" ref="K103:K130" si="40">VLOOKUP($A103, Table_IA_1, MATCH("IA-Res-C", heading_IA_1, 0), FALSE)</f>
        <v>--</v>
      </c>
      <c r="L103" s="158" t="str">
        <f t="shared" ref="L103:L130" si="41">VLOOKUP($A103, Table_IA_1, MATCH("IA-Res-NC", heading_IA_1, 0), FALSE)</f>
        <v>--</v>
      </c>
      <c r="M103" s="538" t="str">
        <f t="shared" ref="M103:M130" si="42">VLOOKUP($A103, Table_IA_1, MATCH("IA-Com-C", heading_IA_1, 0), FALSE)</f>
        <v>--</v>
      </c>
      <c r="N103" s="158" t="str">
        <f t="shared" ref="N103:N130" si="43">VLOOKUP($A103, Table_IA_1, MATCH("IA-Com-NC", heading_IA_1, 0), FALSE)</f>
        <v>--</v>
      </c>
      <c r="O103" s="181">
        <f t="shared" si="31"/>
        <v>1E-3</v>
      </c>
    </row>
    <row r="104" spans="1:15" ht="11.25" customHeight="1">
      <c r="A104" s="897" t="s">
        <v>271</v>
      </c>
      <c r="B104" s="429" t="s">
        <v>272</v>
      </c>
      <c r="C104" s="507" t="str">
        <f t="shared" si="32"/>
        <v>--</v>
      </c>
      <c r="D104" s="171" t="str">
        <f t="shared" si="37"/>
        <v>--</v>
      </c>
      <c r="E104" s="691" t="str">
        <f t="shared" si="33"/>
        <v>--</v>
      </c>
      <c r="F104" s="687" t="str">
        <f t="shared" si="34"/>
        <v>--</v>
      </c>
      <c r="G104" s="158" t="str">
        <f t="shared" si="35"/>
        <v>--</v>
      </c>
      <c r="H104" s="508" t="str">
        <f t="shared" si="36"/>
        <v>--</v>
      </c>
      <c r="I104" s="188" t="str">
        <f t="shared" si="38"/>
        <v>V</v>
      </c>
      <c r="J104" s="157">
        <f t="shared" si="39"/>
        <v>4.8650860000000002E-3</v>
      </c>
      <c r="K104" s="158" t="str">
        <f t="shared" si="40"/>
        <v>--</v>
      </c>
      <c r="L104" s="158" t="str">
        <f t="shared" si="41"/>
        <v>--</v>
      </c>
      <c r="M104" s="538" t="str">
        <f t="shared" si="42"/>
        <v>--</v>
      </c>
      <c r="N104" s="158" t="str">
        <f t="shared" si="43"/>
        <v>--</v>
      </c>
      <c r="O104" s="181">
        <f t="shared" si="31"/>
        <v>1E-3</v>
      </c>
    </row>
    <row r="105" spans="1:15" ht="11.25" customHeight="1">
      <c r="A105" s="897" t="s">
        <v>273</v>
      </c>
      <c r="B105" s="429" t="s">
        <v>274</v>
      </c>
      <c r="C105" s="507" t="str">
        <f t="shared" si="32"/>
        <v>--</v>
      </c>
      <c r="D105" s="171" t="str">
        <f t="shared" si="37"/>
        <v>--</v>
      </c>
      <c r="E105" s="691" t="str">
        <f t="shared" si="33"/>
        <v>--</v>
      </c>
      <c r="F105" s="687" t="str">
        <f t="shared" si="34"/>
        <v>--</v>
      </c>
      <c r="G105" s="158" t="str">
        <f t="shared" si="35"/>
        <v>--</v>
      </c>
      <c r="H105" s="508" t="str">
        <f t="shared" ref="H105:H125" si="44">IF(MIN(F105,G105)=0,"--",MIN(F105,G105))</f>
        <v>--</v>
      </c>
      <c r="I105" s="188" t="str">
        <f t="shared" si="38"/>
        <v>V</v>
      </c>
      <c r="J105" s="157">
        <f t="shared" si="39"/>
        <v>6.1224489795918364E-4</v>
      </c>
      <c r="K105" s="158" t="str">
        <f t="shared" si="40"/>
        <v>--</v>
      </c>
      <c r="L105" s="158" t="str">
        <f t="shared" si="41"/>
        <v>--</v>
      </c>
      <c r="M105" s="538" t="str">
        <f t="shared" si="42"/>
        <v>--</v>
      </c>
      <c r="N105" s="158" t="str">
        <f t="shared" si="43"/>
        <v>--</v>
      </c>
      <c r="O105" s="181">
        <f t="shared" si="31"/>
        <v>1E-3</v>
      </c>
    </row>
    <row r="106" spans="1:15" ht="11.25" customHeight="1">
      <c r="A106" s="897" t="s">
        <v>275</v>
      </c>
      <c r="B106" s="429" t="s">
        <v>276</v>
      </c>
      <c r="C106" s="507" t="str">
        <f t="shared" si="32"/>
        <v>--</v>
      </c>
      <c r="D106" s="171" t="str">
        <f t="shared" si="37"/>
        <v>--</v>
      </c>
      <c r="E106" s="691" t="str">
        <f t="shared" si="33"/>
        <v>--</v>
      </c>
      <c r="F106" s="687" t="str">
        <f t="shared" si="34"/>
        <v>--</v>
      </c>
      <c r="G106" s="158" t="str">
        <f t="shared" si="35"/>
        <v>--</v>
      </c>
      <c r="H106" s="508" t="str">
        <f t="shared" si="44"/>
        <v>--</v>
      </c>
      <c r="I106" s="188" t="str">
        <f t="shared" si="38"/>
        <v>NV</v>
      </c>
      <c r="J106" s="157">
        <f t="shared" si="39"/>
        <v>9.6099999999999997E-9</v>
      </c>
      <c r="K106" s="158" t="str">
        <f t="shared" si="40"/>
        <v>--</v>
      </c>
      <c r="L106" s="158" t="str">
        <f t="shared" si="41"/>
        <v>--</v>
      </c>
      <c r="M106" s="538" t="str">
        <f t="shared" si="42"/>
        <v>--</v>
      </c>
      <c r="N106" s="158" t="str">
        <f t="shared" si="43"/>
        <v>--</v>
      </c>
      <c r="O106" s="181">
        <f t="shared" si="31"/>
        <v>1E-3</v>
      </c>
    </row>
    <row r="107" spans="1:15" ht="11.25" customHeight="1">
      <c r="A107" s="897" t="s">
        <v>277</v>
      </c>
      <c r="B107" s="429" t="s">
        <v>278</v>
      </c>
      <c r="C107" s="507" t="str">
        <f t="shared" si="32"/>
        <v>--</v>
      </c>
      <c r="D107" s="171" t="str">
        <f t="shared" si="37"/>
        <v>--</v>
      </c>
      <c r="E107" s="691" t="str">
        <f t="shared" si="33"/>
        <v>--</v>
      </c>
      <c r="F107" s="687" t="str">
        <f t="shared" si="34"/>
        <v>--</v>
      </c>
      <c r="G107" s="158" t="str">
        <f t="shared" si="35"/>
        <v>--</v>
      </c>
      <c r="H107" s="508" t="str">
        <f t="shared" si="44"/>
        <v>--</v>
      </c>
      <c r="I107" s="188" t="str">
        <f t="shared" si="38"/>
        <v>V</v>
      </c>
      <c r="J107" s="157">
        <f t="shared" si="39"/>
        <v>2.3102040816326531E-4</v>
      </c>
      <c r="K107" s="158" t="str">
        <f t="shared" si="40"/>
        <v>--</v>
      </c>
      <c r="L107" s="158" t="str">
        <f t="shared" si="41"/>
        <v>--</v>
      </c>
      <c r="M107" s="538" t="str">
        <f t="shared" si="42"/>
        <v>--</v>
      </c>
      <c r="N107" s="158" t="str">
        <f t="shared" si="43"/>
        <v>--</v>
      </c>
      <c r="O107" s="181">
        <f t="shared" si="31"/>
        <v>1E-3</v>
      </c>
    </row>
    <row r="108" spans="1:15" ht="11.25" customHeight="1">
      <c r="A108" s="897" t="s">
        <v>279</v>
      </c>
      <c r="B108" s="429" t="s">
        <v>280</v>
      </c>
      <c r="C108" s="507" t="str">
        <f t="shared" si="32"/>
        <v>--</v>
      </c>
      <c r="D108" s="171" t="str">
        <f t="shared" si="37"/>
        <v>--</v>
      </c>
      <c r="E108" s="691" t="str">
        <f t="shared" si="33"/>
        <v>--</v>
      </c>
      <c r="F108" s="687" t="str">
        <f t="shared" si="34"/>
        <v>--</v>
      </c>
      <c r="G108" s="158" t="str">
        <f t="shared" si="35"/>
        <v>--</v>
      </c>
      <c r="H108" s="508" t="str">
        <f t="shared" si="44"/>
        <v>--</v>
      </c>
      <c r="I108" s="188" t="str">
        <f t="shared" si="38"/>
        <v>NV</v>
      </c>
      <c r="J108" s="157">
        <f t="shared" si="39"/>
        <v>1.4603399999999999E-4</v>
      </c>
      <c r="K108" s="158" t="str">
        <f t="shared" si="40"/>
        <v>--</v>
      </c>
      <c r="L108" s="158" t="str">
        <f t="shared" si="41"/>
        <v>--</v>
      </c>
      <c r="M108" s="538" t="str">
        <f t="shared" si="42"/>
        <v>--</v>
      </c>
      <c r="N108" s="158" t="str">
        <f t="shared" si="43"/>
        <v>--</v>
      </c>
      <c r="O108" s="181">
        <f t="shared" si="31"/>
        <v>1E-3</v>
      </c>
    </row>
    <row r="109" spans="1:15" ht="11.25" customHeight="1">
      <c r="A109" s="897" t="s">
        <v>281</v>
      </c>
      <c r="B109" s="429" t="s">
        <v>282</v>
      </c>
      <c r="C109" s="507" t="str">
        <f t="shared" si="32"/>
        <v>--</v>
      </c>
      <c r="D109" s="171" t="str">
        <f t="shared" si="37"/>
        <v>--</v>
      </c>
      <c r="E109" s="691" t="str">
        <f t="shared" si="33"/>
        <v>--</v>
      </c>
      <c r="F109" s="687" t="str">
        <f t="shared" si="34"/>
        <v>--</v>
      </c>
      <c r="G109" s="158" t="str">
        <f t="shared" si="35"/>
        <v>--</v>
      </c>
      <c r="H109" s="508" t="str">
        <f t="shared" si="44"/>
        <v>--</v>
      </c>
      <c r="I109" s="188" t="str">
        <f t="shared" si="38"/>
        <v>V</v>
      </c>
      <c r="J109" s="157">
        <f t="shared" si="39"/>
        <v>7.7551020408163265E-2</v>
      </c>
      <c r="K109" s="158" t="str">
        <f t="shared" si="40"/>
        <v>--</v>
      </c>
      <c r="L109" s="158" t="str">
        <f t="shared" si="41"/>
        <v>--</v>
      </c>
      <c r="M109" s="538" t="str">
        <f t="shared" si="42"/>
        <v>--</v>
      </c>
      <c r="N109" s="158" t="str">
        <f t="shared" si="43"/>
        <v>--</v>
      </c>
      <c r="O109" s="181">
        <f t="shared" si="31"/>
        <v>1E-3</v>
      </c>
    </row>
    <row r="110" spans="1:15" ht="11.25" customHeight="1">
      <c r="A110" s="897" t="s">
        <v>283</v>
      </c>
      <c r="B110" s="429" t="s">
        <v>284</v>
      </c>
      <c r="C110" s="507" t="str">
        <f t="shared" si="32"/>
        <v>--</v>
      </c>
      <c r="D110" s="171" t="str">
        <f t="shared" si="37"/>
        <v>--</v>
      </c>
      <c r="E110" s="691" t="str">
        <f t="shared" si="33"/>
        <v>--</v>
      </c>
      <c r="F110" s="687" t="str">
        <f t="shared" si="34"/>
        <v>--</v>
      </c>
      <c r="G110" s="158" t="str">
        <f t="shared" si="35"/>
        <v>--</v>
      </c>
      <c r="H110" s="508" t="str">
        <f t="shared" si="44"/>
        <v>--</v>
      </c>
      <c r="I110" s="188" t="str">
        <f t="shared" si="38"/>
        <v>NV</v>
      </c>
      <c r="J110" s="157">
        <f t="shared" si="39"/>
        <v>6.1730000000000001E-9</v>
      </c>
      <c r="K110" s="158" t="str">
        <f t="shared" si="40"/>
        <v>--</v>
      </c>
      <c r="L110" s="158" t="str">
        <f t="shared" si="41"/>
        <v>--</v>
      </c>
      <c r="M110" s="538" t="str">
        <f t="shared" si="42"/>
        <v>--</v>
      </c>
      <c r="N110" s="158" t="str">
        <f t="shared" si="43"/>
        <v>--</v>
      </c>
      <c r="O110" s="181">
        <f t="shared" si="31"/>
        <v>1E-3</v>
      </c>
    </row>
    <row r="111" spans="1:15" ht="11.25" customHeight="1">
      <c r="A111" s="897" t="s">
        <v>285</v>
      </c>
      <c r="B111" s="429" t="s">
        <v>286</v>
      </c>
      <c r="C111" s="507" t="str">
        <f t="shared" si="32"/>
        <v>--</v>
      </c>
      <c r="D111" s="171" t="str">
        <f t="shared" si="37"/>
        <v>--</v>
      </c>
      <c r="E111" s="691" t="str">
        <f t="shared" ref="E111:E125" si="45">IF(MIN(C111,D111)=0,"--",MIN(C111,D111))</f>
        <v>--</v>
      </c>
      <c r="F111" s="687" t="str">
        <f t="shared" si="34"/>
        <v>--</v>
      </c>
      <c r="G111" s="158" t="str">
        <f t="shared" si="35"/>
        <v>--</v>
      </c>
      <c r="H111" s="508" t="str">
        <f t="shared" si="44"/>
        <v>--</v>
      </c>
      <c r="I111" s="188" t="str">
        <f t="shared" si="38"/>
        <v>NV</v>
      </c>
      <c r="J111" s="157">
        <f t="shared" si="39"/>
        <v>1.35E-8</v>
      </c>
      <c r="K111" s="158" t="str">
        <f t="shared" si="40"/>
        <v>--</v>
      </c>
      <c r="L111" s="158" t="str">
        <f t="shared" si="41"/>
        <v>--</v>
      </c>
      <c r="M111" s="538" t="str">
        <f t="shared" si="42"/>
        <v>--</v>
      </c>
      <c r="N111" s="158" t="str">
        <f t="shared" si="43"/>
        <v>--</v>
      </c>
      <c r="O111" s="181">
        <f t="shared" si="31"/>
        <v>1E-3</v>
      </c>
    </row>
    <row r="112" spans="1:15" ht="11.25" customHeight="1">
      <c r="A112" s="897" t="s">
        <v>287</v>
      </c>
      <c r="B112" s="429" t="s">
        <v>288</v>
      </c>
      <c r="C112" s="507" t="str">
        <f t="shared" si="32"/>
        <v>--</v>
      </c>
      <c r="D112" s="171" t="str">
        <f t="shared" si="37"/>
        <v>--</v>
      </c>
      <c r="E112" s="691" t="str">
        <f t="shared" si="45"/>
        <v>--</v>
      </c>
      <c r="F112" s="687" t="str">
        <f t="shared" si="34"/>
        <v>--</v>
      </c>
      <c r="G112" s="171" t="str">
        <f t="shared" ref="G112:G125" si="46">IF(I112="NV","--",IF(N112="--","--",N112/(J112*O112*1000)))</f>
        <v>--</v>
      </c>
      <c r="H112" s="508" t="str">
        <f t="shared" si="44"/>
        <v>--</v>
      </c>
      <c r="I112" s="179" t="str">
        <f t="shared" si="38"/>
        <v>NV</v>
      </c>
      <c r="J112" s="158">
        <f t="shared" si="39"/>
        <v>1.39E-8</v>
      </c>
      <c r="K112" s="158" t="str">
        <f t="shared" si="40"/>
        <v>--</v>
      </c>
      <c r="L112" s="158" t="str">
        <f t="shared" si="41"/>
        <v>--</v>
      </c>
      <c r="M112" s="158" t="str">
        <f t="shared" si="42"/>
        <v>--</v>
      </c>
      <c r="N112" s="158" t="str">
        <f t="shared" si="43"/>
        <v>--</v>
      </c>
      <c r="O112" s="181">
        <f t="shared" ref="O112:O141" si="47">AFgmin</f>
        <v>1E-3</v>
      </c>
    </row>
    <row r="113" spans="1:15" ht="11.25" customHeight="1">
      <c r="A113" s="897" t="s">
        <v>289</v>
      </c>
      <c r="B113" s="429" t="s">
        <v>290</v>
      </c>
      <c r="C113" s="507" t="str">
        <f t="shared" si="32"/>
        <v>--</v>
      </c>
      <c r="D113" s="171" t="str">
        <f t="shared" si="37"/>
        <v>--</v>
      </c>
      <c r="E113" s="691" t="str">
        <f t="shared" si="45"/>
        <v>--</v>
      </c>
      <c r="F113" s="687" t="str">
        <f t="shared" si="34"/>
        <v>--</v>
      </c>
      <c r="G113" s="171" t="str">
        <f t="shared" si="46"/>
        <v>--</v>
      </c>
      <c r="H113" s="508" t="str">
        <f t="shared" si="44"/>
        <v>--</v>
      </c>
      <c r="I113" s="179" t="str">
        <f t="shared" si="38"/>
        <v>NV</v>
      </c>
      <c r="J113" s="158">
        <f t="shared" si="39"/>
        <v>1.4500000000000001E-8</v>
      </c>
      <c r="K113" s="158" t="str">
        <f t="shared" si="40"/>
        <v>--</v>
      </c>
      <c r="L113" s="158" t="str">
        <f t="shared" si="41"/>
        <v>--</v>
      </c>
      <c r="M113" s="158" t="str">
        <f t="shared" si="42"/>
        <v>--</v>
      </c>
      <c r="N113" s="158" t="str">
        <f t="shared" si="43"/>
        <v>--</v>
      </c>
      <c r="O113" s="181">
        <f t="shared" si="47"/>
        <v>1E-3</v>
      </c>
    </row>
    <row r="114" spans="1:15" ht="11.25" customHeight="1">
      <c r="A114" s="897" t="s">
        <v>291</v>
      </c>
      <c r="B114" s="429" t="s">
        <v>292</v>
      </c>
      <c r="C114" s="507" t="str">
        <f t="shared" si="32"/>
        <v>--</v>
      </c>
      <c r="D114" s="171" t="str">
        <f t="shared" si="37"/>
        <v>--</v>
      </c>
      <c r="E114" s="691" t="str">
        <f t="shared" si="45"/>
        <v>--</v>
      </c>
      <c r="F114" s="687" t="str">
        <f t="shared" si="34"/>
        <v>--</v>
      </c>
      <c r="G114" s="171" t="str">
        <f t="shared" si="46"/>
        <v>--</v>
      </c>
      <c r="H114" s="508" t="str">
        <f t="shared" si="44"/>
        <v>--</v>
      </c>
      <c r="I114" s="179" t="str">
        <f t="shared" si="38"/>
        <v>NV</v>
      </c>
      <c r="J114" s="158">
        <f t="shared" si="39"/>
        <v>5.6400000000000004E-9</v>
      </c>
      <c r="K114" s="158" t="str">
        <f t="shared" si="40"/>
        <v>--</v>
      </c>
      <c r="L114" s="158" t="str">
        <f t="shared" si="41"/>
        <v>--</v>
      </c>
      <c r="M114" s="158" t="str">
        <f t="shared" si="42"/>
        <v>--</v>
      </c>
      <c r="N114" s="158" t="str">
        <f t="shared" si="43"/>
        <v>--</v>
      </c>
      <c r="O114" s="181">
        <f t="shared" si="47"/>
        <v>1E-3</v>
      </c>
    </row>
    <row r="115" spans="1:15" ht="11.25" customHeight="1">
      <c r="A115" s="897" t="s">
        <v>293</v>
      </c>
      <c r="B115" s="429" t="s">
        <v>294</v>
      </c>
      <c r="C115" s="507" t="str">
        <f t="shared" si="32"/>
        <v>--</v>
      </c>
      <c r="D115" s="171" t="str">
        <f t="shared" si="37"/>
        <v>--</v>
      </c>
      <c r="E115" s="691" t="str">
        <f t="shared" si="45"/>
        <v>--</v>
      </c>
      <c r="F115" s="687" t="str">
        <f t="shared" si="34"/>
        <v>--</v>
      </c>
      <c r="G115" s="171" t="str">
        <f t="shared" si="46"/>
        <v>--</v>
      </c>
      <c r="H115" s="508" t="str">
        <f t="shared" si="44"/>
        <v>--</v>
      </c>
      <c r="I115" s="179" t="str">
        <f t="shared" si="38"/>
        <v>NV</v>
      </c>
      <c r="J115" s="158">
        <f t="shared" si="39"/>
        <v>1.2040816326530613E-8</v>
      </c>
      <c r="K115" s="158" t="str">
        <f t="shared" si="40"/>
        <v>--</v>
      </c>
      <c r="L115" s="158" t="str">
        <f t="shared" si="41"/>
        <v>--</v>
      </c>
      <c r="M115" s="158" t="str">
        <f t="shared" si="42"/>
        <v>--</v>
      </c>
      <c r="N115" s="158" t="str">
        <f t="shared" si="43"/>
        <v>--</v>
      </c>
      <c r="O115" s="181">
        <f t="shared" si="47"/>
        <v>1E-3</v>
      </c>
    </row>
    <row r="116" spans="1:15" ht="11.25" customHeight="1">
      <c r="A116" s="897" t="s">
        <v>295</v>
      </c>
      <c r="B116" s="429" t="s">
        <v>296</v>
      </c>
      <c r="C116" s="507" t="str">
        <f t="shared" si="32"/>
        <v>--</v>
      </c>
      <c r="D116" s="171" t="str">
        <f t="shared" si="37"/>
        <v>--</v>
      </c>
      <c r="E116" s="691" t="str">
        <f t="shared" si="45"/>
        <v>--</v>
      </c>
      <c r="F116" s="687" t="str">
        <f t="shared" si="34"/>
        <v>--</v>
      </c>
      <c r="G116" s="171" t="str">
        <f t="shared" si="46"/>
        <v>--</v>
      </c>
      <c r="H116" s="508" t="str">
        <f t="shared" si="44"/>
        <v>--</v>
      </c>
      <c r="I116" s="179" t="str">
        <f t="shared" si="38"/>
        <v>V</v>
      </c>
      <c r="J116" s="158">
        <f t="shared" si="39"/>
        <v>4.0816326530612249E-3</v>
      </c>
      <c r="K116" s="158" t="str">
        <f t="shared" si="40"/>
        <v>--</v>
      </c>
      <c r="L116" s="158" t="str">
        <f t="shared" si="41"/>
        <v>--</v>
      </c>
      <c r="M116" s="158" t="str">
        <f t="shared" si="42"/>
        <v>--</v>
      </c>
      <c r="N116" s="158" t="str">
        <f t="shared" si="43"/>
        <v>--</v>
      </c>
      <c r="O116" s="181">
        <f t="shared" si="47"/>
        <v>1E-3</v>
      </c>
    </row>
    <row r="117" spans="1:15" ht="11.25" customHeight="1">
      <c r="A117" s="897" t="s">
        <v>297</v>
      </c>
      <c r="B117" s="429" t="s">
        <v>298</v>
      </c>
      <c r="C117" s="507" t="str">
        <f t="shared" si="32"/>
        <v>--</v>
      </c>
      <c r="D117" s="171" t="str">
        <f t="shared" si="37"/>
        <v>--</v>
      </c>
      <c r="E117" s="691" t="str">
        <f t="shared" si="45"/>
        <v>--</v>
      </c>
      <c r="F117" s="687" t="str">
        <f t="shared" si="34"/>
        <v>--</v>
      </c>
      <c r="G117" s="171" t="str">
        <f t="shared" si="46"/>
        <v>--</v>
      </c>
      <c r="H117" s="508" t="str">
        <f t="shared" si="44"/>
        <v>--</v>
      </c>
      <c r="I117" s="179" t="str">
        <f t="shared" si="38"/>
        <v>NV</v>
      </c>
      <c r="J117" s="158">
        <f t="shared" si="39"/>
        <v>1.7743254289999999E-5</v>
      </c>
      <c r="K117" s="158" t="str">
        <f t="shared" si="40"/>
        <v>--</v>
      </c>
      <c r="L117" s="158" t="str">
        <f t="shared" si="41"/>
        <v>--</v>
      </c>
      <c r="M117" s="158" t="str">
        <f t="shared" si="42"/>
        <v>--</v>
      </c>
      <c r="N117" s="158" t="str">
        <f t="shared" si="43"/>
        <v>--</v>
      </c>
      <c r="O117" s="181">
        <f t="shared" si="47"/>
        <v>1E-3</v>
      </c>
    </row>
    <row r="118" spans="1:15" ht="11.25" customHeight="1">
      <c r="A118" s="897" t="s">
        <v>299</v>
      </c>
      <c r="B118" s="429" t="s">
        <v>300</v>
      </c>
      <c r="C118" s="507" t="str">
        <f t="shared" si="32"/>
        <v>--</v>
      </c>
      <c r="D118" s="171" t="str">
        <f t="shared" si="37"/>
        <v>--</v>
      </c>
      <c r="E118" s="691" t="str">
        <f t="shared" si="45"/>
        <v>--</v>
      </c>
      <c r="F118" s="687" t="str">
        <f t="shared" si="34"/>
        <v>--</v>
      </c>
      <c r="G118" s="171" t="str">
        <f t="shared" si="46"/>
        <v>--</v>
      </c>
      <c r="H118" s="508" t="str">
        <f t="shared" si="44"/>
        <v>--</v>
      </c>
      <c r="I118" s="179" t="str">
        <f t="shared" si="38"/>
        <v>V</v>
      </c>
      <c r="J118" s="158">
        <f t="shared" si="39"/>
        <v>1.022E-2</v>
      </c>
      <c r="K118" s="158" t="str">
        <f t="shared" si="40"/>
        <v>--</v>
      </c>
      <c r="L118" s="158" t="str">
        <f t="shared" si="41"/>
        <v>--</v>
      </c>
      <c r="M118" s="158" t="str">
        <f t="shared" si="42"/>
        <v>--</v>
      </c>
      <c r="N118" s="158" t="str">
        <f t="shared" si="43"/>
        <v>--</v>
      </c>
      <c r="O118" s="181">
        <f t="shared" si="47"/>
        <v>1E-3</v>
      </c>
    </row>
    <row r="119" spans="1:15" ht="11.25" customHeight="1">
      <c r="A119" s="897" t="s">
        <v>301</v>
      </c>
      <c r="B119" s="429" t="s">
        <v>302</v>
      </c>
      <c r="C119" s="179" t="str">
        <f t="shared" si="32"/>
        <v>--</v>
      </c>
      <c r="D119" s="158" t="str">
        <f t="shared" si="37"/>
        <v>--</v>
      </c>
      <c r="E119" s="691" t="str">
        <f t="shared" si="45"/>
        <v>--</v>
      </c>
      <c r="F119" s="485" t="str">
        <f t="shared" si="34"/>
        <v>--</v>
      </c>
      <c r="G119" s="158" t="str">
        <f t="shared" si="46"/>
        <v>--</v>
      </c>
      <c r="H119" s="508" t="str">
        <f t="shared" si="44"/>
        <v>--</v>
      </c>
      <c r="I119" s="179" t="str">
        <f t="shared" si="38"/>
        <v>NV</v>
      </c>
      <c r="J119" s="158">
        <f t="shared" si="39"/>
        <v>1.3614063779999999E-5</v>
      </c>
      <c r="K119" s="158" t="str">
        <f t="shared" si="40"/>
        <v>--</v>
      </c>
      <c r="L119" s="158" t="str">
        <f t="shared" si="41"/>
        <v>--</v>
      </c>
      <c r="M119" s="158" t="str">
        <f t="shared" si="42"/>
        <v>--</v>
      </c>
      <c r="N119" s="158" t="str">
        <f t="shared" si="43"/>
        <v>--</v>
      </c>
      <c r="O119" s="181">
        <f t="shared" si="47"/>
        <v>1E-3</v>
      </c>
    </row>
    <row r="120" spans="1:15" ht="11.25" customHeight="1">
      <c r="A120" s="897" t="s">
        <v>303</v>
      </c>
      <c r="B120" s="429" t="s">
        <v>304</v>
      </c>
      <c r="C120" s="507">
        <f t="shared" si="32"/>
        <v>0.29032404923330402</v>
      </c>
      <c r="D120" s="171" t="str">
        <f t="shared" si="37"/>
        <v>--</v>
      </c>
      <c r="E120" s="691">
        <f t="shared" si="45"/>
        <v>0.29032404923330402</v>
      </c>
      <c r="F120" s="687">
        <f t="shared" si="34"/>
        <v>1.2681354470510715</v>
      </c>
      <c r="G120" s="171" t="str">
        <f t="shared" si="46"/>
        <v>--</v>
      </c>
      <c r="H120" s="508">
        <f t="shared" si="44"/>
        <v>1.2681354470510715</v>
      </c>
      <c r="I120" s="179" t="str">
        <f t="shared" si="38"/>
        <v>V</v>
      </c>
      <c r="J120" s="158">
        <f t="shared" si="39"/>
        <v>1.6966475878990001E-2</v>
      </c>
      <c r="K120" s="158">
        <f t="shared" si="40"/>
        <v>4.9257759784075575E-3</v>
      </c>
      <c r="L120" s="158" t="str">
        <f t="shared" si="41"/>
        <v>--</v>
      </c>
      <c r="M120" s="158">
        <f t="shared" si="42"/>
        <v>2.1515789473684207E-2</v>
      </c>
      <c r="N120" s="158" t="str">
        <f t="shared" si="43"/>
        <v>--</v>
      </c>
      <c r="O120" s="181">
        <f t="shared" si="47"/>
        <v>1E-3</v>
      </c>
    </row>
    <row r="121" spans="1:15" ht="11.25" customHeight="1">
      <c r="A121" s="897" t="s">
        <v>305</v>
      </c>
      <c r="B121" s="429" t="s">
        <v>306</v>
      </c>
      <c r="C121" s="507" t="str">
        <f t="shared" si="32"/>
        <v>--</v>
      </c>
      <c r="D121" s="171" t="str">
        <f t="shared" si="37"/>
        <v>--</v>
      </c>
      <c r="E121" s="691" t="str">
        <f t="shared" si="45"/>
        <v>--</v>
      </c>
      <c r="F121" s="687" t="str">
        <f t="shared" si="34"/>
        <v>--</v>
      </c>
      <c r="G121" s="171" t="str">
        <f t="shared" si="46"/>
        <v>--</v>
      </c>
      <c r="H121" s="508" t="str">
        <f t="shared" si="44"/>
        <v>--</v>
      </c>
      <c r="I121" s="179" t="str">
        <f t="shared" si="38"/>
        <v>NV</v>
      </c>
      <c r="J121" s="158" t="str">
        <f t="shared" si="39"/>
        <v>--</v>
      </c>
      <c r="K121" s="158" t="str">
        <f t="shared" si="40"/>
        <v>--</v>
      </c>
      <c r="L121" s="158" t="str">
        <f t="shared" si="41"/>
        <v>--</v>
      </c>
      <c r="M121" s="158" t="str">
        <f t="shared" si="42"/>
        <v>--</v>
      </c>
      <c r="N121" s="158" t="str">
        <f t="shared" si="43"/>
        <v>--</v>
      </c>
      <c r="O121" s="181">
        <f t="shared" si="47"/>
        <v>1E-3</v>
      </c>
    </row>
    <row r="122" spans="1:15" ht="11.25" customHeight="1">
      <c r="A122" s="897" t="s">
        <v>307</v>
      </c>
      <c r="B122" s="429" t="s">
        <v>308</v>
      </c>
      <c r="C122" s="507" t="str">
        <f t="shared" ref="C122" si="48">IF($I122="NV","--",IF(K122="--","--",K122/($J122*$O122*1000)))</f>
        <v>--</v>
      </c>
      <c r="D122" s="171" t="str">
        <f t="shared" ref="D122" si="49">IF($I122="NV", "--", IF(L122="--","--", L122/($J122*$O122*1000)))</f>
        <v>--</v>
      </c>
      <c r="E122" s="691" t="str">
        <f t="shared" ref="E122" si="50">IF(MIN(C122,D122)=0,"--",MIN(C122,D122))</f>
        <v>--</v>
      </c>
      <c r="F122" s="687" t="str">
        <f t="shared" ref="F122" si="51">IF($I122="NV", "--", IF(M122="--","--", M122/(J122*$O122*1000)))</f>
        <v>--</v>
      </c>
      <c r="G122" s="171" t="str">
        <f t="shared" ref="G122" si="52">IF(I122="NV","--",IF(N122="--","--",N122/(J122*O122*1000)))</f>
        <v>--</v>
      </c>
      <c r="H122" s="508" t="str">
        <f t="shared" ref="H122" si="53">IF(MIN(F122,G122)=0,"--",MIN(F122,G122))</f>
        <v>--</v>
      </c>
      <c r="I122" s="179" t="str">
        <f t="shared" si="38"/>
        <v>NV</v>
      </c>
      <c r="J122" s="158" t="str">
        <f t="shared" si="39"/>
        <v>--</v>
      </c>
      <c r="K122" s="158" t="str">
        <f t="shared" si="40"/>
        <v>--</v>
      </c>
      <c r="L122" s="158" t="str">
        <f t="shared" si="41"/>
        <v>--</v>
      </c>
      <c r="M122" s="158" t="str">
        <f t="shared" si="42"/>
        <v>--</v>
      </c>
      <c r="N122" s="158" t="str">
        <f t="shared" si="43"/>
        <v>--</v>
      </c>
      <c r="O122" s="181">
        <f t="shared" si="47"/>
        <v>1E-3</v>
      </c>
    </row>
    <row r="123" spans="1:15" ht="11.25" customHeight="1">
      <c r="A123" s="897" t="s">
        <v>309</v>
      </c>
      <c r="B123" s="429" t="s">
        <v>310</v>
      </c>
      <c r="C123" s="507" t="str">
        <f>IF($I123="NV","--",IF(K123="--","--",K123/($J123*$O123*1000)))</f>
        <v>--</v>
      </c>
      <c r="D123" s="171">
        <f>IF($I123="NV", "--", IF(L123="--","--", L123/($J123*$O123*1000)))</f>
        <v>8348.16623376604</v>
      </c>
      <c r="E123" s="691">
        <f t="shared" si="45"/>
        <v>8348.16623376604</v>
      </c>
      <c r="F123" s="687" t="str">
        <f>IF($I123="NV", "--", IF(M123="--","--", M123/(J123*$O123*1000)))</f>
        <v>--</v>
      </c>
      <c r="G123" s="171">
        <f t="shared" si="46"/>
        <v>35062.298181817365</v>
      </c>
      <c r="H123" s="508">
        <f t="shared" si="44"/>
        <v>35062.298181817365</v>
      </c>
      <c r="I123" s="179" t="str">
        <f t="shared" si="38"/>
        <v>V</v>
      </c>
      <c r="J123" s="158">
        <f t="shared" si="39"/>
        <v>0.11242845461978999</v>
      </c>
      <c r="K123" s="158" t="str">
        <f t="shared" si="40"/>
        <v>--</v>
      </c>
      <c r="L123" s="158">
        <f t="shared" si="41"/>
        <v>938.57142857142856</v>
      </c>
      <c r="M123" s="158" t="str">
        <f t="shared" si="42"/>
        <v>--</v>
      </c>
      <c r="N123" s="158">
        <f t="shared" si="43"/>
        <v>3941.9999999999995</v>
      </c>
      <c r="O123" s="181">
        <f t="shared" si="47"/>
        <v>1E-3</v>
      </c>
    </row>
    <row r="124" spans="1:15" ht="11.25" customHeight="1">
      <c r="A124" s="897" t="s">
        <v>311</v>
      </c>
      <c r="B124" s="429" t="s">
        <v>312</v>
      </c>
      <c r="C124" s="179" t="str">
        <f>IF($I124="NV","--",IF(K124="--","--",K124/($J124*$O124*1000)))</f>
        <v>--</v>
      </c>
      <c r="D124" s="158">
        <f>IF($I124="NV", "--", IF(L124="--","--", L124/($J124*$O124*1000)))</f>
        <v>14092975.532568602</v>
      </c>
      <c r="E124" s="691">
        <f t="shared" si="45"/>
        <v>14092975.532568602</v>
      </c>
      <c r="F124" s="485" t="str">
        <f>IF($I124="NV", "--", IF(M124="--","--", M124/(J124*$O124*1000)))</f>
        <v>--</v>
      </c>
      <c r="G124" s="158">
        <f t="shared" si="46"/>
        <v>59190497.236788124</v>
      </c>
      <c r="H124" s="508">
        <f t="shared" si="44"/>
        <v>59190497.236788124</v>
      </c>
      <c r="I124" s="179" t="str">
        <f t="shared" si="38"/>
        <v>V</v>
      </c>
      <c r="J124" s="158">
        <f t="shared" si="39"/>
        <v>3.6999182339000002E-4</v>
      </c>
      <c r="K124" s="158" t="str">
        <f t="shared" si="40"/>
        <v>--</v>
      </c>
      <c r="L124" s="158">
        <f t="shared" si="41"/>
        <v>5214.2857142857147</v>
      </c>
      <c r="M124" s="158" t="str">
        <f t="shared" si="42"/>
        <v>--</v>
      </c>
      <c r="N124" s="158">
        <f t="shared" si="43"/>
        <v>21900</v>
      </c>
      <c r="O124" s="181">
        <f t="shared" si="47"/>
        <v>1E-3</v>
      </c>
    </row>
    <row r="125" spans="1:15" ht="11.25" customHeight="1">
      <c r="A125" s="897" t="s">
        <v>313</v>
      </c>
      <c r="B125" s="429" t="s">
        <v>314</v>
      </c>
      <c r="C125" s="507">
        <f>IF($I125="NV","--",IF(K125="--","--",K125/($J125*$O125*1000)))</f>
        <v>3.7122245322244787</v>
      </c>
      <c r="D125" s="158" t="str">
        <f>IF($I125="NV", "--", IF(L125="--","--", L125/($J125*$O125*1000)))</f>
        <v>--</v>
      </c>
      <c r="E125" s="691">
        <f t="shared" si="45"/>
        <v>3.7122245322244787</v>
      </c>
      <c r="F125" s="687">
        <f>IF($I125="NV", "--", IF(M125="--","--", M125/(J125*$O125*1000)))</f>
        <v>16.21499675675652</v>
      </c>
      <c r="G125" s="158" t="str">
        <f t="shared" si="46"/>
        <v>--</v>
      </c>
      <c r="H125" s="508">
        <f t="shared" si="44"/>
        <v>16.21499675675652</v>
      </c>
      <c r="I125" s="179" t="str">
        <f t="shared" si="38"/>
        <v>V</v>
      </c>
      <c r="J125" s="158">
        <f t="shared" si="39"/>
        <v>0.10220768601799</v>
      </c>
      <c r="K125" s="158">
        <f t="shared" si="40"/>
        <v>0.37941787941787936</v>
      </c>
      <c r="L125" s="158" t="str">
        <f t="shared" si="41"/>
        <v>--</v>
      </c>
      <c r="M125" s="158">
        <f t="shared" si="42"/>
        <v>1.6572972972972968</v>
      </c>
      <c r="N125" s="158" t="str">
        <f t="shared" si="43"/>
        <v>--</v>
      </c>
      <c r="O125" s="181">
        <f t="shared" si="47"/>
        <v>1E-3</v>
      </c>
    </row>
    <row r="126" spans="1:15" ht="13.5" customHeight="1">
      <c r="A126" s="897" t="s">
        <v>315</v>
      </c>
      <c r="B126" s="429" t="s">
        <v>316</v>
      </c>
      <c r="C126" s="507">
        <f t="shared" ref="C126:C141" si="54">IF($I126="NV","--",IF(K126="--","--",K126/($J126*$O126*1000)))</f>
        <v>3.2263531826626481</v>
      </c>
      <c r="D126" s="158" t="str">
        <f t="shared" ref="D126:D141" si="55">IF($I126="NV", "--", IF(L126="--","--", L126/($J126*$O126*1000)))</f>
        <v>--</v>
      </c>
      <c r="E126" s="691">
        <f t="shared" ref="E126:E141" si="56">IF(MIN(C126,D126)=0,"--",MIN(C126,D126))</f>
        <v>3.2263531826626481</v>
      </c>
      <c r="F126" s="687">
        <f t="shared" ref="F126:F141" si="57">IF($I126="NV", "--", IF(M126="--","--", M126/(J126*$O126*1000)))</f>
        <v>14.092710701870446</v>
      </c>
      <c r="G126" s="158" t="str">
        <f t="shared" ref="G126:G141" si="58">IF(I126="NV","--",IF(N126="--","--",N126/(J126*O126*1000)))</f>
        <v>--</v>
      </c>
      <c r="H126" s="508">
        <f t="shared" ref="H126:H141" si="59">IF(MIN(F126,G126)=0,"--",MIN(F126,G126))</f>
        <v>14.092710701870446</v>
      </c>
      <c r="I126" s="179" t="str">
        <f t="shared" si="38"/>
        <v>V</v>
      </c>
      <c r="J126" s="158">
        <f t="shared" si="39"/>
        <v>1.5004088307439999E-2</v>
      </c>
      <c r="K126" s="158">
        <f t="shared" si="40"/>
        <v>4.8408488063660465E-2</v>
      </c>
      <c r="L126" s="158" t="str">
        <f t="shared" si="41"/>
        <v>--</v>
      </c>
      <c r="M126" s="158">
        <f t="shared" si="42"/>
        <v>0.21144827586206891</v>
      </c>
      <c r="N126" s="158" t="str">
        <f t="shared" si="43"/>
        <v>--</v>
      </c>
      <c r="O126" s="181">
        <f t="shared" si="47"/>
        <v>1E-3</v>
      </c>
    </row>
    <row r="127" spans="1:15" ht="13.5" customHeight="1">
      <c r="A127" s="897" t="s">
        <v>317</v>
      </c>
      <c r="B127" s="429" t="s">
        <v>318</v>
      </c>
      <c r="C127" s="507">
        <f t="shared" si="54"/>
        <v>0.63606699866771998</v>
      </c>
      <c r="D127" s="158">
        <f t="shared" si="55"/>
        <v>57.645843422114531</v>
      </c>
      <c r="E127" s="691">
        <f t="shared" si="56"/>
        <v>0.63606699866771998</v>
      </c>
      <c r="F127" s="687">
        <f t="shared" si="57"/>
        <v>2.7783406501806009</v>
      </c>
      <c r="G127" s="158">
        <f t="shared" si="58"/>
        <v>242.11254237288099</v>
      </c>
      <c r="H127" s="508">
        <f t="shared" si="59"/>
        <v>2.7783406501806009</v>
      </c>
      <c r="I127" s="179" t="str">
        <f t="shared" si="38"/>
        <v>V</v>
      </c>
      <c r="J127" s="158">
        <f t="shared" si="39"/>
        <v>0.72363041700735997</v>
      </c>
      <c r="K127" s="158">
        <f t="shared" si="40"/>
        <v>0.46027742749054212</v>
      </c>
      <c r="L127" s="158">
        <f t="shared" si="41"/>
        <v>41.714285714285715</v>
      </c>
      <c r="M127" s="158">
        <f t="shared" si="42"/>
        <v>2.010491803278688</v>
      </c>
      <c r="N127" s="158">
        <f t="shared" si="43"/>
        <v>175.2</v>
      </c>
      <c r="O127" s="181">
        <f t="shared" si="47"/>
        <v>1E-3</v>
      </c>
    </row>
    <row r="128" spans="1:15" ht="13.5" customHeight="1">
      <c r="A128" s="897" t="s">
        <v>319</v>
      </c>
      <c r="B128" s="429" t="s">
        <v>320</v>
      </c>
      <c r="C128" s="507" t="str">
        <f t="shared" si="54"/>
        <v>--</v>
      </c>
      <c r="D128" s="158" t="str">
        <f t="shared" si="55"/>
        <v>--</v>
      </c>
      <c r="E128" s="691" t="str">
        <f t="shared" si="56"/>
        <v>--</v>
      </c>
      <c r="F128" s="687" t="str">
        <f t="shared" si="57"/>
        <v>--</v>
      </c>
      <c r="G128" s="158" t="str">
        <f t="shared" si="58"/>
        <v>--</v>
      </c>
      <c r="H128" s="508" t="str">
        <f t="shared" si="59"/>
        <v>--</v>
      </c>
      <c r="I128" s="179" t="str">
        <f t="shared" si="38"/>
        <v>NV</v>
      </c>
      <c r="J128" s="158" t="str">
        <f t="shared" si="39"/>
        <v>--</v>
      </c>
      <c r="K128" s="158" t="str">
        <f t="shared" si="40"/>
        <v>--</v>
      </c>
      <c r="L128" s="158" t="str">
        <f t="shared" si="41"/>
        <v>--</v>
      </c>
      <c r="M128" s="158" t="str">
        <f t="shared" si="42"/>
        <v>--</v>
      </c>
      <c r="N128" s="158" t="str">
        <f t="shared" si="43"/>
        <v>--</v>
      </c>
      <c r="O128" s="181">
        <f t="shared" si="47"/>
        <v>1E-3</v>
      </c>
    </row>
    <row r="129" spans="1:15" ht="13.5" customHeight="1">
      <c r="A129" s="897" t="s">
        <v>321</v>
      </c>
      <c r="B129" s="429" t="s">
        <v>322</v>
      </c>
      <c r="C129" s="507" t="str">
        <f t="shared" si="54"/>
        <v>--</v>
      </c>
      <c r="D129" s="158">
        <f t="shared" si="55"/>
        <v>1613.4759036144435</v>
      </c>
      <c r="E129" s="691">
        <f t="shared" si="56"/>
        <v>1613.4759036144435</v>
      </c>
      <c r="F129" s="687" t="str">
        <f t="shared" si="57"/>
        <v>--</v>
      </c>
      <c r="G129" s="158">
        <f t="shared" si="58"/>
        <v>6776.5987951806628</v>
      </c>
      <c r="H129" s="508">
        <f t="shared" si="59"/>
        <v>6776.5987951806628</v>
      </c>
      <c r="I129" s="179" t="str">
        <f t="shared" si="38"/>
        <v>V</v>
      </c>
      <c r="J129" s="158">
        <f t="shared" si="39"/>
        <v>0.27146361406378</v>
      </c>
      <c r="K129" s="158" t="str">
        <f t="shared" si="40"/>
        <v>--</v>
      </c>
      <c r="L129" s="158">
        <f t="shared" si="41"/>
        <v>438</v>
      </c>
      <c r="M129" s="158" t="str">
        <f t="shared" si="42"/>
        <v>--</v>
      </c>
      <c r="N129" s="158">
        <f t="shared" si="43"/>
        <v>1839.6</v>
      </c>
      <c r="O129" s="181">
        <f t="shared" si="47"/>
        <v>1E-3</v>
      </c>
    </row>
    <row r="130" spans="1:15" ht="13.5" customHeight="1">
      <c r="A130" s="897" t="s">
        <v>323</v>
      </c>
      <c r="B130" s="429" t="s">
        <v>324</v>
      </c>
      <c r="C130" s="507" t="str">
        <f t="shared" si="54"/>
        <v>--</v>
      </c>
      <c r="D130" s="158" t="str">
        <f t="shared" si="55"/>
        <v>--</v>
      </c>
      <c r="E130" s="691" t="str">
        <f t="shared" si="56"/>
        <v>--</v>
      </c>
      <c r="F130" s="687" t="str">
        <f t="shared" si="57"/>
        <v>--</v>
      </c>
      <c r="G130" s="158" t="str">
        <f t="shared" si="58"/>
        <v>--</v>
      </c>
      <c r="H130" s="508" t="str">
        <f t="shared" si="59"/>
        <v>--</v>
      </c>
      <c r="I130" s="179" t="str">
        <f t="shared" si="38"/>
        <v>NV</v>
      </c>
      <c r="J130" s="158">
        <f t="shared" si="39"/>
        <v>2.4529844644000001E-4</v>
      </c>
      <c r="K130" s="158" t="str">
        <f t="shared" si="40"/>
        <v>--</v>
      </c>
      <c r="L130" s="158" t="str">
        <f t="shared" si="41"/>
        <v>--</v>
      </c>
      <c r="M130" s="158" t="str">
        <f t="shared" si="42"/>
        <v>--</v>
      </c>
      <c r="N130" s="158" t="str">
        <f t="shared" si="43"/>
        <v>--</v>
      </c>
      <c r="O130" s="181">
        <f t="shared" si="47"/>
        <v>1E-3</v>
      </c>
    </row>
    <row r="131" spans="1:15" ht="13.5" customHeight="1">
      <c r="A131" s="897" t="s">
        <v>325</v>
      </c>
      <c r="B131" s="429" t="s">
        <v>326</v>
      </c>
      <c r="C131" s="507" t="str">
        <f t="shared" si="54"/>
        <v>--</v>
      </c>
      <c r="D131" s="158">
        <f t="shared" si="55"/>
        <v>35.927162977865656</v>
      </c>
      <c r="E131" s="691">
        <f t="shared" si="56"/>
        <v>35.927162977865656</v>
      </c>
      <c r="F131" s="687" t="str">
        <f t="shared" si="57"/>
        <v>--</v>
      </c>
      <c r="G131" s="158">
        <f t="shared" si="58"/>
        <v>150.89408450703576</v>
      </c>
      <c r="H131" s="508">
        <f t="shared" si="59"/>
        <v>150.89408450703576</v>
      </c>
      <c r="I131" s="179" t="str">
        <f t="shared" ref="I131:I141" si="60">VLOOKUP($A131,Table_IP_1,MATCH("volatility",heading_IP_1,0),FALSE)</f>
        <v>V</v>
      </c>
      <c r="J131" s="158">
        <f t="shared" ref="J131:J141" si="61">VLOOKUP($A131,Table_IP_1,MATCH("H'",heading_IP_1,0),FALSE)</f>
        <v>5.8053965658219998E-2</v>
      </c>
      <c r="K131" s="158" t="str">
        <f t="shared" ref="K131:K141" si="62">VLOOKUP($A131, Table_IA_1, MATCH("IA-Res-C", heading_IA_1, 0), FALSE)</f>
        <v>--</v>
      </c>
      <c r="L131" s="158">
        <f t="shared" ref="L131:L141" si="63">VLOOKUP($A131, Table_IA_1, MATCH("IA-Res-NC", heading_IA_1, 0), FALSE)</f>
        <v>2.0857142857142859</v>
      </c>
      <c r="M131" s="158" t="str">
        <f t="shared" ref="M131:M141" si="64">VLOOKUP($A131, Table_IA_1, MATCH("IA-Com-C", heading_IA_1, 0), FALSE)</f>
        <v>--</v>
      </c>
      <c r="N131" s="158">
        <f t="shared" ref="N131:N141" si="65">VLOOKUP($A131, Table_IA_1, MATCH("IA-Com-NC", heading_IA_1, 0), FALSE)</f>
        <v>8.76</v>
      </c>
      <c r="O131" s="181">
        <f t="shared" si="47"/>
        <v>1E-3</v>
      </c>
    </row>
    <row r="132" spans="1:15" ht="13.5" customHeight="1">
      <c r="A132" s="897" t="s">
        <v>327</v>
      </c>
      <c r="B132" s="429" t="s">
        <v>328</v>
      </c>
      <c r="C132" s="507" t="str">
        <f t="shared" si="54"/>
        <v>--</v>
      </c>
      <c r="D132" s="158">
        <f t="shared" si="55"/>
        <v>1483.0398671096373</v>
      </c>
      <c r="E132" s="691">
        <f t="shared" si="56"/>
        <v>1483.0398671096373</v>
      </c>
      <c r="F132" s="687" t="str">
        <f t="shared" si="57"/>
        <v>--</v>
      </c>
      <c r="G132" s="158">
        <f t="shared" si="58"/>
        <v>6228.7674418604765</v>
      </c>
      <c r="H132" s="508">
        <f t="shared" si="59"/>
        <v>6228.7674418604765</v>
      </c>
      <c r="I132" s="179" t="str">
        <f t="shared" si="60"/>
        <v>V</v>
      </c>
      <c r="J132" s="158">
        <f t="shared" si="61"/>
        <v>0.70318887980375999</v>
      </c>
      <c r="K132" s="158" t="str">
        <f t="shared" si="62"/>
        <v>--</v>
      </c>
      <c r="L132" s="158">
        <f t="shared" si="63"/>
        <v>1042.8571428571429</v>
      </c>
      <c r="M132" s="158" t="str">
        <f t="shared" si="64"/>
        <v>--</v>
      </c>
      <c r="N132" s="158">
        <f t="shared" si="65"/>
        <v>4380</v>
      </c>
      <c r="O132" s="181">
        <f t="shared" si="47"/>
        <v>1E-3</v>
      </c>
    </row>
    <row r="133" spans="1:15" ht="13.5" customHeight="1">
      <c r="A133" s="897" t="s">
        <v>329</v>
      </c>
      <c r="B133" s="429" t="s">
        <v>330</v>
      </c>
      <c r="C133" s="507">
        <f t="shared" si="54"/>
        <v>5.2090529312918568</v>
      </c>
      <c r="D133" s="158">
        <f t="shared" si="55"/>
        <v>6.1913314840497513</v>
      </c>
      <c r="E133" s="691">
        <f t="shared" si="56"/>
        <v>5.2090529312918568</v>
      </c>
      <c r="F133" s="687">
        <f t="shared" si="57"/>
        <v>22.753143203882832</v>
      </c>
      <c r="G133" s="158">
        <f t="shared" si="58"/>
        <v>26.003592233008952</v>
      </c>
      <c r="H133" s="508">
        <f t="shared" si="59"/>
        <v>22.753143203882832</v>
      </c>
      <c r="I133" s="179" t="str">
        <f t="shared" si="60"/>
        <v>V</v>
      </c>
      <c r="J133" s="158">
        <f t="shared" si="61"/>
        <v>3.3687653311530001E-2</v>
      </c>
      <c r="K133" s="158">
        <f t="shared" si="62"/>
        <v>0.17548076923076919</v>
      </c>
      <c r="L133" s="158">
        <f t="shared" si="63"/>
        <v>0.20857142857142857</v>
      </c>
      <c r="M133" s="158">
        <f t="shared" si="64"/>
        <v>0.76649999999999985</v>
      </c>
      <c r="N133" s="158">
        <f t="shared" si="65"/>
        <v>0.87599999999999989</v>
      </c>
      <c r="O133" s="181">
        <f t="shared" si="47"/>
        <v>1E-3</v>
      </c>
    </row>
    <row r="134" spans="1:15" ht="13.5" customHeight="1">
      <c r="A134" s="897" t="s">
        <v>331</v>
      </c>
      <c r="B134" s="429" t="s">
        <v>332</v>
      </c>
      <c r="C134" s="507">
        <f t="shared" si="54"/>
        <v>1.1877804862349743</v>
      </c>
      <c r="D134" s="158">
        <f t="shared" si="55"/>
        <v>5.1793473531543945</v>
      </c>
      <c r="E134" s="691">
        <f t="shared" si="56"/>
        <v>1.1877804862349743</v>
      </c>
      <c r="F134" s="687">
        <f t="shared" si="57"/>
        <v>7.4279420576945929</v>
      </c>
      <c r="G134" s="158">
        <f t="shared" si="58"/>
        <v>21.753258883248456</v>
      </c>
      <c r="H134" s="508">
        <f t="shared" si="59"/>
        <v>7.4279420576945929</v>
      </c>
      <c r="I134" s="179" t="str">
        <f t="shared" si="60"/>
        <v>V</v>
      </c>
      <c r="J134" s="158">
        <f t="shared" si="61"/>
        <v>0.40269828291088</v>
      </c>
      <c r="K134" s="158">
        <f t="shared" si="62"/>
        <v>0.47831716228187426</v>
      </c>
      <c r="L134" s="158">
        <f t="shared" si="63"/>
        <v>2.0857142857142859</v>
      </c>
      <c r="M134" s="158">
        <f t="shared" si="64"/>
        <v>2.9912195121951215</v>
      </c>
      <c r="N134" s="158">
        <f t="shared" si="65"/>
        <v>8.76</v>
      </c>
      <c r="O134" s="181">
        <f t="shared" si="47"/>
        <v>1E-3</v>
      </c>
    </row>
    <row r="135" spans="1:15" ht="13.5" customHeight="1">
      <c r="A135" s="897" t="s">
        <v>333</v>
      </c>
      <c r="B135" s="429" t="s">
        <v>334</v>
      </c>
      <c r="C135" s="507" t="str">
        <f t="shared" si="54"/>
        <v>--</v>
      </c>
      <c r="D135" s="158" t="str">
        <f t="shared" si="55"/>
        <v>--</v>
      </c>
      <c r="E135" s="691" t="str">
        <f t="shared" si="56"/>
        <v>--</v>
      </c>
      <c r="F135" s="687" t="str">
        <f t="shared" si="57"/>
        <v>--</v>
      </c>
      <c r="G135" s="158" t="str">
        <f t="shared" si="58"/>
        <v>--</v>
      </c>
      <c r="H135" s="508" t="str">
        <f t="shared" si="59"/>
        <v>--</v>
      </c>
      <c r="I135" s="179" t="str">
        <f t="shared" si="60"/>
        <v>NV</v>
      </c>
      <c r="J135" s="158">
        <f t="shared" si="61"/>
        <v>6.6230580540000005E-5</v>
      </c>
      <c r="K135" s="158" t="str">
        <f t="shared" si="62"/>
        <v>--</v>
      </c>
      <c r="L135" s="158" t="str">
        <f t="shared" si="63"/>
        <v>--</v>
      </c>
      <c r="M135" s="158" t="str">
        <f t="shared" si="64"/>
        <v>--</v>
      </c>
      <c r="N135" s="158" t="str">
        <f t="shared" si="65"/>
        <v>--</v>
      </c>
      <c r="O135" s="181">
        <f t="shared" si="47"/>
        <v>1E-3</v>
      </c>
    </row>
    <row r="136" spans="1:15" ht="13.5" customHeight="1">
      <c r="A136" s="897" t="s">
        <v>335</v>
      </c>
      <c r="B136" s="429" t="s">
        <v>336</v>
      </c>
      <c r="C136" s="507" t="str">
        <f t="shared" si="54"/>
        <v>--</v>
      </c>
      <c r="D136" s="158" t="str">
        <f t="shared" si="55"/>
        <v>--</v>
      </c>
      <c r="E136" s="691" t="str">
        <f t="shared" si="56"/>
        <v>--</v>
      </c>
      <c r="F136" s="687" t="str">
        <f t="shared" si="57"/>
        <v>--</v>
      </c>
      <c r="G136" s="158" t="str">
        <f t="shared" si="58"/>
        <v>--</v>
      </c>
      <c r="H136" s="508" t="str">
        <f t="shared" si="59"/>
        <v>--</v>
      </c>
      <c r="I136" s="179" t="str">
        <f t="shared" si="60"/>
        <v>NV</v>
      </c>
      <c r="J136" s="158">
        <f t="shared" si="61"/>
        <v>1.0629599346E-4</v>
      </c>
      <c r="K136" s="158" t="str">
        <f t="shared" si="62"/>
        <v>--</v>
      </c>
      <c r="L136" s="158" t="str">
        <f t="shared" si="63"/>
        <v>--</v>
      </c>
      <c r="M136" s="158" t="str">
        <f t="shared" si="64"/>
        <v>--</v>
      </c>
      <c r="N136" s="158" t="str">
        <f t="shared" si="65"/>
        <v>--</v>
      </c>
      <c r="O136" s="181">
        <f t="shared" si="47"/>
        <v>1E-3</v>
      </c>
    </row>
    <row r="137" spans="1:15" ht="13.5" customHeight="1">
      <c r="A137" s="897" t="s">
        <v>337</v>
      </c>
      <c r="B137" s="429" t="s">
        <v>338</v>
      </c>
      <c r="C137" s="507" t="str">
        <f t="shared" si="54"/>
        <v>--</v>
      </c>
      <c r="D137" s="158">
        <f t="shared" si="55"/>
        <v>22.310453977506235</v>
      </c>
      <c r="E137" s="691">
        <f t="shared" si="56"/>
        <v>22.310453977506235</v>
      </c>
      <c r="F137" s="687" t="str">
        <f t="shared" si="57"/>
        <v>--</v>
      </c>
      <c r="G137" s="158">
        <f t="shared" si="58"/>
        <v>93.70390670552618</v>
      </c>
      <c r="H137" s="508">
        <f t="shared" si="59"/>
        <v>93.70390670552618</v>
      </c>
      <c r="I137" s="179" t="str">
        <f t="shared" si="60"/>
        <v>V</v>
      </c>
      <c r="J137" s="158">
        <f t="shared" si="61"/>
        <v>1.402289452167E-2</v>
      </c>
      <c r="K137" s="158" t="str">
        <f t="shared" si="62"/>
        <v>--</v>
      </c>
      <c r="L137" s="158">
        <f t="shared" si="63"/>
        <v>0.31285714285714283</v>
      </c>
      <c r="M137" s="158" t="str">
        <f t="shared" si="64"/>
        <v>--</v>
      </c>
      <c r="N137" s="158">
        <f t="shared" si="65"/>
        <v>1.3139999999999998</v>
      </c>
      <c r="O137" s="181">
        <f t="shared" si="47"/>
        <v>1E-3</v>
      </c>
    </row>
    <row r="138" spans="1:15" ht="13.5" customHeight="1">
      <c r="A138" s="897" t="s">
        <v>339</v>
      </c>
      <c r="B138" s="429" t="s">
        <v>340</v>
      </c>
      <c r="C138" s="507" t="str">
        <f t="shared" si="54"/>
        <v>--</v>
      </c>
      <c r="D138" s="158" t="str">
        <f t="shared" si="55"/>
        <v>--</v>
      </c>
      <c r="E138" s="691" t="str">
        <f t="shared" si="56"/>
        <v>--</v>
      </c>
      <c r="F138" s="687" t="str">
        <f t="shared" si="57"/>
        <v>--</v>
      </c>
      <c r="G138" s="158" t="str">
        <f t="shared" si="58"/>
        <v>--</v>
      </c>
      <c r="H138" s="508" t="str">
        <f t="shared" si="59"/>
        <v>--</v>
      </c>
      <c r="I138" s="179" t="str">
        <f t="shared" si="60"/>
        <v>NV</v>
      </c>
      <c r="J138" s="158" t="str">
        <f t="shared" si="61"/>
        <v>--</v>
      </c>
      <c r="K138" s="158" t="str">
        <f t="shared" si="62"/>
        <v>--</v>
      </c>
      <c r="L138" s="158" t="str">
        <f t="shared" si="63"/>
        <v>--</v>
      </c>
      <c r="M138" s="158" t="str">
        <f t="shared" si="64"/>
        <v>--</v>
      </c>
      <c r="N138" s="158" t="str">
        <f t="shared" si="65"/>
        <v>--</v>
      </c>
      <c r="O138" s="181">
        <f t="shared" si="47"/>
        <v>1E-3</v>
      </c>
    </row>
    <row r="139" spans="1:15" ht="13.5" customHeight="1">
      <c r="A139" s="897" t="s">
        <v>341</v>
      </c>
      <c r="B139" s="429" t="s">
        <v>342</v>
      </c>
      <c r="C139" s="507">
        <f t="shared" si="54"/>
        <v>8.3177281019007829E-3</v>
      </c>
      <c r="D139" s="158">
        <f t="shared" si="55"/>
        <v>46.795775950668151</v>
      </c>
      <c r="E139" s="691">
        <f t="shared" si="56"/>
        <v>8.3177281019007829E-3</v>
      </c>
      <c r="F139" s="687">
        <f t="shared" si="57"/>
        <v>0.13834045379081381</v>
      </c>
      <c r="G139" s="158">
        <f t="shared" si="58"/>
        <v>196.54225899280624</v>
      </c>
      <c r="H139" s="508">
        <f t="shared" si="59"/>
        <v>0.13834045379081381</v>
      </c>
      <c r="I139" s="179" t="str">
        <f t="shared" si="60"/>
        <v>V</v>
      </c>
      <c r="J139" s="158">
        <f t="shared" si="61"/>
        <v>1.1365494685200299</v>
      </c>
      <c r="K139" s="158">
        <f t="shared" si="62"/>
        <v>9.4535094535094528E-3</v>
      </c>
      <c r="L139" s="158">
        <f t="shared" si="63"/>
        <v>53.185714285714283</v>
      </c>
      <c r="M139" s="158">
        <f t="shared" si="64"/>
        <v>0.1572307692307692</v>
      </c>
      <c r="N139" s="158">
        <f t="shared" si="65"/>
        <v>223.38</v>
      </c>
      <c r="O139" s="181">
        <f t="shared" si="47"/>
        <v>1E-3</v>
      </c>
    </row>
    <row r="140" spans="1:15" ht="13.5" customHeight="1">
      <c r="A140" s="897" t="s">
        <v>343</v>
      </c>
      <c r="B140" s="429" t="s">
        <v>344</v>
      </c>
      <c r="C140" s="507" t="str">
        <f t="shared" si="54"/>
        <v>--</v>
      </c>
      <c r="D140" s="158">
        <f t="shared" si="55"/>
        <v>384.740357681528</v>
      </c>
      <c r="E140" s="691">
        <f t="shared" si="56"/>
        <v>384.740357681528</v>
      </c>
      <c r="F140" s="687" t="str">
        <f t="shared" si="57"/>
        <v>--</v>
      </c>
      <c r="G140" s="158">
        <f t="shared" si="58"/>
        <v>1615.9095022624172</v>
      </c>
      <c r="H140" s="508">
        <f t="shared" si="59"/>
        <v>1615.9095022624172</v>
      </c>
      <c r="I140" s="179" t="str">
        <f t="shared" si="60"/>
        <v>V</v>
      </c>
      <c r="J140" s="158">
        <f t="shared" si="61"/>
        <v>0.27105478331971</v>
      </c>
      <c r="K140" s="158" t="str">
        <f t="shared" si="62"/>
        <v>--</v>
      </c>
      <c r="L140" s="158">
        <f t="shared" si="63"/>
        <v>104.28571428571429</v>
      </c>
      <c r="M140" s="158" t="str">
        <f t="shared" si="64"/>
        <v>--</v>
      </c>
      <c r="N140" s="158">
        <f t="shared" si="65"/>
        <v>437.99999999999994</v>
      </c>
      <c r="O140" s="181">
        <f t="shared" si="47"/>
        <v>1E-3</v>
      </c>
    </row>
    <row r="141" spans="1:15" ht="13.5" customHeight="1" thickBot="1">
      <c r="A141" s="1402" t="s">
        <v>345</v>
      </c>
      <c r="B141" s="430" t="s">
        <v>346</v>
      </c>
      <c r="C141" s="509" t="str">
        <f t="shared" si="54"/>
        <v>--</v>
      </c>
      <c r="D141" s="160" t="str">
        <f t="shared" si="55"/>
        <v>--</v>
      </c>
      <c r="E141" s="693" t="str">
        <f t="shared" si="56"/>
        <v>--</v>
      </c>
      <c r="F141" s="689" t="str">
        <f t="shared" si="57"/>
        <v>--</v>
      </c>
      <c r="G141" s="160" t="str">
        <f t="shared" si="58"/>
        <v>--</v>
      </c>
      <c r="H141" s="510" t="str">
        <f t="shared" si="59"/>
        <v>--</v>
      </c>
      <c r="I141" s="180" t="str">
        <f t="shared" si="60"/>
        <v>NV</v>
      </c>
      <c r="J141" s="160" t="str">
        <f t="shared" si="61"/>
        <v>--</v>
      </c>
      <c r="K141" s="160" t="str">
        <f t="shared" si="62"/>
        <v>--</v>
      </c>
      <c r="L141" s="160" t="str">
        <f t="shared" si="63"/>
        <v>--</v>
      </c>
      <c r="M141" s="160" t="str">
        <f t="shared" si="64"/>
        <v>--</v>
      </c>
      <c r="N141" s="160" t="str">
        <f t="shared" si="65"/>
        <v>--</v>
      </c>
      <c r="O141" s="813">
        <f t="shared" si="47"/>
        <v>1E-3</v>
      </c>
    </row>
    <row r="142" spans="1:15" ht="19.5" customHeight="1" thickTop="1">
      <c r="A142" s="8" t="s">
        <v>347</v>
      </c>
      <c r="B142" s="23"/>
      <c r="C142" s="23"/>
      <c r="D142" s="23"/>
      <c r="E142" s="23"/>
      <c r="G142" s="23"/>
      <c r="H142" s="23"/>
      <c r="N142" s="37"/>
      <c r="O142" s="699"/>
    </row>
    <row r="143" spans="1:15">
      <c r="A143" s="2" t="s">
        <v>837</v>
      </c>
      <c r="B143" s="3"/>
      <c r="C143" s="23"/>
      <c r="D143" s="23"/>
      <c r="E143" s="23"/>
      <c r="F143" s="23"/>
      <c r="G143" s="23"/>
      <c r="H143" s="23"/>
      <c r="N143" s="37"/>
      <c r="O143" s="699"/>
    </row>
    <row r="144" spans="1:15" ht="36" customHeight="1">
      <c r="A144" s="2579" t="s">
        <v>838</v>
      </c>
      <c r="B144" s="2580"/>
      <c r="C144" s="2580"/>
      <c r="D144" s="2580"/>
      <c r="E144" s="2580"/>
      <c r="F144" s="2580"/>
      <c r="G144" s="2580"/>
      <c r="H144" s="2580"/>
      <c r="I144" s="2580"/>
      <c r="J144" s="2580"/>
      <c r="K144" s="2580"/>
      <c r="L144" s="2580"/>
      <c r="M144" s="2580"/>
      <c r="N144" s="2580"/>
      <c r="O144" s="2581"/>
    </row>
    <row r="145" spans="1:15" s="1" customFormat="1">
      <c r="A145" s="1145" t="s">
        <v>4289</v>
      </c>
      <c r="B145" s="1146"/>
      <c r="C145" s="1146"/>
      <c r="D145" s="1146"/>
      <c r="E145" s="1147"/>
      <c r="F145" s="1147"/>
      <c r="G145" s="1139"/>
      <c r="H145" s="1143"/>
      <c r="I145" s="1143"/>
      <c r="J145" s="565"/>
      <c r="K145" s="565"/>
      <c r="L145" s="565"/>
      <c r="M145" s="565"/>
      <c r="N145" s="565"/>
      <c r="O145" s="1152"/>
    </row>
    <row r="146" spans="1:15" s="55" customFormat="1" ht="12.75">
      <c r="A146" s="595" t="s">
        <v>839</v>
      </c>
      <c r="B146" s="1137"/>
      <c r="C146" s="1137"/>
      <c r="D146" s="1137"/>
      <c r="E146" s="1138"/>
      <c r="F146" s="1138"/>
      <c r="G146" s="1138"/>
      <c r="H146" s="1140"/>
      <c r="I146" s="1140"/>
      <c r="J146" s="1137"/>
      <c r="K146" s="1137"/>
      <c r="L146" s="1137"/>
      <c r="M146" s="1137"/>
      <c r="N146" s="1137"/>
      <c r="O146" s="1153"/>
    </row>
    <row r="147" spans="1:15" s="55" customFormat="1" ht="12.75">
      <c r="A147" s="1132" t="s">
        <v>348</v>
      </c>
      <c r="E147" s="137"/>
      <c r="F147" s="137"/>
      <c r="G147" s="137"/>
      <c r="H147" s="607"/>
      <c r="I147" s="607"/>
      <c r="O147" s="608"/>
    </row>
    <row r="148" spans="1:15" s="55" customFormat="1" ht="12.75">
      <c r="A148" s="1133" t="s">
        <v>349</v>
      </c>
      <c r="E148" s="137"/>
      <c r="F148" s="137"/>
      <c r="G148" s="137"/>
      <c r="H148" s="607"/>
      <c r="I148" s="607"/>
      <c r="O148" s="608"/>
    </row>
    <row r="149" spans="1:15" s="55" customFormat="1" ht="12.75">
      <c r="A149" s="1133" t="s">
        <v>350</v>
      </c>
      <c r="E149" s="137"/>
      <c r="F149" s="137"/>
      <c r="G149" s="137"/>
      <c r="H149" s="607"/>
      <c r="I149" s="607"/>
      <c r="O149" s="608"/>
    </row>
    <row r="150" spans="1:15" s="55" customFormat="1" ht="12.75">
      <c r="A150" s="1133" t="s">
        <v>351</v>
      </c>
      <c r="E150" s="137"/>
      <c r="F150" s="137"/>
      <c r="G150" s="137"/>
      <c r="H150" s="607"/>
      <c r="I150" s="607"/>
      <c r="O150" s="608"/>
    </row>
    <row r="151" spans="1:15" s="55" customFormat="1" ht="12.75">
      <c r="A151" s="1133" t="s">
        <v>397</v>
      </c>
      <c r="E151" s="137"/>
      <c r="F151" s="137"/>
      <c r="G151" s="137"/>
      <c r="H151" s="607"/>
      <c r="I151" s="607"/>
      <c r="O151" s="608"/>
    </row>
    <row r="152" spans="1:15" s="55" customFormat="1" ht="12.75">
      <c r="A152" s="1133" t="s">
        <v>353</v>
      </c>
      <c r="E152" s="137"/>
      <c r="F152" s="137"/>
      <c r="G152" s="137"/>
      <c r="H152" s="607"/>
      <c r="I152" s="607"/>
      <c r="O152" s="608"/>
    </row>
    <row r="153" spans="1:15" s="55" customFormat="1" ht="12.75">
      <c r="A153" s="1133" t="s">
        <v>354</v>
      </c>
      <c r="E153" s="137"/>
      <c r="F153" s="137"/>
      <c r="G153" s="137"/>
      <c r="H153" s="607"/>
      <c r="I153" s="607"/>
      <c r="O153" s="608"/>
    </row>
    <row r="154" spans="1:15" ht="12.75" customHeight="1" thickBot="1">
      <c r="A154" s="9" t="s">
        <v>355</v>
      </c>
      <c r="B154" s="34"/>
      <c r="C154" s="1154"/>
      <c r="D154" s="1154"/>
      <c r="E154" s="1154"/>
      <c r="F154" s="1154"/>
      <c r="G154" s="1154"/>
      <c r="H154" s="1154"/>
      <c r="I154" s="700"/>
      <c r="J154" s="700"/>
      <c r="K154" s="700"/>
      <c r="L154" s="700"/>
      <c r="M154" s="700"/>
      <c r="N154" s="700"/>
      <c r="O154" s="701"/>
    </row>
    <row r="155" spans="1:15" ht="12" thickTop="1">
      <c r="L155" s="37"/>
      <c r="M155" s="37"/>
      <c r="N155" s="37"/>
      <c r="O155" s="37"/>
    </row>
    <row r="156" spans="1:15">
      <c r="A156" s="37"/>
      <c r="B156" s="37"/>
      <c r="C156" s="37"/>
      <c r="D156" s="37"/>
      <c r="E156" s="37"/>
      <c r="F156" s="37"/>
      <c r="G156" s="37"/>
      <c r="H156" s="37"/>
      <c r="L156" s="37"/>
      <c r="M156" s="37"/>
      <c r="N156" s="37"/>
      <c r="O156" s="37"/>
    </row>
    <row r="157" spans="1:15">
      <c r="A157" s="37"/>
      <c r="B157" s="37"/>
      <c r="C157" s="37"/>
      <c r="D157" s="37"/>
      <c r="E157" s="37"/>
      <c r="F157" s="37"/>
      <c r="G157" s="37"/>
      <c r="H157" s="37"/>
      <c r="L157" s="37"/>
      <c r="M157" s="37"/>
      <c r="N157" s="37"/>
      <c r="O157" s="37"/>
    </row>
    <row r="158" spans="1:15">
      <c r="A158" s="37"/>
      <c r="B158" s="37"/>
      <c r="C158" s="37"/>
      <c r="D158" s="37"/>
      <c r="E158" s="37"/>
      <c r="F158" s="37"/>
      <c r="G158" s="37"/>
      <c r="H158" s="37"/>
      <c r="L158" s="37"/>
      <c r="M158" s="37"/>
      <c r="N158" s="37"/>
      <c r="O158" s="37"/>
    </row>
    <row r="159" spans="1:15">
      <c r="A159" s="37"/>
      <c r="B159" s="37"/>
      <c r="C159" s="37"/>
      <c r="D159" s="37"/>
      <c r="E159" s="37"/>
      <c r="F159" s="37"/>
      <c r="G159" s="37"/>
      <c r="H159" s="37"/>
      <c r="L159" s="37"/>
      <c r="M159" s="37"/>
      <c r="N159" s="37"/>
      <c r="O159" s="37"/>
    </row>
    <row r="160" spans="1:15">
      <c r="A160" s="37"/>
      <c r="B160" s="37"/>
      <c r="C160" s="37"/>
      <c r="D160" s="37"/>
      <c r="E160" s="37"/>
      <c r="F160" s="37"/>
      <c r="G160" s="37"/>
      <c r="H160" s="37"/>
      <c r="L160" s="37"/>
      <c r="M160" s="37"/>
      <c r="N160" s="37"/>
      <c r="O160" s="37"/>
    </row>
    <row r="161" s="37" customFormat="1"/>
    <row r="162" s="37" customFormat="1"/>
    <row r="163" s="37" customFormat="1"/>
    <row r="164" s="37" customFormat="1"/>
    <row r="165" s="37" customFormat="1"/>
    <row r="166" s="37" customFormat="1"/>
    <row r="167" s="37" customFormat="1"/>
    <row r="168" s="37" customFormat="1"/>
    <row r="169" s="37" customFormat="1"/>
    <row r="170" s="37" customFormat="1"/>
    <row r="171" s="37" customFormat="1"/>
    <row r="172" s="37" customFormat="1"/>
    <row r="173" s="37" customFormat="1"/>
    <row r="174" s="37" customFormat="1"/>
    <row r="175" s="37" customFormat="1"/>
    <row r="176" s="37" customFormat="1"/>
    <row r="177" s="37" customFormat="1"/>
    <row r="178" s="37" customFormat="1"/>
    <row r="179" s="37" customFormat="1"/>
    <row r="180" s="37" customFormat="1"/>
    <row r="181" s="37" customFormat="1"/>
    <row r="182" s="37" customFormat="1"/>
    <row r="183" s="37" customFormat="1"/>
    <row r="184" s="37" customFormat="1"/>
    <row r="185" s="37" customFormat="1"/>
    <row r="186" s="37" customFormat="1"/>
    <row r="187" s="37" customFormat="1"/>
    <row r="188" s="37" customFormat="1"/>
    <row r="189" s="37" customFormat="1"/>
    <row r="190" s="37" customFormat="1"/>
    <row r="191" s="37" customFormat="1"/>
    <row r="192" s="37" customFormat="1"/>
    <row r="193" s="37" customFormat="1"/>
    <row r="194" s="37" customFormat="1"/>
    <row r="195" s="37" customFormat="1"/>
    <row r="196" s="37" customFormat="1"/>
    <row r="197" s="37" customFormat="1"/>
    <row r="198" s="37" customFormat="1"/>
    <row r="199" s="37" customFormat="1"/>
    <row r="200" s="37" customFormat="1"/>
    <row r="201" s="37" customFormat="1"/>
    <row r="202" s="37" customFormat="1"/>
    <row r="203" s="37" customFormat="1"/>
    <row r="204" s="37" customFormat="1"/>
    <row r="205" s="37" customFormat="1"/>
    <row r="206" s="37" customFormat="1"/>
    <row r="207" s="37" customFormat="1"/>
    <row r="208" s="37" customFormat="1"/>
    <row r="209" s="37" customFormat="1"/>
    <row r="210" s="37" customFormat="1"/>
    <row r="211" s="37" customFormat="1"/>
    <row r="212" s="37" customFormat="1"/>
    <row r="213" s="37" customFormat="1"/>
    <row r="214" s="37" customFormat="1"/>
    <row r="215" s="37" customFormat="1"/>
    <row r="216" s="37" customFormat="1"/>
    <row r="217" s="37" customFormat="1"/>
    <row r="218" s="37" customFormat="1"/>
    <row r="219" s="37" customFormat="1"/>
    <row r="220" s="37" customFormat="1"/>
    <row r="221" s="37" customFormat="1"/>
    <row r="222" s="37" customFormat="1"/>
    <row r="223" s="37" customFormat="1"/>
    <row r="224" s="37" customFormat="1"/>
    <row r="225" spans="1:15">
      <c r="A225" s="37"/>
      <c r="B225" s="37"/>
      <c r="C225" s="37"/>
      <c r="D225" s="37"/>
      <c r="E225" s="37"/>
      <c r="F225" s="37"/>
      <c r="G225" s="37"/>
      <c r="H225" s="37"/>
      <c r="L225" s="37"/>
      <c r="M225" s="37"/>
      <c r="N225" s="37"/>
      <c r="O225" s="37"/>
    </row>
    <row r="226" spans="1:15">
      <c r="A226" s="37"/>
      <c r="B226" s="37"/>
      <c r="C226" s="37"/>
      <c r="D226" s="37"/>
      <c r="E226" s="37"/>
      <c r="F226" s="37"/>
      <c r="G226" s="37"/>
      <c r="H226" s="37"/>
      <c r="L226" s="37"/>
      <c r="M226" s="37"/>
      <c r="N226" s="37"/>
      <c r="O226" s="37"/>
    </row>
    <row r="227" spans="1:15">
      <c r="A227" s="37"/>
      <c r="B227" s="37"/>
      <c r="C227" s="37"/>
      <c r="D227" s="37"/>
      <c r="E227" s="37"/>
      <c r="F227" s="37"/>
      <c r="G227" s="37"/>
      <c r="H227" s="37"/>
      <c r="L227" s="37"/>
      <c r="M227" s="37"/>
      <c r="N227" s="37"/>
      <c r="O227" s="37"/>
    </row>
    <row r="228" spans="1:15">
      <c r="A228" s="37"/>
      <c r="B228" s="37"/>
      <c r="C228" s="37"/>
      <c r="D228" s="37"/>
      <c r="E228" s="37"/>
      <c r="F228" s="37"/>
      <c r="G228" s="37"/>
      <c r="H228" s="37"/>
      <c r="L228" s="37"/>
      <c r="M228" s="37"/>
      <c r="N228" s="37"/>
      <c r="O228" s="37"/>
    </row>
    <row r="229" spans="1:15">
      <c r="A229" s="37"/>
      <c r="B229" s="37"/>
      <c r="C229" s="37"/>
      <c r="D229" s="37"/>
      <c r="E229" s="37"/>
      <c r="F229" s="37"/>
      <c r="G229" s="37"/>
      <c r="H229" s="37"/>
      <c r="L229" s="37"/>
      <c r="M229" s="37"/>
      <c r="N229" s="37"/>
      <c r="O229" s="37"/>
    </row>
    <row r="230" spans="1:15">
      <c r="A230" s="37"/>
      <c r="B230" s="37"/>
      <c r="C230" s="37"/>
      <c r="D230" s="37"/>
      <c r="E230" s="37"/>
      <c r="F230" s="37"/>
      <c r="G230" s="37"/>
      <c r="H230" s="37"/>
      <c r="L230" s="37"/>
      <c r="M230" s="37"/>
      <c r="N230" s="37"/>
      <c r="O230" s="37"/>
    </row>
    <row r="231" spans="1:15">
      <c r="A231" s="37"/>
      <c r="B231" s="37"/>
      <c r="C231" s="37"/>
      <c r="D231" s="37"/>
      <c r="E231" s="37"/>
      <c r="F231" s="37"/>
      <c r="G231" s="37"/>
      <c r="H231" s="37"/>
      <c r="L231" s="37"/>
      <c r="M231" s="37"/>
      <c r="N231" s="37"/>
      <c r="O231" s="37"/>
    </row>
    <row r="232" spans="1:15">
      <c r="A232" s="37"/>
      <c r="B232" s="37"/>
      <c r="C232" s="37"/>
      <c r="D232" s="37"/>
      <c r="E232" s="37"/>
      <c r="F232" s="37"/>
      <c r="G232" s="37"/>
      <c r="H232" s="37"/>
      <c r="L232" s="37"/>
      <c r="M232" s="37"/>
      <c r="N232" s="37"/>
      <c r="O232" s="37"/>
    </row>
    <row r="233" spans="1:15">
      <c r="L233" s="37"/>
      <c r="M233" s="37"/>
      <c r="N233" s="37"/>
      <c r="O233" s="37"/>
    </row>
    <row r="234" spans="1:15">
      <c r="L234" s="37"/>
      <c r="M234" s="37"/>
      <c r="N234" s="37"/>
      <c r="O234" s="37"/>
    </row>
    <row r="235" spans="1:15">
      <c r="L235" s="37"/>
      <c r="M235" s="37"/>
      <c r="N235" s="37"/>
      <c r="O235" s="37"/>
    </row>
    <row r="236" spans="1:15">
      <c r="L236" s="37"/>
      <c r="M236" s="37"/>
      <c r="N236" s="37"/>
      <c r="O236" s="37"/>
    </row>
    <row r="237" spans="1:15">
      <c r="L237" s="37"/>
      <c r="M237" s="37"/>
      <c r="N237" s="37"/>
      <c r="O237" s="37"/>
    </row>
    <row r="238" spans="1:15">
      <c r="L238" s="37"/>
      <c r="M238" s="37"/>
      <c r="N238" s="37"/>
      <c r="O238" s="37"/>
    </row>
    <row r="239" spans="1:15">
      <c r="L239" s="37"/>
      <c r="M239" s="37"/>
      <c r="N239" s="37"/>
      <c r="O239" s="37"/>
    </row>
    <row r="240" spans="1:15">
      <c r="L240" s="37"/>
      <c r="M240" s="37"/>
      <c r="N240" s="37"/>
      <c r="O240" s="37"/>
    </row>
    <row r="241" spans="1:15">
      <c r="L241" s="37"/>
      <c r="M241" s="37"/>
      <c r="N241" s="37"/>
      <c r="O241" s="37"/>
    </row>
    <row r="242" spans="1:15">
      <c r="L242" s="37"/>
      <c r="M242" s="37"/>
      <c r="N242" s="37"/>
      <c r="O242" s="37"/>
    </row>
    <row r="243" spans="1:15">
      <c r="L243" s="37"/>
      <c r="M243" s="37"/>
      <c r="N243" s="37"/>
      <c r="O243" s="37"/>
    </row>
    <row r="244" spans="1:15">
      <c r="L244" s="37"/>
      <c r="M244" s="37"/>
      <c r="N244" s="37"/>
      <c r="O244" s="37"/>
    </row>
    <row r="245" spans="1:15">
      <c r="L245" s="37"/>
      <c r="M245" s="37"/>
      <c r="N245" s="37"/>
      <c r="O245" s="37"/>
    </row>
    <row r="246" spans="1:15">
      <c r="L246" s="37"/>
      <c r="M246" s="37"/>
      <c r="N246" s="37"/>
      <c r="O246" s="37"/>
    </row>
    <row r="247" spans="1:15">
      <c r="L247" s="37"/>
      <c r="M247" s="37"/>
      <c r="N247" s="37"/>
      <c r="O247" s="37"/>
    </row>
    <row r="248" spans="1:15">
      <c r="A248" s="37"/>
      <c r="B248" s="37"/>
      <c r="C248" s="37"/>
      <c r="D248" s="37"/>
      <c r="E248" s="37"/>
      <c r="F248" s="37"/>
      <c r="G248" s="37"/>
      <c r="H248" s="37"/>
      <c r="L248" s="37"/>
      <c r="M248" s="37"/>
      <c r="N248" s="37"/>
      <c r="O248" s="37"/>
    </row>
    <row r="249" spans="1:15">
      <c r="A249" s="37"/>
      <c r="B249" s="37"/>
      <c r="C249" s="37"/>
      <c r="D249" s="37"/>
      <c r="E249" s="37"/>
      <c r="F249" s="37"/>
      <c r="G249" s="37"/>
      <c r="H249" s="37"/>
      <c r="L249" s="37"/>
      <c r="M249" s="37"/>
      <c r="N249" s="37"/>
      <c r="O249" s="37"/>
    </row>
    <row r="250" spans="1:15">
      <c r="A250" s="37"/>
      <c r="B250" s="37"/>
      <c r="C250" s="37"/>
      <c r="D250" s="37"/>
      <c r="E250" s="37"/>
      <c r="F250" s="37"/>
      <c r="G250" s="37"/>
      <c r="H250" s="37"/>
      <c r="L250" s="37"/>
      <c r="M250" s="37"/>
      <c r="N250" s="37"/>
      <c r="O250" s="37"/>
    </row>
    <row r="251" spans="1:15">
      <c r="A251" s="37"/>
      <c r="B251" s="37"/>
      <c r="C251" s="37"/>
      <c r="D251" s="37"/>
      <c r="E251" s="37"/>
      <c r="F251" s="37"/>
      <c r="G251" s="37"/>
      <c r="H251" s="37"/>
      <c r="L251" s="37"/>
      <c r="M251" s="37"/>
      <c r="N251" s="37"/>
      <c r="O251" s="37"/>
    </row>
    <row r="252" spans="1:15">
      <c r="A252" s="37"/>
      <c r="B252" s="37"/>
      <c r="C252" s="37"/>
      <c r="D252" s="37"/>
      <c r="E252" s="37"/>
      <c r="F252" s="37"/>
      <c r="G252" s="37"/>
      <c r="H252" s="37"/>
      <c r="L252" s="37"/>
      <c r="M252" s="37"/>
      <c r="N252" s="37"/>
      <c r="O252" s="37"/>
    </row>
    <row r="253" spans="1:15">
      <c r="A253" s="37"/>
      <c r="B253" s="37"/>
      <c r="C253" s="37"/>
      <c r="D253" s="37"/>
      <c r="E253" s="37"/>
      <c r="F253" s="37"/>
      <c r="G253" s="37"/>
      <c r="H253" s="37"/>
      <c r="L253" s="37"/>
      <c r="M253" s="37"/>
      <c r="N253" s="37"/>
      <c r="O253" s="37"/>
    </row>
    <row r="254" spans="1:15">
      <c r="A254" s="37"/>
      <c r="B254" s="37"/>
      <c r="C254" s="37"/>
      <c r="D254" s="37"/>
      <c r="E254" s="37"/>
      <c r="F254" s="37"/>
      <c r="G254" s="37"/>
      <c r="H254" s="37"/>
      <c r="L254" s="37"/>
      <c r="M254" s="37"/>
      <c r="N254" s="37"/>
      <c r="O254" s="37"/>
    </row>
    <row r="255" spans="1:15">
      <c r="A255" s="37"/>
      <c r="B255" s="37"/>
      <c r="C255" s="37"/>
      <c r="D255" s="37"/>
      <c r="E255" s="37"/>
      <c r="F255" s="37"/>
      <c r="G255" s="37"/>
      <c r="H255" s="37"/>
      <c r="L255" s="37"/>
      <c r="M255" s="37"/>
      <c r="N255" s="37"/>
      <c r="O255" s="37"/>
    </row>
    <row r="256" spans="1:15">
      <c r="A256" s="37"/>
      <c r="B256" s="37"/>
      <c r="C256" s="37"/>
      <c r="D256" s="37"/>
      <c r="E256" s="37"/>
      <c r="F256" s="37"/>
      <c r="G256" s="37"/>
      <c r="H256" s="37"/>
      <c r="L256" s="37"/>
      <c r="M256" s="37"/>
      <c r="N256" s="37"/>
      <c r="O256" s="37"/>
    </row>
    <row r="257" s="37" customFormat="1"/>
    <row r="258" s="37" customFormat="1"/>
    <row r="259" s="37" customFormat="1"/>
    <row r="260" s="37" customFormat="1"/>
    <row r="261" s="37" customFormat="1"/>
    <row r="262" s="37" customFormat="1"/>
    <row r="263" s="37" customFormat="1"/>
    <row r="264" s="37" customFormat="1"/>
    <row r="265" s="37" customFormat="1"/>
    <row r="266" s="37" customFormat="1"/>
    <row r="267" s="37" customFormat="1"/>
    <row r="268" s="37" customFormat="1"/>
    <row r="269" s="37" customFormat="1"/>
    <row r="270" s="37" customFormat="1"/>
    <row r="271" s="37" customFormat="1"/>
    <row r="272" s="37" customFormat="1"/>
    <row r="273" s="37" customFormat="1"/>
    <row r="274" s="37" customFormat="1"/>
    <row r="275" s="37" customFormat="1"/>
    <row r="276" s="37" customFormat="1"/>
    <row r="277" s="37" customFormat="1"/>
    <row r="278" s="37" customFormat="1"/>
    <row r="279" s="37" customFormat="1"/>
    <row r="280" s="37" customFormat="1"/>
    <row r="281" s="37" customFormat="1"/>
    <row r="282" s="37" customFormat="1"/>
    <row r="283" s="37" customFormat="1"/>
    <row r="284" s="37" customFormat="1"/>
    <row r="285" s="37" customFormat="1"/>
    <row r="286" s="37" customFormat="1"/>
    <row r="287" s="37" customFormat="1"/>
    <row r="288" s="37" customFormat="1"/>
    <row r="289" s="37" customFormat="1"/>
    <row r="290" s="37" customFormat="1"/>
    <row r="291" s="37" customFormat="1"/>
    <row r="292" s="37" customFormat="1"/>
    <row r="293" s="37" customFormat="1"/>
    <row r="294" s="37" customFormat="1"/>
    <row r="295" s="37" customFormat="1"/>
    <row r="296" s="37" customFormat="1"/>
    <row r="297" s="37" customFormat="1"/>
    <row r="298" s="37" customFormat="1"/>
    <row r="299" s="37" customFormat="1"/>
    <row r="300" s="37" customFormat="1"/>
    <row r="301" s="37" customFormat="1"/>
    <row r="302" s="37" customFormat="1"/>
    <row r="303" s="37" customFormat="1"/>
    <row r="304" s="37" customFormat="1"/>
    <row r="305" s="37" customFormat="1"/>
    <row r="306" s="37" customFormat="1"/>
    <row r="307" s="37" customFormat="1"/>
    <row r="308" s="37" customFormat="1"/>
    <row r="309" s="37" customFormat="1"/>
    <row r="310" s="37" customFormat="1"/>
    <row r="311" s="37" customFormat="1"/>
    <row r="312" s="37" customFormat="1"/>
    <row r="313" s="37" customFormat="1"/>
    <row r="314" s="37" customFormat="1"/>
    <row r="315" s="37" customFormat="1"/>
    <row r="316" s="37" customFormat="1"/>
    <row r="317" s="37" customFormat="1"/>
    <row r="318" s="37" customFormat="1"/>
    <row r="319" s="37" customFormat="1"/>
    <row r="320" s="37" customFormat="1"/>
    <row r="321" s="37" customFormat="1"/>
    <row r="322" s="37" customFormat="1"/>
    <row r="323" s="37" customFormat="1"/>
    <row r="324" s="37" customFormat="1"/>
    <row r="325" s="37" customFormat="1"/>
    <row r="326" s="37" customFormat="1"/>
    <row r="327" s="37" customFormat="1"/>
    <row r="328" s="37" customFormat="1"/>
    <row r="329" s="37" customFormat="1"/>
    <row r="330" s="37" customFormat="1"/>
    <row r="331" s="37" customFormat="1"/>
    <row r="332" s="37" customFormat="1"/>
    <row r="333" s="37" customFormat="1"/>
    <row r="334" s="37" customFormat="1"/>
    <row r="335" s="37" customFormat="1"/>
    <row r="336" s="37" customFormat="1"/>
    <row r="337" spans="1:15">
      <c r="A337" s="37"/>
      <c r="B337" s="37"/>
      <c r="C337" s="37"/>
      <c r="D337" s="37"/>
      <c r="E337" s="37"/>
      <c r="F337" s="37"/>
      <c r="G337" s="37"/>
      <c r="H337" s="37"/>
      <c r="L337" s="37"/>
      <c r="M337" s="37"/>
      <c r="N337" s="37"/>
      <c r="O337" s="37"/>
    </row>
    <row r="338" spans="1:15">
      <c r="A338" s="37"/>
      <c r="B338" s="37"/>
      <c r="C338" s="37"/>
      <c r="D338" s="37"/>
      <c r="E338" s="37"/>
      <c r="F338" s="37"/>
      <c r="G338" s="37"/>
      <c r="H338" s="37"/>
      <c r="L338" s="37"/>
      <c r="M338" s="37"/>
      <c r="N338" s="37"/>
      <c r="O338" s="37"/>
    </row>
    <row r="339" spans="1:15">
      <c r="A339" s="37"/>
      <c r="B339" s="37"/>
      <c r="C339" s="37"/>
      <c r="D339" s="37"/>
      <c r="E339" s="37"/>
      <c r="F339" s="37"/>
      <c r="G339" s="37"/>
      <c r="H339" s="37"/>
      <c r="L339" s="37"/>
      <c r="M339" s="37"/>
      <c r="N339" s="37"/>
      <c r="O339" s="37"/>
    </row>
    <row r="340" spans="1:15">
      <c r="A340" s="37"/>
      <c r="B340" s="37"/>
      <c r="C340" s="37"/>
      <c r="D340" s="37"/>
      <c r="E340" s="37"/>
      <c r="F340" s="37"/>
      <c r="G340" s="37"/>
      <c r="H340" s="37"/>
      <c r="L340" s="37"/>
      <c r="M340" s="37"/>
      <c r="N340" s="37"/>
      <c r="O340" s="37"/>
    </row>
    <row r="341" spans="1:15">
      <c r="A341" s="37"/>
      <c r="B341" s="37"/>
      <c r="C341" s="37"/>
      <c r="D341" s="37"/>
      <c r="E341" s="37"/>
      <c r="F341" s="37"/>
      <c r="G341" s="37"/>
      <c r="H341" s="37"/>
      <c r="L341" s="37"/>
      <c r="M341" s="37"/>
      <c r="N341" s="37"/>
      <c r="O341" s="37"/>
    </row>
    <row r="342" spans="1:15">
      <c r="A342" s="37"/>
      <c r="B342" s="37"/>
      <c r="C342" s="37"/>
      <c r="D342" s="37"/>
      <c r="E342" s="37"/>
      <c r="F342" s="37"/>
      <c r="G342" s="37"/>
      <c r="H342" s="37"/>
      <c r="L342" s="37"/>
      <c r="M342" s="37"/>
      <c r="N342" s="37"/>
      <c r="O342" s="37"/>
    </row>
    <row r="343" spans="1:15">
      <c r="A343" s="37"/>
      <c r="B343" s="37"/>
      <c r="C343" s="37"/>
      <c r="D343" s="37"/>
      <c r="E343" s="37"/>
      <c r="F343" s="37"/>
      <c r="G343" s="37"/>
      <c r="H343" s="37"/>
      <c r="L343" s="37"/>
      <c r="M343" s="37"/>
      <c r="N343" s="37"/>
      <c r="O343" s="37"/>
    </row>
    <row r="344" spans="1:15">
      <c r="A344" s="37"/>
      <c r="B344" s="37"/>
      <c r="C344" s="37"/>
      <c r="D344" s="37"/>
      <c r="E344" s="37"/>
      <c r="F344" s="37"/>
      <c r="G344" s="37"/>
      <c r="H344" s="37"/>
      <c r="L344" s="37"/>
      <c r="M344" s="37"/>
      <c r="N344" s="37"/>
      <c r="O344" s="37"/>
    </row>
    <row r="345" spans="1:15">
      <c r="A345" s="37"/>
      <c r="B345" s="37"/>
      <c r="C345" s="37"/>
      <c r="D345" s="37"/>
      <c r="E345" s="37"/>
      <c r="F345" s="37"/>
      <c r="G345" s="37"/>
      <c r="H345" s="37"/>
      <c r="L345" s="37"/>
      <c r="M345" s="37"/>
      <c r="N345" s="37"/>
      <c r="O345" s="37"/>
    </row>
    <row r="346" spans="1:15">
      <c r="A346" s="37"/>
      <c r="B346" s="37"/>
      <c r="C346" s="37"/>
      <c r="D346" s="37"/>
      <c r="E346" s="37"/>
      <c r="F346" s="37"/>
      <c r="G346" s="37"/>
      <c r="H346" s="37"/>
      <c r="L346" s="37"/>
      <c r="M346" s="37"/>
      <c r="N346" s="37"/>
      <c r="O346" s="37"/>
    </row>
    <row r="347" spans="1:15">
      <c r="A347" s="37"/>
      <c r="B347" s="37"/>
      <c r="C347" s="37"/>
      <c r="D347" s="37"/>
      <c r="E347" s="37"/>
      <c r="F347" s="37"/>
      <c r="G347" s="37"/>
      <c r="H347" s="37"/>
      <c r="L347" s="37"/>
      <c r="M347" s="37"/>
      <c r="N347" s="37"/>
      <c r="O347" s="37"/>
    </row>
    <row r="348" spans="1:15">
      <c r="A348" s="37"/>
      <c r="B348" s="37"/>
      <c r="C348" s="37"/>
      <c r="D348" s="37"/>
      <c r="E348" s="37"/>
      <c r="F348" s="37"/>
      <c r="G348" s="37"/>
      <c r="H348" s="37"/>
      <c r="L348" s="37"/>
      <c r="M348" s="37"/>
      <c r="N348" s="37"/>
      <c r="O348" s="37"/>
    </row>
    <row r="349" spans="1:15">
      <c r="A349" s="37"/>
      <c r="B349" s="37"/>
      <c r="C349" s="37"/>
      <c r="D349" s="37"/>
      <c r="E349" s="37"/>
      <c r="F349" s="37"/>
      <c r="G349" s="37"/>
      <c r="H349" s="37"/>
    </row>
    <row r="350" spans="1:15">
      <c r="A350" s="37"/>
      <c r="B350" s="37"/>
      <c r="C350" s="37"/>
      <c r="D350" s="37"/>
      <c r="E350" s="37"/>
      <c r="F350" s="37"/>
      <c r="G350" s="37"/>
      <c r="H350" s="37"/>
    </row>
    <row r="351" spans="1:15">
      <c r="A351" s="37"/>
      <c r="B351" s="37"/>
      <c r="C351" s="37"/>
      <c r="D351" s="37"/>
      <c r="E351" s="37"/>
      <c r="F351" s="37"/>
      <c r="G351" s="37"/>
      <c r="H351" s="37"/>
    </row>
  </sheetData>
  <sheetProtection algorithmName="SHA-512" hashValue="F3Z7MyW/ys7Mh14SWvtqp0S22a9R7XqGFnHXVg7pWtRryQfb3KZhR5Y52klBnm8uAZsP2cq/rRB+9H4JIuRE0w==" saltValue="8fFS7iM1iYA+8/wH8JszYQ==" spinCount="100000" sheet="1" sort="0" autoFilter="0"/>
  <autoFilter ref="A7:B126" xr:uid="{00000000-0009-0000-0000-00000E000000}"/>
  <mergeCells count="17">
    <mergeCell ref="C5:E5"/>
    <mergeCell ref="F5:H5"/>
    <mergeCell ref="A144:O144"/>
    <mergeCell ref="A2:O2"/>
    <mergeCell ref="I3:O4"/>
    <mergeCell ref="N5:N6"/>
    <mergeCell ref="M5:M6"/>
    <mergeCell ref="L5:L6"/>
    <mergeCell ref="K5:K6"/>
    <mergeCell ref="J5:J6"/>
    <mergeCell ref="I5:I7"/>
    <mergeCell ref="A3:B3"/>
    <mergeCell ref="A4:A7"/>
    <mergeCell ref="B4:B7"/>
    <mergeCell ref="C3:H3"/>
    <mergeCell ref="C4:E4"/>
    <mergeCell ref="F4:H4"/>
  </mergeCells>
  <phoneticPr fontId="0" type="noConversion"/>
  <printOptions horizontalCentered="1"/>
  <pageMargins left="0.7" right="0.7" top="0.75" bottom="0.5" header="0.3" footer="0.3"/>
  <pageSetup scale="57" fitToHeight="0" orientation="landscape" r:id="rId1"/>
  <headerFooter alignWithMargins="0">
    <oddFooter>&amp;C&amp;P of &amp;N&amp;R&amp;A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H152"/>
  <sheetViews>
    <sheetView showGridLines="0" showWhiteSpace="0" zoomScale="110" zoomScaleNormal="110" workbookViewId="0">
      <pane xSplit="2" ySplit="4" topLeftCell="C5" activePane="bottomRight" state="frozen"/>
      <selection pane="topRight" activeCell="C1" sqref="C1"/>
      <selection pane="bottomLeft" activeCell="A5" sqref="A5"/>
      <selection pane="bottomRight" activeCell="A3" sqref="A3:B3"/>
    </sheetView>
  </sheetViews>
  <sheetFormatPr defaultColWidth="9.140625" defaultRowHeight="11.25"/>
  <cols>
    <col min="1" max="1" width="40.7109375" style="3" customWidth="1"/>
    <col min="2" max="2" width="14.42578125" style="22" customWidth="1"/>
    <col min="3" max="3" width="18.85546875" style="10" customWidth="1"/>
    <col min="4" max="4" width="14.85546875" style="3" customWidth="1"/>
    <col min="5" max="5" width="14.140625" style="3" customWidth="1"/>
    <col min="6" max="16384" width="9.140625" style="3"/>
  </cols>
  <sheetData>
    <row r="1" spans="1:8" hidden="1">
      <c r="A1" s="3" t="s">
        <v>840</v>
      </c>
      <c r="C1" s="3" t="s">
        <v>367</v>
      </c>
    </row>
    <row r="2" spans="1:8" s="23" customFormat="1" ht="36.75" customHeight="1" thickBot="1">
      <c r="A2" s="1209" t="s">
        <v>841</v>
      </c>
      <c r="B2" s="318"/>
      <c r="D2" s="318"/>
      <c r="E2" s="318"/>
      <c r="F2" s="68"/>
      <c r="G2" s="68"/>
      <c r="H2" s="68"/>
    </row>
    <row r="3" spans="1:8" s="23" customFormat="1" ht="12.75" customHeight="1" thickTop="1" thickBot="1">
      <c r="A3" s="2606" t="str">
        <f>'Water Direct Exp (GW-1)'!A3:B3</f>
        <v>2025 (Rev 4)</v>
      </c>
      <c r="B3" s="2607"/>
      <c r="C3" s="2604" t="s">
        <v>842</v>
      </c>
      <c r="D3" s="2602" t="s">
        <v>821</v>
      </c>
      <c r="E3" s="2603"/>
      <c r="F3" s="68"/>
      <c r="G3" s="68"/>
      <c r="H3" s="68"/>
    </row>
    <row r="4" spans="1:8" s="64" customFormat="1" ht="33" customHeight="1" thickBot="1">
      <c r="A4" s="2001" t="s">
        <v>661</v>
      </c>
      <c r="B4" s="2011" t="s">
        <v>80</v>
      </c>
      <c r="C4" s="2605"/>
      <c r="D4" s="584" t="s">
        <v>843</v>
      </c>
      <c r="E4" s="585" t="s">
        <v>844</v>
      </c>
    </row>
    <row r="5" spans="1:8" ht="11.25" customHeight="1">
      <c r="A5" s="2" t="s">
        <v>391</v>
      </c>
      <c r="B5" s="428" t="s">
        <v>392</v>
      </c>
      <c r="C5" s="135">
        <f>IF(E5="--",D5, MIN(D5,E5))</f>
        <v>50000</v>
      </c>
      <c r="D5" s="157">
        <v>50000</v>
      </c>
      <c r="E5" s="218">
        <f t="shared" ref="E5:E19" si="0">IF(VLOOKUP($A5,Table_IP_1, MATCH("sol", heading_IP_1, 0), FALSE)="--","--", VLOOKUP($A5,Table_IP_1, MATCH("sol", heading_IP_1, 0), FALSE)*1000/2)</f>
        <v>500000000</v>
      </c>
    </row>
    <row r="6" spans="1:8" ht="11.25" customHeight="1">
      <c r="A6" s="153" t="s">
        <v>85</v>
      </c>
      <c r="B6" s="429" t="s">
        <v>86</v>
      </c>
      <c r="C6" s="135">
        <f t="shared" ref="C6:C26" si="1">IF(E6="--",D6, MIN(D6,E6))</f>
        <v>8.5</v>
      </c>
      <c r="D6" s="157">
        <v>50000</v>
      </c>
      <c r="E6" s="218">
        <f t="shared" si="0"/>
        <v>8.5</v>
      </c>
    </row>
    <row r="7" spans="1:8" ht="11.25" customHeight="1">
      <c r="A7" s="153" t="s">
        <v>87</v>
      </c>
      <c r="B7" s="429" t="s">
        <v>88</v>
      </c>
      <c r="C7" s="135">
        <f t="shared" si="1"/>
        <v>50000</v>
      </c>
      <c r="D7" s="157">
        <v>50000</v>
      </c>
      <c r="E7" s="218" t="str">
        <f t="shared" si="0"/>
        <v>--</v>
      </c>
    </row>
    <row r="8" spans="1:8" ht="11.25" customHeight="1">
      <c r="A8" s="153" t="s">
        <v>89</v>
      </c>
      <c r="B8" s="429" t="s">
        <v>90</v>
      </c>
      <c r="C8" s="135">
        <f t="shared" si="1"/>
        <v>50000</v>
      </c>
      <c r="D8" s="157">
        <v>50000</v>
      </c>
      <c r="E8" s="218" t="str">
        <f t="shared" si="0"/>
        <v>--</v>
      </c>
    </row>
    <row r="9" spans="1:8" ht="11.25" customHeight="1">
      <c r="A9" s="153" t="s">
        <v>91</v>
      </c>
      <c r="B9" s="429" t="s">
        <v>92</v>
      </c>
      <c r="C9" s="135">
        <f t="shared" si="1"/>
        <v>50000</v>
      </c>
      <c r="D9" s="157">
        <v>50000</v>
      </c>
      <c r="E9" s="218" t="str">
        <f t="shared" si="0"/>
        <v>--</v>
      </c>
    </row>
    <row r="10" spans="1:8" ht="11.25" customHeight="1">
      <c r="A10" s="153" t="s">
        <v>93</v>
      </c>
      <c r="B10" s="429" t="s">
        <v>94</v>
      </c>
      <c r="C10" s="135">
        <f t="shared" si="1"/>
        <v>50000</v>
      </c>
      <c r="D10" s="157">
        <v>50000</v>
      </c>
      <c r="E10" s="218">
        <f t="shared" si="0"/>
        <v>895000</v>
      </c>
    </row>
    <row r="11" spans="1:8" ht="11.25" customHeight="1">
      <c r="A11" s="153" t="s">
        <v>95</v>
      </c>
      <c r="B11" s="429" t="s">
        <v>96</v>
      </c>
      <c r="C11" s="135">
        <f t="shared" si="1"/>
        <v>50000</v>
      </c>
      <c r="D11" s="157">
        <v>50000</v>
      </c>
      <c r="E11" s="218" t="str">
        <f t="shared" si="0"/>
        <v>--</v>
      </c>
    </row>
    <row r="12" spans="1:8" ht="11.25" customHeight="1">
      <c r="A12" s="153" t="s">
        <v>97</v>
      </c>
      <c r="B12" s="429" t="s">
        <v>98</v>
      </c>
      <c r="C12" s="135">
        <f t="shared" si="1"/>
        <v>3740</v>
      </c>
      <c r="D12" s="157">
        <v>50000</v>
      </c>
      <c r="E12" s="218">
        <f t="shared" si="0"/>
        <v>3740</v>
      </c>
    </row>
    <row r="13" spans="1:8" ht="11.25" customHeight="1">
      <c r="A13" s="153" t="s">
        <v>99</v>
      </c>
      <c r="B13" s="429" t="s">
        <v>100</v>
      </c>
      <c r="C13" s="135">
        <f t="shared" si="1"/>
        <v>50000</v>
      </c>
      <c r="D13" s="157">
        <v>50000</v>
      </c>
      <c r="E13" s="218">
        <f t="shared" si="0"/>
        <v>8600000</v>
      </c>
    </row>
    <row r="14" spans="1:8" ht="11.25" customHeight="1">
      <c r="A14" s="153" t="s">
        <v>101</v>
      </c>
      <c r="B14" s="429" t="s">
        <v>102</v>
      </c>
      <c r="C14" s="135">
        <f t="shared" si="1"/>
        <v>50000</v>
      </c>
      <c r="D14" s="157">
        <v>50000</v>
      </c>
      <c r="E14" s="218">
        <f t="shared" si="0"/>
        <v>850000</v>
      </c>
    </row>
    <row r="15" spans="1:8" ht="11.25" customHeight="1">
      <c r="A15" s="153" t="s">
        <v>103</v>
      </c>
      <c r="B15" s="429" t="s">
        <v>104</v>
      </c>
      <c r="C15" s="135">
        <f t="shared" si="1"/>
        <v>135</v>
      </c>
      <c r="D15" s="157">
        <v>50000</v>
      </c>
      <c r="E15" s="218">
        <f t="shared" si="0"/>
        <v>135</v>
      </c>
    </row>
    <row r="16" spans="1:8" ht="11.25" customHeight="1">
      <c r="A16" s="153" t="s">
        <v>105</v>
      </c>
      <c r="B16" s="429" t="s">
        <v>106</v>
      </c>
      <c r="C16" s="135">
        <f t="shared" si="1"/>
        <v>50000</v>
      </c>
      <c r="D16" s="157">
        <v>50000</v>
      </c>
      <c r="E16" s="218" t="str">
        <f t="shared" si="0"/>
        <v>--</v>
      </c>
    </row>
    <row r="17" spans="1:5" ht="11.25" customHeight="1">
      <c r="A17" s="153" t="s">
        <v>107</v>
      </c>
      <c r="B17" s="429" t="s">
        <v>108</v>
      </c>
      <c r="C17" s="135">
        <f t="shared" si="1"/>
        <v>50000</v>
      </c>
      <c r="D17" s="157">
        <v>50000</v>
      </c>
      <c r="E17" s="218">
        <f t="shared" si="0"/>
        <v>1516000</v>
      </c>
    </row>
    <row r="18" spans="1:5">
      <c r="A18" s="153" t="s">
        <v>109</v>
      </c>
      <c r="B18" s="429" t="s">
        <v>110</v>
      </c>
      <c r="C18" s="135">
        <f t="shared" si="1"/>
        <v>50000</v>
      </c>
      <c r="D18" s="157">
        <v>50000</v>
      </c>
      <c r="E18" s="218">
        <f t="shared" si="0"/>
        <v>1550000</v>
      </c>
    </row>
    <row r="19" spans="1:5">
      <c r="A19" s="153" t="s">
        <v>111</v>
      </c>
      <c r="B19" s="429" t="s">
        <v>112</v>
      </c>
      <c r="C19" s="135">
        <f t="shared" si="1"/>
        <v>50000</v>
      </c>
      <c r="D19" s="157">
        <v>50000</v>
      </c>
      <c r="E19" s="218">
        <f t="shared" si="0"/>
        <v>7600000</v>
      </c>
    </row>
    <row r="20" spans="1:5">
      <c r="A20" s="153" t="s">
        <v>116</v>
      </c>
      <c r="B20" s="429" t="s">
        <v>114</v>
      </c>
      <c r="C20" s="135">
        <f t="shared" si="1"/>
        <v>50000</v>
      </c>
      <c r="D20" s="157">
        <v>50000</v>
      </c>
      <c r="E20" s="218" t="str">
        <f t="shared" ref="E20:E51" si="2">IF(VLOOKUP($A20,Table_IP_1, MATCH("sol", heading_IP_1, 0), FALSE)="--","--", VLOOKUP($A20,Table_IP_1, MATCH("sol", heading_IP_1, 0), FALSE)*1000/2)</f>
        <v>--</v>
      </c>
    </row>
    <row r="21" spans="1:5">
      <c r="A21" s="153" t="s">
        <v>117</v>
      </c>
      <c r="B21" s="429" t="s">
        <v>118</v>
      </c>
      <c r="C21" s="135">
        <f t="shared" si="1"/>
        <v>50000</v>
      </c>
      <c r="D21" s="157">
        <v>50000</v>
      </c>
      <c r="E21" s="218">
        <f t="shared" si="2"/>
        <v>396500</v>
      </c>
    </row>
    <row r="22" spans="1:5">
      <c r="A22" s="153" t="s">
        <v>119</v>
      </c>
      <c r="B22" s="429" t="s">
        <v>120</v>
      </c>
      <c r="C22" s="135">
        <f t="shared" si="1"/>
        <v>28</v>
      </c>
      <c r="D22" s="157">
        <v>50000</v>
      </c>
      <c r="E22" s="218">
        <f t="shared" si="2"/>
        <v>28</v>
      </c>
    </row>
    <row r="23" spans="1:5">
      <c r="A23" s="153" t="s">
        <v>121</v>
      </c>
      <c r="B23" s="429" t="s">
        <v>122</v>
      </c>
      <c r="C23" s="135">
        <f t="shared" si="1"/>
        <v>50000</v>
      </c>
      <c r="D23" s="157">
        <v>50000</v>
      </c>
      <c r="E23" s="218">
        <f t="shared" si="2"/>
        <v>1950000</v>
      </c>
    </row>
    <row r="24" spans="1:5">
      <c r="A24" s="153" t="s">
        <v>123</v>
      </c>
      <c r="B24" s="429" t="s">
        <v>124</v>
      </c>
      <c r="C24" s="135">
        <f t="shared" si="1"/>
        <v>50000</v>
      </c>
      <c r="D24" s="157">
        <v>50000</v>
      </c>
      <c r="E24" s="218">
        <f t="shared" si="2"/>
        <v>249000</v>
      </c>
    </row>
    <row r="25" spans="1:5">
      <c r="A25" s="153" t="s">
        <v>125</v>
      </c>
      <c r="B25" s="429" t="s">
        <v>126</v>
      </c>
      <c r="C25" s="135">
        <f t="shared" si="1"/>
        <v>50000</v>
      </c>
      <c r="D25" s="157">
        <v>50000</v>
      </c>
      <c r="E25" s="218">
        <f t="shared" si="2"/>
        <v>3355000</v>
      </c>
    </row>
    <row r="26" spans="1:5">
      <c r="A26" s="153" t="s">
        <v>127</v>
      </c>
      <c r="B26" s="429" t="s">
        <v>128</v>
      </c>
      <c r="C26" s="135">
        <f t="shared" si="1"/>
        <v>50000</v>
      </c>
      <c r="D26" s="157">
        <v>50000</v>
      </c>
      <c r="E26" s="218">
        <f t="shared" si="2"/>
        <v>3975000</v>
      </c>
    </row>
    <row r="27" spans="1:5">
      <c r="A27" s="153" t="s">
        <v>129</v>
      </c>
      <c r="B27" s="429" t="s">
        <v>130</v>
      </c>
      <c r="C27" s="135">
        <f t="shared" ref="C27:C90" si="3">IF(E27="--",D27, MIN(D27,E27))</f>
        <v>50000</v>
      </c>
      <c r="D27" s="157">
        <v>50000</v>
      </c>
      <c r="E27" s="218">
        <f t="shared" si="2"/>
        <v>2660000</v>
      </c>
    </row>
    <row r="28" spans="1:5">
      <c r="A28" s="153" t="s">
        <v>131</v>
      </c>
      <c r="B28" s="429" t="s">
        <v>132</v>
      </c>
      <c r="C28" s="135">
        <f t="shared" si="3"/>
        <v>50000</v>
      </c>
      <c r="D28" s="157">
        <v>50000</v>
      </c>
      <c r="E28" s="218">
        <f t="shared" si="2"/>
        <v>5650000</v>
      </c>
    </row>
    <row r="29" spans="1:5">
      <c r="A29" s="153" t="s">
        <v>133</v>
      </c>
      <c r="B29" s="429" t="s">
        <v>134</v>
      </c>
      <c r="C29" s="135">
        <f t="shared" si="3"/>
        <v>50000</v>
      </c>
      <c r="D29" s="157">
        <v>50000</v>
      </c>
      <c r="E29" s="218" t="str">
        <f t="shared" si="2"/>
        <v>--</v>
      </c>
    </row>
    <row r="30" spans="1:5">
      <c r="A30" s="153" t="s">
        <v>135</v>
      </c>
      <c r="B30" s="429" t="s">
        <v>136</v>
      </c>
      <c r="C30" s="135">
        <f t="shared" si="3"/>
        <v>50000</v>
      </c>
      <c r="D30" s="157">
        <v>50000</v>
      </c>
      <c r="E30" s="218" t="str">
        <f t="shared" si="2"/>
        <v>--</v>
      </c>
    </row>
    <row r="31" spans="1:5">
      <c r="A31" s="153" t="s">
        <v>137</v>
      </c>
      <c r="B31" s="429" t="s">
        <v>138</v>
      </c>
      <c r="C31" s="135">
        <f t="shared" si="3"/>
        <v>50000</v>
      </c>
      <c r="D31" s="157">
        <v>50000</v>
      </c>
      <c r="E31" s="218">
        <f t="shared" si="2"/>
        <v>845000000</v>
      </c>
    </row>
    <row r="32" spans="1:5">
      <c r="A32" s="153" t="s">
        <v>139</v>
      </c>
      <c r="B32" s="429" t="s">
        <v>140</v>
      </c>
      <c r="C32" s="135">
        <f t="shared" si="3"/>
        <v>50000</v>
      </c>
      <c r="D32" s="157">
        <v>50000</v>
      </c>
      <c r="E32" s="218" t="str">
        <f t="shared" si="2"/>
        <v>--</v>
      </c>
    </row>
    <row r="33" spans="1:5">
      <c r="A33" s="153" t="s">
        <v>141</v>
      </c>
      <c r="B33" s="429" t="s">
        <v>142</v>
      </c>
      <c r="C33" s="135">
        <f t="shared" si="3"/>
        <v>50000</v>
      </c>
      <c r="D33" s="157">
        <v>50000</v>
      </c>
      <c r="E33" s="218" t="str">
        <f t="shared" si="2"/>
        <v>--</v>
      </c>
    </row>
    <row r="34" spans="1:5">
      <c r="A34" s="153" t="s">
        <v>143</v>
      </c>
      <c r="B34" s="429" t="s">
        <v>144</v>
      </c>
      <c r="C34" s="135">
        <f t="shared" si="3"/>
        <v>50000</v>
      </c>
      <c r="D34" s="157">
        <v>50000</v>
      </c>
      <c r="E34" s="218">
        <f t="shared" si="2"/>
        <v>47700000</v>
      </c>
    </row>
    <row r="35" spans="1:5">
      <c r="A35" s="153" t="s">
        <v>145</v>
      </c>
      <c r="B35" s="429" t="s">
        <v>146</v>
      </c>
      <c r="C35" s="135">
        <f t="shared" si="3"/>
        <v>50000</v>
      </c>
      <c r="D35" s="157">
        <v>50000</v>
      </c>
      <c r="E35" s="218">
        <f t="shared" si="2"/>
        <v>1350000</v>
      </c>
    </row>
    <row r="36" spans="1:5">
      <c r="A36" s="153" t="s">
        <v>147</v>
      </c>
      <c r="B36" s="429" t="s">
        <v>148</v>
      </c>
      <c r="C36" s="135">
        <f t="shared" si="3"/>
        <v>50000</v>
      </c>
      <c r="D36" s="157">
        <v>50000</v>
      </c>
      <c r="E36" s="218">
        <f t="shared" si="2"/>
        <v>615000</v>
      </c>
    </row>
    <row r="37" spans="1:5">
      <c r="A37" s="153" t="s">
        <v>149</v>
      </c>
      <c r="B37" s="429" t="s">
        <v>150</v>
      </c>
      <c r="C37" s="135">
        <f t="shared" si="3"/>
        <v>50000</v>
      </c>
      <c r="D37" s="157">
        <v>50000</v>
      </c>
      <c r="E37" s="218">
        <f t="shared" si="2"/>
        <v>1955000</v>
      </c>
    </row>
    <row r="38" spans="1:5">
      <c r="A38" s="153" t="s">
        <v>151</v>
      </c>
      <c r="B38" s="429" t="s">
        <v>152</v>
      </c>
      <c r="C38" s="135">
        <f t="shared" si="3"/>
        <v>50000</v>
      </c>
      <c r="D38" s="157">
        <v>50000</v>
      </c>
      <c r="E38" s="218">
        <f t="shared" si="2"/>
        <v>78000</v>
      </c>
    </row>
    <row r="39" spans="1:5">
      <c r="A39" s="153" t="s">
        <v>153</v>
      </c>
      <c r="B39" s="429" t="s">
        <v>154</v>
      </c>
      <c r="C39" s="135">
        <f t="shared" si="3"/>
        <v>40650</v>
      </c>
      <c r="D39" s="157">
        <v>50000</v>
      </c>
      <c r="E39" s="218">
        <f t="shared" si="2"/>
        <v>40650</v>
      </c>
    </row>
    <row r="40" spans="1:5">
      <c r="A40" s="153" t="s">
        <v>155</v>
      </c>
      <c r="B40" s="429" t="s">
        <v>156</v>
      </c>
      <c r="C40" s="135">
        <f t="shared" si="3"/>
        <v>1550</v>
      </c>
      <c r="D40" s="157">
        <v>50000</v>
      </c>
      <c r="E40" s="218">
        <f t="shared" si="2"/>
        <v>1550</v>
      </c>
    </row>
    <row r="41" spans="1:5">
      <c r="A41" s="153" t="s">
        <v>157</v>
      </c>
      <c r="B41" s="429" t="s">
        <v>158</v>
      </c>
      <c r="C41" s="135">
        <f t="shared" si="3"/>
        <v>45</v>
      </c>
      <c r="D41" s="157">
        <v>50000</v>
      </c>
      <c r="E41" s="218">
        <f t="shared" si="2"/>
        <v>45</v>
      </c>
    </row>
    <row r="42" spans="1:5">
      <c r="A42" s="153" t="s">
        <v>159</v>
      </c>
      <c r="B42" s="429" t="s">
        <v>160</v>
      </c>
      <c r="C42" s="135">
        <f t="shared" si="3"/>
        <v>20</v>
      </c>
      <c r="D42" s="157">
        <v>50000</v>
      </c>
      <c r="E42" s="218">
        <f t="shared" si="2"/>
        <v>20</v>
      </c>
    </row>
    <row r="43" spans="1:5">
      <c r="A43" s="153" t="s">
        <v>161</v>
      </c>
      <c r="B43" s="429" t="s">
        <v>162</v>
      </c>
      <c r="C43" s="135">
        <f t="shared" si="3"/>
        <v>2.75</v>
      </c>
      <c r="D43" s="157">
        <v>50000</v>
      </c>
      <c r="E43" s="218">
        <f t="shared" si="2"/>
        <v>2.75</v>
      </c>
    </row>
    <row r="44" spans="1:5">
      <c r="A44" s="153" t="s">
        <v>163</v>
      </c>
      <c r="B44" s="429" t="s">
        <v>164</v>
      </c>
      <c r="C44" s="135">
        <f t="shared" si="3"/>
        <v>50000</v>
      </c>
      <c r="D44" s="157">
        <v>50000</v>
      </c>
      <c r="E44" s="218">
        <f t="shared" si="2"/>
        <v>2520000</v>
      </c>
    </row>
    <row r="45" spans="1:5">
      <c r="A45" s="153" t="s">
        <v>165</v>
      </c>
      <c r="B45" s="429" t="s">
        <v>166</v>
      </c>
      <c r="C45" s="135">
        <f t="shared" si="3"/>
        <v>50000</v>
      </c>
      <c r="D45" s="157">
        <v>50000</v>
      </c>
      <c r="E45" s="218">
        <f t="shared" si="2"/>
        <v>4300000</v>
      </c>
    </row>
    <row r="46" spans="1:5">
      <c r="A46" s="153" t="s">
        <v>167</v>
      </c>
      <c r="B46" s="429" t="s">
        <v>168</v>
      </c>
      <c r="C46" s="135">
        <f t="shared" si="3"/>
        <v>50000</v>
      </c>
      <c r="D46" s="157">
        <v>50000</v>
      </c>
      <c r="E46" s="218">
        <f t="shared" si="2"/>
        <v>1210000</v>
      </c>
    </row>
    <row r="47" spans="1:5">
      <c r="A47" s="153" t="s">
        <v>169</v>
      </c>
      <c r="B47" s="429" t="s">
        <v>170</v>
      </c>
      <c r="C47" s="135">
        <f t="shared" si="3"/>
        <v>50000</v>
      </c>
      <c r="D47" s="157">
        <v>50000</v>
      </c>
      <c r="E47" s="218">
        <f t="shared" si="2"/>
        <v>3205000</v>
      </c>
    </row>
    <row r="48" spans="1:5">
      <c r="A48" s="153" t="s">
        <v>171</v>
      </c>
      <c r="B48" s="429" t="s">
        <v>172</v>
      </c>
      <c r="C48" s="135">
        <f t="shared" si="3"/>
        <v>50000</v>
      </c>
      <c r="D48" s="157">
        <v>50000</v>
      </c>
      <c r="E48" s="218">
        <f t="shared" si="2"/>
        <v>2260000</v>
      </c>
    </row>
    <row r="49" spans="1:5">
      <c r="A49" s="153" t="s">
        <v>173</v>
      </c>
      <c r="B49" s="429" t="s">
        <v>174</v>
      </c>
      <c r="C49" s="135">
        <f t="shared" si="3"/>
        <v>50000</v>
      </c>
      <c r="D49" s="157">
        <v>50000</v>
      </c>
      <c r="E49" s="218">
        <f t="shared" si="2"/>
        <v>2775000</v>
      </c>
    </row>
    <row r="50" spans="1:5">
      <c r="A50" s="153" t="s">
        <v>175</v>
      </c>
      <c r="B50" s="429" t="s">
        <v>176</v>
      </c>
      <c r="C50" s="135">
        <f t="shared" si="3"/>
        <v>50000</v>
      </c>
      <c r="D50" s="157">
        <v>50000</v>
      </c>
      <c r="E50" s="218">
        <f t="shared" si="2"/>
        <v>1400000</v>
      </c>
    </row>
    <row r="51" spans="1:5">
      <c r="A51" s="153" t="s">
        <v>177</v>
      </c>
      <c r="B51" s="429" t="s">
        <v>178</v>
      </c>
      <c r="C51" s="135">
        <f t="shared" si="3"/>
        <v>50000</v>
      </c>
      <c r="D51" s="157">
        <v>50000</v>
      </c>
      <c r="E51" s="218">
        <f t="shared" si="2"/>
        <v>1400000</v>
      </c>
    </row>
    <row r="52" spans="1:5">
      <c r="A52" s="153" t="s">
        <v>179</v>
      </c>
      <c r="B52" s="429" t="s">
        <v>180</v>
      </c>
      <c r="C52" s="135">
        <f t="shared" si="3"/>
        <v>97.5</v>
      </c>
      <c r="D52" s="157">
        <v>50000</v>
      </c>
      <c r="E52" s="218">
        <f t="shared" ref="E52:E83" si="4">IF(VLOOKUP($A52,Table_IP_1, MATCH("sol", heading_IP_1, 0), FALSE)="--","--", VLOOKUP($A52,Table_IP_1, MATCH("sol", heading_IP_1, 0), FALSE)*1000/2)</f>
        <v>97.5</v>
      </c>
    </row>
    <row r="53" spans="1:5">
      <c r="A53" s="153" t="s">
        <v>181</v>
      </c>
      <c r="B53" s="429" t="s">
        <v>182</v>
      </c>
      <c r="C53" s="135">
        <f t="shared" si="3"/>
        <v>50000</v>
      </c>
      <c r="D53" s="157">
        <v>50000</v>
      </c>
      <c r="E53" s="218">
        <f t="shared" si="4"/>
        <v>540000</v>
      </c>
    </row>
    <row r="54" spans="1:5">
      <c r="A54" s="153" t="s">
        <v>183</v>
      </c>
      <c r="B54" s="429" t="s">
        <v>184</v>
      </c>
      <c r="C54" s="135">
        <f t="shared" si="3"/>
        <v>50000</v>
      </c>
      <c r="D54" s="157">
        <v>50000</v>
      </c>
      <c r="E54" s="218">
        <f t="shared" si="4"/>
        <v>3935000</v>
      </c>
    </row>
    <row r="55" spans="1:5">
      <c r="A55" s="153" t="s">
        <v>185</v>
      </c>
      <c r="B55" s="429" t="s">
        <v>186</v>
      </c>
      <c r="C55" s="135">
        <f t="shared" si="3"/>
        <v>50000</v>
      </c>
      <c r="D55" s="157">
        <v>50000</v>
      </c>
      <c r="E55" s="218">
        <f t="shared" si="4"/>
        <v>1395000</v>
      </c>
    </row>
    <row r="56" spans="1:5">
      <c r="A56" s="153" t="s">
        <v>187</v>
      </c>
      <c r="B56" s="429" t="s">
        <v>188</v>
      </c>
      <c r="C56" s="135">
        <f t="shared" si="3"/>
        <v>50000</v>
      </c>
      <c r="D56" s="157">
        <v>50000</v>
      </c>
      <c r="E56" s="218">
        <f t="shared" si="4"/>
        <v>100000</v>
      </c>
    </row>
    <row r="57" spans="1:5">
      <c r="A57" s="153" t="s">
        <v>189</v>
      </c>
      <c r="B57" s="429" t="s">
        <v>190</v>
      </c>
      <c r="C57" s="135">
        <f t="shared" si="3"/>
        <v>50000</v>
      </c>
      <c r="D57" s="157">
        <v>50000</v>
      </c>
      <c r="E57" s="218">
        <f t="shared" si="4"/>
        <v>500000000</v>
      </c>
    </row>
    <row r="58" spans="1:5">
      <c r="A58" s="153" t="s">
        <v>191</v>
      </c>
      <c r="B58" s="429" t="s">
        <v>192</v>
      </c>
      <c r="C58" s="135">
        <f t="shared" si="3"/>
        <v>0.1</v>
      </c>
      <c r="D58" s="157">
        <v>50000</v>
      </c>
      <c r="E58" s="218">
        <f t="shared" si="4"/>
        <v>0.1</v>
      </c>
    </row>
    <row r="59" spans="1:5">
      <c r="A59" s="153" t="s">
        <v>193</v>
      </c>
      <c r="B59" s="429" t="s">
        <v>194</v>
      </c>
      <c r="C59" s="135">
        <f t="shared" si="3"/>
        <v>162.5</v>
      </c>
      <c r="D59" s="157">
        <v>50000</v>
      </c>
      <c r="E59" s="218">
        <f t="shared" si="4"/>
        <v>162.5</v>
      </c>
    </row>
    <row r="60" spans="1:5">
      <c r="A60" s="153" t="s">
        <v>195</v>
      </c>
      <c r="B60" s="429" t="s">
        <v>196</v>
      </c>
      <c r="C60" s="135">
        <f t="shared" si="3"/>
        <v>125</v>
      </c>
      <c r="D60" s="157">
        <v>50000</v>
      </c>
      <c r="E60" s="218">
        <f t="shared" si="4"/>
        <v>125</v>
      </c>
    </row>
    <row r="61" spans="1:5">
      <c r="A61" s="153" t="s">
        <v>197</v>
      </c>
      <c r="B61" s="429" t="s">
        <v>198</v>
      </c>
      <c r="C61" s="135">
        <f t="shared" si="3"/>
        <v>50000</v>
      </c>
      <c r="D61" s="157">
        <v>50000</v>
      </c>
      <c r="E61" s="218">
        <f t="shared" si="4"/>
        <v>84500</v>
      </c>
    </row>
    <row r="62" spans="1:5">
      <c r="A62" s="153" t="s">
        <v>199</v>
      </c>
      <c r="B62" s="429" t="s">
        <v>200</v>
      </c>
      <c r="C62" s="135">
        <f t="shared" si="3"/>
        <v>90</v>
      </c>
      <c r="D62" s="157">
        <v>50000</v>
      </c>
      <c r="E62" s="218">
        <f t="shared" si="4"/>
        <v>90</v>
      </c>
    </row>
    <row r="63" spans="1:5">
      <c r="A63" s="153" t="s">
        <v>201</v>
      </c>
      <c r="B63" s="429" t="s">
        <v>202</v>
      </c>
      <c r="C63" s="135">
        <f t="shared" si="3"/>
        <v>100</v>
      </c>
      <c r="D63" s="157">
        <v>50000</v>
      </c>
      <c r="E63" s="218">
        <f t="shared" si="4"/>
        <v>100</v>
      </c>
    </row>
    <row r="64" spans="1:5">
      <c r="A64" s="153" t="s">
        <v>203</v>
      </c>
      <c r="B64" s="429" t="s">
        <v>204</v>
      </c>
      <c r="C64" s="135">
        <f t="shared" si="3"/>
        <v>3.1</v>
      </c>
      <c r="D64" s="157">
        <v>50000</v>
      </c>
      <c r="E64" s="218">
        <f t="shared" si="4"/>
        <v>3.1</v>
      </c>
    </row>
    <row r="65" spans="1:5">
      <c r="A65" s="153" t="s">
        <v>205</v>
      </c>
      <c r="B65" s="429" t="s">
        <v>206</v>
      </c>
      <c r="C65" s="135">
        <f t="shared" si="3"/>
        <v>1600</v>
      </c>
      <c r="D65" s="157">
        <v>50000</v>
      </c>
      <c r="E65" s="218">
        <f t="shared" si="4"/>
        <v>1600</v>
      </c>
    </row>
    <row r="66" spans="1:5">
      <c r="A66" s="2105" t="s">
        <v>4279</v>
      </c>
      <c r="B66" s="429" t="s">
        <v>208</v>
      </c>
      <c r="C66" s="135">
        <f t="shared" si="3"/>
        <v>3650</v>
      </c>
      <c r="D66" s="157">
        <v>50000</v>
      </c>
      <c r="E66" s="218">
        <f t="shared" si="4"/>
        <v>3650</v>
      </c>
    </row>
    <row r="67" spans="1:5">
      <c r="A67" s="153" t="s">
        <v>209</v>
      </c>
      <c r="B67" s="429" t="s">
        <v>210</v>
      </c>
      <c r="C67" s="135">
        <f t="shared" si="3"/>
        <v>25000</v>
      </c>
      <c r="D67" s="157">
        <v>50000</v>
      </c>
      <c r="E67" s="218">
        <f t="shared" si="4"/>
        <v>25000</v>
      </c>
    </row>
    <row r="68" spans="1:5">
      <c r="A68" s="153" t="s">
        <v>211</v>
      </c>
      <c r="B68" s="429" t="s">
        <v>212</v>
      </c>
      <c r="C68" s="135">
        <f t="shared" si="3"/>
        <v>50000</v>
      </c>
      <c r="D68" s="157">
        <v>50000</v>
      </c>
      <c r="E68" s="218" t="str">
        <f t="shared" si="4"/>
        <v>--</v>
      </c>
    </row>
    <row r="69" spans="1:5">
      <c r="A69" s="153" t="s">
        <v>213</v>
      </c>
      <c r="B69" s="429" t="s">
        <v>214</v>
      </c>
      <c r="C69" s="135">
        <f t="shared" si="3"/>
        <v>30</v>
      </c>
      <c r="D69" s="157">
        <v>50000</v>
      </c>
      <c r="E69" s="218">
        <f t="shared" si="4"/>
        <v>30</v>
      </c>
    </row>
    <row r="70" spans="1:5">
      <c r="A70" s="153" t="s">
        <v>215</v>
      </c>
      <c r="B70" s="429" t="s">
        <v>216</v>
      </c>
      <c r="C70" s="135">
        <f t="shared" si="3"/>
        <v>50</v>
      </c>
      <c r="D70" s="157">
        <v>50000</v>
      </c>
      <c r="E70" s="218">
        <f t="shared" si="4"/>
        <v>50</v>
      </c>
    </row>
    <row r="71" spans="1:5">
      <c r="A71" s="153" t="s">
        <v>217</v>
      </c>
      <c r="B71" s="429" t="s">
        <v>218</v>
      </c>
      <c r="C71" s="135">
        <f t="shared" si="3"/>
        <v>50000</v>
      </c>
      <c r="D71" s="157">
        <v>50000</v>
      </c>
      <c r="E71" s="218">
        <f t="shared" si="4"/>
        <v>6500000</v>
      </c>
    </row>
    <row r="72" spans="1:5">
      <c r="A72" s="153" t="s">
        <v>219</v>
      </c>
      <c r="B72" s="429" t="s">
        <v>220</v>
      </c>
      <c r="C72" s="135">
        <f t="shared" si="3"/>
        <v>50000</v>
      </c>
      <c r="D72" s="157">
        <v>50000</v>
      </c>
      <c r="E72" s="218">
        <f t="shared" si="4"/>
        <v>111500000</v>
      </c>
    </row>
    <row r="73" spans="1:5">
      <c r="A73" s="153" t="s">
        <v>221</v>
      </c>
      <c r="B73" s="429" t="s">
        <v>222</v>
      </c>
      <c r="C73" s="135">
        <f t="shared" si="3"/>
        <v>50000</v>
      </c>
      <c r="D73" s="157">
        <v>50000</v>
      </c>
      <c r="E73" s="218">
        <f t="shared" si="4"/>
        <v>9500000</v>
      </c>
    </row>
    <row r="74" spans="1:5">
      <c r="A74" s="153" t="s">
        <v>223</v>
      </c>
      <c r="B74" s="429" t="s">
        <v>224</v>
      </c>
      <c r="C74" s="135">
        <f t="shared" si="3"/>
        <v>50000</v>
      </c>
      <c r="D74" s="157">
        <v>50000</v>
      </c>
      <c r="E74" s="218" t="str">
        <f t="shared" si="4"/>
        <v>--</v>
      </c>
    </row>
    <row r="75" spans="1:5">
      <c r="A75" s="153" t="s">
        <v>225</v>
      </c>
      <c r="B75" s="429" t="s">
        <v>226</v>
      </c>
      <c r="C75" s="135">
        <f t="shared" si="3"/>
        <v>12300</v>
      </c>
      <c r="D75" s="157">
        <v>50000</v>
      </c>
      <c r="E75" s="218">
        <f t="shared" si="4"/>
        <v>12300</v>
      </c>
    </row>
    <row r="76" spans="1:5">
      <c r="A76" s="153" t="s">
        <v>227</v>
      </c>
      <c r="B76" s="429" t="s">
        <v>228</v>
      </c>
      <c r="C76" s="135">
        <f t="shared" si="3"/>
        <v>50000</v>
      </c>
      <c r="D76" s="157">
        <v>50000</v>
      </c>
      <c r="E76" s="218">
        <f t="shared" si="4"/>
        <v>25500000</v>
      </c>
    </row>
    <row r="77" spans="1:5">
      <c r="A77" s="153" t="s">
        <v>229</v>
      </c>
      <c r="B77" s="429" t="s">
        <v>230</v>
      </c>
      <c r="C77" s="135">
        <f t="shared" si="3"/>
        <v>50000</v>
      </c>
      <c r="D77" s="157">
        <v>50000</v>
      </c>
      <c r="E77" s="218" t="str">
        <f t="shared" si="4"/>
        <v>--</v>
      </c>
    </row>
    <row r="78" spans="1:5">
      <c r="A78" s="153" t="s">
        <v>231</v>
      </c>
      <c r="B78" s="429" t="s">
        <v>232</v>
      </c>
      <c r="C78" s="135">
        <f t="shared" si="3"/>
        <v>50000</v>
      </c>
      <c r="D78" s="157">
        <v>50000</v>
      </c>
      <c r="E78" s="218" t="str">
        <f t="shared" si="4"/>
        <v>--</v>
      </c>
    </row>
    <row r="79" spans="1:5">
      <c r="A79" s="153" t="s">
        <v>233</v>
      </c>
      <c r="B79" s="429" t="s">
        <v>234</v>
      </c>
      <c r="C79" s="135">
        <f t="shared" si="3"/>
        <v>1950</v>
      </c>
      <c r="D79" s="157">
        <v>50000</v>
      </c>
      <c r="E79" s="218">
        <f t="shared" si="4"/>
        <v>1950</v>
      </c>
    </row>
    <row r="80" spans="1:5">
      <c r="A80" s="153" t="s">
        <v>235</v>
      </c>
      <c r="B80" s="429" t="s">
        <v>236</v>
      </c>
      <c r="C80" s="135">
        <f t="shared" si="3"/>
        <v>21.7</v>
      </c>
      <c r="D80" s="157">
        <v>50000</v>
      </c>
      <c r="E80" s="218">
        <f t="shared" si="4"/>
        <v>21.7</v>
      </c>
    </row>
    <row r="81" spans="1:5">
      <c r="A81" s="153" t="s">
        <v>237</v>
      </c>
      <c r="B81" s="429" t="s">
        <v>238</v>
      </c>
      <c r="C81" s="135">
        <f t="shared" si="3"/>
        <v>4.7</v>
      </c>
      <c r="D81" s="157">
        <v>50000</v>
      </c>
      <c r="E81" s="218">
        <f t="shared" si="4"/>
        <v>4.7</v>
      </c>
    </row>
    <row r="82" spans="1:5">
      <c r="A82" s="153" t="s">
        <v>239</v>
      </c>
      <c r="B82" s="429" t="s">
        <v>240</v>
      </c>
      <c r="C82" s="135">
        <f t="shared" si="3"/>
        <v>0.80999999999999994</v>
      </c>
      <c r="D82" s="157">
        <v>50000</v>
      </c>
      <c r="E82" s="218">
        <f t="shared" si="4"/>
        <v>0.80999999999999994</v>
      </c>
    </row>
    <row r="83" spans="1:5">
      <c r="A83" s="153" t="s">
        <v>241</v>
      </c>
      <c r="B83" s="429" t="s">
        <v>242</v>
      </c>
      <c r="C83" s="135">
        <f t="shared" si="3"/>
        <v>0.75</v>
      </c>
      <c r="D83" s="157">
        <v>50000</v>
      </c>
      <c r="E83" s="218">
        <f t="shared" si="4"/>
        <v>0.75</v>
      </c>
    </row>
    <row r="84" spans="1:5">
      <c r="A84" s="153" t="s">
        <v>243</v>
      </c>
      <c r="B84" s="429" t="s">
        <v>244</v>
      </c>
      <c r="C84" s="135">
        <f t="shared" si="3"/>
        <v>0.4</v>
      </c>
      <c r="D84" s="157">
        <v>50000</v>
      </c>
      <c r="E84" s="218">
        <f t="shared" ref="E84:E98" si="5">IF(VLOOKUP($A84,Table_IP_1, MATCH("sol", heading_IP_1, 0), FALSE)="--","--", VLOOKUP($A84,Table_IP_1, MATCH("sol", heading_IP_1, 0), FALSE)*1000/2)</f>
        <v>0.4</v>
      </c>
    </row>
    <row r="85" spans="1:5">
      <c r="A85" s="153" t="s">
        <v>245</v>
      </c>
      <c r="B85" s="429" t="s">
        <v>246</v>
      </c>
      <c r="C85" s="135">
        <f t="shared" si="3"/>
        <v>1</v>
      </c>
      <c r="D85" s="157">
        <v>50000</v>
      </c>
      <c r="E85" s="218">
        <f t="shared" si="5"/>
        <v>1</v>
      </c>
    </row>
    <row r="86" spans="1:5">
      <c r="A86" s="153" t="s">
        <v>247</v>
      </c>
      <c r="B86" s="429" t="s">
        <v>248</v>
      </c>
      <c r="C86" s="135">
        <f t="shared" si="3"/>
        <v>1.2450000000000001</v>
      </c>
      <c r="D86" s="157">
        <v>50000</v>
      </c>
      <c r="E86" s="218">
        <f t="shared" si="5"/>
        <v>1.2450000000000001</v>
      </c>
    </row>
    <row r="87" spans="1:5">
      <c r="A87" s="153" t="s">
        <v>249</v>
      </c>
      <c r="B87" s="429" t="s">
        <v>250</v>
      </c>
      <c r="C87" s="135">
        <f t="shared" si="3"/>
        <v>130</v>
      </c>
      <c r="D87" s="157">
        <v>50000</v>
      </c>
      <c r="E87" s="218">
        <f t="shared" si="5"/>
        <v>130</v>
      </c>
    </row>
    <row r="88" spans="1:5">
      <c r="A88" s="153" t="s">
        <v>251</v>
      </c>
      <c r="B88" s="429" t="s">
        <v>252</v>
      </c>
      <c r="C88" s="135">
        <f t="shared" si="3"/>
        <v>845</v>
      </c>
      <c r="D88" s="157">
        <v>50000</v>
      </c>
      <c r="E88" s="218">
        <f t="shared" si="5"/>
        <v>845</v>
      </c>
    </row>
    <row r="89" spans="1:5">
      <c r="A89" s="153" t="s">
        <v>253</v>
      </c>
      <c r="B89" s="429" t="s">
        <v>254</v>
      </c>
      <c r="C89" s="135">
        <f t="shared" si="3"/>
        <v>9.5000000000000001E-2</v>
      </c>
      <c r="D89" s="157">
        <v>50000</v>
      </c>
      <c r="E89" s="218">
        <f t="shared" si="5"/>
        <v>9.5000000000000001E-2</v>
      </c>
    </row>
    <row r="90" spans="1:5">
      <c r="A90" s="153" t="s">
        <v>255</v>
      </c>
      <c r="B90" s="429" t="s">
        <v>256</v>
      </c>
      <c r="C90" s="135">
        <f t="shared" si="3"/>
        <v>15500</v>
      </c>
      <c r="D90" s="157">
        <v>50000</v>
      </c>
      <c r="E90" s="218">
        <f t="shared" si="5"/>
        <v>15500</v>
      </c>
    </row>
    <row r="91" spans="1:5">
      <c r="A91" s="153" t="s">
        <v>257</v>
      </c>
      <c r="B91" s="429" t="s">
        <v>258</v>
      </c>
      <c r="C91" s="135">
        <f t="shared" ref="C91:C100" si="6">IF(E91="--",D91, MIN(D91,E91))</f>
        <v>67.5</v>
      </c>
      <c r="D91" s="157">
        <v>50000</v>
      </c>
      <c r="E91" s="218">
        <f t="shared" si="5"/>
        <v>67.5</v>
      </c>
    </row>
    <row r="92" spans="1:5">
      <c r="A92" s="153" t="s">
        <v>259</v>
      </c>
      <c r="B92" s="429" t="s">
        <v>260</v>
      </c>
      <c r="C92" s="135">
        <f t="shared" si="6"/>
        <v>7000</v>
      </c>
      <c r="D92" s="157">
        <v>50000</v>
      </c>
      <c r="E92" s="218">
        <f t="shared" si="5"/>
        <v>7000</v>
      </c>
    </row>
    <row r="93" spans="1:5">
      <c r="A93" s="153" t="s">
        <v>261</v>
      </c>
      <c r="B93" s="429" t="s">
        <v>1261</v>
      </c>
      <c r="C93" s="135">
        <f t="shared" si="6"/>
        <v>50000</v>
      </c>
      <c r="D93" s="157">
        <v>50000</v>
      </c>
      <c r="E93" s="218">
        <f t="shared" si="5"/>
        <v>122500000</v>
      </c>
    </row>
    <row r="94" spans="1:5">
      <c r="A94" s="153" t="s">
        <v>263</v>
      </c>
      <c r="B94" s="429" t="s">
        <v>115</v>
      </c>
      <c r="C94" s="135">
        <f t="shared" si="6"/>
        <v>50000</v>
      </c>
      <c r="D94" s="157">
        <v>50000</v>
      </c>
      <c r="E94" s="218">
        <f t="shared" si="5"/>
        <v>120000</v>
      </c>
    </row>
    <row r="95" spans="1:5">
      <c r="A95" s="153" t="s">
        <v>264</v>
      </c>
      <c r="B95" s="429" t="s">
        <v>115</v>
      </c>
      <c r="C95" s="135">
        <f t="shared" si="6"/>
        <v>2500</v>
      </c>
      <c r="D95" s="157">
        <v>50000</v>
      </c>
      <c r="E95" s="218">
        <f t="shared" si="5"/>
        <v>2500</v>
      </c>
    </row>
    <row r="96" spans="1:5">
      <c r="A96" s="153" t="s">
        <v>265</v>
      </c>
      <c r="B96" s="429" t="s">
        <v>115</v>
      </c>
      <c r="C96" s="135">
        <f t="shared" si="6"/>
        <v>2500</v>
      </c>
      <c r="D96" s="157">
        <v>50000</v>
      </c>
      <c r="E96" s="218">
        <f t="shared" si="5"/>
        <v>2500</v>
      </c>
    </row>
    <row r="97" spans="1:6">
      <c r="A97" s="153" t="s">
        <v>266</v>
      </c>
      <c r="B97" s="429" t="s">
        <v>115</v>
      </c>
      <c r="C97" s="135">
        <f t="shared" si="6"/>
        <v>2500</v>
      </c>
      <c r="D97" s="157">
        <v>50000</v>
      </c>
      <c r="E97" s="218">
        <f t="shared" si="5"/>
        <v>2500</v>
      </c>
    </row>
    <row r="98" spans="1:6">
      <c r="A98" s="153" t="s">
        <v>267</v>
      </c>
      <c r="B98" s="429" t="s">
        <v>115</v>
      </c>
      <c r="C98" s="135">
        <f t="shared" si="6"/>
        <v>50000</v>
      </c>
      <c r="D98" s="157">
        <v>50000</v>
      </c>
      <c r="E98" s="218">
        <f t="shared" si="5"/>
        <v>114350</v>
      </c>
    </row>
    <row r="99" spans="1:6">
      <c r="A99" s="1220" t="s">
        <v>268</v>
      </c>
      <c r="B99" s="1251" t="s">
        <v>115</v>
      </c>
      <c r="C99" s="354" t="s">
        <v>115</v>
      </c>
      <c r="D99" s="353" t="s">
        <v>115</v>
      </c>
      <c r="E99" s="1407" t="s">
        <v>115</v>
      </c>
    </row>
    <row r="100" spans="1:6">
      <c r="A100" s="153" t="s">
        <v>269</v>
      </c>
      <c r="B100" s="429" t="s">
        <v>270</v>
      </c>
      <c r="C100" s="135">
        <f t="shared" si="6"/>
        <v>50000</v>
      </c>
      <c r="D100" s="158">
        <v>50000</v>
      </c>
      <c r="E100" s="218">
        <f t="shared" ref="E100:E109" si="7">IF(VLOOKUP($A100,Table_IP_1, MATCH("sol", heading_IP_1, 0), FALSE)="--","--", VLOOKUP($A100,Table_IP_1, MATCH("sol", heading_IP_1, 0), FALSE)*1000/2)</f>
        <v>50000000</v>
      </c>
    </row>
    <row r="101" spans="1:6">
      <c r="A101" s="153" t="s">
        <v>271</v>
      </c>
      <c r="B101" s="429" t="s">
        <v>272</v>
      </c>
      <c r="C101" s="135">
        <f t="shared" ref="C101:C109" si="8">IF(E101="--",D101, MIN(D101,E101))</f>
        <v>50000</v>
      </c>
      <c r="D101" s="158">
        <v>50000</v>
      </c>
      <c r="E101" s="218">
        <f t="shared" si="7"/>
        <v>2307000</v>
      </c>
    </row>
    <row r="102" spans="1:6">
      <c r="A102" s="1408" t="s">
        <v>273</v>
      </c>
      <c r="B102" s="1409" t="s">
        <v>274</v>
      </c>
      <c r="C102" s="135">
        <f t="shared" si="8"/>
        <v>50000</v>
      </c>
      <c r="D102" s="158">
        <v>50000</v>
      </c>
      <c r="E102" s="218">
        <f t="shared" si="7"/>
        <v>4906000</v>
      </c>
    </row>
    <row r="103" spans="1:6">
      <c r="A103" s="1408" t="s">
        <v>275</v>
      </c>
      <c r="B103" s="1409" t="s">
        <v>276</v>
      </c>
      <c r="C103" s="135">
        <f t="shared" si="8"/>
        <v>50000</v>
      </c>
      <c r="D103" s="158">
        <v>50000</v>
      </c>
      <c r="E103" s="218">
        <f t="shared" si="7"/>
        <v>125000000</v>
      </c>
    </row>
    <row r="104" spans="1:6">
      <c r="A104" s="1408" t="s">
        <v>277</v>
      </c>
      <c r="B104" s="1409" t="s">
        <v>278</v>
      </c>
      <c r="C104" s="135">
        <f t="shared" si="8"/>
        <v>50000</v>
      </c>
      <c r="D104" s="158">
        <v>50000</v>
      </c>
      <c r="E104" s="218">
        <f t="shared" si="7"/>
        <v>59000000</v>
      </c>
    </row>
    <row r="105" spans="1:6">
      <c r="A105" s="1408" t="s">
        <v>279</v>
      </c>
      <c r="B105" s="1409" t="s">
        <v>280</v>
      </c>
      <c r="C105" s="135">
        <f t="shared" si="8"/>
        <v>50000</v>
      </c>
      <c r="D105" s="158">
        <v>50000</v>
      </c>
      <c r="E105" s="218">
        <f t="shared" si="7"/>
        <v>4750000</v>
      </c>
    </row>
    <row r="106" spans="1:6">
      <c r="A106" s="1408" t="s">
        <v>281</v>
      </c>
      <c r="B106" s="1409" t="s">
        <v>282</v>
      </c>
      <c r="C106" s="135">
        <f t="shared" si="8"/>
        <v>50000</v>
      </c>
      <c r="D106" s="158">
        <v>50000</v>
      </c>
      <c r="E106" s="218">
        <f t="shared" si="7"/>
        <v>649500</v>
      </c>
    </row>
    <row r="107" spans="1:6">
      <c r="A107" s="1408" t="s">
        <v>283</v>
      </c>
      <c r="B107" s="1409" t="s">
        <v>284</v>
      </c>
      <c r="C107" s="135">
        <f t="shared" si="8"/>
        <v>50000</v>
      </c>
      <c r="D107" s="158">
        <v>50000</v>
      </c>
      <c r="E107" s="218">
        <f t="shared" si="7"/>
        <v>1345000</v>
      </c>
    </row>
    <row r="108" spans="1:6">
      <c r="A108" s="153" t="s">
        <v>285</v>
      </c>
      <c r="B108" s="429" t="s">
        <v>286</v>
      </c>
      <c r="C108" s="135">
        <f t="shared" si="8"/>
        <v>45950</v>
      </c>
      <c r="D108" s="158">
        <v>50000</v>
      </c>
      <c r="E108" s="218">
        <f t="shared" si="7"/>
        <v>45950</v>
      </c>
    </row>
    <row r="109" spans="1:6">
      <c r="A109" s="153" t="s">
        <v>287</v>
      </c>
      <c r="B109" s="429" t="s">
        <v>288</v>
      </c>
      <c r="C109" s="135">
        <f t="shared" si="8"/>
        <v>41450</v>
      </c>
      <c r="D109" s="158">
        <v>50000</v>
      </c>
      <c r="E109" s="218">
        <f t="shared" si="7"/>
        <v>41450</v>
      </c>
      <c r="F109" s="817"/>
    </row>
    <row r="110" spans="1:6">
      <c r="A110" s="153" t="s">
        <v>289</v>
      </c>
      <c r="B110" s="429" t="s">
        <v>290</v>
      </c>
      <c r="C110" s="135">
        <f t="shared" ref="C110:C112" si="9">IF(E110="--",D110, MIN(D110,E110))</f>
        <v>148</v>
      </c>
      <c r="D110" s="158">
        <v>50000</v>
      </c>
      <c r="E110" s="218">
        <f t="shared" ref="E110:E138" si="10">IF(VLOOKUP($A110,Table_IP_1, MATCH("sol", heading_IP_1, 0), FALSE)="--","--", VLOOKUP($A110,Table_IP_1, MATCH("sol", heading_IP_1, 0), FALSE)*1000/2)</f>
        <v>148</v>
      </c>
    </row>
    <row r="111" spans="1:6">
      <c r="A111" s="153" t="s">
        <v>291</v>
      </c>
      <c r="B111" s="429" t="s">
        <v>292</v>
      </c>
      <c r="C111" s="135">
        <f t="shared" si="9"/>
        <v>2.35</v>
      </c>
      <c r="D111" s="158">
        <v>50000</v>
      </c>
      <c r="E111" s="218">
        <f t="shared" si="10"/>
        <v>2.35</v>
      </c>
    </row>
    <row r="112" spans="1:6">
      <c r="A112" s="153" t="s">
        <v>293</v>
      </c>
      <c r="B112" s="429" t="s">
        <v>294</v>
      </c>
      <c r="C112" s="135">
        <f t="shared" si="9"/>
        <v>50000</v>
      </c>
      <c r="D112" s="158">
        <v>50000</v>
      </c>
      <c r="E112" s="218">
        <f t="shared" si="10"/>
        <v>128300000</v>
      </c>
    </row>
    <row r="113" spans="1:5">
      <c r="A113" s="153" t="s">
        <v>295</v>
      </c>
      <c r="B113" s="429" t="s">
        <v>296</v>
      </c>
      <c r="C113" s="135">
        <f t="shared" ref="C113:C123" si="11">IF(E113="--",D113, MIN(D113,E113))</f>
        <v>50000</v>
      </c>
      <c r="D113" s="158">
        <v>50000</v>
      </c>
      <c r="E113" s="218">
        <f t="shared" si="10"/>
        <v>121500</v>
      </c>
    </row>
    <row r="114" spans="1:5">
      <c r="A114" s="153" t="s">
        <v>297</v>
      </c>
      <c r="B114" s="429" t="s">
        <v>298</v>
      </c>
      <c r="C114" s="135">
        <f t="shared" si="11"/>
        <v>50000</v>
      </c>
      <c r="D114" s="158">
        <v>50000</v>
      </c>
      <c r="E114" s="218">
        <f t="shared" si="10"/>
        <v>340000</v>
      </c>
    </row>
    <row r="115" spans="1:5">
      <c r="A115" s="153" t="s">
        <v>299</v>
      </c>
      <c r="B115" s="429" t="s">
        <v>300</v>
      </c>
      <c r="C115" s="135">
        <f t="shared" si="11"/>
        <v>50000</v>
      </c>
      <c r="D115" s="158">
        <v>50000</v>
      </c>
      <c r="E115" s="218">
        <f t="shared" si="10"/>
        <v>378000000</v>
      </c>
    </row>
    <row r="116" spans="1:5">
      <c r="A116" s="153" t="s">
        <v>301</v>
      </c>
      <c r="B116" s="429" t="s">
        <v>302</v>
      </c>
      <c r="C116" s="135">
        <f t="shared" si="11"/>
        <v>50000</v>
      </c>
      <c r="D116" s="158">
        <v>50000</v>
      </c>
      <c r="E116" s="218">
        <f t="shared" si="10"/>
        <v>41400000</v>
      </c>
    </row>
    <row r="117" spans="1:5">
      <c r="A117" s="153" t="s">
        <v>303</v>
      </c>
      <c r="B117" s="429" t="s">
        <v>304</v>
      </c>
      <c r="C117" s="135">
        <f t="shared" si="11"/>
        <v>350</v>
      </c>
      <c r="D117" s="158">
        <v>50000</v>
      </c>
      <c r="E117" s="218">
        <f t="shared" si="10"/>
        <v>350</v>
      </c>
    </row>
    <row r="118" spans="1:5">
      <c r="A118" s="153" t="s">
        <v>305</v>
      </c>
      <c r="B118" s="429" t="s">
        <v>306</v>
      </c>
      <c r="C118" s="135">
        <f t="shared" si="11"/>
        <v>50000</v>
      </c>
      <c r="D118" s="158">
        <v>50000</v>
      </c>
      <c r="E118" s="218" t="str">
        <f t="shared" si="10"/>
        <v>--</v>
      </c>
    </row>
    <row r="119" spans="1:5">
      <c r="A119" s="153" t="s">
        <v>307</v>
      </c>
      <c r="B119" s="429" t="s">
        <v>308</v>
      </c>
      <c r="C119" s="135">
        <f t="shared" si="11"/>
        <v>50000</v>
      </c>
      <c r="D119" s="158">
        <v>50000</v>
      </c>
      <c r="E119" s="218" t="str">
        <f t="shared" si="10"/>
        <v>--</v>
      </c>
    </row>
    <row r="120" spans="1:5">
      <c r="A120" s="153" t="s">
        <v>309</v>
      </c>
      <c r="B120" s="429" t="s">
        <v>310</v>
      </c>
      <c r="C120" s="135">
        <f t="shared" si="11"/>
        <v>50000</v>
      </c>
      <c r="D120" s="158">
        <v>50000</v>
      </c>
      <c r="E120" s="218">
        <f t="shared" si="10"/>
        <v>155000</v>
      </c>
    </row>
    <row r="121" spans="1:5">
      <c r="A121" s="153" t="s">
        <v>311</v>
      </c>
      <c r="B121" s="429" t="s">
        <v>312</v>
      </c>
      <c r="C121" s="135">
        <f t="shared" si="11"/>
        <v>50000</v>
      </c>
      <c r="D121" s="158">
        <v>50000</v>
      </c>
      <c r="E121" s="218">
        <f t="shared" si="10"/>
        <v>500000000</v>
      </c>
    </row>
    <row r="122" spans="1:5">
      <c r="A122" s="153" t="s">
        <v>313</v>
      </c>
      <c r="B122" s="429" t="s">
        <v>314</v>
      </c>
      <c r="C122" s="135">
        <f t="shared" si="11"/>
        <v>50000</v>
      </c>
      <c r="D122" s="158">
        <v>50000</v>
      </c>
      <c r="E122" s="218">
        <f t="shared" si="10"/>
        <v>535000</v>
      </c>
    </row>
    <row r="123" spans="1:5">
      <c r="A123" s="153" t="s">
        <v>315</v>
      </c>
      <c r="B123" s="429" t="s">
        <v>316</v>
      </c>
      <c r="C123" s="135">
        <f t="shared" si="11"/>
        <v>50000</v>
      </c>
      <c r="D123" s="158">
        <v>50000</v>
      </c>
      <c r="E123" s="218">
        <f t="shared" si="10"/>
        <v>1415000</v>
      </c>
    </row>
    <row r="124" spans="1:5">
      <c r="A124" s="153" t="s">
        <v>317</v>
      </c>
      <c r="B124" s="429" t="s">
        <v>318</v>
      </c>
      <c r="C124" s="135">
        <f t="shared" ref="C124:C138" si="12">IF(E124="--",D124, MIN(D124,E124))</f>
        <v>50000</v>
      </c>
      <c r="D124" s="158">
        <v>50000</v>
      </c>
      <c r="E124" s="218">
        <f t="shared" si="10"/>
        <v>103000</v>
      </c>
    </row>
    <row r="125" spans="1:5">
      <c r="A125" s="153" t="s">
        <v>319</v>
      </c>
      <c r="B125" s="429" t="s">
        <v>320</v>
      </c>
      <c r="C125" s="135">
        <f t="shared" si="12"/>
        <v>50000</v>
      </c>
      <c r="D125" s="158">
        <v>50000</v>
      </c>
      <c r="E125" s="218" t="str">
        <f t="shared" si="10"/>
        <v>--</v>
      </c>
    </row>
    <row r="126" spans="1:5">
      <c r="A126" s="153" t="s">
        <v>321</v>
      </c>
      <c r="B126" s="429" t="s">
        <v>322</v>
      </c>
      <c r="C126" s="135">
        <f t="shared" si="12"/>
        <v>50000</v>
      </c>
      <c r="D126" s="158">
        <v>50000</v>
      </c>
      <c r="E126" s="218">
        <f t="shared" si="10"/>
        <v>263000</v>
      </c>
    </row>
    <row r="127" spans="1:5">
      <c r="A127" s="153" t="s">
        <v>323</v>
      </c>
      <c r="B127" s="429" t="s">
        <v>324</v>
      </c>
      <c r="C127" s="135">
        <f t="shared" si="12"/>
        <v>275</v>
      </c>
      <c r="D127" s="158">
        <v>50000</v>
      </c>
      <c r="E127" s="218">
        <f t="shared" si="10"/>
        <v>275</v>
      </c>
    </row>
    <row r="128" spans="1:5">
      <c r="A128" s="153" t="s">
        <v>325</v>
      </c>
      <c r="B128" s="429" t="s">
        <v>326</v>
      </c>
      <c r="C128" s="135">
        <f t="shared" si="12"/>
        <v>24500</v>
      </c>
      <c r="D128" s="158">
        <v>50000</v>
      </c>
      <c r="E128" s="218">
        <f t="shared" si="10"/>
        <v>24500</v>
      </c>
    </row>
    <row r="129" spans="1:5">
      <c r="A129" s="153" t="s">
        <v>327</v>
      </c>
      <c r="B129" s="429" t="s">
        <v>328</v>
      </c>
      <c r="C129" s="135">
        <f t="shared" si="12"/>
        <v>50000</v>
      </c>
      <c r="D129" s="158">
        <v>50000</v>
      </c>
      <c r="E129" s="218">
        <f t="shared" si="10"/>
        <v>645000</v>
      </c>
    </row>
    <row r="130" spans="1:5">
      <c r="A130" s="153" t="s">
        <v>329</v>
      </c>
      <c r="B130" s="429" t="s">
        <v>330</v>
      </c>
      <c r="C130" s="135">
        <f t="shared" si="12"/>
        <v>50000</v>
      </c>
      <c r="D130" s="158">
        <v>50000</v>
      </c>
      <c r="E130" s="218">
        <f t="shared" si="10"/>
        <v>2295000</v>
      </c>
    </row>
    <row r="131" spans="1:5">
      <c r="A131" s="153" t="s">
        <v>331</v>
      </c>
      <c r="B131" s="429" t="s">
        <v>332</v>
      </c>
      <c r="C131" s="135">
        <f t="shared" si="12"/>
        <v>50000</v>
      </c>
      <c r="D131" s="158">
        <v>50000</v>
      </c>
      <c r="E131" s="218">
        <f t="shared" si="10"/>
        <v>640000</v>
      </c>
    </row>
    <row r="132" spans="1:5">
      <c r="A132" s="153" t="s">
        <v>333</v>
      </c>
      <c r="B132" s="429" t="s">
        <v>334</v>
      </c>
      <c r="C132" s="135">
        <f t="shared" si="12"/>
        <v>50000</v>
      </c>
      <c r="D132" s="158">
        <v>50000</v>
      </c>
      <c r="E132" s="218">
        <f t="shared" si="10"/>
        <v>600000</v>
      </c>
    </row>
    <row r="133" spans="1:5">
      <c r="A133" s="153" t="s">
        <v>335</v>
      </c>
      <c r="B133" s="429" t="s">
        <v>336</v>
      </c>
      <c r="C133" s="135">
        <f t="shared" si="12"/>
        <v>50000</v>
      </c>
      <c r="D133" s="158">
        <v>50000</v>
      </c>
      <c r="E133" s="218">
        <f t="shared" si="10"/>
        <v>400000</v>
      </c>
    </row>
    <row r="134" spans="1:5">
      <c r="A134" s="153" t="s">
        <v>337</v>
      </c>
      <c r="B134" s="429" t="s">
        <v>338</v>
      </c>
      <c r="C134" s="135">
        <f t="shared" si="12"/>
        <v>50000</v>
      </c>
      <c r="D134" s="158">
        <v>50000</v>
      </c>
      <c r="E134" s="218">
        <f t="shared" si="10"/>
        <v>875000</v>
      </c>
    </row>
    <row r="135" spans="1:5">
      <c r="A135" s="153" t="s">
        <v>339</v>
      </c>
      <c r="B135" s="429" t="s">
        <v>340</v>
      </c>
      <c r="C135" s="135">
        <f t="shared" si="12"/>
        <v>50000</v>
      </c>
      <c r="D135" s="158">
        <v>50000</v>
      </c>
      <c r="E135" s="218" t="str">
        <f t="shared" si="10"/>
        <v>--</v>
      </c>
    </row>
    <row r="136" spans="1:5">
      <c r="A136" s="153" t="s">
        <v>341</v>
      </c>
      <c r="B136" s="429" t="s">
        <v>342</v>
      </c>
      <c r="C136" s="135">
        <f t="shared" si="12"/>
        <v>50000</v>
      </c>
      <c r="D136" s="158">
        <v>50000</v>
      </c>
      <c r="E136" s="218">
        <f t="shared" si="10"/>
        <v>4400000</v>
      </c>
    </row>
    <row r="137" spans="1:5">
      <c r="A137" s="153" t="s">
        <v>343</v>
      </c>
      <c r="B137" s="429" t="s">
        <v>344</v>
      </c>
      <c r="C137" s="135">
        <f t="shared" si="12"/>
        <v>50000</v>
      </c>
      <c r="D137" s="158">
        <v>50000</v>
      </c>
      <c r="E137" s="218">
        <f t="shared" si="10"/>
        <v>53000</v>
      </c>
    </row>
    <row r="138" spans="1:5" ht="12" thickBot="1">
      <c r="A138" s="153" t="s">
        <v>345</v>
      </c>
      <c r="B138" s="429" t="s">
        <v>346</v>
      </c>
      <c r="C138" s="135">
        <f t="shared" si="12"/>
        <v>50000</v>
      </c>
      <c r="D138" s="158">
        <v>50000</v>
      </c>
      <c r="E138" s="218" t="str">
        <f t="shared" si="10"/>
        <v>--</v>
      </c>
    </row>
    <row r="139" spans="1:5" ht="12" thickTop="1">
      <c r="A139" s="220"/>
      <c r="B139" s="300"/>
      <c r="C139" s="17"/>
      <c r="D139" s="221"/>
      <c r="E139" s="151"/>
    </row>
    <row r="140" spans="1:5">
      <c r="A140" s="8" t="s">
        <v>347</v>
      </c>
      <c r="B140" s="118"/>
      <c r="E140" s="152"/>
    </row>
    <row r="141" spans="1:5">
      <c r="A141" s="2" t="s">
        <v>845</v>
      </c>
      <c r="E141" s="152"/>
    </row>
    <row r="142" spans="1:5" s="1" customFormat="1">
      <c r="A142" s="1145" t="s">
        <v>4289</v>
      </c>
      <c r="B142" s="1146"/>
      <c r="C142" s="1146"/>
      <c r="D142" s="1146"/>
      <c r="E142" s="1156"/>
    </row>
    <row r="143" spans="1:5" s="1" customFormat="1" ht="46.5" customHeight="1">
      <c r="A143" s="2614" t="s">
        <v>846</v>
      </c>
      <c r="B143" s="2615"/>
      <c r="C143" s="2615"/>
      <c r="D143" s="2615"/>
      <c r="E143" s="2616"/>
    </row>
    <row r="144" spans="1:5" s="55" customFormat="1" ht="12.75">
      <c r="A144" s="1132" t="s">
        <v>348</v>
      </c>
      <c r="E144" s="1155"/>
    </row>
    <row r="145" spans="1:5" s="55" customFormat="1" ht="12.75">
      <c r="A145" s="1133" t="s">
        <v>349</v>
      </c>
      <c r="E145" s="1155"/>
    </row>
    <row r="146" spans="1:5" s="55" customFormat="1" ht="12.75">
      <c r="A146" s="1133" t="s">
        <v>350</v>
      </c>
      <c r="E146" s="1155"/>
    </row>
    <row r="147" spans="1:5" s="55" customFormat="1" ht="12.75">
      <c r="A147" s="1133" t="s">
        <v>351</v>
      </c>
      <c r="E147" s="1155"/>
    </row>
    <row r="148" spans="1:5" s="55" customFormat="1" ht="25.5" customHeight="1">
      <c r="A148" s="2611" t="s">
        <v>847</v>
      </c>
      <c r="B148" s="2612"/>
      <c r="C148" s="2612"/>
      <c r="D148" s="2612"/>
      <c r="E148" s="2613"/>
    </row>
    <row r="149" spans="1:5" s="55" customFormat="1" ht="12.75">
      <c r="A149" s="1133" t="s">
        <v>353</v>
      </c>
      <c r="E149" s="1155"/>
    </row>
    <row r="150" spans="1:5" s="55" customFormat="1" ht="12.75">
      <c r="A150" s="1133" t="s">
        <v>354</v>
      </c>
      <c r="E150" s="1155"/>
    </row>
    <row r="151" spans="1:5" s="37" customFormat="1" ht="12.75" customHeight="1" thickBot="1">
      <c r="A151" s="2608" t="s">
        <v>355</v>
      </c>
      <c r="B151" s="2609"/>
      <c r="C151" s="2609"/>
      <c r="D151" s="2609"/>
      <c r="E151" s="2610"/>
    </row>
    <row r="152" spans="1:5" ht="12" thickTop="1"/>
  </sheetData>
  <sheetProtection algorithmName="SHA-512" hashValue="d8Ujb5okYQIeX9SMK9DcwJlplmZPdTOC5D5Kj0BvwX1Ly7G0MwyDtiuP5/8MzwzNZFLaS6tk9tSjUUsT6Ew5sA==" saltValue="xStSdY1YLRXF8zPHAQus7g==" spinCount="100000" sheet="1" sort="0" autoFilter="0"/>
  <autoFilter ref="A4:B123" xr:uid="{00000000-0009-0000-0000-00000F000000}"/>
  <mergeCells count="6">
    <mergeCell ref="D3:E3"/>
    <mergeCell ref="C3:C4"/>
    <mergeCell ref="A3:B3"/>
    <mergeCell ref="A151:E151"/>
    <mergeCell ref="A148:E148"/>
    <mergeCell ref="A143:E143"/>
  </mergeCells>
  <pageMargins left="0.7" right="0.7" top="0.75" bottom="0.75" header="0.3" footer="0.3"/>
  <pageSetup orientation="portrait" r:id="rId1"/>
  <headerFooter>
    <oddFooter>&amp;C&amp;9&amp;P of &amp;N&amp;R&amp;9&amp;A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tabColor rgb="FF00B0F0"/>
    <pageSetUpPr fitToPage="1"/>
  </sheetPr>
  <dimension ref="A1:L152"/>
  <sheetViews>
    <sheetView showGridLines="0" zoomScale="110" zoomScaleNormal="110" workbookViewId="0">
      <pane xSplit="2" ySplit="4" topLeftCell="C5" activePane="bottomRight" state="frozen"/>
      <selection pane="topRight" activeCell="C1" sqref="C1"/>
      <selection pane="bottomLeft" activeCell="A5" sqref="A5"/>
      <selection pane="bottomRight" activeCell="A3" sqref="A3:B3"/>
    </sheetView>
  </sheetViews>
  <sheetFormatPr defaultColWidth="9.140625" defaultRowHeight="11.25"/>
  <cols>
    <col min="1" max="1" width="41.42578125" style="3" customWidth="1"/>
    <col min="2" max="2" width="9" style="3" bestFit="1" customWidth="1"/>
    <col min="3" max="3" width="15" style="3" customWidth="1"/>
    <col min="4" max="4" width="9.85546875" style="10" customWidth="1"/>
    <col min="5" max="5" width="13.5703125" style="65" bestFit="1" customWidth="1"/>
    <col min="6" max="6" width="14.42578125" style="3" customWidth="1"/>
    <col min="7" max="7" width="10.140625" style="10" bestFit="1" customWidth="1"/>
    <col min="8" max="8" width="13.5703125" style="65" bestFit="1" customWidth="1"/>
    <col min="9" max="16384" width="9.140625" style="3"/>
  </cols>
  <sheetData>
    <row r="1" spans="1:12" hidden="1">
      <c r="A1" s="3" t="s">
        <v>848</v>
      </c>
      <c r="C1" s="3" t="s">
        <v>368</v>
      </c>
      <c r="F1" s="3" t="s">
        <v>369</v>
      </c>
    </row>
    <row r="2" spans="1:12" s="23" customFormat="1" ht="34.5" customHeight="1" thickBot="1">
      <c r="A2" s="1157" t="s">
        <v>849</v>
      </c>
      <c r="B2"/>
      <c r="C2"/>
      <c r="D2"/>
      <c r="E2"/>
      <c r="F2"/>
      <c r="G2"/>
      <c r="H2"/>
      <c r="I2" s="68"/>
      <c r="J2" s="68"/>
      <c r="K2" s="68"/>
      <c r="L2" s="68"/>
    </row>
    <row r="3" spans="1:12" s="23" customFormat="1" ht="17.25" thickTop="1" thickBot="1">
      <c r="A3" s="2606" t="str">
        <f>'Water Direct Exp (GW-1)'!A3:B3</f>
        <v>2025 (Rev 4)</v>
      </c>
      <c r="B3" s="2607"/>
      <c r="C3" s="2620" t="s">
        <v>850</v>
      </c>
      <c r="D3" s="2622" t="s">
        <v>851</v>
      </c>
      <c r="E3" s="2624" t="s">
        <v>852</v>
      </c>
      <c r="F3" s="2620" t="s">
        <v>853</v>
      </c>
      <c r="G3" s="2626" t="s">
        <v>854</v>
      </c>
      <c r="H3" s="2628" t="s">
        <v>852</v>
      </c>
      <c r="I3" s="68"/>
      <c r="J3" s="68"/>
      <c r="K3" s="68"/>
      <c r="L3" s="68"/>
    </row>
    <row r="4" spans="1:12" s="64" customFormat="1" ht="51" customHeight="1" thickBot="1">
      <c r="A4" s="576" t="s">
        <v>661</v>
      </c>
      <c r="B4" s="2002" t="s">
        <v>80</v>
      </c>
      <c r="C4" s="2621"/>
      <c r="D4" s="2623"/>
      <c r="E4" s="2625"/>
      <c r="F4" s="2621"/>
      <c r="G4" s="2627"/>
      <c r="H4" s="2629"/>
    </row>
    <row r="5" spans="1:12" ht="11.25" customHeight="1">
      <c r="A5" s="2" t="s">
        <v>391</v>
      </c>
      <c r="B5" s="995" t="s">
        <v>392</v>
      </c>
      <c r="C5" s="996">
        <f t="shared" ref="C5:C26" si="0">D5</f>
        <v>20000</v>
      </c>
      <c r="D5" s="170">
        <f t="shared" ref="D5:D30" si="1">VLOOKUP($A5,Table_IP_1, MATCH("taste-odor", heading_IP_1, 0), FALSE)</f>
        <v>20000</v>
      </c>
      <c r="E5" s="815" t="str">
        <f t="shared" ref="E5:E30" si="2">VLOOKUP($A5,Table_IP_1, MATCH("taste-basis", heading_IP_1, 0), FALSE)</f>
        <v>Amoore &amp; Hautala</v>
      </c>
      <c r="F5" s="997">
        <f t="shared" ref="F5:F26" si="3">G5</f>
        <v>200000</v>
      </c>
      <c r="G5" s="170">
        <f t="shared" ref="G5:G30" si="4">VLOOKUP($A5,Table_IP_1, MATCH("nuis-odor", heading_IP_1, 0), FALSE)</f>
        <v>200000</v>
      </c>
      <c r="H5" s="167" t="str">
        <f t="shared" ref="H5:H30" si="5">VLOOKUP($A5,Table_IP_1, MATCH("nuis-basis", heading_IP_1, 0), FALSE)</f>
        <v>Ontario MOEE</v>
      </c>
    </row>
    <row r="6" spans="1:12" ht="11.25" customHeight="1">
      <c r="A6" s="153" t="s">
        <v>85</v>
      </c>
      <c r="B6" s="185" t="s">
        <v>86</v>
      </c>
      <c r="C6" s="223">
        <f t="shared" si="0"/>
        <v>17</v>
      </c>
      <c r="D6" s="158">
        <f t="shared" si="1"/>
        <v>17</v>
      </c>
      <c r="E6" s="225" t="str">
        <f t="shared" si="2"/>
        <v>Ontario MOEE</v>
      </c>
      <c r="F6" s="226">
        <f t="shared" si="3"/>
        <v>170</v>
      </c>
      <c r="G6" s="158">
        <f t="shared" si="4"/>
        <v>170</v>
      </c>
      <c r="H6" s="168" t="str">
        <f t="shared" si="5"/>
        <v>Ontario MOEE</v>
      </c>
    </row>
    <row r="7" spans="1:12" ht="11.25" customHeight="1">
      <c r="A7" s="153" t="s">
        <v>87</v>
      </c>
      <c r="B7" s="184" t="s">
        <v>88</v>
      </c>
      <c r="C7" s="222" t="str">
        <f t="shared" si="0"/>
        <v>--</v>
      </c>
      <c r="D7" s="157" t="str">
        <f t="shared" si="1"/>
        <v>--</v>
      </c>
      <c r="E7" s="224" t="str">
        <f t="shared" si="2"/>
        <v>--</v>
      </c>
      <c r="F7" s="135" t="str">
        <f t="shared" si="3"/>
        <v>--</v>
      </c>
      <c r="G7" s="157" t="str">
        <f t="shared" si="4"/>
        <v>--</v>
      </c>
      <c r="H7" s="181" t="str">
        <f t="shared" si="5"/>
        <v>--</v>
      </c>
    </row>
    <row r="8" spans="1:12" ht="11.25" customHeight="1">
      <c r="A8" s="153" t="s">
        <v>89</v>
      </c>
      <c r="B8" s="185" t="s">
        <v>90</v>
      </c>
      <c r="C8" s="223" t="str">
        <f t="shared" si="0"/>
        <v>--</v>
      </c>
      <c r="D8" s="158" t="str">
        <f t="shared" si="1"/>
        <v>--</v>
      </c>
      <c r="E8" s="225" t="str">
        <f t="shared" si="2"/>
        <v>--</v>
      </c>
      <c r="F8" s="135" t="str">
        <f t="shared" si="3"/>
        <v>--</v>
      </c>
      <c r="G8" s="158" t="str">
        <f t="shared" si="4"/>
        <v>--</v>
      </c>
      <c r="H8" s="168" t="str">
        <f t="shared" si="5"/>
        <v>--</v>
      </c>
    </row>
    <row r="9" spans="1:12" ht="11.25" customHeight="1">
      <c r="A9" s="153" t="s">
        <v>91</v>
      </c>
      <c r="B9" s="185" t="s">
        <v>92</v>
      </c>
      <c r="C9" s="223" t="str">
        <f t="shared" si="0"/>
        <v>--</v>
      </c>
      <c r="D9" s="158" t="str">
        <f t="shared" si="1"/>
        <v>--</v>
      </c>
      <c r="E9" s="225" t="str">
        <f t="shared" si="2"/>
        <v>--</v>
      </c>
      <c r="F9" s="135" t="str">
        <f t="shared" si="3"/>
        <v>--</v>
      </c>
      <c r="G9" s="158" t="str">
        <f t="shared" si="4"/>
        <v>--</v>
      </c>
      <c r="H9" s="168" t="str">
        <f t="shared" si="5"/>
        <v>--</v>
      </c>
    </row>
    <row r="10" spans="1:12" ht="11.25" customHeight="1">
      <c r="A10" s="153" t="s">
        <v>93</v>
      </c>
      <c r="B10" s="185" t="s">
        <v>94</v>
      </c>
      <c r="C10" s="223">
        <f t="shared" si="0"/>
        <v>170</v>
      </c>
      <c r="D10" s="158">
        <f t="shared" si="1"/>
        <v>170</v>
      </c>
      <c r="E10" s="225" t="str">
        <f t="shared" si="2"/>
        <v>Amoore &amp; Hautala</v>
      </c>
      <c r="F10" s="135">
        <f t="shared" si="3"/>
        <v>20000</v>
      </c>
      <c r="G10" s="158">
        <f t="shared" si="4"/>
        <v>20000</v>
      </c>
      <c r="H10" s="168" t="str">
        <f t="shared" si="5"/>
        <v>Ontario MOEE</v>
      </c>
    </row>
    <row r="11" spans="1:12" ht="11.25" customHeight="1">
      <c r="A11" s="153" t="s">
        <v>95</v>
      </c>
      <c r="B11" s="185" t="s">
        <v>96</v>
      </c>
      <c r="C11" s="223" t="str">
        <f t="shared" si="0"/>
        <v>--</v>
      </c>
      <c r="D11" s="158" t="str">
        <f t="shared" si="1"/>
        <v>--</v>
      </c>
      <c r="E11" s="225" t="str">
        <f t="shared" si="2"/>
        <v>--</v>
      </c>
      <c r="F11" s="135" t="str">
        <f t="shared" si="3"/>
        <v>--</v>
      </c>
      <c r="G11" s="158" t="str">
        <f t="shared" si="4"/>
        <v>--</v>
      </c>
      <c r="H11" s="168" t="str">
        <f t="shared" si="5"/>
        <v>--</v>
      </c>
    </row>
    <row r="12" spans="1:12" ht="11.25" customHeight="1">
      <c r="A12" s="153" t="s">
        <v>97</v>
      </c>
      <c r="B12" s="185" t="s">
        <v>98</v>
      </c>
      <c r="C12" s="223">
        <f t="shared" si="0"/>
        <v>0.5</v>
      </c>
      <c r="D12" s="158">
        <f t="shared" si="1"/>
        <v>0.5</v>
      </c>
      <c r="E12" s="225" t="str">
        <f t="shared" si="2"/>
        <v>Amoore &amp; Hautala</v>
      </c>
      <c r="F12" s="135">
        <f t="shared" si="3"/>
        <v>5</v>
      </c>
      <c r="G12" s="158">
        <f t="shared" si="4"/>
        <v>5</v>
      </c>
      <c r="H12" s="168" t="str">
        <f t="shared" si="5"/>
        <v>Amoore &amp; Hautala</v>
      </c>
    </row>
    <row r="13" spans="1:12" ht="11.25" customHeight="1">
      <c r="A13" s="153" t="s">
        <v>99</v>
      </c>
      <c r="B13" s="185" t="s">
        <v>100</v>
      </c>
      <c r="C13" s="223">
        <f t="shared" si="0"/>
        <v>360</v>
      </c>
      <c r="D13" s="158">
        <f t="shared" si="1"/>
        <v>360</v>
      </c>
      <c r="E13" s="225" t="str">
        <f t="shared" si="2"/>
        <v>Amoore &amp; Hautala</v>
      </c>
      <c r="F13" s="135">
        <f t="shared" si="3"/>
        <v>3600</v>
      </c>
      <c r="G13" s="158">
        <f t="shared" si="4"/>
        <v>3600</v>
      </c>
      <c r="H13" s="168" t="str">
        <f t="shared" si="5"/>
        <v>Amoore &amp; Hautala</v>
      </c>
    </row>
    <row r="14" spans="1:12" ht="11.25" customHeight="1">
      <c r="A14" s="153" t="s">
        <v>101</v>
      </c>
      <c r="B14" s="185" t="s">
        <v>102</v>
      </c>
      <c r="C14" s="223">
        <f t="shared" si="0"/>
        <v>320</v>
      </c>
      <c r="D14" s="158">
        <f t="shared" si="1"/>
        <v>320</v>
      </c>
      <c r="E14" s="225" t="str">
        <f t="shared" si="2"/>
        <v>Ontario MOEE</v>
      </c>
      <c r="F14" s="135">
        <f t="shared" si="3"/>
        <v>3200</v>
      </c>
      <c r="G14" s="158">
        <f t="shared" si="4"/>
        <v>3200</v>
      </c>
      <c r="H14" s="168" t="str">
        <f t="shared" si="5"/>
        <v>Ontario MOEE</v>
      </c>
    </row>
    <row r="15" spans="1:12" ht="11.25" customHeight="1">
      <c r="A15" s="153" t="s">
        <v>103</v>
      </c>
      <c r="B15" s="185" t="s">
        <v>104</v>
      </c>
      <c r="C15" s="223" t="str">
        <f t="shared" si="0"/>
        <v>--</v>
      </c>
      <c r="D15" s="158" t="str">
        <f t="shared" si="1"/>
        <v>--</v>
      </c>
      <c r="E15" s="225" t="str">
        <f t="shared" si="2"/>
        <v>--</v>
      </c>
      <c r="F15" s="135" t="str">
        <f t="shared" si="3"/>
        <v>--</v>
      </c>
      <c r="G15" s="158" t="str">
        <f t="shared" si="4"/>
        <v>--</v>
      </c>
      <c r="H15" s="168" t="str">
        <f t="shared" si="5"/>
        <v>--</v>
      </c>
    </row>
    <row r="16" spans="1:12" ht="11.25" customHeight="1">
      <c r="A16" s="153" t="s">
        <v>105</v>
      </c>
      <c r="B16" s="185" t="s">
        <v>106</v>
      </c>
      <c r="C16" s="223" t="str">
        <f t="shared" si="0"/>
        <v>--</v>
      </c>
      <c r="D16" s="158" t="str">
        <f t="shared" si="1"/>
        <v>--</v>
      </c>
      <c r="E16" s="225" t="str">
        <f t="shared" si="2"/>
        <v>--</v>
      </c>
      <c r="F16" s="135" t="str">
        <f t="shared" si="3"/>
        <v>--</v>
      </c>
      <c r="G16" s="158" t="str">
        <f t="shared" si="4"/>
        <v>--</v>
      </c>
      <c r="H16" s="168" t="str">
        <f t="shared" si="5"/>
        <v>--</v>
      </c>
    </row>
    <row r="17" spans="1:8" ht="11.25" customHeight="1">
      <c r="A17" s="153" t="s">
        <v>107</v>
      </c>
      <c r="B17" s="185" t="s">
        <v>108</v>
      </c>
      <c r="C17" s="223" t="str">
        <f t="shared" si="0"/>
        <v>--</v>
      </c>
      <c r="D17" s="158" t="str">
        <f t="shared" si="1"/>
        <v>--</v>
      </c>
      <c r="E17" s="225" t="str">
        <f t="shared" si="2"/>
        <v>--</v>
      </c>
      <c r="F17" s="135" t="str">
        <f t="shared" si="3"/>
        <v>--</v>
      </c>
      <c r="G17" s="158" t="str">
        <f t="shared" si="4"/>
        <v>--</v>
      </c>
      <c r="H17" s="168" t="str">
        <f t="shared" si="5"/>
        <v>--</v>
      </c>
    </row>
    <row r="18" spans="1:8" ht="11.25" customHeight="1">
      <c r="A18" s="153" t="s">
        <v>109</v>
      </c>
      <c r="B18" s="185" t="s">
        <v>110</v>
      </c>
      <c r="C18" s="223">
        <f t="shared" si="0"/>
        <v>510</v>
      </c>
      <c r="D18" s="158">
        <f t="shared" si="1"/>
        <v>510</v>
      </c>
      <c r="E18" s="225" t="str">
        <f t="shared" si="2"/>
        <v>Amoore &amp; Hautala</v>
      </c>
      <c r="F18" s="135">
        <f t="shared" si="3"/>
        <v>5100</v>
      </c>
      <c r="G18" s="158">
        <f t="shared" si="4"/>
        <v>5100</v>
      </c>
      <c r="H18" s="168" t="str">
        <f t="shared" si="5"/>
        <v>Ontario MOEE</v>
      </c>
    </row>
    <row r="19" spans="1:8" ht="11.25" customHeight="1">
      <c r="A19" s="153" t="s">
        <v>111</v>
      </c>
      <c r="B19" s="185" t="s">
        <v>112</v>
      </c>
      <c r="C19" s="223" t="str">
        <f t="shared" si="0"/>
        <v>--</v>
      </c>
      <c r="D19" s="158" t="str">
        <f t="shared" si="1"/>
        <v>--</v>
      </c>
      <c r="E19" s="225" t="str">
        <f t="shared" si="2"/>
        <v>--</v>
      </c>
      <c r="F19" s="135" t="str">
        <f t="shared" si="3"/>
        <v>--</v>
      </c>
      <c r="G19" s="158" t="str">
        <f t="shared" si="4"/>
        <v>--</v>
      </c>
      <c r="H19" s="168" t="str">
        <f t="shared" si="5"/>
        <v>--</v>
      </c>
    </row>
    <row r="20" spans="1:8" ht="11.25" customHeight="1">
      <c r="A20" s="153" t="s">
        <v>116</v>
      </c>
      <c r="B20" s="185" t="s">
        <v>114</v>
      </c>
      <c r="C20" s="223" t="str">
        <f t="shared" si="0"/>
        <v>--</v>
      </c>
      <c r="D20" s="158" t="str">
        <f t="shared" si="1"/>
        <v>--</v>
      </c>
      <c r="E20" s="225" t="str">
        <f t="shared" si="2"/>
        <v>--</v>
      </c>
      <c r="F20" s="135" t="str">
        <f t="shared" si="3"/>
        <v>--</v>
      </c>
      <c r="G20" s="158" t="str">
        <f t="shared" si="4"/>
        <v>--</v>
      </c>
      <c r="H20" s="168" t="str">
        <f t="shared" si="5"/>
        <v>--</v>
      </c>
    </row>
    <row r="21" spans="1:8" ht="11.25" customHeight="1">
      <c r="A21" s="153" t="s">
        <v>117</v>
      </c>
      <c r="B21" s="185" t="s">
        <v>118</v>
      </c>
      <c r="C21" s="223">
        <f t="shared" si="0"/>
        <v>520</v>
      </c>
      <c r="D21" s="158">
        <f t="shared" si="1"/>
        <v>520</v>
      </c>
      <c r="E21" s="225" t="str">
        <f t="shared" si="2"/>
        <v>Amoore &amp; Hautala</v>
      </c>
      <c r="F21" s="135">
        <f t="shared" si="3"/>
        <v>5200</v>
      </c>
      <c r="G21" s="158">
        <f t="shared" si="4"/>
        <v>5200</v>
      </c>
      <c r="H21" s="168" t="str">
        <f t="shared" si="5"/>
        <v>Ontario MOEE</v>
      </c>
    </row>
    <row r="22" spans="1:8" ht="11.25" customHeight="1">
      <c r="A22" s="153" t="s">
        <v>119</v>
      </c>
      <c r="B22" s="185" t="s">
        <v>120</v>
      </c>
      <c r="C22" s="223">
        <f t="shared" si="0"/>
        <v>2.5</v>
      </c>
      <c r="D22" s="158">
        <f t="shared" si="1"/>
        <v>2.5</v>
      </c>
      <c r="E22" s="225" t="str">
        <f t="shared" si="2"/>
        <v>Ontario MOEE</v>
      </c>
      <c r="F22" s="135">
        <f t="shared" si="3"/>
        <v>25</v>
      </c>
      <c r="G22" s="158">
        <f t="shared" si="4"/>
        <v>25</v>
      </c>
      <c r="H22" s="168" t="str">
        <f t="shared" si="5"/>
        <v>Ontario MOEE</v>
      </c>
    </row>
    <row r="23" spans="1:8" ht="11.25" customHeight="1">
      <c r="A23" s="153" t="s">
        <v>121</v>
      </c>
      <c r="B23" s="185" t="s">
        <v>122</v>
      </c>
      <c r="C23" s="223" t="str">
        <f t="shared" si="0"/>
        <v>--</v>
      </c>
      <c r="D23" s="158" t="str">
        <f t="shared" si="1"/>
        <v>--</v>
      </c>
      <c r="E23" s="225" t="str">
        <f t="shared" si="2"/>
        <v>--</v>
      </c>
      <c r="F23" s="135" t="str">
        <f t="shared" si="3"/>
        <v>--</v>
      </c>
      <c r="G23" s="158" t="str">
        <f t="shared" si="4"/>
        <v>--</v>
      </c>
      <c r="H23" s="168" t="str">
        <f t="shared" si="5"/>
        <v>--</v>
      </c>
    </row>
    <row r="24" spans="1:8" ht="11.25" customHeight="1">
      <c r="A24" s="153" t="s">
        <v>123</v>
      </c>
      <c r="B24" s="185" t="s">
        <v>124</v>
      </c>
      <c r="C24" s="223">
        <f t="shared" si="0"/>
        <v>50</v>
      </c>
      <c r="D24" s="158">
        <f t="shared" si="1"/>
        <v>50</v>
      </c>
      <c r="E24" s="225" t="str">
        <f t="shared" si="2"/>
        <v>Amoore &amp; Hautala</v>
      </c>
      <c r="F24" s="135">
        <f t="shared" si="3"/>
        <v>500</v>
      </c>
      <c r="G24" s="158">
        <f t="shared" si="4"/>
        <v>500</v>
      </c>
      <c r="H24" s="168" t="str">
        <f t="shared" si="5"/>
        <v>Ontario MOEE</v>
      </c>
    </row>
    <row r="25" spans="1:8" ht="11.25" customHeight="1">
      <c r="A25" s="153" t="s">
        <v>125</v>
      </c>
      <c r="B25" s="185" t="s">
        <v>126</v>
      </c>
      <c r="C25" s="223">
        <f t="shared" si="0"/>
        <v>16</v>
      </c>
      <c r="D25" s="158">
        <f t="shared" si="1"/>
        <v>16</v>
      </c>
      <c r="E25" s="225" t="str">
        <f t="shared" si="2"/>
        <v>Amoore &amp; Hautala</v>
      </c>
      <c r="F25" s="135">
        <f t="shared" si="3"/>
        <v>160</v>
      </c>
      <c r="G25" s="158">
        <f t="shared" si="4"/>
        <v>160</v>
      </c>
      <c r="H25" s="168" t="str">
        <f t="shared" si="5"/>
        <v>Amoore &amp; Hautala</v>
      </c>
    </row>
    <row r="26" spans="1:8" ht="12.75" customHeight="1">
      <c r="A26" s="153" t="s">
        <v>127</v>
      </c>
      <c r="B26" s="185" t="s">
        <v>128</v>
      </c>
      <c r="C26" s="223">
        <f t="shared" si="0"/>
        <v>2400</v>
      </c>
      <c r="D26" s="158">
        <f t="shared" si="1"/>
        <v>2400</v>
      </c>
      <c r="E26" s="225" t="str">
        <f t="shared" si="2"/>
        <v>Amoore &amp; Hautala</v>
      </c>
      <c r="F26" s="135">
        <f t="shared" si="3"/>
        <v>24000</v>
      </c>
      <c r="G26" s="158">
        <f t="shared" si="4"/>
        <v>24000</v>
      </c>
      <c r="H26" s="168" t="str">
        <f t="shared" si="5"/>
        <v>Ontario MOEE</v>
      </c>
    </row>
    <row r="27" spans="1:8" ht="11.25" customHeight="1">
      <c r="A27" s="153" t="s">
        <v>129</v>
      </c>
      <c r="B27" s="185" t="s">
        <v>130</v>
      </c>
      <c r="C27" s="223" t="str">
        <f t="shared" ref="C27:C30" si="6">D27</f>
        <v>--</v>
      </c>
      <c r="D27" s="158" t="str">
        <f t="shared" si="1"/>
        <v>--</v>
      </c>
      <c r="E27" s="225" t="str">
        <f t="shared" si="2"/>
        <v>--</v>
      </c>
      <c r="F27" s="135" t="str">
        <f t="shared" ref="F27:F30" si="7">G27</f>
        <v>--</v>
      </c>
      <c r="G27" s="158" t="str">
        <f t="shared" si="4"/>
        <v>--</v>
      </c>
      <c r="H27" s="168" t="str">
        <f t="shared" si="5"/>
        <v>--</v>
      </c>
    </row>
    <row r="28" spans="1:8" ht="11.25" customHeight="1">
      <c r="A28" s="153" t="s">
        <v>131</v>
      </c>
      <c r="B28" s="185" t="s">
        <v>132</v>
      </c>
      <c r="C28" s="223">
        <f t="shared" si="6"/>
        <v>0.18</v>
      </c>
      <c r="D28" s="158">
        <f t="shared" si="1"/>
        <v>0.18</v>
      </c>
      <c r="E28" s="225" t="str">
        <f t="shared" si="2"/>
        <v>Ontario MOEE</v>
      </c>
      <c r="F28" s="135">
        <f t="shared" si="7"/>
        <v>1.8</v>
      </c>
      <c r="G28" s="158">
        <f t="shared" si="4"/>
        <v>1.8</v>
      </c>
      <c r="H28" s="168" t="str">
        <f t="shared" si="5"/>
        <v>Ontario MOEE</v>
      </c>
    </row>
    <row r="29" spans="1:8" ht="11.25" customHeight="1">
      <c r="A29" s="153" t="s">
        <v>133</v>
      </c>
      <c r="B29" s="185" t="s">
        <v>134</v>
      </c>
      <c r="C29" s="223" t="str">
        <f t="shared" si="6"/>
        <v>--</v>
      </c>
      <c r="D29" s="158" t="str">
        <f t="shared" si="1"/>
        <v>--</v>
      </c>
      <c r="E29" s="225" t="str">
        <f t="shared" si="2"/>
        <v>--</v>
      </c>
      <c r="F29" s="135" t="str">
        <f t="shared" si="7"/>
        <v>--</v>
      </c>
      <c r="G29" s="158" t="str">
        <f t="shared" si="4"/>
        <v>--</v>
      </c>
      <c r="H29" s="168" t="str">
        <f t="shared" si="5"/>
        <v>--</v>
      </c>
    </row>
    <row r="30" spans="1:8" ht="11.25" customHeight="1">
      <c r="A30" s="153" t="s">
        <v>135</v>
      </c>
      <c r="B30" s="185" t="s">
        <v>136</v>
      </c>
      <c r="C30" s="223" t="str">
        <f t="shared" si="6"/>
        <v>--</v>
      </c>
      <c r="D30" s="158" t="str">
        <f t="shared" si="1"/>
        <v>--</v>
      </c>
      <c r="E30" s="225" t="str">
        <f t="shared" si="2"/>
        <v>--</v>
      </c>
      <c r="F30" s="135" t="str">
        <f t="shared" si="7"/>
        <v>--</v>
      </c>
      <c r="G30" s="158" t="str">
        <f t="shared" si="4"/>
        <v>--</v>
      </c>
      <c r="H30" s="168" t="str">
        <f t="shared" si="5"/>
        <v>--</v>
      </c>
    </row>
    <row r="31" spans="1:8" ht="11.25" customHeight="1">
      <c r="A31" s="153" t="s">
        <v>137</v>
      </c>
      <c r="B31" s="185" t="s">
        <v>138</v>
      </c>
      <c r="C31" s="223" t="str">
        <f t="shared" ref="C31:C59" si="8">D31</f>
        <v>--</v>
      </c>
      <c r="D31" s="158" t="str">
        <f t="shared" ref="D31:D59" si="9">VLOOKUP($A31,Table_IP_1, MATCH("taste-odor", heading_IP_1, 0), FALSE)</f>
        <v>--</v>
      </c>
      <c r="E31" s="225" t="str">
        <f t="shared" ref="E31:E41" si="10">VLOOKUP($A31,Table_IP_1, MATCH("taste-basis", heading_IP_1, 0), FALSE)</f>
        <v>--</v>
      </c>
      <c r="F31" s="135" t="str">
        <f t="shared" ref="F31:F59" si="11">G31</f>
        <v>--</v>
      </c>
      <c r="G31" s="158" t="str">
        <f t="shared" ref="G31:G59" si="12">VLOOKUP($A31,Table_IP_1, MATCH("nuis-odor", heading_IP_1, 0), FALSE)</f>
        <v>--</v>
      </c>
      <c r="H31" s="168" t="str">
        <f t="shared" ref="H31:H59" si="13">VLOOKUP($A31,Table_IP_1, MATCH("nuis-basis", heading_IP_1, 0), FALSE)</f>
        <v>--</v>
      </c>
    </row>
    <row r="32" spans="1:8" ht="11.25" customHeight="1">
      <c r="A32" s="153" t="s">
        <v>139</v>
      </c>
      <c r="B32" s="185" t="s">
        <v>140</v>
      </c>
      <c r="C32" s="223" t="str">
        <f t="shared" si="8"/>
        <v>--</v>
      </c>
      <c r="D32" s="158" t="str">
        <f t="shared" si="9"/>
        <v>--</v>
      </c>
      <c r="E32" s="225" t="str">
        <f t="shared" si="10"/>
        <v>--</v>
      </c>
      <c r="F32" s="135" t="str">
        <f t="shared" si="11"/>
        <v>--</v>
      </c>
      <c r="G32" s="158" t="str">
        <f t="shared" si="12"/>
        <v>--</v>
      </c>
      <c r="H32" s="168" t="str">
        <f t="shared" si="13"/>
        <v>--</v>
      </c>
    </row>
    <row r="33" spans="1:8" ht="11.25" customHeight="1">
      <c r="A33" s="153" t="s">
        <v>141</v>
      </c>
      <c r="B33" s="185" t="s">
        <v>142</v>
      </c>
      <c r="C33" s="223">
        <f t="shared" si="8"/>
        <v>1000</v>
      </c>
      <c r="D33" s="158">
        <f t="shared" si="9"/>
        <v>1000</v>
      </c>
      <c r="E33" s="225" t="str">
        <f t="shared" si="10"/>
        <v>Cal 2nd MCL</v>
      </c>
      <c r="F33" s="135" t="str">
        <f t="shared" si="11"/>
        <v>--</v>
      </c>
      <c r="G33" s="158" t="str">
        <f t="shared" si="12"/>
        <v>--</v>
      </c>
      <c r="H33" s="168" t="str">
        <f t="shared" si="13"/>
        <v>--</v>
      </c>
    </row>
    <row r="34" spans="1:8" ht="11.25" customHeight="1">
      <c r="A34" s="153" t="s">
        <v>143</v>
      </c>
      <c r="B34" s="185" t="s">
        <v>144</v>
      </c>
      <c r="C34" s="223">
        <f t="shared" si="8"/>
        <v>170</v>
      </c>
      <c r="D34" s="158">
        <f t="shared" si="9"/>
        <v>170</v>
      </c>
      <c r="E34" s="225" t="str">
        <f t="shared" si="10"/>
        <v>Amoore &amp; Hautala</v>
      </c>
      <c r="F34" s="135">
        <f t="shared" si="11"/>
        <v>1700</v>
      </c>
      <c r="G34" s="158">
        <f t="shared" si="12"/>
        <v>1700</v>
      </c>
      <c r="H34" s="168" t="str">
        <f t="shared" si="13"/>
        <v>Ontario MOEE</v>
      </c>
    </row>
    <row r="35" spans="1:8" ht="11.25" customHeight="1">
      <c r="A35" s="153" t="s">
        <v>145</v>
      </c>
      <c r="B35" s="185" t="s">
        <v>146</v>
      </c>
      <c r="C35" s="223" t="str">
        <f t="shared" si="8"/>
        <v>--</v>
      </c>
      <c r="D35" s="158" t="str">
        <f t="shared" si="9"/>
        <v>--</v>
      </c>
      <c r="E35" s="225" t="str">
        <f t="shared" si="10"/>
        <v>--</v>
      </c>
      <c r="F35" s="135" t="str">
        <f t="shared" si="11"/>
        <v>--</v>
      </c>
      <c r="G35" s="158" t="str">
        <f t="shared" si="12"/>
        <v>--</v>
      </c>
      <c r="H35" s="168" t="str">
        <f t="shared" si="13"/>
        <v>--</v>
      </c>
    </row>
    <row r="36" spans="1:8" ht="11.25" customHeight="1">
      <c r="A36" s="153" t="s">
        <v>147</v>
      </c>
      <c r="B36" s="185" t="s">
        <v>148</v>
      </c>
      <c r="C36" s="223">
        <f t="shared" si="8"/>
        <v>10</v>
      </c>
      <c r="D36" s="158">
        <f t="shared" si="9"/>
        <v>10</v>
      </c>
      <c r="E36" s="225" t="str">
        <f t="shared" si="10"/>
        <v>Amoore &amp; Hautala</v>
      </c>
      <c r="F36" s="135">
        <f t="shared" si="11"/>
        <v>100</v>
      </c>
      <c r="G36" s="158">
        <f t="shared" si="12"/>
        <v>100</v>
      </c>
      <c r="H36" s="168" t="str">
        <f t="shared" si="13"/>
        <v>Amoore &amp; Hautala</v>
      </c>
    </row>
    <row r="37" spans="1:8" ht="11.25" customHeight="1">
      <c r="A37" s="153" t="s">
        <v>149</v>
      </c>
      <c r="B37" s="185" t="s">
        <v>150</v>
      </c>
      <c r="C37" s="223" t="str">
        <f t="shared" si="8"/>
        <v>--</v>
      </c>
      <c r="D37" s="158" t="str">
        <f t="shared" si="9"/>
        <v>--</v>
      </c>
      <c r="E37" s="225" t="str">
        <f t="shared" si="10"/>
        <v>--</v>
      </c>
      <c r="F37" s="135" t="str">
        <f t="shared" si="11"/>
        <v>--</v>
      </c>
      <c r="G37" s="158" t="str">
        <f t="shared" si="12"/>
        <v>--</v>
      </c>
      <c r="H37" s="168" t="str">
        <f t="shared" si="13"/>
        <v>--</v>
      </c>
    </row>
    <row r="38" spans="1:8" ht="11.25" customHeight="1">
      <c r="A38" s="153" t="s">
        <v>151</v>
      </c>
      <c r="B38" s="185" t="s">
        <v>152</v>
      </c>
      <c r="C38" s="223">
        <f t="shared" si="8"/>
        <v>100</v>
      </c>
      <c r="D38" s="158">
        <f t="shared" si="9"/>
        <v>100</v>
      </c>
      <c r="E38" s="225" t="str">
        <f t="shared" si="10"/>
        <v>USEPA 2nd MCL</v>
      </c>
      <c r="F38" s="135">
        <f t="shared" si="11"/>
        <v>100</v>
      </c>
      <c r="G38" s="158">
        <f t="shared" si="12"/>
        <v>100</v>
      </c>
      <c r="H38" s="168" t="str">
        <f t="shared" si="13"/>
        <v>Ontario MOEE</v>
      </c>
    </row>
    <row r="39" spans="1:8" ht="11.25" customHeight="1">
      <c r="A39" s="153" t="s">
        <v>153</v>
      </c>
      <c r="B39" s="185" t="s">
        <v>154</v>
      </c>
      <c r="C39" s="223">
        <f t="shared" si="8"/>
        <v>5</v>
      </c>
      <c r="D39" s="158">
        <f t="shared" si="9"/>
        <v>5</v>
      </c>
      <c r="E39" s="225" t="str">
        <f t="shared" si="10"/>
        <v>USEPA 2nd MCL</v>
      </c>
      <c r="F39" s="135">
        <f t="shared" si="11"/>
        <v>110</v>
      </c>
      <c r="G39" s="158">
        <f t="shared" si="12"/>
        <v>110</v>
      </c>
      <c r="H39" s="168" t="str">
        <f t="shared" si="13"/>
        <v>Ontario MOEE</v>
      </c>
    </row>
    <row r="40" spans="1:8" ht="11.25" customHeight="1">
      <c r="A40" s="153" t="s">
        <v>155</v>
      </c>
      <c r="B40" s="185" t="s">
        <v>156</v>
      </c>
      <c r="C40" s="223" t="str">
        <f t="shared" si="8"/>
        <v>--</v>
      </c>
      <c r="D40" s="158" t="str">
        <f t="shared" si="9"/>
        <v>--</v>
      </c>
      <c r="E40" s="225" t="str">
        <f t="shared" si="10"/>
        <v>--</v>
      </c>
      <c r="F40" s="135" t="str">
        <f t="shared" si="11"/>
        <v>--</v>
      </c>
      <c r="G40" s="158" t="str">
        <f t="shared" si="12"/>
        <v>--</v>
      </c>
      <c r="H40" s="168" t="str">
        <f t="shared" si="13"/>
        <v>--</v>
      </c>
    </row>
    <row r="41" spans="1:8" ht="11.25" customHeight="1">
      <c r="A41" s="153" t="s">
        <v>157</v>
      </c>
      <c r="B41" s="185" t="s">
        <v>158</v>
      </c>
      <c r="C41" s="223" t="str">
        <f t="shared" si="8"/>
        <v>--</v>
      </c>
      <c r="D41" s="158" t="str">
        <f t="shared" si="9"/>
        <v>--</v>
      </c>
      <c r="E41" s="225" t="str">
        <f t="shared" si="10"/>
        <v>--</v>
      </c>
      <c r="F41" s="135" t="str">
        <f t="shared" si="11"/>
        <v>--</v>
      </c>
      <c r="G41" s="158" t="str">
        <f t="shared" si="12"/>
        <v>--</v>
      </c>
      <c r="H41" s="168" t="str">
        <f t="shared" si="13"/>
        <v>--</v>
      </c>
    </row>
    <row r="42" spans="1:8" ht="11.25" customHeight="1">
      <c r="A42" s="153" t="s">
        <v>159</v>
      </c>
      <c r="B42" s="185" t="s">
        <v>160</v>
      </c>
      <c r="C42" s="223" t="str">
        <f t="shared" si="8"/>
        <v>--</v>
      </c>
      <c r="D42" s="158" t="str">
        <f t="shared" si="9"/>
        <v>--</v>
      </c>
      <c r="E42" s="225" t="s">
        <v>855</v>
      </c>
      <c r="F42" s="135" t="str">
        <f t="shared" si="11"/>
        <v>--</v>
      </c>
      <c r="G42" s="158" t="str">
        <f t="shared" si="12"/>
        <v>--</v>
      </c>
      <c r="H42" s="168" t="str">
        <f t="shared" si="13"/>
        <v>--</v>
      </c>
    </row>
    <row r="43" spans="1:8" ht="11.25" customHeight="1">
      <c r="A43" s="153" t="s">
        <v>161</v>
      </c>
      <c r="B43" s="185" t="s">
        <v>162</v>
      </c>
      <c r="C43" s="223">
        <f t="shared" si="8"/>
        <v>350</v>
      </c>
      <c r="D43" s="158">
        <f t="shared" si="9"/>
        <v>350</v>
      </c>
      <c r="E43" s="225" t="str">
        <f t="shared" ref="E43:E74" si="14">VLOOKUP($A43,Table_IP_1, MATCH("taste-basis", heading_IP_1, 0), FALSE)</f>
        <v>Ontario MOEE</v>
      </c>
      <c r="F43" s="135">
        <f t="shared" si="11"/>
        <v>3500</v>
      </c>
      <c r="G43" s="158">
        <f t="shared" si="12"/>
        <v>3500</v>
      </c>
      <c r="H43" s="168" t="str">
        <f t="shared" si="13"/>
        <v>Ontario MOEE</v>
      </c>
    </row>
    <row r="44" spans="1:8" ht="11.25" customHeight="1">
      <c r="A44" s="153" t="s">
        <v>163</v>
      </c>
      <c r="B44" s="185" t="s">
        <v>164</v>
      </c>
      <c r="C44" s="223" t="str">
        <f t="shared" si="8"/>
        <v>--</v>
      </c>
      <c r="D44" s="158" t="str">
        <f t="shared" si="9"/>
        <v>--</v>
      </c>
      <c r="E44" s="225" t="str">
        <f t="shared" si="14"/>
        <v>--</v>
      </c>
      <c r="F44" s="135" t="str">
        <f t="shared" si="11"/>
        <v>--</v>
      </c>
      <c r="G44" s="158" t="str">
        <f t="shared" si="12"/>
        <v>--</v>
      </c>
      <c r="H44" s="168" t="str">
        <f t="shared" si="13"/>
        <v>--</v>
      </c>
    </row>
    <row r="45" spans="1:8" ht="11.25" customHeight="1">
      <c r="A45" s="153" t="s">
        <v>165</v>
      </c>
      <c r="B45" s="185" t="s">
        <v>166</v>
      </c>
      <c r="C45" s="223">
        <f t="shared" si="8"/>
        <v>7000</v>
      </c>
      <c r="D45" s="158">
        <f t="shared" si="9"/>
        <v>7000</v>
      </c>
      <c r="E45" s="225" t="str">
        <f t="shared" si="14"/>
        <v>Amoore &amp; Hautala</v>
      </c>
      <c r="F45" s="135">
        <f t="shared" si="11"/>
        <v>200000</v>
      </c>
      <c r="G45" s="158">
        <f t="shared" si="12"/>
        <v>200000</v>
      </c>
      <c r="H45" s="168" t="str">
        <f t="shared" si="13"/>
        <v>Ontario MOEE</v>
      </c>
    </row>
    <row r="46" spans="1:8" ht="11.25" customHeight="1">
      <c r="A46" s="153" t="s">
        <v>167</v>
      </c>
      <c r="B46" s="185" t="s">
        <v>168</v>
      </c>
      <c r="C46" s="223">
        <f t="shared" si="8"/>
        <v>1500</v>
      </c>
      <c r="D46" s="158">
        <f t="shared" si="9"/>
        <v>1500</v>
      </c>
      <c r="E46" s="225" t="str">
        <f t="shared" si="14"/>
        <v>Amoore &amp; Hautala</v>
      </c>
      <c r="F46" s="135">
        <f t="shared" si="11"/>
        <v>15000</v>
      </c>
      <c r="G46" s="158">
        <f t="shared" si="12"/>
        <v>15000</v>
      </c>
      <c r="H46" s="168" t="str">
        <f t="shared" si="13"/>
        <v>Amoore &amp; Hautala</v>
      </c>
    </row>
    <row r="47" spans="1:8" ht="11.25" customHeight="1">
      <c r="A47" s="153" t="s">
        <v>169</v>
      </c>
      <c r="B47" s="185" t="s">
        <v>170</v>
      </c>
      <c r="C47" s="223" t="str">
        <f t="shared" si="8"/>
        <v>--</v>
      </c>
      <c r="D47" s="158" t="str">
        <f t="shared" si="9"/>
        <v>--</v>
      </c>
      <c r="E47" s="225" t="str">
        <f t="shared" si="14"/>
        <v>--</v>
      </c>
      <c r="F47" s="135" t="str">
        <f t="shared" si="11"/>
        <v>--</v>
      </c>
      <c r="G47" s="158" t="str">
        <f t="shared" si="12"/>
        <v>--</v>
      </c>
      <c r="H47" s="168" t="str">
        <f t="shared" si="13"/>
        <v>--</v>
      </c>
    </row>
    <row r="48" spans="1:8" ht="11.25" customHeight="1">
      <c r="A48" s="153" t="s">
        <v>171</v>
      </c>
      <c r="B48" s="185" t="s">
        <v>172</v>
      </c>
      <c r="C48" s="223">
        <f t="shared" si="8"/>
        <v>260</v>
      </c>
      <c r="D48" s="158">
        <f t="shared" si="9"/>
        <v>260</v>
      </c>
      <c r="E48" s="225" t="str">
        <f t="shared" si="14"/>
        <v>Amoore &amp; Hautala</v>
      </c>
      <c r="F48" s="135">
        <f t="shared" si="11"/>
        <v>2600</v>
      </c>
      <c r="G48" s="158">
        <f t="shared" si="12"/>
        <v>2600</v>
      </c>
      <c r="H48" s="168" t="str">
        <f t="shared" si="13"/>
        <v>Ontario MOEE</v>
      </c>
    </row>
    <row r="49" spans="1:8" ht="11.25" customHeight="1">
      <c r="A49" s="153" t="s">
        <v>173</v>
      </c>
      <c r="B49" s="185" t="s">
        <v>174</v>
      </c>
      <c r="C49" s="223">
        <f t="shared" si="8"/>
        <v>0.3</v>
      </c>
      <c r="D49" s="158">
        <f t="shared" si="9"/>
        <v>0.3</v>
      </c>
      <c r="E49" s="225" t="str">
        <f t="shared" si="14"/>
        <v>Ontario MOEE</v>
      </c>
      <c r="F49" s="135">
        <f t="shared" si="11"/>
        <v>3</v>
      </c>
      <c r="G49" s="158">
        <f t="shared" si="12"/>
        <v>3</v>
      </c>
      <c r="H49" s="168" t="str">
        <f t="shared" si="13"/>
        <v>Ontario MOEE</v>
      </c>
    </row>
    <row r="50" spans="1:8" ht="11.25" customHeight="1">
      <c r="A50" s="153" t="s">
        <v>175</v>
      </c>
      <c r="B50" s="185" t="s">
        <v>176</v>
      </c>
      <c r="C50" s="223">
        <f t="shared" si="8"/>
        <v>10</v>
      </c>
      <c r="D50" s="158">
        <f t="shared" si="9"/>
        <v>10</v>
      </c>
      <c r="E50" s="225" t="str">
        <f t="shared" si="14"/>
        <v>Ontario MOEE</v>
      </c>
      <c r="F50" s="135">
        <f t="shared" si="11"/>
        <v>100</v>
      </c>
      <c r="G50" s="158">
        <f t="shared" si="12"/>
        <v>100</v>
      </c>
      <c r="H50" s="168" t="str">
        <f t="shared" si="13"/>
        <v>Ontario MOEE</v>
      </c>
    </row>
    <row r="51" spans="1:8" ht="11.25" customHeight="1">
      <c r="A51" s="153" t="s">
        <v>177</v>
      </c>
      <c r="B51" s="185" t="s">
        <v>178</v>
      </c>
      <c r="C51" s="223" t="str">
        <f t="shared" si="8"/>
        <v>--</v>
      </c>
      <c r="D51" s="158" t="str">
        <f t="shared" si="9"/>
        <v>--</v>
      </c>
      <c r="E51" s="225" t="str">
        <f t="shared" si="14"/>
        <v>--</v>
      </c>
      <c r="F51" s="135" t="str">
        <f t="shared" si="11"/>
        <v>--</v>
      </c>
      <c r="G51" s="158" t="str">
        <f t="shared" si="12"/>
        <v>--</v>
      </c>
      <c r="H51" s="168" t="str">
        <f t="shared" si="13"/>
        <v>--</v>
      </c>
    </row>
    <row r="52" spans="1:8" ht="11.25" customHeight="1">
      <c r="A52" s="153" t="s">
        <v>179</v>
      </c>
      <c r="B52" s="185" t="s">
        <v>180</v>
      </c>
      <c r="C52" s="223">
        <f t="shared" si="8"/>
        <v>41</v>
      </c>
      <c r="D52" s="158">
        <f t="shared" si="9"/>
        <v>41</v>
      </c>
      <c r="E52" s="225" t="str">
        <f t="shared" si="14"/>
        <v>Ontario MOEE</v>
      </c>
      <c r="F52" s="135">
        <f t="shared" si="11"/>
        <v>410</v>
      </c>
      <c r="G52" s="158">
        <f t="shared" si="12"/>
        <v>410</v>
      </c>
      <c r="H52" s="168" t="str">
        <f t="shared" si="13"/>
        <v>Ontario MOEE</v>
      </c>
    </row>
    <row r="53" spans="1:8" ht="11.25" customHeight="1">
      <c r="A53" s="153" t="s">
        <v>181</v>
      </c>
      <c r="B53" s="185" t="s">
        <v>182</v>
      </c>
      <c r="C53" s="223" t="str">
        <f t="shared" si="8"/>
        <v>--</v>
      </c>
      <c r="D53" s="158" t="str">
        <f t="shared" si="9"/>
        <v>--</v>
      </c>
      <c r="E53" s="225" t="str">
        <f t="shared" si="14"/>
        <v>--</v>
      </c>
      <c r="F53" s="135" t="str">
        <f t="shared" si="11"/>
        <v>--</v>
      </c>
      <c r="G53" s="158" t="str">
        <f t="shared" si="12"/>
        <v>--</v>
      </c>
      <c r="H53" s="168" t="str">
        <f t="shared" si="13"/>
        <v>--</v>
      </c>
    </row>
    <row r="54" spans="1:8" ht="11.25" customHeight="1">
      <c r="A54" s="153" t="s">
        <v>183</v>
      </c>
      <c r="B54" s="185" t="s">
        <v>184</v>
      </c>
      <c r="C54" s="223">
        <f t="shared" si="8"/>
        <v>400</v>
      </c>
      <c r="D54" s="158">
        <f t="shared" si="9"/>
        <v>400</v>
      </c>
      <c r="E54" s="225" t="str">
        <f t="shared" si="14"/>
        <v>DDW AL</v>
      </c>
      <c r="F54" s="135">
        <f t="shared" si="11"/>
        <v>4000</v>
      </c>
      <c r="G54" s="158">
        <f t="shared" si="12"/>
        <v>4000</v>
      </c>
      <c r="H54" s="168" t="str">
        <f t="shared" si="13"/>
        <v>Ontario MOEE</v>
      </c>
    </row>
    <row r="55" spans="1:8" ht="11.25" customHeight="1">
      <c r="A55" s="153" t="s">
        <v>185</v>
      </c>
      <c r="B55" s="185" t="s">
        <v>186</v>
      </c>
      <c r="C55" s="223" t="str">
        <f t="shared" si="8"/>
        <v>--</v>
      </c>
      <c r="D55" s="158" t="str">
        <f t="shared" si="9"/>
        <v>--</v>
      </c>
      <c r="E55" s="225" t="str">
        <f t="shared" si="14"/>
        <v>--</v>
      </c>
      <c r="F55" s="135" t="str">
        <f t="shared" si="11"/>
        <v>--</v>
      </c>
      <c r="G55" s="158" t="str">
        <f t="shared" si="12"/>
        <v>--</v>
      </c>
      <c r="H55" s="168" t="str">
        <f t="shared" si="13"/>
        <v>--</v>
      </c>
    </row>
    <row r="56" spans="1:8" ht="11.25" customHeight="1">
      <c r="A56" s="153" t="s">
        <v>187</v>
      </c>
      <c r="B56" s="185" t="s">
        <v>188</v>
      </c>
      <c r="C56" s="223" t="str">
        <f t="shared" si="8"/>
        <v>--</v>
      </c>
      <c r="D56" s="158" t="str">
        <f t="shared" si="9"/>
        <v>--</v>
      </c>
      <c r="E56" s="225" t="str">
        <f t="shared" si="14"/>
        <v>--</v>
      </c>
      <c r="F56" s="135" t="str">
        <f t="shared" si="11"/>
        <v>--</v>
      </c>
      <c r="G56" s="158" t="str">
        <f t="shared" si="12"/>
        <v>--</v>
      </c>
      <c r="H56" s="168" t="str">
        <f t="shared" si="13"/>
        <v>--</v>
      </c>
    </row>
    <row r="57" spans="1:8" ht="11.25" customHeight="1">
      <c r="A57" s="153" t="s">
        <v>189</v>
      </c>
      <c r="B57" s="185" t="s">
        <v>190</v>
      </c>
      <c r="C57" s="223">
        <f t="shared" si="8"/>
        <v>230000</v>
      </c>
      <c r="D57" s="158">
        <f t="shared" si="9"/>
        <v>230000</v>
      </c>
      <c r="E57" s="225" t="str">
        <f t="shared" si="14"/>
        <v>Amoore &amp; Hautala</v>
      </c>
      <c r="F57" s="135" t="str">
        <f t="shared" si="11"/>
        <v>--</v>
      </c>
      <c r="G57" s="158" t="str">
        <f t="shared" si="12"/>
        <v>--</v>
      </c>
      <c r="H57" s="168" t="str">
        <f t="shared" si="13"/>
        <v>--</v>
      </c>
    </row>
    <row r="58" spans="1:8" ht="11.25" customHeight="1">
      <c r="A58" s="153" t="s">
        <v>191</v>
      </c>
      <c r="B58" s="185" t="s">
        <v>192</v>
      </c>
      <c r="C58" s="223" t="str">
        <f t="shared" si="8"/>
        <v>--</v>
      </c>
      <c r="D58" s="158" t="str">
        <f t="shared" si="9"/>
        <v>--</v>
      </c>
      <c r="E58" s="225" t="str">
        <f t="shared" si="14"/>
        <v>--</v>
      </c>
      <c r="F58" s="135" t="str">
        <f t="shared" si="11"/>
        <v>--</v>
      </c>
      <c r="G58" s="158" t="str">
        <f t="shared" si="12"/>
        <v>--</v>
      </c>
      <c r="H58" s="168" t="str">
        <f t="shared" si="13"/>
        <v>--</v>
      </c>
    </row>
    <row r="59" spans="1:8" ht="11.25" customHeight="1">
      <c r="A59" s="153" t="s">
        <v>193</v>
      </c>
      <c r="B59" s="185" t="s">
        <v>194</v>
      </c>
      <c r="C59" s="223" t="str">
        <f t="shared" si="8"/>
        <v>--</v>
      </c>
      <c r="D59" s="158" t="str">
        <f t="shared" si="9"/>
        <v>--</v>
      </c>
      <c r="E59" s="225" t="str">
        <f t="shared" si="14"/>
        <v>--</v>
      </c>
      <c r="F59" s="135" t="str">
        <f t="shared" si="11"/>
        <v>--</v>
      </c>
      <c r="G59" s="158" t="str">
        <f t="shared" si="12"/>
        <v>--</v>
      </c>
      <c r="H59" s="168" t="str">
        <f t="shared" si="13"/>
        <v>--</v>
      </c>
    </row>
    <row r="60" spans="1:8" ht="11.25" customHeight="1">
      <c r="A60" s="153" t="s">
        <v>195</v>
      </c>
      <c r="B60" s="185" t="s">
        <v>196</v>
      </c>
      <c r="C60" s="223">
        <f t="shared" ref="C60:C91" si="15">D60</f>
        <v>41</v>
      </c>
      <c r="D60" s="158">
        <f t="shared" ref="D60:D91" si="16">VLOOKUP($A60,Table_IP_1, MATCH("taste-odor", heading_IP_1, 0), FALSE)</f>
        <v>41</v>
      </c>
      <c r="E60" s="225" t="str">
        <f t="shared" si="14"/>
        <v>Ontario MOEE</v>
      </c>
      <c r="F60" s="135">
        <f t="shared" ref="F60:F91" si="17">G60</f>
        <v>410</v>
      </c>
      <c r="G60" s="158">
        <f t="shared" ref="G60:G91" si="18">VLOOKUP($A60,Table_IP_1, MATCH("nuis-odor", heading_IP_1, 0), FALSE)</f>
        <v>410</v>
      </c>
      <c r="H60" s="168" t="str">
        <f t="shared" ref="H60:H91" si="19">VLOOKUP($A60,Table_IP_1, MATCH("nuis-basis", heading_IP_1, 0), FALSE)</f>
        <v>Ontario MOEE</v>
      </c>
    </row>
    <row r="61" spans="1:8" ht="11.25" customHeight="1">
      <c r="A61" s="153" t="s">
        <v>197</v>
      </c>
      <c r="B61" s="185" t="s">
        <v>198</v>
      </c>
      <c r="C61" s="223">
        <f t="shared" si="15"/>
        <v>30</v>
      </c>
      <c r="D61" s="158">
        <f t="shared" si="16"/>
        <v>30</v>
      </c>
      <c r="E61" s="225" t="str">
        <f t="shared" si="14"/>
        <v>USEPA 2nd MCL</v>
      </c>
      <c r="F61" s="135">
        <f t="shared" si="17"/>
        <v>300</v>
      </c>
      <c r="G61" s="158">
        <f t="shared" si="18"/>
        <v>300</v>
      </c>
      <c r="H61" s="168" t="str">
        <f t="shared" si="19"/>
        <v>USEPA 2nd MCL</v>
      </c>
    </row>
    <row r="62" spans="1:8" ht="11.25" customHeight="1">
      <c r="A62" s="153" t="s">
        <v>199</v>
      </c>
      <c r="B62" s="185" t="s">
        <v>200</v>
      </c>
      <c r="C62" s="223">
        <f t="shared" si="15"/>
        <v>20</v>
      </c>
      <c r="D62" s="158">
        <f t="shared" si="16"/>
        <v>20</v>
      </c>
      <c r="E62" s="225" t="str">
        <f t="shared" si="14"/>
        <v>Ontario MOEE</v>
      </c>
      <c r="F62" s="135">
        <f t="shared" si="17"/>
        <v>200</v>
      </c>
      <c r="G62" s="158">
        <f t="shared" si="18"/>
        <v>200</v>
      </c>
      <c r="H62" s="168" t="str">
        <f t="shared" si="19"/>
        <v>Ontario MOEE</v>
      </c>
    </row>
    <row r="63" spans="1:8" ht="11.25" customHeight="1">
      <c r="A63" s="153" t="s">
        <v>201</v>
      </c>
      <c r="B63" s="185" t="s">
        <v>202</v>
      </c>
      <c r="C63" s="223" t="str">
        <f t="shared" si="15"/>
        <v>--</v>
      </c>
      <c r="D63" s="158" t="str">
        <f t="shared" si="16"/>
        <v>--</v>
      </c>
      <c r="E63" s="225" t="str">
        <f t="shared" si="14"/>
        <v>--</v>
      </c>
      <c r="F63" s="135" t="str">
        <f t="shared" si="17"/>
        <v>--</v>
      </c>
      <c r="G63" s="158" t="str">
        <f t="shared" si="18"/>
        <v>--</v>
      </c>
      <c r="H63" s="168" t="str">
        <f t="shared" si="19"/>
        <v>--</v>
      </c>
    </row>
    <row r="64" spans="1:8" ht="11.25" customHeight="1">
      <c r="A64" s="153" t="s">
        <v>203</v>
      </c>
      <c r="B64" s="185" t="s">
        <v>204</v>
      </c>
      <c r="C64" s="223">
        <f t="shared" si="15"/>
        <v>3000</v>
      </c>
      <c r="D64" s="158">
        <f t="shared" si="16"/>
        <v>3000</v>
      </c>
      <c r="E64" s="225" t="str">
        <f t="shared" si="14"/>
        <v>Ontario MOEE</v>
      </c>
      <c r="F64" s="135">
        <f t="shared" si="17"/>
        <v>30000</v>
      </c>
      <c r="G64" s="158">
        <f t="shared" si="18"/>
        <v>30000</v>
      </c>
      <c r="H64" s="168" t="str">
        <f t="shared" si="19"/>
        <v>Ontario MOEE</v>
      </c>
    </row>
    <row r="65" spans="1:8" ht="11.25" customHeight="1">
      <c r="A65" s="153" t="s">
        <v>205</v>
      </c>
      <c r="B65" s="185" t="s">
        <v>206</v>
      </c>
      <c r="C65" s="223">
        <f t="shared" si="15"/>
        <v>6</v>
      </c>
      <c r="D65" s="158">
        <f t="shared" si="16"/>
        <v>6</v>
      </c>
      <c r="E65" s="225" t="str">
        <f t="shared" si="14"/>
        <v>Ontario MOEE</v>
      </c>
      <c r="F65" s="135">
        <f t="shared" si="17"/>
        <v>60</v>
      </c>
      <c r="G65" s="158">
        <f t="shared" si="18"/>
        <v>60</v>
      </c>
      <c r="H65" s="168" t="str">
        <f t="shared" si="19"/>
        <v>Ontario MOEE</v>
      </c>
    </row>
    <row r="66" spans="1:8" ht="11.25" customHeight="1">
      <c r="A66" s="2105" t="s">
        <v>4279</v>
      </c>
      <c r="B66" s="185" t="s">
        <v>208</v>
      </c>
      <c r="C66" s="223">
        <f t="shared" si="15"/>
        <v>12000</v>
      </c>
      <c r="D66" s="158">
        <f t="shared" si="16"/>
        <v>12000</v>
      </c>
      <c r="E66" s="225" t="str">
        <f t="shared" si="14"/>
        <v>Ontario MOEE</v>
      </c>
      <c r="F66" s="135">
        <f t="shared" si="17"/>
        <v>120000</v>
      </c>
      <c r="G66" s="158">
        <f t="shared" si="18"/>
        <v>120000</v>
      </c>
      <c r="H66" s="168" t="str">
        <f t="shared" si="19"/>
        <v>Ontario MOEE</v>
      </c>
    </row>
    <row r="67" spans="1:8" ht="11.25" customHeight="1">
      <c r="A67" s="153" t="s">
        <v>209</v>
      </c>
      <c r="B67" s="185" t="s">
        <v>210</v>
      </c>
      <c r="C67" s="223">
        <f t="shared" si="15"/>
        <v>10</v>
      </c>
      <c r="D67" s="158">
        <f t="shared" si="16"/>
        <v>10</v>
      </c>
      <c r="E67" s="225" t="str">
        <f t="shared" si="14"/>
        <v>Amoore &amp; Hautala</v>
      </c>
      <c r="F67" s="135">
        <f t="shared" si="17"/>
        <v>100</v>
      </c>
      <c r="G67" s="158">
        <f t="shared" si="18"/>
        <v>100</v>
      </c>
      <c r="H67" s="168" t="str">
        <f t="shared" si="19"/>
        <v>Ontario MOEE</v>
      </c>
    </row>
    <row r="68" spans="1:8" ht="11.25" customHeight="1">
      <c r="A68" s="153" t="s">
        <v>211</v>
      </c>
      <c r="B68" s="185" t="s">
        <v>212</v>
      </c>
      <c r="C68" s="223" t="str">
        <f t="shared" si="15"/>
        <v>--</v>
      </c>
      <c r="D68" s="158" t="str">
        <f t="shared" si="16"/>
        <v>--</v>
      </c>
      <c r="E68" s="225" t="str">
        <f t="shared" si="14"/>
        <v>--</v>
      </c>
      <c r="F68" s="135" t="str">
        <f t="shared" si="17"/>
        <v>--</v>
      </c>
      <c r="G68" s="158" t="str">
        <f t="shared" si="18"/>
        <v>--</v>
      </c>
      <c r="H68" s="168" t="str">
        <f t="shared" si="19"/>
        <v>--</v>
      </c>
    </row>
    <row r="69" spans="1:8" ht="11.25" customHeight="1">
      <c r="A69" s="153" t="s">
        <v>213</v>
      </c>
      <c r="B69" s="185" t="s">
        <v>214</v>
      </c>
      <c r="C69" s="223" t="str">
        <f t="shared" si="15"/>
        <v>--</v>
      </c>
      <c r="D69" s="158" t="str">
        <f t="shared" si="16"/>
        <v>--</v>
      </c>
      <c r="E69" s="225" t="str">
        <f t="shared" si="14"/>
        <v>--</v>
      </c>
      <c r="F69" s="135" t="str">
        <f t="shared" si="17"/>
        <v>--</v>
      </c>
      <c r="G69" s="158" t="str">
        <f t="shared" si="18"/>
        <v>--</v>
      </c>
      <c r="H69" s="168" t="str">
        <f t="shared" si="19"/>
        <v>--</v>
      </c>
    </row>
    <row r="70" spans="1:8" ht="11.25" customHeight="1">
      <c r="A70" s="153" t="s">
        <v>215</v>
      </c>
      <c r="B70" s="185" t="s">
        <v>216</v>
      </c>
      <c r="C70" s="223">
        <f t="shared" si="15"/>
        <v>4700</v>
      </c>
      <c r="D70" s="158">
        <f t="shared" si="16"/>
        <v>4700</v>
      </c>
      <c r="E70" s="225" t="str">
        <f t="shared" si="14"/>
        <v>Amoore &amp; Hautala</v>
      </c>
      <c r="F70" s="135">
        <f t="shared" si="17"/>
        <v>47000</v>
      </c>
      <c r="G70" s="158">
        <f t="shared" si="18"/>
        <v>47000</v>
      </c>
      <c r="H70" s="168" t="str">
        <f t="shared" si="19"/>
        <v>Ontario MOEE</v>
      </c>
    </row>
    <row r="71" spans="1:8" ht="11.25" customHeight="1">
      <c r="A71" s="153" t="s">
        <v>217</v>
      </c>
      <c r="B71" s="185" t="s">
        <v>218</v>
      </c>
      <c r="C71" s="223">
        <f t="shared" si="15"/>
        <v>9100</v>
      </c>
      <c r="D71" s="158">
        <f t="shared" si="16"/>
        <v>9100</v>
      </c>
      <c r="E71" s="225" t="str">
        <f t="shared" si="14"/>
        <v>Ontario MOEE</v>
      </c>
      <c r="F71" s="135">
        <f t="shared" si="17"/>
        <v>91000</v>
      </c>
      <c r="G71" s="158">
        <f t="shared" si="18"/>
        <v>91000</v>
      </c>
      <c r="H71" s="168" t="str">
        <f t="shared" si="19"/>
        <v>Ontario MOEE</v>
      </c>
    </row>
    <row r="72" spans="1:8" ht="11.25" customHeight="1">
      <c r="A72" s="153" t="s">
        <v>219</v>
      </c>
      <c r="B72" s="185" t="s">
        <v>220</v>
      </c>
      <c r="C72" s="223">
        <f t="shared" si="15"/>
        <v>8400</v>
      </c>
      <c r="D72" s="158">
        <f t="shared" si="16"/>
        <v>8400</v>
      </c>
      <c r="E72" s="225" t="str">
        <f t="shared" si="14"/>
        <v>Amoore &amp; Hautala</v>
      </c>
      <c r="F72" s="135">
        <f t="shared" si="17"/>
        <v>84000</v>
      </c>
      <c r="G72" s="158">
        <f t="shared" si="18"/>
        <v>84000</v>
      </c>
      <c r="H72" s="168" t="str">
        <f t="shared" si="19"/>
        <v>Amoore &amp; Hautala</v>
      </c>
    </row>
    <row r="73" spans="1:8" ht="11.25" customHeight="1">
      <c r="A73" s="153" t="s">
        <v>221</v>
      </c>
      <c r="B73" s="185" t="s">
        <v>222</v>
      </c>
      <c r="C73" s="223">
        <f t="shared" si="15"/>
        <v>1300</v>
      </c>
      <c r="D73" s="158">
        <f t="shared" si="16"/>
        <v>1300</v>
      </c>
      <c r="E73" s="225" t="str">
        <f t="shared" si="14"/>
        <v>Amoore &amp; Hautala</v>
      </c>
      <c r="F73" s="135">
        <f t="shared" si="17"/>
        <v>13000</v>
      </c>
      <c r="G73" s="158">
        <f t="shared" si="18"/>
        <v>13000</v>
      </c>
      <c r="H73" s="168" t="str">
        <f t="shared" si="19"/>
        <v>Amoore &amp; Hautala</v>
      </c>
    </row>
    <row r="74" spans="1:8" ht="11.25" customHeight="1">
      <c r="A74" s="153" t="s">
        <v>223</v>
      </c>
      <c r="B74" s="185" t="s">
        <v>224</v>
      </c>
      <c r="C74" s="223" t="str">
        <f t="shared" si="15"/>
        <v>--</v>
      </c>
      <c r="D74" s="158" t="str">
        <f t="shared" si="16"/>
        <v>--</v>
      </c>
      <c r="E74" s="225" t="str">
        <f t="shared" si="14"/>
        <v>--</v>
      </c>
      <c r="F74" s="135" t="str">
        <f t="shared" si="17"/>
        <v>--</v>
      </c>
      <c r="G74" s="158" t="str">
        <f t="shared" si="18"/>
        <v>--</v>
      </c>
      <c r="H74" s="168" t="str">
        <f t="shared" si="19"/>
        <v>--</v>
      </c>
    </row>
    <row r="75" spans="1:8" ht="11.25" customHeight="1">
      <c r="A75" s="153" t="s">
        <v>225</v>
      </c>
      <c r="B75" s="185" t="s">
        <v>226</v>
      </c>
      <c r="C75" s="223">
        <f t="shared" si="15"/>
        <v>10</v>
      </c>
      <c r="D75" s="158">
        <f t="shared" si="16"/>
        <v>10</v>
      </c>
      <c r="E75" s="225" t="str">
        <f t="shared" ref="E75:E134" si="20">VLOOKUP($A75,Table_IP_1, MATCH("taste-basis", heading_IP_1, 0), FALSE)</f>
        <v>Ontario MOEE</v>
      </c>
      <c r="F75" s="135">
        <f t="shared" si="17"/>
        <v>100</v>
      </c>
      <c r="G75" s="158">
        <f t="shared" si="18"/>
        <v>100</v>
      </c>
      <c r="H75" s="168" t="str">
        <f t="shared" si="19"/>
        <v>Ontario MOEE</v>
      </c>
    </row>
    <row r="76" spans="1:8" ht="11.25" customHeight="1">
      <c r="A76" s="153" t="s">
        <v>227</v>
      </c>
      <c r="B76" s="185" t="s">
        <v>228</v>
      </c>
      <c r="C76" s="223">
        <f t="shared" si="15"/>
        <v>5</v>
      </c>
      <c r="D76" s="158">
        <f t="shared" si="16"/>
        <v>5</v>
      </c>
      <c r="E76" s="225" t="str">
        <f t="shared" si="20"/>
        <v>Cal 2nd MCL</v>
      </c>
      <c r="F76" s="135">
        <f t="shared" si="17"/>
        <v>1800</v>
      </c>
      <c r="G76" s="158">
        <f t="shared" si="18"/>
        <v>1800</v>
      </c>
      <c r="H76" s="168" t="str">
        <f t="shared" si="19"/>
        <v>DDW</v>
      </c>
    </row>
    <row r="77" spans="1:8" ht="11.25" customHeight="1">
      <c r="A77" s="153" t="s">
        <v>229</v>
      </c>
      <c r="B77" s="185" t="s">
        <v>230</v>
      </c>
      <c r="C77" s="223" t="str">
        <f t="shared" si="15"/>
        <v>--</v>
      </c>
      <c r="D77" s="158" t="str">
        <f t="shared" si="16"/>
        <v>--</v>
      </c>
      <c r="E77" s="225" t="str">
        <f t="shared" si="20"/>
        <v>--</v>
      </c>
      <c r="F77" s="135" t="str">
        <f t="shared" si="17"/>
        <v>--</v>
      </c>
      <c r="G77" s="158" t="str">
        <f t="shared" si="18"/>
        <v>--</v>
      </c>
      <c r="H77" s="168" t="str">
        <f t="shared" si="19"/>
        <v>--</v>
      </c>
    </row>
    <row r="78" spans="1:8" ht="11.25" customHeight="1">
      <c r="A78" s="153" t="s">
        <v>231</v>
      </c>
      <c r="B78" s="185" t="s">
        <v>232</v>
      </c>
      <c r="C78" s="223" t="str">
        <f t="shared" si="15"/>
        <v>--</v>
      </c>
      <c r="D78" s="158" t="str">
        <f t="shared" si="16"/>
        <v>--</v>
      </c>
      <c r="E78" s="225" t="str">
        <f t="shared" si="20"/>
        <v>--</v>
      </c>
      <c r="F78" s="135" t="str">
        <f t="shared" si="17"/>
        <v>--</v>
      </c>
      <c r="G78" s="158" t="str">
        <f t="shared" si="18"/>
        <v>--</v>
      </c>
      <c r="H78" s="168" t="str">
        <f t="shared" si="19"/>
        <v>--</v>
      </c>
    </row>
    <row r="79" spans="1:8" ht="11.25" customHeight="1">
      <c r="A79" s="153" t="s">
        <v>233</v>
      </c>
      <c r="B79" s="185" t="s">
        <v>234</v>
      </c>
      <c r="C79" s="223">
        <f t="shared" si="15"/>
        <v>20</v>
      </c>
      <c r="D79" s="158">
        <f t="shared" si="16"/>
        <v>20</v>
      </c>
      <c r="E79" s="225" t="str">
        <f t="shared" si="20"/>
        <v>Ontario MOEE</v>
      </c>
      <c r="F79" s="135">
        <f t="shared" si="17"/>
        <v>200</v>
      </c>
      <c r="G79" s="158">
        <f t="shared" si="18"/>
        <v>200</v>
      </c>
      <c r="H79" s="168" t="str">
        <f t="shared" si="19"/>
        <v>Ontario MOEE</v>
      </c>
    </row>
    <row r="80" spans="1:8" ht="11.25" customHeight="1">
      <c r="A80" s="153" t="s">
        <v>235</v>
      </c>
      <c r="B80" s="185" t="s">
        <v>236</v>
      </c>
      <c r="C80" s="223" t="str">
        <f t="shared" si="15"/>
        <v>--</v>
      </c>
      <c r="D80" s="158" t="str">
        <f t="shared" si="16"/>
        <v>--</v>
      </c>
      <c r="E80" s="225" t="str">
        <f t="shared" si="20"/>
        <v>--</v>
      </c>
      <c r="F80" s="135" t="str">
        <f t="shared" si="17"/>
        <v>--</v>
      </c>
      <c r="G80" s="158" t="str">
        <f t="shared" si="18"/>
        <v>--</v>
      </c>
      <c r="H80" s="168" t="str">
        <f t="shared" si="19"/>
        <v>--</v>
      </c>
    </row>
    <row r="81" spans="1:8" ht="11.25" customHeight="1">
      <c r="A81" s="153" t="s">
        <v>237</v>
      </c>
      <c r="B81" s="185" t="s">
        <v>238</v>
      </c>
      <c r="C81" s="223" t="str">
        <f t="shared" si="15"/>
        <v>--</v>
      </c>
      <c r="D81" s="158" t="str">
        <f t="shared" si="16"/>
        <v>--</v>
      </c>
      <c r="E81" s="225" t="str">
        <f t="shared" si="20"/>
        <v>--</v>
      </c>
      <c r="F81" s="135" t="str">
        <f t="shared" si="17"/>
        <v>--</v>
      </c>
      <c r="G81" s="158" t="str">
        <f t="shared" si="18"/>
        <v>--</v>
      </c>
      <c r="H81" s="168" t="str">
        <f t="shared" si="19"/>
        <v>--</v>
      </c>
    </row>
    <row r="82" spans="1:8" ht="11.25" customHeight="1">
      <c r="A82" s="153" t="s">
        <v>239</v>
      </c>
      <c r="B82" s="185" t="s">
        <v>240</v>
      </c>
      <c r="C82" s="223" t="str">
        <f t="shared" si="15"/>
        <v>--</v>
      </c>
      <c r="D82" s="158" t="str">
        <f t="shared" si="16"/>
        <v>--</v>
      </c>
      <c r="E82" s="225" t="str">
        <f t="shared" si="20"/>
        <v>--</v>
      </c>
      <c r="F82" s="135" t="str">
        <f t="shared" si="17"/>
        <v>--</v>
      </c>
      <c r="G82" s="158" t="str">
        <f t="shared" si="18"/>
        <v>--</v>
      </c>
      <c r="H82" s="168" t="str">
        <f t="shared" si="19"/>
        <v>--</v>
      </c>
    </row>
    <row r="83" spans="1:8" ht="11.25" customHeight="1">
      <c r="A83" s="153" t="s">
        <v>241</v>
      </c>
      <c r="B83" s="185" t="s">
        <v>242</v>
      </c>
      <c r="C83" s="223" t="str">
        <f t="shared" si="15"/>
        <v>--</v>
      </c>
      <c r="D83" s="158" t="str">
        <f t="shared" si="16"/>
        <v>--</v>
      </c>
      <c r="E83" s="225" t="str">
        <f t="shared" si="20"/>
        <v>--</v>
      </c>
      <c r="F83" s="135" t="str">
        <f t="shared" si="17"/>
        <v>--</v>
      </c>
      <c r="G83" s="158" t="str">
        <f t="shared" si="18"/>
        <v>--</v>
      </c>
      <c r="H83" s="168" t="str">
        <f t="shared" si="19"/>
        <v>--</v>
      </c>
    </row>
    <row r="84" spans="1:8" ht="11.25" customHeight="1">
      <c r="A84" s="153" t="s">
        <v>243</v>
      </c>
      <c r="B84" s="185" t="s">
        <v>244</v>
      </c>
      <c r="C84" s="223" t="str">
        <f t="shared" si="15"/>
        <v>--</v>
      </c>
      <c r="D84" s="158" t="str">
        <f t="shared" si="16"/>
        <v>--</v>
      </c>
      <c r="E84" s="225" t="str">
        <f t="shared" si="20"/>
        <v>--</v>
      </c>
      <c r="F84" s="135" t="str">
        <f t="shared" si="17"/>
        <v>--</v>
      </c>
      <c r="G84" s="158" t="str">
        <f t="shared" si="18"/>
        <v>--</v>
      </c>
      <c r="H84" s="168" t="str">
        <f t="shared" si="19"/>
        <v>--</v>
      </c>
    </row>
    <row r="85" spans="1:8" ht="11.25" customHeight="1">
      <c r="A85" s="153" t="s">
        <v>245</v>
      </c>
      <c r="B85" s="185" t="s">
        <v>246</v>
      </c>
      <c r="C85" s="223" t="str">
        <f t="shared" si="15"/>
        <v>--</v>
      </c>
      <c r="D85" s="158" t="str">
        <f t="shared" si="16"/>
        <v>--</v>
      </c>
      <c r="E85" s="225" t="str">
        <f t="shared" si="20"/>
        <v>--</v>
      </c>
      <c r="F85" s="135" t="str">
        <f t="shared" si="17"/>
        <v>--</v>
      </c>
      <c r="G85" s="158" t="str">
        <f t="shared" si="18"/>
        <v>--</v>
      </c>
      <c r="H85" s="168" t="str">
        <f t="shared" si="19"/>
        <v>--</v>
      </c>
    </row>
    <row r="86" spans="1:8" ht="11.25" customHeight="1">
      <c r="A86" s="153" t="s">
        <v>247</v>
      </c>
      <c r="B86" s="185" t="s">
        <v>248</v>
      </c>
      <c r="C86" s="223" t="str">
        <f t="shared" si="15"/>
        <v>--</v>
      </c>
      <c r="D86" s="158" t="str">
        <f t="shared" si="16"/>
        <v>--</v>
      </c>
      <c r="E86" s="225" t="str">
        <f t="shared" si="20"/>
        <v>--</v>
      </c>
      <c r="F86" s="135" t="str">
        <f t="shared" si="17"/>
        <v>--</v>
      </c>
      <c r="G86" s="158" t="str">
        <f t="shared" si="18"/>
        <v>--</v>
      </c>
      <c r="H86" s="168" t="str">
        <f t="shared" si="19"/>
        <v>--</v>
      </c>
    </row>
    <row r="87" spans="1:8" ht="11.25" customHeight="1">
      <c r="A87" s="153" t="s">
        <v>249</v>
      </c>
      <c r="B87" s="185" t="s">
        <v>250</v>
      </c>
      <c r="C87" s="223" t="str">
        <f t="shared" si="15"/>
        <v>--</v>
      </c>
      <c r="D87" s="158" t="str">
        <f t="shared" si="16"/>
        <v>--</v>
      </c>
      <c r="E87" s="225" t="str">
        <f t="shared" si="20"/>
        <v>--</v>
      </c>
      <c r="F87" s="135" t="str">
        <f t="shared" si="17"/>
        <v>--</v>
      </c>
      <c r="G87" s="158" t="str">
        <f t="shared" si="18"/>
        <v>--</v>
      </c>
      <c r="H87" s="168" t="str">
        <f t="shared" si="19"/>
        <v>--</v>
      </c>
    </row>
    <row r="88" spans="1:8" ht="11.25" customHeight="1">
      <c r="A88" s="153" t="s">
        <v>251</v>
      </c>
      <c r="B88" s="185" t="s">
        <v>252</v>
      </c>
      <c r="C88" s="223" t="str">
        <f t="shared" si="15"/>
        <v>--</v>
      </c>
      <c r="D88" s="158" t="str">
        <f t="shared" si="16"/>
        <v>--</v>
      </c>
      <c r="E88" s="225" t="str">
        <f t="shared" si="20"/>
        <v>--</v>
      </c>
      <c r="F88" s="135" t="str">
        <f t="shared" si="17"/>
        <v>--</v>
      </c>
      <c r="G88" s="158" t="str">
        <f t="shared" si="18"/>
        <v>--</v>
      </c>
      <c r="H88" s="168" t="str">
        <f t="shared" si="19"/>
        <v>--</v>
      </c>
    </row>
    <row r="89" spans="1:8" ht="11.25" customHeight="1">
      <c r="A89" s="153" t="s">
        <v>253</v>
      </c>
      <c r="B89" s="185" t="s">
        <v>254</v>
      </c>
      <c r="C89" s="223" t="str">
        <f t="shared" si="15"/>
        <v>--</v>
      </c>
      <c r="D89" s="158" t="str">
        <f t="shared" si="16"/>
        <v>--</v>
      </c>
      <c r="E89" s="225" t="str">
        <f t="shared" si="20"/>
        <v>--</v>
      </c>
      <c r="F89" s="135" t="str">
        <f t="shared" si="17"/>
        <v>--</v>
      </c>
      <c r="G89" s="158" t="str">
        <f t="shared" si="18"/>
        <v>--</v>
      </c>
      <c r="H89" s="168" t="str">
        <f t="shared" si="19"/>
        <v>--</v>
      </c>
    </row>
    <row r="90" spans="1:8" ht="11.25" customHeight="1">
      <c r="A90" s="153" t="s">
        <v>255</v>
      </c>
      <c r="B90" s="185" t="s">
        <v>256</v>
      </c>
      <c r="C90" s="223">
        <f t="shared" si="15"/>
        <v>21</v>
      </c>
      <c r="D90" s="158">
        <f t="shared" si="16"/>
        <v>21</v>
      </c>
      <c r="E90" s="225" t="str">
        <f t="shared" si="20"/>
        <v>Amoore &amp; Hautala</v>
      </c>
      <c r="F90" s="135">
        <f t="shared" si="17"/>
        <v>210</v>
      </c>
      <c r="G90" s="158">
        <f t="shared" si="18"/>
        <v>210</v>
      </c>
      <c r="H90" s="168" t="str">
        <f t="shared" si="19"/>
        <v>Ontario MOEE</v>
      </c>
    </row>
    <row r="91" spans="1:8" ht="11.25" customHeight="1">
      <c r="A91" s="153" t="s">
        <v>257</v>
      </c>
      <c r="B91" s="185" t="s">
        <v>258</v>
      </c>
      <c r="C91" s="223" t="str">
        <f t="shared" si="15"/>
        <v>--</v>
      </c>
      <c r="D91" s="158" t="str">
        <f t="shared" si="16"/>
        <v>--</v>
      </c>
      <c r="E91" s="225" t="str">
        <f t="shared" si="20"/>
        <v>--</v>
      </c>
      <c r="F91" s="135" t="str">
        <f t="shared" si="17"/>
        <v>--</v>
      </c>
      <c r="G91" s="158" t="str">
        <f t="shared" si="18"/>
        <v>--</v>
      </c>
      <c r="H91" s="168" t="str">
        <f t="shared" si="19"/>
        <v>--</v>
      </c>
    </row>
    <row r="92" spans="1:8" ht="11.25" customHeight="1">
      <c r="A92" s="153" t="s">
        <v>259</v>
      </c>
      <c r="B92" s="185" t="s">
        <v>260</v>
      </c>
      <c r="C92" s="223">
        <f t="shared" ref="C92:C101" si="21">D92</f>
        <v>30</v>
      </c>
      <c r="D92" s="158">
        <f t="shared" ref="D92:D138" si="22">VLOOKUP($A92,Table_IP_1, MATCH("taste-odor", heading_IP_1, 0), FALSE)</f>
        <v>30</v>
      </c>
      <c r="E92" s="225" t="str">
        <f t="shared" si="20"/>
        <v>Amoore &amp; Hautala</v>
      </c>
      <c r="F92" s="135">
        <f t="shared" ref="F92:F101" si="23">G92</f>
        <v>5900</v>
      </c>
      <c r="G92" s="158">
        <f t="shared" ref="G92:G138" si="24">VLOOKUP($A92,Table_IP_1, MATCH("nuis-odor", heading_IP_1, 0), FALSE)</f>
        <v>5900</v>
      </c>
      <c r="H92" s="168" t="str">
        <f t="shared" ref="H92:H138" si="25">VLOOKUP($A92,Table_IP_1, MATCH("nuis-basis", heading_IP_1, 0), FALSE)</f>
        <v>Ontario MOEE</v>
      </c>
    </row>
    <row r="93" spans="1:8" ht="11.25" customHeight="1">
      <c r="A93" s="153" t="s">
        <v>261</v>
      </c>
      <c r="B93" s="185" t="s">
        <v>1261</v>
      </c>
      <c r="C93" s="223" t="str">
        <f t="shared" si="21"/>
        <v>--</v>
      </c>
      <c r="D93" s="158" t="str">
        <f t="shared" si="22"/>
        <v>--</v>
      </c>
      <c r="E93" s="225" t="str">
        <f t="shared" si="20"/>
        <v>--</v>
      </c>
      <c r="F93" s="135" t="str">
        <f t="shared" si="23"/>
        <v>--</v>
      </c>
      <c r="G93" s="158" t="str">
        <f t="shared" si="24"/>
        <v>--</v>
      </c>
      <c r="H93" s="168" t="str">
        <f t="shared" si="25"/>
        <v>--</v>
      </c>
    </row>
    <row r="94" spans="1:8" ht="11.25" customHeight="1">
      <c r="A94" s="153" t="s">
        <v>263</v>
      </c>
      <c r="B94" s="185" t="s">
        <v>115</v>
      </c>
      <c r="C94" s="223">
        <f t="shared" si="21"/>
        <v>100</v>
      </c>
      <c r="D94" s="158">
        <f t="shared" si="22"/>
        <v>100</v>
      </c>
      <c r="E94" s="225" t="str">
        <f t="shared" si="20"/>
        <v>USEPA SNARL</v>
      </c>
      <c r="F94" s="135">
        <f t="shared" si="23"/>
        <v>5000</v>
      </c>
      <c r="G94" s="158">
        <f t="shared" si="24"/>
        <v>5000</v>
      </c>
      <c r="H94" s="168" t="str">
        <f t="shared" si="25"/>
        <v>MADEP</v>
      </c>
    </row>
    <row r="95" spans="1:8" ht="11.25" customHeight="1">
      <c r="A95" s="153" t="s">
        <v>264</v>
      </c>
      <c r="B95" s="185" t="s">
        <v>115</v>
      </c>
      <c r="C95" s="223">
        <f t="shared" si="21"/>
        <v>100</v>
      </c>
      <c r="D95" s="158">
        <f t="shared" si="22"/>
        <v>100</v>
      </c>
      <c r="E95" s="225" t="str">
        <f t="shared" si="20"/>
        <v>USEPA SNARL</v>
      </c>
      <c r="F95" s="135">
        <f t="shared" si="23"/>
        <v>5000</v>
      </c>
      <c r="G95" s="158">
        <f t="shared" si="24"/>
        <v>5000</v>
      </c>
      <c r="H95" s="168" t="str">
        <f t="shared" si="25"/>
        <v>MADEP</v>
      </c>
    </row>
    <row r="96" spans="1:8" ht="11.25" customHeight="1">
      <c r="A96" s="153" t="s">
        <v>265</v>
      </c>
      <c r="B96" s="185" t="s">
        <v>115</v>
      </c>
      <c r="C96" s="223">
        <f t="shared" si="21"/>
        <v>100</v>
      </c>
      <c r="D96" s="158">
        <f t="shared" si="22"/>
        <v>100</v>
      </c>
      <c r="E96" s="225" t="str">
        <f t="shared" si="20"/>
        <v>USEPA SNARL</v>
      </c>
      <c r="F96" s="135">
        <f t="shared" si="23"/>
        <v>5000</v>
      </c>
      <c r="G96" s="158">
        <f t="shared" si="24"/>
        <v>5000</v>
      </c>
      <c r="H96" s="168" t="str">
        <f t="shared" si="25"/>
        <v>MADEP</v>
      </c>
    </row>
    <row r="97" spans="1:8" ht="11.25" customHeight="1">
      <c r="A97" s="153" t="s">
        <v>266</v>
      </c>
      <c r="B97" s="185" t="s">
        <v>115</v>
      </c>
      <c r="C97" s="223">
        <f t="shared" si="21"/>
        <v>100</v>
      </c>
      <c r="D97" s="158">
        <f t="shared" si="22"/>
        <v>100</v>
      </c>
      <c r="E97" s="225" t="str">
        <f t="shared" si="20"/>
        <v>USEPA SNARL</v>
      </c>
      <c r="F97" s="135">
        <f t="shared" si="23"/>
        <v>5000</v>
      </c>
      <c r="G97" s="158">
        <f t="shared" si="24"/>
        <v>5000</v>
      </c>
      <c r="H97" s="168" t="str">
        <f t="shared" si="25"/>
        <v>MADEP</v>
      </c>
    </row>
    <row r="98" spans="1:8" ht="11.25" customHeight="1">
      <c r="A98" s="153" t="s">
        <v>267</v>
      </c>
      <c r="B98" s="185" t="s">
        <v>115</v>
      </c>
      <c r="C98" s="223">
        <f t="shared" si="21"/>
        <v>100</v>
      </c>
      <c r="D98" s="158">
        <f t="shared" si="22"/>
        <v>100</v>
      </c>
      <c r="E98" s="225" t="str">
        <f t="shared" si="20"/>
        <v>USEPA SNARL</v>
      </c>
      <c r="F98" s="135">
        <f t="shared" si="23"/>
        <v>5000</v>
      </c>
      <c r="G98" s="158">
        <f t="shared" si="24"/>
        <v>5000</v>
      </c>
      <c r="H98" s="168" t="str">
        <f t="shared" si="25"/>
        <v>MADEP</v>
      </c>
    </row>
    <row r="99" spans="1:8" ht="11.25" customHeight="1">
      <c r="A99" s="1220" t="s">
        <v>268</v>
      </c>
      <c r="B99" s="346" t="s">
        <v>115</v>
      </c>
      <c r="C99" s="1235"/>
      <c r="D99" s="564"/>
      <c r="E99" s="1236"/>
      <c r="F99" s="1234"/>
      <c r="G99" s="564"/>
      <c r="H99" s="1237"/>
    </row>
    <row r="100" spans="1:8" ht="11.25" customHeight="1">
      <c r="A100" s="153" t="s">
        <v>269</v>
      </c>
      <c r="B100" s="185" t="s">
        <v>270</v>
      </c>
      <c r="C100" s="223" t="str">
        <f t="shared" si="21"/>
        <v>--</v>
      </c>
      <c r="D100" s="158" t="str">
        <f t="shared" si="22"/>
        <v>--</v>
      </c>
      <c r="E100" s="225" t="str">
        <f t="shared" si="20"/>
        <v>--</v>
      </c>
      <c r="F100" s="135" t="str">
        <f t="shared" si="23"/>
        <v>--</v>
      </c>
      <c r="G100" s="158" t="str">
        <f t="shared" si="24"/>
        <v>--</v>
      </c>
      <c r="H100" s="168" t="str">
        <f t="shared" si="25"/>
        <v>--</v>
      </c>
    </row>
    <row r="101" spans="1:8" ht="11.25" customHeight="1">
      <c r="A101" s="153" t="s">
        <v>271</v>
      </c>
      <c r="B101" s="185" t="s">
        <v>272</v>
      </c>
      <c r="C101" s="223" t="str">
        <f t="shared" si="21"/>
        <v>--</v>
      </c>
      <c r="D101" s="158" t="str">
        <f t="shared" si="22"/>
        <v>--</v>
      </c>
      <c r="E101" s="225" t="str">
        <f t="shared" si="20"/>
        <v>--</v>
      </c>
      <c r="F101" s="135" t="str">
        <f t="shared" si="23"/>
        <v>--</v>
      </c>
      <c r="G101" s="158" t="str">
        <f t="shared" si="24"/>
        <v>--</v>
      </c>
      <c r="H101" s="168" t="str">
        <f t="shared" si="25"/>
        <v>--</v>
      </c>
    </row>
    <row r="102" spans="1:8" ht="11.25" customHeight="1">
      <c r="A102" s="153" t="s">
        <v>273</v>
      </c>
      <c r="B102" s="185" t="s">
        <v>274</v>
      </c>
      <c r="C102" s="223" t="str">
        <f t="shared" ref="C102:C108" si="26">D102</f>
        <v>--</v>
      </c>
      <c r="D102" s="158" t="str">
        <f t="shared" si="22"/>
        <v>--</v>
      </c>
      <c r="E102" s="225" t="str">
        <f t="shared" si="20"/>
        <v>--</v>
      </c>
      <c r="F102" s="135" t="str">
        <f t="shared" ref="F102:F108" si="27">G102</f>
        <v>--</v>
      </c>
      <c r="G102" s="158" t="str">
        <f t="shared" si="24"/>
        <v>--</v>
      </c>
      <c r="H102" s="168" t="str">
        <f t="shared" si="25"/>
        <v>--</v>
      </c>
    </row>
    <row r="103" spans="1:8" ht="11.25" customHeight="1">
      <c r="A103" s="153" t="s">
        <v>275</v>
      </c>
      <c r="B103" s="185" t="s">
        <v>276</v>
      </c>
      <c r="C103" s="223" t="str">
        <f t="shared" si="26"/>
        <v>--</v>
      </c>
      <c r="D103" s="158" t="str">
        <f t="shared" si="22"/>
        <v>--</v>
      </c>
      <c r="E103" s="225" t="str">
        <f t="shared" si="20"/>
        <v>--</v>
      </c>
      <c r="F103" s="135" t="str">
        <f t="shared" si="27"/>
        <v>--</v>
      </c>
      <c r="G103" s="158" t="str">
        <f t="shared" si="24"/>
        <v>--</v>
      </c>
      <c r="H103" s="168" t="str">
        <f t="shared" si="25"/>
        <v>--</v>
      </c>
    </row>
    <row r="104" spans="1:8" ht="11.25" customHeight="1">
      <c r="A104" s="153" t="s">
        <v>277</v>
      </c>
      <c r="B104" s="185" t="s">
        <v>278</v>
      </c>
      <c r="C104" s="223" t="str">
        <f t="shared" si="26"/>
        <v>--</v>
      </c>
      <c r="D104" s="158" t="str">
        <f t="shared" si="22"/>
        <v>--</v>
      </c>
      <c r="E104" s="225" t="str">
        <f t="shared" si="20"/>
        <v>--</v>
      </c>
      <c r="F104" s="135" t="str">
        <f t="shared" si="27"/>
        <v>--</v>
      </c>
      <c r="G104" s="158" t="str">
        <f t="shared" si="24"/>
        <v>--</v>
      </c>
      <c r="H104" s="168" t="str">
        <f t="shared" si="25"/>
        <v>--</v>
      </c>
    </row>
    <row r="105" spans="1:8" ht="11.25" customHeight="1">
      <c r="A105" s="153" t="s">
        <v>279</v>
      </c>
      <c r="B105" s="185" t="s">
        <v>280</v>
      </c>
      <c r="C105" s="223" t="str">
        <f t="shared" si="26"/>
        <v>--</v>
      </c>
      <c r="D105" s="158" t="str">
        <f t="shared" si="22"/>
        <v>--</v>
      </c>
      <c r="E105" s="225" t="str">
        <f t="shared" si="20"/>
        <v>--</v>
      </c>
      <c r="F105" s="135" t="str">
        <f t="shared" si="27"/>
        <v>--</v>
      </c>
      <c r="G105" s="158" t="str">
        <f t="shared" si="24"/>
        <v>--</v>
      </c>
      <c r="H105" s="168" t="str">
        <f t="shared" si="25"/>
        <v>--</v>
      </c>
    </row>
    <row r="106" spans="1:8" ht="11.25" customHeight="1">
      <c r="A106" s="153" t="s">
        <v>281</v>
      </c>
      <c r="B106" s="185" t="s">
        <v>282</v>
      </c>
      <c r="C106" s="223" t="str">
        <f t="shared" si="26"/>
        <v>--</v>
      </c>
      <c r="D106" s="158" t="str">
        <f t="shared" si="22"/>
        <v>--</v>
      </c>
      <c r="E106" s="225" t="str">
        <f t="shared" si="20"/>
        <v>--</v>
      </c>
      <c r="F106" s="135" t="str">
        <f t="shared" si="27"/>
        <v>--</v>
      </c>
      <c r="G106" s="158" t="str">
        <f t="shared" si="24"/>
        <v>--</v>
      </c>
      <c r="H106" s="168" t="str">
        <f t="shared" si="25"/>
        <v>--</v>
      </c>
    </row>
    <row r="107" spans="1:8" ht="11.25" customHeight="1">
      <c r="A107" s="153" t="s">
        <v>283</v>
      </c>
      <c r="B107" s="185" t="s">
        <v>284</v>
      </c>
      <c r="C107" s="223" t="str">
        <f t="shared" si="26"/>
        <v>--</v>
      </c>
      <c r="D107" s="158" t="str">
        <f t="shared" si="22"/>
        <v>--</v>
      </c>
      <c r="E107" s="225" t="str">
        <f t="shared" si="20"/>
        <v>--</v>
      </c>
      <c r="F107" s="135" t="str">
        <f t="shared" si="27"/>
        <v>--</v>
      </c>
      <c r="G107" s="158" t="str">
        <f t="shared" si="24"/>
        <v>--</v>
      </c>
      <c r="H107" s="168" t="str">
        <f t="shared" si="25"/>
        <v>--</v>
      </c>
    </row>
    <row r="108" spans="1:8" ht="11.25" customHeight="1">
      <c r="A108" s="153" t="s">
        <v>285</v>
      </c>
      <c r="B108" s="185" t="s">
        <v>286</v>
      </c>
      <c r="C108" s="223" t="str">
        <f t="shared" si="26"/>
        <v>--</v>
      </c>
      <c r="D108" s="158" t="str">
        <f t="shared" si="22"/>
        <v>--</v>
      </c>
      <c r="E108" s="225" t="str">
        <f t="shared" si="20"/>
        <v>--</v>
      </c>
      <c r="F108" s="135" t="str">
        <f t="shared" si="27"/>
        <v>--</v>
      </c>
      <c r="G108" s="158" t="str">
        <f t="shared" si="24"/>
        <v>--</v>
      </c>
      <c r="H108" s="168" t="str">
        <f t="shared" si="25"/>
        <v>--</v>
      </c>
    </row>
    <row r="109" spans="1:8" ht="11.25" customHeight="1">
      <c r="A109" s="153" t="s">
        <v>287</v>
      </c>
      <c r="B109" s="185" t="s">
        <v>288</v>
      </c>
      <c r="C109" s="223" t="str">
        <f t="shared" ref="C109:C121" si="28">D109</f>
        <v>--</v>
      </c>
      <c r="D109" s="158" t="str">
        <f t="shared" si="22"/>
        <v>--</v>
      </c>
      <c r="E109" s="225" t="str">
        <f t="shared" si="20"/>
        <v>--</v>
      </c>
      <c r="F109" s="135" t="str">
        <f t="shared" ref="F109:F121" si="29">G109</f>
        <v>--</v>
      </c>
      <c r="G109" s="158" t="str">
        <f t="shared" si="24"/>
        <v>--</v>
      </c>
      <c r="H109" s="168" t="str">
        <f t="shared" si="25"/>
        <v>--</v>
      </c>
    </row>
    <row r="110" spans="1:8" ht="11.25" customHeight="1">
      <c r="A110" s="153" t="s">
        <v>289</v>
      </c>
      <c r="B110" s="185" t="s">
        <v>290</v>
      </c>
      <c r="C110" s="223" t="str">
        <f t="shared" si="28"/>
        <v>--</v>
      </c>
      <c r="D110" s="158" t="str">
        <f t="shared" si="22"/>
        <v>--</v>
      </c>
      <c r="E110" s="225" t="str">
        <f t="shared" si="20"/>
        <v>--</v>
      </c>
      <c r="F110" s="135" t="str">
        <f t="shared" si="29"/>
        <v>--</v>
      </c>
      <c r="G110" s="158" t="str">
        <f t="shared" si="24"/>
        <v>--</v>
      </c>
      <c r="H110" s="168" t="str">
        <f t="shared" si="25"/>
        <v>--</v>
      </c>
    </row>
    <row r="111" spans="1:8" ht="11.25" customHeight="1">
      <c r="A111" s="153" t="s">
        <v>291</v>
      </c>
      <c r="B111" s="185" t="s">
        <v>292</v>
      </c>
      <c r="C111" s="223" t="str">
        <f t="shared" si="28"/>
        <v>--</v>
      </c>
      <c r="D111" s="158" t="str">
        <f t="shared" si="22"/>
        <v>--</v>
      </c>
      <c r="E111" s="225" t="str">
        <f t="shared" si="20"/>
        <v>--</v>
      </c>
      <c r="F111" s="135" t="str">
        <f t="shared" si="29"/>
        <v>--</v>
      </c>
      <c r="G111" s="158" t="str">
        <f t="shared" si="24"/>
        <v>--</v>
      </c>
      <c r="H111" s="168" t="str">
        <f t="shared" si="25"/>
        <v>--</v>
      </c>
    </row>
    <row r="112" spans="1:8" ht="11.25" customHeight="1">
      <c r="A112" s="153" t="s">
        <v>293</v>
      </c>
      <c r="B112" s="185" t="s">
        <v>294</v>
      </c>
      <c r="C112" s="223" t="str">
        <f t="shared" si="28"/>
        <v>--</v>
      </c>
      <c r="D112" s="158" t="str">
        <f t="shared" si="22"/>
        <v>--</v>
      </c>
      <c r="E112" s="225" t="str">
        <f t="shared" si="20"/>
        <v>--</v>
      </c>
      <c r="F112" s="135" t="str">
        <f t="shared" si="29"/>
        <v>--</v>
      </c>
      <c r="G112" s="158" t="str">
        <f t="shared" si="24"/>
        <v>--</v>
      </c>
      <c r="H112" s="168" t="str">
        <f t="shared" si="25"/>
        <v>--</v>
      </c>
    </row>
    <row r="113" spans="1:8" ht="11.25" customHeight="1">
      <c r="A113" s="153" t="s">
        <v>295</v>
      </c>
      <c r="B113" s="185" t="s">
        <v>296</v>
      </c>
      <c r="C113" s="223" t="str">
        <f t="shared" si="28"/>
        <v>--</v>
      </c>
      <c r="D113" s="158" t="str">
        <f t="shared" si="22"/>
        <v>--</v>
      </c>
      <c r="E113" s="225" t="str">
        <f t="shared" si="20"/>
        <v>--</v>
      </c>
      <c r="F113" s="135" t="str">
        <f t="shared" si="29"/>
        <v>--</v>
      </c>
      <c r="G113" s="158" t="str">
        <f t="shared" si="24"/>
        <v>--</v>
      </c>
      <c r="H113" s="168" t="str">
        <f t="shared" si="25"/>
        <v>--</v>
      </c>
    </row>
    <row r="114" spans="1:8" ht="11.25" customHeight="1">
      <c r="A114" s="153" t="s">
        <v>297</v>
      </c>
      <c r="B114" s="185" t="s">
        <v>298</v>
      </c>
      <c r="C114" s="223" t="str">
        <f t="shared" si="28"/>
        <v>--</v>
      </c>
      <c r="D114" s="158" t="str">
        <f t="shared" si="22"/>
        <v>--</v>
      </c>
      <c r="E114" s="225" t="str">
        <f t="shared" si="20"/>
        <v>--</v>
      </c>
      <c r="F114" s="135" t="str">
        <f t="shared" si="29"/>
        <v>--</v>
      </c>
      <c r="G114" s="158" t="str">
        <f t="shared" si="24"/>
        <v>--</v>
      </c>
      <c r="H114" s="168" t="str">
        <f t="shared" si="25"/>
        <v>--</v>
      </c>
    </row>
    <row r="115" spans="1:8" ht="11.25" customHeight="1">
      <c r="A115" s="153" t="s">
        <v>299</v>
      </c>
      <c r="B115" s="185" t="s">
        <v>300</v>
      </c>
      <c r="C115" s="223" t="str">
        <f t="shared" si="28"/>
        <v>--</v>
      </c>
      <c r="D115" s="158" t="str">
        <f t="shared" si="22"/>
        <v>--</v>
      </c>
      <c r="E115" s="225" t="str">
        <f t="shared" si="20"/>
        <v>--</v>
      </c>
      <c r="F115" s="135" t="str">
        <f t="shared" si="29"/>
        <v>--</v>
      </c>
      <c r="G115" s="158" t="str">
        <f t="shared" si="24"/>
        <v>--</v>
      </c>
      <c r="H115" s="168" t="str">
        <f t="shared" si="25"/>
        <v>--</v>
      </c>
    </row>
    <row r="116" spans="1:8" ht="11.25" customHeight="1">
      <c r="A116" s="153" t="s">
        <v>301</v>
      </c>
      <c r="B116" s="185" t="s">
        <v>302</v>
      </c>
      <c r="C116" s="223">
        <f t="shared" si="28"/>
        <v>300</v>
      </c>
      <c r="D116" s="158">
        <f t="shared" si="22"/>
        <v>300</v>
      </c>
      <c r="E116" s="225" t="str">
        <f t="shared" si="20"/>
        <v>USEPA (2002a)</v>
      </c>
      <c r="F116" s="135">
        <f t="shared" si="29"/>
        <v>79000</v>
      </c>
      <c r="G116" s="158">
        <f t="shared" si="24"/>
        <v>79000</v>
      </c>
      <c r="H116" s="168" t="str">
        <f t="shared" si="25"/>
        <v>Ontario MOEE</v>
      </c>
    </row>
    <row r="117" spans="1:8" ht="11.25" customHeight="1">
      <c r="A117" s="153" t="s">
        <v>303</v>
      </c>
      <c r="B117" s="185" t="s">
        <v>304</v>
      </c>
      <c r="C117" s="223" t="str">
        <f t="shared" si="28"/>
        <v>--</v>
      </c>
      <c r="D117" s="158" t="str">
        <f t="shared" si="22"/>
        <v>--</v>
      </c>
      <c r="E117" s="225" t="str">
        <f t="shared" si="20"/>
        <v>--</v>
      </c>
      <c r="F117" s="135" t="str">
        <f t="shared" si="29"/>
        <v>--</v>
      </c>
      <c r="G117" s="158" t="str">
        <f t="shared" si="24"/>
        <v>--</v>
      </c>
      <c r="H117" s="168" t="str">
        <f t="shared" si="25"/>
        <v>--</v>
      </c>
    </row>
    <row r="118" spans="1:8" ht="11.25" customHeight="1">
      <c r="A118" s="153" t="s">
        <v>305</v>
      </c>
      <c r="B118" s="185" t="s">
        <v>306</v>
      </c>
      <c r="C118" s="223" t="str">
        <f t="shared" si="28"/>
        <v>--</v>
      </c>
      <c r="D118" s="158" t="str">
        <f t="shared" si="22"/>
        <v>--</v>
      </c>
      <c r="E118" s="225" t="str">
        <f t="shared" si="20"/>
        <v>--</v>
      </c>
      <c r="F118" s="135" t="str">
        <f t="shared" si="29"/>
        <v>--</v>
      </c>
      <c r="G118" s="158" t="str">
        <f t="shared" si="24"/>
        <v>--</v>
      </c>
      <c r="H118" s="168" t="str">
        <f t="shared" si="25"/>
        <v>--</v>
      </c>
    </row>
    <row r="119" spans="1:8" ht="11.25" customHeight="1">
      <c r="A119" s="153" t="s">
        <v>307</v>
      </c>
      <c r="B119" s="185" t="s">
        <v>308</v>
      </c>
      <c r="C119" s="223">
        <f t="shared" si="28"/>
        <v>100</v>
      </c>
      <c r="D119" s="158">
        <f t="shared" si="22"/>
        <v>100</v>
      </c>
      <c r="E119" s="225" t="str">
        <f t="shared" si="20"/>
        <v>Cal 2nd MCL</v>
      </c>
      <c r="F119" s="135" t="str">
        <f t="shared" si="29"/>
        <v>--</v>
      </c>
      <c r="G119" s="158" t="str">
        <f t="shared" si="24"/>
        <v>--</v>
      </c>
      <c r="H119" s="168" t="str">
        <f t="shared" si="25"/>
        <v>--</v>
      </c>
    </row>
    <row r="120" spans="1:8" ht="11.25" customHeight="1">
      <c r="A120" s="153" t="s">
        <v>309</v>
      </c>
      <c r="B120" s="185" t="s">
        <v>310</v>
      </c>
      <c r="C120" s="223">
        <f t="shared" si="28"/>
        <v>10</v>
      </c>
      <c r="D120" s="158">
        <f t="shared" si="22"/>
        <v>10</v>
      </c>
      <c r="E120" s="225" t="str">
        <f t="shared" si="20"/>
        <v>USEPA 2nd MCL</v>
      </c>
      <c r="F120" s="135">
        <f t="shared" si="29"/>
        <v>110</v>
      </c>
      <c r="G120" s="158">
        <f t="shared" si="24"/>
        <v>110</v>
      </c>
      <c r="H120" s="168" t="str">
        <f t="shared" si="25"/>
        <v>Ontario MOEE</v>
      </c>
    </row>
    <row r="121" spans="1:8">
      <c r="A121" s="153" t="s">
        <v>311</v>
      </c>
      <c r="B121" s="185" t="s">
        <v>312</v>
      </c>
      <c r="C121" s="223" t="str">
        <f t="shared" si="28"/>
        <v>--</v>
      </c>
      <c r="D121" s="158" t="str">
        <f t="shared" si="22"/>
        <v>--</v>
      </c>
      <c r="E121" s="225" t="str">
        <f t="shared" si="20"/>
        <v>--</v>
      </c>
      <c r="F121" s="135" t="str">
        <f t="shared" si="29"/>
        <v>--</v>
      </c>
      <c r="G121" s="158" t="str">
        <f t="shared" si="24"/>
        <v>--</v>
      </c>
      <c r="H121" s="168" t="str">
        <f t="shared" si="25"/>
        <v>--</v>
      </c>
    </row>
    <row r="122" spans="1:8" ht="11.25" customHeight="1">
      <c r="A122" s="153" t="s">
        <v>313</v>
      </c>
      <c r="B122" s="185" t="s">
        <v>314</v>
      </c>
      <c r="C122" s="223" t="str">
        <f t="shared" ref="C122:C137" si="30">D122</f>
        <v>--</v>
      </c>
      <c r="D122" s="158" t="str">
        <f t="shared" si="22"/>
        <v>--</v>
      </c>
      <c r="E122" s="225" t="str">
        <f t="shared" si="20"/>
        <v>--</v>
      </c>
      <c r="F122" s="135" t="str">
        <f t="shared" ref="F122:F137" si="31">G122</f>
        <v>--</v>
      </c>
      <c r="G122" s="158" t="str">
        <f t="shared" si="24"/>
        <v>--</v>
      </c>
      <c r="H122" s="168" t="str">
        <f t="shared" si="25"/>
        <v>--</v>
      </c>
    </row>
    <row r="123" spans="1:8" ht="11.25" customHeight="1">
      <c r="A123" s="153" t="s">
        <v>315</v>
      </c>
      <c r="B123" s="185" t="s">
        <v>316</v>
      </c>
      <c r="C123" s="223">
        <f t="shared" si="30"/>
        <v>500</v>
      </c>
      <c r="D123" s="158">
        <f t="shared" si="22"/>
        <v>500</v>
      </c>
      <c r="E123" s="225" t="str">
        <f t="shared" si="20"/>
        <v>Amoore &amp; Hautala</v>
      </c>
      <c r="F123" s="135">
        <f t="shared" si="31"/>
        <v>5000</v>
      </c>
      <c r="G123" s="158">
        <f t="shared" si="24"/>
        <v>5000</v>
      </c>
      <c r="H123" s="168" t="str">
        <f t="shared" si="25"/>
        <v>Ontario MOEE</v>
      </c>
    </row>
    <row r="124" spans="1:8" ht="11.25" customHeight="1">
      <c r="A124" s="153" t="s">
        <v>317</v>
      </c>
      <c r="B124" s="185" t="s">
        <v>318</v>
      </c>
      <c r="C124" s="223">
        <f t="shared" si="30"/>
        <v>170</v>
      </c>
      <c r="D124" s="158">
        <f t="shared" si="22"/>
        <v>170</v>
      </c>
      <c r="E124" s="225" t="str">
        <f t="shared" si="20"/>
        <v>Amoore &amp; Hautala</v>
      </c>
      <c r="F124" s="135">
        <f t="shared" si="31"/>
        <v>3000</v>
      </c>
      <c r="G124" s="158">
        <f t="shared" si="24"/>
        <v>3000</v>
      </c>
      <c r="H124" s="168" t="str">
        <f t="shared" si="25"/>
        <v>Ontario MOEE</v>
      </c>
    </row>
    <row r="125" spans="1:8" ht="11.25" customHeight="1">
      <c r="A125" s="153" t="s">
        <v>319</v>
      </c>
      <c r="B125" s="185" t="s">
        <v>320</v>
      </c>
      <c r="C125" s="223" t="str">
        <f t="shared" si="30"/>
        <v>--</v>
      </c>
      <c r="D125" s="158" t="str">
        <f t="shared" si="22"/>
        <v>--</v>
      </c>
      <c r="E125" s="225" t="str">
        <f t="shared" si="20"/>
        <v>--</v>
      </c>
      <c r="F125" s="135" t="str">
        <f t="shared" si="31"/>
        <v>--</v>
      </c>
      <c r="G125" s="158" t="str">
        <f t="shared" si="24"/>
        <v>--</v>
      </c>
      <c r="H125" s="168" t="str">
        <f t="shared" si="25"/>
        <v>--</v>
      </c>
    </row>
    <row r="126" spans="1:8" ht="11.25" customHeight="1">
      <c r="A126" s="153" t="s">
        <v>321</v>
      </c>
      <c r="B126" s="185" t="s">
        <v>322</v>
      </c>
      <c r="C126" s="223">
        <f t="shared" si="30"/>
        <v>40</v>
      </c>
      <c r="D126" s="158">
        <f t="shared" si="22"/>
        <v>40</v>
      </c>
      <c r="E126" s="225" t="str">
        <f t="shared" si="20"/>
        <v>USEPA 2nd MCL</v>
      </c>
      <c r="F126" s="135">
        <f t="shared" si="31"/>
        <v>400</v>
      </c>
      <c r="G126" s="158">
        <f t="shared" si="24"/>
        <v>400</v>
      </c>
      <c r="H126" s="168" t="str">
        <f t="shared" si="25"/>
        <v>Ontario MOEE</v>
      </c>
    </row>
    <row r="127" spans="1:8" ht="11.25" customHeight="1">
      <c r="A127" s="153" t="s">
        <v>323</v>
      </c>
      <c r="B127" s="185" t="s">
        <v>324</v>
      </c>
      <c r="C127" s="223">
        <f t="shared" si="30"/>
        <v>140</v>
      </c>
      <c r="D127" s="158">
        <f t="shared" si="22"/>
        <v>140</v>
      </c>
      <c r="E127" s="225" t="str">
        <f t="shared" si="20"/>
        <v>USEPA 2nd MCL</v>
      </c>
      <c r="F127" s="135">
        <f t="shared" si="31"/>
        <v>140</v>
      </c>
      <c r="G127" s="158">
        <f t="shared" si="24"/>
        <v>140</v>
      </c>
      <c r="H127" s="168" t="str">
        <f t="shared" si="25"/>
        <v>USEPA 2nd MCL</v>
      </c>
    </row>
    <row r="128" spans="1:8" ht="11.25" customHeight="1">
      <c r="A128" s="153" t="s">
        <v>325</v>
      </c>
      <c r="B128" s="185" t="s">
        <v>326</v>
      </c>
      <c r="C128" s="223">
        <f t="shared" si="30"/>
        <v>3000</v>
      </c>
      <c r="D128" s="158">
        <f t="shared" si="22"/>
        <v>3000</v>
      </c>
      <c r="E128" s="225" t="str">
        <f t="shared" si="20"/>
        <v>USEPA (1995)</v>
      </c>
      <c r="F128" s="135">
        <f t="shared" si="31"/>
        <v>30000</v>
      </c>
      <c r="G128" s="158">
        <f t="shared" si="24"/>
        <v>30000</v>
      </c>
      <c r="H128" s="168" t="str">
        <f t="shared" si="25"/>
        <v>USEPA (1995)</v>
      </c>
    </row>
    <row r="129" spans="1:8" ht="11.25" customHeight="1">
      <c r="A129" s="153" t="s">
        <v>327</v>
      </c>
      <c r="B129" s="185" t="s">
        <v>328</v>
      </c>
      <c r="C129" s="223">
        <f t="shared" si="30"/>
        <v>970</v>
      </c>
      <c r="D129" s="158">
        <f t="shared" si="22"/>
        <v>970</v>
      </c>
      <c r="E129" s="225" t="str">
        <f t="shared" si="20"/>
        <v>Amoore &amp; Hautala</v>
      </c>
      <c r="F129" s="135">
        <f t="shared" si="31"/>
        <v>500000</v>
      </c>
      <c r="G129" s="158">
        <f t="shared" si="24"/>
        <v>500000</v>
      </c>
      <c r="H129" s="168" t="str">
        <f t="shared" si="25"/>
        <v>Ontario MOEE</v>
      </c>
    </row>
    <row r="130" spans="1:8" ht="11.25" customHeight="1">
      <c r="A130" s="153" t="s">
        <v>329</v>
      </c>
      <c r="B130" s="185" t="s">
        <v>330</v>
      </c>
      <c r="C130" s="223" t="str">
        <f t="shared" si="30"/>
        <v>--</v>
      </c>
      <c r="D130" s="158" t="str">
        <f t="shared" si="22"/>
        <v>--</v>
      </c>
      <c r="E130" s="225" t="str">
        <f t="shared" si="20"/>
        <v>--</v>
      </c>
      <c r="F130" s="135" t="str">
        <f t="shared" si="31"/>
        <v>--</v>
      </c>
      <c r="G130" s="158" t="str">
        <f t="shared" si="24"/>
        <v>--</v>
      </c>
      <c r="H130" s="168" t="str">
        <f t="shared" si="25"/>
        <v>--</v>
      </c>
    </row>
    <row r="131" spans="1:8" ht="11.25" customHeight="1">
      <c r="A131" s="153" t="s">
        <v>331</v>
      </c>
      <c r="B131" s="185" t="s">
        <v>332</v>
      </c>
      <c r="C131" s="223">
        <f t="shared" si="30"/>
        <v>310</v>
      </c>
      <c r="D131" s="158">
        <f t="shared" si="22"/>
        <v>310</v>
      </c>
      <c r="E131" s="225" t="str">
        <f t="shared" si="20"/>
        <v>Amoore &amp; Hautala</v>
      </c>
      <c r="F131" s="135">
        <f t="shared" si="31"/>
        <v>100000</v>
      </c>
      <c r="G131" s="158">
        <f t="shared" si="24"/>
        <v>100000</v>
      </c>
      <c r="H131" s="168" t="str">
        <f t="shared" si="25"/>
        <v>Ontario MOEE</v>
      </c>
    </row>
    <row r="132" spans="1:8" ht="11.25" customHeight="1">
      <c r="A132" s="153" t="s">
        <v>333</v>
      </c>
      <c r="B132" s="185" t="s">
        <v>334</v>
      </c>
      <c r="C132" s="223">
        <f t="shared" si="30"/>
        <v>200</v>
      </c>
      <c r="D132" s="158">
        <f t="shared" si="22"/>
        <v>200</v>
      </c>
      <c r="E132" s="225" t="str">
        <f t="shared" si="20"/>
        <v>Ontario MOEE</v>
      </c>
      <c r="F132" s="135">
        <f t="shared" si="31"/>
        <v>2000</v>
      </c>
      <c r="G132" s="158">
        <f t="shared" si="24"/>
        <v>2000</v>
      </c>
      <c r="H132" s="168" t="str">
        <f t="shared" si="25"/>
        <v>Ontario MOEE</v>
      </c>
    </row>
    <row r="133" spans="1:8" ht="11.25" customHeight="1">
      <c r="A133" s="153" t="s">
        <v>335</v>
      </c>
      <c r="B133" s="185" t="s">
        <v>336</v>
      </c>
      <c r="C133" s="223">
        <f t="shared" si="30"/>
        <v>100</v>
      </c>
      <c r="D133" s="158">
        <f t="shared" si="22"/>
        <v>100</v>
      </c>
      <c r="E133" s="225" t="str">
        <f t="shared" si="20"/>
        <v>Ontario MOEE</v>
      </c>
      <c r="F133" s="135">
        <f t="shared" si="31"/>
        <v>1000</v>
      </c>
      <c r="G133" s="158">
        <f t="shared" si="24"/>
        <v>1000</v>
      </c>
      <c r="H133" s="168" t="str">
        <f t="shared" si="25"/>
        <v>Ontario MOEE</v>
      </c>
    </row>
    <row r="134" spans="1:8" ht="11.25" customHeight="1">
      <c r="A134" s="153" t="s">
        <v>337</v>
      </c>
      <c r="B134" s="185" t="s">
        <v>338</v>
      </c>
      <c r="C134" s="223" t="str">
        <f t="shared" si="30"/>
        <v>--</v>
      </c>
      <c r="D134" s="158" t="str">
        <f t="shared" si="22"/>
        <v>--</v>
      </c>
      <c r="E134" s="225" t="str">
        <f t="shared" si="20"/>
        <v>--</v>
      </c>
      <c r="F134" s="135" t="str">
        <f t="shared" si="31"/>
        <v>--</v>
      </c>
      <c r="G134" s="158" t="str">
        <f t="shared" si="24"/>
        <v>--</v>
      </c>
      <c r="H134" s="168" t="str">
        <f t="shared" si="25"/>
        <v>--</v>
      </c>
    </row>
    <row r="135" spans="1:8" ht="11.25" customHeight="1">
      <c r="A135" s="153" t="s">
        <v>339</v>
      </c>
      <c r="B135" s="185" t="s">
        <v>340</v>
      </c>
      <c r="C135" s="223" t="str">
        <f t="shared" si="30"/>
        <v>--</v>
      </c>
      <c r="D135" s="158" t="str">
        <f t="shared" si="22"/>
        <v>--</v>
      </c>
      <c r="E135" s="225" t="str">
        <f t="shared" ref="E135:E138" si="32">VLOOKUP($A135,Table_IP_1, MATCH("taste-basis", heading_IP_1, 0), FALSE)</f>
        <v>--</v>
      </c>
      <c r="F135" s="135" t="str">
        <f t="shared" si="31"/>
        <v>--</v>
      </c>
      <c r="G135" s="158" t="str">
        <f t="shared" si="24"/>
        <v>--</v>
      </c>
      <c r="H135" s="168" t="str">
        <f t="shared" si="25"/>
        <v>--</v>
      </c>
    </row>
    <row r="136" spans="1:8" ht="11.25" customHeight="1">
      <c r="A136" s="153" t="s">
        <v>341</v>
      </c>
      <c r="B136" s="185" t="s">
        <v>342</v>
      </c>
      <c r="C136" s="223">
        <f t="shared" si="30"/>
        <v>3400</v>
      </c>
      <c r="D136" s="158">
        <f t="shared" si="22"/>
        <v>3400</v>
      </c>
      <c r="E136" s="225" t="str">
        <f t="shared" si="32"/>
        <v>Amoore &amp; Hautala</v>
      </c>
      <c r="F136" s="135">
        <f t="shared" si="31"/>
        <v>34000</v>
      </c>
      <c r="G136" s="158">
        <f t="shared" si="24"/>
        <v>34000</v>
      </c>
      <c r="H136" s="168" t="str">
        <f t="shared" si="25"/>
        <v>Ontario MOEE</v>
      </c>
    </row>
    <row r="137" spans="1:8" ht="11.25" customHeight="1">
      <c r="A137" s="153" t="s">
        <v>343</v>
      </c>
      <c r="B137" s="185" t="s">
        <v>344</v>
      </c>
      <c r="C137" s="223">
        <f t="shared" si="30"/>
        <v>20</v>
      </c>
      <c r="D137" s="158">
        <f t="shared" si="22"/>
        <v>20</v>
      </c>
      <c r="E137" s="225" t="str">
        <f t="shared" si="32"/>
        <v>USEPA 2nd MCL</v>
      </c>
      <c r="F137" s="135">
        <f t="shared" si="31"/>
        <v>5300</v>
      </c>
      <c r="G137" s="158">
        <f t="shared" si="24"/>
        <v>5300</v>
      </c>
      <c r="H137" s="168" t="str">
        <f t="shared" si="25"/>
        <v>Ontario MOEE</v>
      </c>
    </row>
    <row r="138" spans="1:8" ht="11.25" customHeight="1" thickBot="1">
      <c r="A138" s="153" t="s">
        <v>345</v>
      </c>
      <c r="B138" s="185" t="s">
        <v>346</v>
      </c>
      <c r="C138" s="223">
        <f t="shared" ref="C138" si="33">D138</f>
        <v>5000</v>
      </c>
      <c r="D138" s="158">
        <f t="shared" si="22"/>
        <v>5000</v>
      </c>
      <c r="E138" s="225" t="str">
        <f t="shared" si="32"/>
        <v>Cal 2nd MCL</v>
      </c>
      <c r="F138" s="135" t="str">
        <f t="shared" ref="F138" si="34">G138</f>
        <v>--</v>
      </c>
      <c r="G138" s="158" t="str">
        <f t="shared" si="24"/>
        <v>--</v>
      </c>
      <c r="H138" s="168" t="str">
        <f t="shared" si="25"/>
        <v>--</v>
      </c>
    </row>
    <row r="139" spans="1:8" ht="11.25" customHeight="1" thickTop="1">
      <c r="A139" s="29" t="s">
        <v>347</v>
      </c>
      <c r="B139" s="113"/>
      <c r="C139" s="221"/>
      <c r="D139" s="17"/>
      <c r="E139" s="227"/>
      <c r="F139" s="221"/>
      <c r="G139" s="17"/>
      <c r="H139" s="228"/>
    </row>
    <row r="140" spans="1:8" ht="11.25" customHeight="1">
      <c r="A140" s="2" t="s">
        <v>856</v>
      </c>
      <c r="H140" s="229"/>
    </row>
    <row r="141" spans="1:8" ht="11.25" customHeight="1">
      <c r="A141" s="2" t="s">
        <v>857</v>
      </c>
      <c r="H141" s="229"/>
    </row>
    <row r="142" spans="1:8" ht="11.25" customHeight="1">
      <c r="A142" s="2617" t="s">
        <v>4290</v>
      </c>
      <c r="B142" s="2618"/>
      <c r="C142" s="2618"/>
      <c r="D142" s="2618"/>
      <c r="E142" s="2618"/>
      <c r="F142" s="2618"/>
      <c r="G142" s="2618"/>
      <c r="H142" s="2619"/>
    </row>
    <row r="143" spans="1:8" ht="34.5" customHeight="1">
      <c r="A143" s="2617" t="s">
        <v>858</v>
      </c>
      <c r="B143" s="2618"/>
      <c r="C143" s="2618"/>
      <c r="D143" s="2618"/>
      <c r="E143" s="2618"/>
      <c r="F143" s="2618"/>
      <c r="G143" s="2618"/>
      <c r="H143" s="2619"/>
    </row>
    <row r="144" spans="1:8">
      <c r="A144" s="1132" t="s">
        <v>348</v>
      </c>
      <c r="H144" s="229"/>
    </row>
    <row r="145" spans="1:8">
      <c r="A145" s="1133" t="s">
        <v>349</v>
      </c>
      <c r="H145" s="229"/>
    </row>
    <row r="146" spans="1:8">
      <c r="A146" s="1133" t="s">
        <v>350</v>
      </c>
      <c r="H146" s="229"/>
    </row>
    <row r="147" spans="1:8">
      <c r="A147" s="1133" t="s">
        <v>351</v>
      </c>
      <c r="H147" s="229"/>
    </row>
    <row r="148" spans="1:8" ht="25.5" customHeight="1">
      <c r="A148" s="2611" t="s">
        <v>859</v>
      </c>
      <c r="B148" s="2612"/>
      <c r="C148" s="2612"/>
      <c r="D148" s="2612"/>
      <c r="E148" s="2612"/>
      <c r="F148" s="2612"/>
      <c r="G148" s="2612"/>
      <c r="H148" s="2613"/>
    </row>
    <row r="149" spans="1:8" ht="12.75" customHeight="1">
      <c r="A149" s="1133" t="s">
        <v>353</v>
      </c>
      <c r="H149" s="229"/>
    </row>
    <row r="150" spans="1:8" ht="12.75" customHeight="1">
      <c r="A150" s="1133" t="s">
        <v>354</v>
      </c>
      <c r="H150" s="229"/>
    </row>
    <row r="151" spans="1:8" ht="12.75" customHeight="1" thickBot="1">
      <c r="A151" s="2608" t="s">
        <v>355</v>
      </c>
      <c r="B151" s="2609"/>
      <c r="C151" s="2609"/>
      <c r="D151" s="2609"/>
      <c r="E151" s="2609"/>
      <c r="F151" s="2609"/>
      <c r="G151" s="2609"/>
      <c r="H151" s="2610"/>
    </row>
    <row r="152" spans="1:8" ht="12" thickTop="1"/>
  </sheetData>
  <sheetProtection algorithmName="SHA-512" hashValue="xNcihZK5QAH/eLEaT8tABBEOwKYxIfV0u3n3cHUAnOWK/a+VVnNavYyT9mqF8uAu0oJHDTGuvjtCFry8anNV+g==" saltValue="Li4uJLp16fBZRf6NmXct4A==" spinCount="100000" sheet="1" sort="0" autoFilter="0"/>
  <autoFilter ref="A4:B123" xr:uid="{00000000-0009-0000-0000-000010000000}"/>
  <mergeCells count="11">
    <mergeCell ref="A151:H151"/>
    <mergeCell ref="A142:H142"/>
    <mergeCell ref="A3:B3"/>
    <mergeCell ref="C3:C4"/>
    <mergeCell ref="D3:D4"/>
    <mergeCell ref="E3:E4"/>
    <mergeCell ref="F3:F4"/>
    <mergeCell ref="G3:G4"/>
    <mergeCell ref="H3:H4"/>
    <mergeCell ref="A148:H148"/>
    <mergeCell ref="A143:H143"/>
  </mergeCells>
  <phoneticPr fontId="0" type="noConversion"/>
  <printOptions horizontalCentered="1"/>
  <pageMargins left="0.7" right="0.7" top="0.75" bottom="0.5" header="0.3" footer="0.3"/>
  <pageSetup scale="72" fitToHeight="0" orientation="portrait" r:id="rId1"/>
  <headerFooter alignWithMargins="0">
    <oddFooter>&amp;C&amp;P of &amp;N&amp;R&amp;A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9">
    <tabColor rgb="FFFFC000"/>
    <pageSetUpPr fitToPage="1"/>
  </sheetPr>
  <dimension ref="A1:AQ224"/>
  <sheetViews>
    <sheetView showGridLines="0" topLeftCell="A2" zoomScale="110" zoomScaleNormal="110" workbookViewId="0">
      <pane xSplit="2" ySplit="4" topLeftCell="C6" activePane="bottomRight" state="frozen"/>
      <selection pane="topRight" activeCell="C2" sqref="C2"/>
      <selection pane="bottomLeft" activeCell="A6" sqref="A6"/>
      <selection pane="bottomRight" activeCell="A3" sqref="A3:B3"/>
    </sheetView>
  </sheetViews>
  <sheetFormatPr defaultColWidth="9.140625" defaultRowHeight="12.75"/>
  <cols>
    <col min="1" max="1" width="40.5703125" style="6" customWidth="1"/>
    <col min="2" max="2" width="10.28515625" style="6" bestFit="1" customWidth="1"/>
    <col min="3" max="3" width="11.5703125" style="1" customWidth="1"/>
    <col min="4" max="4" width="9.42578125" style="1" bestFit="1" customWidth="1"/>
    <col min="5" max="5" width="10" style="1" bestFit="1" customWidth="1"/>
    <col min="6" max="6" width="13.42578125" style="1" bestFit="1" customWidth="1"/>
    <col min="7" max="7" width="8.42578125" style="1" customWidth="1"/>
    <col min="8" max="8" width="7.140625" style="41" bestFit="1" customWidth="1"/>
    <col min="9" max="9" width="9.42578125" style="1" customWidth="1"/>
    <col min="10" max="10" width="13.42578125" style="1" bestFit="1" customWidth="1"/>
    <col min="11" max="12" width="8.85546875" style="6" bestFit="1" customWidth="1"/>
    <col min="13" max="13" width="13.5703125" style="1" customWidth="1"/>
    <col min="14" max="14" width="9.42578125" style="1" bestFit="1" customWidth="1"/>
    <col min="15" max="15" width="10" style="1" bestFit="1" customWidth="1"/>
    <col min="16" max="16" width="13.42578125" style="1" bestFit="1" customWidth="1"/>
    <col min="17" max="17" width="8.85546875" style="1" bestFit="1" customWidth="1"/>
    <col min="18" max="18" width="7.85546875" style="1" customWidth="1"/>
    <col min="19" max="19" width="10" style="1" customWidth="1"/>
    <col min="20" max="20" width="13.42578125" style="1" bestFit="1" customWidth="1"/>
    <col min="21" max="21" width="8.85546875" style="6" bestFit="1" customWidth="1"/>
    <col min="22" max="22" width="8.140625" style="6" customWidth="1"/>
    <col min="23" max="23" width="10.42578125" style="1" customWidth="1"/>
    <col min="24" max="24" width="9.42578125" style="1" bestFit="1" customWidth="1"/>
    <col min="25" max="25" width="10" style="1" bestFit="1" customWidth="1"/>
    <col min="26" max="26" width="13" style="1" bestFit="1" customWidth="1"/>
    <col min="27" max="27" width="9.5703125" style="1" customWidth="1"/>
    <col min="28" max="28" width="8" style="1" bestFit="1" customWidth="1"/>
    <col min="29" max="29" width="10" style="1" bestFit="1" customWidth="1"/>
    <col min="30" max="30" width="13.42578125" style="1" bestFit="1" customWidth="1"/>
    <col min="31" max="31" width="9.140625" style="6" customWidth="1"/>
    <col min="32" max="32" width="11.42578125" style="6" bestFit="1" customWidth="1"/>
    <col min="33" max="33" width="11.85546875" style="1" customWidth="1"/>
    <col min="34" max="34" width="13.5703125" style="24" bestFit="1" customWidth="1"/>
    <col min="35" max="36" width="13.5703125" style="24" customWidth="1"/>
    <col min="37" max="37" width="15" style="4" customWidth="1"/>
    <col min="38" max="38" width="10.42578125" style="4" customWidth="1"/>
    <col min="39" max="39" width="11.140625" style="4" customWidth="1"/>
    <col min="40" max="41" width="9" style="4" customWidth="1"/>
    <col min="42" max="42" width="9.5703125" style="1" customWidth="1"/>
    <col min="43" max="43" width="10.5703125" style="1" customWidth="1"/>
    <col min="44" max="16384" width="9.140625" style="6"/>
  </cols>
  <sheetData>
    <row r="1" spans="1:43" s="1" customFormat="1" ht="11.25" hidden="1">
      <c r="A1" s="1" t="s">
        <v>860</v>
      </c>
      <c r="C1" s="1" t="s">
        <v>861</v>
      </c>
      <c r="H1" s="41" t="s">
        <v>402</v>
      </c>
      <c r="L1" s="41" t="s">
        <v>403</v>
      </c>
      <c r="M1" s="1" t="s">
        <v>862</v>
      </c>
      <c r="R1" s="41" t="s">
        <v>404</v>
      </c>
      <c r="V1" s="41" t="s">
        <v>405</v>
      </c>
      <c r="W1" s="1" t="s">
        <v>863</v>
      </c>
      <c r="AB1" s="41" t="s">
        <v>406</v>
      </c>
      <c r="AF1" s="41" t="s">
        <v>407</v>
      </c>
      <c r="AH1" s="16"/>
      <c r="AI1" s="16"/>
      <c r="AJ1" s="16"/>
      <c r="AK1" s="4"/>
      <c r="AL1" s="4"/>
      <c r="AM1" s="4"/>
      <c r="AN1" s="4"/>
      <c r="AO1" s="4"/>
    </row>
    <row r="2" spans="1:43" ht="39.75" customHeight="1" thickBot="1">
      <c r="A2" s="317"/>
      <c r="B2" s="262"/>
      <c r="C2" s="2632" t="s">
        <v>864</v>
      </c>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55"/>
      <c r="AH2" s="55"/>
      <c r="AI2" s="55"/>
      <c r="AJ2" s="55"/>
      <c r="AK2" s="55"/>
      <c r="AL2" s="55"/>
      <c r="AM2" s="55"/>
      <c r="AN2" s="55"/>
      <c r="AO2" s="55"/>
      <c r="AP2" s="55"/>
      <c r="AQ2" s="55"/>
    </row>
    <row r="3" spans="1:43" s="128" customFormat="1" ht="23.25" customHeight="1" thickTop="1" thickBot="1">
      <c r="A3" s="2606" t="str">
        <f>'Water Direct Exp (GW-1)'!A3:B3</f>
        <v>2025 (Rev 4)</v>
      </c>
      <c r="B3" s="2607"/>
      <c r="C3" s="2648" t="s">
        <v>865</v>
      </c>
      <c r="D3" s="2649"/>
      <c r="E3" s="2649"/>
      <c r="F3" s="2649"/>
      <c r="G3" s="2649"/>
      <c r="H3" s="2649"/>
      <c r="I3" s="2649"/>
      <c r="J3" s="2649"/>
      <c r="K3" s="2649"/>
      <c r="L3" s="2650"/>
      <c r="M3" s="2651" t="s">
        <v>866</v>
      </c>
      <c r="N3" s="2652"/>
      <c r="O3" s="2652"/>
      <c r="P3" s="2652"/>
      <c r="Q3" s="2652"/>
      <c r="R3" s="2652"/>
      <c r="S3" s="2652"/>
      <c r="T3" s="2652"/>
      <c r="U3" s="2652"/>
      <c r="V3" s="2653"/>
      <c r="W3" s="2641" t="s">
        <v>867</v>
      </c>
      <c r="X3" s="2642"/>
      <c r="Y3" s="2642"/>
      <c r="Z3" s="2642"/>
      <c r="AA3" s="2642"/>
      <c r="AB3" s="2642"/>
      <c r="AC3" s="2642"/>
      <c r="AD3" s="2642"/>
      <c r="AE3" s="2642"/>
      <c r="AF3" s="2643"/>
      <c r="AG3" s="2633" t="s">
        <v>868</v>
      </c>
      <c r="AH3" s="2634"/>
      <c r="AI3" s="2634"/>
      <c r="AJ3" s="2634"/>
      <c r="AK3" s="2634"/>
      <c r="AL3" s="2634"/>
      <c r="AM3" s="2634"/>
      <c r="AN3" s="2634"/>
      <c r="AO3" s="2634"/>
      <c r="AP3" s="2634"/>
      <c r="AQ3" s="2635"/>
    </row>
    <row r="4" spans="1:43" s="96" customFormat="1" ht="20.25" customHeight="1">
      <c r="A4" s="2645" t="s">
        <v>869</v>
      </c>
      <c r="B4" s="2646" t="s">
        <v>80</v>
      </c>
      <c r="C4" s="2654" t="s">
        <v>870</v>
      </c>
      <c r="D4" s="2656" t="s">
        <v>871</v>
      </c>
      <c r="E4" s="2640" t="s">
        <v>872</v>
      </c>
      <c r="F4" s="2640"/>
      <c r="G4" s="2640"/>
      <c r="H4" s="2640"/>
      <c r="I4" s="2640" t="s">
        <v>873</v>
      </c>
      <c r="J4" s="2640"/>
      <c r="K4" s="2640"/>
      <c r="L4" s="2644"/>
      <c r="M4" s="2660" t="s">
        <v>870</v>
      </c>
      <c r="N4" s="2662" t="s">
        <v>871</v>
      </c>
      <c r="O4" s="2658" t="s">
        <v>872</v>
      </c>
      <c r="P4" s="2658"/>
      <c r="Q4" s="2658"/>
      <c r="R4" s="2658"/>
      <c r="S4" s="2658" t="s">
        <v>873</v>
      </c>
      <c r="T4" s="2658"/>
      <c r="U4" s="2658"/>
      <c r="V4" s="2659"/>
      <c r="W4" s="2667" t="s">
        <v>870</v>
      </c>
      <c r="X4" s="2669" t="s">
        <v>871</v>
      </c>
      <c r="Y4" s="2671" t="s">
        <v>872</v>
      </c>
      <c r="Z4" s="2671"/>
      <c r="AA4" s="2671"/>
      <c r="AB4" s="2671"/>
      <c r="AC4" s="2671" t="s">
        <v>873</v>
      </c>
      <c r="AD4" s="2671"/>
      <c r="AE4" s="2671"/>
      <c r="AF4" s="2672"/>
      <c r="AG4" s="2636" t="s">
        <v>874</v>
      </c>
      <c r="AH4" s="2630" t="s">
        <v>875</v>
      </c>
      <c r="AI4" s="2630" t="s">
        <v>876</v>
      </c>
      <c r="AJ4" s="2630" t="s">
        <v>877</v>
      </c>
      <c r="AK4" s="2463" t="s">
        <v>878</v>
      </c>
      <c r="AL4" s="2463" t="s">
        <v>879</v>
      </c>
      <c r="AM4" s="2463" t="s">
        <v>880</v>
      </c>
      <c r="AN4" s="2463" t="s">
        <v>881</v>
      </c>
      <c r="AO4" s="2463" t="s">
        <v>677</v>
      </c>
      <c r="AP4" s="2463" t="s">
        <v>882</v>
      </c>
      <c r="AQ4" s="2638" t="s">
        <v>883</v>
      </c>
    </row>
    <row r="5" spans="1:43" s="98" customFormat="1" ht="63.75" customHeight="1" thickBot="1">
      <c r="A5" s="2637"/>
      <c r="B5" s="2647"/>
      <c r="C5" s="2655"/>
      <c r="D5" s="2657"/>
      <c r="E5" s="1985" t="s">
        <v>884</v>
      </c>
      <c r="F5" s="1985" t="s">
        <v>885</v>
      </c>
      <c r="G5" s="1985" t="s">
        <v>695</v>
      </c>
      <c r="H5" s="263" t="s">
        <v>886</v>
      </c>
      <c r="I5" s="1985" t="s">
        <v>884</v>
      </c>
      <c r="J5" s="2013" t="s">
        <v>887</v>
      </c>
      <c r="K5" s="1985" t="s">
        <v>695</v>
      </c>
      <c r="L5" s="264" t="s">
        <v>886</v>
      </c>
      <c r="M5" s="2661"/>
      <c r="N5" s="2663"/>
      <c r="O5" s="1985" t="s">
        <v>884</v>
      </c>
      <c r="P5" s="1985" t="s">
        <v>887</v>
      </c>
      <c r="Q5" s="1985" t="s">
        <v>695</v>
      </c>
      <c r="R5" s="265" t="s">
        <v>886</v>
      </c>
      <c r="S5" s="1985" t="s">
        <v>884</v>
      </c>
      <c r="T5" s="2013" t="s">
        <v>887</v>
      </c>
      <c r="U5" s="1985" t="s">
        <v>695</v>
      </c>
      <c r="V5" s="266" t="s">
        <v>886</v>
      </c>
      <c r="W5" s="2668"/>
      <c r="X5" s="2670"/>
      <c r="Y5" s="1985" t="s">
        <v>884</v>
      </c>
      <c r="Z5" s="1985" t="s">
        <v>887</v>
      </c>
      <c r="AA5" s="1985" t="s">
        <v>695</v>
      </c>
      <c r="AB5" s="267" t="s">
        <v>888</v>
      </c>
      <c r="AC5" s="1985" t="s">
        <v>884</v>
      </c>
      <c r="AD5" s="2013" t="s">
        <v>887</v>
      </c>
      <c r="AE5" s="1985" t="s">
        <v>695</v>
      </c>
      <c r="AF5" s="380" t="s">
        <v>889</v>
      </c>
      <c r="AG5" s="2637"/>
      <c r="AH5" s="2631"/>
      <c r="AI5" s="2631"/>
      <c r="AJ5" s="2631"/>
      <c r="AK5" s="2429"/>
      <c r="AL5" s="2429"/>
      <c r="AM5" s="2429"/>
      <c r="AN5" s="2429"/>
      <c r="AO5" s="2429"/>
      <c r="AP5" s="2429"/>
      <c r="AQ5" s="2639"/>
    </row>
    <row r="6" spans="1:43">
      <c r="A6" s="136" t="s">
        <v>391</v>
      </c>
      <c r="B6" s="246" t="s">
        <v>392</v>
      </c>
      <c r="C6" s="244">
        <f>IF(AND(H6="--", L6="--"),"--",IF(H6="--",L6,IF(L6="--",H6,MIN(H6,L6))))</f>
        <v>60721.478039166643</v>
      </c>
      <c r="D6" s="248" t="str">
        <f>IF(C6="--","--",IF(C6=H6,"Cancer","Noncancer"))</f>
        <v>Noncancer</v>
      </c>
      <c r="E6" s="196" t="str">
        <f>IF(AK6="--","--",
IF(AO6="--",
TR*365*LT/(AK6*IFSadj*0.000001),
TR*365*LT/(AK6*IFSmadj*0.000001)))</f>
        <v>--</v>
      </c>
      <c r="F6" s="157" t="str">
        <f>IF(AL6="--", "--",
IF(AO6="--",
IF(AND(AG6="V",AH6&lt;&gt;"--"),(TR*365*LT)/(AL6*1000*EFr*(1/AH6+1/PEFr)*EDr*ETr*(1/24)),(TR*365*LT)/(AL6*1000*EFr*(1/PEFr)*EDr*ETr*(1/24))),
IF(AND(AG6="V",AH6&lt;&gt;"--"),(TR*365*LT)/(AL6*1000*(1/AH6+1/PEFr)*TETmadj),(TR*365*LT)/(AL6*1000*(1/PEFr)*TETmadj))))</f>
        <v>--</v>
      </c>
      <c r="G6" s="196" t="str">
        <f>IF(OR(AK6="--",AP6="--"),"--",
IF(AO6="--",
(TR*365*LT)/((AK6/AQ6)*DFSadj*AP6*0.000001),
(TR*365*LT)/((AK6/AQ6)*DFSmadj*AP6*0.000001)))</f>
        <v>--</v>
      </c>
      <c r="H6" s="230" t="str">
        <f>IF(AND(E6="--",F6="--"),G6,IF(AND(E6="--",G6="--"),F6,IF(AND(F6="--",G6="--"),E6,IF(E6="--",1/(1/F6+1/G6),IF(F6="--",1/(1/E6+1/G6),IF(G6="--",1/(1/E6+1/F6),1/(1/E6+1/F6+1/G6)))))))</f>
        <v>--</v>
      </c>
      <c r="I6" s="196">
        <f t="shared" ref="I6:I37" si="0">IF(AM6="--","--",(THQ*365*EDc*BWc)/(EFr*EDc*(1/AM6)*IRSc*0.000001))</f>
        <v>70392.857142857145</v>
      </c>
      <c r="J6" s="196">
        <f>IF(AN6="--","--",IF(AND(AG6="V",AH6&lt;&gt;"--"),
(THQ*365*EDc)/(EFr*EDc*(1/(AN6/1000))*(1/AH6+1/PEFr)),
(THQ*365*EDc)/(EFr*EDc*(1/(AN6/1000))*1/PEFr)))</f>
        <v>441959.54716356227</v>
      </c>
      <c r="K6" s="231" t="str">
        <f t="shared" ref="K6:K37" si="1">IF(OR(AM6="--",AQ6="--",AP6="--"),"--",THQ*365*EDc*BWc/(EFr*EDc*(1/(AM6*AQ6))*SAc*AdFc*AP6*0.000001))</f>
        <v>--</v>
      </c>
      <c r="L6" s="197">
        <f>IF(AND(I6="--",J6="--"),K6,IF(AND(I6="--",K6="--"),J6,IF(AND(J6="--",K6="--"),I6,IF(I6="--",1/(1/J6+1/K6),IF(J6="--",1/(1/I6+1/K6),IF(K6="--",1/(1/I6+1/J6),1/(1/I6+1/J6+1/K6)))))))</f>
        <v>60721.478039166643</v>
      </c>
      <c r="M6" s="251">
        <f>IF(AND(R6="--", V6="--"),"--",IF(R6="--",V6,IF(V6="--",R6,MIN(R6,V6))))</f>
        <v>666360.65141751687</v>
      </c>
      <c r="N6" s="232" t="str">
        <f>IF(M6="--","--",IF(M6=R6,"Cancer","Noncancer"))</f>
        <v>Noncancer</v>
      </c>
      <c r="O6" s="196" t="str">
        <f>IF(AK6="--","--",(TR*365*LT*BWa)/(AK6*EFci*EDci*IRSci*0.000001))</f>
        <v>--</v>
      </c>
      <c r="P6" s="196" t="str">
        <f t="shared" ref="P6:P37" si="2">IF(AL6="--","--",IF(AND(AG6="V",AI6&lt;&gt;"--"),
(TR*365*LT)/(AL6*1000*EFci*(1/AI6+1/PEFc)*EDci*ETw*(1/24)),
(TR*365*LT)/(AL6*1000*EFci*(1/PEFc)*EDci*ETw*(1/24))))</f>
        <v>--</v>
      </c>
      <c r="Q6" s="196" t="str">
        <f t="shared" ref="Q6:Q37" si="3">IF(OR(AK6="--",AP6="--"),"--",(TR*365*LT*BWa)/((AK6/AQ6)*EFci*EDci*AdFci*SAci*AP6*0.000001))</f>
        <v>--</v>
      </c>
      <c r="R6" s="233" t="str">
        <f>IF(AND(O6="--",P6="--"),Q6,IF(AND(O6="--",Q6="--"),P6,IF(AND(P6="--",Q6="--"),O6,IF(O6="--",1/(1/P6+1/Q6),IF(P6="--",1/(1/O6+1/Q6),IF(Q6="--",1/(1/O6+1/P6),1/(1/O6+1/P6+1/Q6)))))))</f>
        <v>--</v>
      </c>
      <c r="S6" s="196">
        <f t="shared" ref="S6:S37" si="4">IF(AM6="--","--",(THQ*EDci*365*BWa)/(EFci*EDci*(1/AM6)*IRSci*0.000001))</f>
        <v>1051200.0000000002</v>
      </c>
      <c r="T6" s="196">
        <f t="shared" ref="T6:T37" si="5">IF(AN6="--","--",IF(AND(AG6="V",AI6&lt;&gt;"--"),
(THQ*EDci*365)/(EFci*EDci*(ETw/24)*(1/(AN6/1000))*((1/AI6)+(1/PEFc))),
(THQ*EDci*365)/(EFci*EDci*(ETw/24)*(1/(AN6/1000))*1/PEFc)))</f>
        <v>1820183.7191291237</v>
      </c>
      <c r="U6" s="196" t="str">
        <f t="shared" ref="U6:U37" si="6">IF(OR(AM6="--",AP6="--"),"--",(THQ*EDci*365*BWa)/(EFci*EDci*(1/(AM6*AQ6))*SAci*AdFci*AP6*0.000001))</f>
        <v>--</v>
      </c>
      <c r="V6" s="253">
        <f>IF(AND(S6="--",T6="--"),U6,IF(AND(S6="--",U6="--"),T6,IF(AND(T6="--",U6="--"),S6,IF(S6="--",1/(1/T6+1/U6),IF(T6="--",1/(1/S6+1/U6),IF(U6="--",1/(1/S6+1/T6),1/(1/S6+1/T6+1/U6)))))))</f>
        <v>666360.65141751687</v>
      </c>
      <c r="W6" s="255">
        <f>IF(AND(AB6="--", AF6="--"),"--",IF(AB6="--",AF6,IF(AF6="--",AB6,MIN(AB6,AF6))))</f>
        <v>179258.7870876294</v>
      </c>
      <c r="X6" s="234" t="str">
        <f>IF(W6="--","--",IF(W6=AB6,"Cancer","Noncancer"))</f>
        <v>Noncancer</v>
      </c>
      <c r="Y6" s="196" t="str">
        <f>IF(AK6="--","--",(TR*365*LT*BWct)/(AK6*EFct*EDct*IRSct*0.000001))</f>
        <v>--</v>
      </c>
      <c r="Z6" s="196" t="str">
        <f t="shared" ref="Z6:Z37" si="7">IF(AL6="--","--",IF(AND(AG6="V",AJ6&lt;&gt;"--"),
(TR*365*LT)/(AL6*1000*EFct*(1/AJ6+1/PEFct)*EDct*ETw*(1/24)),
(TR*365*LT)/(AL6*1000*EFct*(1/PEFct)*EDct*ETw*(1/24))))</f>
        <v>--</v>
      </c>
      <c r="AA6" s="196" t="str">
        <f t="shared" ref="AA6:AA37" si="8">IF(OR(AK6="--",AP6="--"),"--",(TR*365*LT*BWct)/((AK6/AQ6)*EFct*EDct*SAct*AdFct*AP6*0.000001))</f>
        <v>--</v>
      </c>
      <c r="AB6" s="235" t="str">
        <f>IF(AND(Y6="--",Z6="--"),AA6,IF(AND(Y6="--",AA6="--"),Z6,IF(AND(Z6="--",AA6="--"),Y6,IF(Y6="--",1/(1/Z6+1/AA6),IF(Z6="--",1/(1/Y6+1/AA6),IF(AA6="--",1/(1/Y6+1/Z6),1/(1/Y6+1/Z6+1/AA6)))))))</f>
        <v>--</v>
      </c>
      <c r="AC6" s="196">
        <f t="shared" ref="AC6:AC38" si="9">IF(AM6="--","--",(THQ*EDct*365*BWct)/(EFct*EDct*(1/AM6)*IRSct*0.000001))</f>
        <v>318545.45454545453</v>
      </c>
      <c r="AD6" s="196">
        <f t="shared" ref="AD6:AD37" si="10">IF(AN6="--","--",IF(AND(AG6="V",AJ6&lt;&gt;"--"),
(THQ*EDct*365)/(EFct*EDct*(ETw/24)*(1/(AN6/1000))*(1/AJ6+1/PEFct)),
(THQ*EDct*365)/(EFct*EDct*(ETw/24)*(1/(AN6/1000))*1/PEFct)))</f>
        <v>409960.78703215288</v>
      </c>
      <c r="AE6" s="196" t="str">
        <f>IF(OR(AM6="--",AP6="--"),"--",(THQ*EDct*365*BWct)/(EFct*EDct*(1/(AM6*AQ6))*SAct*AdFct*AP6*0.000001))</f>
        <v>--</v>
      </c>
      <c r="AF6" s="381">
        <f>IF(AND(AC6="--",AD6="--"),AE6,IF(AND(AC6="--",AE6="--"),AD6,IF(AND(AD6="--",AE6="--"),AC6,IF(AC6="--",1/(1/AD6+1/AE6),IF(AD6="--",1/(1/AC6+1/AE6),IF(AE6="--",1/(1/AC6+1/AD6),1/(1/AC6+1/AD6+1/AE6)))))))</f>
        <v>179258.7870876294</v>
      </c>
      <c r="AG6" s="257" t="str">
        <f t="shared" ref="AG6:AG37" si="11">VLOOKUP(A6,Table_IP_1,MATCH("volatility",heading_IP_1,0),FALSE)</f>
        <v>V</v>
      </c>
      <c r="AH6" s="236">
        <f t="shared" ref="AH6:AH37" si="12">VLOOKUP($A6, Table_IP_1, MATCH("VFr", heading_IP_1, 0), FALSE)</f>
        <v>13671.002778744038</v>
      </c>
      <c r="AI6" s="236">
        <f t="shared" ref="AI6:AI37" si="13">VLOOKUP($A6, Table_IP_1, MATCH("VFc", heading_IP_1, 0), FALSE)</f>
        <v>13405.521142153275</v>
      </c>
      <c r="AJ6" s="236">
        <f t="shared" ref="AJ6:AJ37" si="14">VLOOKUP($A6, Table_IP_1, MATCH("VFcw", heading_IP_1, 0), FALSE)</f>
        <v>3028.0088326911941</v>
      </c>
      <c r="AK6" s="196" t="str">
        <f t="shared" ref="AK6:AK38" si="15">VLOOKUP(A6,Table_IP_2,MATCH("SFo",heading_IP_2,0),FALSE)</f>
        <v>--</v>
      </c>
      <c r="AL6" s="196" t="str">
        <f t="shared" ref="AL6:AL38" si="16">VLOOKUP(A6,Table_IP_2,MATCH("IUR",heading_IP_2,0),FALSE)</f>
        <v>--</v>
      </c>
      <c r="AM6" s="196">
        <f t="shared" ref="AM6:AM38" si="17">VLOOKUP(A6,Table_IP_2,MATCH("RfDo",heading_IP_2,0),FALSE)</f>
        <v>0.9</v>
      </c>
      <c r="AN6" s="196">
        <f t="shared" ref="AN6:AN38" si="18">VLOOKUP(A6,Table_IP_2,MATCH("RfC",heading_IP_2,0),FALSE)</f>
        <v>31000</v>
      </c>
      <c r="AO6" s="196" t="str">
        <f t="shared" ref="AO6:AO38" si="19">VLOOKUP(A6,Table_IP_2,MATCH("mut",heading_IP_2,0),FALSE)</f>
        <v>--</v>
      </c>
      <c r="AP6" s="196" t="str">
        <f>VLOOKUP(A6,Table_IP_2,MATCH("abs",heading_IP_2,0),FALSE)</f>
        <v>--</v>
      </c>
      <c r="AQ6" s="181">
        <f t="shared" ref="AQ6:AQ38" si="20">VLOOKUP(A6,Table_IP_2,MATCH("GIABS",heading_IP_2,0),FALSE)</f>
        <v>1</v>
      </c>
    </row>
    <row r="7" spans="1:43">
      <c r="A7" s="136" t="s">
        <v>85</v>
      </c>
      <c r="B7" s="185" t="s">
        <v>86</v>
      </c>
      <c r="C7" s="245">
        <f t="shared" ref="C7:C38" si="21">IF(AND(H7="--", L7="--"),"--",IF(H7="--",L7,IF(L7="--",H7,MIN(H7,L7))))</f>
        <v>3.9261563286762585E-2</v>
      </c>
      <c r="D7" s="249" t="str">
        <f t="shared" ref="D7:D38" si="22">IF(C7="--","--",IF(C7=H7,"Cancer","Noncancer"))</f>
        <v>Cancer</v>
      </c>
      <c r="E7" s="157">
        <f t="shared" ref="E7:E38" si="23">IF(AK7="--","--",
IF(AO7="--",
TR*365*LT/(AK7*IFSadj*0.000001),
TR*365*LT/(AK7*IFSmadj*0.000001)))</f>
        <v>4.0896358543417374E-2</v>
      </c>
      <c r="F7" s="157">
        <f t="shared" ref="F7:F38" si="24">IF(AL7="--", "--",
IF(AO7="--",
IF(AND(AG7="V",AH7&lt;&gt;"--"),(TR*365*LT)/(AL7*1000*EFr*(1/AH7+1/PEFr)*EDr*ETr*(1/24)),(TR*365*LT)/(AL7*1000*EFr*(1/PEFr)*EDr*ETr*(1/24))),
IF(AND(AG7="V",AH7&lt;&gt;"--"),(TR*365*LT)/(AL7*1000*(1/AH7+1/PEFr)*TETmadj),(TR*365*LT)/(AL7*1000*(1/PEFr)*TETmadj))))</f>
        <v>0.98217496204148136</v>
      </c>
      <c r="G7" s="157" t="str">
        <f t="shared" ref="G7:G38" si="25">IF(OR(AK7="--",AP7="--"),"--",
IF(AO7="--",
(TR*365*LT)/((AK7/AQ7)*DFSadj*AP7*0.000001),
(TR*365*LT)/((AK7/AQ7)*DFSmadj*AP7*0.000001)))</f>
        <v>--</v>
      </c>
      <c r="H7" s="237">
        <f t="shared" ref="H7:H38" si="26">IF(AND(E7="--",F7="--"),G7,IF(AND(E7="--",G7="--"),F7,IF(AND(F7="--",G7="--"),E7,IF(E7="--",1/(1/F7+1/G7),IF(F7="--",1/(1/E7+1/G7),IF(G7="--",1/(1/E7+1/F7),1/(1/E7+1/F7+1/G7)))))))</f>
        <v>3.9261563286762585E-2</v>
      </c>
      <c r="I7" s="157">
        <f t="shared" si="0"/>
        <v>2.3464285714285715</v>
      </c>
      <c r="J7" s="157" t="str">
        <f t="shared" ref="J7:J38" si="27">IF(AN7="--","--",IF(AND(AG7="V",AH7&lt;&gt;"--"),
(THQ*365*EDc)/(EFr*EDc*(1/(AN7/1000))*(1/AH7+1/PEFr)),
(THQ*365*EDc)/(EFr*EDc*(1/(AN7/1000))*1/PEFr)))</f>
        <v>--</v>
      </c>
      <c r="K7" s="238" t="str">
        <f t="shared" si="1"/>
        <v>--</v>
      </c>
      <c r="L7" s="198">
        <f t="shared" ref="L7:L38" si="28">IF(AND(I7="--",J7="--"),K7,IF(AND(I7="--",K7="--"),J7,IF(AND(J7="--",K7="--"),I7,IF(I7="--",1/(1/J7+1/K7),IF(J7="--",1/(1/I7+1/K7),IF(K7="--",1/(1/I7+1/J7),1/(1/I7+1/J7+1/K7)))))))</f>
        <v>2.3464285714285715</v>
      </c>
      <c r="M7" s="252">
        <f t="shared" ref="M7:M38" si="29">IF(AND(R7="--", V7="--"),"--",IF(R7="--",V7,IF(V7="--",R7,MIN(R7,V7))))</f>
        <v>0.18396407799320019</v>
      </c>
      <c r="N7" s="239" t="str">
        <f t="shared" ref="N7:N38" si="30">IF(M7="--","--",IF(M7=R7,"Cancer","Noncancer"))</f>
        <v>Cancer</v>
      </c>
      <c r="O7" s="157">
        <f t="shared" ref="O7:O37" si="31">IF(AK7="--","--",(TR*365*LT*BWa)/(AK7*EFci*EDci*IRSci*0.000001))</f>
        <v>0.19237647058823529</v>
      </c>
      <c r="P7" s="157">
        <f t="shared" si="2"/>
        <v>4.2069315761888895</v>
      </c>
      <c r="Q7" s="157" t="str">
        <f t="shared" si="3"/>
        <v>--</v>
      </c>
      <c r="R7" s="240">
        <f t="shared" ref="R7:R38" si="32">IF(AND(O7="--",P7="--"),Q7,IF(AND(O7="--",Q7="--"),P7,IF(AND(P7="--",Q7="--"),O7,IF(O7="--",1/(1/P7+1/Q7),IF(P7="--",1/(1/O7+1/Q7),IF(Q7="--",1/(1/O7+1/P7),1/(1/O7+1/P7+1/Q7)))))))</f>
        <v>0.18396407799320019</v>
      </c>
      <c r="S7" s="157">
        <f t="shared" si="4"/>
        <v>35.04</v>
      </c>
      <c r="T7" s="157" t="str">
        <f t="shared" si="5"/>
        <v>--</v>
      </c>
      <c r="U7" s="157" t="str">
        <f t="shared" si="6"/>
        <v>--</v>
      </c>
      <c r="V7" s="254">
        <f t="shared" ref="V7:V38" si="33">IF(AND(S7="--",T7="--"),U7,IF(AND(S7="--",U7="--"),T7,IF(AND(T7="--",U7="--"),S7,IF(S7="--",1/(1/T7+1/U7),IF(T7="--",1/(1/S7+1/U7),IF(U7="--",1/(1/S7+1/T7),1/(1/S7+1/T7+1/U7)))))))</f>
        <v>35.04</v>
      </c>
      <c r="W7" s="256">
        <f t="shared" ref="W7:W38" si="34">IF(AND(AB7="--", AF7="--"),"--",IF(AB7="--",AF7,IF(AF7="--",AB7,MIN(AB7,AF7))))</f>
        <v>1.3451394206554765</v>
      </c>
      <c r="X7" s="241" t="str">
        <f t="shared" ref="X7:X38" si="35">IF(W7="--","--",IF(W7=AB7,"Cancer","Noncancer"))</f>
        <v>Cancer</v>
      </c>
      <c r="Y7" s="157">
        <f t="shared" ref="Y7:Y37" si="36">IF(AK7="--","--",(TR*365*LT*BWct)/(AK7*EFct*EDct*IRSct*0.000001))</f>
        <v>1.4573975044563281</v>
      </c>
      <c r="Z7" s="157">
        <f t="shared" si="7"/>
        <v>17.463355585927498</v>
      </c>
      <c r="AA7" s="157" t="str">
        <f t="shared" si="8"/>
        <v>--</v>
      </c>
      <c r="AB7" s="242">
        <f t="shared" ref="AB7:AB38" si="37">IF(AND(Y7="--",Z7="--"),AA7,IF(AND(Y7="--",AA7="--"),Z7,IF(AND(Z7="--",AA7="--"),Y7,IF(Y7="--",1/(1/Z7+1/AA7),IF(Z7="--",1/(1/Y7+1/AA7),IF(AA7="--",1/(1/Y7+1/Z7),1/(1/Y7+1/Z7+1/AA7)))))))</f>
        <v>1.3451394206554765</v>
      </c>
      <c r="AC7" s="157">
        <f t="shared" si="9"/>
        <v>10.618181818181819</v>
      </c>
      <c r="AD7" s="157" t="str">
        <f t="shared" si="10"/>
        <v>--</v>
      </c>
      <c r="AE7" s="157" t="str">
        <f t="shared" ref="AE7:AE38" si="38">IF(OR(AM7="--",AP7="--"),"--",(THQ*EDct*365*BWct)/(EFct*EDct*(1/(AM7*AQ7))*SAct*AdFct*AP7*0.000001))</f>
        <v>--</v>
      </c>
      <c r="AF7" s="382">
        <f t="shared" ref="AF7:AF38" si="39">IF(AND(AC7="--",AD7="--"),AE7,IF(AND(AC7="--",AE7="--"),AD7,IF(AND(AD7="--",AE7="--"),AC7,IF(AC7="--",1/(1/AD7+1/AE7),IF(AD7="--",1/(1/AC7+1/AE7),IF(AE7="--",1/(1/AC7+1/AD7),1/(1/AC7+1/AD7+1/AE7)))))))</f>
        <v>10.618181818181819</v>
      </c>
      <c r="AG7" s="258" t="str">
        <f t="shared" si="11"/>
        <v>V</v>
      </c>
      <c r="AH7" s="159">
        <f t="shared" si="12"/>
        <v>1716260.2407893832</v>
      </c>
      <c r="AI7" s="159">
        <f t="shared" si="13"/>
        <v>1682931.6265747147</v>
      </c>
      <c r="AJ7" s="159">
        <f t="shared" si="14"/>
        <v>380136.79408998013</v>
      </c>
      <c r="AK7" s="158">
        <f t="shared" si="15"/>
        <v>17</v>
      </c>
      <c r="AL7" s="158">
        <f t="shared" si="16"/>
        <v>4.8999999999999998E-3</v>
      </c>
      <c r="AM7" s="158">
        <f t="shared" si="17"/>
        <v>3.0000000000000001E-5</v>
      </c>
      <c r="AN7" s="158" t="str">
        <f t="shared" si="18"/>
        <v>--</v>
      </c>
      <c r="AO7" s="158" t="str">
        <f t="shared" si="19"/>
        <v>--</v>
      </c>
      <c r="AP7" s="158" t="str">
        <f>VLOOKUP(A7,Table_IP_2,MATCH("abs",heading_IP_2,0),FALSE)</f>
        <v>--</v>
      </c>
      <c r="AQ7" s="168">
        <f t="shared" si="20"/>
        <v>1</v>
      </c>
    </row>
    <row r="8" spans="1:43">
      <c r="A8" s="136" t="s">
        <v>87</v>
      </c>
      <c r="B8" s="185" t="s">
        <v>88</v>
      </c>
      <c r="C8" s="245">
        <f t="shared" si="21"/>
        <v>31.283414034682323</v>
      </c>
      <c r="D8" s="249" t="str">
        <f t="shared" si="22"/>
        <v>Noncancer</v>
      </c>
      <c r="E8" s="157" t="str">
        <f t="shared" si="23"/>
        <v>--</v>
      </c>
      <c r="F8" s="157" t="str">
        <f t="shared" si="24"/>
        <v>--</v>
      </c>
      <c r="G8" s="157" t="str">
        <f t="shared" si="25"/>
        <v>--</v>
      </c>
      <c r="H8" s="237" t="str">
        <f t="shared" si="26"/>
        <v>--</v>
      </c>
      <c r="I8" s="157">
        <f t="shared" si="0"/>
        <v>31.285714285714285</v>
      </c>
      <c r="J8" s="157">
        <f t="shared" si="27"/>
        <v>425485.71428571432</v>
      </c>
      <c r="K8" s="238" t="str">
        <f t="shared" si="1"/>
        <v>--</v>
      </c>
      <c r="L8" s="198">
        <f t="shared" si="28"/>
        <v>31.283414034682323</v>
      </c>
      <c r="M8" s="252">
        <f t="shared" si="29"/>
        <v>467.07788813382126</v>
      </c>
      <c r="N8" s="239" t="str">
        <f t="shared" si="30"/>
        <v>Noncancer</v>
      </c>
      <c r="O8" s="157" t="str">
        <f t="shared" si="31"/>
        <v>--</v>
      </c>
      <c r="P8" s="157" t="str">
        <f t="shared" si="2"/>
        <v>--</v>
      </c>
      <c r="Q8" s="157" t="str">
        <f t="shared" si="3"/>
        <v>--</v>
      </c>
      <c r="R8" s="240" t="str">
        <f t="shared" si="32"/>
        <v>--</v>
      </c>
      <c r="S8" s="157">
        <f t="shared" si="4"/>
        <v>467.2</v>
      </c>
      <c r="T8" s="157">
        <f t="shared" si="5"/>
        <v>1787040</v>
      </c>
      <c r="U8" s="157" t="str">
        <f t="shared" si="6"/>
        <v>--</v>
      </c>
      <c r="V8" s="254">
        <f t="shared" si="33"/>
        <v>467.07788813382126</v>
      </c>
      <c r="W8" s="256">
        <f t="shared" si="34"/>
        <v>128.40017449469244</v>
      </c>
      <c r="X8" s="241" t="str">
        <f t="shared" si="35"/>
        <v>Noncancer</v>
      </c>
      <c r="Y8" s="157" t="str">
        <f t="shared" si="36"/>
        <v>--</v>
      </c>
      <c r="Z8" s="157" t="str">
        <f t="shared" si="7"/>
        <v>--</v>
      </c>
      <c r="AA8" s="157" t="str">
        <f t="shared" si="8"/>
        <v>--</v>
      </c>
      <c r="AB8" s="242" t="str">
        <f t="shared" si="37"/>
        <v>--</v>
      </c>
      <c r="AC8" s="157">
        <f t="shared" si="9"/>
        <v>141.57575757575756</v>
      </c>
      <c r="AD8" s="157">
        <f t="shared" si="10"/>
        <v>1379.7</v>
      </c>
      <c r="AE8" s="157" t="str">
        <f t="shared" si="38"/>
        <v>--</v>
      </c>
      <c r="AF8" s="382">
        <f t="shared" si="39"/>
        <v>128.40017449469244</v>
      </c>
      <c r="AG8" s="258" t="str">
        <f t="shared" si="11"/>
        <v>NV</v>
      </c>
      <c r="AH8" s="159" t="str">
        <f t="shared" si="12"/>
        <v>--</v>
      </c>
      <c r="AI8" s="159" t="str">
        <f t="shared" si="13"/>
        <v>--</v>
      </c>
      <c r="AJ8" s="159" t="str">
        <f t="shared" si="14"/>
        <v>--</v>
      </c>
      <c r="AK8" s="158" t="str">
        <f t="shared" si="15"/>
        <v>--</v>
      </c>
      <c r="AL8" s="158" t="str">
        <f t="shared" si="16"/>
        <v>--</v>
      </c>
      <c r="AM8" s="158">
        <f t="shared" si="17"/>
        <v>4.0000000000000002E-4</v>
      </c>
      <c r="AN8" s="158">
        <f t="shared" si="18"/>
        <v>0.3</v>
      </c>
      <c r="AO8" s="158" t="str">
        <f t="shared" si="19"/>
        <v>--</v>
      </c>
      <c r="AP8" s="158" t="str">
        <f>VLOOKUP(A8,Table_IP_2,MATCH("abs",heading_IP_2,0),FALSE)</f>
        <v>--</v>
      </c>
      <c r="AQ8" s="168">
        <f t="shared" si="20"/>
        <v>0.15</v>
      </c>
    </row>
    <row r="9" spans="1:43">
      <c r="A9" s="919" t="s">
        <v>89</v>
      </c>
      <c r="B9" s="185" t="s">
        <v>90</v>
      </c>
      <c r="C9" s="245">
        <f t="shared" si="21"/>
        <v>3.1743737335997779E-2</v>
      </c>
      <c r="D9" s="249" t="str">
        <f t="shared" si="22"/>
        <v>Cancer</v>
      </c>
      <c r="E9" s="340">
        <f>(TR*365*LT/(AK9*IFSadj*0.000001))/RBAa</f>
        <v>3.6210317460317464E-2</v>
      </c>
      <c r="F9" s="157">
        <f t="shared" si="24"/>
        <v>888.01431127012518</v>
      </c>
      <c r="G9" s="157">
        <f>IF(OR(AK9="--",AP9="--"),"--",
IF(AO9="--",
(TR*365*LT)/((AK9/AQ9)*DFSadj*AP9*0.000001),
(TR*365*LT)/((AK9/AQ9)*DFSmadj*AP9*0.000001)))</f>
        <v>0.25741931843827581</v>
      </c>
      <c r="H9" s="237">
        <f t="shared" si="26"/>
        <v>3.1743737335997779E-2</v>
      </c>
      <c r="I9" s="340">
        <f>((THQ*365*EDc*BWc)/(EFr*EDc*(1/AM9)*IRSc*0.000001))/RBAa</f>
        <v>0.45624999999999999</v>
      </c>
      <c r="J9" s="157">
        <f t="shared" si="27"/>
        <v>21274.285714285714</v>
      </c>
      <c r="K9" s="238">
        <f t="shared" si="1"/>
        <v>3.845343447113359</v>
      </c>
      <c r="L9" s="198">
        <f t="shared" si="28"/>
        <v>0.40784986655323263</v>
      </c>
      <c r="M9" s="252">
        <f t="shared" si="29"/>
        <v>0.14057803607895836</v>
      </c>
      <c r="N9" s="239" t="str">
        <f t="shared" si="30"/>
        <v>Cancer</v>
      </c>
      <c r="O9" s="340">
        <f>((TR*365*LT*BWa)/(AK9*EFci*EDci*IRSci*0.000001))/RBAa</f>
        <v>0.17033333333333334</v>
      </c>
      <c r="P9" s="157">
        <f t="shared" si="2"/>
        <v>3878.8465116279076</v>
      </c>
      <c r="Q9" s="157">
        <f t="shared" si="3"/>
        <v>0.80490186812840625</v>
      </c>
      <c r="R9" s="240">
        <f t="shared" si="32"/>
        <v>0.14057803607895836</v>
      </c>
      <c r="S9" s="340">
        <f>((THQ*EDci*365*BWa)/(EFci*EDci*(1/AM9)*IRSci*0.000001))/RBAa</f>
        <v>6.8133333333333335</v>
      </c>
      <c r="T9" s="157">
        <f t="shared" si="5"/>
        <v>89352.000000000015</v>
      </c>
      <c r="U9" s="157">
        <f t="shared" si="6"/>
        <v>32.196074725136249</v>
      </c>
      <c r="V9" s="254">
        <f t="shared" si="33"/>
        <v>5.6229713659840339</v>
      </c>
      <c r="W9" s="256">
        <f t="shared" si="34"/>
        <v>1.0958342504147207</v>
      </c>
      <c r="X9" s="241" t="str">
        <f t="shared" si="35"/>
        <v>Cancer</v>
      </c>
      <c r="Y9" s="340">
        <f>((TR*365*LT*BWct)/(AK9*EFct*EDct*IRSct*0.000001))/RBAa</f>
        <v>1.2904040404040407</v>
      </c>
      <c r="Z9" s="157">
        <f t="shared" si="7"/>
        <v>74.867441860465107</v>
      </c>
      <c r="AA9" s="157">
        <f t="shared" si="8"/>
        <v>8.0490186812840623</v>
      </c>
      <c r="AB9" s="242">
        <f t="shared" si="37"/>
        <v>1.0958342504147207</v>
      </c>
      <c r="AC9" s="340">
        <f>((THQ*EDct*365*BWct)/(EFct*EDct*(1/AM9)*IRSct*0.000001))/RBAa</f>
        <v>2.0646464646464646</v>
      </c>
      <c r="AD9" s="157">
        <f t="shared" si="10"/>
        <v>68.984999999999999</v>
      </c>
      <c r="AE9" s="157">
        <f t="shared" si="38"/>
        <v>12.878429890054502</v>
      </c>
      <c r="AF9" s="382">
        <f t="shared" si="39"/>
        <v>1.734636835950496</v>
      </c>
      <c r="AG9" s="258" t="str">
        <f t="shared" si="11"/>
        <v>NV</v>
      </c>
      <c r="AH9" s="159" t="str">
        <f t="shared" si="12"/>
        <v>--</v>
      </c>
      <c r="AI9" s="159" t="str">
        <f t="shared" si="13"/>
        <v>--</v>
      </c>
      <c r="AJ9" s="159" t="str">
        <f t="shared" si="14"/>
        <v>--</v>
      </c>
      <c r="AK9" s="158">
        <f t="shared" ref="AK9:AK10" si="40">VLOOKUP(A9,Table_IP_2,MATCH("SFo",heading_IP_2,0),FALSE)</f>
        <v>32</v>
      </c>
      <c r="AL9" s="158">
        <f t="shared" ref="AL9:AL10" si="41">VLOOKUP(A9,Table_IP_2,MATCH("IUR",heading_IP_2,0),FALSE)</f>
        <v>4.3E-3</v>
      </c>
      <c r="AM9" s="158">
        <f t="shared" ref="AM9:AM10" si="42">VLOOKUP(A9,Table_IP_2,MATCH("RfDo",heading_IP_2,0),FALSE)</f>
        <v>3.4999999999999999E-6</v>
      </c>
      <c r="AN9" s="158">
        <f t="shared" si="18"/>
        <v>1.4999999999999999E-2</v>
      </c>
      <c r="AO9" s="158" t="str">
        <f t="shared" si="19"/>
        <v>--</v>
      </c>
      <c r="AP9" s="158">
        <f>VLOOKUP(A9,Table_IP_2,MATCH("abs",heading_IP_2,0),FALSE)</f>
        <v>0.03</v>
      </c>
      <c r="AQ9" s="168">
        <f t="shared" si="20"/>
        <v>1</v>
      </c>
    </row>
    <row r="10" spans="1:43">
      <c r="A10" s="136" t="s">
        <v>91</v>
      </c>
      <c r="B10" s="185" t="s">
        <v>92</v>
      </c>
      <c r="C10" s="245">
        <f t="shared" si="21"/>
        <v>15305.241521068858</v>
      </c>
      <c r="D10" s="249" t="str">
        <f t="shared" si="22"/>
        <v>Noncancer</v>
      </c>
      <c r="E10" s="157" t="str">
        <f t="shared" si="23"/>
        <v>--</v>
      </c>
      <c r="F10" s="157" t="str">
        <f t="shared" si="24"/>
        <v>--</v>
      </c>
      <c r="G10" s="157" t="str">
        <f t="shared" si="25"/>
        <v>--</v>
      </c>
      <c r="H10" s="237" t="str">
        <f t="shared" si="26"/>
        <v>--</v>
      </c>
      <c r="I10" s="157">
        <f t="shared" si="0"/>
        <v>15642.857142857141</v>
      </c>
      <c r="J10" s="157">
        <f t="shared" si="27"/>
        <v>709142.85714285716</v>
      </c>
      <c r="K10" s="238" t="str">
        <f t="shared" si="1"/>
        <v>--</v>
      </c>
      <c r="L10" s="198">
        <f t="shared" si="28"/>
        <v>15305.241521068858</v>
      </c>
      <c r="M10" s="252">
        <f t="shared" si="29"/>
        <v>216610.90909090912</v>
      </c>
      <c r="N10" s="239" t="str">
        <f t="shared" si="30"/>
        <v>Noncancer</v>
      </c>
      <c r="O10" s="157" t="str">
        <f t="shared" si="31"/>
        <v>--</v>
      </c>
      <c r="P10" s="157" t="str">
        <f t="shared" si="2"/>
        <v>--</v>
      </c>
      <c r="Q10" s="157" t="str">
        <f t="shared" si="3"/>
        <v>--</v>
      </c>
      <c r="R10" s="240" t="str">
        <f t="shared" si="32"/>
        <v>--</v>
      </c>
      <c r="S10" s="157">
        <f t="shared" si="4"/>
        <v>233600</v>
      </c>
      <c r="T10" s="157">
        <f t="shared" si="5"/>
        <v>2978400.0000000005</v>
      </c>
      <c r="U10" s="157" t="str">
        <f t="shared" si="6"/>
        <v>--</v>
      </c>
      <c r="V10" s="254">
        <f t="shared" si="33"/>
        <v>216610.90909090912</v>
      </c>
      <c r="W10" s="256">
        <f t="shared" si="34"/>
        <v>2227.1523479471543</v>
      </c>
      <c r="X10" s="241" t="str">
        <f t="shared" si="35"/>
        <v>Noncancer</v>
      </c>
      <c r="Y10" s="157" t="str">
        <f t="shared" si="36"/>
        <v>--</v>
      </c>
      <c r="Z10" s="157" t="str">
        <f t="shared" si="7"/>
        <v>--</v>
      </c>
      <c r="AA10" s="157" t="str">
        <f t="shared" si="8"/>
        <v>--</v>
      </c>
      <c r="AB10" s="242" t="str">
        <f t="shared" si="37"/>
        <v>--</v>
      </c>
      <c r="AC10" s="157">
        <f t="shared" si="9"/>
        <v>70787.878787878799</v>
      </c>
      <c r="AD10" s="157">
        <f t="shared" si="10"/>
        <v>2299.5</v>
      </c>
      <c r="AE10" s="157" t="str">
        <f t="shared" si="38"/>
        <v>--</v>
      </c>
      <c r="AF10" s="382">
        <f t="shared" si="39"/>
        <v>2227.1523479471543</v>
      </c>
      <c r="AG10" s="258" t="str">
        <f t="shared" si="11"/>
        <v>NV</v>
      </c>
      <c r="AH10" s="159" t="str">
        <f t="shared" si="12"/>
        <v>--</v>
      </c>
      <c r="AI10" s="159" t="str">
        <f t="shared" si="13"/>
        <v>--</v>
      </c>
      <c r="AJ10" s="159" t="str">
        <f t="shared" si="14"/>
        <v>--</v>
      </c>
      <c r="AK10" s="158" t="str">
        <f t="shared" si="40"/>
        <v>--</v>
      </c>
      <c r="AL10" s="158" t="str">
        <f t="shared" si="41"/>
        <v>--</v>
      </c>
      <c r="AM10" s="158">
        <f t="shared" si="42"/>
        <v>0.2</v>
      </c>
      <c r="AN10" s="158">
        <f t="shared" si="18"/>
        <v>0.5</v>
      </c>
      <c r="AO10" s="158" t="str">
        <f t="shared" si="19"/>
        <v>--</v>
      </c>
      <c r="AP10" s="158" t="str">
        <f>VLOOKUP(A10,Table_IP_2,MATCH("abs",heading_IP_2,0),FALSE)</f>
        <v>--</v>
      </c>
      <c r="AQ10" s="168">
        <f t="shared" si="20"/>
        <v>7.0000000000000007E-2</v>
      </c>
    </row>
    <row r="11" spans="1:43">
      <c r="A11" s="136" t="s">
        <v>93</v>
      </c>
      <c r="B11" s="185" t="s">
        <v>94</v>
      </c>
      <c r="C11" s="245">
        <f t="shared" si="21"/>
        <v>0.32635947761588513</v>
      </c>
      <c r="D11" s="249" t="str">
        <f t="shared" si="22"/>
        <v>Cancer</v>
      </c>
      <c r="E11" s="157">
        <f t="shared" si="23"/>
        <v>6.9523809523809526</v>
      </c>
      <c r="F11" s="157">
        <f t="shared" si="24"/>
        <v>0.34243405706531105</v>
      </c>
      <c r="G11" s="157" t="str">
        <f t="shared" si="25"/>
        <v>--</v>
      </c>
      <c r="H11" s="237">
        <f t="shared" si="26"/>
        <v>0.32635947761588513</v>
      </c>
      <c r="I11" s="157">
        <f t="shared" si="0"/>
        <v>312.85714285714283</v>
      </c>
      <c r="J11" s="157">
        <f t="shared" si="27"/>
        <v>11.065511958310481</v>
      </c>
      <c r="K11" s="238" t="str">
        <f t="shared" si="1"/>
        <v>--</v>
      </c>
      <c r="L11" s="198">
        <f t="shared" si="28"/>
        <v>10.687503340885211</v>
      </c>
      <c r="M11" s="252">
        <f t="shared" si="29"/>
        <v>1.4037502976107612</v>
      </c>
      <c r="N11" s="239" t="str">
        <f t="shared" si="30"/>
        <v>Cancer</v>
      </c>
      <c r="O11" s="157">
        <f t="shared" si="31"/>
        <v>32.704000000000001</v>
      </c>
      <c r="P11" s="157">
        <f t="shared" si="2"/>
        <v>1.4667055429132256</v>
      </c>
      <c r="Q11" s="157" t="str">
        <f t="shared" si="3"/>
        <v>--</v>
      </c>
      <c r="R11" s="240">
        <f t="shared" si="32"/>
        <v>1.4037502976107612</v>
      </c>
      <c r="S11" s="157">
        <f t="shared" si="4"/>
        <v>4672</v>
      </c>
      <c r="T11" s="157">
        <f t="shared" si="5"/>
        <v>45.572636511946655</v>
      </c>
      <c r="U11" s="157" t="str">
        <f t="shared" si="6"/>
        <v>--</v>
      </c>
      <c r="V11" s="254">
        <f t="shared" si="33"/>
        <v>45.132396295489571</v>
      </c>
      <c r="W11" s="256">
        <f t="shared" si="34"/>
        <v>8.0087212697957888</v>
      </c>
      <c r="X11" s="241" t="str">
        <f t="shared" si="35"/>
        <v>Cancer</v>
      </c>
      <c r="Y11" s="157">
        <f t="shared" si="36"/>
        <v>247.75757575757575</v>
      </c>
      <c r="Z11" s="157">
        <f t="shared" si="7"/>
        <v>8.2762496236405365</v>
      </c>
      <c r="AA11" s="157" t="str">
        <f t="shared" si="8"/>
        <v>--</v>
      </c>
      <c r="AB11" s="242">
        <f t="shared" si="37"/>
        <v>8.0087212697957888</v>
      </c>
      <c r="AC11" s="157">
        <f t="shared" si="9"/>
        <v>1415.7575757575758</v>
      </c>
      <c r="AD11" s="157">
        <f t="shared" si="10"/>
        <v>10.286195960810383</v>
      </c>
      <c r="AE11" s="157" t="str">
        <f t="shared" si="38"/>
        <v>--</v>
      </c>
      <c r="AF11" s="382">
        <f t="shared" si="39"/>
        <v>10.21200060338689</v>
      </c>
      <c r="AG11" s="258" t="str">
        <f t="shared" si="11"/>
        <v>V</v>
      </c>
      <c r="AH11" s="159">
        <f t="shared" si="12"/>
        <v>3536.9308289272244</v>
      </c>
      <c r="AI11" s="159">
        <f t="shared" si="13"/>
        <v>3468.2460221015049</v>
      </c>
      <c r="AJ11" s="159">
        <f t="shared" si="14"/>
        <v>783.39957674950801</v>
      </c>
      <c r="AK11" s="158">
        <f t="shared" si="15"/>
        <v>0.1</v>
      </c>
      <c r="AL11" s="158">
        <f t="shared" si="16"/>
        <v>2.9E-5</v>
      </c>
      <c r="AM11" s="158">
        <f t="shared" si="17"/>
        <v>4.0000000000000001E-3</v>
      </c>
      <c r="AN11" s="158">
        <f t="shared" si="18"/>
        <v>3</v>
      </c>
      <c r="AO11" s="158" t="str">
        <f t="shared" si="19"/>
        <v>--</v>
      </c>
      <c r="AP11" s="171" t="s">
        <v>115</v>
      </c>
      <c r="AQ11" s="168">
        <f t="shared" si="20"/>
        <v>1</v>
      </c>
    </row>
    <row r="12" spans="1:43">
      <c r="A12" s="136" t="s">
        <v>95</v>
      </c>
      <c r="B12" s="185" t="s">
        <v>96</v>
      </c>
      <c r="C12" s="245">
        <f t="shared" si="21"/>
        <v>15.618248557944415</v>
      </c>
      <c r="D12" s="249" t="str">
        <f t="shared" si="22"/>
        <v>Noncancer</v>
      </c>
      <c r="E12" s="157" t="str">
        <f t="shared" si="23"/>
        <v>--</v>
      </c>
      <c r="F12" s="157">
        <f t="shared" si="24"/>
        <v>1591.0256410256409</v>
      </c>
      <c r="G12" s="157" t="str">
        <f t="shared" si="25"/>
        <v>--</v>
      </c>
      <c r="H12" s="237">
        <f t="shared" si="26"/>
        <v>1591.0256410256409</v>
      </c>
      <c r="I12" s="157">
        <f t="shared" si="0"/>
        <v>15.642857142857142</v>
      </c>
      <c r="J12" s="157">
        <f t="shared" si="27"/>
        <v>9928</v>
      </c>
      <c r="K12" s="238" t="str">
        <f t="shared" si="1"/>
        <v>--</v>
      </c>
      <c r="L12" s="198">
        <f t="shared" si="28"/>
        <v>15.618248557944415</v>
      </c>
      <c r="M12" s="252">
        <f t="shared" si="29"/>
        <v>232.29860724233987</v>
      </c>
      <c r="N12" s="239" t="str">
        <f t="shared" si="30"/>
        <v>Noncancer</v>
      </c>
      <c r="O12" s="157" t="str">
        <f t="shared" si="31"/>
        <v>--</v>
      </c>
      <c r="P12" s="157">
        <f t="shared" si="2"/>
        <v>6949.6</v>
      </c>
      <c r="Q12" s="157" t="str">
        <f t="shared" si="3"/>
        <v>--</v>
      </c>
      <c r="R12" s="240">
        <f t="shared" si="32"/>
        <v>6949.6</v>
      </c>
      <c r="S12" s="157">
        <f t="shared" si="4"/>
        <v>233.6</v>
      </c>
      <c r="T12" s="157">
        <f t="shared" si="5"/>
        <v>41697.600000000006</v>
      </c>
      <c r="U12" s="157" t="str">
        <f t="shared" si="6"/>
        <v>--</v>
      </c>
      <c r="V12" s="254">
        <f t="shared" si="33"/>
        <v>232.29860724233987</v>
      </c>
      <c r="W12" s="256">
        <f t="shared" si="34"/>
        <v>22.129100165402875</v>
      </c>
      <c r="X12" s="241" t="str">
        <f t="shared" si="35"/>
        <v>Noncancer</v>
      </c>
      <c r="Y12" s="157" t="str">
        <f t="shared" si="36"/>
        <v>--</v>
      </c>
      <c r="Z12" s="157">
        <f t="shared" si="7"/>
        <v>134.13750000000002</v>
      </c>
      <c r="AA12" s="157" t="str">
        <f t="shared" si="8"/>
        <v>--</v>
      </c>
      <c r="AB12" s="242">
        <f t="shared" si="37"/>
        <v>134.13750000000002</v>
      </c>
      <c r="AC12" s="157">
        <f t="shared" si="9"/>
        <v>70.787878787878782</v>
      </c>
      <c r="AD12" s="157">
        <f t="shared" si="10"/>
        <v>32.192999999999998</v>
      </c>
      <c r="AE12" s="157" t="str">
        <f t="shared" si="38"/>
        <v>--</v>
      </c>
      <c r="AF12" s="382">
        <f t="shared" si="39"/>
        <v>22.129100165402875</v>
      </c>
      <c r="AG12" s="258" t="str">
        <f t="shared" si="11"/>
        <v>NV</v>
      </c>
      <c r="AH12" s="159" t="str">
        <f t="shared" si="12"/>
        <v>--</v>
      </c>
      <c r="AI12" s="159" t="str">
        <f t="shared" si="13"/>
        <v>--</v>
      </c>
      <c r="AJ12" s="159" t="str">
        <f t="shared" si="14"/>
        <v>--</v>
      </c>
      <c r="AK12" s="158" t="str">
        <f t="shared" si="15"/>
        <v>--</v>
      </c>
      <c r="AL12" s="158">
        <f t="shared" si="16"/>
        <v>2.3999999999999998E-3</v>
      </c>
      <c r="AM12" s="158">
        <f t="shared" si="17"/>
        <v>2.0000000000000001E-4</v>
      </c>
      <c r="AN12" s="158">
        <f t="shared" si="18"/>
        <v>7.0000000000000001E-3</v>
      </c>
      <c r="AO12" s="158" t="str">
        <f t="shared" si="19"/>
        <v>--</v>
      </c>
      <c r="AP12" s="158" t="str">
        <f t="shared" ref="AP12:AP38" si="43">VLOOKUP(A12,Table_IP_2,MATCH("abs",heading_IP_2,0),FALSE)</f>
        <v>--</v>
      </c>
      <c r="AQ12" s="168">
        <f t="shared" si="20"/>
        <v>7.0000000000000001E-3</v>
      </c>
    </row>
    <row r="13" spans="1:43">
      <c r="A13" s="136" t="s">
        <v>97</v>
      </c>
      <c r="B13" s="185" t="s">
        <v>98</v>
      </c>
      <c r="C13" s="245">
        <f t="shared" si="21"/>
        <v>47.485937281195206</v>
      </c>
      <c r="D13" s="249" t="str">
        <f t="shared" si="22"/>
        <v>Noncancer</v>
      </c>
      <c r="E13" s="157">
        <f t="shared" si="23"/>
        <v>86.904761904761912</v>
      </c>
      <c r="F13" s="157" t="str">
        <f t="shared" si="24"/>
        <v>--</v>
      </c>
      <c r="G13" s="157" t="str">
        <f t="shared" si="25"/>
        <v>--</v>
      </c>
      <c r="H13" s="237">
        <f t="shared" si="26"/>
        <v>86.904761904761912</v>
      </c>
      <c r="I13" s="157">
        <f t="shared" si="0"/>
        <v>39107.142857142855</v>
      </c>
      <c r="J13" s="157">
        <f t="shared" si="27"/>
        <v>47.543667287480211</v>
      </c>
      <c r="K13" s="238" t="str">
        <f t="shared" si="1"/>
        <v>--</v>
      </c>
      <c r="L13" s="198">
        <f t="shared" si="28"/>
        <v>47.485937281195206</v>
      </c>
      <c r="M13" s="252">
        <f t="shared" si="29"/>
        <v>195.74037584820942</v>
      </c>
      <c r="N13" s="239" t="str">
        <f t="shared" si="30"/>
        <v>Noncancer</v>
      </c>
      <c r="O13" s="157">
        <f t="shared" si="31"/>
        <v>408.8</v>
      </c>
      <c r="P13" s="157" t="str">
        <f t="shared" si="2"/>
        <v>--</v>
      </c>
      <c r="Q13" s="157" t="str">
        <f t="shared" si="3"/>
        <v>--</v>
      </c>
      <c r="R13" s="240">
        <f t="shared" si="32"/>
        <v>408.8</v>
      </c>
      <c r="S13" s="157">
        <f t="shared" si="4"/>
        <v>584000</v>
      </c>
      <c r="T13" s="157">
        <f t="shared" si="5"/>
        <v>195.80600451416305</v>
      </c>
      <c r="U13" s="157" t="str">
        <f t="shared" si="6"/>
        <v>--</v>
      </c>
      <c r="V13" s="254">
        <f t="shared" si="33"/>
        <v>195.74037584820942</v>
      </c>
      <c r="W13" s="256">
        <f t="shared" si="34"/>
        <v>43.182761431378459</v>
      </c>
      <c r="X13" s="241" t="str">
        <f t="shared" si="35"/>
        <v>Noncancer</v>
      </c>
      <c r="Y13" s="157">
        <f t="shared" si="36"/>
        <v>3096.969696969697</v>
      </c>
      <c r="Z13" s="157" t="str">
        <f t="shared" si="7"/>
        <v>--</v>
      </c>
      <c r="AA13" s="157" t="str">
        <f t="shared" si="8"/>
        <v>--</v>
      </c>
      <c r="AB13" s="242">
        <f t="shared" si="37"/>
        <v>3096.969696969697</v>
      </c>
      <c r="AC13" s="157">
        <f t="shared" si="9"/>
        <v>176969.69696969699</v>
      </c>
      <c r="AD13" s="157">
        <f t="shared" si="10"/>
        <v>43.193301122917532</v>
      </c>
      <c r="AE13" s="157" t="str">
        <f t="shared" si="38"/>
        <v>--</v>
      </c>
      <c r="AF13" s="382">
        <f t="shared" si="39"/>
        <v>43.182761431378459</v>
      </c>
      <c r="AG13" s="258" t="str">
        <f t="shared" si="11"/>
        <v>V</v>
      </c>
      <c r="AH13" s="159">
        <f t="shared" si="12"/>
        <v>113984.09728313674</v>
      </c>
      <c r="AI13" s="159">
        <f t="shared" si="13"/>
        <v>111770.60313191777</v>
      </c>
      <c r="AJ13" s="159">
        <f t="shared" si="14"/>
        <v>25246.491347094805</v>
      </c>
      <c r="AK13" s="158">
        <f t="shared" si="15"/>
        <v>8.0000000000000002E-3</v>
      </c>
      <c r="AL13" s="158" t="str">
        <f t="shared" si="16"/>
        <v>--</v>
      </c>
      <c r="AM13" s="158">
        <f t="shared" si="17"/>
        <v>0.5</v>
      </c>
      <c r="AN13" s="158">
        <f t="shared" si="18"/>
        <v>0.4</v>
      </c>
      <c r="AO13" s="158" t="str">
        <f t="shared" si="19"/>
        <v>--</v>
      </c>
      <c r="AP13" s="158" t="str">
        <f t="shared" si="43"/>
        <v>--</v>
      </c>
      <c r="AQ13" s="168">
        <f t="shared" si="20"/>
        <v>1</v>
      </c>
    </row>
    <row r="14" spans="1:43">
      <c r="A14" s="136" t="s">
        <v>99</v>
      </c>
      <c r="B14" s="185" t="s">
        <v>100</v>
      </c>
      <c r="C14" s="245">
        <f t="shared" si="21"/>
        <v>0.10483935047691115</v>
      </c>
      <c r="D14" s="249" t="str">
        <f t="shared" si="22"/>
        <v>Cancer</v>
      </c>
      <c r="E14" s="157">
        <f t="shared" si="23"/>
        <v>0.27809523809523812</v>
      </c>
      <c r="F14" s="157">
        <f t="shared" si="24"/>
        <v>0.16827898049187376</v>
      </c>
      <c r="G14" s="157" t="str">
        <f t="shared" si="25"/>
        <v>--</v>
      </c>
      <c r="H14" s="237">
        <f t="shared" si="26"/>
        <v>0.10483935047691115</v>
      </c>
      <c r="I14" s="157" t="str">
        <f t="shared" si="0"/>
        <v>--</v>
      </c>
      <c r="J14" s="157" t="str">
        <f t="shared" si="27"/>
        <v>--</v>
      </c>
      <c r="K14" s="238" t="str">
        <f t="shared" si="1"/>
        <v>--</v>
      </c>
      <c r="L14" s="198" t="str">
        <f t="shared" si="28"/>
        <v>--</v>
      </c>
      <c r="M14" s="252">
        <f t="shared" si="29"/>
        <v>0.4647186620584528</v>
      </c>
      <c r="N14" s="239" t="str">
        <f t="shared" si="30"/>
        <v>Cancer</v>
      </c>
      <c r="O14" s="157">
        <f t="shared" si="31"/>
        <v>1.30816</v>
      </c>
      <c r="P14" s="157">
        <f t="shared" si="2"/>
        <v>0.72076899437020059</v>
      </c>
      <c r="Q14" s="157" t="str">
        <f t="shared" si="3"/>
        <v>--</v>
      </c>
      <c r="R14" s="240">
        <f t="shared" si="32"/>
        <v>0.4647186620584528</v>
      </c>
      <c r="S14" s="157" t="str">
        <f t="shared" si="4"/>
        <v>--</v>
      </c>
      <c r="T14" s="157" t="str">
        <f t="shared" si="5"/>
        <v>--</v>
      </c>
      <c r="U14" s="157" t="str">
        <f t="shared" si="6"/>
        <v>--</v>
      </c>
      <c r="V14" s="254" t="str">
        <f t="shared" si="33"/>
        <v>--</v>
      </c>
      <c r="W14" s="256">
        <f t="shared" si="34"/>
        <v>2.8670161767780562</v>
      </c>
      <c r="X14" s="241" t="str">
        <f t="shared" si="35"/>
        <v>Cancer</v>
      </c>
      <c r="Y14" s="157">
        <f t="shared" si="36"/>
        <v>9.9103030303030302</v>
      </c>
      <c r="Z14" s="157">
        <f t="shared" si="7"/>
        <v>4.0340539432142313</v>
      </c>
      <c r="AA14" s="157" t="str">
        <f t="shared" si="8"/>
        <v>--</v>
      </c>
      <c r="AB14" s="242">
        <f t="shared" si="37"/>
        <v>2.8670161767780562</v>
      </c>
      <c r="AC14" s="157" t="str">
        <f t="shared" si="9"/>
        <v>--</v>
      </c>
      <c r="AD14" s="157" t="str">
        <f t="shared" si="10"/>
        <v>--</v>
      </c>
      <c r="AE14" s="157" t="str">
        <f t="shared" si="38"/>
        <v>--</v>
      </c>
      <c r="AF14" s="382" t="str">
        <f t="shared" si="39"/>
        <v>--</v>
      </c>
      <c r="AG14" s="258" t="str">
        <f t="shared" si="11"/>
        <v>V</v>
      </c>
      <c r="AH14" s="159">
        <f t="shared" si="12"/>
        <v>42555.166874324765</v>
      </c>
      <c r="AI14" s="159">
        <f t="shared" si="13"/>
        <v>41728.774287765249</v>
      </c>
      <c r="AJ14" s="159">
        <f t="shared" si="14"/>
        <v>9425.6012713605305</v>
      </c>
      <c r="AK14" s="158">
        <f t="shared" si="15"/>
        <v>2.5</v>
      </c>
      <c r="AL14" s="158">
        <f t="shared" si="16"/>
        <v>7.1000000000000002E-4</v>
      </c>
      <c r="AM14" s="158" t="str">
        <f t="shared" si="17"/>
        <v>--</v>
      </c>
      <c r="AN14" s="158" t="str">
        <f t="shared" si="18"/>
        <v>--</v>
      </c>
      <c r="AO14" s="158" t="str">
        <f t="shared" si="19"/>
        <v>--</v>
      </c>
      <c r="AP14" s="158" t="str">
        <f t="shared" si="43"/>
        <v>--</v>
      </c>
      <c r="AQ14" s="168">
        <f t="shared" si="20"/>
        <v>1</v>
      </c>
    </row>
    <row r="15" spans="1:43">
      <c r="A15" s="136" t="s">
        <v>101</v>
      </c>
      <c r="B15" s="185" t="s">
        <v>102</v>
      </c>
      <c r="C15" s="245">
        <f t="shared" si="21"/>
        <v>3128.5714285714284</v>
      </c>
      <c r="D15" s="249" t="str">
        <f t="shared" si="22"/>
        <v>Noncancer</v>
      </c>
      <c r="E15" s="157" t="str">
        <f t="shared" si="23"/>
        <v>--</v>
      </c>
      <c r="F15" s="157" t="str">
        <f t="shared" si="24"/>
        <v>--</v>
      </c>
      <c r="G15" s="157" t="str">
        <f t="shared" si="25"/>
        <v>--</v>
      </c>
      <c r="H15" s="237" t="str">
        <f t="shared" si="26"/>
        <v>--</v>
      </c>
      <c r="I15" s="157">
        <f t="shared" si="0"/>
        <v>3128.5714285714284</v>
      </c>
      <c r="J15" s="157" t="str">
        <f t="shared" si="27"/>
        <v>--</v>
      </c>
      <c r="K15" s="238" t="str">
        <f t="shared" si="1"/>
        <v>--</v>
      </c>
      <c r="L15" s="198">
        <f t="shared" si="28"/>
        <v>3128.5714285714284</v>
      </c>
      <c r="M15" s="252">
        <f t="shared" si="29"/>
        <v>46720</v>
      </c>
      <c r="N15" s="239" t="str">
        <f t="shared" si="30"/>
        <v>Noncancer</v>
      </c>
      <c r="O15" s="157" t="str">
        <f t="shared" si="31"/>
        <v>--</v>
      </c>
      <c r="P15" s="157" t="str">
        <f t="shared" si="2"/>
        <v>--</v>
      </c>
      <c r="Q15" s="157" t="str">
        <f t="shared" si="3"/>
        <v>--</v>
      </c>
      <c r="R15" s="240" t="str">
        <f t="shared" si="32"/>
        <v>--</v>
      </c>
      <c r="S15" s="157">
        <f t="shared" si="4"/>
        <v>46720</v>
      </c>
      <c r="T15" s="157" t="str">
        <f t="shared" si="5"/>
        <v>--</v>
      </c>
      <c r="U15" s="157" t="str">
        <f t="shared" si="6"/>
        <v>--</v>
      </c>
      <c r="V15" s="254">
        <f t="shared" si="33"/>
        <v>46720</v>
      </c>
      <c r="W15" s="256">
        <f t="shared" si="34"/>
        <v>14157.575757575758</v>
      </c>
      <c r="X15" s="241" t="str">
        <f t="shared" si="35"/>
        <v>Noncancer</v>
      </c>
      <c r="Y15" s="157" t="str">
        <f t="shared" si="36"/>
        <v>--</v>
      </c>
      <c r="Z15" s="157" t="str">
        <f t="shared" si="7"/>
        <v>--</v>
      </c>
      <c r="AA15" s="157" t="str">
        <f t="shared" si="8"/>
        <v>--</v>
      </c>
      <c r="AB15" s="242" t="str">
        <f t="shared" si="37"/>
        <v>--</v>
      </c>
      <c r="AC15" s="157">
        <f t="shared" si="9"/>
        <v>14157.575757575758</v>
      </c>
      <c r="AD15" s="157" t="str">
        <f t="shared" si="10"/>
        <v>--</v>
      </c>
      <c r="AE15" s="157" t="str">
        <f t="shared" si="38"/>
        <v>--</v>
      </c>
      <c r="AF15" s="382">
        <f t="shared" si="39"/>
        <v>14157.575757575758</v>
      </c>
      <c r="AG15" s="258" t="str">
        <f t="shared" si="11"/>
        <v>V</v>
      </c>
      <c r="AH15" s="159">
        <f t="shared" si="12"/>
        <v>35006.295167128977</v>
      </c>
      <c r="AI15" s="159">
        <f t="shared" si="13"/>
        <v>34326.496568419127</v>
      </c>
      <c r="AJ15" s="159">
        <f t="shared" si="14"/>
        <v>7753.5915017639863</v>
      </c>
      <c r="AK15" s="158" t="str">
        <f t="shared" si="15"/>
        <v>--</v>
      </c>
      <c r="AL15" s="158" t="str">
        <f t="shared" si="16"/>
        <v>--</v>
      </c>
      <c r="AM15" s="158">
        <f t="shared" si="17"/>
        <v>0.04</v>
      </c>
      <c r="AN15" s="158" t="str">
        <f t="shared" si="18"/>
        <v>--</v>
      </c>
      <c r="AO15" s="158" t="str">
        <f t="shared" si="19"/>
        <v>--</v>
      </c>
      <c r="AP15" s="158" t="str">
        <f t="shared" si="43"/>
        <v>--</v>
      </c>
      <c r="AQ15" s="168">
        <f t="shared" si="20"/>
        <v>1</v>
      </c>
    </row>
    <row r="16" spans="1:43">
      <c r="A16" s="136" t="s">
        <v>103</v>
      </c>
      <c r="B16" s="185" t="s">
        <v>104</v>
      </c>
      <c r="C16" s="245">
        <f t="shared" si="21"/>
        <v>38.755453401329738</v>
      </c>
      <c r="D16" s="249" t="str">
        <f t="shared" si="22"/>
        <v>Cancer</v>
      </c>
      <c r="E16" s="157">
        <f t="shared" si="23"/>
        <v>49.65986394557823</v>
      </c>
      <c r="F16" s="157">
        <f t="shared" si="24"/>
        <v>1591025.6410256412</v>
      </c>
      <c r="G16" s="157">
        <f t="shared" si="25"/>
        <v>176.51610407196051</v>
      </c>
      <c r="H16" s="237">
        <f t="shared" si="26"/>
        <v>38.755453401329738</v>
      </c>
      <c r="I16" s="157">
        <f t="shared" si="0"/>
        <v>1564.2857142857142</v>
      </c>
      <c r="J16" s="157" t="str">
        <f t="shared" si="27"/>
        <v>--</v>
      </c>
      <c r="K16" s="238">
        <f t="shared" si="1"/>
        <v>6592.0173379086145</v>
      </c>
      <c r="L16" s="198">
        <f t="shared" si="28"/>
        <v>1264.2735911142927</v>
      </c>
      <c r="M16" s="252">
        <f t="shared" si="29"/>
        <v>164.12866633177768</v>
      </c>
      <c r="N16" s="239" t="str">
        <f t="shared" si="30"/>
        <v>Cancer</v>
      </c>
      <c r="O16" s="157">
        <f t="shared" si="31"/>
        <v>233.60000000000002</v>
      </c>
      <c r="P16" s="157">
        <f t="shared" si="2"/>
        <v>6949600.0000000009</v>
      </c>
      <c r="Q16" s="157">
        <f t="shared" si="3"/>
        <v>551.93270957376433</v>
      </c>
      <c r="R16" s="240">
        <f t="shared" si="32"/>
        <v>164.12866633177768</v>
      </c>
      <c r="S16" s="157">
        <f t="shared" si="4"/>
        <v>23360</v>
      </c>
      <c r="T16" s="157" t="str">
        <f t="shared" si="5"/>
        <v>--</v>
      </c>
      <c r="U16" s="157">
        <f t="shared" si="6"/>
        <v>55193.27095737643</v>
      </c>
      <c r="V16" s="254">
        <f t="shared" si="33"/>
        <v>16413.254264916668</v>
      </c>
      <c r="W16" s="256">
        <f t="shared" si="34"/>
        <v>1326.7789800548867</v>
      </c>
      <c r="X16" s="241" t="str">
        <f t="shared" si="35"/>
        <v>Cancer</v>
      </c>
      <c r="Y16" s="157">
        <f t="shared" si="36"/>
        <v>1769.6969696969697</v>
      </c>
      <c r="Z16" s="157">
        <f t="shared" si="7"/>
        <v>134137.50000000003</v>
      </c>
      <c r="AA16" s="157">
        <f t="shared" si="8"/>
        <v>5519.3270957376426</v>
      </c>
      <c r="AB16" s="242">
        <f t="shared" si="37"/>
        <v>1326.7789800548867</v>
      </c>
      <c r="AC16" s="157">
        <f t="shared" si="9"/>
        <v>7078.787878787879</v>
      </c>
      <c r="AD16" s="157" t="str">
        <f t="shared" si="10"/>
        <v>--</v>
      </c>
      <c r="AE16" s="157">
        <f t="shared" si="38"/>
        <v>22077.308382950574</v>
      </c>
      <c r="AF16" s="382">
        <f t="shared" si="39"/>
        <v>5360.1340033500837</v>
      </c>
      <c r="AG16" s="258" t="str">
        <f t="shared" si="11"/>
        <v>NV</v>
      </c>
      <c r="AH16" s="159" t="str">
        <f t="shared" si="12"/>
        <v>--</v>
      </c>
      <c r="AI16" s="159" t="str">
        <f t="shared" si="13"/>
        <v>--</v>
      </c>
      <c r="AJ16" s="159" t="str">
        <f t="shared" si="14"/>
        <v>--</v>
      </c>
      <c r="AK16" s="158">
        <f t="shared" si="15"/>
        <v>1.4E-2</v>
      </c>
      <c r="AL16" s="158">
        <f t="shared" si="16"/>
        <v>2.3999999999999999E-6</v>
      </c>
      <c r="AM16" s="158">
        <f t="shared" si="17"/>
        <v>0.02</v>
      </c>
      <c r="AN16" s="158" t="str">
        <f t="shared" si="18"/>
        <v>--</v>
      </c>
      <c r="AO16" s="158" t="str">
        <f t="shared" si="19"/>
        <v>--</v>
      </c>
      <c r="AP16" s="158">
        <f t="shared" si="43"/>
        <v>0.1</v>
      </c>
      <c r="AQ16" s="168">
        <f t="shared" si="20"/>
        <v>1</v>
      </c>
    </row>
    <row r="17" spans="1:43">
      <c r="A17" s="136" t="s">
        <v>105</v>
      </c>
      <c r="B17" s="185" t="s">
        <v>106</v>
      </c>
      <c r="C17" s="245">
        <f t="shared" si="21"/>
        <v>15634.235321907563</v>
      </c>
      <c r="D17" s="249" t="str">
        <f t="shared" si="22"/>
        <v>Noncancer</v>
      </c>
      <c r="E17" s="157" t="str">
        <f t="shared" si="23"/>
        <v>--</v>
      </c>
      <c r="F17" s="157" t="str">
        <f t="shared" si="24"/>
        <v>--</v>
      </c>
      <c r="G17" s="157" t="str">
        <f t="shared" si="25"/>
        <v>--</v>
      </c>
      <c r="H17" s="237" t="str">
        <f t="shared" si="26"/>
        <v>--</v>
      </c>
      <c r="I17" s="157">
        <f t="shared" si="0"/>
        <v>15642.857142857141</v>
      </c>
      <c r="J17" s="157">
        <f t="shared" si="27"/>
        <v>28365714.285714287</v>
      </c>
      <c r="K17" s="238" t="str">
        <f t="shared" si="1"/>
        <v>--</v>
      </c>
      <c r="L17" s="198">
        <f t="shared" si="28"/>
        <v>15634.235321907563</v>
      </c>
      <c r="M17" s="252">
        <f t="shared" si="29"/>
        <v>233142.85714285716</v>
      </c>
      <c r="N17" s="239" t="str">
        <f t="shared" si="30"/>
        <v>Noncancer</v>
      </c>
      <c r="O17" s="157" t="str">
        <f t="shared" si="31"/>
        <v>--</v>
      </c>
      <c r="P17" s="157" t="str">
        <f t="shared" si="2"/>
        <v>--</v>
      </c>
      <c r="Q17" s="157" t="str">
        <f t="shared" si="3"/>
        <v>--</v>
      </c>
      <c r="R17" s="240" t="str">
        <f t="shared" si="32"/>
        <v>--</v>
      </c>
      <c r="S17" s="157">
        <f t="shared" si="4"/>
        <v>233600</v>
      </c>
      <c r="T17" s="157">
        <f t="shared" si="5"/>
        <v>119136000</v>
      </c>
      <c r="U17" s="157" t="str">
        <f t="shared" si="6"/>
        <v>--</v>
      </c>
      <c r="V17" s="254">
        <f t="shared" si="33"/>
        <v>233142.85714285716</v>
      </c>
      <c r="W17" s="256">
        <f t="shared" si="34"/>
        <v>40002.174503941285</v>
      </c>
      <c r="X17" s="241" t="str">
        <f t="shared" si="35"/>
        <v>Noncancer</v>
      </c>
      <c r="Y17" s="157" t="str">
        <f t="shared" si="36"/>
        <v>--</v>
      </c>
      <c r="Z17" s="157" t="str">
        <f t="shared" si="7"/>
        <v>--</v>
      </c>
      <c r="AA17" s="157" t="str">
        <f t="shared" si="8"/>
        <v>--</v>
      </c>
      <c r="AB17" s="242" t="str">
        <f t="shared" si="37"/>
        <v>--</v>
      </c>
      <c r="AC17" s="157">
        <f t="shared" si="9"/>
        <v>70787.878787878799</v>
      </c>
      <c r="AD17" s="157">
        <f t="shared" si="10"/>
        <v>91980</v>
      </c>
      <c r="AE17" s="157" t="str">
        <f t="shared" si="38"/>
        <v>--</v>
      </c>
      <c r="AF17" s="382">
        <f t="shared" si="39"/>
        <v>40002.174503941285</v>
      </c>
      <c r="AG17" s="258" t="str">
        <f t="shared" si="11"/>
        <v>NV</v>
      </c>
      <c r="AH17" s="159" t="str">
        <f t="shared" si="12"/>
        <v>--</v>
      </c>
      <c r="AI17" s="159" t="str">
        <f t="shared" si="13"/>
        <v>--</v>
      </c>
      <c r="AJ17" s="159" t="str">
        <f t="shared" si="14"/>
        <v>--</v>
      </c>
      <c r="AK17" s="158" t="str">
        <f t="shared" si="15"/>
        <v>--</v>
      </c>
      <c r="AL17" s="158" t="str">
        <f t="shared" si="16"/>
        <v>--</v>
      </c>
      <c r="AM17" s="158">
        <f t="shared" si="17"/>
        <v>0.2</v>
      </c>
      <c r="AN17" s="158">
        <f t="shared" si="18"/>
        <v>20</v>
      </c>
      <c r="AO17" s="158" t="str">
        <f t="shared" si="19"/>
        <v>--</v>
      </c>
      <c r="AP17" s="158" t="str">
        <f t="shared" si="43"/>
        <v>--</v>
      </c>
      <c r="AQ17" s="168">
        <f t="shared" si="20"/>
        <v>1</v>
      </c>
    </row>
    <row r="18" spans="1:43">
      <c r="A18" s="136" t="s">
        <v>107</v>
      </c>
      <c r="B18" s="185" t="s">
        <v>108</v>
      </c>
      <c r="C18" s="245">
        <f t="shared" si="21"/>
        <v>0.29313407669460356</v>
      </c>
      <c r="D18" s="249" t="str">
        <f t="shared" si="22"/>
        <v>Cancer</v>
      </c>
      <c r="E18" s="157">
        <f t="shared" si="23"/>
        <v>11.213517665130571</v>
      </c>
      <c r="F18" s="157">
        <f t="shared" si="24"/>
        <v>0.30100262693587804</v>
      </c>
      <c r="G18" s="157" t="str">
        <f t="shared" si="25"/>
        <v>--</v>
      </c>
      <c r="H18" s="237">
        <f t="shared" si="26"/>
        <v>0.29313407669460356</v>
      </c>
      <c r="I18" s="157">
        <f t="shared" si="0"/>
        <v>625.71428571428567</v>
      </c>
      <c r="J18" s="157" t="str">
        <f t="shared" si="27"/>
        <v>--</v>
      </c>
      <c r="K18" s="238" t="str">
        <f t="shared" si="1"/>
        <v>--</v>
      </c>
      <c r="L18" s="198">
        <f t="shared" si="28"/>
        <v>625.71428571428567</v>
      </c>
      <c r="M18" s="252">
        <f t="shared" si="29"/>
        <v>1.2584881352220267</v>
      </c>
      <c r="N18" s="239" t="str">
        <f t="shared" si="30"/>
        <v>Cancer</v>
      </c>
      <c r="O18" s="157">
        <f t="shared" si="31"/>
        <v>52.748387096774195</v>
      </c>
      <c r="P18" s="157">
        <f t="shared" si="2"/>
        <v>1.2892474184685765</v>
      </c>
      <c r="Q18" s="157" t="str">
        <f t="shared" si="3"/>
        <v>--</v>
      </c>
      <c r="R18" s="240">
        <f t="shared" si="32"/>
        <v>1.2584881352220267</v>
      </c>
      <c r="S18" s="157">
        <f t="shared" si="4"/>
        <v>9344</v>
      </c>
      <c r="T18" s="157" t="str">
        <f t="shared" si="5"/>
        <v>--</v>
      </c>
      <c r="U18" s="157" t="str">
        <f t="shared" si="6"/>
        <v>--</v>
      </c>
      <c r="V18" s="254">
        <f t="shared" si="33"/>
        <v>9344</v>
      </c>
      <c r="W18" s="256">
        <f t="shared" si="34"/>
        <v>7.1441929383088816</v>
      </c>
      <c r="X18" s="241" t="str">
        <f t="shared" si="35"/>
        <v>Cancer</v>
      </c>
      <c r="Y18" s="157">
        <f t="shared" si="36"/>
        <v>399.60899315738027</v>
      </c>
      <c r="Z18" s="157">
        <f t="shared" si="7"/>
        <v>7.274241525370174</v>
      </c>
      <c r="AA18" s="157" t="str">
        <f t="shared" si="8"/>
        <v>--</v>
      </c>
      <c r="AB18" s="242">
        <f t="shared" si="37"/>
        <v>7.1441929383088816</v>
      </c>
      <c r="AC18" s="157">
        <f t="shared" si="9"/>
        <v>2831.5151515151515</v>
      </c>
      <c r="AD18" s="157" t="str">
        <f t="shared" si="10"/>
        <v>--</v>
      </c>
      <c r="AE18" s="157" t="str">
        <f t="shared" si="38"/>
        <v>--</v>
      </c>
      <c r="AF18" s="382">
        <f t="shared" si="39"/>
        <v>2831.5151515151515</v>
      </c>
      <c r="AG18" s="258" t="str">
        <f t="shared" si="11"/>
        <v>V</v>
      </c>
      <c r="AH18" s="159">
        <f t="shared" si="12"/>
        <v>3966.6489270101597</v>
      </c>
      <c r="AI18" s="159">
        <f t="shared" si="13"/>
        <v>3889.6192850762859</v>
      </c>
      <c r="AJ18" s="159">
        <f t="shared" si="14"/>
        <v>878.57841751351589</v>
      </c>
      <c r="AK18" s="158">
        <f t="shared" si="15"/>
        <v>6.2E-2</v>
      </c>
      <c r="AL18" s="158">
        <f t="shared" si="16"/>
        <v>3.6999999999999998E-5</v>
      </c>
      <c r="AM18" s="158">
        <f t="shared" si="17"/>
        <v>8.0000000000000002E-3</v>
      </c>
      <c r="AN18" s="158" t="str">
        <f t="shared" si="18"/>
        <v>--</v>
      </c>
      <c r="AO18" s="158" t="str">
        <f t="shared" si="19"/>
        <v>--</v>
      </c>
      <c r="AP18" s="158" t="str">
        <f t="shared" si="43"/>
        <v>--</v>
      </c>
      <c r="AQ18" s="168">
        <f t="shared" si="20"/>
        <v>1</v>
      </c>
    </row>
    <row r="19" spans="1:43">
      <c r="A19" s="136" t="s">
        <v>109</v>
      </c>
      <c r="B19" s="185" t="s">
        <v>110</v>
      </c>
      <c r="C19" s="245">
        <f t="shared" si="21"/>
        <v>19.325719293075327</v>
      </c>
      <c r="D19" s="249" t="str">
        <f t="shared" si="22"/>
        <v>Cancer</v>
      </c>
      <c r="E19" s="157">
        <f t="shared" si="23"/>
        <v>88.004822182037358</v>
      </c>
      <c r="F19" s="157">
        <f t="shared" si="24"/>
        <v>24.763813421919419</v>
      </c>
      <c r="G19" s="157" t="str">
        <f t="shared" si="25"/>
        <v>--</v>
      </c>
      <c r="H19" s="237">
        <f t="shared" si="26"/>
        <v>19.325719293075327</v>
      </c>
      <c r="I19" s="157">
        <f t="shared" si="0"/>
        <v>1564.2857142857142</v>
      </c>
      <c r="J19" s="157" t="str">
        <f t="shared" si="27"/>
        <v>--</v>
      </c>
      <c r="K19" s="238" t="str">
        <f t="shared" si="1"/>
        <v>--</v>
      </c>
      <c r="L19" s="198">
        <f t="shared" si="28"/>
        <v>1564.2857142857142</v>
      </c>
      <c r="M19" s="252">
        <f t="shared" si="29"/>
        <v>84.434222035761309</v>
      </c>
      <c r="N19" s="239" t="str">
        <f t="shared" si="30"/>
        <v>Cancer</v>
      </c>
      <c r="O19" s="157">
        <f t="shared" si="31"/>
        <v>413.97468354430379</v>
      </c>
      <c r="P19" s="157">
        <f t="shared" si="2"/>
        <v>106.06779570422397</v>
      </c>
      <c r="Q19" s="157" t="str">
        <f t="shared" si="3"/>
        <v>--</v>
      </c>
      <c r="R19" s="240">
        <f t="shared" si="32"/>
        <v>84.434222035761309</v>
      </c>
      <c r="S19" s="157">
        <f t="shared" si="4"/>
        <v>23360</v>
      </c>
      <c r="T19" s="157" t="str">
        <f t="shared" si="5"/>
        <v>--</v>
      </c>
      <c r="U19" s="157" t="str">
        <f t="shared" si="6"/>
        <v>--</v>
      </c>
      <c r="V19" s="254">
        <f t="shared" si="33"/>
        <v>23360</v>
      </c>
      <c r="W19" s="256">
        <f t="shared" si="34"/>
        <v>502.0511142217257</v>
      </c>
      <c r="X19" s="241" t="str">
        <f t="shared" si="35"/>
        <v>Cancer</v>
      </c>
      <c r="Y19" s="157">
        <f t="shared" si="36"/>
        <v>3136.1718450326048</v>
      </c>
      <c r="Z19" s="157">
        <f t="shared" si="7"/>
        <v>597.73971282809418</v>
      </c>
      <c r="AA19" s="157" t="str">
        <f t="shared" si="8"/>
        <v>--</v>
      </c>
      <c r="AB19" s="242">
        <f t="shared" si="37"/>
        <v>502.0511142217257</v>
      </c>
      <c r="AC19" s="157">
        <f t="shared" si="9"/>
        <v>7078.787878787879</v>
      </c>
      <c r="AD19" s="157" t="str">
        <f t="shared" si="10"/>
        <v>--</v>
      </c>
      <c r="AE19" s="157" t="str">
        <f t="shared" si="38"/>
        <v>--</v>
      </c>
      <c r="AF19" s="382">
        <f t="shared" si="39"/>
        <v>7078.787878787879</v>
      </c>
      <c r="AG19" s="258" t="str">
        <f t="shared" si="11"/>
        <v>V</v>
      </c>
      <c r="AH19" s="159">
        <f t="shared" si="12"/>
        <v>9702.0563889255081</v>
      </c>
      <c r="AI19" s="159">
        <f t="shared" si="13"/>
        <v>9513.6490094439832</v>
      </c>
      <c r="AJ19" s="159">
        <f t="shared" si="14"/>
        <v>2148.9215470434897</v>
      </c>
      <c r="AK19" s="158">
        <f t="shared" si="15"/>
        <v>7.9000000000000008E-3</v>
      </c>
      <c r="AL19" s="158">
        <f t="shared" si="16"/>
        <v>1.1000000000000001E-6</v>
      </c>
      <c r="AM19" s="158">
        <f t="shared" si="17"/>
        <v>0.02</v>
      </c>
      <c r="AN19" s="158" t="str">
        <f t="shared" si="18"/>
        <v>--</v>
      </c>
      <c r="AO19" s="158" t="str">
        <f t="shared" si="19"/>
        <v>--</v>
      </c>
      <c r="AP19" s="158" t="str">
        <f t="shared" si="43"/>
        <v>--</v>
      </c>
      <c r="AQ19" s="168">
        <f t="shared" si="20"/>
        <v>1</v>
      </c>
    </row>
    <row r="20" spans="1:43">
      <c r="A20" s="136" t="s">
        <v>111</v>
      </c>
      <c r="B20" s="185" t="s">
        <v>112</v>
      </c>
      <c r="C20" s="245">
        <f t="shared" si="21"/>
        <v>6.8358721225824537</v>
      </c>
      <c r="D20" s="249" t="str">
        <f t="shared" si="22"/>
        <v>Noncancer</v>
      </c>
      <c r="E20" s="157" t="str">
        <f t="shared" si="23"/>
        <v>--</v>
      </c>
      <c r="F20" s="157" t="str">
        <f t="shared" si="24"/>
        <v>--</v>
      </c>
      <c r="G20" s="157" t="str">
        <f t="shared" si="25"/>
        <v>--</v>
      </c>
      <c r="H20" s="237" t="str">
        <f t="shared" si="26"/>
        <v>--</v>
      </c>
      <c r="I20" s="157">
        <f t="shared" si="0"/>
        <v>109.5</v>
      </c>
      <c r="J20" s="157">
        <f t="shared" si="27"/>
        <v>7.2910374139303249</v>
      </c>
      <c r="K20" s="238" t="str">
        <f t="shared" si="1"/>
        <v>--</v>
      </c>
      <c r="L20" s="198">
        <f t="shared" si="28"/>
        <v>6.8358721225824537</v>
      </c>
      <c r="M20" s="252">
        <f t="shared" si="29"/>
        <v>29.48622737994976</v>
      </c>
      <c r="N20" s="239" t="str">
        <f t="shared" si="30"/>
        <v>Noncancer</v>
      </c>
      <c r="O20" s="157" t="str">
        <f t="shared" si="31"/>
        <v>--</v>
      </c>
      <c r="P20" s="157" t="str">
        <f t="shared" si="2"/>
        <v>--</v>
      </c>
      <c r="Q20" s="157" t="str">
        <f t="shared" si="3"/>
        <v>--</v>
      </c>
      <c r="R20" s="240" t="str">
        <f t="shared" si="32"/>
        <v>--</v>
      </c>
      <c r="S20" s="157">
        <f t="shared" si="4"/>
        <v>1635.2</v>
      </c>
      <c r="T20" s="157">
        <f t="shared" si="5"/>
        <v>30.02769225365725</v>
      </c>
      <c r="U20" s="157" t="str">
        <f t="shared" si="6"/>
        <v>--</v>
      </c>
      <c r="V20" s="254">
        <f t="shared" si="33"/>
        <v>29.48622737994976</v>
      </c>
      <c r="W20" s="256">
        <f t="shared" si="34"/>
        <v>6.689061489176912</v>
      </c>
      <c r="X20" s="241" t="str">
        <f t="shared" si="35"/>
        <v>Noncancer</v>
      </c>
      <c r="Y20" s="157" t="str">
        <f t="shared" si="36"/>
        <v>--</v>
      </c>
      <c r="Z20" s="157" t="str">
        <f t="shared" si="7"/>
        <v>--</v>
      </c>
      <c r="AA20" s="157" t="str">
        <f t="shared" si="8"/>
        <v>--</v>
      </c>
      <c r="AB20" s="242" t="str">
        <f t="shared" si="37"/>
        <v>--</v>
      </c>
      <c r="AC20" s="157">
        <f t="shared" si="9"/>
        <v>495.5151515151515</v>
      </c>
      <c r="AD20" s="157">
        <f t="shared" si="10"/>
        <v>6.7805941313965867</v>
      </c>
      <c r="AE20" s="157" t="str">
        <f t="shared" si="38"/>
        <v>--</v>
      </c>
      <c r="AF20" s="382">
        <f t="shared" si="39"/>
        <v>6.689061489176912</v>
      </c>
      <c r="AG20" s="258" t="str">
        <f t="shared" si="11"/>
        <v>V</v>
      </c>
      <c r="AH20" s="159">
        <f t="shared" si="12"/>
        <v>1398.2825855183567</v>
      </c>
      <c r="AI20" s="159">
        <f t="shared" si="13"/>
        <v>1371.1288825144368</v>
      </c>
      <c r="AJ20" s="159">
        <f t="shared" si="14"/>
        <v>309.70749461999935</v>
      </c>
      <c r="AK20" s="158" t="str">
        <f t="shared" si="15"/>
        <v>--</v>
      </c>
      <c r="AL20" s="158" t="str">
        <f t="shared" si="16"/>
        <v>--</v>
      </c>
      <c r="AM20" s="158">
        <f t="shared" si="17"/>
        <v>1.4E-3</v>
      </c>
      <c r="AN20" s="158">
        <f t="shared" si="18"/>
        <v>5</v>
      </c>
      <c r="AO20" s="158" t="str">
        <f t="shared" si="19"/>
        <v>--</v>
      </c>
      <c r="AP20" s="158" t="str">
        <f t="shared" si="43"/>
        <v>--</v>
      </c>
      <c r="AQ20" s="168">
        <f t="shared" si="20"/>
        <v>1</v>
      </c>
    </row>
    <row r="21" spans="1:43">
      <c r="A21" s="136" t="s">
        <v>113</v>
      </c>
      <c r="B21" s="185" t="s">
        <v>114</v>
      </c>
      <c r="C21" s="245">
        <f t="shared" si="21"/>
        <v>7.1397829897192109</v>
      </c>
      <c r="D21" s="249" t="str">
        <f t="shared" si="22"/>
        <v>Noncancer</v>
      </c>
      <c r="E21" s="157" t="str">
        <f t="shared" si="23"/>
        <v>--</v>
      </c>
      <c r="F21" s="157">
        <f t="shared" si="24"/>
        <v>909.15750915750925</v>
      </c>
      <c r="G21" s="157" t="str">
        <f t="shared" si="25"/>
        <v>--</v>
      </c>
      <c r="H21" s="237">
        <f t="shared" si="26"/>
        <v>909.15750915750925</v>
      </c>
      <c r="I21" s="157">
        <f t="shared" si="0"/>
        <v>7.8214285714285712</v>
      </c>
      <c r="J21" s="157">
        <f t="shared" si="27"/>
        <v>14182.857142857145</v>
      </c>
      <c r="K21" s="238">
        <f t="shared" si="1"/>
        <v>82.400216723857682</v>
      </c>
      <c r="L21" s="198">
        <f t="shared" si="28"/>
        <v>7.1397829897192109</v>
      </c>
      <c r="M21" s="252">
        <f t="shared" si="29"/>
        <v>99.721941050216969</v>
      </c>
      <c r="N21" s="239" t="str">
        <f t="shared" si="30"/>
        <v>Noncancer</v>
      </c>
      <c r="O21" s="157" t="str">
        <f t="shared" si="31"/>
        <v>--</v>
      </c>
      <c r="P21" s="157">
        <f t="shared" si="2"/>
        <v>3971.2000000000003</v>
      </c>
      <c r="Q21" s="157" t="str">
        <f t="shared" si="3"/>
        <v>--</v>
      </c>
      <c r="R21" s="240">
        <f t="shared" si="32"/>
        <v>3971.2000000000003</v>
      </c>
      <c r="S21" s="157">
        <f t="shared" si="4"/>
        <v>116.8</v>
      </c>
      <c r="T21" s="157">
        <f t="shared" si="5"/>
        <v>59568.000000000015</v>
      </c>
      <c r="U21" s="157">
        <f t="shared" si="6"/>
        <v>689.91588696720555</v>
      </c>
      <c r="V21" s="254">
        <f t="shared" si="33"/>
        <v>99.721941050216969</v>
      </c>
      <c r="W21" s="256">
        <f t="shared" si="34"/>
        <v>18.649440298828996</v>
      </c>
      <c r="X21" s="241" t="str">
        <f t="shared" si="35"/>
        <v>Noncancer</v>
      </c>
      <c r="Y21" s="157" t="str">
        <f t="shared" si="36"/>
        <v>--</v>
      </c>
      <c r="Z21" s="157">
        <f t="shared" si="7"/>
        <v>76.650000000000006</v>
      </c>
      <c r="AA21" s="157" t="str">
        <f t="shared" si="8"/>
        <v>--</v>
      </c>
      <c r="AB21" s="242">
        <f t="shared" si="37"/>
        <v>76.650000000000006</v>
      </c>
      <c r="AC21" s="157">
        <f t="shared" si="9"/>
        <v>35.393939393939391</v>
      </c>
      <c r="AD21" s="157">
        <f t="shared" si="10"/>
        <v>45.990000000000009</v>
      </c>
      <c r="AE21" s="157">
        <f t="shared" si="38"/>
        <v>275.96635478688222</v>
      </c>
      <c r="AF21" s="382">
        <f t="shared" si="39"/>
        <v>18.649440298828996</v>
      </c>
      <c r="AG21" s="258" t="str">
        <f t="shared" si="11"/>
        <v>NV</v>
      </c>
      <c r="AH21" s="159" t="str">
        <f t="shared" si="12"/>
        <v>--</v>
      </c>
      <c r="AI21" s="159" t="str">
        <f t="shared" si="13"/>
        <v>--</v>
      </c>
      <c r="AJ21" s="159" t="str">
        <f t="shared" si="14"/>
        <v>--</v>
      </c>
      <c r="AK21" s="158" t="str">
        <f t="shared" si="15"/>
        <v>--</v>
      </c>
      <c r="AL21" s="158">
        <f t="shared" si="16"/>
        <v>4.1999999999999997E-3</v>
      </c>
      <c r="AM21" s="158">
        <f t="shared" si="17"/>
        <v>1E-4</v>
      </c>
      <c r="AN21" s="158">
        <f t="shared" si="18"/>
        <v>0.01</v>
      </c>
      <c r="AO21" s="158" t="str">
        <f t="shared" si="19"/>
        <v>--</v>
      </c>
      <c r="AP21" s="158">
        <f t="shared" si="43"/>
        <v>1E-3</v>
      </c>
      <c r="AQ21" s="168">
        <f t="shared" si="20"/>
        <v>2.5000000000000001E-2</v>
      </c>
    </row>
    <row r="22" spans="1:43">
      <c r="A22" s="136" t="s">
        <v>117</v>
      </c>
      <c r="B22" s="185" t="s">
        <v>118</v>
      </c>
      <c r="C22" s="245">
        <f t="shared" si="21"/>
        <v>0.65347096479372602</v>
      </c>
      <c r="D22" s="249" t="str">
        <f t="shared" si="22"/>
        <v>Cancer</v>
      </c>
      <c r="E22" s="157">
        <f t="shared" si="23"/>
        <v>9.9319727891156457</v>
      </c>
      <c r="F22" s="157">
        <f t="shared" si="24"/>
        <v>0.69949394457146086</v>
      </c>
      <c r="G22" s="157" t="str">
        <f t="shared" si="25"/>
        <v>--</v>
      </c>
      <c r="H22" s="237">
        <f t="shared" si="26"/>
        <v>0.65347096479372602</v>
      </c>
      <c r="I22" s="157">
        <f t="shared" si="0"/>
        <v>312.85714285714283</v>
      </c>
      <c r="J22" s="157">
        <f t="shared" si="27"/>
        <v>62.354888773227373</v>
      </c>
      <c r="K22" s="238" t="str">
        <f t="shared" si="1"/>
        <v>--</v>
      </c>
      <c r="L22" s="198">
        <f t="shared" si="28"/>
        <v>51.992395499685863</v>
      </c>
      <c r="M22" s="252">
        <f t="shared" si="29"/>
        <v>2.8155036454000664</v>
      </c>
      <c r="N22" s="239" t="str">
        <f t="shared" si="30"/>
        <v>Cancer</v>
      </c>
      <c r="O22" s="157">
        <f t="shared" si="31"/>
        <v>46.720000000000006</v>
      </c>
      <c r="P22" s="157">
        <f t="shared" si="2"/>
        <v>2.9960560132768599</v>
      </c>
      <c r="Q22" s="157" t="str">
        <f t="shared" si="3"/>
        <v>--</v>
      </c>
      <c r="R22" s="240">
        <f t="shared" si="32"/>
        <v>2.8155036454000664</v>
      </c>
      <c r="S22" s="157">
        <f t="shared" si="4"/>
        <v>4672</v>
      </c>
      <c r="T22" s="157">
        <f t="shared" si="5"/>
        <v>256.80480113801656</v>
      </c>
      <c r="U22" s="157" t="str">
        <f t="shared" si="6"/>
        <v>--</v>
      </c>
      <c r="V22" s="254">
        <f t="shared" si="33"/>
        <v>243.42453785952171</v>
      </c>
      <c r="W22" s="256">
        <f t="shared" si="34"/>
        <v>16.141892482800358</v>
      </c>
      <c r="X22" s="241" t="str">
        <f t="shared" si="35"/>
        <v>Cancer</v>
      </c>
      <c r="Y22" s="157">
        <f t="shared" si="36"/>
        <v>353.93939393939394</v>
      </c>
      <c r="Z22" s="157">
        <f t="shared" si="7"/>
        <v>16.913244229935078</v>
      </c>
      <c r="AA22" s="157" t="str">
        <f t="shared" si="8"/>
        <v>--</v>
      </c>
      <c r="AB22" s="242">
        <f t="shared" si="37"/>
        <v>16.141892482800358</v>
      </c>
      <c r="AC22" s="157">
        <f t="shared" si="9"/>
        <v>1415.7575757575758</v>
      </c>
      <c r="AD22" s="157">
        <f t="shared" si="10"/>
        <v>57.988265931205987</v>
      </c>
      <c r="AE22" s="157" t="str">
        <f t="shared" si="38"/>
        <v>--</v>
      </c>
      <c r="AF22" s="382">
        <f t="shared" si="39"/>
        <v>55.706570614016833</v>
      </c>
      <c r="AG22" s="258" t="str">
        <f t="shared" si="11"/>
        <v>V</v>
      </c>
      <c r="AH22" s="159">
        <f t="shared" si="12"/>
        <v>1494.8106204229816</v>
      </c>
      <c r="AI22" s="159">
        <f t="shared" si="13"/>
        <v>1465.782408204331</v>
      </c>
      <c r="AJ22" s="159">
        <f t="shared" si="14"/>
        <v>331.08761918174565</v>
      </c>
      <c r="AK22" s="158">
        <f t="shared" si="15"/>
        <v>7.0000000000000007E-2</v>
      </c>
      <c r="AL22" s="158">
        <f t="shared" si="16"/>
        <v>6.0000000000000002E-6</v>
      </c>
      <c r="AM22" s="158">
        <f t="shared" si="17"/>
        <v>4.0000000000000001E-3</v>
      </c>
      <c r="AN22" s="158">
        <f t="shared" si="18"/>
        <v>40</v>
      </c>
      <c r="AO22" s="158" t="str">
        <f t="shared" si="19"/>
        <v>--</v>
      </c>
      <c r="AP22" s="158" t="str">
        <f t="shared" si="43"/>
        <v>--</v>
      </c>
      <c r="AQ22" s="168">
        <f t="shared" si="20"/>
        <v>1</v>
      </c>
    </row>
    <row r="23" spans="1:43">
      <c r="A23" s="136" t="s">
        <v>119</v>
      </c>
      <c r="B23" s="185" t="s">
        <v>120</v>
      </c>
      <c r="C23" s="245">
        <f t="shared" si="21"/>
        <v>1.7140547436720035</v>
      </c>
      <c r="D23" s="249" t="str">
        <f t="shared" si="22"/>
        <v>Cancer</v>
      </c>
      <c r="E23" s="157">
        <f t="shared" si="23"/>
        <v>1.9863945578231295</v>
      </c>
      <c r="F23" s="157">
        <f t="shared" si="24"/>
        <v>42.853667248951545</v>
      </c>
      <c r="G23" s="157">
        <f t="shared" si="25"/>
        <v>17.651610407196053</v>
      </c>
      <c r="H23" s="237">
        <f t="shared" si="26"/>
        <v>1.7140547436720035</v>
      </c>
      <c r="I23" s="157">
        <f t="shared" si="0"/>
        <v>39.107142857142854</v>
      </c>
      <c r="J23" s="157">
        <f t="shared" si="27"/>
        <v>1114.1953484727399</v>
      </c>
      <c r="K23" s="238">
        <f t="shared" si="1"/>
        <v>412.00108361928841</v>
      </c>
      <c r="L23" s="198">
        <f t="shared" si="28"/>
        <v>34.607509119023106</v>
      </c>
      <c r="M23" s="252">
        <f t="shared" si="29"/>
        <v>7.6577481486312768</v>
      </c>
      <c r="N23" s="239" t="str">
        <f t="shared" si="30"/>
        <v>Cancer</v>
      </c>
      <c r="O23" s="157">
        <f t="shared" si="31"/>
        <v>9.3439999999999994</v>
      </c>
      <c r="P23" s="157">
        <f t="shared" si="2"/>
        <v>183.55381618823699</v>
      </c>
      <c r="Q23" s="157">
        <f t="shared" si="3"/>
        <v>55.193270957376434</v>
      </c>
      <c r="R23" s="240">
        <f t="shared" si="32"/>
        <v>7.6577481486312768</v>
      </c>
      <c r="S23" s="157">
        <f t="shared" si="4"/>
        <v>584</v>
      </c>
      <c r="T23" s="157">
        <f t="shared" si="5"/>
        <v>4588.8454047059249</v>
      </c>
      <c r="U23" s="157">
        <f t="shared" si="6"/>
        <v>3449.5794348360268</v>
      </c>
      <c r="V23" s="254">
        <f t="shared" si="33"/>
        <v>450.42226484539822</v>
      </c>
      <c r="W23" s="256">
        <f t="shared" si="34"/>
        <v>58.096095396420004</v>
      </c>
      <c r="X23" s="241" t="str">
        <f t="shared" si="35"/>
        <v>Cancer</v>
      </c>
      <c r="Y23" s="157">
        <f t="shared" si="36"/>
        <v>70.787878787878796</v>
      </c>
      <c r="Z23" s="157">
        <f t="shared" si="7"/>
        <v>784.72402864198352</v>
      </c>
      <c r="AA23" s="157">
        <f t="shared" si="8"/>
        <v>551.93270957376433</v>
      </c>
      <c r="AB23" s="242">
        <f t="shared" si="37"/>
        <v>58.096095396420004</v>
      </c>
      <c r="AC23" s="157">
        <f t="shared" si="9"/>
        <v>176.96969696969697</v>
      </c>
      <c r="AD23" s="157">
        <f t="shared" si="10"/>
        <v>784.7240286419833</v>
      </c>
      <c r="AE23" s="157">
        <f t="shared" si="38"/>
        <v>1379.8317739344109</v>
      </c>
      <c r="AF23" s="382">
        <f t="shared" si="39"/>
        <v>130.72332350727214</v>
      </c>
      <c r="AG23" s="258" t="str">
        <f t="shared" si="11"/>
        <v>V</v>
      </c>
      <c r="AH23" s="159">
        <f t="shared" si="12"/>
        <v>1528009.8462792819</v>
      </c>
      <c r="AI23" s="159">
        <f t="shared" si="13"/>
        <v>1498336.9275269175</v>
      </c>
      <c r="AJ23" s="159">
        <f t="shared" si="14"/>
        <v>338440.96046609466</v>
      </c>
      <c r="AK23" s="158">
        <f t="shared" si="15"/>
        <v>0.35</v>
      </c>
      <c r="AL23" s="158">
        <f t="shared" si="16"/>
        <v>1E-4</v>
      </c>
      <c r="AM23" s="158">
        <f t="shared" si="17"/>
        <v>5.0000000000000001E-4</v>
      </c>
      <c r="AN23" s="158">
        <f t="shared" si="18"/>
        <v>0.7</v>
      </c>
      <c r="AO23" s="158" t="str">
        <f t="shared" si="19"/>
        <v>--</v>
      </c>
      <c r="AP23" s="158">
        <f t="shared" si="43"/>
        <v>0.04</v>
      </c>
      <c r="AQ23" s="168">
        <f t="shared" si="20"/>
        <v>1</v>
      </c>
    </row>
    <row r="24" spans="1:43">
      <c r="A24" s="136" t="s">
        <v>121</v>
      </c>
      <c r="B24" s="185" t="s">
        <v>122</v>
      </c>
      <c r="C24" s="245">
        <f t="shared" si="21"/>
        <v>2.7129478222090082</v>
      </c>
      <c r="D24" s="249" t="str">
        <f t="shared" si="22"/>
        <v>Cancer</v>
      </c>
      <c r="E24" s="157">
        <f t="shared" si="23"/>
        <v>3.4761904761904763</v>
      </c>
      <c r="F24" s="157" t="str">
        <f t="shared" si="24"/>
        <v>--</v>
      </c>
      <c r="G24" s="157">
        <f t="shared" si="25"/>
        <v>12.356127285037235</v>
      </c>
      <c r="H24" s="237">
        <f t="shared" si="26"/>
        <v>2.7129478222090082</v>
      </c>
      <c r="I24" s="157">
        <f t="shared" si="0"/>
        <v>39.107142857142854</v>
      </c>
      <c r="J24" s="157" t="str">
        <f t="shared" si="27"/>
        <v>--</v>
      </c>
      <c r="K24" s="238">
        <f t="shared" si="1"/>
        <v>164.80043344771536</v>
      </c>
      <c r="L24" s="198">
        <f t="shared" si="28"/>
        <v>31.606839777857317</v>
      </c>
      <c r="M24" s="252">
        <f t="shared" si="29"/>
        <v>11.489277985441669</v>
      </c>
      <c r="N24" s="239" t="str">
        <f t="shared" si="30"/>
        <v>Cancer</v>
      </c>
      <c r="O24" s="157">
        <f t="shared" si="31"/>
        <v>16.352</v>
      </c>
      <c r="P24" s="157" t="str">
        <f t="shared" si="2"/>
        <v>--</v>
      </c>
      <c r="Q24" s="157">
        <f t="shared" si="3"/>
        <v>38.635289670163502</v>
      </c>
      <c r="R24" s="240">
        <f t="shared" si="32"/>
        <v>11.489277985441669</v>
      </c>
      <c r="S24" s="157">
        <f t="shared" si="4"/>
        <v>584</v>
      </c>
      <c r="T24" s="157" t="str">
        <f t="shared" si="5"/>
        <v>--</v>
      </c>
      <c r="U24" s="157">
        <f t="shared" si="6"/>
        <v>1379.8317739344109</v>
      </c>
      <c r="V24" s="254">
        <f t="shared" si="33"/>
        <v>410.33135662291681</v>
      </c>
      <c r="W24" s="256">
        <f t="shared" si="34"/>
        <v>93.802345058626472</v>
      </c>
      <c r="X24" s="241" t="str">
        <f t="shared" si="35"/>
        <v>Cancer</v>
      </c>
      <c r="Y24" s="157">
        <f t="shared" si="36"/>
        <v>123.87878787878788</v>
      </c>
      <c r="Z24" s="157" t="str">
        <f t="shared" si="7"/>
        <v>--</v>
      </c>
      <c r="AA24" s="157">
        <f t="shared" si="8"/>
        <v>386.35289670163502</v>
      </c>
      <c r="AB24" s="242">
        <f t="shared" si="37"/>
        <v>93.802345058626472</v>
      </c>
      <c r="AC24" s="157">
        <f t="shared" si="9"/>
        <v>176.96969696969697</v>
      </c>
      <c r="AD24" s="157" t="str">
        <f t="shared" si="10"/>
        <v>--</v>
      </c>
      <c r="AE24" s="157">
        <f t="shared" si="38"/>
        <v>551.93270957376433</v>
      </c>
      <c r="AF24" s="382">
        <f t="shared" si="39"/>
        <v>134.00335008375208</v>
      </c>
      <c r="AG24" s="258" t="str">
        <f t="shared" si="11"/>
        <v>NV</v>
      </c>
      <c r="AH24" s="159" t="str">
        <f t="shared" si="12"/>
        <v>--</v>
      </c>
      <c r="AI24" s="159" t="str">
        <f t="shared" si="13"/>
        <v>--</v>
      </c>
      <c r="AJ24" s="159" t="str">
        <f t="shared" si="14"/>
        <v>--</v>
      </c>
      <c r="AK24" s="158">
        <f t="shared" si="15"/>
        <v>0.2</v>
      </c>
      <c r="AL24" s="158" t="str">
        <f t="shared" si="16"/>
        <v>--</v>
      </c>
      <c r="AM24" s="158">
        <f t="shared" si="17"/>
        <v>5.0000000000000001E-4</v>
      </c>
      <c r="AN24" s="158" t="str">
        <f t="shared" si="18"/>
        <v>--</v>
      </c>
      <c r="AO24" s="158" t="str">
        <f t="shared" si="19"/>
        <v>--</v>
      </c>
      <c r="AP24" s="158">
        <f t="shared" si="43"/>
        <v>0.1</v>
      </c>
      <c r="AQ24" s="168">
        <f t="shared" si="20"/>
        <v>1</v>
      </c>
    </row>
    <row r="25" spans="1:43">
      <c r="A25" s="136" t="s">
        <v>123</v>
      </c>
      <c r="B25" s="185" t="s">
        <v>124</v>
      </c>
      <c r="C25" s="245">
        <f t="shared" si="21"/>
        <v>276.76399317271768</v>
      </c>
      <c r="D25" s="249" t="str">
        <f t="shared" si="22"/>
        <v>Noncancer</v>
      </c>
      <c r="E25" s="157" t="str">
        <f t="shared" si="23"/>
        <v>--</v>
      </c>
      <c r="F25" s="157" t="str">
        <f t="shared" si="24"/>
        <v>--</v>
      </c>
      <c r="G25" s="157" t="str">
        <f t="shared" si="25"/>
        <v>--</v>
      </c>
      <c r="H25" s="237" t="str">
        <f t="shared" si="26"/>
        <v>--</v>
      </c>
      <c r="I25" s="157">
        <f t="shared" si="0"/>
        <v>1564.2857142857142</v>
      </c>
      <c r="J25" s="157">
        <f t="shared" si="27"/>
        <v>336.25682087483426</v>
      </c>
      <c r="K25" s="238" t="str">
        <f t="shared" si="1"/>
        <v>--</v>
      </c>
      <c r="L25" s="198">
        <f t="shared" si="28"/>
        <v>276.76399317271768</v>
      </c>
      <c r="M25" s="252">
        <f t="shared" si="29"/>
        <v>1307.3495410649878</v>
      </c>
      <c r="N25" s="239" t="str">
        <f t="shared" si="30"/>
        <v>Noncancer</v>
      </c>
      <c r="O25" s="157" t="str">
        <f t="shared" si="31"/>
        <v>--</v>
      </c>
      <c r="P25" s="157" t="str">
        <f t="shared" si="2"/>
        <v>--</v>
      </c>
      <c r="Q25" s="157" t="str">
        <f t="shared" si="3"/>
        <v>--</v>
      </c>
      <c r="R25" s="240" t="str">
        <f t="shared" si="32"/>
        <v>--</v>
      </c>
      <c r="S25" s="157">
        <f t="shared" si="4"/>
        <v>23360</v>
      </c>
      <c r="T25" s="157">
        <f t="shared" si="5"/>
        <v>1384.8532781194306</v>
      </c>
      <c r="U25" s="157" t="str">
        <f t="shared" si="6"/>
        <v>--</v>
      </c>
      <c r="V25" s="254">
        <f t="shared" si="33"/>
        <v>1307.3495410649878</v>
      </c>
      <c r="W25" s="256">
        <f t="shared" si="34"/>
        <v>299.18128876196795</v>
      </c>
      <c r="X25" s="241" t="str">
        <f t="shared" si="35"/>
        <v>Noncancer</v>
      </c>
      <c r="Y25" s="157" t="str">
        <f t="shared" si="36"/>
        <v>--</v>
      </c>
      <c r="Z25" s="157" t="str">
        <f t="shared" si="7"/>
        <v>--</v>
      </c>
      <c r="AA25" s="157" t="str">
        <f t="shared" si="8"/>
        <v>--</v>
      </c>
      <c r="AB25" s="242" t="str">
        <f t="shared" si="37"/>
        <v>--</v>
      </c>
      <c r="AC25" s="157">
        <f t="shared" si="9"/>
        <v>7078.787878787879</v>
      </c>
      <c r="AD25" s="157">
        <f t="shared" si="10"/>
        <v>312.38403767618337</v>
      </c>
      <c r="AE25" s="157" t="str">
        <f t="shared" si="38"/>
        <v>--</v>
      </c>
      <c r="AF25" s="382">
        <f t="shared" si="39"/>
        <v>299.18128876196795</v>
      </c>
      <c r="AG25" s="258" t="str">
        <f t="shared" si="11"/>
        <v>V</v>
      </c>
      <c r="AH25" s="159">
        <f t="shared" si="12"/>
        <v>6448.7915267513763</v>
      </c>
      <c r="AI25" s="159">
        <f t="shared" si="13"/>
        <v>6323.5603526917439</v>
      </c>
      <c r="AJ25" s="159">
        <f t="shared" si="14"/>
        <v>1428.3515276251926</v>
      </c>
      <c r="AK25" s="158" t="str">
        <f t="shared" si="15"/>
        <v>--</v>
      </c>
      <c r="AL25" s="158" t="str">
        <f t="shared" si="16"/>
        <v>--</v>
      </c>
      <c r="AM25" s="158">
        <f t="shared" si="17"/>
        <v>0.02</v>
      </c>
      <c r="AN25" s="158">
        <f t="shared" si="18"/>
        <v>50</v>
      </c>
      <c r="AO25" s="158" t="str">
        <f t="shared" si="19"/>
        <v>--</v>
      </c>
      <c r="AP25" s="158" t="str">
        <f t="shared" si="43"/>
        <v>--</v>
      </c>
      <c r="AQ25" s="168">
        <f t="shared" si="20"/>
        <v>1</v>
      </c>
    </row>
    <row r="26" spans="1:43">
      <c r="A26" s="136" t="s">
        <v>125</v>
      </c>
      <c r="B26" s="185" t="s">
        <v>126</v>
      </c>
      <c r="C26" s="245">
        <f t="shared" si="21"/>
        <v>5402.5982170191683</v>
      </c>
      <c r="D26" s="249" t="str">
        <f t="shared" si="22"/>
        <v>Noncancer</v>
      </c>
      <c r="E26" s="157" t="str">
        <f t="shared" si="23"/>
        <v>--</v>
      </c>
      <c r="F26" s="157" t="str">
        <f t="shared" si="24"/>
        <v>--</v>
      </c>
      <c r="G26" s="157" t="str">
        <f t="shared" si="25"/>
        <v>--</v>
      </c>
      <c r="H26" s="237" t="str">
        <f t="shared" si="26"/>
        <v>--</v>
      </c>
      <c r="I26" s="157" t="str">
        <f t="shared" si="0"/>
        <v>--</v>
      </c>
      <c r="J26" s="157">
        <f t="shared" si="27"/>
        <v>5402.5982170191683</v>
      </c>
      <c r="K26" s="238" t="str">
        <f t="shared" si="1"/>
        <v>--</v>
      </c>
      <c r="L26" s="198">
        <f t="shared" si="28"/>
        <v>5402.5982170191683</v>
      </c>
      <c r="M26" s="252">
        <f t="shared" si="29"/>
        <v>22250.270734030768</v>
      </c>
      <c r="N26" s="239" t="str">
        <f t="shared" si="30"/>
        <v>Noncancer</v>
      </c>
      <c r="O26" s="157" t="str">
        <f t="shared" si="31"/>
        <v>--</v>
      </c>
      <c r="P26" s="157" t="str">
        <f t="shared" si="2"/>
        <v>--</v>
      </c>
      <c r="Q26" s="157" t="str">
        <f t="shared" si="3"/>
        <v>--</v>
      </c>
      <c r="R26" s="240" t="str">
        <f t="shared" si="32"/>
        <v>--</v>
      </c>
      <c r="S26" s="157" t="str">
        <f t="shared" si="4"/>
        <v>--</v>
      </c>
      <c r="T26" s="157">
        <f t="shared" si="5"/>
        <v>22250.270734030768</v>
      </c>
      <c r="U26" s="157" t="str">
        <f t="shared" si="6"/>
        <v>--</v>
      </c>
      <c r="V26" s="254">
        <f t="shared" si="33"/>
        <v>22250.270734030768</v>
      </c>
      <c r="W26" s="256">
        <f t="shared" si="34"/>
        <v>5024.4728816179941</v>
      </c>
      <c r="X26" s="241" t="str">
        <f t="shared" si="35"/>
        <v>Noncancer</v>
      </c>
      <c r="Y26" s="157" t="str">
        <f t="shared" si="36"/>
        <v>--</v>
      </c>
      <c r="Z26" s="157" t="str">
        <f t="shared" si="7"/>
        <v>--</v>
      </c>
      <c r="AA26" s="157" t="str">
        <f t="shared" si="8"/>
        <v>--</v>
      </c>
      <c r="AB26" s="242" t="str">
        <f t="shared" si="37"/>
        <v>--</v>
      </c>
      <c r="AC26" s="157" t="str">
        <f t="shared" si="9"/>
        <v>--</v>
      </c>
      <c r="AD26" s="157">
        <f t="shared" si="10"/>
        <v>5024.4728816179941</v>
      </c>
      <c r="AE26" s="157" t="str">
        <f t="shared" si="38"/>
        <v>--</v>
      </c>
      <c r="AF26" s="382">
        <f t="shared" si="39"/>
        <v>5024.4728816179941</v>
      </c>
      <c r="AG26" s="258" t="str">
        <f t="shared" si="11"/>
        <v>V</v>
      </c>
      <c r="AH26" s="159">
        <f t="shared" si="12"/>
        <v>1295.1446415704422</v>
      </c>
      <c r="AI26" s="159">
        <f t="shared" si="13"/>
        <v>1269.993807748619</v>
      </c>
      <c r="AJ26" s="159">
        <f t="shared" si="14"/>
        <v>286.8633323947185</v>
      </c>
      <c r="AK26" s="158" t="str">
        <f t="shared" si="15"/>
        <v>--</v>
      </c>
      <c r="AL26" s="158" t="str">
        <f t="shared" si="16"/>
        <v>--</v>
      </c>
      <c r="AM26" s="158" t="str">
        <f t="shared" si="17"/>
        <v>--</v>
      </c>
      <c r="AN26" s="158">
        <f t="shared" si="18"/>
        <v>4000</v>
      </c>
      <c r="AO26" s="158" t="str">
        <f t="shared" si="19"/>
        <v>--</v>
      </c>
      <c r="AP26" s="158" t="str">
        <f t="shared" si="43"/>
        <v>--</v>
      </c>
      <c r="AQ26" s="168">
        <f t="shared" si="20"/>
        <v>1</v>
      </c>
    </row>
    <row r="27" spans="1:43">
      <c r="A27" s="136" t="s">
        <v>127</v>
      </c>
      <c r="B27" s="185" t="s">
        <v>128</v>
      </c>
      <c r="C27" s="245">
        <f t="shared" si="21"/>
        <v>0.3163368840867225</v>
      </c>
      <c r="D27" s="249" t="str">
        <f t="shared" si="22"/>
        <v>Cancer</v>
      </c>
      <c r="E27" s="157">
        <f t="shared" si="23"/>
        <v>22.427035330261141</v>
      </c>
      <c r="F27" s="157">
        <f t="shared" si="24"/>
        <v>0.32086270331750355</v>
      </c>
      <c r="G27" s="157" t="str">
        <f t="shared" si="25"/>
        <v>--</v>
      </c>
      <c r="H27" s="237">
        <f t="shared" si="26"/>
        <v>0.3163368840867225</v>
      </c>
      <c r="I27" s="157">
        <f t="shared" si="0"/>
        <v>782.14285714285711</v>
      </c>
      <c r="J27" s="157">
        <f t="shared" si="27"/>
        <v>5.3451142619791554</v>
      </c>
      <c r="K27" s="238" t="str">
        <f t="shared" si="1"/>
        <v>--</v>
      </c>
      <c r="L27" s="198">
        <f t="shared" si="28"/>
        <v>5.3088340297584082</v>
      </c>
      <c r="M27" s="252">
        <f t="shared" si="29"/>
        <v>1.3566386101729093</v>
      </c>
      <c r="N27" s="239" t="str">
        <f t="shared" si="30"/>
        <v>Cancer</v>
      </c>
      <c r="O27" s="157">
        <f t="shared" si="31"/>
        <v>105.49677419354839</v>
      </c>
      <c r="P27" s="157">
        <f t="shared" si="2"/>
        <v>1.3743116073156716</v>
      </c>
      <c r="Q27" s="157" t="str">
        <f t="shared" si="3"/>
        <v>--</v>
      </c>
      <c r="R27" s="240">
        <f t="shared" si="32"/>
        <v>1.3566386101729093</v>
      </c>
      <c r="S27" s="157">
        <f t="shared" si="4"/>
        <v>11680</v>
      </c>
      <c r="T27" s="157">
        <f t="shared" si="5"/>
        <v>22.013526995752812</v>
      </c>
      <c r="U27" s="157" t="str">
        <f t="shared" si="6"/>
        <v>--</v>
      </c>
      <c r="V27" s="254">
        <f t="shared" si="33"/>
        <v>21.972115714722005</v>
      </c>
      <c r="W27" s="256">
        <f t="shared" si="34"/>
        <v>4.9626517465139974</v>
      </c>
      <c r="X27" s="241" t="str">
        <f t="shared" si="35"/>
        <v>Noncancer</v>
      </c>
      <c r="Y27" s="157">
        <f t="shared" si="36"/>
        <v>799.21798631476054</v>
      </c>
      <c r="Z27" s="157">
        <f t="shared" si="7"/>
        <v>7.7563741841655034</v>
      </c>
      <c r="AA27" s="157" t="str">
        <f t="shared" si="8"/>
        <v>--</v>
      </c>
      <c r="AB27" s="242">
        <f t="shared" si="37"/>
        <v>7.6818224469236993</v>
      </c>
      <c r="AC27" s="157">
        <f t="shared" si="9"/>
        <v>3539.3939393939395</v>
      </c>
      <c r="AD27" s="157">
        <f t="shared" si="10"/>
        <v>4.9696197451403252</v>
      </c>
      <c r="AE27" s="157" t="str">
        <f t="shared" si="38"/>
        <v>--</v>
      </c>
      <c r="AF27" s="382">
        <f t="shared" si="39"/>
        <v>4.9626517465139974</v>
      </c>
      <c r="AG27" s="258" t="str">
        <f t="shared" si="11"/>
        <v>V</v>
      </c>
      <c r="AH27" s="159">
        <f t="shared" si="12"/>
        <v>2628.4420194271593</v>
      </c>
      <c r="AI27" s="159">
        <f t="shared" si="13"/>
        <v>2577.3994514242913</v>
      </c>
      <c r="AJ27" s="159">
        <f t="shared" si="14"/>
        <v>582.17716577578756</v>
      </c>
      <c r="AK27" s="158">
        <f t="shared" si="15"/>
        <v>3.1E-2</v>
      </c>
      <c r="AL27" s="158">
        <f t="shared" si="16"/>
        <v>2.3E-5</v>
      </c>
      <c r="AM27" s="158">
        <f t="shared" si="17"/>
        <v>0.01</v>
      </c>
      <c r="AN27" s="158">
        <f t="shared" si="18"/>
        <v>1.95</v>
      </c>
      <c r="AO27" s="158" t="str">
        <f t="shared" si="19"/>
        <v>--</v>
      </c>
      <c r="AP27" s="158" t="str">
        <f t="shared" si="43"/>
        <v>--</v>
      </c>
      <c r="AQ27" s="168">
        <f t="shared" si="20"/>
        <v>1</v>
      </c>
    </row>
    <row r="28" spans="1:43">
      <c r="A28" s="136" t="s">
        <v>129</v>
      </c>
      <c r="B28" s="185" t="s">
        <v>130</v>
      </c>
      <c r="C28" s="245">
        <f t="shared" si="21"/>
        <v>110.38084707318302</v>
      </c>
      <c r="D28" s="249" t="str">
        <f t="shared" si="22"/>
        <v>Noncancer</v>
      </c>
      <c r="E28" s="506" t="s">
        <v>115</v>
      </c>
      <c r="F28" s="157" t="str">
        <f t="shared" si="24"/>
        <v>--</v>
      </c>
      <c r="G28" s="157" t="str">
        <f t="shared" si="25"/>
        <v>--</v>
      </c>
      <c r="H28" s="237" t="str">
        <f t="shared" si="26"/>
        <v>--</v>
      </c>
      <c r="I28" s="157" t="str">
        <f t="shared" si="0"/>
        <v>--</v>
      </c>
      <c r="J28" s="157">
        <f t="shared" si="27"/>
        <v>110.38084707318302</v>
      </c>
      <c r="K28" s="238" t="str">
        <f t="shared" si="1"/>
        <v>--</v>
      </c>
      <c r="L28" s="198">
        <f t="shared" si="28"/>
        <v>110.38084707318302</v>
      </c>
      <c r="M28" s="252">
        <f t="shared" si="29"/>
        <v>454.59677518062915</v>
      </c>
      <c r="N28" s="239" t="str">
        <f t="shared" si="30"/>
        <v>Noncancer</v>
      </c>
      <c r="O28" s="157" t="str">
        <f t="shared" si="31"/>
        <v>--</v>
      </c>
      <c r="P28" s="157" t="str">
        <f t="shared" si="2"/>
        <v>--</v>
      </c>
      <c r="Q28" s="157" t="str">
        <f t="shared" si="3"/>
        <v>--</v>
      </c>
      <c r="R28" s="240" t="str">
        <f t="shared" si="32"/>
        <v>--</v>
      </c>
      <c r="S28" s="157" t="str">
        <f t="shared" si="4"/>
        <v>--</v>
      </c>
      <c r="T28" s="157">
        <f t="shared" si="5"/>
        <v>454.59677518062915</v>
      </c>
      <c r="U28" s="157" t="str">
        <f t="shared" si="6"/>
        <v>--</v>
      </c>
      <c r="V28" s="254">
        <f t="shared" si="33"/>
        <v>454.59677518062915</v>
      </c>
      <c r="W28" s="256">
        <f t="shared" si="34"/>
        <v>102.65791219964295</v>
      </c>
      <c r="X28" s="241" t="str">
        <f t="shared" si="35"/>
        <v>Noncancer</v>
      </c>
      <c r="Y28" s="157" t="str">
        <f t="shared" si="36"/>
        <v>--</v>
      </c>
      <c r="Z28" s="157" t="str">
        <f t="shared" si="7"/>
        <v>--</v>
      </c>
      <c r="AA28" s="157" t="str">
        <f t="shared" si="8"/>
        <v>--</v>
      </c>
      <c r="AB28" s="242" t="str">
        <f t="shared" si="37"/>
        <v>--</v>
      </c>
      <c r="AC28" s="157" t="str">
        <f t="shared" si="9"/>
        <v>--</v>
      </c>
      <c r="AD28" s="157">
        <f t="shared" si="10"/>
        <v>102.65791219964295</v>
      </c>
      <c r="AE28" s="157" t="str">
        <f t="shared" si="38"/>
        <v>--</v>
      </c>
      <c r="AF28" s="382">
        <f t="shared" si="39"/>
        <v>102.65791219964295</v>
      </c>
      <c r="AG28" s="258" t="str">
        <f t="shared" si="11"/>
        <v>V</v>
      </c>
      <c r="AH28" s="159">
        <f t="shared" si="12"/>
        <v>1176.0526600775852</v>
      </c>
      <c r="AI28" s="159">
        <f t="shared" si="13"/>
        <v>1153.214512066982</v>
      </c>
      <c r="AJ28" s="159">
        <f t="shared" si="14"/>
        <v>260.48548888906464</v>
      </c>
      <c r="AK28" s="158" t="str">
        <f t="shared" si="15"/>
        <v>--</v>
      </c>
      <c r="AL28" s="158" t="str">
        <f t="shared" si="16"/>
        <v>--</v>
      </c>
      <c r="AM28" s="158" t="str">
        <f t="shared" si="17"/>
        <v>--</v>
      </c>
      <c r="AN28" s="158">
        <f t="shared" si="18"/>
        <v>90</v>
      </c>
      <c r="AO28" s="158" t="str">
        <f t="shared" si="19"/>
        <v>--</v>
      </c>
      <c r="AP28" s="158" t="str">
        <f t="shared" si="43"/>
        <v>--</v>
      </c>
      <c r="AQ28" s="168">
        <f t="shared" si="20"/>
        <v>1</v>
      </c>
    </row>
    <row r="29" spans="1:43">
      <c r="A29" s="136" t="s">
        <v>131</v>
      </c>
      <c r="B29" s="185" t="s">
        <v>132</v>
      </c>
      <c r="C29" s="245">
        <f t="shared" ref="C29:C31" si="44">IF(AND(H29="--", L29="--"),"--",IF(H29="--",L29,IF(L29="--",H29,MIN(H29,L29))))</f>
        <v>391.07142857142856</v>
      </c>
      <c r="D29" s="249" t="str">
        <f t="shared" ref="D29:D31" si="45">IF(C29="--","--",IF(C29=H29,"Cancer","Noncancer"))</f>
        <v>Noncancer</v>
      </c>
      <c r="E29" s="506" t="s">
        <v>115</v>
      </c>
      <c r="F29" s="157" t="str">
        <f t="shared" ref="F29:F31" si="46">IF(AL29="--", "--",
IF(AO29="--",
IF(AND(AG29="V",AH29&lt;&gt;"--"),(TR*365*LT)/(AL29*1000*EFr*(1/AH29+1/PEFr)*EDr*ETr*(1/24)),(TR*365*LT)/(AL29*1000*EFr*(1/PEFr)*EDr*ETr*(1/24))),
IF(AND(AG29="V",AH29&lt;&gt;"--"),(TR*365*LT)/(AL29*1000*(1/AH29+1/PEFr)*TETmadj),(TR*365*LT)/(AL29*1000*(1/PEFr)*TETmadj))))</f>
        <v>--</v>
      </c>
      <c r="G29" s="157" t="str">
        <f t="shared" ref="G29:G31" si="47">IF(OR(AK29="--",AP29="--"),"--",
IF(AO29="--",
(TR*365*LT)/((AK29/AQ29)*DFSadj*AP29*0.000001),
(TR*365*LT)/((AK29/AQ29)*DFSmadj*AP29*0.000001)))</f>
        <v>--</v>
      </c>
      <c r="H29" s="237" t="str">
        <f t="shared" ref="H29:H31" si="48">IF(AND(E29="--",F29="--"),G29,IF(AND(E29="--",G29="--"),F29,IF(AND(F29="--",G29="--"),E29,IF(E29="--",1/(1/F29+1/G29),IF(F29="--",1/(1/E29+1/G29),IF(G29="--",1/(1/E29+1/F29),1/(1/E29+1/F29+1/G29)))))))</f>
        <v>--</v>
      </c>
      <c r="I29" s="157">
        <f t="shared" ref="I29:I31" si="49">IF(AM29="--","--",(THQ*365*EDc*BWc)/(EFr*EDc*(1/AM29)*IRSc*0.000001))</f>
        <v>391.07142857142856</v>
      </c>
      <c r="J29" s="157" t="str">
        <f t="shared" ref="J29:J31" si="50">IF(AN29="--","--",IF(AND(AG29="V",AH29&lt;&gt;"--"),
(THQ*365*EDc)/(EFr*EDc*(1/(AN29/1000))*(1/AH29+1/PEFr)),
(THQ*365*EDc)/(EFr*EDc*(1/(AN29/1000))*1/PEFr)))</f>
        <v>--</v>
      </c>
      <c r="K29" s="238" t="str">
        <f t="shared" si="1"/>
        <v>--</v>
      </c>
      <c r="L29" s="198">
        <f t="shared" ref="L29:L31" si="51">IF(AND(I29="--",J29="--"),K29,IF(AND(I29="--",K29="--"),J29,IF(AND(J29="--",K29="--"),I29,IF(I29="--",1/(1/J29+1/K29),IF(J29="--",1/(1/I29+1/K29),IF(K29="--",1/(1/I29+1/J29),1/(1/I29+1/J29+1/K29)))))))</f>
        <v>391.07142857142856</v>
      </c>
      <c r="M29" s="252">
        <f t="shared" ref="M29:M31" si="52">IF(AND(R29="--", V29="--"),"--",IF(R29="--",V29,IF(V29="--",R29,MIN(R29,V29))))</f>
        <v>5840</v>
      </c>
      <c r="N29" s="239" t="str">
        <f t="shared" ref="N29:N31" si="53">IF(M29="--","--",IF(M29=R29,"Cancer","Noncancer"))</f>
        <v>Noncancer</v>
      </c>
      <c r="O29" s="157" t="str">
        <f t="shared" ref="O29:O31" si="54">IF(AK29="--","--",(TR*365*LT*BWa)/(AK29*EFci*EDci*IRSci*0.000001))</f>
        <v>--</v>
      </c>
      <c r="P29" s="157" t="str">
        <f t="shared" si="2"/>
        <v>--</v>
      </c>
      <c r="Q29" s="157" t="str">
        <f t="shared" ref="Q29:Q31" si="55">IF(OR(AK29="--",AP29="--"),"--",(TR*365*LT*BWa)/((AK29/AQ29)*EFci*EDci*AdFci*SAci*AP29*0.000001))</f>
        <v>--</v>
      </c>
      <c r="R29" s="240" t="str">
        <f t="shared" ref="R29:R31" si="56">IF(AND(O29="--",P29="--"),Q29,IF(AND(O29="--",Q29="--"),P29,IF(AND(P29="--",Q29="--"),O29,IF(O29="--",1/(1/P29+1/Q29),IF(P29="--",1/(1/O29+1/Q29),IF(Q29="--",1/(1/O29+1/P29),1/(1/O29+1/P29+1/Q29)))))))</f>
        <v>--</v>
      </c>
      <c r="S29" s="157">
        <f t="shared" ref="S29:S31" si="57">IF(AM29="--","--",(THQ*EDci*365*BWa)/(EFci*EDci*(1/AM29)*IRSci*0.000001))</f>
        <v>5840</v>
      </c>
      <c r="T29" s="157" t="str">
        <f t="shared" si="5"/>
        <v>--</v>
      </c>
      <c r="U29" s="157" t="str">
        <f t="shared" si="6"/>
        <v>--</v>
      </c>
      <c r="V29" s="254">
        <f t="shared" ref="V29:V31" si="58">IF(AND(S29="--",T29="--"),U29,IF(AND(S29="--",U29="--"),T29,IF(AND(T29="--",U29="--"),S29,IF(S29="--",1/(1/T29+1/U29),IF(T29="--",1/(1/S29+1/U29),IF(U29="--",1/(1/S29+1/T29),1/(1/S29+1/T29+1/U29)))))))</f>
        <v>5840</v>
      </c>
      <c r="W29" s="256">
        <f t="shared" ref="W29:W31" si="59">IF(AND(AB29="--", AF29="--"),"--",IF(AB29="--",AF29,IF(AF29="--",AB29,MIN(AB29,AF29))))</f>
        <v>1769.6969696969697</v>
      </c>
      <c r="X29" s="241" t="str">
        <f t="shared" ref="X29:X31" si="60">IF(W29="--","--",IF(W29=AB29,"Cancer","Noncancer"))</f>
        <v>Noncancer</v>
      </c>
      <c r="Y29" s="157" t="str">
        <f t="shared" ref="Y29:Y31" si="61">IF(AK29="--","--",(TR*365*LT*BWct)/(AK29*EFct*EDct*IRSct*0.000001))</f>
        <v>--</v>
      </c>
      <c r="Z29" s="157" t="str">
        <f t="shared" si="7"/>
        <v>--</v>
      </c>
      <c r="AA29" s="157" t="str">
        <f t="shared" ref="AA29:AA31" si="62">IF(OR(AK29="--",AP29="--"),"--",(TR*365*LT*BWct)/((AK29/AQ29)*EFct*EDct*SAct*AdFct*AP29*0.000001))</f>
        <v>--</v>
      </c>
      <c r="AB29" s="242" t="str">
        <f t="shared" ref="AB29:AB31" si="63">IF(AND(Y29="--",Z29="--"),AA29,IF(AND(Y29="--",AA29="--"),Z29,IF(AND(Z29="--",AA29="--"),Y29,IF(Y29="--",1/(1/Z29+1/AA29),IF(Z29="--",1/(1/Y29+1/AA29),IF(AA29="--",1/(1/Y29+1/Z29),1/(1/Y29+1/Z29+1/AA29)))))))</f>
        <v>--</v>
      </c>
      <c r="AC29" s="157">
        <f t="shared" ref="AC29:AC31" si="64">IF(AM29="--","--",(THQ*EDct*365*BWct)/(EFct*EDct*(1/AM29)*IRSct*0.000001))</f>
        <v>1769.6969696969697</v>
      </c>
      <c r="AD29" s="157" t="str">
        <f t="shared" si="10"/>
        <v>--</v>
      </c>
      <c r="AE29" s="157" t="str">
        <f t="shared" ref="AE29:AE31" si="65">IF(OR(AM29="--",AP29="--"),"--",(THQ*EDct*365*BWct)/(EFct*EDct*(1/(AM29*AQ29))*SAct*AdFct*AP29*0.000001))</f>
        <v>--</v>
      </c>
      <c r="AF29" s="382">
        <f t="shared" ref="AF29:AF31" si="66">IF(AND(AC29="--",AD29="--"),AE29,IF(AND(AC29="--",AE29="--"),AD29,IF(AND(AD29="--",AE29="--"),AC29,IF(AC29="--",1/(1/AD29+1/AE29),IF(AD29="--",1/(1/AC29+1/AE29),IF(AE29="--",1/(1/AC29+1/AD29),1/(1/AC29+1/AD29+1/AE29)))))))</f>
        <v>1769.6969696969697</v>
      </c>
      <c r="AG29" s="258" t="str">
        <f t="shared" ref="AG29:AG30" si="67">VLOOKUP(A29,Table_IP_1,MATCH("volatility",heading_IP_1,0),FALSE)</f>
        <v>V</v>
      </c>
      <c r="AH29" s="159">
        <f t="shared" si="12"/>
        <v>138953.8443454752</v>
      </c>
      <c r="AI29" s="159">
        <f t="shared" si="13"/>
        <v>136255.45457813703</v>
      </c>
      <c r="AJ29" s="159">
        <f t="shared" si="14"/>
        <v>30777.074280804962</v>
      </c>
      <c r="AK29" s="158" t="str">
        <f t="shared" ref="AK29:AK31" si="68">VLOOKUP(A29,Table_IP_2,MATCH("SFo",heading_IP_2,0),FALSE)</f>
        <v>--</v>
      </c>
      <c r="AL29" s="158" t="str">
        <f t="shared" ref="AL29:AL31" si="69">VLOOKUP(A29,Table_IP_2,MATCH("IUR",heading_IP_2,0),FALSE)</f>
        <v>--</v>
      </c>
      <c r="AM29" s="158">
        <f t="shared" ref="AM29:AM31" si="70">VLOOKUP(A29,Table_IP_2,MATCH("RfDo",heading_IP_2,0),FALSE)</f>
        <v>5.0000000000000001E-3</v>
      </c>
      <c r="AN29" s="158" t="str">
        <f t="shared" ref="AN29:AN31" si="71">VLOOKUP(A29,Table_IP_2,MATCH("RfC",heading_IP_2,0),FALSE)</f>
        <v>--</v>
      </c>
      <c r="AO29" s="158" t="str">
        <f t="shared" ref="AO29:AO31" si="72">VLOOKUP(A29,Table_IP_2,MATCH("mut",heading_IP_2,0),FALSE)</f>
        <v>--</v>
      </c>
      <c r="AP29" s="158" t="str">
        <f t="shared" ref="AP29:AP31" si="73">VLOOKUP(A29,Table_IP_2,MATCH("abs",heading_IP_2,0),FALSE)</f>
        <v>--</v>
      </c>
      <c r="AQ29" s="168">
        <f t="shared" ref="AQ29:AQ31" si="74">VLOOKUP(A29,Table_IP_2,MATCH("GIABS",heading_IP_2,0),FALSE)</f>
        <v>1</v>
      </c>
    </row>
    <row r="30" spans="1:43">
      <c r="A30" s="136" t="s">
        <v>133</v>
      </c>
      <c r="B30" s="185" t="s">
        <v>134</v>
      </c>
      <c r="C30" s="245" t="str">
        <f t="shared" si="44"/>
        <v>--</v>
      </c>
      <c r="D30" s="249" t="str">
        <f t="shared" si="45"/>
        <v>--</v>
      </c>
      <c r="E30" s="506" t="s">
        <v>115</v>
      </c>
      <c r="F30" s="157" t="str">
        <f t="shared" si="46"/>
        <v>--</v>
      </c>
      <c r="G30" s="157" t="str">
        <f t="shared" si="47"/>
        <v>--</v>
      </c>
      <c r="H30" s="237" t="str">
        <f t="shared" si="48"/>
        <v>--</v>
      </c>
      <c r="I30" s="157" t="str">
        <f t="shared" si="49"/>
        <v>--</v>
      </c>
      <c r="J30" s="157" t="str">
        <f t="shared" si="50"/>
        <v>--</v>
      </c>
      <c r="K30" s="238" t="str">
        <f t="shared" si="1"/>
        <v>--</v>
      </c>
      <c r="L30" s="198" t="str">
        <f t="shared" si="51"/>
        <v>--</v>
      </c>
      <c r="M30" s="252" t="str">
        <f t="shared" si="52"/>
        <v>--</v>
      </c>
      <c r="N30" s="239" t="str">
        <f t="shared" si="53"/>
        <v>--</v>
      </c>
      <c r="O30" s="157" t="str">
        <f t="shared" si="54"/>
        <v>--</v>
      </c>
      <c r="P30" s="157" t="str">
        <f t="shared" si="2"/>
        <v>--</v>
      </c>
      <c r="Q30" s="157" t="str">
        <f t="shared" si="55"/>
        <v>--</v>
      </c>
      <c r="R30" s="240" t="str">
        <f t="shared" si="56"/>
        <v>--</v>
      </c>
      <c r="S30" s="157" t="str">
        <f t="shared" si="57"/>
        <v>--</v>
      </c>
      <c r="T30" s="157" t="str">
        <f t="shared" si="5"/>
        <v>--</v>
      </c>
      <c r="U30" s="157" t="str">
        <f t="shared" si="6"/>
        <v>--</v>
      </c>
      <c r="V30" s="254" t="str">
        <f t="shared" si="58"/>
        <v>--</v>
      </c>
      <c r="W30" s="256" t="str">
        <f t="shared" si="59"/>
        <v>--</v>
      </c>
      <c r="X30" s="241" t="str">
        <f t="shared" si="60"/>
        <v>--</v>
      </c>
      <c r="Y30" s="157" t="str">
        <f t="shared" si="61"/>
        <v>--</v>
      </c>
      <c r="Z30" s="157" t="str">
        <f t="shared" si="7"/>
        <v>--</v>
      </c>
      <c r="AA30" s="157" t="str">
        <f t="shared" si="62"/>
        <v>--</v>
      </c>
      <c r="AB30" s="242" t="str">
        <f t="shared" si="63"/>
        <v>--</v>
      </c>
      <c r="AC30" s="157" t="str">
        <f t="shared" si="64"/>
        <v>--</v>
      </c>
      <c r="AD30" s="157" t="str">
        <f t="shared" si="10"/>
        <v>--</v>
      </c>
      <c r="AE30" s="157" t="str">
        <f t="shared" si="65"/>
        <v>--</v>
      </c>
      <c r="AF30" s="382" t="str">
        <f t="shared" si="66"/>
        <v>--</v>
      </c>
      <c r="AG30" s="258" t="str">
        <f t="shared" si="67"/>
        <v>NV</v>
      </c>
      <c r="AH30" s="159" t="str">
        <f t="shared" si="12"/>
        <v>--</v>
      </c>
      <c r="AI30" s="159" t="str">
        <f t="shared" si="13"/>
        <v>--</v>
      </c>
      <c r="AJ30" s="159" t="str">
        <f t="shared" si="14"/>
        <v>--</v>
      </c>
      <c r="AK30" s="158" t="str">
        <f t="shared" si="68"/>
        <v>--</v>
      </c>
      <c r="AL30" s="158" t="str">
        <f t="shared" si="69"/>
        <v>--</v>
      </c>
      <c r="AM30" s="158" t="str">
        <f t="shared" si="70"/>
        <v>--</v>
      </c>
      <c r="AN30" s="158" t="str">
        <f t="shared" si="71"/>
        <v>--</v>
      </c>
      <c r="AO30" s="158" t="str">
        <f t="shared" si="72"/>
        <v>--</v>
      </c>
      <c r="AP30" s="158" t="str">
        <f t="shared" si="73"/>
        <v>--</v>
      </c>
      <c r="AQ30" s="168">
        <f t="shared" si="74"/>
        <v>1.2999999999999999E-2</v>
      </c>
    </row>
    <row r="31" spans="1:43">
      <c r="A31" s="136" t="s">
        <v>439</v>
      </c>
      <c r="B31" s="185" t="s">
        <v>136</v>
      </c>
      <c r="C31" s="245">
        <f t="shared" si="44"/>
        <v>85097.142857142855</v>
      </c>
      <c r="D31" s="249" t="str">
        <f t="shared" si="45"/>
        <v>Noncancer</v>
      </c>
      <c r="E31" s="157" t="str">
        <f t="shared" ref="E31" si="75">IF(AK31="--","--",
IF(AO31="--",
TR*365*LT/(AK31*IFSadj*0.000001),
TR*365*LT/(AK31*IFSmadj*0.000001)))</f>
        <v>--</v>
      </c>
      <c r="F31" s="157" t="str">
        <f t="shared" si="46"/>
        <v>--</v>
      </c>
      <c r="G31" s="157" t="str">
        <f t="shared" si="47"/>
        <v>--</v>
      </c>
      <c r="H31" s="237" t="str">
        <f t="shared" si="48"/>
        <v>--</v>
      </c>
      <c r="I31" s="157" t="str">
        <f t="shared" si="49"/>
        <v>--</v>
      </c>
      <c r="J31" s="157">
        <f t="shared" si="50"/>
        <v>85097.142857142855</v>
      </c>
      <c r="K31" s="238" t="str">
        <f t="shared" si="1"/>
        <v>--</v>
      </c>
      <c r="L31" s="198">
        <f t="shared" si="51"/>
        <v>85097.142857142855</v>
      </c>
      <c r="M31" s="252">
        <f t="shared" si="52"/>
        <v>357408.00000000006</v>
      </c>
      <c r="N31" s="239" t="str">
        <f t="shared" si="53"/>
        <v>Noncancer</v>
      </c>
      <c r="O31" s="157" t="str">
        <f t="shared" si="54"/>
        <v>--</v>
      </c>
      <c r="P31" s="157" t="str">
        <f t="shared" si="2"/>
        <v>--</v>
      </c>
      <c r="Q31" s="157" t="str">
        <f t="shared" si="55"/>
        <v>--</v>
      </c>
      <c r="R31" s="240" t="str">
        <f t="shared" si="56"/>
        <v>--</v>
      </c>
      <c r="S31" s="157" t="str">
        <f t="shared" si="57"/>
        <v>--</v>
      </c>
      <c r="T31" s="157">
        <f t="shared" si="5"/>
        <v>357408.00000000006</v>
      </c>
      <c r="U31" s="157" t="str">
        <f t="shared" si="6"/>
        <v>--</v>
      </c>
      <c r="V31" s="254">
        <f t="shared" si="58"/>
        <v>357408.00000000006</v>
      </c>
      <c r="W31" s="256">
        <f t="shared" si="59"/>
        <v>275.94</v>
      </c>
      <c r="X31" s="241" t="str">
        <f t="shared" si="60"/>
        <v>Noncancer</v>
      </c>
      <c r="Y31" s="157" t="str">
        <f t="shared" si="61"/>
        <v>--</v>
      </c>
      <c r="Z31" s="157" t="str">
        <f t="shared" si="7"/>
        <v>--</v>
      </c>
      <c r="AA31" s="157" t="str">
        <f t="shared" si="62"/>
        <v>--</v>
      </c>
      <c r="AB31" s="242" t="str">
        <f t="shared" si="63"/>
        <v>--</v>
      </c>
      <c r="AC31" s="157" t="str">
        <f t="shared" si="64"/>
        <v>--</v>
      </c>
      <c r="AD31" s="157">
        <f t="shared" si="10"/>
        <v>275.94</v>
      </c>
      <c r="AE31" s="157" t="str">
        <f t="shared" si="65"/>
        <v>--</v>
      </c>
      <c r="AF31" s="382">
        <f t="shared" si="66"/>
        <v>275.94</v>
      </c>
      <c r="AG31" s="258" t="str">
        <f>VLOOKUP("chromium iii",Table_IP_1,MATCH("volatility",heading_IP_1,0),FALSE)</f>
        <v>NV</v>
      </c>
      <c r="AH31" s="159" t="str">
        <f>VLOOKUP("chromium iii", Table_IP_1, MATCH("VFr", heading_IP_1, 0), FALSE)</f>
        <v>--</v>
      </c>
      <c r="AI31" s="159" t="str">
        <f>VLOOKUP("chromium iii", Table_IP_1, MATCH("VFc", heading_IP_1, 0), FALSE)</f>
        <v>--</v>
      </c>
      <c r="AJ31" s="159" t="str">
        <f>VLOOKUP("chromium iii", Table_IP_1, MATCH("VFcw", heading_IP_1, 0), FALSE)</f>
        <v>--</v>
      </c>
      <c r="AK31" s="158" t="str">
        <f t="shared" si="68"/>
        <v>--</v>
      </c>
      <c r="AL31" s="158" t="str">
        <f t="shared" si="69"/>
        <v>--</v>
      </c>
      <c r="AM31" s="158" t="str">
        <f t="shared" si="70"/>
        <v>--</v>
      </c>
      <c r="AN31" s="158">
        <f t="shared" si="71"/>
        <v>0.06</v>
      </c>
      <c r="AO31" s="158" t="str">
        <f t="shared" si="72"/>
        <v>--</v>
      </c>
      <c r="AP31" s="158" t="str">
        <f t="shared" si="73"/>
        <v>--</v>
      </c>
      <c r="AQ31" s="168">
        <f t="shared" si="74"/>
        <v>1.2999999999999999E-2</v>
      </c>
    </row>
    <row r="32" spans="1:43">
      <c r="A32" s="136" t="s">
        <v>440</v>
      </c>
      <c r="B32" s="185" t="s">
        <v>136</v>
      </c>
      <c r="C32" s="245">
        <f t="shared" si="21"/>
        <v>117321.42857142858</v>
      </c>
      <c r="D32" s="249" t="str">
        <f t="shared" si="22"/>
        <v>Noncancer</v>
      </c>
      <c r="E32" s="157" t="str">
        <f t="shared" si="23"/>
        <v>--</v>
      </c>
      <c r="F32" s="157" t="str">
        <f t="shared" si="24"/>
        <v>--</v>
      </c>
      <c r="G32" s="157" t="str">
        <f t="shared" si="25"/>
        <v>--</v>
      </c>
      <c r="H32" s="237" t="str">
        <f t="shared" si="26"/>
        <v>--</v>
      </c>
      <c r="I32" s="157">
        <f t="shared" si="0"/>
        <v>117321.42857142858</v>
      </c>
      <c r="J32" s="157" t="str">
        <f t="shared" si="27"/>
        <v>--</v>
      </c>
      <c r="K32" s="238" t="str">
        <f t="shared" si="1"/>
        <v>--</v>
      </c>
      <c r="L32" s="198">
        <f t="shared" si="28"/>
        <v>117321.42857142858</v>
      </c>
      <c r="M32" s="252">
        <f t="shared" si="29"/>
        <v>1752000.0000000002</v>
      </c>
      <c r="N32" s="239" t="str">
        <f t="shared" si="30"/>
        <v>Noncancer</v>
      </c>
      <c r="O32" s="157" t="str">
        <f t="shared" si="31"/>
        <v>--</v>
      </c>
      <c r="P32" s="157" t="str">
        <f t="shared" si="2"/>
        <v>--</v>
      </c>
      <c r="Q32" s="157" t="str">
        <f t="shared" si="3"/>
        <v>--</v>
      </c>
      <c r="R32" s="240" t="str">
        <f t="shared" si="32"/>
        <v>--</v>
      </c>
      <c r="S32" s="157">
        <f t="shared" si="4"/>
        <v>1752000.0000000002</v>
      </c>
      <c r="T32" s="157" t="str">
        <f t="shared" si="5"/>
        <v>--</v>
      </c>
      <c r="U32" s="157" t="str">
        <f t="shared" si="6"/>
        <v>--</v>
      </c>
      <c r="V32" s="254">
        <f t="shared" si="33"/>
        <v>1752000.0000000002</v>
      </c>
      <c r="W32" s="256">
        <f t="shared" si="34"/>
        <v>530909.09090909094</v>
      </c>
      <c r="X32" s="241" t="str">
        <f t="shared" si="35"/>
        <v>Noncancer</v>
      </c>
      <c r="Y32" s="157" t="str">
        <f t="shared" si="36"/>
        <v>--</v>
      </c>
      <c r="Z32" s="157" t="str">
        <f t="shared" si="7"/>
        <v>--</v>
      </c>
      <c r="AA32" s="157" t="str">
        <f t="shared" si="8"/>
        <v>--</v>
      </c>
      <c r="AB32" s="242" t="str">
        <f t="shared" si="37"/>
        <v>--</v>
      </c>
      <c r="AC32" s="157">
        <f t="shared" si="9"/>
        <v>530909.09090909094</v>
      </c>
      <c r="AD32" s="157" t="str">
        <f t="shared" si="10"/>
        <v>--</v>
      </c>
      <c r="AE32" s="157" t="str">
        <f t="shared" si="38"/>
        <v>--</v>
      </c>
      <c r="AF32" s="382">
        <f t="shared" si="39"/>
        <v>530909.09090909094</v>
      </c>
      <c r="AG32" s="258" t="str">
        <f>VLOOKUP("chromium iii",Table_IP_1,MATCH("volatility",heading_IP_1,0),FALSE)</f>
        <v>NV</v>
      </c>
      <c r="AH32" s="159" t="str">
        <f>VLOOKUP("chromium iii", Table_IP_1, MATCH("VFr", heading_IP_1, 0), FALSE)</f>
        <v>--</v>
      </c>
      <c r="AI32" s="159" t="str">
        <f>VLOOKUP("chromium iii", Table_IP_1, MATCH("VFc", heading_IP_1, 0), FALSE)</f>
        <v>--</v>
      </c>
      <c r="AJ32" s="159" t="str">
        <f>VLOOKUP("chromium iii", Table_IP_1, MATCH("VFcw", heading_IP_1, 0), FALSE)</f>
        <v>--</v>
      </c>
      <c r="AK32" s="158" t="str">
        <f t="shared" si="15"/>
        <v>--</v>
      </c>
      <c r="AL32" s="158" t="str">
        <f t="shared" si="16"/>
        <v>--</v>
      </c>
      <c r="AM32" s="158">
        <f t="shared" si="17"/>
        <v>1.5</v>
      </c>
      <c r="AN32" s="158" t="str">
        <f t="shared" si="18"/>
        <v>--</v>
      </c>
      <c r="AO32" s="158" t="str">
        <f t="shared" si="19"/>
        <v>--</v>
      </c>
      <c r="AP32" s="158" t="str">
        <f t="shared" si="43"/>
        <v>--</v>
      </c>
      <c r="AQ32" s="168">
        <f t="shared" si="20"/>
        <v>1.2999999999999999E-2</v>
      </c>
    </row>
    <row r="33" spans="1:43">
      <c r="A33" s="136" t="s">
        <v>137</v>
      </c>
      <c r="B33" s="185" t="s">
        <v>138</v>
      </c>
      <c r="C33" s="245">
        <f t="shared" si="21"/>
        <v>0.29641719745222933</v>
      </c>
      <c r="D33" s="249" t="str">
        <f t="shared" si="22"/>
        <v>Cancer</v>
      </c>
      <c r="E33" s="157">
        <f t="shared" si="23"/>
        <v>0.30629370629370634</v>
      </c>
      <c r="F33" s="157">
        <f t="shared" si="24"/>
        <v>9.1925925925925931</v>
      </c>
      <c r="G33" s="157" t="str">
        <f t="shared" si="25"/>
        <v>--</v>
      </c>
      <c r="H33" s="237">
        <f t="shared" si="26"/>
        <v>0.29641719745222933</v>
      </c>
      <c r="I33" s="157">
        <f t="shared" si="0"/>
        <v>70.392857142857139</v>
      </c>
      <c r="J33" s="157">
        <f t="shared" si="27"/>
        <v>42548.571428571428</v>
      </c>
      <c r="K33" s="238" t="str">
        <f t="shared" si="1"/>
        <v>--</v>
      </c>
      <c r="L33" s="198">
        <f t="shared" si="28"/>
        <v>70.276590724379304</v>
      </c>
      <c r="M33" s="252">
        <f t="shared" si="29"/>
        <v>6.1774222222222219</v>
      </c>
      <c r="N33" s="239" t="str">
        <f t="shared" si="30"/>
        <v>Cancer</v>
      </c>
      <c r="O33" s="157">
        <f t="shared" si="31"/>
        <v>6.5407999999999999</v>
      </c>
      <c r="P33" s="157">
        <f t="shared" si="2"/>
        <v>111.19360000000002</v>
      </c>
      <c r="Q33" s="157" t="str">
        <f t="shared" si="3"/>
        <v>--</v>
      </c>
      <c r="R33" s="240">
        <f t="shared" si="32"/>
        <v>6.1774222222222219</v>
      </c>
      <c r="S33" s="157">
        <f t="shared" si="4"/>
        <v>1051.2</v>
      </c>
      <c r="T33" s="157">
        <f t="shared" si="5"/>
        <v>178704.00000000003</v>
      </c>
      <c r="U33" s="157" t="str">
        <f t="shared" si="6"/>
        <v>--</v>
      </c>
      <c r="V33" s="254">
        <f t="shared" si="33"/>
        <v>1045.0526315789475</v>
      </c>
      <c r="W33" s="256">
        <f t="shared" si="34"/>
        <v>2.0571017791888817</v>
      </c>
      <c r="X33" s="241" t="str">
        <f t="shared" si="35"/>
        <v>Cancer</v>
      </c>
      <c r="Y33" s="157">
        <f t="shared" si="36"/>
        <v>49.551515151515162</v>
      </c>
      <c r="Z33" s="157">
        <f t="shared" si="7"/>
        <v>2.1461999999999999</v>
      </c>
      <c r="AA33" s="157" t="str">
        <f t="shared" si="8"/>
        <v>--</v>
      </c>
      <c r="AB33" s="242">
        <f t="shared" si="37"/>
        <v>2.0571017791888817</v>
      </c>
      <c r="AC33" s="157">
        <f t="shared" si="9"/>
        <v>318.54545454545456</v>
      </c>
      <c r="AD33" s="157">
        <f t="shared" si="10"/>
        <v>137.97</v>
      </c>
      <c r="AE33" s="157" t="str">
        <f t="shared" si="38"/>
        <v>--</v>
      </c>
      <c r="AF33" s="382">
        <f t="shared" si="39"/>
        <v>96.272132577409508</v>
      </c>
      <c r="AG33" s="258" t="str">
        <f t="shared" si="11"/>
        <v>NV</v>
      </c>
      <c r="AH33" s="159" t="str">
        <f t="shared" si="12"/>
        <v>--</v>
      </c>
      <c r="AI33" s="159" t="str">
        <f t="shared" si="13"/>
        <v>--</v>
      </c>
      <c r="AJ33" s="159" t="str">
        <f t="shared" si="14"/>
        <v>--</v>
      </c>
      <c r="AK33" s="158">
        <f t="shared" si="15"/>
        <v>0.5</v>
      </c>
      <c r="AL33" s="158">
        <f t="shared" si="16"/>
        <v>0.15</v>
      </c>
      <c r="AM33" s="158">
        <f t="shared" si="17"/>
        <v>8.9999999999999998E-4</v>
      </c>
      <c r="AN33" s="158">
        <f t="shared" si="18"/>
        <v>0.03</v>
      </c>
      <c r="AO33" s="158" t="str">
        <f t="shared" si="19"/>
        <v>Yes</v>
      </c>
      <c r="AP33" s="158" t="str">
        <f t="shared" si="43"/>
        <v>--</v>
      </c>
      <c r="AQ33" s="168">
        <f t="shared" si="20"/>
        <v>2.5000000000000001E-2</v>
      </c>
    </row>
    <row r="34" spans="1:43">
      <c r="A34" s="136" t="s">
        <v>139</v>
      </c>
      <c r="B34" s="185" t="s">
        <v>140</v>
      </c>
      <c r="C34" s="245">
        <f t="shared" si="21"/>
        <v>23.399764305355507</v>
      </c>
      <c r="D34" s="249" t="str">
        <f t="shared" si="22"/>
        <v>Noncancer</v>
      </c>
      <c r="E34" s="157" t="str">
        <f t="shared" si="23"/>
        <v>--</v>
      </c>
      <c r="F34" s="157">
        <f t="shared" si="24"/>
        <v>424.27350427350439</v>
      </c>
      <c r="G34" s="157" t="str">
        <f t="shared" si="25"/>
        <v>--</v>
      </c>
      <c r="H34" s="237">
        <f t="shared" si="26"/>
        <v>424.27350427350439</v>
      </c>
      <c r="I34" s="157">
        <f t="shared" si="0"/>
        <v>23.464285714285715</v>
      </c>
      <c r="J34" s="157">
        <f t="shared" si="27"/>
        <v>8509.7142857142862</v>
      </c>
      <c r="K34" s="238" t="str">
        <f t="shared" si="1"/>
        <v>--</v>
      </c>
      <c r="L34" s="198">
        <f t="shared" si="28"/>
        <v>23.399764305355507</v>
      </c>
      <c r="M34" s="252">
        <f t="shared" si="29"/>
        <v>346.99805825242714</v>
      </c>
      <c r="N34" s="239" t="str">
        <f t="shared" si="30"/>
        <v>Noncancer</v>
      </c>
      <c r="O34" s="157" t="str">
        <f t="shared" si="31"/>
        <v>--</v>
      </c>
      <c r="P34" s="157">
        <f t="shared" si="2"/>
        <v>1853.2266666666669</v>
      </c>
      <c r="Q34" s="157" t="str">
        <f t="shared" si="3"/>
        <v>--</v>
      </c>
      <c r="R34" s="240">
        <f t="shared" si="32"/>
        <v>1853.2266666666669</v>
      </c>
      <c r="S34" s="157">
        <f t="shared" si="4"/>
        <v>350.4</v>
      </c>
      <c r="T34" s="157">
        <f t="shared" si="5"/>
        <v>35740.80000000001</v>
      </c>
      <c r="U34" s="157" t="str">
        <f t="shared" si="6"/>
        <v>--</v>
      </c>
      <c r="V34" s="254">
        <f t="shared" si="33"/>
        <v>346.99805825242714</v>
      </c>
      <c r="W34" s="256">
        <f t="shared" si="34"/>
        <v>21.90217283460661</v>
      </c>
      <c r="X34" s="241" t="str">
        <f t="shared" si="35"/>
        <v>Noncancer</v>
      </c>
      <c r="Y34" s="157" t="str">
        <f t="shared" si="36"/>
        <v>--</v>
      </c>
      <c r="Z34" s="157">
        <f t="shared" si="7"/>
        <v>35.770000000000003</v>
      </c>
      <c r="AA34" s="157" t="str">
        <f t="shared" si="8"/>
        <v>--</v>
      </c>
      <c r="AB34" s="242">
        <f t="shared" si="37"/>
        <v>35.770000000000003</v>
      </c>
      <c r="AC34" s="157">
        <f t="shared" si="9"/>
        <v>106.18181818181819</v>
      </c>
      <c r="AD34" s="157">
        <f t="shared" si="10"/>
        <v>27.594000000000001</v>
      </c>
      <c r="AE34" s="157" t="str">
        <f t="shared" si="38"/>
        <v>--</v>
      </c>
      <c r="AF34" s="382">
        <f t="shared" si="39"/>
        <v>21.90217283460661</v>
      </c>
      <c r="AG34" s="258" t="str">
        <f t="shared" si="11"/>
        <v>NV</v>
      </c>
      <c r="AH34" s="159" t="str">
        <f t="shared" si="12"/>
        <v>--</v>
      </c>
      <c r="AI34" s="159" t="str">
        <f t="shared" si="13"/>
        <v>--</v>
      </c>
      <c r="AJ34" s="159" t="str">
        <f t="shared" si="14"/>
        <v>--</v>
      </c>
      <c r="AK34" s="158" t="str">
        <f t="shared" si="15"/>
        <v>--</v>
      </c>
      <c r="AL34" s="158">
        <f t="shared" si="16"/>
        <v>8.9999999999999993E-3</v>
      </c>
      <c r="AM34" s="158">
        <f t="shared" si="17"/>
        <v>2.9999999999999997E-4</v>
      </c>
      <c r="AN34" s="158">
        <f t="shared" si="18"/>
        <v>6.0000000000000001E-3</v>
      </c>
      <c r="AO34" s="158" t="str">
        <f t="shared" si="19"/>
        <v>--</v>
      </c>
      <c r="AP34" s="158" t="str">
        <f t="shared" si="43"/>
        <v>--</v>
      </c>
      <c r="AQ34" s="168">
        <f t="shared" si="20"/>
        <v>1</v>
      </c>
    </row>
    <row r="35" spans="1:43">
      <c r="A35" s="136" t="s">
        <v>141</v>
      </c>
      <c r="B35" s="185" t="s">
        <v>142</v>
      </c>
      <c r="C35" s="245">
        <f t="shared" si="21"/>
        <v>3128.5714285714284</v>
      </c>
      <c r="D35" s="249" t="str">
        <f t="shared" si="22"/>
        <v>Noncancer</v>
      </c>
      <c r="E35" s="157" t="str">
        <f t="shared" si="23"/>
        <v>--</v>
      </c>
      <c r="F35" s="157" t="str">
        <f t="shared" si="24"/>
        <v>--</v>
      </c>
      <c r="G35" s="157" t="str">
        <f t="shared" si="25"/>
        <v>--</v>
      </c>
      <c r="H35" s="237" t="str">
        <f t="shared" si="26"/>
        <v>--</v>
      </c>
      <c r="I35" s="157">
        <f t="shared" si="0"/>
        <v>3128.5714285714284</v>
      </c>
      <c r="J35" s="157" t="str">
        <f t="shared" si="27"/>
        <v>--</v>
      </c>
      <c r="K35" s="238" t="str">
        <f t="shared" si="1"/>
        <v>--</v>
      </c>
      <c r="L35" s="198">
        <f t="shared" si="28"/>
        <v>3128.5714285714284</v>
      </c>
      <c r="M35" s="252">
        <f t="shared" si="29"/>
        <v>46720</v>
      </c>
      <c r="N35" s="239" t="str">
        <f t="shared" si="30"/>
        <v>Noncancer</v>
      </c>
      <c r="O35" s="157" t="str">
        <f t="shared" si="31"/>
        <v>--</v>
      </c>
      <c r="P35" s="157" t="str">
        <f t="shared" si="2"/>
        <v>--</v>
      </c>
      <c r="Q35" s="157" t="str">
        <f t="shared" si="3"/>
        <v>--</v>
      </c>
      <c r="R35" s="240" t="str">
        <f t="shared" si="32"/>
        <v>--</v>
      </c>
      <c r="S35" s="157">
        <f t="shared" si="4"/>
        <v>46720</v>
      </c>
      <c r="T35" s="157" t="str">
        <f t="shared" si="5"/>
        <v>--</v>
      </c>
      <c r="U35" s="157" t="str">
        <f t="shared" si="6"/>
        <v>--</v>
      </c>
      <c r="V35" s="254">
        <f t="shared" si="33"/>
        <v>46720</v>
      </c>
      <c r="W35" s="256">
        <f t="shared" si="34"/>
        <v>14157.575757575758</v>
      </c>
      <c r="X35" s="241" t="str">
        <f t="shared" si="35"/>
        <v>Noncancer</v>
      </c>
      <c r="Y35" s="157" t="str">
        <f t="shared" si="36"/>
        <v>--</v>
      </c>
      <c r="Z35" s="157" t="str">
        <f t="shared" si="7"/>
        <v>--</v>
      </c>
      <c r="AA35" s="157" t="str">
        <f t="shared" si="8"/>
        <v>--</v>
      </c>
      <c r="AB35" s="242" t="str">
        <f t="shared" si="37"/>
        <v>--</v>
      </c>
      <c r="AC35" s="157">
        <f t="shared" si="9"/>
        <v>14157.575757575758</v>
      </c>
      <c r="AD35" s="157" t="str">
        <f t="shared" si="10"/>
        <v>--</v>
      </c>
      <c r="AE35" s="157" t="str">
        <f t="shared" si="38"/>
        <v>--</v>
      </c>
      <c r="AF35" s="382">
        <f t="shared" si="39"/>
        <v>14157.575757575758</v>
      </c>
      <c r="AG35" s="258" t="str">
        <f t="shared" si="11"/>
        <v>NV</v>
      </c>
      <c r="AH35" s="159" t="str">
        <f t="shared" si="12"/>
        <v>--</v>
      </c>
      <c r="AI35" s="159" t="str">
        <f t="shared" si="13"/>
        <v>--</v>
      </c>
      <c r="AJ35" s="159" t="str">
        <f t="shared" si="14"/>
        <v>--</v>
      </c>
      <c r="AK35" s="158" t="str">
        <f t="shared" si="15"/>
        <v>--</v>
      </c>
      <c r="AL35" s="158" t="str">
        <f t="shared" si="16"/>
        <v>--</v>
      </c>
      <c r="AM35" s="158">
        <f t="shared" si="17"/>
        <v>0.04</v>
      </c>
      <c r="AN35" s="158" t="str">
        <f t="shared" si="18"/>
        <v>--</v>
      </c>
      <c r="AO35" s="158" t="str">
        <f t="shared" si="19"/>
        <v>--</v>
      </c>
      <c r="AP35" s="158" t="str">
        <f t="shared" si="43"/>
        <v>--</v>
      </c>
      <c r="AQ35" s="168">
        <f t="shared" si="20"/>
        <v>1</v>
      </c>
    </row>
    <row r="36" spans="1:43">
      <c r="A36" s="136" t="s">
        <v>143</v>
      </c>
      <c r="B36" s="185" t="s">
        <v>144</v>
      </c>
      <c r="C36" s="245">
        <f t="shared" si="21"/>
        <v>24.007383024290597</v>
      </c>
      <c r="D36" s="249" t="str">
        <f t="shared" si="22"/>
        <v>Noncancer</v>
      </c>
      <c r="E36" s="157" t="str">
        <f t="shared" si="23"/>
        <v>--</v>
      </c>
      <c r="F36" s="157" t="str">
        <f t="shared" si="24"/>
        <v>--</v>
      </c>
      <c r="G36" s="157" t="str">
        <f t="shared" si="25"/>
        <v>--</v>
      </c>
      <c r="H36" s="237" t="str">
        <f t="shared" si="26"/>
        <v>--</v>
      </c>
      <c r="I36" s="157">
        <f t="shared" si="0"/>
        <v>46.928571428571431</v>
      </c>
      <c r="J36" s="157">
        <f t="shared" si="27"/>
        <v>49.152433512482325</v>
      </c>
      <c r="K36" s="238" t="str">
        <f t="shared" si="1"/>
        <v>--</v>
      </c>
      <c r="L36" s="198">
        <f t="shared" si="28"/>
        <v>24.007383024290597</v>
      </c>
      <c r="M36" s="252">
        <f t="shared" si="29"/>
        <v>157.06269570908614</v>
      </c>
      <c r="N36" s="239" t="str">
        <f t="shared" si="30"/>
        <v>Noncancer</v>
      </c>
      <c r="O36" s="157" t="str">
        <f t="shared" si="31"/>
        <v>--</v>
      </c>
      <c r="P36" s="157" t="str">
        <f t="shared" si="2"/>
        <v>--</v>
      </c>
      <c r="Q36" s="157" t="str">
        <f t="shared" si="3"/>
        <v>--</v>
      </c>
      <c r="R36" s="240" t="str">
        <f t="shared" si="32"/>
        <v>--</v>
      </c>
      <c r="S36" s="157">
        <f t="shared" si="4"/>
        <v>700.8</v>
      </c>
      <c r="T36" s="157">
        <f t="shared" si="5"/>
        <v>202.43146145079913</v>
      </c>
      <c r="U36" s="157" t="str">
        <f t="shared" si="6"/>
        <v>--</v>
      </c>
      <c r="V36" s="254">
        <f t="shared" si="33"/>
        <v>157.06269570908614</v>
      </c>
      <c r="W36" s="256">
        <f t="shared" si="34"/>
        <v>37.244278321509313</v>
      </c>
      <c r="X36" s="241" t="str">
        <f t="shared" si="35"/>
        <v>Noncancer</v>
      </c>
      <c r="Y36" s="157" t="str">
        <f t="shared" si="36"/>
        <v>--</v>
      </c>
      <c r="Z36" s="157" t="str">
        <f t="shared" si="7"/>
        <v>--</v>
      </c>
      <c r="AA36" s="157" t="str">
        <f t="shared" si="8"/>
        <v>--</v>
      </c>
      <c r="AB36" s="242" t="str">
        <f t="shared" si="37"/>
        <v>--</v>
      </c>
      <c r="AC36" s="157">
        <f t="shared" si="9"/>
        <v>212.36363636363637</v>
      </c>
      <c r="AD36" s="157">
        <f t="shared" si="10"/>
        <v>45.165368732064358</v>
      </c>
      <c r="AE36" s="157" t="str">
        <f t="shared" si="38"/>
        <v>--</v>
      </c>
      <c r="AF36" s="382">
        <f t="shared" si="39"/>
        <v>37.244278321509313</v>
      </c>
      <c r="AG36" s="258" t="str">
        <f t="shared" si="11"/>
        <v>V</v>
      </c>
      <c r="AH36" s="159">
        <f t="shared" si="12"/>
        <v>58918.140464935648</v>
      </c>
      <c r="AI36" s="159">
        <f t="shared" si="13"/>
        <v>57773.989987559136</v>
      </c>
      <c r="AJ36" s="159">
        <f t="shared" si="14"/>
        <v>13049.858347695821</v>
      </c>
      <c r="AK36" s="158" t="str">
        <f t="shared" si="15"/>
        <v>--</v>
      </c>
      <c r="AL36" s="158" t="str">
        <f t="shared" si="16"/>
        <v>--</v>
      </c>
      <c r="AM36" s="158">
        <f t="shared" si="17"/>
        <v>5.9999999999999995E-4</v>
      </c>
      <c r="AN36" s="158">
        <f t="shared" si="18"/>
        <v>0.8</v>
      </c>
      <c r="AO36" s="158" t="str">
        <f t="shared" si="19"/>
        <v>--</v>
      </c>
      <c r="AP36" s="158" t="str">
        <f t="shared" si="43"/>
        <v>--</v>
      </c>
      <c r="AQ36" s="168">
        <f t="shared" si="20"/>
        <v>1</v>
      </c>
    </row>
    <row r="37" spans="1:43">
      <c r="A37" s="136" t="s">
        <v>145</v>
      </c>
      <c r="B37" s="185" t="s">
        <v>146</v>
      </c>
      <c r="C37" s="245">
        <f t="shared" si="21"/>
        <v>8.2766439909297063</v>
      </c>
      <c r="D37" s="249" t="str">
        <f t="shared" si="22"/>
        <v>Cancer</v>
      </c>
      <c r="E37" s="157">
        <f t="shared" si="23"/>
        <v>8.2766439909297063</v>
      </c>
      <c r="F37" s="157" t="str">
        <f t="shared" si="24"/>
        <v>--</v>
      </c>
      <c r="G37" s="157" t="str">
        <f t="shared" si="25"/>
        <v>--</v>
      </c>
      <c r="H37" s="237">
        <f t="shared" si="26"/>
        <v>8.2766439909297063</v>
      </c>
      <c r="I37" s="157">
        <f t="shared" si="0"/>
        <v>1564.2857142857142</v>
      </c>
      <c r="J37" s="157" t="str">
        <f t="shared" si="27"/>
        <v>--</v>
      </c>
      <c r="K37" s="238" t="str">
        <f t="shared" si="1"/>
        <v>--</v>
      </c>
      <c r="L37" s="198">
        <f t="shared" si="28"/>
        <v>1564.2857142857142</v>
      </c>
      <c r="M37" s="252">
        <f t="shared" si="29"/>
        <v>38.933333333333337</v>
      </c>
      <c r="N37" s="239" t="str">
        <f t="shared" si="30"/>
        <v>Cancer</v>
      </c>
      <c r="O37" s="157">
        <f t="shared" si="31"/>
        <v>38.933333333333337</v>
      </c>
      <c r="P37" s="157" t="str">
        <f t="shared" si="2"/>
        <v>--</v>
      </c>
      <c r="Q37" s="157" t="str">
        <f t="shared" si="3"/>
        <v>--</v>
      </c>
      <c r="R37" s="240">
        <f t="shared" si="32"/>
        <v>38.933333333333337</v>
      </c>
      <c r="S37" s="157">
        <f t="shared" si="4"/>
        <v>23360</v>
      </c>
      <c r="T37" s="157" t="str">
        <f t="shared" si="5"/>
        <v>--</v>
      </c>
      <c r="U37" s="157" t="str">
        <f t="shared" si="6"/>
        <v>--</v>
      </c>
      <c r="V37" s="254">
        <f t="shared" si="33"/>
        <v>23360</v>
      </c>
      <c r="W37" s="256">
        <f t="shared" si="34"/>
        <v>294.94949494949498</v>
      </c>
      <c r="X37" s="241" t="str">
        <f t="shared" si="35"/>
        <v>Cancer</v>
      </c>
      <c r="Y37" s="157">
        <f t="shared" si="36"/>
        <v>294.94949494949498</v>
      </c>
      <c r="Z37" s="157" t="str">
        <f t="shared" si="7"/>
        <v>--</v>
      </c>
      <c r="AA37" s="157" t="str">
        <f t="shared" si="8"/>
        <v>--</v>
      </c>
      <c r="AB37" s="242">
        <f t="shared" si="37"/>
        <v>294.94949494949498</v>
      </c>
      <c r="AC37" s="157">
        <f t="shared" si="9"/>
        <v>7078.787878787879</v>
      </c>
      <c r="AD37" s="157" t="str">
        <f t="shared" si="10"/>
        <v>--</v>
      </c>
      <c r="AE37" s="157" t="str">
        <f t="shared" si="38"/>
        <v>--</v>
      </c>
      <c r="AF37" s="382">
        <f t="shared" si="39"/>
        <v>7078.787878787879</v>
      </c>
      <c r="AG37" s="258" t="str">
        <f t="shared" si="11"/>
        <v>V</v>
      </c>
      <c r="AH37" s="159">
        <f t="shared" si="12"/>
        <v>7947.9834275357962</v>
      </c>
      <c r="AI37" s="159">
        <f t="shared" si="13"/>
        <v>7793.6389597532852</v>
      </c>
      <c r="AJ37" s="159">
        <f t="shared" si="14"/>
        <v>1760.4095624997476</v>
      </c>
      <c r="AK37" s="158">
        <f t="shared" si="15"/>
        <v>8.4000000000000005E-2</v>
      </c>
      <c r="AL37" s="158" t="str">
        <f t="shared" si="16"/>
        <v>--</v>
      </c>
      <c r="AM37" s="158">
        <f t="shared" si="17"/>
        <v>0.02</v>
      </c>
      <c r="AN37" s="158" t="str">
        <f t="shared" si="18"/>
        <v>--</v>
      </c>
      <c r="AO37" s="158" t="str">
        <f t="shared" si="19"/>
        <v>--</v>
      </c>
      <c r="AP37" s="158" t="str">
        <f t="shared" si="43"/>
        <v>--</v>
      </c>
      <c r="AQ37" s="168">
        <f t="shared" si="20"/>
        <v>1</v>
      </c>
    </row>
    <row r="38" spans="1:43">
      <c r="A38" s="136" t="s">
        <v>147</v>
      </c>
      <c r="B38" s="185" t="s">
        <v>148</v>
      </c>
      <c r="C38" s="245">
        <f t="shared" si="21"/>
        <v>4.3349761963071068E-3</v>
      </c>
      <c r="D38" s="249" t="str">
        <f t="shared" si="22"/>
        <v>Cancer</v>
      </c>
      <c r="E38" s="157">
        <f t="shared" si="23"/>
        <v>2.1878121878121878E-2</v>
      </c>
      <c r="F38" s="157">
        <f t="shared" si="24"/>
        <v>5.4061648510321855E-3</v>
      </c>
      <c r="G38" s="157" t="str">
        <f t="shared" si="25"/>
        <v>--</v>
      </c>
      <c r="H38" s="237">
        <f t="shared" si="26"/>
        <v>4.3349761963071068E-3</v>
      </c>
      <c r="I38" s="157">
        <f t="shared" ref="I38" si="76">IF(AM38="--","--",(THQ*365*EDc*BWc)/(EFr*EDc*(1/AM38)*IRSc*0.000001))</f>
        <v>15.642857142857142</v>
      </c>
      <c r="J38" s="157">
        <f t="shared" si="27"/>
        <v>6.6727520447025839</v>
      </c>
      <c r="K38" s="238" t="str">
        <f t="shared" ref="K38:K69" si="77">IF(OR(AM38="--",AQ38="--",AP38="--"),"--",THQ*365*EDc*BWc/(EFr*EDc*(1/(AM38*AQ38))*SAc*AdFc*AP38*0.000001))</f>
        <v>--</v>
      </c>
      <c r="L38" s="198">
        <f t="shared" si="28"/>
        <v>4.6774840923087861</v>
      </c>
      <c r="M38" s="252">
        <f t="shared" si="29"/>
        <v>5.6384368128259144E-2</v>
      </c>
      <c r="N38" s="239" t="str">
        <f t="shared" si="30"/>
        <v>Cancer</v>
      </c>
      <c r="O38" s="157">
        <f t="shared" ref="O38" si="78">IF(AK38="--","--",(TR*365*LT*BWa)/(AK38*EFci*EDci*IRSci*0.000001))</f>
        <v>0.4672</v>
      </c>
      <c r="P38" s="157">
        <f t="shared" ref="P38:P69" si="79">IF(AL38="--","--",IF(AND(AG38="V",AI38&lt;&gt;"--"),
(TR*365*LT)/(AL38*1000*EFci*(1/AI38+1/PEFc)*EDci*ETw*(1/24)),
(TR*365*LT)/(AL38*1000*EFci*(1/PEFc)*EDci*ETw*(1/24))))</f>
        <v>6.4123112038119934E-2</v>
      </c>
      <c r="Q38" s="157" t="str">
        <f t="shared" ref="Q38" si="80">IF(OR(AK38="--",AP38="--"),"--",(TR*365*LT*BWa)/((AK38/AQ38)*EFci*EDci*AdFci*SAci*AP38*0.000001))</f>
        <v>--</v>
      </c>
      <c r="R38" s="240">
        <f t="shared" si="32"/>
        <v>5.6384368128259144E-2</v>
      </c>
      <c r="S38" s="157">
        <f t="shared" ref="S38" si="81">IF(AM38="--","--",(THQ*EDci*365*BWa)/(EFci*EDci*(1/AM38)*IRSci*0.000001))</f>
        <v>233.6</v>
      </c>
      <c r="T38" s="157">
        <f t="shared" ref="T38:T69" si="82">IF(AN38="--","--",IF(AND(AG38="V",AI38&lt;&gt;"--"),
(THQ*EDci*365)/(EFci*EDci*(ETw/24)*(1/(AN38/1000))*((1/AI38)+(1/PEFc))),
(THQ*EDci*365)/(EFci*EDci*(ETw/24)*(1/(AN38/1000))*1/PEFc)))</f>
        <v>27.481333730622829</v>
      </c>
      <c r="U38" s="157" t="str">
        <f t="shared" ref="U38:U69" si="83">IF(OR(AM38="--",AP38="--"),"--",(THQ*EDci*365*BWa)/(EFci*EDci*(1/(AM38*AQ38))*SAci*AdFci*AP38*0.000001))</f>
        <v>--</v>
      </c>
      <c r="V38" s="254">
        <f t="shared" si="33"/>
        <v>24.588657747922781</v>
      </c>
      <c r="W38" s="256">
        <f t="shared" si="34"/>
        <v>0.32650083630844873</v>
      </c>
      <c r="X38" s="241" t="str">
        <f t="shared" si="35"/>
        <v>Cancer</v>
      </c>
      <c r="Y38" s="157">
        <f t="shared" ref="Y38" si="84">IF(AK38="--","--",(TR*365*LT*BWct)/(AK38*EFct*EDct*IRSct*0.000001))</f>
        <v>3.5393939393939395</v>
      </c>
      <c r="Z38" s="157">
        <f t="shared" ref="Z38:Z69" si="85">IF(AL38="--","--",IF(AND(AG38="V",AJ38&lt;&gt;"--"),
(TR*365*LT)/(AL38*1000*EFct*(1/AJ38+1/PEFct)*EDct*ETw*(1/24)),
(TR*365*LT)/(AL38*1000*EFct*(1/PEFct)*EDct*ETw*(1/24))))</f>
        <v>0.35968052598058281</v>
      </c>
      <c r="AA38" s="157" t="str">
        <f t="shared" ref="AA38" si="86">IF(OR(AK38="--",AP38="--"),"--",(TR*365*LT*BWct)/((AK38/AQ38)*EFct*EDct*SAct*AdFct*AP38*0.000001))</f>
        <v>--</v>
      </c>
      <c r="AB38" s="242">
        <f t="shared" si="37"/>
        <v>0.32650083630844873</v>
      </c>
      <c r="AC38" s="157">
        <f t="shared" si="9"/>
        <v>70.787878787878782</v>
      </c>
      <c r="AD38" s="157">
        <f t="shared" ref="AD38:AD69" si="87">IF(AN38="--","--",IF(AND(AG38="V",AJ38&lt;&gt;"--"),
(THQ*EDct*365)/(EFct*EDct*(ETw/24)*(1/(AN38/1000))*(1/AJ38+1/PEFct)),
(THQ*EDct*365)/(EFct*EDct*(ETw/24)*(1/(AN38/1000))*1/PEFct)))</f>
        <v>6.1659518739528485</v>
      </c>
      <c r="AE38" s="157" t="str">
        <f t="shared" si="38"/>
        <v>--</v>
      </c>
      <c r="AF38" s="382">
        <f t="shared" si="39"/>
        <v>5.6719028813955523</v>
      </c>
      <c r="AG38" s="258" t="str">
        <f t="shared" ref="AG38" si="88">VLOOKUP(A38,Table_IP_1,MATCH("volatility",heading_IP_1,0),FALSE)</f>
        <v>V</v>
      </c>
      <c r="AH38" s="159">
        <f t="shared" ref="AH38:AH69" si="89">VLOOKUP($A38, Table_IP_1, MATCH("VFr", heading_IP_1, 0), FALSE)</f>
        <v>31993.399402557188</v>
      </c>
      <c r="AI38" s="159">
        <f t="shared" ref="AI38:AI69" si="90">VLOOKUP($A38, Table_IP_1, MATCH("VFc", heading_IP_1, 0), FALSE)</f>
        <v>31372.109203809017</v>
      </c>
      <c r="AJ38" s="159">
        <f t="shared" ref="AJ38:AJ69" si="91">VLOOKUP($A38, Table_IP_1, MATCH("VFcw", heading_IP_1, 0), FALSE)</f>
        <v>7086.261157768593</v>
      </c>
      <c r="AK38" s="158">
        <f t="shared" si="15"/>
        <v>7</v>
      </c>
      <c r="AL38" s="158">
        <f t="shared" si="16"/>
        <v>6.0000000000000001E-3</v>
      </c>
      <c r="AM38" s="158">
        <f t="shared" si="17"/>
        <v>2.0000000000000001E-4</v>
      </c>
      <c r="AN38" s="158">
        <f t="shared" si="18"/>
        <v>0.2</v>
      </c>
      <c r="AO38" s="158" t="str">
        <f t="shared" si="19"/>
        <v>Yes</v>
      </c>
      <c r="AP38" s="158" t="str">
        <f t="shared" si="43"/>
        <v>--</v>
      </c>
      <c r="AQ38" s="168">
        <f t="shared" si="20"/>
        <v>1</v>
      </c>
    </row>
    <row r="39" spans="1:43">
      <c r="A39" s="136" t="s">
        <v>149</v>
      </c>
      <c r="B39" s="185" t="s">
        <v>150</v>
      </c>
      <c r="C39" s="245">
        <f t="shared" ref="C39:C56" si="92">IF(AND(H39="--", L39="--"),"--",IF(H39="--",L39,IF(L39="--",H39,MIN(H39,L39))))</f>
        <v>3.6237174209690817E-2</v>
      </c>
      <c r="D39" s="249" t="str">
        <f t="shared" ref="D39:D56" si="93">IF(C39="--","--",IF(C39=H39,"Cancer","Noncancer"))</f>
        <v>Cancer</v>
      </c>
      <c r="E39" s="157">
        <f t="shared" ref="E39:E56" si="94">IF(AK39="--","--",
IF(AO39="--",
TR*365*LT/(AK39*IFSadj*0.000001),
TR*365*LT/(AK39*IFSmadj*0.000001)))</f>
        <v>0.34761904761904766</v>
      </c>
      <c r="F39" s="157">
        <f t="shared" ref="F39:F56" si="95">IF(AL39="--", "--",
IF(AO39="--",
IF(AND(AG39="V",AH39&lt;&gt;"--"),(TR*365*LT)/(AL39*1000*EFr*(1/AH39+1/PEFr)*EDr*ETr*(1/24)),(TR*365*LT)/(AL39*1000*EFr*(1/PEFr)*EDr*ETr*(1/24))),
IF(AND(AG39="V",AH39&lt;&gt;"--"),(TR*365*LT)/(AL39*1000*(1/AH39+1/PEFr)*TETmadj),(TR*365*LT)/(AL39*1000*(1/PEFr)*TETmadj))))</f>
        <v>4.0454288007375425E-2</v>
      </c>
      <c r="G39" s="157" t="str">
        <f t="shared" ref="G39:G56" si="96">IF(OR(AK39="--",AP39="--"),"--",
IF(AO39="--",
(TR*365*LT)/((AK39/AQ39)*DFSadj*AP39*0.000001),
(TR*365*LT)/((AK39/AQ39)*DFSmadj*AP39*0.000001)))</f>
        <v>--</v>
      </c>
      <c r="H39" s="237">
        <f t="shared" ref="H39:H56" si="97">IF(AND(E39="--",F39="--"),G39,IF(AND(E39="--",G39="--"),F39,IF(AND(F39="--",G39="--"),E39,IF(E39="--",1/(1/F39+1/G39),IF(F39="--",1/(1/E39+1/G39),IF(G39="--",1/(1/E39+1/F39),1/(1/E39+1/F39+1/G39)))))))</f>
        <v>3.6237174209690817E-2</v>
      </c>
      <c r="I39" s="157">
        <f t="shared" ref="I39:I56" si="98">IF(AM39="--","--",(THQ*365*EDc*BWc)/(EFr*EDc*(1/AM39)*IRSc*0.000001))</f>
        <v>703.92857142857133</v>
      </c>
      <c r="J39" s="157">
        <f t="shared" ref="J39:J56" si="99">IF(AN39="--","--",IF(AND(AG39="V",AH39&lt;&gt;"--"),
(THQ*365*EDc)/(EFr*EDc*(1/(AN39/1000))*(1/AH39+1/PEFr)),
(THQ*365*EDc)/(EFr*EDc*(1/(AN39/1000))*1/PEFr)))</f>
        <v>7.2124216333149329</v>
      </c>
      <c r="K39" s="238" t="str">
        <f t="shared" si="77"/>
        <v>--</v>
      </c>
      <c r="L39" s="198">
        <f t="shared" ref="L39:L56" si="100">IF(AND(I39="--",J39="--"),K39,IF(AND(I39="--",K39="--"),J39,IF(AND(J39="--",K39="--"),I39,IF(I39="--",1/(1/J39+1/K39),IF(J39="--",1/(1/I39+1/K39),IF(K39="--",1/(1/I39+1/J39),1/(1/I39+1/J39+1/K39)))))))</f>
        <v>7.1392729520770022</v>
      </c>
      <c r="M39" s="252">
        <f t="shared" ref="M39:M56" si="101">IF(AND(R39="--", V39="--"),"--",IF(R39="--",V39,IF(V39="--",R39,MIN(R39,V39))))</f>
        <v>0.15667130302959201</v>
      </c>
      <c r="N39" s="239" t="str">
        <f t="shared" ref="N39:N56" si="102">IF(M39="--","--",IF(M39=R39,"Cancer","Noncancer"))</f>
        <v>Cancer</v>
      </c>
      <c r="O39" s="157">
        <f t="shared" ref="O39:O56" si="103">IF(AK39="--","--",(TR*365*LT*BWa)/(AK39*EFci*EDci*IRSci*0.000001))</f>
        <v>1.6352</v>
      </c>
      <c r="P39" s="157">
        <f t="shared" si="79"/>
        <v>0.17327287271389116</v>
      </c>
      <c r="Q39" s="157" t="str">
        <f t="shared" ref="Q39:Q56" si="104">IF(OR(AK39="--",AP39="--"),"--",(TR*365*LT*BWa)/((AK39/AQ39)*EFci*EDci*AdFci*SAci*AP39*0.000001))</f>
        <v>--</v>
      </c>
      <c r="R39" s="240">
        <f t="shared" ref="R39:R56" si="105">IF(AND(O39="--",P39="--"),Q39,IF(AND(O39="--",Q39="--"),P39,IF(AND(P39="--",Q39="--"),O39,IF(O39="--",1/(1/P39+1/Q39),IF(P39="--",1/(1/O39+1/Q39),IF(Q39="--",1/(1/O39+1/P39),1/(1/O39+1/P39+1/Q39)))))))</f>
        <v>0.15667130302959201</v>
      </c>
      <c r="S39" s="157">
        <f t="shared" ref="S39:S56" si="106">IF(AM39="--","--",(THQ*EDci*365*BWa)/(EFci*EDci*(1/AM39)*IRSci*0.000001))</f>
        <v>10512</v>
      </c>
      <c r="T39" s="157">
        <f t="shared" si="82"/>
        <v>29.703921036667062</v>
      </c>
      <c r="U39" s="157" t="str">
        <f t="shared" si="83"/>
        <v>--</v>
      </c>
      <c r="V39" s="254">
        <f t="shared" ref="V39:V56" si="107">IF(AND(S39="--",T39="--"),U39,IF(AND(S39="--",U39="--"),T39,IF(AND(T39="--",U39="--"),S39,IF(S39="--",1/(1/T39+1/U39),IF(T39="--",1/(1/S39+1/U39),IF(U39="--",1/(1/S39+1/T39),1/(1/S39+1/T39+1/U39)))))))</f>
        <v>29.620222715071073</v>
      </c>
      <c r="W39" s="256">
        <f t="shared" ref="W39:W56" si="108">IF(AND(AB39="--", AF39="--"),"--",IF(AB39="--",AF39,IF(AF39="--",AB39,MIN(AB39,AF39))))</f>
        <v>0.90531047782783514</v>
      </c>
      <c r="X39" s="241" t="str">
        <f t="shared" ref="X39:X56" si="109">IF(W39="--","--",IF(W39=AB39,"Cancer","Noncancer"))</f>
        <v>Cancer</v>
      </c>
      <c r="Y39" s="157">
        <f t="shared" ref="Y39:Y56" si="110">IF(AK39="--","--",(TR*365*LT*BWct)/(AK39*EFct*EDct*IRSct*0.000001))</f>
        <v>12.38787878787879</v>
      </c>
      <c r="Z39" s="157">
        <f t="shared" si="85"/>
        <v>0.97668711057535895</v>
      </c>
      <c r="AA39" s="157" t="str">
        <f t="shared" ref="AA39:AA56" si="111">IF(OR(AK39="--",AP39="--"),"--",(TR*365*LT*BWct)/((AK39/AQ39)*EFct*EDct*SAct*AdFct*AP39*0.000001))</f>
        <v>--</v>
      </c>
      <c r="AB39" s="242">
        <f t="shared" ref="AB39:AB56" si="112">IF(AND(Y39="--",Z39="--"),AA39,IF(AND(Y39="--",AA39="--"),Z39,IF(AND(Z39="--",AA39="--"),Y39,IF(Y39="--",1/(1/Z39+1/AA39),IF(Z39="--",1/(1/Y39+1/AA39),IF(AA39="--",1/(1/Y39+1/Z39),1/(1/Y39+1/Z39+1/AA39)))))))</f>
        <v>0.90531047782783514</v>
      </c>
      <c r="AC39" s="157">
        <f t="shared" ref="AC39:AC56" si="113">IF(AM39="--","--",(THQ*EDct*365*BWct)/(EFct*EDct*(1/AM39)*IRSct*0.000001))</f>
        <v>3185.4545454545455</v>
      </c>
      <c r="AD39" s="157">
        <f t="shared" si="87"/>
        <v>6.6972830439453181</v>
      </c>
      <c r="AE39" s="157" t="str">
        <f t="shared" ref="AE39:AE56" si="114">IF(OR(AM39="--",AP39="--"),"--",(THQ*EDct*365*BWct)/(EFct*EDct*(1/(AM39*AQ39))*SAct*AdFct*AP39*0.000001))</f>
        <v>--</v>
      </c>
      <c r="AF39" s="382">
        <f t="shared" ref="AF39:AF56" si="115">IF(AND(AC39="--",AD39="--"),AE39,IF(AND(AC39="--",AE39="--"),AD39,IF(AND(AD39="--",AE39="--"),AC39,IF(AC39="--",1/(1/AD39+1/AE39),IF(AD39="--",1/(1/AC39+1/AE39),IF(AE39="--",1/(1/AC39+1/AD39),1/(1/AC39+1/AD39+1/AE39)))))))</f>
        <v>6.6832318325429396</v>
      </c>
      <c r="AG39" s="258" t="str">
        <f t="shared" ref="AG39:AG56" si="116">VLOOKUP(A39,Table_IP_1,MATCH("volatility",heading_IP_1,0),FALSE)</f>
        <v>V</v>
      </c>
      <c r="AH39" s="159">
        <f t="shared" si="89"/>
        <v>8645.0808839817801</v>
      </c>
      <c r="AI39" s="159">
        <f t="shared" si="90"/>
        <v>8477.1992546175115</v>
      </c>
      <c r="AJ39" s="159">
        <f t="shared" si="91"/>
        <v>1914.8106177498389</v>
      </c>
      <c r="AK39" s="158">
        <f t="shared" ref="AK39:AK56" si="117">VLOOKUP(A39,Table_IP_2,MATCH("SFo",heading_IP_2,0),FALSE)</f>
        <v>2</v>
      </c>
      <c r="AL39" s="158">
        <f t="shared" ref="AL39:AL56" si="118">VLOOKUP(A39,Table_IP_2,MATCH("IUR",heading_IP_2,0),FALSE)</f>
        <v>5.9999999999999995E-4</v>
      </c>
      <c r="AM39" s="158">
        <f t="shared" ref="AM39:AM56" si="119">VLOOKUP(A39,Table_IP_2,MATCH("RfDo",heading_IP_2,0),FALSE)</f>
        <v>8.9999999999999993E-3</v>
      </c>
      <c r="AN39" s="158">
        <f t="shared" ref="AN39:AN56" si="120">VLOOKUP(A39,Table_IP_2,MATCH("RfC",heading_IP_2,0),FALSE)</f>
        <v>0.8</v>
      </c>
      <c r="AO39" s="158" t="str">
        <f t="shared" ref="AO39:AO56" si="121">VLOOKUP(A39,Table_IP_2,MATCH("mut",heading_IP_2,0),FALSE)</f>
        <v>--</v>
      </c>
      <c r="AP39" s="158" t="str">
        <f t="shared" ref="AP39:AP56" si="122">VLOOKUP(A39,Table_IP_2,MATCH("abs",heading_IP_2,0),FALSE)</f>
        <v>--</v>
      </c>
      <c r="AQ39" s="168">
        <f t="shared" ref="AQ39:AQ56" si="123">VLOOKUP(A39,Table_IP_2,MATCH("GIABS",heading_IP_2,0),FALSE)</f>
        <v>1</v>
      </c>
    </row>
    <row r="40" spans="1:43">
      <c r="A40" s="136" t="s">
        <v>151</v>
      </c>
      <c r="B40" s="185" t="s">
        <v>152</v>
      </c>
      <c r="C40" s="245">
        <f t="shared" si="92"/>
        <v>1810.6211476547398</v>
      </c>
      <c r="D40" s="249" t="str">
        <f t="shared" si="93"/>
        <v>Noncancer</v>
      </c>
      <c r="E40" s="157" t="str">
        <f t="shared" si="94"/>
        <v>--</v>
      </c>
      <c r="F40" s="157" t="str">
        <f t="shared" si="95"/>
        <v>--</v>
      </c>
      <c r="G40" s="157" t="str">
        <f t="shared" si="96"/>
        <v>--</v>
      </c>
      <c r="H40" s="237" t="str">
        <f t="shared" si="97"/>
        <v>--</v>
      </c>
      <c r="I40" s="157">
        <f t="shared" si="98"/>
        <v>7039.2857142857156</v>
      </c>
      <c r="J40" s="157">
        <f t="shared" si="99"/>
        <v>2437.6166067355907</v>
      </c>
      <c r="K40" s="238" t="str">
        <f t="shared" si="77"/>
        <v>--</v>
      </c>
      <c r="L40" s="198">
        <f t="shared" si="100"/>
        <v>1810.6211476547398</v>
      </c>
      <c r="M40" s="252">
        <f t="shared" si="101"/>
        <v>9163.9960745855824</v>
      </c>
      <c r="N40" s="239" t="str">
        <f t="shared" si="102"/>
        <v>Noncancer</v>
      </c>
      <c r="O40" s="157" t="str">
        <f t="shared" si="103"/>
        <v>--</v>
      </c>
      <c r="P40" s="157" t="str">
        <f t="shared" si="79"/>
        <v>--</v>
      </c>
      <c r="Q40" s="157" t="str">
        <f t="shared" si="104"/>
        <v>--</v>
      </c>
      <c r="R40" s="240" t="str">
        <f t="shared" si="105"/>
        <v>--</v>
      </c>
      <c r="S40" s="157">
        <f t="shared" si="106"/>
        <v>105120.00000000001</v>
      </c>
      <c r="T40" s="157">
        <f t="shared" si="82"/>
        <v>10039.17658043799</v>
      </c>
      <c r="U40" s="157" t="str">
        <f t="shared" si="83"/>
        <v>--</v>
      </c>
      <c r="V40" s="254">
        <f t="shared" si="107"/>
        <v>9163.9960745855824</v>
      </c>
      <c r="W40" s="256">
        <f t="shared" si="108"/>
        <v>2112.0845400537564</v>
      </c>
      <c r="X40" s="241" t="str">
        <f t="shared" si="109"/>
        <v>Noncancer</v>
      </c>
      <c r="Y40" s="157" t="str">
        <f t="shared" si="110"/>
        <v>--</v>
      </c>
      <c r="Z40" s="157" t="str">
        <f t="shared" si="85"/>
        <v>--</v>
      </c>
      <c r="AA40" s="157" t="str">
        <f t="shared" si="111"/>
        <v>--</v>
      </c>
      <c r="AB40" s="242" t="str">
        <f t="shared" si="112"/>
        <v>--</v>
      </c>
      <c r="AC40" s="157">
        <f t="shared" si="113"/>
        <v>31854.545454545456</v>
      </c>
      <c r="AD40" s="157">
        <f t="shared" si="87"/>
        <v>2262.0688038696858</v>
      </c>
      <c r="AE40" s="157" t="str">
        <f t="shared" si="114"/>
        <v>--</v>
      </c>
      <c r="AF40" s="382">
        <f t="shared" si="115"/>
        <v>2112.0845400537564</v>
      </c>
      <c r="AG40" s="258" t="str">
        <f t="shared" si="116"/>
        <v>V</v>
      </c>
      <c r="AH40" s="159">
        <f t="shared" si="89"/>
        <v>11687.303344216289</v>
      </c>
      <c r="AI40" s="159">
        <f t="shared" si="90"/>
        <v>11460.343810276363</v>
      </c>
      <c r="AJ40" s="159">
        <f t="shared" si="91"/>
        <v>2588.6365710972004</v>
      </c>
      <c r="AK40" s="158" t="str">
        <f t="shared" si="117"/>
        <v>--</v>
      </c>
      <c r="AL40" s="158" t="str">
        <f t="shared" si="118"/>
        <v>--</v>
      </c>
      <c r="AM40" s="158">
        <f t="shared" si="119"/>
        <v>0.09</v>
      </c>
      <c r="AN40" s="158">
        <f t="shared" si="120"/>
        <v>200</v>
      </c>
      <c r="AO40" s="158" t="str">
        <f t="shared" si="121"/>
        <v>--</v>
      </c>
      <c r="AP40" s="158" t="str">
        <f t="shared" si="122"/>
        <v>--</v>
      </c>
      <c r="AQ40" s="168">
        <f t="shared" si="123"/>
        <v>1</v>
      </c>
    </row>
    <row r="41" spans="1:43">
      <c r="A41" s="136" t="s">
        <v>153</v>
      </c>
      <c r="B41" s="185" t="s">
        <v>154</v>
      </c>
      <c r="C41" s="245">
        <f t="shared" si="92"/>
        <v>2.6123103757021853</v>
      </c>
      <c r="D41" s="249" t="str">
        <f t="shared" si="93"/>
        <v>Cancer</v>
      </c>
      <c r="E41" s="157">
        <f t="shared" si="94"/>
        <v>128.74779541446208</v>
      </c>
      <c r="F41" s="157">
        <f t="shared" si="95"/>
        <v>2.6664122447908425</v>
      </c>
      <c r="G41" s="157" t="str">
        <f t="shared" si="96"/>
        <v>--</v>
      </c>
      <c r="H41" s="237">
        <f t="shared" si="97"/>
        <v>2.6123103757021853</v>
      </c>
      <c r="I41" s="157">
        <f t="shared" si="98"/>
        <v>5475.0000000000009</v>
      </c>
      <c r="J41" s="157">
        <f t="shared" si="99"/>
        <v>8715.3588801163514</v>
      </c>
      <c r="K41" s="238" t="str">
        <f t="shared" si="77"/>
        <v>--</v>
      </c>
      <c r="L41" s="198">
        <f t="shared" si="100"/>
        <v>3362.6062787952392</v>
      </c>
      <c r="M41" s="252">
        <f t="shared" si="101"/>
        <v>11.20933463550173</v>
      </c>
      <c r="N41" s="239" t="str">
        <f t="shared" si="102"/>
        <v>Cancer</v>
      </c>
      <c r="O41" s="157">
        <f t="shared" si="103"/>
        <v>605.62962962962968</v>
      </c>
      <c r="P41" s="157">
        <f t="shared" si="79"/>
        <v>11.420715680241967</v>
      </c>
      <c r="Q41" s="157" t="str">
        <f t="shared" si="104"/>
        <v>--</v>
      </c>
      <c r="R41" s="240">
        <f t="shared" si="105"/>
        <v>11.20933463550173</v>
      </c>
      <c r="S41" s="157">
        <f t="shared" si="106"/>
        <v>81760.000000000015</v>
      </c>
      <c r="T41" s="157">
        <f t="shared" si="82"/>
        <v>35893.677852189045</v>
      </c>
      <c r="U41" s="157" t="str">
        <f t="shared" si="83"/>
        <v>--</v>
      </c>
      <c r="V41" s="254">
        <f t="shared" si="107"/>
        <v>24943.26700846415</v>
      </c>
      <c r="W41" s="256">
        <f t="shared" si="108"/>
        <v>63.460742183188799</v>
      </c>
      <c r="X41" s="241" t="str">
        <f t="shared" si="109"/>
        <v>Cancer</v>
      </c>
      <c r="Y41" s="157">
        <f t="shared" si="110"/>
        <v>4588.1032547699215</v>
      </c>
      <c r="Z41" s="157">
        <f t="shared" si="85"/>
        <v>64.350815992829681</v>
      </c>
      <c r="AA41" s="157" t="str">
        <f t="shared" si="111"/>
        <v>--</v>
      </c>
      <c r="AB41" s="242">
        <f t="shared" si="112"/>
        <v>63.460742183188799</v>
      </c>
      <c r="AC41" s="157">
        <f t="shared" si="113"/>
        <v>24775.75757575758</v>
      </c>
      <c r="AD41" s="157">
        <f t="shared" si="87"/>
        <v>8089.8168676700179</v>
      </c>
      <c r="AE41" s="157" t="str">
        <f t="shared" si="114"/>
        <v>--</v>
      </c>
      <c r="AF41" s="382">
        <f t="shared" si="115"/>
        <v>6098.5193455442195</v>
      </c>
      <c r="AG41" s="258" t="str">
        <f t="shared" si="116"/>
        <v>V</v>
      </c>
      <c r="AH41" s="159">
        <f t="shared" si="89"/>
        <v>10446.572051027288</v>
      </c>
      <c r="AI41" s="159">
        <f t="shared" si="90"/>
        <v>10243.706680450219</v>
      </c>
      <c r="AJ41" s="159">
        <f t="shared" si="91"/>
        <v>2313.8253245795672</v>
      </c>
      <c r="AK41" s="158">
        <f t="shared" si="117"/>
        <v>5.4000000000000003E-3</v>
      </c>
      <c r="AL41" s="158">
        <f t="shared" si="118"/>
        <v>1.1E-5</v>
      </c>
      <c r="AM41" s="158">
        <f t="shared" si="119"/>
        <v>7.0000000000000007E-2</v>
      </c>
      <c r="AN41" s="158">
        <f t="shared" si="120"/>
        <v>800</v>
      </c>
      <c r="AO41" s="158" t="str">
        <f t="shared" si="121"/>
        <v>--</v>
      </c>
      <c r="AP41" s="158" t="str">
        <f t="shared" si="122"/>
        <v>--</v>
      </c>
      <c r="AQ41" s="168">
        <f t="shared" si="123"/>
        <v>1</v>
      </c>
    </row>
    <row r="42" spans="1:43">
      <c r="A42" s="136" t="s">
        <v>155</v>
      </c>
      <c r="B42" s="185" t="s">
        <v>156</v>
      </c>
      <c r="C42" s="245">
        <f t="shared" si="92"/>
        <v>0.45213976693124058</v>
      </c>
      <c r="D42" s="249" t="str">
        <f t="shared" si="93"/>
        <v>Cancer</v>
      </c>
      <c r="E42" s="157">
        <f t="shared" si="94"/>
        <v>0.57936507936507931</v>
      </c>
      <c r="F42" s="157">
        <f t="shared" si="95"/>
        <v>11230.769230769229</v>
      </c>
      <c r="G42" s="157">
        <f t="shared" si="96"/>
        <v>2.0593545475062061</v>
      </c>
      <c r="H42" s="237">
        <f t="shared" si="97"/>
        <v>0.45213976693124058</v>
      </c>
      <c r="I42" s="157" t="str">
        <f t="shared" si="98"/>
        <v>--</v>
      </c>
      <c r="J42" s="157" t="str">
        <f t="shared" si="99"/>
        <v>--</v>
      </c>
      <c r="K42" s="238" t="str">
        <f t="shared" si="77"/>
        <v>--</v>
      </c>
      <c r="L42" s="198" t="str">
        <f t="shared" si="100"/>
        <v>--</v>
      </c>
      <c r="M42" s="252">
        <f t="shared" si="101"/>
        <v>1.9148049206614384</v>
      </c>
      <c r="N42" s="239" t="str">
        <f t="shared" si="102"/>
        <v>Cancer</v>
      </c>
      <c r="O42" s="157">
        <f t="shared" si="103"/>
        <v>2.7253333333333334</v>
      </c>
      <c r="P42" s="157">
        <f t="shared" si="79"/>
        <v>49056.000000000007</v>
      </c>
      <c r="Q42" s="157">
        <f t="shared" si="104"/>
        <v>6.43921494502725</v>
      </c>
      <c r="R42" s="240">
        <f t="shared" si="105"/>
        <v>1.9148049206614384</v>
      </c>
      <c r="S42" s="157" t="str">
        <f t="shared" si="106"/>
        <v>--</v>
      </c>
      <c r="T42" s="157" t="str">
        <f t="shared" si="82"/>
        <v>--</v>
      </c>
      <c r="U42" s="157" t="str">
        <f t="shared" si="83"/>
        <v>--</v>
      </c>
      <c r="V42" s="254" t="str">
        <f t="shared" si="107"/>
        <v>--</v>
      </c>
      <c r="W42" s="256">
        <f t="shared" si="108"/>
        <v>15.379784729354268</v>
      </c>
      <c r="X42" s="241" t="str">
        <f t="shared" si="109"/>
        <v>Cancer</v>
      </c>
      <c r="Y42" s="157">
        <f t="shared" si="110"/>
        <v>20.646464646464647</v>
      </c>
      <c r="Z42" s="157">
        <f t="shared" si="85"/>
        <v>946.85294117647072</v>
      </c>
      <c r="AA42" s="157">
        <f t="shared" si="111"/>
        <v>64.392149450272498</v>
      </c>
      <c r="AB42" s="242">
        <f t="shared" si="112"/>
        <v>15.379784729354268</v>
      </c>
      <c r="AC42" s="157" t="str">
        <f t="shared" si="113"/>
        <v>--</v>
      </c>
      <c r="AD42" s="157" t="str">
        <f t="shared" si="87"/>
        <v>--</v>
      </c>
      <c r="AE42" s="157" t="str">
        <f t="shared" si="114"/>
        <v>--</v>
      </c>
      <c r="AF42" s="382" t="str">
        <f t="shared" si="115"/>
        <v>--</v>
      </c>
      <c r="AG42" s="258" t="str">
        <f t="shared" si="116"/>
        <v>NV</v>
      </c>
      <c r="AH42" s="159" t="str">
        <f t="shared" si="89"/>
        <v>--</v>
      </c>
      <c r="AI42" s="159" t="str">
        <f t="shared" si="90"/>
        <v>--</v>
      </c>
      <c r="AJ42" s="159" t="str">
        <f t="shared" si="91"/>
        <v>--</v>
      </c>
      <c r="AK42" s="158">
        <f t="shared" si="117"/>
        <v>1.2</v>
      </c>
      <c r="AL42" s="158">
        <f t="shared" si="118"/>
        <v>3.4000000000000002E-4</v>
      </c>
      <c r="AM42" s="158" t="str">
        <f t="shared" si="119"/>
        <v>--</v>
      </c>
      <c r="AN42" s="158" t="str">
        <f t="shared" si="120"/>
        <v>--</v>
      </c>
      <c r="AO42" s="158" t="str">
        <f t="shared" si="121"/>
        <v>--</v>
      </c>
      <c r="AP42" s="158">
        <f t="shared" si="122"/>
        <v>0.1</v>
      </c>
      <c r="AQ42" s="168">
        <f t="shared" si="123"/>
        <v>1</v>
      </c>
    </row>
    <row r="43" spans="1:43">
      <c r="A43" s="136" t="s">
        <v>157</v>
      </c>
      <c r="B43" s="185" t="s">
        <v>158</v>
      </c>
      <c r="C43" s="245">
        <f t="shared" si="92"/>
        <v>2.2606974962228725</v>
      </c>
      <c r="D43" s="249" t="str">
        <f t="shared" si="93"/>
        <v>Cancer</v>
      </c>
      <c r="E43" s="157">
        <f t="shared" si="94"/>
        <v>2.8968253968253967</v>
      </c>
      <c r="F43" s="157">
        <f t="shared" si="95"/>
        <v>55340.022296544041</v>
      </c>
      <c r="G43" s="157">
        <f t="shared" si="96"/>
        <v>10.296772737531031</v>
      </c>
      <c r="H43" s="237">
        <f t="shared" si="97"/>
        <v>2.2606974962228725</v>
      </c>
      <c r="I43" s="157">
        <f t="shared" si="98"/>
        <v>39.107142857142854</v>
      </c>
      <c r="J43" s="157" t="str">
        <f t="shared" si="99"/>
        <v>--</v>
      </c>
      <c r="K43" s="238">
        <f t="shared" si="77"/>
        <v>164.80043344771536</v>
      </c>
      <c r="L43" s="198">
        <f t="shared" si="100"/>
        <v>31.606839777857317</v>
      </c>
      <c r="M43" s="252">
        <f t="shared" si="101"/>
        <v>9.5740191076734824</v>
      </c>
      <c r="N43" s="239" t="str">
        <f t="shared" si="102"/>
        <v>Cancer</v>
      </c>
      <c r="O43" s="157">
        <f t="shared" si="103"/>
        <v>13.626666666666667</v>
      </c>
      <c r="P43" s="157">
        <f t="shared" si="79"/>
        <v>241725.21739130444</v>
      </c>
      <c r="Q43" s="157">
        <f t="shared" si="104"/>
        <v>32.196074725136249</v>
      </c>
      <c r="R43" s="240">
        <f t="shared" si="105"/>
        <v>9.5740191076734824</v>
      </c>
      <c r="S43" s="157">
        <f t="shared" si="106"/>
        <v>584</v>
      </c>
      <c r="T43" s="157" t="str">
        <f t="shared" si="82"/>
        <v>--</v>
      </c>
      <c r="U43" s="157">
        <f t="shared" si="83"/>
        <v>1379.8317739344109</v>
      </c>
      <c r="V43" s="254">
        <f t="shared" si="107"/>
        <v>410.33135662291681</v>
      </c>
      <c r="W43" s="256">
        <f t="shared" si="108"/>
        <v>76.880559305889847</v>
      </c>
      <c r="X43" s="241" t="str">
        <f t="shared" si="109"/>
        <v>Cancer</v>
      </c>
      <c r="Y43" s="157">
        <f t="shared" si="110"/>
        <v>103.23232323232324</v>
      </c>
      <c r="Z43" s="157">
        <f t="shared" si="85"/>
        <v>4665.6521739130449</v>
      </c>
      <c r="AA43" s="157">
        <f t="shared" si="111"/>
        <v>321.96074725136248</v>
      </c>
      <c r="AB43" s="242">
        <f t="shared" si="112"/>
        <v>76.880559305889847</v>
      </c>
      <c r="AC43" s="157">
        <f t="shared" si="113"/>
        <v>176.96969696969697</v>
      </c>
      <c r="AD43" s="157" t="str">
        <f t="shared" si="87"/>
        <v>--</v>
      </c>
      <c r="AE43" s="157">
        <f t="shared" si="114"/>
        <v>551.93270957376433</v>
      </c>
      <c r="AF43" s="382">
        <f t="shared" si="115"/>
        <v>134.00335008375208</v>
      </c>
      <c r="AG43" s="258" t="str">
        <f t="shared" si="116"/>
        <v>NV</v>
      </c>
      <c r="AH43" s="159" t="str">
        <f t="shared" si="89"/>
        <v>--</v>
      </c>
      <c r="AI43" s="159" t="str">
        <f t="shared" si="90"/>
        <v>--</v>
      </c>
      <c r="AJ43" s="159" t="str">
        <f t="shared" si="91"/>
        <v>--</v>
      </c>
      <c r="AK43" s="158">
        <f t="shared" si="117"/>
        <v>0.24</v>
      </c>
      <c r="AL43" s="158">
        <f t="shared" si="118"/>
        <v>6.8999999999999997E-5</v>
      </c>
      <c r="AM43" s="158">
        <f t="shared" si="119"/>
        <v>5.0000000000000001E-4</v>
      </c>
      <c r="AN43" s="158" t="str">
        <f t="shared" si="120"/>
        <v>--</v>
      </c>
      <c r="AO43" s="158" t="str">
        <f t="shared" si="121"/>
        <v>--</v>
      </c>
      <c r="AP43" s="158">
        <f t="shared" si="122"/>
        <v>0.1</v>
      </c>
      <c r="AQ43" s="168">
        <f t="shared" si="123"/>
        <v>1</v>
      </c>
    </row>
    <row r="44" spans="1:43">
      <c r="A44" s="136" t="s">
        <v>159</v>
      </c>
      <c r="B44" s="185" t="s">
        <v>160</v>
      </c>
      <c r="C44" s="245">
        <f t="shared" si="92"/>
        <v>1.9782657136977184</v>
      </c>
      <c r="D44" s="249" t="str">
        <f t="shared" si="93"/>
        <v>Cancer</v>
      </c>
      <c r="E44" s="157">
        <f t="shared" si="94"/>
        <v>2.0448179271708686</v>
      </c>
      <c r="F44" s="157">
        <f t="shared" si="95"/>
        <v>60.782248778375688</v>
      </c>
      <c r="G44" s="157" t="str">
        <f t="shared" si="96"/>
        <v>--</v>
      </c>
      <c r="H44" s="237">
        <f t="shared" si="97"/>
        <v>1.9782657136977184</v>
      </c>
      <c r="I44" s="157">
        <f t="shared" si="98"/>
        <v>39.107142857142854</v>
      </c>
      <c r="J44" s="157" t="str">
        <f t="shared" si="99"/>
        <v>--</v>
      </c>
      <c r="K44" s="238" t="str">
        <f t="shared" si="77"/>
        <v>--</v>
      </c>
      <c r="L44" s="198">
        <f t="shared" si="100"/>
        <v>39.107142857142854</v>
      </c>
      <c r="M44" s="252">
        <f t="shared" si="101"/>
        <v>9.2761093519666726</v>
      </c>
      <c r="N44" s="239" t="str">
        <f t="shared" si="102"/>
        <v>Cancer</v>
      </c>
      <c r="O44" s="157">
        <f t="shared" si="103"/>
        <v>9.618823529411765</v>
      </c>
      <c r="P44" s="157">
        <f t="shared" si="79"/>
        <v>260.34889936932586</v>
      </c>
      <c r="Q44" s="157" t="str">
        <f t="shared" si="104"/>
        <v>--</v>
      </c>
      <c r="R44" s="240">
        <f t="shared" si="105"/>
        <v>9.2761093519666726</v>
      </c>
      <c r="S44" s="157">
        <f t="shared" si="106"/>
        <v>584</v>
      </c>
      <c r="T44" s="157" t="str">
        <f t="shared" si="82"/>
        <v>--</v>
      </c>
      <c r="U44" s="157" t="str">
        <f t="shared" si="83"/>
        <v>--</v>
      </c>
      <c r="V44" s="254">
        <f t="shared" si="107"/>
        <v>584</v>
      </c>
      <c r="W44" s="256">
        <f t="shared" si="108"/>
        <v>68.010736923390539</v>
      </c>
      <c r="X44" s="241" t="str">
        <f t="shared" si="109"/>
        <v>Cancer</v>
      </c>
      <c r="Y44" s="157">
        <f t="shared" si="110"/>
        <v>72.869875222816404</v>
      </c>
      <c r="Z44" s="157">
        <f t="shared" si="85"/>
        <v>1019.9203249689017</v>
      </c>
      <c r="AA44" s="157" t="str">
        <f t="shared" si="111"/>
        <v>--</v>
      </c>
      <c r="AB44" s="242">
        <f t="shared" si="112"/>
        <v>68.010736923390539</v>
      </c>
      <c r="AC44" s="157">
        <f t="shared" si="113"/>
        <v>176.96969696969697</v>
      </c>
      <c r="AD44" s="157" t="str">
        <f t="shared" si="87"/>
        <v>--</v>
      </c>
      <c r="AE44" s="157" t="str">
        <f t="shared" si="114"/>
        <v>--</v>
      </c>
      <c r="AF44" s="382">
        <f t="shared" si="115"/>
        <v>176.96969696969697</v>
      </c>
      <c r="AG44" s="258" t="str">
        <f t="shared" si="116"/>
        <v>V</v>
      </c>
      <c r="AH44" s="159">
        <f t="shared" si="89"/>
        <v>2103149.1581312744</v>
      </c>
      <c r="AI44" s="159">
        <f t="shared" si="90"/>
        <v>2062307.4225591547</v>
      </c>
      <c r="AJ44" s="159">
        <f t="shared" si="91"/>
        <v>465829.34188194294</v>
      </c>
      <c r="AK44" s="158">
        <f t="shared" si="117"/>
        <v>0.34</v>
      </c>
      <c r="AL44" s="158">
        <f t="shared" si="118"/>
        <v>9.7E-5</v>
      </c>
      <c r="AM44" s="158">
        <f t="shared" si="119"/>
        <v>5.0000000000000001E-4</v>
      </c>
      <c r="AN44" s="158" t="str">
        <f t="shared" si="120"/>
        <v>--</v>
      </c>
      <c r="AO44" s="158" t="str">
        <f t="shared" si="121"/>
        <v>--</v>
      </c>
      <c r="AP44" s="158" t="str">
        <f t="shared" si="122"/>
        <v>--</v>
      </c>
      <c r="AQ44" s="168">
        <f t="shared" si="123"/>
        <v>1</v>
      </c>
    </row>
    <row r="45" spans="1:43">
      <c r="A45" s="136" t="s">
        <v>161</v>
      </c>
      <c r="B45" s="185" t="s">
        <v>162</v>
      </c>
      <c r="C45" s="245">
        <f t="shared" si="92"/>
        <v>1.8855772613117678</v>
      </c>
      <c r="D45" s="249" t="str">
        <f t="shared" si="93"/>
        <v>Cancer</v>
      </c>
      <c r="E45" s="157">
        <f t="shared" si="94"/>
        <v>2.0448179271708686</v>
      </c>
      <c r="F45" s="157">
        <f t="shared" si="95"/>
        <v>39365.582870737511</v>
      </c>
      <c r="G45" s="157">
        <f t="shared" si="96"/>
        <v>24.22770055889654</v>
      </c>
      <c r="H45" s="237">
        <f t="shared" si="97"/>
        <v>1.8855772613117678</v>
      </c>
      <c r="I45" s="157">
        <f t="shared" si="98"/>
        <v>39.107142857142854</v>
      </c>
      <c r="J45" s="157" t="str">
        <f t="shared" si="99"/>
        <v>--</v>
      </c>
      <c r="K45" s="238">
        <f t="shared" si="77"/>
        <v>549.33477815905121</v>
      </c>
      <c r="L45" s="198">
        <f t="shared" si="100"/>
        <v>36.5081291434226</v>
      </c>
      <c r="M45" s="252">
        <f t="shared" si="101"/>
        <v>8.5346806302023772</v>
      </c>
      <c r="N45" s="239" t="str">
        <f t="shared" si="102"/>
        <v>Cancer</v>
      </c>
      <c r="O45" s="157">
        <f t="shared" si="103"/>
        <v>9.618823529411765</v>
      </c>
      <c r="P45" s="157">
        <f t="shared" si="79"/>
        <v>171948.86597938143</v>
      </c>
      <c r="Q45" s="157">
        <f t="shared" si="104"/>
        <v>75.755469941497068</v>
      </c>
      <c r="R45" s="240">
        <f t="shared" si="105"/>
        <v>8.5346806302023772</v>
      </c>
      <c r="S45" s="157">
        <f t="shared" si="106"/>
        <v>584</v>
      </c>
      <c r="T45" s="157" t="str">
        <f t="shared" si="82"/>
        <v>--</v>
      </c>
      <c r="U45" s="157">
        <f t="shared" si="83"/>
        <v>4599.4392464480361</v>
      </c>
      <c r="V45" s="254">
        <f t="shared" si="107"/>
        <v>518.20275925222631</v>
      </c>
      <c r="W45" s="256">
        <f t="shared" si="108"/>
        <v>65.170200682308803</v>
      </c>
      <c r="X45" s="241" t="str">
        <f t="shared" si="109"/>
        <v>Cancer</v>
      </c>
      <c r="Y45" s="157">
        <f t="shared" si="110"/>
        <v>72.869875222816404</v>
      </c>
      <c r="Z45" s="157">
        <f t="shared" si="85"/>
        <v>3318.8659793814436</v>
      </c>
      <c r="AA45" s="157">
        <f t="shared" si="111"/>
        <v>757.55469941497063</v>
      </c>
      <c r="AB45" s="242">
        <f t="shared" si="112"/>
        <v>65.170200682308803</v>
      </c>
      <c r="AC45" s="157">
        <f t="shared" si="113"/>
        <v>176.96969696969697</v>
      </c>
      <c r="AD45" s="157" t="str">
        <f t="shared" si="87"/>
        <v>--</v>
      </c>
      <c r="AE45" s="157">
        <f t="shared" si="114"/>
        <v>1839.7756985792143</v>
      </c>
      <c r="AF45" s="382">
        <f t="shared" si="115"/>
        <v>161.44058074378771</v>
      </c>
      <c r="AG45" s="258" t="str">
        <f t="shared" si="116"/>
        <v>NV</v>
      </c>
      <c r="AH45" s="159" t="str">
        <f t="shared" si="89"/>
        <v>--</v>
      </c>
      <c r="AI45" s="159" t="str">
        <f t="shared" si="90"/>
        <v>--</v>
      </c>
      <c r="AJ45" s="159" t="str">
        <f t="shared" si="91"/>
        <v>--</v>
      </c>
      <c r="AK45" s="158">
        <f t="shared" si="117"/>
        <v>0.34</v>
      </c>
      <c r="AL45" s="158">
        <f t="shared" si="118"/>
        <v>9.7E-5</v>
      </c>
      <c r="AM45" s="158">
        <f t="shared" si="119"/>
        <v>5.0000000000000001E-4</v>
      </c>
      <c r="AN45" s="158" t="str">
        <f t="shared" si="120"/>
        <v>--</v>
      </c>
      <c r="AO45" s="158" t="str">
        <f t="shared" si="121"/>
        <v>--</v>
      </c>
      <c r="AP45" s="158">
        <f t="shared" si="122"/>
        <v>0.03</v>
      </c>
      <c r="AQ45" s="168">
        <f t="shared" si="123"/>
        <v>1</v>
      </c>
    </row>
    <row r="46" spans="1:43">
      <c r="A46" s="136" t="s">
        <v>163</v>
      </c>
      <c r="B46" s="185" t="s">
        <v>164</v>
      </c>
      <c r="C46" s="245">
        <f t="shared" si="92"/>
        <v>3.551377623775954</v>
      </c>
      <c r="D46" s="249" t="str">
        <f t="shared" si="93"/>
        <v>Cancer</v>
      </c>
      <c r="E46" s="157">
        <f t="shared" si="94"/>
        <v>121.9715956558062</v>
      </c>
      <c r="F46" s="157">
        <f t="shared" si="95"/>
        <v>3.6578820977268904</v>
      </c>
      <c r="G46" s="157" t="str">
        <f t="shared" si="96"/>
        <v>--</v>
      </c>
      <c r="H46" s="237">
        <f t="shared" si="97"/>
        <v>3.551377623775954</v>
      </c>
      <c r="I46" s="157">
        <f t="shared" si="98"/>
        <v>15642.857142857141</v>
      </c>
      <c r="J46" s="157" t="str">
        <f t="shared" si="99"/>
        <v>--</v>
      </c>
      <c r="K46" s="238" t="str">
        <f t="shared" si="77"/>
        <v>--</v>
      </c>
      <c r="L46" s="198">
        <f t="shared" si="100"/>
        <v>15642.857142857141</v>
      </c>
      <c r="M46" s="252">
        <f t="shared" si="101"/>
        <v>15.25090247092445</v>
      </c>
      <c r="N46" s="239" t="str">
        <f t="shared" si="102"/>
        <v>Cancer</v>
      </c>
      <c r="O46" s="157">
        <f t="shared" si="103"/>
        <v>573.75438596491233</v>
      </c>
      <c r="P46" s="157">
        <f t="shared" si="79"/>
        <v>15.667354709901675</v>
      </c>
      <c r="Q46" s="157" t="str">
        <f t="shared" si="104"/>
        <v>--</v>
      </c>
      <c r="R46" s="240">
        <f t="shared" si="105"/>
        <v>15.25090247092445</v>
      </c>
      <c r="S46" s="157">
        <f t="shared" si="106"/>
        <v>233600</v>
      </c>
      <c r="T46" s="157" t="str">
        <f t="shared" si="82"/>
        <v>--</v>
      </c>
      <c r="U46" s="157" t="str">
        <f t="shared" si="83"/>
        <v>--</v>
      </c>
      <c r="V46" s="254">
        <f t="shared" si="107"/>
        <v>233600</v>
      </c>
      <c r="W46" s="256">
        <f t="shared" si="108"/>
        <v>86.670565282255424</v>
      </c>
      <c r="X46" s="241" t="str">
        <f t="shared" si="109"/>
        <v>Cancer</v>
      </c>
      <c r="Y46" s="157">
        <f t="shared" si="110"/>
        <v>4346.6241360978211</v>
      </c>
      <c r="Z46" s="157">
        <f t="shared" si="85"/>
        <v>88.433914755782098</v>
      </c>
      <c r="AA46" s="157" t="str">
        <f t="shared" si="111"/>
        <v>--</v>
      </c>
      <c r="AB46" s="242">
        <f t="shared" si="112"/>
        <v>86.670565282255424</v>
      </c>
      <c r="AC46" s="157">
        <f t="shared" si="113"/>
        <v>70787.878787878799</v>
      </c>
      <c r="AD46" s="157" t="str">
        <f t="shared" si="87"/>
        <v>--</v>
      </c>
      <c r="AE46" s="157" t="str">
        <f t="shared" si="114"/>
        <v>--</v>
      </c>
      <c r="AF46" s="382">
        <f t="shared" si="115"/>
        <v>70787.878787878799</v>
      </c>
      <c r="AG46" s="258" t="str">
        <f t="shared" si="116"/>
        <v>V</v>
      </c>
      <c r="AH46" s="159">
        <f t="shared" si="89"/>
        <v>2084.4949109004815</v>
      </c>
      <c r="AI46" s="159">
        <f t="shared" si="90"/>
        <v>2044.0154282050787</v>
      </c>
      <c r="AJ46" s="159">
        <f t="shared" si="91"/>
        <v>461.69758751862219</v>
      </c>
      <c r="AK46" s="158">
        <f t="shared" si="117"/>
        <v>5.7000000000000002E-3</v>
      </c>
      <c r="AL46" s="158">
        <f t="shared" si="118"/>
        <v>1.5999999999999999E-6</v>
      </c>
      <c r="AM46" s="158">
        <f t="shared" si="119"/>
        <v>0.2</v>
      </c>
      <c r="AN46" s="158" t="str">
        <f t="shared" si="120"/>
        <v>--</v>
      </c>
      <c r="AO46" s="158" t="str">
        <f t="shared" si="121"/>
        <v>--</v>
      </c>
      <c r="AP46" s="158" t="str">
        <f t="shared" si="122"/>
        <v>--</v>
      </c>
      <c r="AQ46" s="168">
        <f t="shared" si="123"/>
        <v>1</v>
      </c>
    </row>
    <row r="47" spans="1:43">
      <c r="A47" s="136" t="s">
        <v>165</v>
      </c>
      <c r="B47" s="185" t="s">
        <v>166</v>
      </c>
      <c r="C47" s="245">
        <f t="shared" si="92"/>
        <v>0.46404590903502718</v>
      </c>
      <c r="D47" s="249" t="str">
        <f t="shared" si="93"/>
        <v>Cancer</v>
      </c>
      <c r="E47" s="157">
        <f t="shared" si="94"/>
        <v>7.6399790685504971</v>
      </c>
      <c r="F47" s="157">
        <f t="shared" si="95"/>
        <v>0.49405435544963749</v>
      </c>
      <c r="G47" s="157" t="str">
        <f t="shared" si="96"/>
        <v>--</v>
      </c>
      <c r="H47" s="237">
        <f t="shared" si="97"/>
        <v>0.46404590903502718</v>
      </c>
      <c r="I47" s="157">
        <f t="shared" si="98"/>
        <v>469.28571428571428</v>
      </c>
      <c r="J47" s="157">
        <f t="shared" si="99"/>
        <v>33.398074428395496</v>
      </c>
      <c r="K47" s="238" t="str">
        <f t="shared" si="77"/>
        <v>--</v>
      </c>
      <c r="L47" s="198">
        <f t="shared" si="100"/>
        <v>31.179122075907717</v>
      </c>
      <c r="M47" s="252">
        <f t="shared" si="101"/>
        <v>1.9984497286943805</v>
      </c>
      <c r="N47" s="239" t="str">
        <f t="shared" si="102"/>
        <v>Cancer</v>
      </c>
      <c r="O47" s="157">
        <f t="shared" si="103"/>
        <v>35.938461538461546</v>
      </c>
      <c r="P47" s="157">
        <f t="shared" si="79"/>
        <v>2.1161220895793384</v>
      </c>
      <c r="Q47" s="157" t="str">
        <f t="shared" si="104"/>
        <v>--</v>
      </c>
      <c r="R47" s="240">
        <f t="shared" si="105"/>
        <v>1.9984497286943805</v>
      </c>
      <c r="S47" s="157">
        <f t="shared" si="106"/>
        <v>7008.0000000000009</v>
      </c>
      <c r="T47" s="157">
        <f t="shared" si="82"/>
        <v>137.547935822657</v>
      </c>
      <c r="U47" s="157" t="str">
        <f t="shared" si="83"/>
        <v>--</v>
      </c>
      <c r="V47" s="254">
        <f t="shared" si="107"/>
        <v>134.90021239836574</v>
      </c>
      <c r="W47" s="256">
        <f t="shared" si="108"/>
        <v>11.436663620896402</v>
      </c>
      <c r="X47" s="241" t="str">
        <f t="shared" si="109"/>
        <v>Cancer</v>
      </c>
      <c r="Y47" s="157">
        <f t="shared" si="110"/>
        <v>272.26107226107229</v>
      </c>
      <c r="Z47" s="157">
        <f t="shared" si="85"/>
        <v>11.93813997987467</v>
      </c>
      <c r="AA47" s="157" t="str">
        <f t="shared" si="111"/>
        <v>--</v>
      </c>
      <c r="AB47" s="242">
        <f t="shared" si="112"/>
        <v>11.436663620896402</v>
      </c>
      <c r="AC47" s="157">
        <f t="shared" si="113"/>
        <v>2123.6363636363635</v>
      </c>
      <c r="AD47" s="157">
        <f t="shared" si="87"/>
        <v>31.039163947674144</v>
      </c>
      <c r="AE47" s="157" t="str">
        <f t="shared" si="114"/>
        <v>--</v>
      </c>
      <c r="AF47" s="382">
        <f t="shared" si="115"/>
        <v>30.592029478359937</v>
      </c>
      <c r="AG47" s="258" t="str">
        <f t="shared" si="116"/>
        <v>V</v>
      </c>
      <c r="AH47" s="159">
        <f t="shared" si="89"/>
        <v>4575.0940795679344</v>
      </c>
      <c r="AI47" s="159">
        <f t="shared" si="90"/>
        <v>4486.2488438922519</v>
      </c>
      <c r="AJ47" s="159">
        <f t="shared" si="91"/>
        <v>1013.3437544804311</v>
      </c>
      <c r="AK47" s="158">
        <f t="shared" si="117"/>
        <v>9.0999999999999998E-2</v>
      </c>
      <c r="AL47" s="158">
        <f t="shared" si="118"/>
        <v>2.5999999999999998E-5</v>
      </c>
      <c r="AM47" s="158">
        <f t="shared" si="119"/>
        <v>6.0000000000000001E-3</v>
      </c>
      <c r="AN47" s="158">
        <f t="shared" si="120"/>
        <v>7</v>
      </c>
      <c r="AO47" s="158" t="str">
        <f t="shared" si="121"/>
        <v>--</v>
      </c>
      <c r="AP47" s="158" t="str">
        <f t="shared" si="122"/>
        <v>--</v>
      </c>
      <c r="AQ47" s="168">
        <f t="shared" si="123"/>
        <v>1</v>
      </c>
    </row>
    <row r="48" spans="1:43">
      <c r="A48" s="136" t="s">
        <v>167</v>
      </c>
      <c r="B48" s="185" t="s">
        <v>168</v>
      </c>
      <c r="C48" s="245">
        <f t="shared" si="92"/>
        <v>4.7684973243458142</v>
      </c>
      <c r="D48" s="249" t="str">
        <f t="shared" si="93"/>
        <v>Noncancer</v>
      </c>
      <c r="E48" s="157" t="str">
        <f t="shared" si="94"/>
        <v>--</v>
      </c>
      <c r="F48" s="157" t="str">
        <f t="shared" si="95"/>
        <v>--</v>
      </c>
      <c r="G48" s="157" t="str">
        <f t="shared" si="96"/>
        <v>--</v>
      </c>
      <c r="H48" s="237" t="str">
        <f t="shared" si="97"/>
        <v>--</v>
      </c>
      <c r="I48" s="157">
        <f t="shared" si="98"/>
        <v>3910.7142857142853</v>
      </c>
      <c r="J48" s="157">
        <f t="shared" si="99"/>
        <v>4.774318850799121</v>
      </c>
      <c r="K48" s="238" t="str">
        <f t="shared" si="77"/>
        <v>--</v>
      </c>
      <c r="L48" s="198">
        <f t="shared" si="100"/>
        <v>4.7684973243458142</v>
      </c>
      <c r="M48" s="252">
        <f t="shared" si="101"/>
        <v>19.656122469391416</v>
      </c>
      <c r="N48" s="239" t="str">
        <f t="shared" si="102"/>
        <v>Noncancer</v>
      </c>
      <c r="O48" s="157" t="str">
        <f t="shared" si="103"/>
        <v>--</v>
      </c>
      <c r="P48" s="157" t="str">
        <f t="shared" si="79"/>
        <v>--</v>
      </c>
      <c r="Q48" s="157" t="str">
        <f t="shared" si="104"/>
        <v>--</v>
      </c>
      <c r="R48" s="240" t="str">
        <f t="shared" si="105"/>
        <v>--</v>
      </c>
      <c r="S48" s="157">
        <f t="shared" si="106"/>
        <v>58400</v>
      </c>
      <c r="T48" s="157">
        <f t="shared" si="82"/>
        <v>19.662740504244763</v>
      </c>
      <c r="U48" s="157" t="str">
        <f t="shared" si="83"/>
        <v>--</v>
      </c>
      <c r="V48" s="254">
        <f t="shared" si="107"/>
        <v>19.656122469391416</v>
      </c>
      <c r="W48" s="256">
        <f t="shared" si="108"/>
        <v>4.4391824295326039</v>
      </c>
      <c r="X48" s="241" t="str">
        <f t="shared" si="109"/>
        <v>Noncancer</v>
      </c>
      <c r="Y48" s="157" t="str">
        <f t="shared" si="110"/>
        <v>--</v>
      </c>
      <c r="Z48" s="157" t="str">
        <f t="shared" si="85"/>
        <v>--</v>
      </c>
      <c r="AA48" s="157" t="str">
        <f t="shared" si="111"/>
        <v>--</v>
      </c>
      <c r="AB48" s="242" t="str">
        <f t="shared" si="112"/>
        <v>--</v>
      </c>
      <c r="AC48" s="157">
        <f t="shared" si="113"/>
        <v>17696.9696969697</v>
      </c>
      <c r="AD48" s="157">
        <f t="shared" si="87"/>
        <v>4.4402962521498077</v>
      </c>
      <c r="AE48" s="157" t="str">
        <f t="shared" si="114"/>
        <v>--</v>
      </c>
      <c r="AF48" s="382">
        <f t="shared" si="115"/>
        <v>4.4391824295326039</v>
      </c>
      <c r="AG48" s="258" t="str">
        <f t="shared" si="116"/>
        <v>V</v>
      </c>
      <c r="AH48" s="159">
        <f t="shared" si="89"/>
        <v>1156.0903682375708</v>
      </c>
      <c r="AI48" s="159">
        <f t="shared" si="90"/>
        <v>1133.6398744461619</v>
      </c>
      <c r="AJ48" s="159">
        <f t="shared" si="91"/>
        <v>256.06401396212641</v>
      </c>
      <c r="AK48" s="158" t="str">
        <f t="shared" si="117"/>
        <v>--</v>
      </c>
      <c r="AL48" s="158" t="str">
        <f t="shared" si="118"/>
        <v>--</v>
      </c>
      <c r="AM48" s="158">
        <f t="shared" si="119"/>
        <v>0.05</v>
      </c>
      <c r="AN48" s="158">
        <f t="shared" si="120"/>
        <v>3.96</v>
      </c>
      <c r="AO48" s="158" t="str">
        <f t="shared" si="121"/>
        <v>--</v>
      </c>
      <c r="AP48" s="158" t="str">
        <f t="shared" si="122"/>
        <v>--</v>
      </c>
      <c r="AQ48" s="168">
        <f t="shared" si="123"/>
        <v>1</v>
      </c>
    </row>
    <row r="49" spans="1:43">
      <c r="A49" s="136" t="s">
        <v>169</v>
      </c>
      <c r="B49" s="185" t="s">
        <v>170</v>
      </c>
      <c r="C49" s="245">
        <f t="shared" si="92"/>
        <v>62.575353556524746</v>
      </c>
      <c r="D49" s="249" t="str">
        <f t="shared" si="93"/>
        <v>Noncancer</v>
      </c>
      <c r="E49" s="157" t="str">
        <f t="shared" si="94"/>
        <v>--</v>
      </c>
      <c r="F49" s="157" t="str">
        <f t="shared" si="95"/>
        <v>--</v>
      </c>
      <c r="G49" s="157" t="str">
        <f t="shared" si="96"/>
        <v>--</v>
      </c>
      <c r="H49" s="237" t="str">
        <f t="shared" si="97"/>
        <v>--</v>
      </c>
      <c r="I49" s="157">
        <f t="shared" si="98"/>
        <v>156.42857142857142</v>
      </c>
      <c r="J49" s="157">
        <f t="shared" si="99"/>
        <v>104.29661747805007</v>
      </c>
      <c r="K49" s="238" t="str">
        <f t="shared" si="77"/>
        <v>--</v>
      </c>
      <c r="L49" s="198">
        <f t="shared" si="100"/>
        <v>62.575353556524746</v>
      </c>
      <c r="M49" s="252">
        <f t="shared" si="101"/>
        <v>362.8238864053107</v>
      </c>
      <c r="N49" s="239" t="str">
        <f t="shared" si="102"/>
        <v>Noncancer</v>
      </c>
      <c r="O49" s="157" t="str">
        <f t="shared" si="103"/>
        <v>--</v>
      </c>
      <c r="P49" s="157" t="str">
        <f t="shared" si="79"/>
        <v>--</v>
      </c>
      <c r="Q49" s="157" t="str">
        <f t="shared" si="104"/>
        <v>--</v>
      </c>
      <c r="R49" s="240" t="str">
        <f t="shared" si="105"/>
        <v>--</v>
      </c>
      <c r="S49" s="157">
        <f t="shared" si="106"/>
        <v>2336</v>
      </c>
      <c r="T49" s="157">
        <f t="shared" si="82"/>
        <v>429.53925541838515</v>
      </c>
      <c r="U49" s="157" t="str">
        <f t="shared" si="83"/>
        <v>--</v>
      </c>
      <c r="V49" s="254">
        <f t="shared" si="107"/>
        <v>362.8238864053107</v>
      </c>
      <c r="W49" s="256">
        <f t="shared" si="108"/>
        <v>85.288681638514916</v>
      </c>
      <c r="X49" s="241" t="str">
        <f t="shared" si="109"/>
        <v>Noncancer</v>
      </c>
      <c r="Y49" s="157" t="str">
        <f t="shared" si="110"/>
        <v>--</v>
      </c>
      <c r="Z49" s="157" t="str">
        <f t="shared" si="85"/>
        <v>--</v>
      </c>
      <c r="AA49" s="157" t="str">
        <f t="shared" si="111"/>
        <v>--</v>
      </c>
      <c r="AB49" s="242" t="str">
        <f t="shared" si="112"/>
        <v>--</v>
      </c>
      <c r="AC49" s="157">
        <f t="shared" si="113"/>
        <v>707.87878787878788</v>
      </c>
      <c r="AD49" s="157">
        <f t="shared" si="87"/>
        <v>96.972386764449993</v>
      </c>
      <c r="AE49" s="157" t="str">
        <f t="shared" si="114"/>
        <v>--</v>
      </c>
      <c r="AF49" s="382">
        <f t="shared" si="115"/>
        <v>85.288681638514916</v>
      </c>
      <c r="AG49" s="258" t="str">
        <f t="shared" si="116"/>
        <v>V</v>
      </c>
      <c r="AH49" s="159">
        <f t="shared" si="89"/>
        <v>2500.2659744561442</v>
      </c>
      <c r="AI49" s="159">
        <f t="shared" si="90"/>
        <v>2451.7124986392228</v>
      </c>
      <c r="AJ49" s="159">
        <f t="shared" si="91"/>
        <v>553.78728080589269</v>
      </c>
      <c r="AK49" s="158" t="str">
        <f t="shared" si="117"/>
        <v>--</v>
      </c>
      <c r="AL49" s="158" t="str">
        <f t="shared" si="118"/>
        <v>--</v>
      </c>
      <c r="AM49" s="158">
        <f t="shared" si="119"/>
        <v>2E-3</v>
      </c>
      <c r="AN49" s="158">
        <f t="shared" si="120"/>
        <v>40</v>
      </c>
      <c r="AO49" s="158" t="str">
        <f t="shared" si="121"/>
        <v>--</v>
      </c>
      <c r="AP49" s="158" t="str">
        <f t="shared" si="122"/>
        <v>--</v>
      </c>
      <c r="AQ49" s="168">
        <f t="shared" si="123"/>
        <v>1</v>
      </c>
    </row>
    <row r="50" spans="1:43">
      <c r="A50" s="136" t="s">
        <v>171</v>
      </c>
      <c r="B50" s="185" t="s">
        <v>172</v>
      </c>
      <c r="C50" s="245">
        <f t="shared" si="92"/>
        <v>69.59664520563706</v>
      </c>
      <c r="D50" s="249" t="str">
        <f t="shared" si="93"/>
        <v>Noncancer</v>
      </c>
      <c r="E50" s="157" t="str">
        <f t="shared" si="94"/>
        <v>--</v>
      </c>
      <c r="F50" s="157" t="str">
        <f t="shared" si="95"/>
        <v>--</v>
      </c>
      <c r="G50" s="157" t="str">
        <f t="shared" si="96"/>
        <v>--</v>
      </c>
      <c r="H50" s="237" t="str">
        <f t="shared" si="97"/>
        <v>--</v>
      </c>
      <c r="I50" s="157">
        <f t="shared" si="98"/>
        <v>1564.2857142857142</v>
      </c>
      <c r="J50" s="157">
        <f t="shared" si="99"/>
        <v>72.837247631973412</v>
      </c>
      <c r="K50" s="238" t="str">
        <f t="shared" si="77"/>
        <v>--</v>
      </c>
      <c r="L50" s="198">
        <f t="shared" si="100"/>
        <v>69.59664520563706</v>
      </c>
      <c r="M50" s="252">
        <f t="shared" si="101"/>
        <v>296.17247941654023</v>
      </c>
      <c r="N50" s="239" t="str">
        <f t="shared" si="102"/>
        <v>Noncancer</v>
      </c>
      <c r="O50" s="157" t="str">
        <f t="shared" si="103"/>
        <v>--</v>
      </c>
      <c r="P50" s="157" t="str">
        <f t="shared" si="79"/>
        <v>--</v>
      </c>
      <c r="Q50" s="157" t="str">
        <f t="shared" si="104"/>
        <v>--</v>
      </c>
      <c r="R50" s="240" t="str">
        <f t="shared" si="105"/>
        <v>--</v>
      </c>
      <c r="S50" s="157">
        <f t="shared" si="106"/>
        <v>23360</v>
      </c>
      <c r="T50" s="157">
        <f t="shared" si="82"/>
        <v>299.97575697250772</v>
      </c>
      <c r="U50" s="157" t="str">
        <f t="shared" si="83"/>
        <v>--</v>
      </c>
      <c r="V50" s="254">
        <f t="shared" si="107"/>
        <v>296.17247941654023</v>
      </c>
      <c r="W50" s="256">
        <f t="shared" si="108"/>
        <v>67.091026862714799</v>
      </c>
      <c r="X50" s="241" t="str">
        <f t="shared" si="109"/>
        <v>Noncancer</v>
      </c>
      <c r="Y50" s="157" t="str">
        <f t="shared" si="110"/>
        <v>--</v>
      </c>
      <c r="Z50" s="157" t="str">
        <f t="shared" si="85"/>
        <v>--</v>
      </c>
      <c r="AA50" s="157" t="str">
        <f t="shared" si="111"/>
        <v>--</v>
      </c>
      <c r="AB50" s="242" t="str">
        <f t="shared" si="112"/>
        <v>--</v>
      </c>
      <c r="AC50" s="157">
        <f t="shared" si="113"/>
        <v>7078.787878787879</v>
      </c>
      <c r="AD50" s="157">
        <f t="shared" si="87"/>
        <v>67.732983578835174</v>
      </c>
      <c r="AE50" s="157" t="str">
        <f t="shared" si="114"/>
        <v>--</v>
      </c>
      <c r="AF50" s="382">
        <f t="shared" si="115"/>
        <v>67.091026862714799</v>
      </c>
      <c r="AG50" s="258" t="str">
        <f t="shared" si="116"/>
        <v>V</v>
      </c>
      <c r="AH50" s="159">
        <f t="shared" si="89"/>
        <v>1746.1006439477785</v>
      </c>
      <c r="AI50" s="159">
        <f t="shared" si="90"/>
        <v>1712.1925492666637</v>
      </c>
      <c r="AJ50" s="159">
        <f t="shared" si="91"/>
        <v>386.74618520759276</v>
      </c>
      <c r="AK50" s="158" t="str">
        <f t="shared" si="117"/>
        <v>--</v>
      </c>
      <c r="AL50" s="158" t="str">
        <f t="shared" si="118"/>
        <v>--</v>
      </c>
      <c r="AM50" s="158">
        <f t="shared" si="119"/>
        <v>0.02</v>
      </c>
      <c r="AN50" s="158">
        <f t="shared" si="120"/>
        <v>40</v>
      </c>
      <c r="AO50" s="158" t="str">
        <f t="shared" si="121"/>
        <v>--</v>
      </c>
      <c r="AP50" s="158" t="str">
        <f t="shared" si="122"/>
        <v>--</v>
      </c>
      <c r="AQ50" s="168">
        <f t="shared" si="123"/>
        <v>1</v>
      </c>
    </row>
    <row r="51" spans="1:43">
      <c r="A51" s="136" t="s">
        <v>173</v>
      </c>
      <c r="B51" s="185" t="s">
        <v>174</v>
      </c>
      <c r="C51" s="245">
        <f t="shared" si="92"/>
        <v>189.6410386671439</v>
      </c>
      <c r="D51" s="249" t="str">
        <f t="shared" si="93"/>
        <v>Noncancer</v>
      </c>
      <c r="E51" s="157" t="str">
        <f t="shared" si="94"/>
        <v>--</v>
      </c>
      <c r="F51" s="157" t="str">
        <f t="shared" si="95"/>
        <v>--</v>
      </c>
      <c r="G51" s="157" t="str">
        <f t="shared" si="96"/>
        <v>--</v>
      </c>
      <c r="H51" s="237" t="str">
        <f t="shared" si="97"/>
        <v>--</v>
      </c>
      <c r="I51" s="157">
        <f t="shared" si="98"/>
        <v>234.64285714285714</v>
      </c>
      <c r="J51" s="157" t="str">
        <f t="shared" si="99"/>
        <v>--</v>
      </c>
      <c r="K51" s="238">
        <f t="shared" si="77"/>
        <v>988.80260068629218</v>
      </c>
      <c r="L51" s="198">
        <f t="shared" si="100"/>
        <v>189.6410386671439</v>
      </c>
      <c r="M51" s="252">
        <f t="shared" si="101"/>
        <v>2461.9881397375007</v>
      </c>
      <c r="N51" s="239" t="str">
        <f t="shared" si="102"/>
        <v>Noncancer</v>
      </c>
      <c r="O51" s="157" t="str">
        <f t="shared" si="103"/>
        <v>--</v>
      </c>
      <c r="P51" s="157" t="str">
        <f t="shared" si="79"/>
        <v>--</v>
      </c>
      <c r="Q51" s="157" t="str">
        <f t="shared" si="104"/>
        <v>--</v>
      </c>
      <c r="R51" s="240" t="str">
        <f t="shared" si="105"/>
        <v>--</v>
      </c>
      <c r="S51" s="157">
        <f t="shared" si="106"/>
        <v>3504.0000000000005</v>
      </c>
      <c r="T51" s="157" t="str">
        <f t="shared" si="82"/>
        <v>--</v>
      </c>
      <c r="U51" s="157">
        <f t="shared" si="83"/>
        <v>8278.9906436064648</v>
      </c>
      <c r="V51" s="254">
        <f t="shared" si="107"/>
        <v>2461.9881397375007</v>
      </c>
      <c r="W51" s="256">
        <f t="shared" si="108"/>
        <v>804.02010050251249</v>
      </c>
      <c r="X51" s="241" t="str">
        <f t="shared" si="109"/>
        <v>Noncancer</v>
      </c>
      <c r="Y51" s="157" t="str">
        <f t="shared" si="110"/>
        <v>--</v>
      </c>
      <c r="Z51" s="157" t="str">
        <f t="shared" si="85"/>
        <v>--</v>
      </c>
      <c r="AA51" s="157" t="str">
        <f t="shared" si="111"/>
        <v>--</v>
      </c>
      <c r="AB51" s="242" t="str">
        <f t="shared" si="112"/>
        <v>--</v>
      </c>
      <c r="AC51" s="157">
        <f t="shared" si="113"/>
        <v>1061.8181818181818</v>
      </c>
      <c r="AD51" s="157" t="str">
        <f t="shared" si="87"/>
        <v>--</v>
      </c>
      <c r="AE51" s="157">
        <f t="shared" si="114"/>
        <v>3311.5962574425866</v>
      </c>
      <c r="AF51" s="382">
        <f t="shared" si="115"/>
        <v>804.02010050251249</v>
      </c>
      <c r="AG51" s="258" t="str">
        <f t="shared" si="116"/>
        <v>NV</v>
      </c>
      <c r="AH51" s="159" t="str">
        <f t="shared" si="89"/>
        <v>--</v>
      </c>
      <c r="AI51" s="159" t="str">
        <f t="shared" si="90"/>
        <v>--</v>
      </c>
      <c r="AJ51" s="159" t="str">
        <f t="shared" si="91"/>
        <v>--</v>
      </c>
      <c r="AK51" s="158" t="str">
        <f t="shared" si="117"/>
        <v>--</v>
      </c>
      <c r="AL51" s="158" t="str">
        <f t="shared" si="118"/>
        <v>--</v>
      </c>
      <c r="AM51" s="158">
        <f t="shared" si="119"/>
        <v>3.0000000000000001E-3</v>
      </c>
      <c r="AN51" s="158" t="str">
        <f t="shared" si="120"/>
        <v>--</v>
      </c>
      <c r="AO51" s="158" t="str">
        <f t="shared" si="121"/>
        <v>--</v>
      </c>
      <c r="AP51" s="158">
        <f t="shared" si="122"/>
        <v>0.1</v>
      </c>
      <c r="AQ51" s="168">
        <f t="shared" si="123"/>
        <v>1</v>
      </c>
    </row>
    <row r="52" spans="1:43">
      <c r="A52" s="136" t="s">
        <v>175</v>
      </c>
      <c r="B52" s="185" t="s">
        <v>176</v>
      </c>
      <c r="C52" s="245">
        <f t="shared" si="92"/>
        <v>2.4933421146470378</v>
      </c>
      <c r="D52" s="249" t="str">
        <f t="shared" si="93"/>
        <v>Cancer</v>
      </c>
      <c r="E52" s="157">
        <f t="shared" si="94"/>
        <v>18.790218790218791</v>
      </c>
      <c r="F52" s="157">
        <f t="shared" si="95"/>
        <v>2.8748112160234496</v>
      </c>
      <c r="G52" s="157" t="str">
        <f t="shared" si="96"/>
        <v>--</v>
      </c>
      <c r="H52" s="237">
        <f t="shared" si="97"/>
        <v>2.4933421146470378</v>
      </c>
      <c r="I52" s="157">
        <f t="shared" si="98"/>
        <v>3128.5714285714284</v>
      </c>
      <c r="J52" s="157">
        <f t="shared" si="99"/>
        <v>15.803247941797478</v>
      </c>
      <c r="K52" s="238" t="str">
        <f t="shared" si="77"/>
        <v>--</v>
      </c>
      <c r="L52" s="198">
        <f t="shared" si="100"/>
        <v>15.723822723366808</v>
      </c>
      <c r="M52" s="252">
        <f t="shared" si="101"/>
        <v>10.807721727577171</v>
      </c>
      <c r="N52" s="239" t="str">
        <f t="shared" si="102"/>
        <v>Cancer</v>
      </c>
      <c r="O52" s="157">
        <f t="shared" si="103"/>
        <v>88.389189189189196</v>
      </c>
      <c r="P52" s="157">
        <f t="shared" si="79"/>
        <v>12.313324196343835</v>
      </c>
      <c r="Q52" s="157" t="str">
        <f t="shared" si="104"/>
        <v>--</v>
      </c>
      <c r="R52" s="240">
        <f t="shared" si="105"/>
        <v>10.807721727577171</v>
      </c>
      <c r="S52" s="157">
        <f t="shared" si="106"/>
        <v>46720</v>
      </c>
      <c r="T52" s="157">
        <f t="shared" si="82"/>
        <v>65.084713609245995</v>
      </c>
      <c r="U52" s="157" t="str">
        <f t="shared" si="83"/>
        <v>--</v>
      </c>
      <c r="V52" s="254">
        <f t="shared" si="107"/>
        <v>64.994171506532524</v>
      </c>
      <c r="W52" s="256">
        <f t="shared" si="108"/>
        <v>14.674263495138966</v>
      </c>
      <c r="X52" s="241" t="str">
        <f t="shared" si="109"/>
        <v>Noncancer</v>
      </c>
      <c r="Y52" s="157">
        <f t="shared" si="110"/>
        <v>669.61506961506973</v>
      </c>
      <c r="Z52" s="157">
        <f t="shared" si="85"/>
        <v>69.477313237032575</v>
      </c>
      <c r="AA52" s="157" t="str">
        <f t="shared" si="111"/>
        <v>--</v>
      </c>
      <c r="AB52" s="242">
        <f t="shared" si="112"/>
        <v>62.946198633998321</v>
      </c>
      <c r="AC52" s="157">
        <f t="shared" si="113"/>
        <v>14157.575757575758</v>
      </c>
      <c r="AD52" s="157">
        <f t="shared" si="87"/>
        <v>14.689489084401176</v>
      </c>
      <c r="AE52" s="157" t="str">
        <f t="shared" si="114"/>
        <v>--</v>
      </c>
      <c r="AF52" s="382">
        <f t="shared" si="115"/>
        <v>14.674263495138966</v>
      </c>
      <c r="AG52" s="258" t="str">
        <f t="shared" si="116"/>
        <v>V</v>
      </c>
      <c r="AH52" s="159">
        <f t="shared" si="89"/>
        <v>3788.4604022906269</v>
      </c>
      <c r="AI52" s="159">
        <f t="shared" si="90"/>
        <v>3714.8910611064389</v>
      </c>
      <c r="AJ52" s="159">
        <f t="shared" si="91"/>
        <v>839.11120099199843</v>
      </c>
      <c r="AK52" s="158">
        <f t="shared" si="117"/>
        <v>3.6999999999999998E-2</v>
      </c>
      <c r="AL52" s="158">
        <f t="shared" si="118"/>
        <v>3.7000000000000002E-6</v>
      </c>
      <c r="AM52" s="158">
        <f t="shared" si="119"/>
        <v>0.04</v>
      </c>
      <c r="AN52" s="158">
        <f t="shared" si="120"/>
        <v>4</v>
      </c>
      <c r="AO52" s="158" t="str">
        <f t="shared" si="121"/>
        <v>--</v>
      </c>
      <c r="AP52" s="158" t="str">
        <f t="shared" si="122"/>
        <v>--</v>
      </c>
      <c r="AQ52" s="168">
        <f t="shared" si="123"/>
        <v>1</v>
      </c>
    </row>
    <row r="53" spans="1:43">
      <c r="A53" s="136" t="s">
        <v>177</v>
      </c>
      <c r="B53" s="185" t="s">
        <v>178</v>
      </c>
      <c r="C53" s="245">
        <f t="shared" si="92"/>
        <v>1.836522550036086</v>
      </c>
      <c r="D53" s="249" t="str">
        <f t="shared" si="93"/>
        <v>Cancer</v>
      </c>
      <c r="E53" s="157">
        <f t="shared" si="94"/>
        <v>6.9523809523809526</v>
      </c>
      <c r="F53" s="157">
        <f t="shared" si="95"/>
        <v>2.4958087951841357</v>
      </c>
      <c r="G53" s="157" t="str">
        <f t="shared" si="96"/>
        <v>--</v>
      </c>
      <c r="H53" s="237">
        <f t="shared" si="97"/>
        <v>1.836522550036086</v>
      </c>
      <c r="I53" s="157">
        <f t="shared" si="98"/>
        <v>2346.4285714285716</v>
      </c>
      <c r="J53" s="157">
        <f t="shared" si="99"/>
        <v>74.161175628328593</v>
      </c>
      <c r="K53" s="238" t="str">
        <f t="shared" si="77"/>
        <v>--</v>
      </c>
      <c r="L53" s="198">
        <f t="shared" si="100"/>
        <v>71.889051664628056</v>
      </c>
      <c r="M53" s="252">
        <f t="shared" si="101"/>
        <v>8.0565403021589557</v>
      </c>
      <c r="N53" s="239" t="str">
        <f t="shared" si="102"/>
        <v>Cancer</v>
      </c>
      <c r="O53" s="157">
        <f t="shared" si="103"/>
        <v>32.704000000000001</v>
      </c>
      <c r="P53" s="157">
        <f t="shared" si="79"/>
        <v>10.689989851769012</v>
      </c>
      <c r="Q53" s="157" t="str">
        <f t="shared" si="104"/>
        <v>--</v>
      </c>
      <c r="R53" s="240">
        <f t="shared" si="105"/>
        <v>8.0565403021589557</v>
      </c>
      <c r="S53" s="157">
        <f t="shared" si="106"/>
        <v>35039.999999999993</v>
      </c>
      <c r="T53" s="157">
        <f t="shared" si="82"/>
        <v>305.42828147911462</v>
      </c>
      <c r="U53" s="157" t="str">
        <f t="shared" si="83"/>
        <v>--</v>
      </c>
      <c r="V53" s="254">
        <f t="shared" si="107"/>
        <v>302.78900280396647</v>
      </c>
      <c r="W53" s="256">
        <f t="shared" si="108"/>
        <v>48.510095095244758</v>
      </c>
      <c r="X53" s="241" t="str">
        <f t="shared" si="109"/>
        <v>Cancer</v>
      </c>
      <c r="Y53" s="157">
        <f t="shared" si="110"/>
        <v>247.75757575757575</v>
      </c>
      <c r="Z53" s="157">
        <f t="shared" si="85"/>
        <v>60.32068019437461</v>
      </c>
      <c r="AA53" s="157" t="str">
        <f t="shared" si="111"/>
        <v>--</v>
      </c>
      <c r="AB53" s="242">
        <f t="shared" si="112"/>
        <v>48.510095095244758</v>
      </c>
      <c r="AC53" s="157">
        <f t="shared" si="113"/>
        <v>10618.181818181818</v>
      </c>
      <c r="AD53" s="157">
        <f t="shared" si="87"/>
        <v>68.937920222142424</v>
      </c>
      <c r="AE53" s="157" t="str">
        <f t="shared" si="114"/>
        <v>--</v>
      </c>
      <c r="AF53" s="382">
        <f t="shared" si="115"/>
        <v>68.493231946827535</v>
      </c>
      <c r="AG53" s="258" t="str">
        <f t="shared" si="116"/>
        <v>V</v>
      </c>
      <c r="AH53" s="159">
        <f t="shared" si="89"/>
        <v>3555.6821003054051</v>
      </c>
      <c r="AI53" s="159">
        <f t="shared" si="90"/>
        <v>3486.6331564595839</v>
      </c>
      <c r="AJ53" s="159">
        <f t="shared" si="91"/>
        <v>787.55282112201303</v>
      </c>
      <c r="AK53" s="158">
        <f t="shared" si="117"/>
        <v>0.1</v>
      </c>
      <c r="AL53" s="158">
        <f t="shared" si="118"/>
        <v>3.9999999999999998E-6</v>
      </c>
      <c r="AM53" s="158">
        <f t="shared" si="119"/>
        <v>0.03</v>
      </c>
      <c r="AN53" s="158">
        <f t="shared" si="120"/>
        <v>20</v>
      </c>
      <c r="AO53" s="158" t="str">
        <f t="shared" si="121"/>
        <v>--</v>
      </c>
      <c r="AP53" s="158" t="str">
        <f t="shared" si="122"/>
        <v>--</v>
      </c>
      <c r="AQ53" s="168">
        <f t="shared" si="123"/>
        <v>1</v>
      </c>
    </row>
    <row r="54" spans="1:43">
      <c r="A54" s="136" t="s">
        <v>179</v>
      </c>
      <c r="B54" s="185" t="s">
        <v>180</v>
      </c>
      <c r="C54" s="245">
        <f t="shared" si="92"/>
        <v>3.3910462443343101E-2</v>
      </c>
      <c r="D54" s="249" t="str">
        <f t="shared" si="93"/>
        <v>Cancer</v>
      </c>
      <c r="E54" s="157">
        <f t="shared" si="94"/>
        <v>4.3452380952380958E-2</v>
      </c>
      <c r="F54" s="157">
        <f t="shared" si="95"/>
        <v>830.10033444816077</v>
      </c>
      <c r="G54" s="157">
        <f t="shared" si="96"/>
        <v>0.15445159106296549</v>
      </c>
      <c r="H54" s="237">
        <f t="shared" si="97"/>
        <v>3.3910462443343101E-2</v>
      </c>
      <c r="I54" s="157">
        <f t="shared" si="98"/>
        <v>3.9107142857142856</v>
      </c>
      <c r="J54" s="157" t="str">
        <f t="shared" si="99"/>
        <v>--</v>
      </c>
      <c r="K54" s="238">
        <f t="shared" si="77"/>
        <v>16.480043344771538</v>
      </c>
      <c r="L54" s="198">
        <f t="shared" si="100"/>
        <v>3.1606839777857316</v>
      </c>
      <c r="M54" s="252">
        <f t="shared" si="101"/>
        <v>0.1436102866151022</v>
      </c>
      <c r="N54" s="239" t="str">
        <f t="shared" si="102"/>
        <v>Cancer</v>
      </c>
      <c r="O54" s="157">
        <f t="shared" si="103"/>
        <v>0.2044</v>
      </c>
      <c r="P54" s="157">
        <f t="shared" si="79"/>
        <v>3625.878260869566</v>
      </c>
      <c r="Q54" s="157">
        <f t="shared" si="104"/>
        <v>0.48294112087704377</v>
      </c>
      <c r="R54" s="240">
        <f t="shared" si="105"/>
        <v>0.1436102866151022</v>
      </c>
      <c r="S54" s="157">
        <f t="shared" si="106"/>
        <v>58.4</v>
      </c>
      <c r="T54" s="157" t="str">
        <f t="shared" si="82"/>
        <v>--</v>
      </c>
      <c r="U54" s="157">
        <f t="shared" si="83"/>
        <v>137.98317739344108</v>
      </c>
      <c r="V54" s="254">
        <f t="shared" si="107"/>
        <v>41.03313566229167</v>
      </c>
      <c r="W54" s="256">
        <f t="shared" si="108"/>
        <v>1.1532083895883478</v>
      </c>
      <c r="X54" s="241" t="str">
        <f t="shared" si="109"/>
        <v>Cancer</v>
      </c>
      <c r="Y54" s="157">
        <f t="shared" si="110"/>
        <v>1.5484848484848488</v>
      </c>
      <c r="Z54" s="157">
        <f t="shared" si="85"/>
        <v>69.984782608695653</v>
      </c>
      <c r="AA54" s="157">
        <f t="shared" si="111"/>
        <v>4.8294112087704377</v>
      </c>
      <c r="AB54" s="242">
        <f t="shared" si="112"/>
        <v>1.1532083895883478</v>
      </c>
      <c r="AC54" s="157">
        <f t="shared" si="113"/>
        <v>17.696969696969695</v>
      </c>
      <c r="AD54" s="157" t="str">
        <f t="shared" si="87"/>
        <v>--</v>
      </c>
      <c r="AE54" s="157">
        <f t="shared" si="114"/>
        <v>55.193270957376434</v>
      </c>
      <c r="AF54" s="382">
        <f t="shared" si="115"/>
        <v>13.40033500837521</v>
      </c>
      <c r="AG54" s="258" t="str">
        <f t="shared" si="116"/>
        <v>NV</v>
      </c>
      <c r="AH54" s="159" t="str">
        <f t="shared" si="89"/>
        <v>--</v>
      </c>
      <c r="AI54" s="159" t="str">
        <f t="shared" si="90"/>
        <v>--</v>
      </c>
      <c r="AJ54" s="159" t="str">
        <f t="shared" si="91"/>
        <v>--</v>
      </c>
      <c r="AK54" s="158">
        <f t="shared" si="117"/>
        <v>16</v>
      </c>
      <c r="AL54" s="158">
        <f t="shared" si="118"/>
        <v>4.5999999999999999E-3</v>
      </c>
      <c r="AM54" s="158">
        <f t="shared" si="119"/>
        <v>5.0000000000000002E-5</v>
      </c>
      <c r="AN54" s="158" t="str">
        <f t="shared" si="120"/>
        <v>--</v>
      </c>
      <c r="AO54" s="158" t="str">
        <f t="shared" si="121"/>
        <v>--</v>
      </c>
      <c r="AP54" s="158">
        <f t="shared" si="122"/>
        <v>0.1</v>
      </c>
      <c r="AQ54" s="168">
        <f t="shared" si="123"/>
        <v>1</v>
      </c>
    </row>
    <row r="55" spans="1:43">
      <c r="A55" s="136" t="s">
        <v>181</v>
      </c>
      <c r="B55" s="185" t="s">
        <v>182</v>
      </c>
      <c r="C55" s="245">
        <f t="shared" si="92"/>
        <v>50570.9436445717</v>
      </c>
      <c r="D55" s="249" t="str">
        <f t="shared" si="93"/>
        <v>Noncancer</v>
      </c>
      <c r="E55" s="157" t="str">
        <f t="shared" si="94"/>
        <v>--</v>
      </c>
      <c r="F55" s="157" t="str">
        <f t="shared" si="95"/>
        <v>--</v>
      </c>
      <c r="G55" s="157" t="str">
        <f t="shared" si="96"/>
        <v>--</v>
      </c>
      <c r="H55" s="237" t="str">
        <f t="shared" si="97"/>
        <v>--</v>
      </c>
      <c r="I55" s="157">
        <f t="shared" si="98"/>
        <v>62571.428571428565</v>
      </c>
      <c r="J55" s="157" t="str">
        <f t="shared" si="99"/>
        <v>--</v>
      </c>
      <c r="K55" s="238">
        <f t="shared" si="77"/>
        <v>263680.69351634459</v>
      </c>
      <c r="L55" s="198">
        <f t="shared" si="100"/>
        <v>50570.9436445717</v>
      </c>
      <c r="M55" s="252">
        <f t="shared" si="101"/>
        <v>656530.17059666687</v>
      </c>
      <c r="N55" s="239" t="str">
        <f t="shared" si="102"/>
        <v>Noncancer</v>
      </c>
      <c r="O55" s="157" t="str">
        <f t="shared" si="103"/>
        <v>--</v>
      </c>
      <c r="P55" s="157" t="str">
        <f t="shared" si="79"/>
        <v>--</v>
      </c>
      <c r="Q55" s="157" t="str">
        <f t="shared" si="104"/>
        <v>--</v>
      </c>
      <c r="R55" s="240" t="str">
        <f t="shared" si="105"/>
        <v>--</v>
      </c>
      <c r="S55" s="157">
        <f t="shared" si="106"/>
        <v>934400</v>
      </c>
      <c r="T55" s="157" t="str">
        <f t="shared" si="82"/>
        <v>--</v>
      </c>
      <c r="U55" s="157">
        <f t="shared" si="83"/>
        <v>2207730.8382950574</v>
      </c>
      <c r="V55" s="254">
        <f t="shared" si="107"/>
        <v>656530.17059666687</v>
      </c>
      <c r="W55" s="256">
        <f t="shared" si="108"/>
        <v>214405.36013400336</v>
      </c>
      <c r="X55" s="241" t="str">
        <f t="shared" si="109"/>
        <v>Noncancer</v>
      </c>
      <c r="Y55" s="157" t="str">
        <f t="shared" si="110"/>
        <v>--</v>
      </c>
      <c r="Z55" s="157" t="str">
        <f t="shared" si="85"/>
        <v>--</v>
      </c>
      <c r="AA55" s="157" t="str">
        <f t="shared" si="111"/>
        <v>--</v>
      </c>
      <c r="AB55" s="242" t="str">
        <f t="shared" si="112"/>
        <v>--</v>
      </c>
      <c r="AC55" s="157">
        <f t="shared" si="113"/>
        <v>283151.5151515152</v>
      </c>
      <c r="AD55" s="157" t="str">
        <f t="shared" si="87"/>
        <v>--</v>
      </c>
      <c r="AE55" s="157">
        <f t="shared" si="114"/>
        <v>883092.33531802287</v>
      </c>
      <c r="AF55" s="382">
        <f t="shared" si="115"/>
        <v>214405.36013400336</v>
      </c>
      <c r="AG55" s="258" t="str">
        <f t="shared" si="116"/>
        <v>NV</v>
      </c>
      <c r="AH55" s="159" t="str">
        <f t="shared" si="89"/>
        <v>--</v>
      </c>
      <c r="AI55" s="159" t="str">
        <f t="shared" si="90"/>
        <v>--</v>
      </c>
      <c r="AJ55" s="159" t="str">
        <f t="shared" si="91"/>
        <v>--</v>
      </c>
      <c r="AK55" s="158" t="str">
        <f t="shared" si="117"/>
        <v>--</v>
      </c>
      <c r="AL55" s="158" t="str">
        <f t="shared" si="118"/>
        <v>--</v>
      </c>
      <c r="AM55" s="158">
        <f t="shared" si="119"/>
        <v>0.8</v>
      </c>
      <c r="AN55" s="158" t="str">
        <f t="shared" si="120"/>
        <v>--</v>
      </c>
      <c r="AO55" s="158" t="str">
        <f t="shared" si="121"/>
        <v>--</v>
      </c>
      <c r="AP55" s="158">
        <f t="shared" si="122"/>
        <v>0.1</v>
      </c>
      <c r="AQ55" s="168">
        <f t="shared" si="123"/>
        <v>1</v>
      </c>
    </row>
    <row r="56" spans="1:43">
      <c r="A56" s="136" t="s">
        <v>183</v>
      </c>
      <c r="B56" s="185" t="s">
        <v>184</v>
      </c>
      <c r="C56" s="245">
        <f t="shared" si="92"/>
        <v>1264.2735911142927</v>
      </c>
      <c r="D56" s="249" t="str">
        <f t="shared" si="93"/>
        <v>Noncancer</v>
      </c>
      <c r="E56" s="157" t="str">
        <f t="shared" si="94"/>
        <v>--</v>
      </c>
      <c r="F56" s="157" t="str">
        <f t="shared" si="95"/>
        <v>--</v>
      </c>
      <c r="G56" s="157" t="str">
        <f t="shared" si="96"/>
        <v>--</v>
      </c>
      <c r="H56" s="237" t="str">
        <f t="shared" si="97"/>
        <v>--</v>
      </c>
      <c r="I56" s="157">
        <f t="shared" si="98"/>
        <v>1564.2857142857142</v>
      </c>
      <c r="J56" s="157" t="str">
        <f t="shared" si="99"/>
        <v>--</v>
      </c>
      <c r="K56" s="238">
        <f t="shared" si="77"/>
        <v>6592.0173379086145</v>
      </c>
      <c r="L56" s="198">
        <f t="shared" si="100"/>
        <v>1264.2735911142927</v>
      </c>
      <c r="M56" s="252">
        <f t="shared" si="101"/>
        <v>16413.254264916668</v>
      </c>
      <c r="N56" s="239" t="str">
        <f t="shared" si="102"/>
        <v>Noncancer</v>
      </c>
      <c r="O56" s="157" t="str">
        <f t="shared" si="103"/>
        <v>--</v>
      </c>
      <c r="P56" s="157" t="str">
        <f t="shared" si="79"/>
        <v>--</v>
      </c>
      <c r="Q56" s="157" t="str">
        <f t="shared" si="104"/>
        <v>--</v>
      </c>
      <c r="R56" s="240" t="str">
        <f t="shared" si="105"/>
        <v>--</v>
      </c>
      <c r="S56" s="157">
        <f t="shared" si="106"/>
        <v>23360</v>
      </c>
      <c r="T56" s="157" t="str">
        <f t="shared" si="82"/>
        <v>--</v>
      </c>
      <c r="U56" s="157">
        <f t="shared" si="83"/>
        <v>55193.27095737643</v>
      </c>
      <c r="V56" s="254">
        <f t="shared" si="107"/>
        <v>16413.254264916668</v>
      </c>
      <c r="W56" s="256">
        <f t="shared" si="108"/>
        <v>5360.1340033500837</v>
      </c>
      <c r="X56" s="241" t="str">
        <f t="shared" si="109"/>
        <v>Noncancer</v>
      </c>
      <c r="Y56" s="157" t="str">
        <f t="shared" si="110"/>
        <v>--</v>
      </c>
      <c r="Z56" s="157" t="str">
        <f t="shared" si="85"/>
        <v>--</v>
      </c>
      <c r="AA56" s="157" t="str">
        <f t="shared" si="111"/>
        <v>--</v>
      </c>
      <c r="AB56" s="242" t="str">
        <f t="shared" si="112"/>
        <v>--</v>
      </c>
      <c r="AC56" s="157">
        <f t="shared" si="113"/>
        <v>7078.787878787879</v>
      </c>
      <c r="AD56" s="157" t="str">
        <f t="shared" si="87"/>
        <v>--</v>
      </c>
      <c r="AE56" s="157">
        <f t="shared" si="114"/>
        <v>22077.308382950574</v>
      </c>
      <c r="AF56" s="382">
        <f t="shared" si="115"/>
        <v>5360.1340033500837</v>
      </c>
      <c r="AG56" s="258" t="str">
        <f t="shared" si="116"/>
        <v>NV</v>
      </c>
      <c r="AH56" s="159" t="str">
        <f t="shared" si="89"/>
        <v>--</v>
      </c>
      <c r="AI56" s="159" t="str">
        <f t="shared" si="90"/>
        <v>--</v>
      </c>
      <c r="AJ56" s="159" t="str">
        <f t="shared" si="91"/>
        <v>--</v>
      </c>
      <c r="AK56" s="158" t="str">
        <f t="shared" si="117"/>
        <v>--</v>
      </c>
      <c r="AL56" s="158" t="str">
        <f t="shared" si="118"/>
        <v>--</v>
      </c>
      <c r="AM56" s="158">
        <f t="shared" si="119"/>
        <v>0.02</v>
      </c>
      <c r="AN56" s="158" t="str">
        <f t="shared" si="120"/>
        <v>--</v>
      </c>
      <c r="AO56" s="158" t="str">
        <f t="shared" si="121"/>
        <v>--</v>
      </c>
      <c r="AP56" s="158">
        <f t="shared" si="122"/>
        <v>0.1</v>
      </c>
      <c r="AQ56" s="168">
        <f t="shared" si="123"/>
        <v>1</v>
      </c>
    </row>
    <row r="57" spans="1:43">
      <c r="A57" s="136" t="s">
        <v>185</v>
      </c>
      <c r="B57" s="185" t="s">
        <v>186</v>
      </c>
      <c r="C57" s="245">
        <f t="shared" ref="C57:C71" si="124">IF(AND(H57="--", L57="--"),"--",IF(H57="--",L57,IF(L57="--",H57,MIN(H57,L57))))</f>
        <v>126.42735911142927</v>
      </c>
      <c r="D57" s="249" t="str">
        <f t="shared" ref="D57:D71" si="125">IF(C57="--","--",IF(C57=H57,"Cancer","Noncancer"))</f>
        <v>Noncancer</v>
      </c>
      <c r="E57" s="157" t="str">
        <f t="shared" ref="E57:E71" si="126">IF(AK57="--","--",
IF(AO57="--",
TR*365*LT/(AK57*IFSadj*0.000001),
TR*365*LT/(AK57*IFSmadj*0.000001)))</f>
        <v>--</v>
      </c>
      <c r="F57" s="157" t="str">
        <f t="shared" ref="F57:F71" si="127">IF(AL57="--", "--",
IF(AO57="--",
IF(AND(AG57="V",AH57&lt;&gt;"--"),(TR*365*LT)/(AL57*1000*EFr*(1/AH57+1/PEFr)*EDr*ETr*(1/24)),(TR*365*LT)/(AL57*1000*EFr*(1/PEFr)*EDr*ETr*(1/24))),
IF(AND(AG57="V",AH57&lt;&gt;"--"),(TR*365*LT)/(AL57*1000*(1/AH57+1/PEFr)*TETmadj),(TR*365*LT)/(AL57*1000*(1/PEFr)*TETmadj))))</f>
        <v>--</v>
      </c>
      <c r="G57" s="157" t="str">
        <f t="shared" ref="G57:G71" si="128">IF(OR(AK57="--",AP57="--"),"--",
IF(AO57="--",
(TR*365*LT)/((AK57/AQ57)*DFSadj*AP57*0.000001),
(TR*365*LT)/((AK57/AQ57)*DFSmadj*AP57*0.000001)))</f>
        <v>--</v>
      </c>
      <c r="H57" s="237" t="str">
        <f t="shared" ref="H57:H71" si="129">IF(AND(E57="--",F57="--"),G57,IF(AND(E57="--",G57="--"),F57,IF(AND(F57="--",G57="--"),E57,IF(E57="--",1/(1/F57+1/G57),IF(F57="--",1/(1/E57+1/G57),IF(G57="--",1/(1/E57+1/F57),1/(1/E57+1/F57+1/G57)))))))</f>
        <v>--</v>
      </c>
      <c r="I57" s="157">
        <f t="shared" ref="I57:I69" si="130">IF(AM57="--","--",(THQ*365*EDc*BWc)/(EFr*EDc*(1/AM57)*IRSc*0.000001))</f>
        <v>156.42857142857142</v>
      </c>
      <c r="J57" s="157" t="str">
        <f t="shared" ref="J57:J71" si="131">IF(AN57="--","--",IF(AND(AG57="V",AH57&lt;&gt;"--"),
(THQ*365*EDc)/(EFr*EDc*(1/(AN57/1000))*(1/AH57+1/PEFr)),
(THQ*365*EDc)/(EFr*EDc*(1/(AN57/1000))*1/PEFr)))</f>
        <v>--</v>
      </c>
      <c r="K57" s="238">
        <f t="shared" si="77"/>
        <v>659.20173379086145</v>
      </c>
      <c r="L57" s="198">
        <f t="shared" ref="L57:L71" si="132">IF(AND(I57="--",J57="--"),K57,IF(AND(I57="--",K57="--"),J57,IF(AND(J57="--",K57="--"),I57,IF(I57="--",1/(1/J57+1/K57),IF(J57="--",1/(1/I57+1/K57),IF(K57="--",1/(1/I57+1/J57),1/(1/I57+1/J57+1/K57)))))))</f>
        <v>126.42735911142927</v>
      </c>
      <c r="M57" s="252">
        <f t="shared" ref="M57:M71" si="133">IF(AND(R57="--", V57="--"),"--",IF(R57="--",V57,IF(V57="--",R57,MIN(R57,V57))))</f>
        <v>1641.3254264916673</v>
      </c>
      <c r="N57" s="239" t="str">
        <f t="shared" ref="N57:N71" si="134">IF(M57="--","--",IF(M57=R57,"Cancer","Noncancer"))</f>
        <v>Noncancer</v>
      </c>
      <c r="O57" s="157" t="str">
        <f t="shared" ref="O57:O71" si="135">IF(AK57="--","--",(TR*365*LT*BWa)/(AK57*EFci*EDci*IRSci*0.000001))</f>
        <v>--</v>
      </c>
      <c r="P57" s="157" t="str">
        <f t="shared" si="79"/>
        <v>--</v>
      </c>
      <c r="Q57" s="157" t="str">
        <f t="shared" ref="Q57:Q71" si="136">IF(OR(AK57="--",AP57="--"),"--",(TR*365*LT*BWa)/((AK57/AQ57)*EFci*EDci*AdFci*SAci*AP57*0.000001))</f>
        <v>--</v>
      </c>
      <c r="R57" s="240" t="str">
        <f t="shared" ref="R57:R71" si="137">IF(AND(O57="--",P57="--"),Q57,IF(AND(O57="--",Q57="--"),P57,IF(AND(P57="--",Q57="--"),O57,IF(O57="--",1/(1/P57+1/Q57),IF(P57="--",1/(1/O57+1/Q57),IF(Q57="--",1/(1/O57+1/P57),1/(1/O57+1/P57+1/Q57)))))))</f>
        <v>--</v>
      </c>
      <c r="S57" s="157">
        <f t="shared" ref="S57:S71" si="138">IF(AM57="--","--",(THQ*EDci*365*BWa)/(EFci*EDci*(1/AM57)*IRSci*0.000001))</f>
        <v>2336</v>
      </c>
      <c r="T57" s="157" t="str">
        <f t="shared" si="82"/>
        <v>--</v>
      </c>
      <c r="U57" s="157">
        <f t="shared" si="83"/>
        <v>5519.3270957376435</v>
      </c>
      <c r="V57" s="254">
        <f t="shared" ref="V57:V71" si="139">IF(AND(S57="--",T57="--"),U57,IF(AND(S57="--",U57="--"),T57,IF(AND(T57="--",U57="--"),S57,IF(S57="--",1/(1/T57+1/U57),IF(T57="--",1/(1/S57+1/U57),IF(U57="--",1/(1/S57+1/T57),1/(1/S57+1/T57+1/U57)))))))</f>
        <v>1641.3254264916673</v>
      </c>
      <c r="W57" s="256">
        <f t="shared" ref="W57:W71" si="140">IF(AND(AB57="--", AF57="--"),"--",IF(AB57="--",AF57,IF(AF57="--",AB57,MIN(AB57,AF57))))</f>
        <v>536.01340033500833</v>
      </c>
      <c r="X57" s="241" t="str">
        <f t="shared" ref="X57:X71" si="141">IF(W57="--","--",IF(W57=AB57,"Cancer","Noncancer"))</f>
        <v>Noncancer</v>
      </c>
      <c r="Y57" s="157" t="str">
        <f t="shared" ref="Y57:Y71" si="142">IF(AK57="--","--",(TR*365*LT*BWct)/(AK57*EFct*EDct*IRSct*0.000001))</f>
        <v>--</v>
      </c>
      <c r="Z57" s="157" t="str">
        <f t="shared" si="85"/>
        <v>--</v>
      </c>
      <c r="AA57" s="157" t="str">
        <f t="shared" ref="AA57:AA71" si="143">IF(OR(AK57="--",AP57="--"),"--",(TR*365*LT*BWct)/((AK57/AQ57)*EFct*EDct*SAct*AdFct*AP57*0.000001))</f>
        <v>--</v>
      </c>
      <c r="AB57" s="242" t="str">
        <f t="shared" ref="AB57:AB71" si="144">IF(AND(Y57="--",Z57="--"),AA57,IF(AND(Y57="--",AA57="--"),Z57,IF(AND(Z57="--",AA57="--"),Y57,IF(Y57="--",1/(1/Z57+1/AA57),IF(Z57="--",1/(1/Y57+1/AA57),IF(AA57="--",1/(1/Y57+1/Z57),1/(1/Y57+1/Z57+1/AA57)))))))</f>
        <v>--</v>
      </c>
      <c r="AC57" s="157">
        <f t="shared" ref="AC57:AC71" si="145">IF(AM57="--","--",(THQ*EDct*365*BWct)/(EFct*EDct*(1/AM57)*IRSct*0.000001))</f>
        <v>707.87878787878788</v>
      </c>
      <c r="AD57" s="157" t="str">
        <f t="shared" si="87"/>
        <v>--</v>
      </c>
      <c r="AE57" s="157">
        <f t="shared" ref="AE57:AE71" si="146">IF(OR(AM57="--",AP57="--"),"--",(THQ*EDct*365*BWct)/(EFct*EDct*(1/(AM57*AQ57))*SAct*AdFct*AP57*0.000001))</f>
        <v>2207.7308382950573</v>
      </c>
      <c r="AF57" s="382">
        <f t="shared" ref="AF57:AF71" si="147">IF(AND(AC57="--",AD57="--"),AE57,IF(AND(AC57="--",AE57="--"),AD57,IF(AND(AD57="--",AE57="--"),AC57,IF(AC57="--",1/(1/AD57+1/AE57),IF(AD57="--",1/(1/AC57+1/AE57),IF(AE57="--",1/(1/AC57+1/AD57),1/(1/AC57+1/AD57+1/AE57)))))))</f>
        <v>536.01340033500833</v>
      </c>
      <c r="AG57" s="258" t="str">
        <f t="shared" ref="AG57:AG71" si="148">VLOOKUP(A57,Table_IP_1,MATCH("volatility",heading_IP_1,0),FALSE)</f>
        <v>NV</v>
      </c>
      <c r="AH57" s="159" t="str">
        <f t="shared" si="89"/>
        <v>--</v>
      </c>
      <c r="AI57" s="159" t="str">
        <f t="shared" si="90"/>
        <v>--</v>
      </c>
      <c r="AJ57" s="159" t="str">
        <f t="shared" si="91"/>
        <v>--</v>
      </c>
      <c r="AK57" s="158" t="str">
        <f t="shared" ref="AK57:AK71" si="149">VLOOKUP(A57,Table_IP_2,MATCH("SFo",heading_IP_2,0),FALSE)</f>
        <v>--</v>
      </c>
      <c r="AL57" s="158" t="str">
        <f t="shared" ref="AL57:AL71" si="150">VLOOKUP(A57,Table_IP_2,MATCH("IUR",heading_IP_2,0),FALSE)</f>
        <v>--</v>
      </c>
      <c r="AM57" s="158">
        <f t="shared" ref="AM57:AM69" si="151">VLOOKUP(A57,Table_IP_2,MATCH("RfDo",heading_IP_2,0),FALSE)</f>
        <v>2E-3</v>
      </c>
      <c r="AN57" s="158" t="str">
        <f t="shared" ref="AN57:AN69" si="152">VLOOKUP(A57,Table_IP_2,MATCH("RfC",heading_IP_2,0),FALSE)</f>
        <v>--</v>
      </c>
      <c r="AO57" s="158" t="str">
        <f t="shared" ref="AO57:AO71" si="153">VLOOKUP(A57,Table_IP_2,MATCH("mut",heading_IP_2,0),FALSE)</f>
        <v>--</v>
      </c>
      <c r="AP57" s="158">
        <f t="shared" ref="AP57:AP71" si="154">VLOOKUP(A57,Table_IP_2,MATCH("abs",heading_IP_2,0),FALSE)</f>
        <v>0.1</v>
      </c>
      <c r="AQ57" s="168">
        <f t="shared" ref="AQ57:AQ71" si="155">VLOOKUP(A57,Table_IP_2,MATCH("GIABS",heading_IP_2,0),FALSE)</f>
        <v>1</v>
      </c>
    </row>
    <row r="58" spans="1:43">
      <c r="A58" s="136" t="s">
        <v>187</v>
      </c>
      <c r="B58" s="185" t="s">
        <v>188</v>
      </c>
      <c r="C58" s="245">
        <f t="shared" si="124"/>
        <v>1.7425657710563367</v>
      </c>
      <c r="D58" s="249" t="str">
        <f t="shared" si="125"/>
        <v>Cancer</v>
      </c>
      <c r="E58" s="157">
        <f t="shared" si="126"/>
        <v>2.2427035330261136</v>
      </c>
      <c r="F58" s="157">
        <f t="shared" si="127"/>
        <v>42904.062229904928</v>
      </c>
      <c r="G58" s="157">
        <f t="shared" si="128"/>
        <v>7.815387277063401</v>
      </c>
      <c r="H58" s="237">
        <f t="shared" si="129"/>
        <v>1.7425657710563367</v>
      </c>
      <c r="I58" s="157">
        <f t="shared" si="130"/>
        <v>156.42857142857142</v>
      </c>
      <c r="J58" s="157" t="str">
        <f t="shared" si="131"/>
        <v>--</v>
      </c>
      <c r="K58" s="238">
        <f t="shared" si="77"/>
        <v>646.27620959888384</v>
      </c>
      <c r="L58" s="198">
        <f t="shared" si="132"/>
        <v>125.94426569432326</v>
      </c>
      <c r="M58" s="252">
        <f t="shared" si="133"/>
        <v>7.3683224578167819</v>
      </c>
      <c r="N58" s="239" t="str">
        <f t="shared" si="134"/>
        <v>Cancer</v>
      </c>
      <c r="O58" s="157">
        <f t="shared" si="135"/>
        <v>10.54967741935484</v>
      </c>
      <c r="P58" s="157">
        <f t="shared" si="79"/>
        <v>187404.94382022473</v>
      </c>
      <c r="Q58" s="157">
        <f t="shared" si="136"/>
        <v>24.437248368224861</v>
      </c>
      <c r="R58" s="240">
        <f t="shared" si="137"/>
        <v>7.3683224578167819</v>
      </c>
      <c r="S58" s="157">
        <f t="shared" si="138"/>
        <v>2336</v>
      </c>
      <c r="T58" s="157" t="str">
        <f t="shared" si="82"/>
        <v>--</v>
      </c>
      <c r="U58" s="157">
        <f t="shared" si="83"/>
        <v>5411.1049958212188</v>
      </c>
      <c r="V58" s="254">
        <f t="shared" si="139"/>
        <v>1631.621267177424</v>
      </c>
      <c r="W58" s="256">
        <f t="shared" si="140"/>
        <v>59.238890621143206</v>
      </c>
      <c r="X58" s="241" t="str">
        <f t="shared" si="141"/>
        <v>Cancer</v>
      </c>
      <c r="Y58" s="157">
        <f t="shared" si="142"/>
        <v>79.921798631476051</v>
      </c>
      <c r="Z58" s="157">
        <f t="shared" si="85"/>
        <v>3617.1910112359556</v>
      </c>
      <c r="AA58" s="157">
        <f t="shared" si="143"/>
        <v>244.37248368224866</v>
      </c>
      <c r="AB58" s="242">
        <f t="shared" si="144"/>
        <v>59.238890621143206</v>
      </c>
      <c r="AC58" s="157">
        <f t="shared" si="145"/>
        <v>707.87878787878788</v>
      </c>
      <c r="AD58" s="157" t="str">
        <f t="shared" si="87"/>
        <v>--</v>
      </c>
      <c r="AE58" s="157">
        <f t="shared" si="146"/>
        <v>2164.4419983284874</v>
      </c>
      <c r="AF58" s="382">
        <f t="shared" si="147"/>
        <v>533.42321149088582</v>
      </c>
      <c r="AG58" s="258" t="str">
        <f t="shared" si="148"/>
        <v>NV</v>
      </c>
      <c r="AH58" s="159" t="str">
        <f t="shared" si="89"/>
        <v>--</v>
      </c>
      <c r="AI58" s="159" t="str">
        <f t="shared" si="90"/>
        <v>--</v>
      </c>
      <c r="AJ58" s="159" t="str">
        <f t="shared" si="91"/>
        <v>--</v>
      </c>
      <c r="AK58" s="158">
        <f t="shared" si="149"/>
        <v>0.31</v>
      </c>
      <c r="AL58" s="158">
        <f t="shared" si="150"/>
        <v>8.8999999999999995E-5</v>
      </c>
      <c r="AM58" s="158">
        <f t="shared" si="151"/>
        <v>2E-3</v>
      </c>
      <c r="AN58" s="158" t="str">
        <f t="shared" si="152"/>
        <v>--</v>
      </c>
      <c r="AO58" s="158" t="str">
        <f t="shared" si="153"/>
        <v>--</v>
      </c>
      <c r="AP58" s="158">
        <f t="shared" si="154"/>
        <v>0.10199999999999999</v>
      </c>
      <c r="AQ58" s="168">
        <f t="shared" si="155"/>
        <v>1</v>
      </c>
    </row>
    <row r="59" spans="1:43">
      <c r="A59" s="136" t="s">
        <v>189</v>
      </c>
      <c r="B59" s="185" t="s">
        <v>190</v>
      </c>
      <c r="C59" s="245">
        <f t="shared" si="124"/>
        <v>5.2979209804336538</v>
      </c>
      <c r="D59" s="249" t="str">
        <f t="shared" si="125"/>
        <v>Cancer</v>
      </c>
      <c r="E59" s="157">
        <f t="shared" si="126"/>
        <v>6.9523809523809526</v>
      </c>
      <c r="F59" s="157">
        <f t="shared" si="127"/>
        <v>22.262953190843138</v>
      </c>
      <c r="G59" s="157" t="str">
        <f t="shared" si="128"/>
        <v>--</v>
      </c>
      <c r="H59" s="237">
        <f t="shared" si="129"/>
        <v>5.2979209804336538</v>
      </c>
      <c r="I59" s="157">
        <f t="shared" si="130"/>
        <v>2346.4285714285716</v>
      </c>
      <c r="J59" s="157">
        <f t="shared" si="131"/>
        <v>1240.3645349184035</v>
      </c>
      <c r="K59" s="238" t="str">
        <f t="shared" si="77"/>
        <v>--</v>
      </c>
      <c r="L59" s="198">
        <f t="shared" si="132"/>
        <v>811.42867665523727</v>
      </c>
      <c r="M59" s="252">
        <f t="shared" si="133"/>
        <v>24.352056642713794</v>
      </c>
      <c r="N59" s="239" t="str">
        <f t="shared" si="134"/>
        <v>Cancer</v>
      </c>
      <c r="O59" s="157">
        <f t="shared" si="135"/>
        <v>32.704000000000001</v>
      </c>
      <c r="P59" s="157">
        <f t="shared" si="79"/>
        <v>95.356209492073091</v>
      </c>
      <c r="Q59" s="157" t="str">
        <f t="shared" si="136"/>
        <v>--</v>
      </c>
      <c r="R59" s="240">
        <f t="shared" si="137"/>
        <v>24.352056642713794</v>
      </c>
      <c r="S59" s="157">
        <f t="shared" si="138"/>
        <v>35039.999999999993</v>
      </c>
      <c r="T59" s="157">
        <f t="shared" si="82"/>
        <v>5108.3683656467729</v>
      </c>
      <c r="U59" s="157" t="str">
        <f t="shared" si="83"/>
        <v>--</v>
      </c>
      <c r="V59" s="254">
        <f t="shared" si="139"/>
        <v>4458.3935741065661</v>
      </c>
      <c r="W59" s="256">
        <f t="shared" si="140"/>
        <v>169.23934331389026</v>
      </c>
      <c r="X59" s="241" t="str">
        <f t="shared" si="141"/>
        <v>Cancer</v>
      </c>
      <c r="Y59" s="157">
        <f t="shared" si="142"/>
        <v>247.75757575757575</v>
      </c>
      <c r="Z59" s="157">
        <f t="shared" si="85"/>
        <v>534.02029206817178</v>
      </c>
      <c r="AA59" s="157" t="str">
        <f t="shared" si="143"/>
        <v>--</v>
      </c>
      <c r="AB59" s="242">
        <f t="shared" si="144"/>
        <v>169.23934331389026</v>
      </c>
      <c r="AC59" s="157">
        <f t="shared" si="145"/>
        <v>10618.181818181818</v>
      </c>
      <c r="AD59" s="157">
        <f t="shared" si="87"/>
        <v>1144.3291972889397</v>
      </c>
      <c r="AE59" s="157" t="str">
        <f t="shared" si="146"/>
        <v>--</v>
      </c>
      <c r="AF59" s="382">
        <f t="shared" si="147"/>
        <v>1033.0018361459295</v>
      </c>
      <c r="AG59" s="258" t="str">
        <f t="shared" si="148"/>
        <v>V</v>
      </c>
      <c r="AH59" s="159">
        <f t="shared" si="89"/>
        <v>39647.510790985703</v>
      </c>
      <c r="AI59" s="159">
        <f t="shared" si="90"/>
        <v>38877.582920887813</v>
      </c>
      <c r="AJ59" s="159">
        <f t="shared" si="91"/>
        <v>8781.5806062145712</v>
      </c>
      <c r="AK59" s="158">
        <f t="shared" si="149"/>
        <v>0.1</v>
      </c>
      <c r="AL59" s="158">
        <f t="shared" si="150"/>
        <v>5.0000000000000004E-6</v>
      </c>
      <c r="AM59" s="158">
        <f t="shared" si="151"/>
        <v>0.03</v>
      </c>
      <c r="AN59" s="158">
        <f t="shared" si="152"/>
        <v>30</v>
      </c>
      <c r="AO59" s="158" t="str">
        <f t="shared" si="153"/>
        <v>--</v>
      </c>
      <c r="AP59" s="158" t="str">
        <f t="shared" si="154"/>
        <v>--</v>
      </c>
      <c r="AQ59" s="168">
        <f t="shared" si="155"/>
        <v>1</v>
      </c>
    </row>
    <row r="60" spans="1:43">
      <c r="A60" s="136" t="s">
        <v>191</v>
      </c>
      <c r="B60" s="185" t="s">
        <v>192</v>
      </c>
      <c r="C60" s="245">
        <f t="shared" si="124"/>
        <v>4.7692840206178896E-6</v>
      </c>
      <c r="D60" s="249" t="str">
        <f t="shared" si="125"/>
        <v>Cancer</v>
      </c>
      <c r="E60" s="157">
        <f t="shared" si="126"/>
        <v>5.3479853479853481E-6</v>
      </c>
      <c r="F60" s="157">
        <f t="shared" si="127"/>
        <v>1.4477786951815625E-4</v>
      </c>
      <c r="G60" s="157">
        <f t="shared" si="128"/>
        <v>6.3364755307883266E-5</v>
      </c>
      <c r="H60" s="237">
        <f t="shared" si="129"/>
        <v>4.7692840206178896E-6</v>
      </c>
      <c r="I60" s="157">
        <f t="shared" si="130"/>
        <v>5.4750000000000003E-5</v>
      </c>
      <c r="J60" s="157">
        <f t="shared" si="131"/>
        <v>8.1737448619393346E-2</v>
      </c>
      <c r="K60" s="238">
        <f t="shared" si="77"/>
        <v>7.6906868942267176E-4</v>
      </c>
      <c r="L60" s="198">
        <f t="shared" si="132"/>
        <v>5.1079440230529036E-5</v>
      </c>
      <c r="M60" s="252">
        <f t="shared" si="133"/>
        <v>2.1546958472457743E-5</v>
      </c>
      <c r="N60" s="239" t="str">
        <f t="shared" si="134"/>
        <v>Cancer</v>
      </c>
      <c r="O60" s="157">
        <f t="shared" si="135"/>
        <v>2.5156923076923076E-5</v>
      </c>
      <c r="P60" s="157">
        <f t="shared" si="79"/>
        <v>6.2012650321078015E-4</v>
      </c>
      <c r="Q60" s="157">
        <f t="shared" si="136"/>
        <v>1.9812969061622308E-4</v>
      </c>
      <c r="R60" s="240">
        <f t="shared" si="137"/>
        <v>2.1546958472457743E-5</v>
      </c>
      <c r="S60" s="157">
        <f t="shared" si="138"/>
        <v>8.1760000000000014E-4</v>
      </c>
      <c r="T60" s="157">
        <f t="shared" si="82"/>
        <v>0.33664010174299497</v>
      </c>
      <c r="U60" s="157">
        <f t="shared" si="83"/>
        <v>6.4392149450272522E-3</v>
      </c>
      <c r="V60" s="254">
        <f t="shared" si="139"/>
        <v>7.239237546970836E-4</v>
      </c>
      <c r="W60" s="256">
        <f t="shared" si="140"/>
        <v>1.6246993395237368E-4</v>
      </c>
      <c r="X60" s="241" t="str">
        <f t="shared" si="141"/>
        <v>Cancer</v>
      </c>
      <c r="Y60" s="157">
        <f t="shared" si="142"/>
        <v>1.9058275058275059E-4</v>
      </c>
      <c r="Z60" s="157">
        <f t="shared" si="85"/>
        <v>2.480155843760878E-3</v>
      </c>
      <c r="AA60" s="157">
        <f t="shared" si="143"/>
        <v>1.9812969061622308E-3</v>
      </c>
      <c r="AB60" s="242">
        <f t="shared" si="144"/>
        <v>1.6246993395237368E-4</v>
      </c>
      <c r="AC60" s="157">
        <f t="shared" si="145"/>
        <v>2.4775757575757582E-4</v>
      </c>
      <c r="AD60" s="157">
        <f t="shared" si="87"/>
        <v>5.3854812607379066E-2</v>
      </c>
      <c r="AE60" s="157">
        <f t="shared" si="146"/>
        <v>2.5756859780109009E-3</v>
      </c>
      <c r="AF60" s="382">
        <f t="shared" si="147"/>
        <v>2.2507223433707797E-4</v>
      </c>
      <c r="AG60" s="258" t="str">
        <f t="shared" si="148"/>
        <v>V</v>
      </c>
      <c r="AH60" s="159">
        <f t="shared" si="89"/>
        <v>1962286.6059655673</v>
      </c>
      <c r="AI60" s="159">
        <f t="shared" si="90"/>
        <v>1924180.3259769583</v>
      </c>
      <c r="AJ60" s="159">
        <f t="shared" si="91"/>
        <v>434629.505333276</v>
      </c>
      <c r="AK60" s="158">
        <f t="shared" si="149"/>
        <v>130000</v>
      </c>
      <c r="AL60" s="158">
        <f t="shared" si="150"/>
        <v>38</v>
      </c>
      <c r="AM60" s="158">
        <f t="shared" si="151"/>
        <v>6.9999999999999996E-10</v>
      </c>
      <c r="AN60" s="158">
        <f t="shared" si="152"/>
        <v>4.0000000000000003E-5</v>
      </c>
      <c r="AO60" s="158" t="str">
        <f t="shared" si="153"/>
        <v>--</v>
      </c>
      <c r="AP60" s="158">
        <f t="shared" si="154"/>
        <v>0.03</v>
      </c>
      <c r="AQ60" s="168">
        <f t="shared" si="155"/>
        <v>1</v>
      </c>
    </row>
    <row r="61" spans="1:43">
      <c r="A61" s="136" t="s">
        <v>193</v>
      </c>
      <c r="B61" s="185" t="s">
        <v>194</v>
      </c>
      <c r="C61" s="245">
        <f t="shared" si="124"/>
        <v>469.28571428571428</v>
      </c>
      <c r="D61" s="249" t="str">
        <f t="shared" si="125"/>
        <v>Noncancer</v>
      </c>
      <c r="E61" s="157" t="str">
        <f t="shared" si="126"/>
        <v>--</v>
      </c>
      <c r="F61" s="157" t="str">
        <f t="shared" si="127"/>
        <v>--</v>
      </c>
      <c r="G61" s="157" t="str">
        <f t="shared" si="128"/>
        <v>--</v>
      </c>
      <c r="H61" s="237" t="str">
        <f t="shared" si="129"/>
        <v>--</v>
      </c>
      <c r="I61" s="157">
        <f t="shared" si="130"/>
        <v>469.28571428571428</v>
      </c>
      <c r="J61" s="157" t="str">
        <f t="shared" si="131"/>
        <v>--</v>
      </c>
      <c r="K61" s="238" t="str">
        <f t="shared" si="77"/>
        <v>--</v>
      </c>
      <c r="L61" s="198">
        <f t="shared" si="132"/>
        <v>469.28571428571428</v>
      </c>
      <c r="M61" s="252">
        <f t="shared" si="133"/>
        <v>7008.0000000000009</v>
      </c>
      <c r="N61" s="239" t="str">
        <f t="shared" si="134"/>
        <v>Noncancer</v>
      </c>
      <c r="O61" s="157" t="str">
        <f t="shared" si="135"/>
        <v>--</v>
      </c>
      <c r="P61" s="157" t="str">
        <f t="shared" si="79"/>
        <v>--</v>
      </c>
      <c r="Q61" s="157" t="str">
        <f t="shared" si="136"/>
        <v>--</v>
      </c>
      <c r="R61" s="240" t="str">
        <f t="shared" si="137"/>
        <v>--</v>
      </c>
      <c r="S61" s="157">
        <f t="shared" si="138"/>
        <v>7008.0000000000009</v>
      </c>
      <c r="T61" s="157" t="str">
        <f t="shared" si="82"/>
        <v>--</v>
      </c>
      <c r="U61" s="157" t="str">
        <f t="shared" si="83"/>
        <v>--</v>
      </c>
      <c r="V61" s="254">
        <f t="shared" si="139"/>
        <v>7008.0000000000009</v>
      </c>
      <c r="W61" s="256">
        <f t="shared" si="140"/>
        <v>2123.6363636363635</v>
      </c>
      <c r="X61" s="241" t="str">
        <f t="shared" si="141"/>
        <v>Noncancer</v>
      </c>
      <c r="Y61" s="157" t="str">
        <f t="shared" si="142"/>
        <v>--</v>
      </c>
      <c r="Z61" s="157" t="str">
        <f t="shared" si="85"/>
        <v>--</v>
      </c>
      <c r="AA61" s="157" t="str">
        <f t="shared" si="143"/>
        <v>--</v>
      </c>
      <c r="AB61" s="242" t="str">
        <f t="shared" si="144"/>
        <v>--</v>
      </c>
      <c r="AC61" s="157">
        <f t="shared" si="145"/>
        <v>2123.6363636363635</v>
      </c>
      <c r="AD61" s="157" t="str">
        <f t="shared" si="87"/>
        <v>--</v>
      </c>
      <c r="AE61" s="157" t="str">
        <f t="shared" si="146"/>
        <v>--</v>
      </c>
      <c r="AF61" s="382">
        <f t="shared" si="147"/>
        <v>2123.6363636363635</v>
      </c>
      <c r="AG61" s="258" t="str">
        <f t="shared" si="148"/>
        <v>V</v>
      </c>
      <c r="AH61" s="159">
        <f t="shared" si="89"/>
        <v>409918.17169956153</v>
      </c>
      <c r="AI61" s="159">
        <f t="shared" si="90"/>
        <v>401957.83778314269</v>
      </c>
      <c r="AJ61" s="159">
        <f t="shared" si="91"/>
        <v>90793.328380914245</v>
      </c>
      <c r="AK61" s="158" t="str">
        <f t="shared" si="149"/>
        <v>--</v>
      </c>
      <c r="AL61" s="158" t="str">
        <f t="shared" si="150"/>
        <v>--</v>
      </c>
      <c r="AM61" s="158">
        <f t="shared" si="151"/>
        <v>6.0000000000000001E-3</v>
      </c>
      <c r="AN61" s="158" t="str">
        <f t="shared" si="152"/>
        <v>--</v>
      </c>
      <c r="AO61" s="158" t="str">
        <f t="shared" si="153"/>
        <v>--</v>
      </c>
      <c r="AP61" s="158" t="str">
        <f t="shared" si="154"/>
        <v>--</v>
      </c>
      <c r="AQ61" s="168">
        <f t="shared" si="155"/>
        <v>1</v>
      </c>
    </row>
    <row r="62" spans="1:43">
      <c r="A62" s="136" t="s">
        <v>195</v>
      </c>
      <c r="B62" s="185" t="s">
        <v>196</v>
      </c>
      <c r="C62" s="245">
        <f t="shared" si="124"/>
        <v>18.964103866714392</v>
      </c>
      <c r="D62" s="249" t="str">
        <f t="shared" si="125"/>
        <v>Noncancer</v>
      </c>
      <c r="E62" s="157" t="str">
        <f t="shared" si="126"/>
        <v>--</v>
      </c>
      <c r="F62" s="157" t="str">
        <f t="shared" si="127"/>
        <v>--</v>
      </c>
      <c r="G62" s="157" t="str">
        <f t="shared" si="128"/>
        <v>--</v>
      </c>
      <c r="H62" s="237" t="str">
        <f t="shared" si="129"/>
        <v>--</v>
      </c>
      <c r="I62" s="157">
        <f t="shared" si="130"/>
        <v>23.464285714285715</v>
      </c>
      <c r="J62" s="157" t="str">
        <f t="shared" si="131"/>
        <v>--</v>
      </c>
      <c r="K62" s="238">
        <f t="shared" si="77"/>
        <v>98.880260068629227</v>
      </c>
      <c r="L62" s="198">
        <f t="shared" si="132"/>
        <v>18.964103866714392</v>
      </c>
      <c r="M62" s="252">
        <f t="shared" si="133"/>
        <v>246.19881397375005</v>
      </c>
      <c r="N62" s="239" t="str">
        <f t="shared" si="134"/>
        <v>Noncancer</v>
      </c>
      <c r="O62" s="157" t="str">
        <f t="shared" si="135"/>
        <v>--</v>
      </c>
      <c r="P62" s="157" t="str">
        <f t="shared" si="79"/>
        <v>--</v>
      </c>
      <c r="Q62" s="157" t="str">
        <f t="shared" si="136"/>
        <v>--</v>
      </c>
      <c r="R62" s="240" t="str">
        <f t="shared" si="137"/>
        <v>--</v>
      </c>
      <c r="S62" s="157">
        <f t="shared" si="138"/>
        <v>350.4</v>
      </c>
      <c r="T62" s="157" t="str">
        <f t="shared" si="82"/>
        <v>--</v>
      </c>
      <c r="U62" s="157">
        <f t="shared" si="83"/>
        <v>827.89906436064643</v>
      </c>
      <c r="V62" s="254">
        <f t="shared" si="139"/>
        <v>246.19881397375005</v>
      </c>
      <c r="W62" s="256">
        <f t="shared" si="140"/>
        <v>80.402010050251249</v>
      </c>
      <c r="X62" s="241" t="str">
        <f t="shared" si="141"/>
        <v>Noncancer</v>
      </c>
      <c r="Y62" s="157" t="str">
        <f t="shared" si="142"/>
        <v>--</v>
      </c>
      <c r="Z62" s="157" t="str">
        <f t="shared" si="85"/>
        <v>--</v>
      </c>
      <c r="AA62" s="157" t="str">
        <f t="shared" si="143"/>
        <v>--</v>
      </c>
      <c r="AB62" s="242" t="str">
        <f t="shared" si="144"/>
        <v>--</v>
      </c>
      <c r="AC62" s="157">
        <f t="shared" si="145"/>
        <v>106.18181818181819</v>
      </c>
      <c r="AD62" s="157" t="str">
        <f t="shared" si="87"/>
        <v>--</v>
      </c>
      <c r="AE62" s="157">
        <f t="shared" si="146"/>
        <v>331.15962574425851</v>
      </c>
      <c r="AF62" s="382">
        <f t="shared" si="147"/>
        <v>80.402010050251249</v>
      </c>
      <c r="AG62" s="258" t="str">
        <f t="shared" si="148"/>
        <v>NV</v>
      </c>
      <c r="AH62" s="159" t="str">
        <f t="shared" si="89"/>
        <v>--</v>
      </c>
      <c r="AI62" s="159" t="str">
        <f t="shared" si="90"/>
        <v>--</v>
      </c>
      <c r="AJ62" s="159" t="str">
        <f t="shared" si="91"/>
        <v>--</v>
      </c>
      <c r="AK62" s="158" t="str">
        <f t="shared" si="149"/>
        <v>--</v>
      </c>
      <c r="AL62" s="158" t="str">
        <f t="shared" si="150"/>
        <v>--</v>
      </c>
      <c r="AM62" s="158">
        <f t="shared" si="151"/>
        <v>2.9999999999999997E-4</v>
      </c>
      <c r="AN62" s="158" t="str">
        <f t="shared" si="152"/>
        <v>--</v>
      </c>
      <c r="AO62" s="158" t="str">
        <f t="shared" si="153"/>
        <v>--</v>
      </c>
      <c r="AP62" s="158">
        <f t="shared" si="154"/>
        <v>0.1</v>
      </c>
      <c r="AQ62" s="168">
        <f t="shared" si="155"/>
        <v>1</v>
      </c>
    </row>
    <row r="63" spans="1:43">
      <c r="A63" s="136" t="s">
        <v>197</v>
      </c>
      <c r="B63" s="185" t="s">
        <v>198</v>
      </c>
      <c r="C63" s="245">
        <f t="shared" si="124"/>
        <v>5.7830690438689025</v>
      </c>
      <c r="D63" s="249" t="str">
        <f t="shared" si="125"/>
        <v>Cancer</v>
      </c>
      <c r="E63" s="157">
        <f t="shared" si="126"/>
        <v>63.203463203463208</v>
      </c>
      <c r="F63" s="157">
        <f t="shared" si="127"/>
        <v>6.3655082286853775</v>
      </c>
      <c r="G63" s="157" t="str">
        <f t="shared" si="128"/>
        <v>--</v>
      </c>
      <c r="H63" s="237">
        <f t="shared" si="129"/>
        <v>5.7830690438689025</v>
      </c>
      <c r="I63" s="157">
        <f t="shared" si="130"/>
        <v>3910.7142857142853</v>
      </c>
      <c r="J63" s="157">
        <f t="shared" si="131"/>
        <v>5910.8290694935649</v>
      </c>
      <c r="K63" s="238" t="str">
        <f t="shared" si="77"/>
        <v>--</v>
      </c>
      <c r="L63" s="198">
        <f t="shared" si="132"/>
        <v>2353.5571596521831</v>
      </c>
      <c r="M63" s="252">
        <f t="shared" si="133"/>
        <v>24.974336453276511</v>
      </c>
      <c r="N63" s="239" t="str">
        <f t="shared" si="134"/>
        <v>Cancer</v>
      </c>
      <c r="O63" s="157">
        <f t="shared" si="135"/>
        <v>297.30909090909091</v>
      </c>
      <c r="P63" s="157">
        <f t="shared" si="79"/>
        <v>27.264596771052634</v>
      </c>
      <c r="Q63" s="157" t="str">
        <f t="shared" si="136"/>
        <v>--</v>
      </c>
      <c r="R63" s="240">
        <f t="shared" si="137"/>
        <v>24.974336453276511</v>
      </c>
      <c r="S63" s="157">
        <f t="shared" si="138"/>
        <v>58400</v>
      </c>
      <c r="T63" s="157">
        <f t="shared" si="82"/>
        <v>24343.389974154139</v>
      </c>
      <c r="U63" s="157" t="str">
        <f t="shared" si="83"/>
        <v>--</v>
      </c>
      <c r="V63" s="254">
        <f t="shared" si="139"/>
        <v>17181.480900585193</v>
      </c>
      <c r="W63" s="256">
        <f t="shared" si="140"/>
        <v>143.9502195321173</v>
      </c>
      <c r="X63" s="241" t="str">
        <f t="shared" si="141"/>
        <v>Cancer</v>
      </c>
      <c r="Y63" s="157">
        <f t="shared" si="142"/>
        <v>2252.3415977961431</v>
      </c>
      <c r="Z63" s="157">
        <f t="shared" si="85"/>
        <v>153.77840699150934</v>
      </c>
      <c r="AA63" s="157" t="str">
        <f t="shared" si="143"/>
        <v>--</v>
      </c>
      <c r="AB63" s="242">
        <f t="shared" si="144"/>
        <v>143.9502195321173</v>
      </c>
      <c r="AC63" s="157">
        <f t="shared" si="145"/>
        <v>17696.9696969697</v>
      </c>
      <c r="AD63" s="157">
        <f t="shared" si="87"/>
        <v>5492.0859639824766</v>
      </c>
      <c r="AE63" s="157" t="str">
        <f t="shared" si="146"/>
        <v>--</v>
      </c>
      <c r="AF63" s="382">
        <f t="shared" si="147"/>
        <v>4191.3426876374842</v>
      </c>
      <c r="AG63" s="258" t="str">
        <f t="shared" si="148"/>
        <v>V</v>
      </c>
      <c r="AH63" s="159">
        <f t="shared" si="89"/>
        <v>5667.9419074566149</v>
      </c>
      <c r="AI63" s="159">
        <f t="shared" si="90"/>
        <v>5557.874305390691</v>
      </c>
      <c r="AJ63" s="159">
        <f t="shared" si="91"/>
        <v>1255.4000929356805</v>
      </c>
      <c r="AK63" s="158">
        <f t="shared" si="149"/>
        <v>1.0999999999999999E-2</v>
      </c>
      <c r="AL63" s="158">
        <f t="shared" si="150"/>
        <v>2.5000000000000002E-6</v>
      </c>
      <c r="AM63" s="158">
        <f t="shared" si="151"/>
        <v>0.05</v>
      </c>
      <c r="AN63" s="158">
        <f t="shared" si="152"/>
        <v>1000</v>
      </c>
      <c r="AO63" s="158" t="str">
        <f t="shared" si="153"/>
        <v>--</v>
      </c>
      <c r="AP63" s="158" t="str">
        <f t="shared" si="154"/>
        <v>--</v>
      </c>
      <c r="AQ63" s="168">
        <f t="shared" si="155"/>
        <v>1</v>
      </c>
    </row>
    <row r="64" spans="1:43">
      <c r="A64" s="136" t="s">
        <v>199</v>
      </c>
      <c r="B64" s="185" t="s">
        <v>200</v>
      </c>
      <c r="C64" s="245">
        <f t="shared" si="124"/>
        <v>0.13442642614676834</v>
      </c>
      <c r="D64" s="249" t="str">
        <f t="shared" si="125"/>
        <v>Cancer</v>
      </c>
      <c r="E64" s="157">
        <f t="shared" si="126"/>
        <v>0.15449735449735449</v>
      </c>
      <c r="F64" s="157">
        <f t="shared" si="127"/>
        <v>1.0347566814767277</v>
      </c>
      <c r="G64" s="157" t="str">
        <f t="shared" si="128"/>
        <v>--</v>
      </c>
      <c r="H64" s="237">
        <f t="shared" si="129"/>
        <v>0.13442642614676834</v>
      </c>
      <c r="I64" s="157">
        <f t="shared" si="130"/>
        <v>7.8214285714285712</v>
      </c>
      <c r="J64" s="157" t="str">
        <f t="shared" si="131"/>
        <v>--</v>
      </c>
      <c r="K64" s="238" t="str">
        <f t="shared" si="77"/>
        <v>--</v>
      </c>
      <c r="L64" s="198">
        <f t="shared" si="132"/>
        <v>7.8214285714285712</v>
      </c>
      <c r="M64" s="252">
        <f t="shared" si="133"/>
        <v>0.62437313395438043</v>
      </c>
      <c r="N64" s="239" t="str">
        <f t="shared" si="134"/>
        <v>Cancer</v>
      </c>
      <c r="O64" s="157">
        <f t="shared" si="135"/>
        <v>0.7267555555555556</v>
      </c>
      <c r="P64" s="157">
        <f t="shared" si="79"/>
        <v>4.4320757093302703</v>
      </c>
      <c r="Q64" s="157" t="str">
        <f t="shared" si="136"/>
        <v>--</v>
      </c>
      <c r="R64" s="240">
        <f t="shared" si="137"/>
        <v>0.62437313395438043</v>
      </c>
      <c r="S64" s="157">
        <f t="shared" si="138"/>
        <v>116.8</v>
      </c>
      <c r="T64" s="157" t="str">
        <f t="shared" si="82"/>
        <v>--</v>
      </c>
      <c r="U64" s="157" t="str">
        <f t="shared" si="83"/>
        <v>--</v>
      </c>
      <c r="V64" s="254">
        <f t="shared" si="139"/>
        <v>116.8</v>
      </c>
      <c r="W64" s="256">
        <f t="shared" si="140"/>
        <v>4.4324421803305647</v>
      </c>
      <c r="X64" s="241" t="str">
        <f t="shared" si="141"/>
        <v>Cancer</v>
      </c>
      <c r="Y64" s="157">
        <f t="shared" si="142"/>
        <v>5.5057239057239062</v>
      </c>
      <c r="Z64" s="157">
        <f t="shared" si="85"/>
        <v>22.737555569616511</v>
      </c>
      <c r="AA64" s="157" t="str">
        <f t="shared" si="143"/>
        <v>--</v>
      </c>
      <c r="AB64" s="242">
        <f t="shared" si="144"/>
        <v>4.4324421803305647</v>
      </c>
      <c r="AC64" s="157">
        <f t="shared" si="145"/>
        <v>35.393939393939391</v>
      </c>
      <c r="AD64" s="157" t="str">
        <f t="shared" si="87"/>
        <v>--</v>
      </c>
      <c r="AE64" s="157" t="str">
        <f t="shared" si="146"/>
        <v>--</v>
      </c>
      <c r="AF64" s="382">
        <f t="shared" si="147"/>
        <v>35.393939393939391</v>
      </c>
      <c r="AG64" s="258" t="str">
        <f t="shared" si="148"/>
        <v>V</v>
      </c>
      <c r="AH64" s="159">
        <f t="shared" si="89"/>
        <v>479275.35941156687</v>
      </c>
      <c r="AI64" s="159">
        <f t="shared" si="90"/>
        <v>469968.15577380289</v>
      </c>
      <c r="AJ64" s="159">
        <f t="shared" si="91"/>
        <v>106155.34537421829</v>
      </c>
      <c r="AK64" s="158">
        <f t="shared" si="149"/>
        <v>4.5</v>
      </c>
      <c r="AL64" s="158">
        <f t="shared" si="150"/>
        <v>1.2999999999999999E-3</v>
      </c>
      <c r="AM64" s="158">
        <f t="shared" si="151"/>
        <v>1E-4</v>
      </c>
      <c r="AN64" s="158" t="str">
        <f t="shared" si="152"/>
        <v>--</v>
      </c>
      <c r="AO64" s="158" t="str">
        <f t="shared" si="153"/>
        <v>--</v>
      </c>
      <c r="AP64" s="158" t="str">
        <f t="shared" si="154"/>
        <v>--</v>
      </c>
      <c r="AQ64" s="168">
        <f t="shared" si="155"/>
        <v>1</v>
      </c>
    </row>
    <row r="65" spans="1:43">
      <c r="A65" s="136" t="s">
        <v>201</v>
      </c>
      <c r="B65" s="185" t="s">
        <v>202</v>
      </c>
      <c r="C65" s="245">
        <f t="shared" si="124"/>
        <v>7.048121201676584E-2</v>
      </c>
      <c r="D65" s="249" t="str">
        <f t="shared" si="125"/>
        <v>Cancer</v>
      </c>
      <c r="E65" s="157">
        <f t="shared" si="126"/>
        <v>7.6399790685504981E-2</v>
      </c>
      <c r="F65" s="157">
        <f t="shared" si="127"/>
        <v>0.90980455726353227</v>
      </c>
      <c r="G65" s="157" t="str">
        <f t="shared" si="128"/>
        <v>--</v>
      </c>
      <c r="H65" s="237">
        <f t="shared" si="129"/>
        <v>7.048121201676584E-2</v>
      </c>
      <c r="I65" s="157">
        <f t="shared" si="130"/>
        <v>1.0167857142857144</v>
      </c>
      <c r="J65" s="157" t="str">
        <f t="shared" si="131"/>
        <v>--</v>
      </c>
      <c r="K65" s="238" t="str">
        <f t="shared" si="77"/>
        <v>--</v>
      </c>
      <c r="L65" s="198">
        <f t="shared" si="132"/>
        <v>1.0167857142857144</v>
      </c>
      <c r="M65" s="252">
        <f t="shared" si="133"/>
        <v>0.3290395362982575</v>
      </c>
      <c r="N65" s="239" t="str">
        <f t="shared" si="134"/>
        <v>Cancer</v>
      </c>
      <c r="O65" s="157">
        <f t="shared" si="135"/>
        <v>0.35938461538461541</v>
      </c>
      <c r="P65" s="157">
        <f t="shared" si="79"/>
        <v>3.8969002803503479</v>
      </c>
      <c r="Q65" s="157" t="str">
        <f t="shared" si="136"/>
        <v>--</v>
      </c>
      <c r="R65" s="240">
        <f t="shared" si="137"/>
        <v>0.3290395362982575</v>
      </c>
      <c r="S65" s="157">
        <f t="shared" si="138"/>
        <v>15.183999999999999</v>
      </c>
      <c r="T65" s="157" t="str">
        <f t="shared" si="82"/>
        <v>--</v>
      </c>
      <c r="U65" s="157" t="str">
        <f t="shared" si="83"/>
        <v>--</v>
      </c>
      <c r="V65" s="254">
        <f t="shared" si="139"/>
        <v>15.183999999999999</v>
      </c>
      <c r="W65" s="256">
        <f t="shared" si="140"/>
        <v>2.3765036031797138</v>
      </c>
      <c r="X65" s="241" t="str">
        <f t="shared" si="141"/>
        <v>Cancer</v>
      </c>
      <c r="Y65" s="157">
        <f t="shared" si="142"/>
        <v>2.7226107226107228</v>
      </c>
      <c r="Z65" s="157">
        <f t="shared" si="85"/>
        <v>18.694484536975445</v>
      </c>
      <c r="AA65" s="157" t="str">
        <f t="shared" si="143"/>
        <v>--</v>
      </c>
      <c r="AB65" s="242">
        <f t="shared" si="144"/>
        <v>2.3765036031797138</v>
      </c>
      <c r="AC65" s="157">
        <f t="shared" si="145"/>
        <v>4.6012121212121206</v>
      </c>
      <c r="AD65" s="157" t="str">
        <f t="shared" si="87"/>
        <v>--</v>
      </c>
      <c r="AE65" s="157" t="str">
        <f t="shared" si="146"/>
        <v>--</v>
      </c>
      <c r="AF65" s="382">
        <f t="shared" si="147"/>
        <v>4.6012121212121206</v>
      </c>
      <c r="AG65" s="258" t="str">
        <f t="shared" si="148"/>
        <v>V</v>
      </c>
      <c r="AH65" s="159">
        <f t="shared" si="89"/>
        <v>843026.19095226168</v>
      </c>
      <c r="AI65" s="159">
        <f t="shared" si="90"/>
        <v>826655.19194911129</v>
      </c>
      <c r="AJ65" s="159">
        <f t="shared" si="91"/>
        <v>186723.00735410862</v>
      </c>
      <c r="AK65" s="158">
        <f t="shared" si="149"/>
        <v>9.1</v>
      </c>
      <c r="AL65" s="158">
        <f t="shared" si="150"/>
        <v>2.5999999999999999E-3</v>
      </c>
      <c r="AM65" s="158">
        <f t="shared" si="151"/>
        <v>1.2999999999999999E-5</v>
      </c>
      <c r="AN65" s="158" t="str">
        <f t="shared" si="152"/>
        <v>--</v>
      </c>
      <c r="AO65" s="158" t="str">
        <f t="shared" si="153"/>
        <v>--</v>
      </c>
      <c r="AP65" s="158" t="str">
        <f t="shared" si="154"/>
        <v>--</v>
      </c>
      <c r="AQ65" s="168">
        <f t="shared" si="155"/>
        <v>1</v>
      </c>
    </row>
    <row r="66" spans="1:43">
      <c r="A66" s="136" t="s">
        <v>203</v>
      </c>
      <c r="B66" s="185" t="s">
        <v>204</v>
      </c>
      <c r="C66" s="245">
        <f t="shared" si="124"/>
        <v>0.19007108124524141</v>
      </c>
      <c r="D66" s="249" t="str">
        <f t="shared" si="125"/>
        <v>Cancer</v>
      </c>
      <c r="E66" s="157">
        <f t="shared" si="126"/>
        <v>0.38624338624338622</v>
      </c>
      <c r="F66" s="157">
        <f t="shared" si="127"/>
        <v>0.37423069504025097</v>
      </c>
      <c r="G66" s="157" t="str">
        <f t="shared" si="128"/>
        <v>--</v>
      </c>
      <c r="H66" s="237">
        <f t="shared" si="129"/>
        <v>0.19007108124524141</v>
      </c>
      <c r="I66" s="157">
        <f t="shared" si="130"/>
        <v>0.78214285714285725</v>
      </c>
      <c r="J66" s="157" t="str">
        <f t="shared" si="131"/>
        <v>--</v>
      </c>
      <c r="K66" s="238" t="str">
        <f t="shared" si="77"/>
        <v>--</v>
      </c>
      <c r="L66" s="198">
        <f t="shared" si="132"/>
        <v>0.78214285714285725</v>
      </c>
      <c r="M66" s="252">
        <f t="shared" si="133"/>
        <v>0.85159903447870477</v>
      </c>
      <c r="N66" s="239" t="str">
        <f t="shared" si="134"/>
        <v>Cancer</v>
      </c>
      <c r="O66" s="157">
        <f t="shared" si="135"/>
        <v>1.816888888888889</v>
      </c>
      <c r="P66" s="157">
        <f t="shared" si="79"/>
        <v>1.6028976337664702</v>
      </c>
      <c r="Q66" s="157" t="str">
        <f t="shared" si="136"/>
        <v>--</v>
      </c>
      <c r="R66" s="240">
        <f t="shared" si="137"/>
        <v>0.85159903447870477</v>
      </c>
      <c r="S66" s="157">
        <f t="shared" si="138"/>
        <v>11.680000000000003</v>
      </c>
      <c r="T66" s="157" t="str">
        <f t="shared" si="82"/>
        <v>--</v>
      </c>
      <c r="U66" s="157" t="str">
        <f t="shared" si="83"/>
        <v>--</v>
      </c>
      <c r="V66" s="254">
        <f t="shared" si="139"/>
        <v>11.680000000000003</v>
      </c>
      <c r="W66" s="256">
        <f t="shared" si="140"/>
        <v>3.53939393939394</v>
      </c>
      <c r="X66" s="241" t="str">
        <f t="shared" si="141"/>
        <v>Noncancer</v>
      </c>
      <c r="Y66" s="157">
        <f t="shared" si="142"/>
        <v>13.764309764309765</v>
      </c>
      <c r="Z66" s="157">
        <f t="shared" si="85"/>
        <v>8.9239466472876749</v>
      </c>
      <c r="AA66" s="157" t="str">
        <f t="shared" si="143"/>
        <v>--</v>
      </c>
      <c r="AB66" s="242">
        <f t="shared" si="144"/>
        <v>5.4139006429182341</v>
      </c>
      <c r="AC66" s="157">
        <f t="shared" si="145"/>
        <v>3.53939393939394</v>
      </c>
      <c r="AD66" s="157" t="str">
        <f t="shared" si="87"/>
        <v>--</v>
      </c>
      <c r="AE66" s="157" t="str">
        <f t="shared" si="146"/>
        <v>--</v>
      </c>
      <c r="AF66" s="382">
        <f t="shared" si="147"/>
        <v>3.53939393939394</v>
      </c>
      <c r="AG66" s="258" t="str">
        <f t="shared" si="148"/>
        <v>V</v>
      </c>
      <c r="AH66" s="159">
        <f t="shared" si="89"/>
        <v>67980.096692635067</v>
      </c>
      <c r="AI66" s="159">
        <f t="shared" si="90"/>
        <v>66659.969148398173</v>
      </c>
      <c r="AJ66" s="159">
        <f t="shared" si="91"/>
        <v>15057.00324723447</v>
      </c>
      <c r="AK66" s="158">
        <f t="shared" si="149"/>
        <v>1.8</v>
      </c>
      <c r="AL66" s="158">
        <f t="shared" si="150"/>
        <v>5.1000000000000004E-4</v>
      </c>
      <c r="AM66" s="158">
        <f t="shared" si="151"/>
        <v>1.0000000000000001E-5</v>
      </c>
      <c r="AN66" s="158" t="str">
        <f t="shared" si="152"/>
        <v>--</v>
      </c>
      <c r="AO66" s="158" t="str">
        <f t="shared" si="153"/>
        <v>--</v>
      </c>
      <c r="AP66" s="158" t="str">
        <f t="shared" si="154"/>
        <v>--</v>
      </c>
      <c r="AQ66" s="168">
        <f t="shared" si="155"/>
        <v>1</v>
      </c>
    </row>
    <row r="67" spans="1:43">
      <c r="A67" s="136" t="s">
        <v>205</v>
      </c>
      <c r="B67" s="185" t="s">
        <v>206</v>
      </c>
      <c r="C67" s="245">
        <f t="shared" si="124"/>
        <v>1.192768743795942</v>
      </c>
      <c r="D67" s="249" t="str">
        <f t="shared" si="125"/>
        <v>Cancer</v>
      </c>
      <c r="E67" s="157">
        <f t="shared" si="126"/>
        <v>8.9133089133089136</v>
      </c>
      <c r="F67" s="157">
        <f t="shared" si="127"/>
        <v>1.377043062035296</v>
      </c>
      <c r="G67" s="157" t="str">
        <f t="shared" si="128"/>
        <v>--</v>
      </c>
      <c r="H67" s="237">
        <f t="shared" si="129"/>
        <v>1.192768743795942</v>
      </c>
      <c r="I67" s="157">
        <f t="shared" si="130"/>
        <v>78.214285714285708</v>
      </c>
      <c r="J67" s="157" t="str">
        <f t="shared" si="131"/>
        <v>--</v>
      </c>
      <c r="K67" s="238" t="str">
        <f t="shared" si="77"/>
        <v>--</v>
      </c>
      <c r="L67" s="198">
        <f t="shared" si="132"/>
        <v>78.214285714285708</v>
      </c>
      <c r="M67" s="252">
        <f t="shared" si="133"/>
        <v>5.1707413585609912</v>
      </c>
      <c r="N67" s="239" t="str">
        <f t="shared" si="134"/>
        <v>Cancer</v>
      </c>
      <c r="O67" s="157">
        <f t="shared" si="135"/>
        <v>41.928205128205136</v>
      </c>
      <c r="P67" s="157">
        <f t="shared" si="79"/>
        <v>5.8981192419941051</v>
      </c>
      <c r="Q67" s="157" t="str">
        <f t="shared" si="136"/>
        <v>--</v>
      </c>
      <c r="R67" s="240">
        <f t="shared" si="137"/>
        <v>5.1707413585609912</v>
      </c>
      <c r="S67" s="157">
        <f t="shared" si="138"/>
        <v>1168</v>
      </c>
      <c r="T67" s="157" t="str">
        <f t="shared" si="82"/>
        <v>--</v>
      </c>
      <c r="U67" s="157" t="str">
        <f t="shared" si="83"/>
        <v>--</v>
      </c>
      <c r="V67" s="254">
        <f t="shared" si="139"/>
        <v>1168</v>
      </c>
      <c r="W67" s="256">
        <f t="shared" si="140"/>
        <v>30.083646636312903</v>
      </c>
      <c r="X67" s="241" t="str">
        <f t="shared" si="141"/>
        <v>Cancer</v>
      </c>
      <c r="Y67" s="157">
        <f t="shared" si="142"/>
        <v>317.63791763791767</v>
      </c>
      <c r="Z67" s="157">
        <f t="shared" si="85"/>
        <v>33.230968328966497</v>
      </c>
      <c r="AA67" s="157" t="str">
        <f t="shared" si="143"/>
        <v>--</v>
      </c>
      <c r="AB67" s="242">
        <f t="shared" si="144"/>
        <v>30.083646636312903</v>
      </c>
      <c r="AC67" s="157">
        <f t="shared" si="145"/>
        <v>353.93939393939394</v>
      </c>
      <c r="AD67" s="157" t="str">
        <f t="shared" si="87"/>
        <v>--</v>
      </c>
      <c r="AE67" s="157" t="str">
        <f t="shared" si="146"/>
        <v>--</v>
      </c>
      <c r="AF67" s="382">
        <f t="shared" si="147"/>
        <v>353.93939393939394</v>
      </c>
      <c r="AG67" s="258" t="str">
        <f t="shared" si="148"/>
        <v>V</v>
      </c>
      <c r="AH67" s="159">
        <f t="shared" si="89"/>
        <v>10790.066859545672</v>
      </c>
      <c r="AI67" s="159">
        <f t="shared" si="90"/>
        <v>10580.531051883499</v>
      </c>
      <c r="AJ67" s="159">
        <f t="shared" si="91"/>
        <v>2389.9064527170303</v>
      </c>
      <c r="AK67" s="158">
        <f t="shared" si="149"/>
        <v>7.8E-2</v>
      </c>
      <c r="AL67" s="158">
        <f t="shared" si="150"/>
        <v>2.1999999999999999E-5</v>
      </c>
      <c r="AM67" s="158">
        <f t="shared" si="151"/>
        <v>1E-3</v>
      </c>
      <c r="AN67" s="158" t="str">
        <f t="shared" si="152"/>
        <v>--</v>
      </c>
      <c r="AO67" s="158" t="str">
        <f t="shared" si="153"/>
        <v>--</v>
      </c>
      <c r="AP67" s="158" t="str">
        <f t="shared" si="154"/>
        <v>--</v>
      </c>
      <c r="AQ67" s="168">
        <f t="shared" si="155"/>
        <v>1</v>
      </c>
    </row>
    <row r="68" spans="1:43">
      <c r="A68" s="306" t="s">
        <v>1123</v>
      </c>
      <c r="B68" s="185" t="s">
        <v>208</v>
      </c>
      <c r="C68" s="245">
        <f t="shared" si="124"/>
        <v>5.7147032268502325E-2</v>
      </c>
      <c r="D68" s="249" t="str">
        <f t="shared" si="125"/>
        <v>Noncancer</v>
      </c>
      <c r="E68" s="157">
        <f t="shared" si="126"/>
        <v>0.63203463203463206</v>
      </c>
      <c r="F68" s="157">
        <f t="shared" si="127"/>
        <v>12317.617866004965</v>
      </c>
      <c r="G68" s="157">
        <f t="shared" si="128"/>
        <v>5.6164214931987431</v>
      </c>
      <c r="H68" s="237">
        <f t="shared" si="129"/>
        <v>0.56807779525574476</v>
      </c>
      <c r="I68" s="157">
        <f t="shared" si="130"/>
        <v>6.257142857142857E-2</v>
      </c>
      <c r="J68" s="157" t="str">
        <f t="shared" si="131"/>
        <v>--</v>
      </c>
      <c r="K68" s="238">
        <f t="shared" si="77"/>
        <v>0.65920173379086144</v>
      </c>
      <c r="L68" s="198">
        <f t="shared" si="132"/>
        <v>5.7147032268502325E-2</v>
      </c>
      <c r="M68" s="252">
        <f t="shared" si="133"/>
        <v>0.79911331262571672</v>
      </c>
      <c r="N68" s="239" t="str">
        <f t="shared" si="134"/>
        <v>Noncancer</v>
      </c>
      <c r="O68" s="157">
        <f t="shared" si="135"/>
        <v>2.9730909090909092</v>
      </c>
      <c r="P68" s="157">
        <f t="shared" si="79"/>
        <v>53803.354838709689</v>
      </c>
      <c r="Q68" s="157">
        <f t="shared" si="136"/>
        <v>17.561495304619775</v>
      </c>
      <c r="R68" s="240">
        <f t="shared" si="137"/>
        <v>2.5425131136289387</v>
      </c>
      <c r="S68" s="157">
        <f t="shared" si="138"/>
        <v>0.93440000000000001</v>
      </c>
      <c r="T68" s="157" t="str">
        <f t="shared" si="82"/>
        <v>--</v>
      </c>
      <c r="U68" s="157">
        <f t="shared" si="83"/>
        <v>5.5193270957376432</v>
      </c>
      <c r="V68" s="254">
        <f t="shared" si="139"/>
        <v>0.79911331262571672</v>
      </c>
      <c r="W68" s="256">
        <f t="shared" si="140"/>
        <v>0.25096421396418173</v>
      </c>
      <c r="X68" s="241" t="str">
        <f t="shared" si="141"/>
        <v>Noncancer</v>
      </c>
      <c r="Y68" s="157">
        <f t="shared" si="142"/>
        <v>22.523415977961434</v>
      </c>
      <c r="Z68" s="157">
        <f t="shared" si="85"/>
        <v>1038.4838709677422</v>
      </c>
      <c r="AA68" s="157">
        <f t="shared" si="143"/>
        <v>175.61495304619774</v>
      </c>
      <c r="AB68" s="242">
        <f t="shared" si="144"/>
        <v>19.586544908198761</v>
      </c>
      <c r="AC68" s="157">
        <f t="shared" si="145"/>
        <v>0.28315151515151515</v>
      </c>
      <c r="AD68" s="157" t="str">
        <f t="shared" si="87"/>
        <v>--</v>
      </c>
      <c r="AE68" s="157">
        <f t="shared" si="146"/>
        <v>2.2077308382950571</v>
      </c>
      <c r="AF68" s="382">
        <f t="shared" si="147"/>
        <v>0.25096421396418173</v>
      </c>
      <c r="AG68" s="258" t="str">
        <f t="shared" si="148"/>
        <v>NV</v>
      </c>
      <c r="AH68" s="159" t="str">
        <f t="shared" si="89"/>
        <v>--</v>
      </c>
      <c r="AI68" s="159" t="str">
        <f t="shared" si="90"/>
        <v>--</v>
      </c>
      <c r="AJ68" s="159" t="str">
        <f t="shared" si="91"/>
        <v>--</v>
      </c>
      <c r="AK68" s="158">
        <f t="shared" si="149"/>
        <v>1.1000000000000001</v>
      </c>
      <c r="AL68" s="158">
        <f t="shared" si="150"/>
        <v>3.1E-4</v>
      </c>
      <c r="AM68" s="158">
        <f t="shared" si="151"/>
        <v>7.9999999999999996E-7</v>
      </c>
      <c r="AN68" s="158" t="str">
        <f t="shared" si="152"/>
        <v>--</v>
      </c>
      <c r="AO68" s="158" t="str">
        <f t="shared" si="153"/>
        <v>--</v>
      </c>
      <c r="AP68" s="158">
        <f t="shared" si="154"/>
        <v>0.04</v>
      </c>
      <c r="AQ68" s="168">
        <f t="shared" si="155"/>
        <v>1</v>
      </c>
    </row>
    <row r="69" spans="1:43">
      <c r="A69" s="136" t="s">
        <v>209</v>
      </c>
      <c r="B69" s="185" t="s">
        <v>210</v>
      </c>
      <c r="C69" s="245">
        <f t="shared" si="124"/>
        <v>1.8288729212574506</v>
      </c>
      <c r="D69" s="249" t="str">
        <f t="shared" si="125"/>
        <v>Cancer</v>
      </c>
      <c r="E69" s="157">
        <f t="shared" si="126"/>
        <v>17.38095238095238</v>
      </c>
      <c r="F69" s="157">
        <f t="shared" si="127"/>
        <v>2.0439423060800492</v>
      </c>
      <c r="G69" s="157" t="str">
        <f t="shared" si="128"/>
        <v>--</v>
      </c>
      <c r="H69" s="237">
        <f t="shared" si="129"/>
        <v>1.8288729212574506</v>
      </c>
      <c r="I69" s="157">
        <f t="shared" si="130"/>
        <v>54.75</v>
      </c>
      <c r="J69" s="157">
        <f t="shared" si="131"/>
        <v>250.52892837381174</v>
      </c>
      <c r="K69" s="238" t="str">
        <f t="shared" si="77"/>
        <v>--</v>
      </c>
      <c r="L69" s="198">
        <f t="shared" si="132"/>
        <v>44.930905980089442</v>
      </c>
      <c r="M69" s="252">
        <f t="shared" si="133"/>
        <v>7.9078250019153149</v>
      </c>
      <c r="N69" s="239" t="str">
        <f t="shared" si="134"/>
        <v>Cancer</v>
      </c>
      <c r="O69" s="157">
        <f t="shared" si="135"/>
        <v>81.760000000000005</v>
      </c>
      <c r="P69" s="157">
        <f t="shared" si="79"/>
        <v>8.7545664318398728</v>
      </c>
      <c r="Q69" s="157" t="str">
        <f t="shared" si="136"/>
        <v>--</v>
      </c>
      <c r="R69" s="240">
        <f t="shared" si="137"/>
        <v>7.9078250019153149</v>
      </c>
      <c r="S69" s="157">
        <f t="shared" si="138"/>
        <v>817.6</v>
      </c>
      <c r="T69" s="157">
        <f t="shared" si="82"/>
        <v>1031.7881866096993</v>
      </c>
      <c r="U69" s="157" t="str">
        <f t="shared" si="83"/>
        <v>--</v>
      </c>
      <c r="V69" s="254">
        <f t="shared" si="139"/>
        <v>456.14545798443783</v>
      </c>
      <c r="W69" s="256">
        <f t="shared" si="140"/>
        <v>45.711181593673729</v>
      </c>
      <c r="X69" s="241" t="str">
        <f t="shared" si="141"/>
        <v>Cancer</v>
      </c>
      <c r="Y69" s="157">
        <f t="shared" si="142"/>
        <v>619.39393939393938</v>
      </c>
      <c r="Z69" s="157">
        <f t="shared" si="85"/>
        <v>49.353459654638748</v>
      </c>
      <c r="AA69" s="157" t="str">
        <f t="shared" si="143"/>
        <v>--</v>
      </c>
      <c r="AB69" s="242">
        <f t="shared" si="144"/>
        <v>45.711181593673729</v>
      </c>
      <c r="AC69" s="157">
        <f t="shared" si="145"/>
        <v>247.75757575757575</v>
      </c>
      <c r="AD69" s="157">
        <f t="shared" si="87"/>
        <v>232.66630980043982</v>
      </c>
      <c r="AE69" s="157" t="str">
        <f t="shared" si="146"/>
        <v>--</v>
      </c>
      <c r="AF69" s="382">
        <f t="shared" si="147"/>
        <v>119.98745817906864</v>
      </c>
      <c r="AG69" s="258" t="str">
        <f t="shared" si="148"/>
        <v>V</v>
      </c>
      <c r="AH69" s="159">
        <f t="shared" si="89"/>
        <v>8007.8211168902399</v>
      </c>
      <c r="AI69" s="159">
        <f t="shared" si="90"/>
        <v>7852.3146416122499</v>
      </c>
      <c r="AJ69" s="159">
        <f t="shared" si="91"/>
        <v>1773.6630929704463</v>
      </c>
      <c r="AK69" s="158">
        <f t="shared" si="149"/>
        <v>0.04</v>
      </c>
      <c r="AL69" s="158">
        <f t="shared" si="150"/>
        <v>1.1E-5</v>
      </c>
      <c r="AM69" s="158">
        <f t="shared" si="151"/>
        <v>6.9999999999999999E-4</v>
      </c>
      <c r="AN69" s="158">
        <f t="shared" si="152"/>
        <v>30</v>
      </c>
      <c r="AO69" s="158" t="str">
        <f t="shared" si="153"/>
        <v>--</v>
      </c>
      <c r="AP69" s="158" t="str">
        <f t="shared" si="154"/>
        <v>--</v>
      </c>
      <c r="AQ69" s="168">
        <f t="shared" si="155"/>
        <v>1</v>
      </c>
    </row>
    <row r="70" spans="1:43">
      <c r="A70" s="896" t="s">
        <v>211</v>
      </c>
      <c r="B70" s="346" t="s">
        <v>212</v>
      </c>
      <c r="C70" s="245">
        <f t="shared" ref="C70" si="156">IF(AND(H70="--", L70="--"),"--",IF(H70="--",L70,IF(L70="--",H70,MIN(H70,L70))))</f>
        <v>80</v>
      </c>
      <c r="D70" s="249" t="str">
        <f t="shared" ref="D70" si="157">IF(C70="--","--",IF(C70=H70,"Cancer","Noncancer"))</f>
        <v>Noncancer</v>
      </c>
      <c r="E70" s="157" t="str">
        <f t="shared" ref="E70" si="158">IF(AK70="--","--",
IF(AO70="--",
TR*365*LT/(AK70*IFSadj*0.000001),
TR*365*LT/(AK70*IFSmadj*0.000001)))</f>
        <v>--</v>
      </c>
      <c r="F70" s="157" t="str">
        <f t="shared" ref="F70" si="159">IF(AL70="--", "--",
IF(AO70="--",
IF(AND(AG70="V",AH70&lt;&gt;"--"),(TR*365*LT)/(AL70*1000*EFr*(1/AH70+1/PEFr)*EDr*ETr*(1/24)),(TR*365*LT)/(AL70*1000*EFr*(1/PEFr)*EDr*ETr*(1/24))),
IF(AND(AG70="V",AH70&lt;&gt;"--"),(TR*365*LT)/(AL70*1000*(1/AH70+1/PEFr)*TETmadj),(TR*365*LT)/(AL70*1000*(1/PEFr)*TETmadj))))</f>
        <v>--</v>
      </c>
      <c r="G70" s="157" t="str">
        <f t="shared" ref="G70" si="160">IF(OR(AK70="--",AP70="--"),"--",
IF(AO70="--",
(TR*365*LT)/((AK70/AQ70)*DFSadj*AP70*0.000001),
(TR*365*LT)/((AK70/AQ70)*DFSmadj*AP70*0.000001)))</f>
        <v>--</v>
      </c>
      <c r="H70" s="237" t="str">
        <f t="shared" ref="H70" si="161">IF(AND(E70="--",F70="--"),G70,IF(AND(E70="--",G70="--"),F70,IF(AND(F70="--",G70="--"),E70,IF(E70="--",1/(1/F70+1/G70),IF(F70="--",1/(1/E70+1/G70),IF(G70="--",1/(1/E70+1/F70),1/(1/E70+1/F70+1/G70)))))))</f>
        <v>--</v>
      </c>
      <c r="I70" s="2664" t="s">
        <v>890</v>
      </c>
      <c r="J70" s="2665"/>
      <c r="K70" s="2666"/>
      <c r="L70" s="342">
        <v>80</v>
      </c>
      <c r="M70" s="252">
        <f>IF(AND(R70="--", V70="--"),"--",IF(R70="--",V70,IF(V70="--",R70,MIN(R70,V70))))</f>
        <v>499</v>
      </c>
      <c r="N70" s="239" t="str">
        <f>IF(M70="--","--",IF(M70=R70,"Cancer","Noncancer"))</f>
        <v>Noncancer</v>
      </c>
      <c r="O70" s="157" t="str">
        <f t="shared" ref="O70" si="162">IF(AK70="--","--",(TR*365*LT*BWa)/(AK70*EFci*EDci*IRSci*0.000001))</f>
        <v>--</v>
      </c>
      <c r="P70" s="157" t="str">
        <f t="shared" ref="P70:P99" si="163">IF(AL70="--","--",IF(AND(AG70="V",AI70&lt;&gt;"--"),
(TR*365*LT)/(AL70*1000*EFci*(1/AI70+1/PEFc)*EDci*ETw*(1/24)),
(TR*365*LT)/(AL70*1000*EFci*(1/PEFc)*EDci*ETw*(1/24))))</f>
        <v>--</v>
      </c>
      <c r="Q70" s="157" t="str">
        <f t="shared" ref="Q70" si="164">IF(OR(AK70="--",AP70="--"),"--",(TR*365*LT*BWa)/((AK70/AQ70)*EFci*EDci*AdFci*SAci*AP70*0.000001))</f>
        <v>--</v>
      </c>
      <c r="R70" s="240" t="str">
        <f>IF(AND(O70="--",P70="--"),Q70,IF(AND(O70="--",Q70="--"),P70,IF(AND(P70="--",Q70="--"),O70,IF(O70="--",1/(1/P70+1/Q70),IF(P70="--",1/(1/O70+1/Q70),IF(Q70="--",1/(1/O70+1/P70),1/(1/O70+1/P70+1/Q70)))))))</f>
        <v>--</v>
      </c>
      <c r="S70" s="2664" t="s">
        <v>890</v>
      </c>
      <c r="T70" s="2665"/>
      <c r="U70" s="2666"/>
      <c r="V70" s="1999">
        <v>499</v>
      </c>
      <c r="W70" s="256">
        <f>IF(AND(AB70="--", AF70="--"),"--",IF(AB70="--",AF70,IF(AF70="--",AB70,MIN(AB70,AF70))))</f>
        <v>151</v>
      </c>
      <c r="X70" s="241" t="str">
        <f>IF(W70="--","--",IF(W70=AB70,"Cancer","Noncancer"))</f>
        <v>Noncancer</v>
      </c>
      <c r="Y70" s="157" t="str">
        <f t="shared" ref="Y70" si="165">IF(AK70="--","--",(TR*365*LT*BWct)/(AK70*EFct*EDct*IRSct*0.000001))</f>
        <v>--</v>
      </c>
      <c r="Z70" s="157" t="str">
        <f t="shared" ref="Z70:Z99" si="166">IF(AL70="--","--",IF(AND(AG70="V",AJ70&lt;&gt;"--"),
(TR*365*LT)/(AL70*1000*EFct*(1/AJ70+1/PEFct)*EDct*ETw*(1/24)),
(TR*365*LT)/(AL70*1000*EFct*(1/PEFct)*EDct*ETw*(1/24))))</f>
        <v>--</v>
      </c>
      <c r="AA70" s="157" t="str">
        <f t="shared" ref="AA70" si="167">IF(OR(AK70="--",AP70="--"),"--",(TR*365*LT*BWct)/((AK70/AQ70)*EFct*EDct*SAct*AdFct*AP70*0.000001))</f>
        <v>--</v>
      </c>
      <c r="AB70" s="242" t="str">
        <f>IF(AND(Y70="--",Z70="--"),AA70,IF(AND(Y70="--",AA70="--"),Z70,IF(AND(Z70="--",AA70="--"),Y70,IF(Y70="--",1/(1/Z70+1/AA70),IF(Z70="--",1/(1/Y70+1/AA70),IF(AA70="--",1/(1/Y70+1/Z70),1/(1/Y70+1/Z70+1/AA70)))))))</f>
        <v>--</v>
      </c>
      <c r="AC70" s="2664" t="s">
        <v>890</v>
      </c>
      <c r="AD70" s="2665"/>
      <c r="AE70" s="2666"/>
      <c r="AF70" s="561">
        <v>151</v>
      </c>
      <c r="AG70" s="258" t="str">
        <f t="shared" ref="AG70" si="168">VLOOKUP(A70,Table_IP_1,MATCH("volatility",heading_IP_1,0),FALSE)</f>
        <v>NV</v>
      </c>
      <c r="AH70" s="159" t="str">
        <f t="shared" ref="AH70:AH101" si="169">VLOOKUP($A70, Table_IP_1, MATCH("VFr", heading_IP_1, 0), FALSE)</f>
        <v>--</v>
      </c>
      <c r="AI70" s="159" t="str">
        <f t="shared" ref="AI70:AI101" si="170">VLOOKUP($A70, Table_IP_1, MATCH("VFc", heading_IP_1, 0), FALSE)</f>
        <v>--</v>
      </c>
      <c r="AJ70" s="159" t="str">
        <f t="shared" ref="AJ70:AJ101" si="171">VLOOKUP($A70, Table_IP_1, MATCH("VFcw", heading_IP_1, 0), FALSE)</f>
        <v>--</v>
      </c>
      <c r="AK70" s="158" t="str">
        <f t="shared" ref="AK70" si="172">VLOOKUP(A70,Table_IP_2,MATCH("SFo",heading_IP_2,0),FALSE)</f>
        <v>--</v>
      </c>
      <c r="AL70" s="158" t="str">
        <f t="shared" ref="AL70" si="173">VLOOKUP(A70,Table_IP_2,MATCH("IUR",heading_IP_2,0),FALSE)</f>
        <v>--</v>
      </c>
      <c r="AM70" s="158" t="str">
        <f t="shared" ref="AM70" si="174">VLOOKUP(A70,Table_IP_2,MATCH("RfDo",heading_IP_2,0),FALSE)</f>
        <v>--</v>
      </c>
      <c r="AN70" s="158" t="str">
        <f t="shared" ref="AN70" si="175">VLOOKUP(A70,Table_IP_2,MATCH("RfC",heading_IP_2,0),FALSE)</f>
        <v>--</v>
      </c>
      <c r="AO70" s="158" t="str">
        <f t="shared" ref="AO70" si="176">VLOOKUP(A70,Table_IP_2,MATCH("mut",heading_IP_2,0),FALSE)</f>
        <v>--</v>
      </c>
      <c r="AP70" s="158" t="str">
        <f t="shared" ref="AP70" si="177">VLOOKUP(A70,Table_IP_2,MATCH("abs",heading_IP_2,0),FALSE)</f>
        <v>--</v>
      </c>
      <c r="AQ70" s="168">
        <f t="shared" ref="AQ70" si="178">VLOOKUP(A70,Table_IP_2,MATCH("GIABS",heading_IP_2,0),FALSE)</f>
        <v>1</v>
      </c>
    </row>
    <row r="71" spans="1:43">
      <c r="A71" s="136" t="s">
        <v>213</v>
      </c>
      <c r="B71" s="185" t="s">
        <v>214</v>
      </c>
      <c r="C71" s="245">
        <f t="shared" si="124"/>
        <v>0.67343406898547586</v>
      </c>
      <c r="D71" s="249" t="str">
        <f t="shared" si="125"/>
        <v>Noncancer</v>
      </c>
      <c r="E71" s="157" t="str">
        <f t="shared" si="126"/>
        <v>--</v>
      </c>
      <c r="F71" s="157" t="str">
        <f t="shared" si="127"/>
        <v>--</v>
      </c>
      <c r="G71" s="157" t="str">
        <f t="shared" si="128"/>
        <v>--</v>
      </c>
      <c r="H71" s="237" t="str">
        <f t="shared" si="129"/>
        <v>--</v>
      </c>
      <c r="I71" s="157">
        <f>IF(AM71="--","--",(THQ*365*EDc*BWc)/(EFr*EDc*(1/AM71)*IRSc*0.000001))</f>
        <v>12.514285714285716</v>
      </c>
      <c r="J71" s="157">
        <f t="shared" si="131"/>
        <v>0.71173481447706721</v>
      </c>
      <c r="K71" s="238" t="str">
        <f t="shared" ref="K71:K99" si="179">IF(OR(AM71="--",AQ71="--",AP71="--"),"--",THQ*365*EDc*BWc/(EFr*EDc*(1/(AM71*AQ71))*SAc*AdFc*AP71*0.000001))</f>
        <v>--</v>
      </c>
      <c r="L71" s="198">
        <f t="shared" si="132"/>
        <v>0.67343406898547586</v>
      </c>
      <c r="M71" s="252">
        <f t="shared" si="133"/>
        <v>2.8859704305571778</v>
      </c>
      <c r="N71" s="239" t="str">
        <f t="shared" si="134"/>
        <v>Noncancer</v>
      </c>
      <c r="O71" s="157" t="str">
        <f t="shared" si="135"/>
        <v>--</v>
      </c>
      <c r="P71" s="157" t="str">
        <f t="shared" si="163"/>
        <v>--</v>
      </c>
      <c r="Q71" s="157" t="str">
        <f t="shared" si="136"/>
        <v>--</v>
      </c>
      <c r="R71" s="240" t="str">
        <f t="shared" si="137"/>
        <v>--</v>
      </c>
      <c r="S71" s="157">
        <f t="shared" si="138"/>
        <v>186.88000000000005</v>
      </c>
      <c r="T71" s="157">
        <f t="shared" ref="T71:T99" si="180">IF(AN71="--","--",IF(AND(AG71="V",AI71&lt;&gt;"--"),
(THQ*EDci*365)/(EFci*EDci*(ETw/24)*(1/(AN71/1000))*((1/AI71)+(1/PEFc))),
(THQ*EDci*365)/(EFci*EDci*(ETw/24)*(1/(AN71/1000))*1/PEFc)))</f>
        <v>2.9312372544076055</v>
      </c>
      <c r="U71" s="157" t="str">
        <f t="shared" ref="U71:U99" si="181">IF(OR(AM71="--",AP71="--"),"--",(THQ*EDci*365*BWa)/(EFci*EDci*(1/(AM71*AQ71))*SAci*AdFci*AP71*0.000001))</f>
        <v>--</v>
      </c>
      <c r="V71" s="254">
        <f t="shared" si="139"/>
        <v>2.8859704305571778</v>
      </c>
      <c r="W71" s="256">
        <f t="shared" si="140"/>
        <v>0.65137049501684874</v>
      </c>
      <c r="X71" s="241" t="str">
        <f t="shared" si="141"/>
        <v>Noncancer</v>
      </c>
      <c r="Y71" s="157" t="str">
        <f t="shared" si="142"/>
        <v>--</v>
      </c>
      <c r="Z71" s="157" t="str">
        <f t="shared" si="166"/>
        <v>--</v>
      </c>
      <c r="AA71" s="157" t="str">
        <f t="shared" si="143"/>
        <v>--</v>
      </c>
      <c r="AB71" s="242" t="str">
        <f t="shared" si="144"/>
        <v>--</v>
      </c>
      <c r="AC71" s="157">
        <f t="shared" si="145"/>
        <v>56.63030303030304</v>
      </c>
      <c r="AD71" s="157">
        <f t="shared" ref="AD71:AD99" si="182">IF(AN71="--","--",IF(AND(AG71="V",AJ71&lt;&gt;"--"),
(THQ*EDct*365)/(EFct*EDct*(ETw/24)*(1/(AN71/1000))*(1/AJ71+1/PEFct)),
(THQ*EDct*365)/(EFct*EDct*(ETw/24)*(1/(AN71/1000))*1/PEFct)))</f>
        <v>0.65894983786178496</v>
      </c>
      <c r="AE71" s="157" t="str">
        <f t="shared" si="146"/>
        <v>--</v>
      </c>
      <c r="AF71" s="382">
        <f t="shared" si="147"/>
        <v>0.65137049501684874</v>
      </c>
      <c r="AG71" s="258" t="str">
        <f t="shared" si="148"/>
        <v>V</v>
      </c>
      <c r="AH71" s="159">
        <f t="shared" si="169"/>
        <v>22749.895168777199</v>
      </c>
      <c r="AI71" s="159">
        <f t="shared" si="170"/>
        <v>22308.107576497147</v>
      </c>
      <c r="AJ71" s="159">
        <f t="shared" si="171"/>
        <v>5038.9049456535013</v>
      </c>
      <c r="AK71" s="158" t="str">
        <f t="shared" si="149"/>
        <v>--</v>
      </c>
      <c r="AL71" s="158" t="str">
        <f t="shared" si="150"/>
        <v>--</v>
      </c>
      <c r="AM71" s="158">
        <f t="shared" ref="AM71" si="183">VLOOKUP(A71,Table_IP_2,MATCH("RfDo",heading_IP_2,0),FALSE)</f>
        <v>1.6000000000000001E-4</v>
      </c>
      <c r="AN71" s="158">
        <f t="shared" ref="AN71" si="184">VLOOKUP(A71,Table_IP_2,MATCH("RfC",heading_IP_2,0),FALSE)</f>
        <v>0.03</v>
      </c>
      <c r="AO71" s="158" t="str">
        <f t="shared" si="153"/>
        <v>--</v>
      </c>
      <c r="AP71" s="158" t="str">
        <f t="shared" si="154"/>
        <v>--</v>
      </c>
      <c r="AQ71" s="168">
        <f t="shared" si="155"/>
        <v>1</v>
      </c>
    </row>
    <row r="72" spans="1:43">
      <c r="A72" s="136" t="s">
        <v>215</v>
      </c>
      <c r="B72" s="185" t="s">
        <v>216</v>
      </c>
      <c r="C72" s="245">
        <f t="shared" ref="C72:C95" si="185">IF(AND(H72="--", L72="--"),"--",IF(H72="--",L72,IF(L72="--",H72,MIN(H72,L72))))</f>
        <v>316.06839777857317</v>
      </c>
      <c r="D72" s="249" t="str">
        <f t="shared" ref="D72:D95" si="186">IF(C72="--","--",IF(C72=H72,"Cancer","Noncancer"))</f>
        <v>Noncancer</v>
      </c>
      <c r="E72" s="157" t="str">
        <f t="shared" ref="E72:E95" si="187">IF(AK72="--","--",
IF(AO72="--",
TR*365*LT/(AK72*IFSadj*0.000001),
TR*365*LT/(AK72*IFSmadj*0.000001)))</f>
        <v>--</v>
      </c>
      <c r="F72" s="157" t="str">
        <f t="shared" ref="F72:F95" si="188">IF(AL72="--", "--",
IF(AO72="--",
IF(AND(AG72="V",AH72&lt;&gt;"--"),(TR*365*LT)/(AL72*1000*EFr*(1/AH72+1/PEFr)*EDr*ETr*(1/24)),(TR*365*LT)/(AL72*1000*EFr*(1/PEFr)*EDr*ETr*(1/24))),
IF(AND(AG72="V",AH72&lt;&gt;"--"),(TR*365*LT)/(AL72*1000*(1/AH72+1/PEFr)*TETmadj),(TR*365*LT)/(AL72*1000*(1/PEFr)*TETmadj))))</f>
        <v>--</v>
      </c>
      <c r="G72" s="157" t="str">
        <f t="shared" ref="G72:G95" si="189">IF(OR(AK72="--",AP72="--"),"--",
IF(AO72="--",
(TR*365*LT)/((AK72/AQ72)*DFSadj*AP72*0.000001),
(TR*365*LT)/((AK72/AQ72)*DFSmadj*AP72*0.000001)))</f>
        <v>--</v>
      </c>
      <c r="H72" s="237" t="str">
        <f t="shared" ref="H72:H95" si="190">IF(AND(E72="--",F72="--"),G72,IF(AND(E72="--",G72="--"),F72,IF(AND(F72="--",G72="--"),E72,IF(E72="--",1/(1/F72+1/G72),IF(F72="--",1/(1/E72+1/G72),IF(G72="--",1/(1/E72+1/F72),1/(1/E72+1/F72+1/G72)))))))</f>
        <v>--</v>
      </c>
      <c r="I72" s="157">
        <f t="shared" ref="I72:I95" si="191">IF(AM72="--","--",(THQ*365*EDc*BWc)/(EFr*EDc*(1/AM72)*IRSc*0.000001))</f>
        <v>391.07142857142856</v>
      </c>
      <c r="J72" s="157" t="str">
        <f t="shared" ref="J72:J95" si="192">IF(AN72="--","--",IF(AND(AG72="V",AH72&lt;&gt;"--"),
(THQ*365*EDc)/(EFr*EDc*(1/(AN72/1000))*(1/AH72+1/PEFr)),
(THQ*365*EDc)/(EFr*EDc*(1/(AN72/1000))*1/PEFr)))</f>
        <v>--</v>
      </c>
      <c r="K72" s="238">
        <f t="shared" si="179"/>
        <v>1648.0043344771536</v>
      </c>
      <c r="L72" s="198">
        <f t="shared" ref="L72:L95" si="193">IF(AND(I72="--",J72="--"),K72,IF(AND(I72="--",K72="--"),J72,IF(AND(J72="--",K72="--"),I72,IF(I72="--",1/(1/J72+1/K72),IF(J72="--",1/(1/I72+1/K72),IF(K72="--",1/(1/I72+1/J72),1/(1/I72+1/J72+1/K72)))))))</f>
        <v>316.06839777857317</v>
      </c>
      <c r="M72" s="252">
        <f t="shared" ref="M72:M95" si="194">IF(AND(R72="--", V72="--"),"--",IF(R72="--",V72,IF(V72="--",R72,MIN(R72,V72))))</f>
        <v>4103.313566229167</v>
      </c>
      <c r="N72" s="239" t="str">
        <f t="shared" ref="N72:N95" si="195">IF(M72="--","--",IF(M72=R72,"Cancer","Noncancer"))</f>
        <v>Noncancer</v>
      </c>
      <c r="O72" s="157" t="str">
        <f t="shared" ref="O72:O95" si="196">IF(AK72="--","--",(TR*365*LT*BWa)/(AK72*EFci*EDci*IRSci*0.000001))</f>
        <v>--</v>
      </c>
      <c r="P72" s="157" t="str">
        <f t="shared" si="163"/>
        <v>--</v>
      </c>
      <c r="Q72" s="157" t="str">
        <f t="shared" ref="Q72:Q95" si="197">IF(OR(AK72="--",AP72="--"),"--",(TR*365*LT*BWa)/((AK72/AQ72)*EFci*EDci*AdFci*SAci*AP72*0.000001))</f>
        <v>--</v>
      </c>
      <c r="R72" s="240" t="str">
        <f t="shared" ref="R72:R95" si="198">IF(AND(O72="--",P72="--"),Q72,IF(AND(O72="--",Q72="--"),P72,IF(AND(P72="--",Q72="--"),O72,IF(O72="--",1/(1/P72+1/Q72),IF(P72="--",1/(1/O72+1/Q72),IF(Q72="--",1/(1/O72+1/P72),1/(1/O72+1/P72+1/Q72)))))))</f>
        <v>--</v>
      </c>
      <c r="S72" s="157">
        <f t="shared" ref="S72:S95" si="199">IF(AM72="--","--",(THQ*EDci*365*BWa)/(EFci*EDci*(1/AM72)*IRSci*0.000001))</f>
        <v>5840</v>
      </c>
      <c r="T72" s="157" t="str">
        <f t="shared" si="180"/>
        <v>--</v>
      </c>
      <c r="U72" s="157">
        <f t="shared" si="181"/>
        <v>13798.317739344107</v>
      </c>
      <c r="V72" s="254">
        <f t="shared" ref="V72:V95" si="200">IF(AND(S72="--",T72="--"),U72,IF(AND(S72="--",U72="--"),T72,IF(AND(T72="--",U72="--"),S72,IF(S72="--",1/(1/T72+1/U72),IF(T72="--",1/(1/S72+1/U72),IF(U72="--",1/(1/S72+1/T72),1/(1/S72+1/T72+1/U72)))))))</f>
        <v>4103.313566229167</v>
      </c>
      <c r="W72" s="256">
        <f t="shared" ref="W72:W95" si="201">IF(AND(AB72="--", AF72="--"),"--",IF(AB72="--",AF72,IF(AF72="--",AB72,MIN(AB72,AF72))))</f>
        <v>1340.0335008375209</v>
      </c>
      <c r="X72" s="241" t="str">
        <f t="shared" ref="X72:X95" si="202">IF(W72="--","--",IF(W72=AB72,"Cancer","Noncancer"))</f>
        <v>Noncancer</v>
      </c>
      <c r="Y72" s="157" t="str">
        <f t="shared" ref="Y72:Y95" si="203">IF(AK72="--","--",(TR*365*LT*BWct)/(AK72*EFct*EDct*IRSct*0.000001))</f>
        <v>--</v>
      </c>
      <c r="Z72" s="157" t="str">
        <f t="shared" si="166"/>
        <v>--</v>
      </c>
      <c r="AA72" s="157" t="str">
        <f t="shared" ref="AA72:AA95" si="204">IF(OR(AK72="--",AP72="--"),"--",(TR*365*LT*BWct)/((AK72/AQ72)*EFct*EDct*SAct*AdFct*AP72*0.000001))</f>
        <v>--</v>
      </c>
      <c r="AB72" s="242" t="str">
        <f t="shared" ref="AB72:AB95" si="205">IF(AND(Y72="--",Z72="--"),AA72,IF(AND(Y72="--",AA72="--"),Z72,IF(AND(Z72="--",AA72="--"),Y72,IF(Y72="--",1/(1/Z72+1/AA72),IF(Z72="--",1/(1/Y72+1/AA72),IF(AA72="--",1/(1/Y72+1/Z72),1/(1/Y72+1/Z72+1/AA72)))))))</f>
        <v>--</v>
      </c>
      <c r="AC72" s="157">
        <f t="shared" ref="AC72:AC95" si="206">IF(AM72="--","--",(THQ*EDct*365*BWct)/(EFct*EDct*(1/AM72)*IRSct*0.000001))</f>
        <v>1769.6969696969697</v>
      </c>
      <c r="AD72" s="157" t="str">
        <f t="shared" si="182"/>
        <v>--</v>
      </c>
      <c r="AE72" s="157">
        <f t="shared" ref="AE72:AE95" si="207">IF(OR(AM72="--",AP72="--"),"--",(THQ*EDct*365*BWct)/(EFct*EDct*(1/(AM72*AQ72))*SAct*AdFct*AP72*0.000001))</f>
        <v>5519.3270957376435</v>
      </c>
      <c r="AF72" s="382">
        <f t="shared" ref="AF72:AF95" si="208">IF(AND(AC72="--",AD72="--"),AE72,IF(AND(AC72="--",AE72="--"),AD72,IF(AND(AD72="--",AE72="--"),AC72,IF(AC72="--",1/(1/AD72+1/AE72),IF(AD72="--",1/(1/AC72+1/AE72),IF(AE72="--",1/(1/AC72+1/AD72),1/(1/AC72+1/AD72+1/AE72)))))))</f>
        <v>1340.0335008375209</v>
      </c>
      <c r="AG72" s="258" t="str">
        <f t="shared" ref="AG72:AG95" si="209">VLOOKUP(A72,Table_IP_1,MATCH("volatility",heading_IP_1,0),FALSE)</f>
        <v>NV</v>
      </c>
      <c r="AH72" s="159" t="str">
        <f t="shared" si="169"/>
        <v>--</v>
      </c>
      <c r="AI72" s="159" t="str">
        <f t="shared" si="170"/>
        <v>--</v>
      </c>
      <c r="AJ72" s="159" t="str">
        <f t="shared" si="171"/>
        <v>--</v>
      </c>
      <c r="AK72" s="158" t="str">
        <f t="shared" ref="AK72:AK95" si="210">VLOOKUP(A72,Table_IP_2,MATCH("SFo",heading_IP_2,0),FALSE)</f>
        <v>--</v>
      </c>
      <c r="AL72" s="158" t="str">
        <f t="shared" ref="AL72:AL95" si="211">VLOOKUP(A72,Table_IP_2,MATCH("IUR",heading_IP_2,0),FALSE)</f>
        <v>--</v>
      </c>
      <c r="AM72" s="158">
        <f t="shared" ref="AM72:AM95" si="212">VLOOKUP(A72,Table_IP_2,MATCH("RfDo",heading_IP_2,0),FALSE)</f>
        <v>5.0000000000000001E-3</v>
      </c>
      <c r="AN72" s="158" t="str">
        <f t="shared" ref="AN72:AN95" si="213">VLOOKUP(A72,Table_IP_2,MATCH("RfC",heading_IP_2,0),FALSE)</f>
        <v>--</v>
      </c>
      <c r="AO72" s="158" t="str">
        <f t="shared" ref="AO72:AO95" si="214">VLOOKUP(A72,Table_IP_2,MATCH("mut",heading_IP_2,0),FALSE)</f>
        <v>--</v>
      </c>
      <c r="AP72" s="158">
        <f t="shared" ref="AP72:AP95" si="215">VLOOKUP(A72,Table_IP_2,MATCH("abs",heading_IP_2,0),FALSE)</f>
        <v>0.1</v>
      </c>
      <c r="AQ72" s="168">
        <f t="shared" ref="AQ72:AQ95" si="216">VLOOKUP(A72,Table_IP_2,MATCH("GIABS",heading_IP_2,0),FALSE)</f>
        <v>1</v>
      </c>
    </row>
    <row r="73" spans="1:43">
      <c r="A73" s="136" t="s">
        <v>217</v>
      </c>
      <c r="B73" s="185" t="s">
        <v>218</v>
      </c>
      <c r="C73" s="245">
        <f t="shared" si="185"/>
        <v>2.1598273885543602</v>
      </c>
      <c r="D73" s="249" t="str">
        <f t="shared" si="186"/>
        <v>Cancer</v>
      </c>
      <c r="E73" s="157">
        <f t="shared" si="187"/>
        <v>76.573426573426588</v>
      </c>
      <c r="F73" s="157">
        <f t="shared" si="188"/>
        <v>2.2225155853281815</v>
      </c>
      <c r="G73" s="157" t="str">
        <f t="shared" si="189"/>
        <v>--</v>
      </c>
      <c r="H73" s="237">
        <f t="shared" si="190"/>
        <v>2.1598273885543602</v>
      </c>
      <c r="I73" s="157">
        <f t="shared" si="191"/>
        <v>469.28571428571428</v>
      </c>
      <c r="J73" s="157">
        <f t="shared" si="192"/>
        <v>914.40641224930903</v>
      </c>
      <c r="K73" s="238" t="str">
        <f t="shared" si="179"/>
        <v>--</v>
      </c>
      <c r="L73" s="198">
        <f t="shared" si="193"/>
        <v>310.12524975077446</v>
      </c>
      <c r="M73" s="252">
        <f t="shared" si="194"/>
        <v>25.943251029166181</v>
      </c>
      <c r="N73" s="239" t="str">
        <f t="shared" si="195"/>
        <v>Cancer</v>
      </c>
      <c r="O73" s="157">
        <f t="shared" si="196"/>
        <v>1635.2</v>
      </c>
      <c r="P73" s="157">
        <f t="shared" si="163"/>
        <v>26.361488997963118</v>
      </c>
      <c r="Q73" s="157" t="str">
        <f t="shared" si="197"/>
        <v>--</v>
      </c>
      <c r="R73" s="240">
        <f t="shared" si="198"/>
        <v>25.943251029166181</v>
      </c>
      <c r="S73" s="157">
        <f t="shared" si="199"/>
        <v>7008.0000000000009</v>
      </c>
      <c r="T73" s="157">
        <f t="shared" si="180"/>
        <v>3765.9269997090173</v>
      </c>
      <c r="U73" s="157" t="str">
        <f t="shared" si="181"/>
        <v>--</v>
      </c>
      <c r="V73" s="254">
        <f t="shared" si="200"/>
        <v>2449.5818854790441</v>
      </c>
      <c r="W73" s="256">
        <f t="shared" si="201"/>
        <v>147.02729805166965</v>
      </c>
      <c r="X73" s="241" t="str">
        <f t="shared" si="202"/>
        <v>Cancer</v>
      </c>
      <c r="Y73" s="157">
        <f t="shared" si="203"/>
        <v>12387.878787878788</v>
      </c>
      <c r="Z73" s="157">
        <f t="shared" si="166"/>
        <v>148.79327212547813</v>
      </c>
      <c r="AA73" s="157" t="str">
        <f t="shared" si="204"/>
        <v>--</v>
      </c>
      <c r="AB73" s="242">
        <f t="shared" si="205"/>
        <v>147.02729805166965</v>
      </c>
      <c r="AC73" s="157">
        <f t="shared" si="206"/>
        <v>2123.6363636363635</v>
      </c>
      <c r="AD73" s="157">
        <f t="shared" si="182"/>
        <v>850.24726928844655</v>
      </c>
      <c r="AE73" s="157" t="str">
        <f t="shared" si="207"/>
        <v>--</v>
      </c>
      <c r="AF73" s="382">
        <f t="shared" si="208"/>
        <v>607.15758987773302</v>
      </c>
      <c r="AG73" s="258" t="str">
        <f t="shared" si="209"/>
        <v>V</v>
      </c>
      <c r="AH73" s="159">
        <f t="shared" si="169"/>
        <v>2192.0736995712005</v>
      </c>
      <c r="AI73" s="159">
        <f t="shared" si="170"/>
        <v>2149.5051094898226</v>
      </c>
      <c r="AJ73" s="159">
        <f t="shared" si="171"/>
        <v>485.52535842739837</v>
      </c>
      <c r="AK73" s="158">
        <f t="shared" si="210"/>
        <v>2E-3</v>
      </c>
      <c r="AL73" s="158">
        <f t="shared" si="211"/>
        <v>9.9999999999999995E-7</v>
      </c>
      <c r="AM73" s="158">
        <f t="shared" si="212"/>
        <v>6.0000000000000001E-3</v>
      </c>
      <c r="AN73" s="158">
        <f t="shared" si="213"/>
        <v>400</v>
      </c>
      <c r="AO73" s="158" t="str">
        <f t="shared" si="214"/>
        <v>Yes</v>
      </c>
      <c r="AP73" s="158" t="str">
        <f t="shared" si="215"/>
        <v>--</v>
      </c>
      <c r="AQ73" s="168">
        <f t="shared" si="216"/>
        <v>1</v>
      </c>
    </row>
    <row r="74" spans="1:43">
      <c r="A74" s="136" t="s">
        <v>219</v>
      </c>
      <c r="B74" s="185" t="s">
        <v>220</v>
      </c>
      <c r="C74" s="245">
        <f t="shared" si="185"/>
        <v>27005.421525424645</v>
      </c>
      <c r="D74" s="249" t="str">
        <f t="shared" si="186"/>
        <v>Noncancer</v>
      </c>
      <c r="E74" s="157" t="str">
        <f t="shared" si="187"/>
        <v>--</v>
      </c>
      <c r="F74" s="157" t="str">
        <f t="shared" si="188"/>
        <v>--</v>
      </c>
      <c r="G74" s="157" t="str">
        <f t="shared" si="189"/>
        <v>--</v>
      </c>
      <c r="H74" s="237" t="str">
        <f t="shared" si="190"/>
        <v>--</v>
      </c>
      <c r="I74" s="157">
        <f t="shared" si="191"/>
        <v>46928.571428571435</v>
      </c>
      <c r="J74" s="157">
        <f t="shared" si="192"/>
        <v>63610.717139381741</v>
      </c>
      <c r="K74" s="238" t="str">
        <f t="shared" si="179"/>
        <v>--</v>
      </c>
      <c r="L74" s="198">
        <f t="shared" si="193"/>
        <v>27005.421525424645</v>
      </c>
      <c r="M74" s="252">
        <f t="shared" si="194"/>
        <v>190691.53846490011</v>
      </c>
      <c r="N74" s="239" t="str">
        <f t="shared" si="195"/>
        <v>Noncancer</v>
      </c>
      <c r="O74" s="157" t="str">
        <f t="shared" si="196"/>
        <v>--</v>
      </c>
      <c r="P74" s="157" t="str">
        <f t="shared" si="163"/>
        <v>--</v>
      </c>
      <c r="Q74" s="157" t="str">
        <f t="shared" si="197"/>
        <v>--</v>
      </c>
      <c r="R74" s="240" t="str">
        <f t="shared" si="198"/>
        <v>--</v>
      </c>
      <c r="S74" s="157">
        <f t="shared" si="199"/>
        <v>700800</v>
      </c>
      <c r="T74" s="157">
        <f t="shared" si="180"/>
        <v>261976.89360815793</v>
      </c>
      <c r="U74" s="157" t="str">
        <f t="shared" si="181"/>
        <v>--</v>
      </c>
      <c r="V74" s="254">
        <f t="shared" si="200"/>
        <v>190691.53846490011</v>
      </c>
      <c r="W74" s="256">
        <f t="shared" si="201"/>
        <v>46186.510983516986</v>
      </c>
      <c r="X74" s="241" t="str">
        <f t="shared" si="202"/>
        <v>Noncancer</v>
      </c>
      <c r="Y74" s="157" t="str">
        <f t="shared" si="203"/>
        <v>--</v>
      </c>
      <c r="Z74" s="157" t="str">
        <f t="shared" si="166"/>
        <v>--</v>
      </c>
      <c r="AA74" s="157" t="str">
        <f t="shared" si="204"/>
        <v>--</v>
      </c>
      <c r="AB74" s="242" t="str">
        <f t="shared" si="205"/>
        <v>--</v>
      </c>
      <c r="AC74" s="157">
        <f t="shared" si="206"/>
        <v>212363.63636363638</v>
      </c>
      <c r="AD74" s="157">
        <f t="shared" si="182"/>
        <v>59023.378825291191</v>
      </c>
      <c r="AE74" s="157" t="str">
        <f t="shared" si="207"/>
        <v>--</v>
      </c>
      <c r="AF74" s="382">
        <f t="shared" si="208"/>
        <v>46186.510983516986</v>
      </c>
      <c r="AG74" s="258" t="str">
        <f t="shared" si="209"/>
        <v>V</v>
      </c>
      <c r="AH74" s="159">
        <f t="shared" si="169"/>
        <v>12199.425045651595</v>
      </c>
      <c r="AI74" s="159">
        <f t="shared" si="170"/>
        <v>11962.520454305772</v>
      </c>
      <c r="AJ74" s="159">
        <f t="shared" si="171"/>
        <v>2702.0670970400392</v>
      </c>
      <c r="AK74" s="158" t="str">
        <f t="shared" si="210"/>
        <v>--</v>
      </c>
      <c r="AL74" s="158" t="str">
        <f t="shared" si="211"/>
        <v>--</v>
      </c>
      <c r="AM74" s="158">
        <f t="shared" si="212"/>
        <v>0.6</v>
      </c>
      <c r="AN74" s="158">
        <f t="shared" si="213"/>
        <v>5000</v>
      </c>
      <c r="AO74" s="158" t="str">
        <f t="shared" si="214"/>
        <v>--</v>
      </c>
      <c r="AP74" s="158" t="str">
        <f t="shared" si="215"/>
        <v>--</v>
      </c>
      <c r="AQ74" s="168">
        <f t="shared" si="216"/>
        <v>1</v>
      </c>
    </row>
    <row r="75" spans="1:43">
      <c r="A75" s="136" t="s">
        <v>221</v>
      </c>
      <c r="B75" s="185" t="s">
        <v>222</v>
      </c>
      <c r="C75" s="245">
        <f t="shared" si="185"/>
        <v>33077.188292159881</v>
      </c>
      <c r="D75" s="249" t="str">
        <f t="shared" si="186"/>
        <v>Noncancer</v>
      </c>
      <c r="E75" s="157" t="str">
        <f t="shared" si="187"/>
        <v>--</v>
      </c>
      <c r="F75" s="157" t="str">
        <f t="shared" si="188"/>
        <v>--</v>
      </c>
      <c r="G75" s="157" t="str">
        <f t="shared" si="189"/>
        <v>--</v>
      </c>
      <c r="H75" s="237" t="str">
        <f t="shared" si="190"/>
        <v>--</v>
      </c>
      <c r="I75" s="157" t="str">
        <f t="shared" si="191"/>
        <v>--</v>
      </c>
      <c r="J75" s="157">
        <f t="shared" si="192"/>
        <v>33077.188292159881</v>
      </c>
      <c r="K75" s="238" t="str">
        <f t="shared" si="179"/>
        <v>--</v>
      </c>
      <c r="L75" s="198">
        <f t="shared" si="193"/>
        <v>33077.188292159881</v>
      </c>
      <c r="M75" s="252">
        <f t="shared" si="194"/>
        <v>136226.3974765107</v>
      </c>
      <c r="N75" s="239" t="str">
        <f t="shared" si="195"/>
        <v>Noncancer</v>
      </c>
      <c r="O75" s="157" t="str">
        <f t="shared" si="196"/>
        <v>--</v>
      </c>
      <c r="P75" s="157" t="str">
        <f t="shared" si="163"/>
        <v>--</v>
      </c>
      <c r="Q75" s="157" t="str">
        <f t="shared" si="197"/>
        <v>--</v>
      </c>
      <c r="R75" s="240" t="str">
        <f t="shared" si="198"/>
        <v>--</v>
      </c>
      <c r="S75" s="157" t="str">
        <f t="shared" si="199"/>
        <v>--</v>
      </c>
      <c r="T75" s="157">
        <f t="shared" si="180"/>
        <v>136226.3974765107</v>
      </c>
      <c r="U75" s="157" t="str">
        <f t="shared" si="181"/>
        <v>--</v>
      </c>
      <c r="V75" s="254">
        <f t="shared" si="200"/>
        <v>136226.3974765107</v>
      </c>
      <c r="W75" s="256">
        <f t="shared" si="201"/>
        <v>30702.27178327032</v>
      </c>
      <c r="X75" s="241" t="str">
        <f t="shared" si="202"/>
        <v>Noncancer</v>
      </c>
      <c r="Y75" s="157" t="str">
        <f t="shared" si="203"/>
        <v>--</v>
      </c>
      <c r="Z75" s="157" t="str">
        <f t="shared" si="166"/>
        <v>--</v>
      </c>
      <c r="AA75" s="157" t="str">
        <f t="shared" si="204"/>
        <v>--</v>
      </c>
      <c r="AB75" s="242" t="str">
        <f t="shared" si="205"/>
        <v>--</v>
      </c>
      <c r="AC75" s="157" t="str">
        <f t="shared" si="206"/>
        <v>--</v>
      </c>
      <c r="AD75" s="157">
        <f t="shared" si="182"/>
        <v>30702.27178327032</v>
      </c>
      <c r="AE75" s="157" t="str">
        <f t="shared" si="207"/>
        <v>--</v>
      </c>
      <c r="AF75" s="382">
        <f t="shared" si="208"/>
        <v>30702.27178327032</v>
      </c>
      <c r="AG75" s="258" t="str">
        <f t="shared" si="209"/>
        <v>V</v>
      </c>
      <c r="AH75" s="159">
        <f t="shared" si="169"/>
        <v>10572.699454323003</v>
      </c>
      <c r="AI75" s="159">
        <f t="shared" si="170"/>
        <v>10367.384774797076</v>
      </c>
      <c r="AJ75" s="159">
        <f t="shared" si="171"/>
        <v>2341.7614531434247</v>
      </c>
      <c r="AK75" s="158" t="str">
        <f t="shared" si="210"/>
        <v>--</v>
      </c>
      <c r="AL75" s="158" t="str">
        <f t="shared" si="211"/>
        <v>--</v>
      </c>
      <c r="AM75" s="158" t="str">
        <f t="shared" si="212"/>
        <v>--</v>
      </c>
      <c r="AN75" s="158">
        <f t="shared" si="213"/>
        <v>3000</v>
      </c>
      <c r="AO75" s="158" t="str">
        <f t="shared" si="214"/>
        <v>--</v>
      </c>
      <c r="AP75" s="158" t="str">
        <f t="shared" si="215"/>
        <v>--</v>
      </c>
      <c r="AQ75" s="168">
        <f t="shared" si="216"/>
        <v>1</v>
      </c>
    </row>
    <row r="76" spans="1:43">
      <c r="A76" s="136" t="s">
        <v>223</v>
      </c>
      <c r="B76" s="185" t="s">
        <v>224</v>
      </c>
      <c r="C76" s="245">
        <f t="shared" si="185"/>
        <v>7.8214285714285712</v>
      </c>
      <c r="D76" s="249" t="str">
        <f t="shared" si="186"/>
        <v>Noncancer</v>
      </c>
      <c r="E76" s="157" t="str">
        <f t="shared" si="187"/>
        <v>--</v>
      </c>
      <c r="F76" s="157" t="str">
        <f t="shared" si="188"/>
        <v>--</v>
      </c>
      <c r="G76" s="157" t="str">
        <f t="shared" si="189"/>
        <v>--</v>
      </c>
      <c r="H76" s="237" t="str">
        <f t="shared" si="190"/>
        <v>--</v>
      </c>
      <c r="I76" s="157">
        <f t="shared" si="191"/>
        <v>7.8214285714285712</v>
      </c>
      <c r="J76" s="157" t="str">
        <f t="shared" si="192"/>
        <v>--</v>
      </c>
      <c r="K76" s="238" t="str">
        <f t="shared" si="179"/>
        <v>--</v>
      </c>
      <c r="L76" s="198">
        <f t="shared" si="193"/>
        <v>7.8214285714285712</v>
      </c>
      <c r="M76" s="252">
        <f t="shared" si="194"/>
        <v>116.8</v>
      </c>
      <c r="N76" s="239" t="str">
        <f t="shared" si="195"/>
        <v>Noncancer</v>
      </c>
      <c r="O76" s="157" t="str">
        <f t="shared" si="196"/>
        <v>--</v>
      </c>
      <c r="P76" s="157" t="str">
        <f t="shared" si="163"/>
        <v>--</v>
      </c>
      <c r="Q76" s="157" t="str">
        <f t="shared" si="197"/>
        <v>--</v>
      </c>
      <c r="R76" s="240" t="str">
        <f t="shared" si="198"/>
        <v>--</v>
      </c>
      <c r="S76" s="157">
        <f t="shared" si="199"/>
        <v>116.8</v>
      </c>
      <c r="T76" s="157" t="str">
        <f t="shared" si="180"/>
        <v>--</v>
      </c>
      <c r="U76" s="157" t="str">
        <f t="shared" si="181"/>
        <v>--</v>
      </c>
      <c r="V76" s="254">
        <f t="shared" si="200"/>
        <v>116.8</v>
      </c>
      <c r="W76" s="256">
        <f t="shared" si="201"/>
        <v>35.393939393939391</v>
      </c>
      <c r="X76" s="241" t="str">
        <f t="shared" si="202"/>
        <v>Noncancer</v>
      </c>
      <c r="Y76" s="157" t="str">
        <f t="shared" si="203"/>
        <v>--</v>
      </c>
      <c r="Z76" s="157" t="str">
        <f t="shared" si="166"/>
        <v>--</v>
      </c>
      <c r="AA76" s="157" t="str">
        <f t="shared" si="204"/>
        <v>--</v>
      </c>
      <c r="AB76" s="242" t="str">
        <f t="shared" si="205"/>
        <v>--</v>
      </c>
      <c r="AC76" s="157">
        <f t="shared" si="206"/>
        <v>35.393939393939391</v>
      </c>
      <c r="AD76" s="157" t="str">
        <f t="shared" si="182"/>
        <v>--</v>
      </c>
      <c r="AE76" s="157" t="str">
        <f t="shared" si="207"/>
        <v>--</v>
      </c>
      <c r="AF76" s="382">
        <f t="shared" si="208"/>
        <v>35.393939393939391</v>
      </c>
      <c r="AG76" s="258" t="str">
        <f t="shared" si="209"/>
        <v>NV</v>
      </c>
      <c r="AH76" s="159" t="str">
        <f t="shared" si="169"/>
        <v>--</v>
      </c>
      <c r="AI76" s="159" t="str">
        <f t="shared" si="170"/>
        <v>--</v>
      </c>
      <c r="AJ76" s="159" t="str">
        <f t="shared" si="171"/>
        <v>--</v>
      </c>
      <c r="AK76" s="158" t="str">
        <f t="shared" si="210"/>
        <v>--</v>
      </c>
      <c r="AL76" s="158" t="str">
        <f t="shared" si="211"/>
        <v>--</v>
      </c>
      <c r="AM76" s="158">
        <f t="shared" si="212"/>
        <v>1E-4</v>
      </c>
      <c r="AN76" s="158" t="str">
        <f t="shared" si="213"/>
        <v>--</v>
      </c>
      <c r="AO76" s="158" t="str">
        <f t="shared" si="214"/>
        <v>--</v>
      </c>
      <c r="AP76" s="158" t="str">
        <f t="shared" si="215"/>
        <v>--</v>
      </c>
      <c r="AQ76" s="168">
        <f t="shared" si="216"/>
        <v>1</v>
      </c>
    </row>
    <row r="77" spans="1:43">
      <c r="A77" s="136" t="s">
        <v>225</v>
      </c>
      <c r="B77" s="185" t="s">
        <v>226</v>
      </c>
      <c r="C77" s="245">
        <f t="shared" si="185"/>
        <v>239.09784779183855</v>
      </c>
      <c r="D77" s="249" t="str">
        <f t="shared" si="186"/>
        <v>Noncancer</v>
      </c>
      <c r="E77" s="157" t="str">
        <f t="shared" si="187"/>
        <v>--</v>
      </c>
      <c r="F77" s="157" t="str">
        <f t="shared" si="188"/>
        <v>--</v>
      </c>
      <c r="G77" s="157" t="str">
        <f t="shared" si="189"/>
        <v>--</v>
      </c>
      <c r="H77" s="237" t="str">
        <f t="shared" si="190"/>
        <v>--</v>
      </c>
      <c r="I77" s="157">
        <f t="shared" si="191"/>
        <v>312.85714285714283</v>
      </c>
      <c r="J77" s="157" t="str">
        <f t="shared" si="192"/>
        <v>--</v>
      </c>
      <c r="K77" s="238">
        <f t="shared" si="179"/>
        <v>1014.1565135244023</v>
      </c>
      <c r="L77" s="198">
        <f t="shared" si="193"/>
        <v>239.09784779183855</v>
      </c>
      <c r="M77" s="252">
        <f t="shared" si="194"/>
        <v>3013.7813408746674</v>
      </c>
      <c r="N77" s="239" t="str">
        <f t="shared" si="195"/>
        <v>Noncancer</v>
      </c>
      <c r="O77" s="157" t="str">
        <f t="shared" si="196"/>
        <v>--</v>
      </c>
      <c r="P77" s="157" t="str">
        <f t="shared" si="163"/>
        <v>--</v>
      </c>
      <c r="Q77" s="157" t="str">
        <f t="shared" si="197"/>
        <v>--</v>
      </c>
      <c r="R77" s="240" t="str">
        <f t="shared" si="198"/>
        <v>--</v>
      </c>
      <c r="S77" s="157">
        <f t="shared" si="199"/>
        <v>4672</v>
      </c>
      <c r="T77" s="157" t="str">
        <f t="shared" si="180"/>
        <v>--</v>
      </c>
      <c r="U77" s="157">
        <f t="shared" si="181"/>
        <v>8491.27245498099</v>
      </c>
      <c r="V77" s="254">
        <f t="shared" si="200"/>
        <v>3013.7813408746674</v>
      </c>
      <c r="W77" s="256">
        <f t="shared" si="201"/>
        <v>999.24500537906931</v>
      </c>
      <c r="X77" s="241" t="str">
        <f t="shared" si="202"/>
        <v>Noncancer</v>
      </c>
      <c r="Y77" s="157" t="str">
        <f t="shared" si="203"/>
        <v>--</v>
      </c>
      <c r="Z77" s="157" t="str">
        <f t="shared" si="166"/>
        <v>--</v>
      </c>
      <c r="AA77" s="157" t="str">
        <f t="shared" si="204"/>
        <v>--</v>
      </c>
      <c r="AB77" s="242" t="str">
        <f t="shared" si="205"/>
        <v>--</v>
      </c>
      <c r="AC77" s="157">
        <f t="shared" si="206"/>
        <v>1415.7575757575758</v>
      </c>
      <c r="AD77" s="157" t="str">
        <f t="shared" si="182"/>
        <v>--</v>
      </c>
      <c r="AE77" s="157">
        <f t="shared" si="207"/>
        <v>3396.5089819923955</v>
      </c>
      <c r="AF77" s="382">
        <f t="shared" si="208"/>
        <v>999.24500537906931</v>
      </c>
      <c r="AG77" s="258" t="str">
        <f t="shared" si="209"/>
        <v>V</v>
      </c>
      <c r="AH77" s="159">
        <f t="shared" si="169"/>
        <v>58003.609279094686</v>
      </c>
      <c r="AI77" s="159">
        <f t="shared" si="170"/>
        <v>56877.218379406797</v>
      </c>
      <c r="AJ77" s="159">
        <f t="shared" si="171"/>
        <v>12847.2976026418</v>
      </c>
      <c r="AK77" s="158" t="str">
        <f t="shared" si="210"/>
        <v>--</v>
      </c>
      <c r="AL77" s="158" t="str">
        <f t="shared" si="211"/>
        <v>--</v>
      </c>
      <c r="AM77" s="158">
        <f t="shared" si="212"/>
        <v>4.0000000000000001E-3</v>
      </c>
      <c r="AN77" s="158" t="str">
        <f t="shared" si="213"/>
        <v>--</v>
      </c>
      <c r="AO77" s="158" t="str">
        <f t="shared" si="214"/>
        <v>--</v>
      </c>
      <c r="AP77" s="158">
        <f t="shared" si="215"/>
        <v>0.13</v>
      </c>
      <c r="AQ77" s="168">
        <f t="shared" si="216"/>
        <v>1</v>
      </c>
    </row>
    <row r="78" spans="1:43">
      <c r="A78" s="136" t="s">
        <v>227</v>
      </c>
      <c r="B78" s="185" t="s">
        <v>228</v>
      </c>
      <c r="C78" s="245">
        <f t="shared" si="185"/>
        <v>46.554562773029197</v>
      </c>
      <c r="D78" s="249" t="str">
        <f t="shared" si="186"/>
        <v>Cancer</v>
      </c>
      <c r="E78" s="157">
        <f t="shared" si="187"/>
        <v>386.24338624338628</v>
      </c>
      <c r="F78" s="157">
        <f t="shared" si="188"/>
        <v>52.934894315426995</v>
      </c>
      <c r="G78" s="157" t="str">
        <f t="shared" si="189"/>
        <v>--</v>
      </c>
      <c r="H78" s="237">
        <f t="shared" si="190"/>
        <v>46.554562773029197</v>
      </c>
      <c r="I78" s="157" t="str">
        <f t="shared" si="191"/>
        <v>--</v>
      </c>
      <c r="J78" s="157">
        <f t="shared" si="192"/>
        <v>15335.995095955135</v>
      </c>
      <c r="K78" s="238" t="str">
        <f t="shared" si="179"/>
        <v>--</v>
      </c>
      <c r="L78" s="198">
        <f t="shared" si="193"/>
        <v>15335.995095955135</v>
      </c>
      <c r="M78" s="252">
        <f t="shared" si="194"/>
        <v>201.5749713503472</v>
      </c>
      <c r="N78" s="239" t="str">
        <f t="shared" si="195"/>
        <v>Cancer</v>
      </c>
      <c r="O78" s="157">
        <f t="shared" si="196"/>
        <v>1816.8888888888891</v>
      </c>
      <c r="P78" s="157">
        <f t="shared" si="163"/>
        <v>226.72950548375584</v>
      </c>
      <c r="Q78" s="157" t="str">
        <f t="shared" si="197"/>
        <v>--</v>
      </c>
      <c r="R78" s="240">
        <f t="shared" si="198"/>
        <v>201.5749713503472</v>
      </c>
      <c r="S78" s="157" t="str">
        <f t="shared" si="199"/>
        <v>--</v>
      </c>
      <c r="T78" s="157">
        <f t="shared" si="180"/>
        <v>63160.362241903415</v>
      </c>
      <c r="U78" s="157" t="str">
        <f t="shared" si="181"/>
        <v>--</v>
      </c>
      <c r="V78" s="254">
        <f t="shared" si="200"/>
        <v>63160.362241903415</v>
      </c>
      <c r="W78" s="256">
        <f t="shared" si="201"/>
        <v>1170.2668619182757</v>
      </c>
      <c r="X78" s="241" t="str">
        <f t="shared" si="202"/>
        <v>Cancer</v>
      </c>
      <c r="Y78" s="157">
        <f t="shared" si="203"/>
        <v>13764.309764309764</v>
      </c>
      <c r="Z78" s="157">
        <f t="shared" si="166"/>
        <v>1279.0106972949195</v>
      </c>
      <c r="AA78" s="157" t="str">
        <f t="shared" si="204"/>
        <v>--</v>
      </c>
      <c r="AB78" s="242">
        <f t="shared" si="205"/>
        <v>1170.2668619182757</v>
      </c>
      <c r="AC78" s="157" t="str">
        <f t="shared" si="206"/>
        <v>--</v>
      </c>
      <c r="AD78" s="157">
        <f t="shared" si="182"/>
        <v>14251.833484143386</v>
      </c>
      <c r="AE78" s="157" t="str">
        <f t="shared" si="207"/>
        <v>--</v>
      </c>
      <c r="AF78" s="382">
        <f t="shared" si="208"/>
        <v>14251.833484143386</v>
      </c>
      <c r="AG78" s="258" t="str">
        <f t="shared" si="209"/>
        <v>V</v>
      </c>
      <c r="AH78" s="159">
        <f t="shared" si="169"/>
        <v>4901.933909002606</v>
      </c>
      <c r="AI78" s="159">
        <f t="shared" si="170"/>
        <v>4806.7416646820084</v>
      </c>
      <c r="AJ78" s="159">
        <f t="shared" si="171"/>
        <v>1085.7359488512961</v>
      </c>
      <c r="AK78" s="158">
        <f t="shared" si="210"/>
        <v>1.8E-3</v>
      </c>
      <c r="AL78" s="158">
        <f t="shared" si="211"/>
        <v>2.6E-7</v>
      </c>
      <c r="AM78" s="158" t="str">
        <f t="shared" si="212"/>
        <v>--</v>
      </c>
      <c r="AN78" s="158">
        <f t="shared" si="213"/>
        <v>3000</v>
      </c>
      <c r="AO78" s="158" t="str">
        <f t="shared" si="214"/>
        <v>--</v>
      </c>
      <c r="AP78" s="158" t="str">
        <f t="shared" si="215"/>
        <v>--</v>
      </c>
      <c r="AQ78" s="168">
        <f t="shared" si="216"/>
        <v>1</v>
      </c>
    </row>
    <row r="79" spans="1:43">
      <c r="A79" s="136" t="s">
        <v>229</v>
      </c>
      <c r="B79" s="185" t="s">
        <v>230</v>
      </c>
      <c r="C79" s="245">
        <f t="shared" si="185"/>
        <v>391.01751990600036</v>
      </c>
      <c r="D79" s="249" t="str">
        <f t="shared" si="186"/>
        <v>Noncancer</v>
      </c>
      <c r="E79" s="157" t="str">
        <f t="shared" si="187"/>
        <v>--</v>
      </c>
      <c r="F79" s="157" t="str">
        <f t="shared" si="188"/>
        <v>--</v>
      </c>
      <c r="G79" s="157" t="str">
        <f t="shared" si="189"/>
        <v>--</v>
      </c>
      <c r="H79" s="237" t="str">
        <f t="shared" si="190"/>
        <v>--</v>
      </c>
      <c r="I79" s="157">
        <f t="shared" si="191"/>
        <v>391.07142857142856</v>
      </c>
      <c r="J79" s="157">
        <f t="shared" si="192"/>
        <v>2836571.4285714286</v>
      </c>
      <c r="K79" s="238" t="str">
        <f t="shared" si="179"/>
        <v>--</v>
      </c>
      <c r="L79" s="198">
        <f t="shared" si="193"/>
        <v>391.01751990600036</v>
      </c>
      <c r="M79" s="252">
        <f t="shared" si="194"/>
        <v>5837.1386575208226</v>
      </c>
      <c r="N79" s="239" t="str">
        <f t="shared" si="195"/>
        <v>Noncancer</v>
      </c>
      <c r="O79" s="157" t="str">
        <f t="shared" si="196"/>
        <v>--</v>
      </c>
      <c r="P79" s="157" t="str">
        <f t="shared" si="163"/>
        <v>--</v>
      </c>
      <c r="Q79" s="157" t="str">
        <f t="shared" si="197"/>
        <v>--</v>
      </c>
      <c r="R79" s="240" t="str">
        <f t="shared" si="198"/>
        <v>--</v>
      </c>
      <c r="S79" s="157">
        <f t="shared" si="199"/>
        <v>5840</v>
      </c>
      <c r="T79" s="157">
        <f t="shared" si="180"/>
        <v>11913600.000000002</v>
      </c>
      <c r="U79" s="157" t="str">
        <f t="shared" si="181"/>
        <v>--</v>
      </c>
      <c r="V79" s="254">
        <f t="shared" si="200"/>
        <v>5837.1386575208226</v>
      </c>
      <c r="W79" s="256">
        <f t="shared" si="201"/>
        <v>1484.1468334005647</v>
      </c>
      <c r="X79" s="241" t="str">
        <f t="shared" si="202"/>
        <v>Noncancer</v>
      </c>
      <c r="Y79" s="157" t="str">
        <f t="shared" si="203"/>
        <v>--</v>
      </c>
      <c r="Z79" s="157" t="str">
        <f t="shared" si="166"/>
        <v>--</v>
      </c>
      <c r="AA79" s="157" t="str">
        <f t="shared" si="204"/>
        <v>--</v>
      </c>
      <c r="AB79" s="242" t="str">
        <f t="shared" si="205"/>
        <v>--</v>
      </c>
      <c r="AC79" s="157">
        <f t="shared" si="206"/>
        <v>1769.6969696969697</v>
      </c>
      <c r="AD79" s="157">
        <f t="shared" si="182"/>
        <v>9198</v>
      </c>
      <c r="AE79" s="157" t="str">
        <f t="shared" si="207"/>
        <v>--</v>
      </c>
      <c r="AF79" s="382">
        <f t="shared" si="208"/>
        <v>1484.1468334005647</v>
      </c>
      <c r="AG79" s="258" t="str">
        <f t="shared" si="209"/>
        <v>NV</v>
      </c>
      <c r="AH79" s="159" t="str">
        <f t="shared" si="169"/>
        <v>--</v>
      </c>
      <c r="AI79" s="159" t="str">
        <f t="shared" si="170"/>
        <v>--</v>
      </c>
      <c r="AJ79" s="159" t="str">
        <f t="shared" si="171"/>
        <v>--</v>
      </c>
      <c r="AK79" s="158" t="str">
        <f t="shared" si="210"/>
        <v>--</v>
      </c>
      <c r="AL79" s="158" t="str">
        <f t="shared" si="211"/>
        <v>--</v>
      </c>
      <c r="AM79" s="158">
        <f t="shared" si="212"/>
        <v>5.0000000000000001E-3</v>
      </c>
      <c r="AN79" s="158">
        <f t="shared" si="213"/>
        <v>2</v>
      </c>
      <c r="AO79" s="158" t="str">
        <f t="shared" si="214"/>
        <v>--</v>
      </c>
      <c r="AP79" s="158" t="str">
        <f t="shared" si="215"/>
        <v>--</v>
      </c>
      <c r="AQ79" s="168">
        <f t="shared" si="216"/>
        <v>1</v>
      </c>
    </row>
    <row r="80" spans="1:43">
      <c r="A80" s="136" t="s">
        <v>231</v>
      </c>
      <c r="B80" s="185" t="s">
        <v>232</v>
      </c>
      <c r="C80" s="245">
        <f t="shared" si="185"/>
        <v>824.62622703246905</v>
      </c>
      <c r="D80" s="249" t="str">
        <f t="shared" si="186"/>
        <v>Noncancer</v>
      </c>
      <c r="E80" s="157" t="str">
        <f t="shared" si="187"/>
        <v>--</v>
      </c>
      <c r="F80" s="157">
        <f t="shared" si="188"/>
        <v>14686.390532544381</v>
      </c>
      <c r="G80" s="157" t="str">
        <f t="shared" si="189"/>
        <v>--</v>
      </c>
      <c r="H80" s="237">
        <f t="shared" si="190"/>
        <v>14686.390532544381</v>
      </c>
      <c r="I80" s="157">
        <f t="shared" si="191"/>
        <v>860.35714285714278</v>
      </c>
      <c r="J80" s="157">
        <f t="shared" si="192"/>
        <v>19856</v>
      </c>
      <c r="K80" s="238" t="str">
        <f t="shared" si="179"/>
        <v>--</v>
      </c>
      <c r="L80" s="198">
        <f t="shared" si="193"/>
        <v>824.62622703246905</v>
      </c>
      <c r="M80" s="252">
        <f t="shared" si="194"/>
        <v>11132.85436893204</v>
      </c>
      <c r="N80" s="239" t="str">
        <f t="shared" si="195"/>
        <v>Noncancer</v>
      </c>
      <c r="O80" s="157" t="str">
        <f t="shared" si="196"/>
        <v>--</v>
      </c>
      <c r="P80" s="157">
        <f t="shared" si="163"/>
        <v>64150.153846153866</v>
      </c>
      <c r="Q80" s="157" t="str">
        <f t="shared" si="197"/>
        <v>--</v>
      </c>
      <c r="R80" s="240">
        <f t="shared" si="198"/>
        <v>64150.153846153866</v>
      </c>
      <c r="S80" s="157">
        <f t="shared" si="199"/>
        <v>12848</v>
      </c>
      <c r="T80" s="157">
        <f t="shared" si="180"/>
        <v>83395.200000000012</v>
      </c>
      <c r="U80" s="157" t="str">
        <f t="shared" si="181"/>
        <v>--</v>
      </c>
      <c r="V80" s="254">
        <f t="shared" si="200"/>
        <v>11132.85436893204</v>
      </c>
      <c r="W80" s="256">
        <f t="shared" si="201"/>
        <v>63.338538912730719</v>
      </c>
      <c r="X80" s="241" t="str">
        <f t="shared" si="202"/>
        <v>Noncancer</v>
      </c>
      <c r="Y80" s="157" t="str">
        <f t="shared" si="203"/>
        <v>--</v>
      </c>
      <c r="Z80" s="157">
        <f t="shared" si="166"/>
        <v>1238.1923076923081</v>
      </c>
      <c r="AA80" s="157" t="str">
        <f t="shared" si="204"/>
        <v>--</v>
      </c>
      <c r="AB80" s="242">
        <f t="shared" si="205"/>
        <v>1238.1923076923081</v>
      </c>
      <c r="AC80" s="157">
        <f t="shared" si="206"/>
        <v>3893.3333333333326</v>
      </c>
      <c r="AD80" s="157">
        <f t="shared" si="182"/>
        <v>64.385999999999996</v>
      </c>
      <c r="AE80" s="157" t="str">
        <f t="shared" si="207"/>
        <v>--</v>
      </c>
      <c r="AF80" s="382">
        <f t="shared" si="208"/>
        <v>63.338538912730719</v>
      </c>
      <c r="AG80" s="258" t="str">
        <f t="shared" si="209"/>
        <v>NV</v>
      </c>
      <c r="AH80" s="159" t="str">
        <f t="shared" si="169"/>
        <v>--</v>
      </c>
      <c r="AI80" s="159" t="str">
        <f t="shared" si="170"/>
        <v>--</v>
      </c>
      <c r="AJ80" s="159" t="str">
        <f t="shared" si="171"/>
        <v>--</v>
      </c>
      <c r="AK80" s="158" t="str">
        <f t="shared" si="210"/>
        <v>--</v>
      </c>
      <c r="AL80" s="158">
        <f t="shared" si="211"/>
        <v>2.5999999999999998E-4</v>
      </c>
      <c r="AM80" s="158">
        <f t="shared" si="212"/>
        <v>1.0999999999999999E-2</v>
      </c>
      <c r="AN80" s="158">
        <f t="shared" si="213"/>
        <v>1.4E-2</v>
      </c>
      <c r="AO80" s="158" t="str">
        <f t="shared" si="214"/>
        <v>--</v>
      </c>
      <c r="AP80" s="158" t="str">
        <f t="shared" si="215"/>
        <v>--</v>
      </c>
      <c r="AQ80" s="168">
        <f t="shared" si="216"/>
        <v>0.04</v>
      </c>
    </row>
    <row r="81" spans="1:43">
      <c r="A81" s="2" t="s">
        <v>233</v>
      </c>
      <c r="B81" s="185" t="s">
        <v>234</v>
      </c>
      <c r="C81" s="245">
        <f t="shared" si="185"/>
        <v>3586.4677168775784</v>
      </c>
      <c r="D81" s="249" t="str">
        <f t="shared" si="186"/>
        <v>Noncancer</v>
      </c>
      <c r="E81" s="157" t="str">
        <f t="shared" si="187"/>
        <v>--</v>
      </c>
      <c r="F81" s="157" t="str">
        <f t="shared" si="188"/>
        <v>--</v>
      </c>
      <c r="G81" s="157" t="str">
        <f t="shared" si="189"/>
        <v>--</v>
      </c>
      <c r="H81" s="237" t="str">
        <f t="shared" si="190"/>
        <v>--</v>
      </c>
      <c r="I81" s="157">
        <f t="shared" si="191"/>
        <v>4692.8571428571431</v>
      </c>
      <c r="J81" s="157" t="str">
        <f t="shared" si="192"/>
        <v>--</v>
      </c>
      <c r="K81" s="238">
        <f t="shared" si="179"/>
        <v>15212.347702866035</v>
      </c>
      <c r="L81" s="198">
        <f t="shared" si="193"/>
        <v>3586.4677168775784</v>
      </c>
      <c r="M81" s="252">
        <f t="shared" si="194"/>
        <v>45206.720113120005</v>
      </c>
      <c r="N81" s="239" t="str">
        <f t="shared" si="195"/>
        <v>Noncancer</v>
      </c>
      <c r="O81" s="157" t="str">
        <f t="shared" si="196"/>
        <v>--</v>
      </c>
      <c r="P81" s="157" t="str">
        <f t="shared" si="163"/>
        <v>--</v>
      </c>
      <c r="Q81" s="157" t="str">
        <f t="shared" si="197"/>
        <v>--</v>
      </c>
      <c r="R81" s="240" t="str">
        <f t="shared" si="198"/>
        <v>--</v>
      </c>
      <c r="S81" s="157">
        <f t="shared" si="199"/>
        <v>70079.999999999985</v>
      </c>
      <c r="T81" s="157" t="str">
        <f t="shared" si="180"/>
        <v>--</v>
      </c>
      <c r="U81" s="157">
        <f t="shared" si="181"/>
        <v>127369.08682471485</v>
      </c>
      <c r="V81" s="254">
        <f t="shared" si="200"/>
        <v>45206.720113120005</v>
      </c>
      <c r="W81" s="256">
        <f t="shared" si="201"/>
        <v>14988.67508068604</v>
      </c>
      <c r="X81" s="241" t="str">
        <f t="shared" si="202"/>
        <v>Noncancer</v>
      </c>
      <c r="Y81" s="157" t="str">
        <f t="shared" si="203"/>
        <v>--</v>
      </c>
      <c r="Z81" s="157" t="str">
        <f t="shared" si="166"/>
        <v>--</v>
      </c>
      <c r="AA81" s="157" t="str">
        <f t="shared" si="204"/>
        <v>--</v>
      </c>
      <c r="AB81" s="242" t="str">
        <f t="shared" si="205"/>
        <v>--</v>
      </c>
      <c r="AC81" s="157">
        <f t="shared" si="206"/>
        <v>21236.363636363636</v>
      </c>
      <c r="AD81" s="157" t="str">
        <f t="shared" si="182"/>
        <v>--</v>
      </c>
      <c r="AE81" s="157">
        <f t="shared" si="207"/>
        <v>50947.63472988594</v>
      </c>
      <c r="AF81" s="382">
        <f t="shared" si="208"/>
        <v>14988.67508068604</v>
      </c>
      <c r="AG81" s="258" t="str">
        <f t="shared" si="209"/>
        <v>V</v>
      </c>
      <c r="AH81" s="159">
        <f t="shared" si="169"/>
        <v>140704.13965866429</v>
      </c>
      <c r="AI81" s="159">
        <f t="shared" si="170"/>
        <v>137971.76033900262</v>
      </c>
      <c r="AJ81" s="159">
        <f t="shared" si="171"/>
        <v>31164.749548956835</v>
      </c>
      <c r="AK81" s="158" t="str">
        <f t="shared" si="210"/>
        <v>--</v>
      </c>
      <c r="AL81" s="158" t="str">
        <f t="shared" si="211"/>
        <v>--</v>
      </c>
      <c r="AM81" s="158">
        <f t="shared" si="212"/>
        <v>0.06</v>
      </c>
      <c r="AN81" s="158" t="str">
        <f t="shared" si="213"/>
        <v>--</v>
      </c>
      <c r="AO81" s="158" t="str">
        <f t="shared" si="214"/>
        <v>--</v>
      </c>
      <c r="AP81" s="158">
        <f t="shared" si="215"/>
        <v>0.13</v>
      </c>
      <c r="AQ81" s="168">
        <f t="shared" si="216"/>
        <v>1</v>
      </c>
    </row>
    <row r="82" spans="1:43">
      <c r="A82" s="136" t="s">
        <v>235</v>
      </c>
      <c r="B82" s="185" t="s">
        <v>236</v>
      </c>
      <c r="C82" s="245">
        <f t="shared" si="185"/>
        <v>17932.338584387893</v>
      </c>
      <c r="D82" s="249" t="str">
        <f t="shared" si="186"/>
        <v>Noncancer</v>
      </c>
      <c r="E82" s="157" t="str">
        <f t="shared" si="187"/>
        <v>--</v>
      </c>
      <c r="F82" s="157" t="str">
        <f t="shared" si="188"/>
        <v>--</v>
      </c>
      <c r="G82" s="157" t="str">
        <f t="shared" si="189"/>
        <v>--</v>
      </c>
      <c r="H82" s="237" t="str">
        <f t="shared" si="190"/>
        <v>--</v>
      </c>
      <c r="I82" s="157">
        <f t="shared" si="191"/>
        <v>23464.285714285717</v>
      </c>
      <c r="J82" s="157" t="str">
        <f t="shared" si="192"/>
        <v>--</v>
      </c>
      <c r="K82" s="238">
        <f t="shared" si="179"/>
        <v>76061.738514330165</v>
      </c>
      <c r="L82" s="198">
        <f t="shared" si="193"/>
        <v>17932.338584387893</v>
      </c>
      <c r="M82" s="252">
        <f t="shared" si="194"/>
        <v>226033.60056560003</v>
      </c>
      <c r="N82" s="239" t="str">
        <f t="shared" si="195"/>
        <v>Noncancer</v>
      </c>
      <c r="O82" s="157" t="str">
        <f t="shared" si="196"/>
        <v>--</v>
      </c>
      <c r="P82" s="157" t="str">
        <f t="shared" si="163"/>
        <v>--</v>
      </c>
      <c r="Q82" s="157" t="str">
        <f t="shared" si="197"/>
        <v>--</v>
      </c>
      <c r="R82" s="240" t="str">
        <f t="shared" si="198"/>
        <v>--</v>
      </c>
      <c r="S82" s="157">
        <f t="shared" si="199"/>
        <v>350400</v>
      </c>
      <c r="T82" s="157" t="str">
        <f t="shared" si="180"/>
        <v>--</v>
      </c>
      <c r="U82" s="157">
        <f t="shared" si="181"/>
        <v>636845.43412357417</v>
      </c>
      <c r="V82" s="254">
        <f t="shared" si="200"/>
        <v>226033.60056560003</v>
      </c>
      <c r="W82" s="256">
        <f t="shared" si="201"/>
        <v>74943.375403430211</v>
      </c>
      <c r="X82" s="241" t="str">
        <f t="shared" si="202"/>
        <v>Noncancer</v>
      </c>
      <c r="Y82" s="157" t="str">
        <f t="shared" si="203"/>
        <v>--</v>
      </c>
      <c r="Z82" s="157" t="str">
        <f t="shared" si="166"/>
        <v>--</v>
      </c>
      <c r="AA82" s="157" t="str">
        <f t="shared" si="204"/>
        <v>--</v>
      </c>
      <c r="AB82" s="242" t="str">
        <f t="shared" si="205"/>
        <v>--</v>
      </c>
      <c r="AC82" s="157">
        <f t="shared" si="206"/>
        <v>106181.81818181819</v>
      </c>
      <c r="AD82" s="157" t="str">
        <f t="shared" si="182"/>
        <v>--</v>
      </c>
      <c r="AE82" s="157">
        <f t="shared" si="207"/>
        <v>254738.17364942966</v>
      </c>
      <c r="AF82" s="382">
        <f t="shared" si="208"/>
        <v>74943.375403430211</v>
      </c>
      <c r="AG82" s="258" t="str">
        <f t="shared" si="209"/>
        <v>V</v>
      </c>
      <c r="AH82" s="159">
        <f t="shared" si="169"/>
        <v>523535.98701313284</v>
      </c>
      <c r="AI82" s="159">
        <f t="shared" si="170"/>
        <v>513369.27189385064</v>
      </c>
      <c r="AJ82" s="159">
        <f t="shared" si="171"/>
        <v>115958.69144085627</v>
      </c>
      <c r="AK82" s="158" t="str">
        <f t="shared" si="210"/>
        <v>--</v>
      </c>
      <c r="AL82" s="158" t="str">
        <f t="shared" si="211"/>
        <v>--</v>
      </c>
      <c r="AM82" s="158">
        <f t="shared" si="212"/>
        <v>0.3</v>
      </c>
      <c r="AN82" s="158" t="str">
        <f t="shared" si="213"/>
        <v>--</v>
      </c>
      <c r="AO82" s="158" t="str">
        <f t="shared" si="214"/>
        <v>--</v>
      </c>
      <c r="AP82" s="158">
        <f t="shared" si="215"/>
        <v>0.13</v>
      </c>
      <c r="AQ82" s="168">
        <f t="shared" si="216"/>
        <v>1</v>
      </c>
    </row>
    <row r="83" spans="1:43">
      <c r="A83" s="136" t="s">
        <v>237</v>
      </c>
      <c r="B83" s="185" t="s">
        <v>238</v>
      </c>
      <c r="C83" s="245">
        <f t="shared" si="185"/>
        <v>1.1166477833160362</v>
      </c>
      <c r="D83" s="249" t="str">
        <f t="shared" si="186"/>
        <v>Cancer</v>
      </c>
      <c r="E83" s="157">
        <f t="shared" si="187"/>
        <v>1.5314685314685317</v>
      </c>
      <c r="F83" s="157">
        <f t="shared" si="188"/>
        <v>40.538142838347817</v>
      </c>
      <c r="G83" s="157">
        <f t="shared" si="189"/>
        <v>4.5892322780194634</v>
      </c>
      <c r="H83" s="237">
        <f t="shared" si="190"/>
        <v>1.1166477833160362</v>
      </c>
      <c r="I83" s="157" t="str">
        <f t="shared" si="191"/>
        <v>--</v>
      </c>
      <c r="J83" s="157" t="str">
        <f t="shared" si="192"/>
        <v>--</v>
      </c>
      <c r="K83" s="238" t="str">
        <f t="shared" si="179"/>
        <v>--</v>
      </c>
      <c r="L83" s="198" t="str">
        <f t="shared" si="193"/>
        <v>--</v>
      </c>
      <c r="M83" s="252">
        <f t="shared" si="194"/>
        <v>20.209812028790335</v>
      </c>
      <c r="N83" s="239" t="str">
        <f t="shared" si="195"/>
        <v>Cancer</v>
      </c>
      <c r="O83" s="157">
        <f t="shared" si="196"/>
        <v>32.704000000000001</v>
      </c>
      <c r="P83" s="157">
        <f t="shared" si="163"/>
        <v>480.85732017995406</v>
      </c>
      <c r="Q83" s="157">
        <f t="shared" si="197"/>
        <v>59.438907184866935</v>
      </c>
      <c r="R83" s="240">
        <f t="shared" si="198"/>
        <v>20.209812028790335</v>
      </c>
      <c r="S83" s="157" t="str">
        <f t="shared" si="199"/>
        <v>--</v>
      </c>
      <c r="T83" s="157" t="str">
        <f t="shared" si="180"/>
        <v>--</v>
      </c>
      <c r="U83" s="157" t="str">
        <f t="shared" si="181"/>
        <v>--</v>
      </c>
      <c r="V83" s="254" t="str">
        <f t="shared" si="200"/>
        <v>--</v>
      </c>
      <c r="W83" s="256">
        <f t="shared" si="201"/>
        <v>155.58395757567737</v>
      </c>
      <c r="X83" s="241" t="str">
        <f t="shared" si="202"/>
        <v>Cancer</v>
      </c>
      <c r="Y83" s="157">
        <f t="shared" si="203"/>
        <v>247.75757575757575</v>
      </c>
      <c r="Z83" s="157">
        <f t="shared" si="166"/>
        <v>1410.8458496824276</v>
      </c>
      <c r="AA83" s="157">
        <f t="shared" si="204"/>
        <v>594.38907184866923</v>
      </c>
      <c r="AB83" s="242">
        <f t="shared" si="205"/>
        <v>155.58395757567737</v>
      </c>
      <c r="AC83" s="157" t="str">
        <f t="shared" si="206"/>
        <v>--</v>
      </c>
      <c r="AD83" s="157" t="str">
        <f t="shared" si="182"/>
        <v>--</v>
      </c>
      <c r="AE83" s="157" t="str">
        <f t="shared" si="207"/>
        <v>--</v>
      </c>
      <c r="AF83" s="382" t="str">
        <f t="shared" si="208"/>
        <v>--</v>
      </c>
      <c r="AG83" s="258" t="str">
        <f t="shared" si="209"/>
        <v>V</v>
      </c>
      <c r="AH83" s="159">
        <f t="shared" si="169"/>
        <v>4412380.0575060016</v>
      </c>
      <c r="AI83" s="159">
        <f t="shared" si="170"/>
        <v>4326694.618194377</v>
      </c>
      <c r="AJ83" s="159">
        <f t="shared" si="171"/>
        <v>977304.00641072146</v>
      </c>
      <c r="AK83" s="158">
        <f t="shared" si="210"/>
        <v>0.1</v>
      </c>
      <c r="AL83" s="158">
        <f t="shared" si="211"/>
        <v>1.1E-4</v>
      </c>
      <c r="AM83" s="158" t="str">
        <f t="shared" si="212"/>
        <v>--</v>
      </c>
      <c r="AN83" s="158" t="str">
        <f t="shared" si="213"/>
        <v>--</v>
      </c>
      <c r="AO83" s="158" t="str">
        <f t="shared" si="214"/>
        <v>Yes</v>
      </c>
      <c r="AP83" s="158">
        <f t="shared" si="215"/>
        <v>0.13</v>
      </c>
      <c r="AQ83" s="168">
        <f t="shared" si="216"/>
        <v>1</v>
      </c>
    </row>
    <row r="84" spans="1:43">
      <c r="A84" s="136" t="s">
        <v>239</v>
      </c>
      <c r="B84" s="185" t="s">
        <v>240</v>
      </c>
      <c r="C84" s="245">
        <f t="shared" si="185"/>
        <v>0.11481726168201646</v>
      </c>
      <c r="D84" s="249" t="str">
        <f t="shared" si="186"/>
        <v>Cancer</v>
      </c>
      <c r="E84" s="157">
        <f t="shared" si="187"/>
        <v>0.15314685314685317</v>
      </c>
      <c r="F84" s="157">
        <f t="shared" si="188"/>
        <v>1253.5353535353534</v>
      </c>
      <c r="G84" s="157">
        <f t="shared" si="189"/>
        <v>0.45892322780194633</v>
      </c>
      <c r="H84" s="237">
        <f t="shared" si="190"/>
        <v>0.11481726168201646</v>
      </c>
      <c r="I84" s="157">
        <f t="shared" si="191"/>
        <v>23.464285714285715</v>
      </c>
      <c r="J84" s="157">
        <f t="shared" si="192"/>
        <v>2836.5714285714284</v>
      </c>
      <c r="K84" s="238">
        <f t="shared" si="179"/>
        <v>76.061738514330173</v>
      </c>
      <c r="L84" s="198">
        <f t="shared" si="193"/>
        <v>17.819685460294966</v>
      </c>
      <c r="M84" s="252">
        <f t="shared" si="194"/>
        <v>2.1093534570827845</v>
      </c>
      <c r="N84" s="239" t="str">
        <f t="shared" si="195"/>
        <v>Cancer</v>
      </c>
      <c r="O84" s="157">
        <f t="shared" si="196"/>
        <v>3.2704</v>
      </c>
      <c r="P84" s="157">
        <f t="shared" si="163"/>
        <v>15162.763636363637</v>
      </c>
      <c r="Q84" s="157">
        <f t="shared" si="197"/>
        <v>5.9438907184866929</v>
      </c>
      <c r="R84" s="240">
        <f t="shared" si="198"/>
        <v>2.1093534570827845</v>
      </c>
      <c r="S84" s="157">
        <f t="shared" si="199"/>
        <v>350.4</v>
      </c>
      <c r="T84" s="157">
        <f t="shared" si="180"/>
        <v>11913.600000000002</v>
      </c>
      <c r="U84" s="157">
        <f t="shared" si="181"/>
        <v>636.84543412357425</v>
      </c>
      <c r="V84" s="254">
        <f t="shared" si="200"/>
        <v>221.82497366089112</v>
      </c>
      <c r="W84" s="256">
        <f t="shared" si="201"/>
        <v>8.192511278258106</v>
      </c>
      <c r="X84" s="241" t="str">
        <f t="shared" si="202"/>
        <v>Noncancer</v>
      </c>
      <c r="Y84" s="157">
        <f t="shared" si="203"/>
        <v>24.775757575757581</v>
      </c>
      <c r="Z84" s="157">
        <f t="shared" si="166"/>
        <v>292.66363636363639</v>
      </c>
      <c r="AA84" s="157">
        <f t="shared" si="204"/>
        <v>59.438907184866935</v>
      </c>
      <c r="AB84" s="242">
        <f t="shared" si="205"/>
        <v>16.500853941487851</v>
      </c>
      <c r="AC84" s="157">
        <f t="shared" si="206"/>
        <v>106.18181818181819</v>
      </c>
      <c r="AD84" s="157">
        <f t="shared" si="182"/>
        <v>9.1980000000000004</v>
      </c>
      <c r="AE84" s="157">
        <f t="shared" si="207"/>
        <v>254.73817364942965</v>
      </c>
      <c r="AF84" s="382">
        <f t="shared" si="208"/>
        <v>8.192511278258106</v>
      </c>
      <c r="AG84" s="258" t="str">
        <f t="shared" si="209"/>
        <v>NV</v>
      </c>
      <c r="AH84" s="159" t="str">
        <f t="shared" si="169"/>
        <v>--</v>
      </c>
      <c r="AI84" s="159" t="str">
        <f t="shared" si="170"/>
        <v>--</v>
      </c>
      <c r="AJ84" s="159" t="str">
        <f t="shared" si="171"/>
        <v>--</v>
      </c>
      <c r="AK84" s="158">
        <f t="shared" si="210"/>
        <v>1</v>
      </c>
      <c r="AL84" s="158">
        <f t="shared" si="211"/>
        <v>1.1000000000000001E-3</v>
      </c>
      <c r="AM84" s="158">
        <f t="shared" si="212"/>
        <v>2.9999999999999997E-4</v>
      </c>
      <c r="AN84" s="158">
        <f t="shared" si="213"/>
        <v>2E-3</v>
      </c>
      <c r="AO84" s="158" t="str">
        <f t="shared" si="214"/>
        <v>Yes</v>
      </c>
      <c r="AP84" s="158">
        <f t="shared" si="215"/>
        <v>0.13</v>
      </c>
      <c r="AQ84" s="168">
        <f t="shared" si="216"/>
        <v>1</v>
      </c>
    </row>
    <row r="85" spans="1:43">
      <c r="A85" s="136" t="s">
        <v>241</v>
      </c>
      <c r="B85" s="185" t="s">
        <v>242</v>
      </c>
      <c r="C85" s="245">
        <f t="shared" si="185"/>
        <v>1.1481726168201645</v>
      </c>
      <c r="D85" s="249" t="str">
        <f t="shared" si="186"/>
        <v>Cancer</v>
      </c>
      <c r="E85" s="157">
        <f t="shared" si="187"/>
        <v>1.5314685314685317</v>
      </c>
      <c r="F85" s="157">
        <f t="shared" si="188"/>
        <v>12535.353535353537</v>
      </c>
      <c r="G85" s="157">
        <f t="shared" si="189"/>
        <v>4.5892322780194634</v>
      </c>
      <c r="H85" s="237">
        <f t="shared" si="190"/>
        <v>1.1481726168201645</v>
      </c>
      <c r="I85" s="157" t="str">
        <f t="shared" si="191"/>
        <v>--</v>
      </c>
      <c r="J85" s="157" t="str">
        <f t="shared" si="192"/>
        <v>--</v>
      </c>
      <c r="K85" s="238" t="str">
        <f t="shared" si="179"/>
        <v>--</v>
      </c>
      <c r="L85" s="198" t="str">
        <f t="shared" si="193"/>
        <v>--</v>
      </c>
      <c r="M85" s="252">
        <f t="shared" si="194"/>
        <v>21.093534570827845</v>
      </c>
      <c r="N85" s="239" t="str">
        <f t="shared" si="195"/>
        <v>Cancer</v>
      </c>
      <c r="O85" s="157">
        <f t="shared" si="196"/>
        <v>32.704000000000001</v>
      </c>
      <c r="P85" s="157">
        <f t="shared" si="163"/>
        <v>151627.63636363638</v>
      </c>
      <c r="Q85" s="157">
        <f t="shared" si="197"/>
        <v>59.438907184866935</v>
      </c>
      <c r="R85" s="240">
        <f t="shared" si="198"/>
        <v>21.093534570827845</v>
      </c>
      <c r="S85" s="157" t="str">
        <f t="shared" si="199"/>
        <v>--</v>
      </c>
      <c r="T85" s="157" t="str">
        <f t="shared" si="180"/>
        <v>--</v>
      </c>
      <c r="U85" s="157" t="str">
        <f t="shared" si="181"/>
        <v>--</v>
      </c>
      <c r="V85" s="254" t="str">
        <f t="shared" si="200"/>
        <v>--</v>
      </c>
      <c r="W85" s="256">
        <f t="shared" si="201"/>
        <v>165.00853941487847</v>
      </c>
      <c r="X85" s="241" t="str">
        <f t="shared" si="202"/>
        <v>Cancer</v>
      </c>
      <c r="Y85" s="157">
        <f t="shared" si="203"/>
        <v>247.75757575757575</v>
      </c>
      <c r="Z85" s="157">
        <f t="shared" si="166"/>
        <v>2926.636363636364</v>
      </c>
      <c r="AA85" s="157">
        <f t="shared" si="204"/>
        <v>594.38907184866923</v>
      </c>
      <c r="AB85" s="242">
        <f t="shared" si="205"/>
        <v>165.00853941487847</v>
      </c>
      <c r="AC85" s="157" t="str">
        <f t="shared" si="206"/>
        <v>--</v>
      </c>
      <c r="AD85" s="157" t="str">
        <f t="shared" si="182"/>
        <v>--</v>
      </c>
      <c r="AE85" s="157" t="str">
        <f t="shared" si="207"/>
        <v>--</v>
      </c>
      <c r="AF85" s="382" t="str">
        <f t="shared" si="208"/>
        <v>--</v>
      </c>
      <c r="AG85" s="258" t="str">
        <f t="shared" si="209"/>
        <v>NV</v>
      </c>
      <c r="AH85" s="159" t="str">
        <f t="shared" si="169"/>
        <v>--</v>
      </c>
      <c r="AI85" s="159" t="str">
        <f t="shared" si="170"/>
        <v>--</v>
      </c>
      <c r="AJ85" s="159" t="str">
        <f t="shared" si="171"/>
        <v>--</v>
      </c>
      <c r="AK85" s="158">
        <f t="shared" si="210"/>
        <v>0.1</v>
      </c>
      <c r="AL85" s="158">
        <f t="shared" si="211"/>
        <v>1.1E-4</v>
      </c>
      <c r="AM85" s="158" t="str">
        <f t="shared" si="212"/>
        <v>--</v>
      </c>
      <c r="AN85" s="158" t="str">
        <f t="shared" si="213"/>
        <v>--</v>
      </c>
      <c r="AO85" s="158" t="str">
        <f t="shared" si="214"/>
        <v>Yes</v>
      </c>
      <c r="AP85" s="158">
        <f t="shared" si="215"/>
        <v>0.13</v>
      </c>
      <c r="AQ85" s="168">
        <f t="shared" si="216"/>
        <v>1</v>
      </c>
    </row>
    <row r="86" spans="1:43">
      <c r="A86" s="136" t="s">
        <v>243</v>
      </c>
      <c r="B86" s="185" t="s">
        <v>244</v>
      </c>
      <c r="C86" s="245">
        <f t="shared" si="185"/>
        <v>11.472268971367336</v>
      </c>
      <c r="D86" s="249" t="str">
        <f t="shared" si="186"/>
        <v>Cancer</v>
      </c>
      <c r="E86" s="157">
        <f t="shared" si="187"/>
        <v>15.314685314685317</v>
      </c>
      <c r="F86" s="157">
        <f t="shared" si="188"/>
        <v>12535.353535353537</v>
      </c>
      <c r="G86" s="157">
        <f t="shared" si="189"/>
        <v>45.892322780194633</v>
      </c>
      <c r="H86" s="237">
        <f t="shared" si="190"/>
        <v>11.472268971367336</v>
      </c>
      <c r="I86" s="157" t="str">
        <f t="shared" si="191"/>
        <v>--</v>
      </c>
      <c r="J86" s="157" t="str">
        <f t="shared" si="192"/>
        <v>--</v>
      </c>
      <c r="K86" s="238" t="str">
        <f t="shared" si="179"/>
        <v>--</v>
      </c>
      <c r="L86" s="198" t="str">
        <f t="shared" si="193"/>
        <v>--</v>
      </c>
      <c r="M86" s="252">
        <f t="shared" si="194"/>
        <v>210.67157931890355</v>
      </c>
      <c r="N86" s="239" t="str">
        <f t="shared" si="195"/>
        <v>Cancer</v>
      </c>
      <c r="O86" s="157">
        <f t="shared" si="196"/>
        <v>327.04000000000002</v>
      </c>
      <c r="P86" s="157">
        <f t="shared" si="163"/>
        <v>151627.63636363638</v>
      </c>
      <c r="Q86" s="157">
        <f t="shared" si="197"/>
        <v>594.38907184866923</v>
      </c>
      <c r="R86" s="240">
        <f t="shared" si="198"/>
        <v>210.67157931890355</v>
      </c>
      <c r="S86" s="157" t="str">
        <f t="shared" si="199"/>
        <v>--</v>
      </c>
      <c r="T86" s="157" t="str">
        <f t="shared" si="180"/>
        <v>--</v>
      </c>
      <c r="U86" s="157" t="str">
        <f t="shared" si="181"/>
        <v>--</v>
      </c>
      <c r="V86" s="254" t="str">
        <f t="shared" si="200"/>
        <v>--</v>
      </c>
      <c r="W86" s="256">
        <f t="shared" si="201"/>
        <v>1094.6314228931294</v>
      </c>
      <c r="X86" s="241" t="str">
        <f t="shared" si="202"/>
        <v>Cancer</v>
      </c>
      <c r="Y86" s="157">
        <f t="shared" si="203"/>
        <v>2477.5757575757575</v>
      </c>
      <c r="Z86" s="157">
        <f t="shared" si="166"/>
        <v>2926.636363636364</v>
      </c>
      <c r="AA86" s="157">
        <f t="shared" si="204"/>
        <v>5943.890718486693</v>
      </c>
      <c r="AB86" s="242">
        <f t="shared" si="205"/>
        <v>1094.6314228931294</v>
      </c>
      <c r="AC86" s="157" t="str">
        <f t="shared" si="206"/>
        <v>--</v>
      </c>
      <c r="AD86" s="157" t="str">
        <f t="shared" si="182"/>
        <v>--</v>
      </c>
      <c r="AE86" s="157" t="str">
        <f t="shared" si="207"/>
        <v>--</v>
      </c>
      <c r="AF86" s="382" t="str">
        <f t="shared" si="208"/>
        <v>--</v>
      </c>
      <c r="AG86" s="258" t="str">
        <f t="shared" si="209"/>
        <v>NV</v>
      </c>
      <c r="AH86" s="159" t="str">
        <f t="shared" si="169"/>
        <v>--</v>
      </c>
      <c r="AI86" s="159" t="str">
        <f t="shared" si="170"/>
        <v>--</v>
      </c>
      <c r="AJ86" s="159" t="str">
        <f t="shared" si="171"/>
        <v>--</v>
      </c>
      <c r="AK86" s="158">
        <f t="shared" si="210"/>
        <v>0.01</v>
      </c>
      <c r="AL86" s="158">
        <f t="shared" si="211"/>
        <v>1.1E-4</v>
      </c>
      <c r="AM86" s="158" t="str">
        <f t="shared" si="212"/>
        <v>--</v>
      </c>
      <c r="AN86" s="158" t="str">
        <f t="shared" si="213"/>
        <v>--</v>
      </c>
      <c r="AO86" s="158" t="str">
        <f t="shared" si="214"/>
        <v>Yes</v>
      </c>
      <c r="AP86" s="158">
        <f t="shared" si="215"/>
        <v>0.13</v>
      </c>
      <c r="AQ86" s="168">
        <f t="shared" si="216"/>
        <v>1</v>
      </c>
    </row>
    <row r="87" spans="1:43">
      <c r="A87" s="136" t="s">
        <v>245</v>
      </c>
      <c r="B87" s="185" t="s">
        <v>246</v>
      </c>
      <c r="C87" s="245">
        <f t="shared" si="185"/>
        <v>114.72268971367338</v>
      </c>
      <c r="D87" s="249" t="str">
        <f t="shared" si="186"/>
        <v>Cancer</v>
      </c>
      <c r="E87" s="157">
        <f t="shared" si="187"/>
        <v>153.14685314685318</v>
      </c>
      <c r="F87" s="157">
        <f t="shared" si="188"/>
        <v>125353.53535353536</v>
      </c>
      <c r="G87" s="157">
        <f t="shared" si="189"/>
        <v>458.92322780194638</v>
      </c>
      <c r="H87" s="237">
        <f t="shared" si="190"/>
        <v>114.72268971367338</v>
      </c>
      <c r="I87" s="157" t="str">
        <f t="shared" si="191"/>
        <v>--</v>
      </c>
      <c r="J87" s="157" t="str">
        <f t="shared" si="192"/>
        <v>--</v>
      </c>
      <c r="K87" s="238" t="str">
        <f t="shared" si="179"/>
        <v>--</v>
      </c>
      <c r="L87" s="198" t="str">
        <f t="shared" si="193"/>
        <v>--</v>
      </c>
      <c r="M87" s="252">
        <f t="shared" si="194"/>
        <v>2106.7157931890356</v>
      </c>
      <c r="N87" s="239" t="str">
        <f t="shared" si="195"/>
        <v>Cancer</v>
      </c>
      <c r="O87" s="157">
        <f t="shared" si="196"/>
        <v>3270.4</v>
      </c>
      <c r="P87" s="157">
        <f t="shared" si="163"/>
        <v>1516276.3636363635</v>
      </c>
      <c r="Q87" s="157">
        <f t="shared" si="197"/>
        <v>5943.890718486693</v>
      </c>
      <c r="R87" s="240">
        <f t="shared" si="198"/>
        <v>2106.7157931890356</v>
      </c>
      <c r="S87" s="157" t="str">
        <f t="shared" si="199"/>
        <v>--</v>
      </c>
      <c r="T87" s="157" t="str">
        <f t="shared" si="180"/>
        <v>--</v>
      </c>
      <c r="U87" s="157" t="str">
        <f t="shared" si="181"/>
        <v>--</v>
      </c>
      <c r="V87" s="254" t="str">
        <f t="shared" si="200"/>
        <v>--</v>
      </c>
      <c r="W87" s="256">
        <f t="shared" si="201"/>
        <v>10946.314228931291</v>
      </c>
      <c r="X87" s="241" t="str">
        <f t="shared" si="202"/>
        <v>Cancer</v>
      </c>
      <c r="Y87" s="157">
        <f t="shared" si="203"/>
        <v>24775.757575757576</v>
      </c>
      <c r="Z87" s="157">
        <f t="shared" si="166"/>
        <v>29266.36363636364</v>
      </c>
      <c r="AA87" s="157">
        <f t="shared" si="204"/>
        <v>59438.907184866926</v>
      </c>
      <c r="AB87" s="242">
        <f t="shared" si="205"/>
        <v>10946.314228931291</v>
      </c>
      <c r="AC87" s="157" t="str">
        <f t="shared" si="206"/>
        <v>--</v>
      </c>
      <c r="AD87" s="157" t="str">
        <f t="shared" si="182"/>
        <v>--</v>
      </c>
      <c r="AE87" s="157" t="str">
        <f t="shared" si="207"/>
        <v>--</v>
      </c>
      <c r="AF87" s="382" t="str">
        <f t="shared" si="208"/>
        <v>--</v>
      </c>
      <c r="AG87" s="258" t="str">
        <f t="shared" si="209"/>
        <v>NV</v>
      </c>
      <c r="AH87" s="159" t="str">
        <f t="shared" si="169"/>
        <v>--</v>
      </c>
      <c r="AI87" s="159" t="str">
        <f t="shared" si="170"/>
        <v>--</v>
      </c>
      <c r="AJ87" s="159" t="str">
        <f t="shared" si="171"/>
        <v>--</v>
      </c>
      <c r="AK87" s="158">
        <f t="shared" si="210"/>
        <v>1E-3</v>
      </c>
      <c r="AL87" s="158">
        <f t="shared" si="211"/>
        <v>1.1E-5</v>
      </c>
      <c r="AM87" s="158" t="str">
        <f t="shared" si="212"/>
        <v>--</v>
      </c>
      <c r="AN87" s="158" t="str">
        <f t="shared" si="213"/>
        <v>--</v>
      </c>
      <c r="AO87" s="158" t="str">
        <f t="shared" si="214"/>
        <v>Yes</v>
      </c>
      <c r="AP87" s="158">
        <f t="shared" si="215"/>
        <v>0.13</v>
      </c>
      <c r="AQ87" s="168">
        <f t="shared" si="216"/>
        <v>1</v>
      </c>
    </row>
    <row r="88" spans="1:43">
      <c r="A88" s="136" t="s">
        <v>247</v>
      </c>
      <c r="B88" s="185" t="s">
        <v>248</v>
      </c>
      <c r="C88" s="245">
        <f t="shared" si="185"/>
        <v>2.8006092837957575E-2</v>
      </c>
      <c r="D88" s="249" t="str">
        <f t="shared" si="186"/>
        <v>Cancer</v>
      </c>
      <c r="E88" s="157">
        <f t="shared" si="187"/>
        <v>3.7352891011427608E-2</v>
      </c>
      <c r="F88" s="157">
        <f t="shared" si="188"/>
        <v>1149.0740740740741</v>
      </c>
      <c r="G88" s="157">
        <f t="shared" si="189"/>
        <v>0.11193249458584059</v>
      </c>
      <c r="H88" s="237">
        <f t="shared" si="190"/>
        <v>2.8006092837957575E-2</v>
      </c>
      <c r="I88" s="157" t="str">
        <f t="shared" si="191"/>
        <v>--</v>
      </c>
      <c r="J88" s="157" t="str">
        <f t="shared" si="192"/>
        <v>--</v>
      </c>
      <c r="K88" s="238" t="str">
        <f t="shared" si="179"/>
        <v>--</v>
      </c>
      <c r="L88" s="198" t="str">
        <f t="shared" si="193"/>
        <v>--</v>
      </c>
      <c r="M88" s="252">
        <f t="shared" si="194"/>
        <v>0.51452898595777352</v>
      </c>
      <c r="N88" s="239" t="str">
        <f t="shared" si="195"/>
        <v>Cancer</v>
      </c>
      <c r="O88" s="157">
        <f t="shared" si="196"/>
        <v>0.7976585365853659</v>
      </c>
      <c r="P88" s="157">
        <f t="shared" si="163"/>
        <v>13899.2</v>
      </c>
      <c r="Q88" s="157">
        <f t="shared" si="197"/>
        <v>1.4497294435333397</v>
      </c>
      <c r="R88" s="240">
        <f t="shared" si="198"/>
        <v>0.51452898595777352</v>
      </c>
      <c r="S88" s="157" t="str">
        <f t="shared" si="199"/>
        <v>--</v>
      </c>
      <c r="T88" s="157" t="str">
        <f t="shared" si="180"/>
        <v>--</v>
      </c>
      <c r="U88" s="157" t="str">
        <f t="shared" si="181"/>
        <v>--</v>
      </c>
      <c r="V88" s="254" t="str">
        <f t="shared" si="200"/>
        <v>--</v>
      </c>
      <c r="W88" s="256">
        <f t="shared" si="201"/>
        <v>4.1983246445835496</v>
      </c>
      <c r="X88" s="241" t="str">
        <f t="shared" si="202"/>
        <v>Cancer</v>
      </c>
      <c r="Y88" s="157">
        <f t="shared" si="203"/>
        <v>6.0428677014042869</v>
      </c>
      <c r="Z88" s="157">
        <f t="shared" si="166"/>
        <v>268.27500000000003</v>
      </c>
      <c r="AA88" s="157">
        <f t="shared" si="204"/>
        <v>14.497294435333394</v>
      </c>
      <c r="AB88" s="242">
        <f t="shared" si="205"/>
        <v>4.1983246445835496</v>
      </c>
      <c r="AC88" s="157" t="str">
        <f t="shared" si="206"/>
        <v>--</v>
      </c>
      <c r="AD88" s="157" t="str">
        <f t="shared" si="182"/>
        <v>--</v>
      </c>
      <c r="AE88" s="157" t="str">
        <f t="shared" si="207"/>
        <v>--</v>
      </c>
      <c r="AF88" s="382" t="str">
        <f t="shared" si="208"/>
        <v>--</v>
      </c>
      <c r="AG88" s="258" t="str">
        <f t="shared" si="209"/>
        <v>NV</v>
      </c>
      <c r="AH88" s="159" t="str">
        <f t="shared" si="169"/>
        <v>--</v>
      </c>
      <c r="AI88" s="159" t="str">
        <f t="shared" si="170"/>
        <v>--</v>
      </c>
      <c r="AJ88" s="159" t="str">
        <f t="shared" si="171"/>
        <v>--</v>
      </c>
      <c r="AK88" s="158">
        <f t="shared" si="210"/>
        <v>4.0999999999999996</v>
      </c>
      <c r="AL88" s="158">
        <f t="shared" si="211"/>
        <v>1.1999999999999999E-3</v>
      </c>
      <c r="AM88" s="158" t="str">
        <f t="shared" si="212"/>
        <v>--</v>
      </c>
      <c r="AN88" s="158" t="str">
        <f t="shared" si="213"/>
        <v>--</v>
      </c>
      <c r="AO88" s="158" t="str">
        <f t="shared" si="214"/>
        <v>Yes</v>
      </c>
      <c r="AP88" s="158">
        <f t="shared" si="215"/>
        <v>0.13</v>
      </c>
      <c r="AQ88" s="168">
        <f t="shared" si="216"/>
        <v>1</v>
      </c>
    </row>
    <row r="89" spans="1:43">
      <c r="A89" s="136" t="s">
        <v>249</v>
      </c>
      <c r="B89" s="185" t="s">
        <v>250</v>
      </c>
      <c r="C89" s="245">
        <f t="shared" si="185"/>
        <v>2390.9784779183856</v>
      </c>
      <c r="D89" s="249" t="str">
        <f t="shared" si="186"/>
        <v>Noncancer</v>
      </c>
      <c r="E89" s="157" t="str">
        <f t="shared" si="187"/>
        <v>--</v>
      </c>
      <c r="F89" s="157" t="str">
        <f t="shared" si="188"/>
        <v>--</v>
      </c>
      <c r="G89" s="157" t="str">
        <f t="shared" si="189"/>
        <v>--</v>
      </c>
      <c r="H89" s="237" t="str">
        <f t="shared" si="190"/>
        <v>--</v>
      </c>
      <c r="I89" s="157">
        <f t="shared" si="191"/>
        <v>3128.5714285714284</v>
      </c>
      <c r="J89" s="157" t="str">
        <f t="shared" si="192"/>
        <v>--</v>
      </c>
      <c r="K89" s="238">
        <f t="shared" si="179"/>
        <v>10141.565135244024</v>
      </c>
      <c r="L89" s="198">
        <f t="shared" si="193"/>
        <v>2390.9784779183856</v>
      </c>
      <c r="M89" s="252">
        <f t="shared" si="194"/>
        <v>30137.813408746675</v>
      </c>
      <c r="N89" s="239" t="str">
        <f t="shared" si="195"/>
        <v>Noncancer</v>
      </c>
      <c r="O89" s="157" t="str">
        <f t="shared" si="196"/>
        <v>--</v>
      </c>
      <c r="P89" s="157" t="str">
        <f t="shared" si="163"/>
        <v>--</v>
      </c>
      <c r="Q89" s="157" t="str">
        <f t="shared" si="197"/>
        <v>--</v>
      </c>
      <c r="R89" s="240" t="str">
        <f t="shared" si="198"/>
        <v>--</v>
      </c>
      <c r="S89" s="157">
        <f t="shared" si="199"/>
        <v>46720</v>
      </c>
      <c r="T89" s="157" t="str">
        <f t="shared" si="180"/>
        <v>--</v>
      </c>
      <c r="U89" s="157">
        <f t="shared" si="181"/>
        <v>84912.724549809893</v>
      </c>
      <c r="V89" s="254">
        <f t="shared" si="200"/>
        <v>30137.813408746675</v>
      </c>
      <c r="W89" s="256">
        <f t="shared" si="201"/>
        <v>9992.4500537906933</v>
      </c>
      <c r="X89" s="241" t="str">
        <f t="shared" si="202"/>
        <v>Noncancer</v>
      </c>
      <c r="Y89" s="157" t="str">
        <f t="shared" si="203"/>
        <v>--</v>
      </c>
      <c r="Z89" s="157" t="str">
        <f t="shared" si="166"/>
        <v>--</v>
      </c>
      <c r="AA89" s="157" t="str">
        <f t="shared" si="204"/>
        <v>--</v>
      </c>
      <c r="AB89" s="242" t="str">
        <f t="shared" si="205"/>
        <v>--</v>
      </c>
      <c r="AC89" s="157">
        <f t="shared" si="206"/>
        <v>14157.575757575758</v>
      </c>
      <c r="AD89" s="157" t="str">
        <f t="shared" si="182"/>
        <v>--</v>
      </c>
      <c r="AE89" s="157">
        <f t="shared" si="207"/>
        <v>33965.089819923953</v>
      </c>
      <c r="AF89" s="382">
        <f t="shared" si="208"/>
        <v>9992.4500537906933</v>
      </c>
      <c r="AG89" s="258" t="str">
        <f t="shared" si="209"/>
        <v>NV</v>
      </c>
      <c r="AH89" s="159" t="str">
        <f t="shared" si="169"/>
        <v>--</v>
      </c>
      <c r="AI89" s="159" t="str">
        <f t="shared" si="170"/>
        <v>--</v>
      </c>
      <c r="AJ89" s="159" t="str">
        <f t="shared" si="171"/>
        <v>--</v>
      </c>
      <c r="AK89" s="158" t="str">
        <f t="shared" si="210"/>
        <v>--</v>
      </c>
      <c r="AL89" s="158" t="str">
        <f t="shared" si="211"/>
        <v>--</v>
      </c>
      <c r="AM89" s="158">
        <f t="shared" si="212"/>
        <v>0.04</v>
      </c>
      <c r="AN89" s="158" t="str">
        <f t="shared" si="213"/>
        <v>--</v>
      </c>
      <c r="AO89" s="158" t="str">
        <f t="shared" si="214"/>
        <v>--</v>
      </c>
      <c r="AP89" s="158">
        <f t="shared" si="215"/>
        <v>0.13</v>
      </c>
      <c r="AQ89" s="168">
        <f t="shared" si="216"/>
        <v>1</v>
      </c>
    </row>
    <row r="90" spans="1:43">
      <c r="A90" s="136" t="s">
        <v>251</v>
      </c>
      <c r="B90" s="185" t="s">
        <v>252</v>
      </c>
      <c r="C90" s="245">
        <f t="shared" si="185"/>
        <v>2390.9784779183856</v>
      </c>
      <c r="D90" s="249" t="str">
        <f t="shared" si="186"/>
        <v>Noncancer</v>
      </c>
      <c r="E90" s="157" t="str">
        <f t="shared" si="187"/>
        <v>--</v>
      </c>
      <c r="F90" s="157" t="str">
        <f t="shared" si="188"/>
        <v>--</v>
      </c>
      <c r="G90" s="157" t="str">
        <f t="shared" si="189"/>
        <v>--</v>
      </c>
      <c r="H90" s="237" t="str">
        <f t="shared" si="190"/>
        <v>--</v>
      </c>
      <c r="I90" s="157">
        <f t="shared" si="191"/>
        <v>3128.5714285714284</v>
      </c>
      <c r="J90" s="157" t="str">
        <f t="shared" si="192"/>
        <v>--</v>
      </c>
      <c r="K90" s="238">
        <f t="shared" si="179"/>
        <v>10141.565135244024</v>
      </c>
      <c r="L90" s="198">
        <f t="shared" si="193"/>
        <v>2390.9784779183856</v>
      </c>
      <c r="M90" s="252">
        <f t="shared" si="194"/>
        <v>30137.813408746675</v>
      </c>
      <c r="N90" s="239" t="str">
        <f t="shared" si="195"/>
        <v>Noncancer</v>
      </c>
      <c r="O90" s="157" t="str">
        <f t="shared" si="196"/>
        <v>--</v>
      </c>
      <c r="P90" s="157" t="str">
        <f t="shared" si="163"/>
        <v>--</v>
      </c>
      <c r="Q90" s="157" t="str">
        <f t="shared" si="197"/>
        <v>--</v>
      </c>
      <c r="R90" s="240" t="str">
        <f t="shared" si="198"/>
        <v>--</v>
      </c>
      <c r="S90" s="157">
        <f t="shared" si="199"/>
        <v>46720</v>
      </c>
      <c r="T90" s="157" t="str">
        <f t="shared" si="180"/>
        <v>--</v>
      </c>
      <c r="U90" s="157">
        <f t="shared" si="181"/>
        <v>84912.724549809893</v>
      </c>
      <c r="V90" s="254">
        <f t="shared" si="200"/>
        <v>30137.813408746675</v>
      </c>
      <c r="W90" s="256">
        <f t="shared" si="201"/>
        <v>9992.4500537906933</v>
      </c>
      <c r="X90" s="241" t="str">
        <f t="shared" si="202"/>
        <v>Noncancer</v>
      </c>
      <c r="Y90" s="157" t="str">
        <f t="shared" si="203"/>
        <v>--</v>
      </c>
      <c r="Z90" s="157" t="str">
        <f t="shared" si="166"/>
        <v>--</v>
      </c>
      <c r="AA90" s="157" t="str">
        <f t="shared" si="204"/>
        <v>--</v>
      </c>
      <c r="AB90" s="242" t="str">
        <f t="shared" si="205"/>
        <v>--</v>
      </c>
      <c r="AC90" s="157">
        <f t="shared" si="206"/>
        <v>14157.575757575758</v>
      </c>
      <c r="AD90" s="157" t="str">
        <f t="shared" si="182"/>
        <v>--</v>
      </c>
      <c r="AE90" s="157">
        <f t="shared" si="207"/>
        <v>33965.089819923953</v>
      </c>
      <c r="AF90" s="382">
        <f t="shared" si="208"/>
        <v>9992.4500537906933</v>
      </c>
      <c r="AG90" s="258" t="str">
        <f t="shared" si="209"/>
        <v>V</v>
      </c>
      <c r="AH90" s="159">
        <f t="shared" si="169"/>
        <v>281200.3574987824</v>
      </c>
      <c r="AI90" s="159">
        <f t="shared" si="170"/>
        <v>275739.63656068442</v>
      </c>
      <c r="AJ90" s="159">
        <f t="shared" si="171"/>
        <v>62283.446214064803</v>
      </c>
      <c r="AK90" s="158" t="str">
        <f t="shared" si="210"/>
        <v>--</v>
      </c>
      <c r="AL90" s="158" t="str">
        <f t="shared" si="211"/>
        <v>--</v>
      </c>
      <c r="AM90" s="158">
        <f t="shared" si="212"/>
        <v>0.04</v>
      </c>
      <c r="AN90" s="158" t="str">
        <f t="shared" si="213"/>
        <v>--</v>
      </c>
      <c r="AO90" s="158" t="str">
        <f t="shared" si="214"/>
        <v>--</v>
      </c>
      <c r="AP90" s="158">
        <f t="shared" si="215"/>
        <v>0.13</v>
      </c>
      <c r="AQ90" s="168">
        <f t="shared" si="216"/>
        <v>1</v>
      </c>
    </row>
    <row r="91" spans="1:43">
      <c r="A91" s="136" t="s">
        <v>253</v>
      </c>
      <c r="B91" s="185" t="s">
        <v>254</v>
      </c>
      <c r="C91" s="245">
        <f t="shared" si="185"/>
        <v>1.1481726168201645</v>
      </c>
      <c r="D91" s="249" t="str">
        <f t="shared" si="186"/>
        <v>Cancer</v>
      </c>
      <c r="E91" s="157">
        <f t="shared" si="187"/>
        <v>1.5314685314685317</v>
      </c>
      <c r="F91" s="157">
        <f t="shared" si="188"/>
        <v>12535.353535353537</v>
      </c>
      <c r="G91" s="157">
        <f t="shared" si="189"/>
        <v>4.5892322780194634</v>
      </c>
      <c r="H91" s="237">
        <f t="shared" si="190"/>
        <v>1.1481726168201645</v>
      </c>
      <c r="I91" s="157" t="str">
        <f t="shared" si="191"/>
        <v>--</v>
      </c>
      <c r="J91" s="157" t="str">
        <f t="shared" si="192"/>
        <v>--</v>
      </c>
      <c r="K91" s="238" t="str">
        <f t="shared" si="179"/>
        <v>--</v>
      </c>
      <c r="L91" s="198" t="str">
        <f t="shared" si="193"/>
        <v>--</v>
      </c>
      <c r="M91" s="252">
        <f t="shared" si="194"/>
        <v>21.093534570827845</v>
      </c>
      <c r="N91" s="239" t="str">
        <f t="shared" si="195"/>
        <v>Cancer</v>
      </c>
      <c r="O91" s="157">
        <f t="shared" si="196"/>
        <v>32.704000000000001</v>
      </c>
      <c r="P91" s="157">
        <f t="shared" si="163"/>
        <v>151627.63636363638</v>
      </c>
      <c r="Q91" s="157">
        <f t="shared" si="197"/>
        <v>59.438907184866935</v>
      </c>
      <c r="R91" s="240">
        <f t="shared" si="198"/>
        <v>21.093534570827845</v>
      </c>
      <c r="S91" s="157" t="str">
        <f t="shared" si="199"/>
        <v>--</v>
      </c>
      <c r="T91" s="157" t="str">
        <f t="shared" si="180"/>
        <v>--</v>
      </c>
      <c r="U91" s="157" t="str">
        <f t="shared" si="181"/>
        <v>--</v>
      </c>
      <c r="V91" s="254" t="str">
        <f t="shared" si="200"/>
        <v>--</v>
      </c>
      <c r="W91" s="256">
        <f t="shared" si="201"/>
        <v>165.00853941487847</v>
      </c>
      <c r="X91" s="241" t="str">
        <f t="shared" si="202"/>
        <v>Cancer</v>
      </c>
      <c r="Y91" s="157">
        <f t="shared" si="203"/>
        <v>247.75757575757575</v>
      </c>
      <c r="Z91" s="157">
        <f t="shared" si="166"/>
        <v>2926.636363636364</v>
      </c>
      <c r="AA91" s="157">
        <f t="shared" si="204"/>
        <v>594.38907184866923</v>
      </c>
      <c r="AB91" s="242">
        <f t="shared" si="205"/>
        <v>165.00853941487847</v>
      </c>
      <c r="AC91" s="157" t="str">
        <f t="shared" si="206"/>
        <v>--</v>
      </c>
      <c r="AD91" s="157" t="str">
        <f t="shared" si="182"/>
        <v>--</v>
      </c>
      <c r="AE91" s="157" t="str">
        <f t="shared" si="207"/>
        <v>--</v>
      </c>
      <c r="AF91" s="382" t="str">
        <f t="shared" si="208"/>
        <v>--</v>
      </c>
      <c r="AG91" s="258" t="str">
        <f t="shared" si="209"/>
        <v>NV</v>
      </c>
      <c r="AH91" s="159" t="str">
        <f t="shared" si="169"/>
        <v>--</v>
      </c>
      <c r="AI91" s="159" t="str">
        <f t="shared" si="170"/>
        <v>--</v>
      </c>
      <c r="AJ91" s="159" t="str">
        <f t="shared" si="171"/>
        <v>--</v>
      </c>
      <c r="AK91" s="158">
        <f t="shared" si="210"/>
        <v>0.1</v>
      </c>
      <c r="AL91" s="158">
        <f t="shared" si="211"/>
        <v>1.1E-4</v>
      </c>
      <c r="AM91" s="158" t="str">
        <f t="shared" si="212"/>
        <v>--</v>
      </c>
      <c r="AN91" s="158" t="str">
        <f t="shared" si="213"/>
        <v>--</v>
      </c>
      <c r="AO91" s="158" t="str">
        <f t="shared" si="214"/>
        <v>Yes</v>
      </c>
      <c r="AP91" s="158">
        <f t="shared" si="215"/>
        <v>0.13</v>
      </c>
      <c r="AQ91" s="168">
        <f t="shared" si="216"/>
        <v>1</v>
      </c>
    </row>
    <row r="92" spans="1:43">
      <c r="A92" s="136" t="s">
        <v>255</v>
      </c>
      <c r="B92" s="185" t="s">
        <v>256</v>
      </c>
      <c r="C92" s="245">
        <f t="shared" si="185"/>
        <v>2.0118628924729687</v>
      </c>
      <c r="D92" s="249" t="str">
        <f t="shared" si="186"/>
        <v>Cancer</v>
      </c>
      <c r="E92" s="157">
        <f t="shared" si="187"/>
        <v>5.7936507936507935</v>
      </c>
      <c r="F92" s="157">
        <f t="shared" si="188"/>
        <v>3.8266899892631043</v>
      </c>
      <c r="G92" s="157">
        <f t="shared" si="189"/>
        <v>15.841188826970818</v>
      </c>
      <c r="H92" s="237">
        <f t="shared" si="190"/>
        <v>2.0118628924729687</v>
      </c>
      <c r="I92" s="157">
        <f t="shared" si="191"/>
        <v>1564.2857142857142</v>
      </c>
      <c r="J92" s="157">
        <f t="shared" si="192"/>
        <v>144.97688359322507</v>
      </c>
      <c r="K92" s="238">
        <f t="shared" si="179"/>
        <v>5070.7825676220118</v>
      </c>
      <c r="L92" s="198">
        <f t="shared" si="193"/>
        <v>129.29704176597917</v>
      </c>
      <c r="M92" s="252">
        <f t="shared" si="194"/>
        <v>8.4822762402421077</v>
      </c>
      <c r="N92" s="239" t="str">
        <f t="shared" si="195"/>
        <v>Cancer</v>
      </c>
      <c r="O92" s="157">
        <f t="shared" si="196"/>
        <v>27.253333333333334</v>
      </c>
      <c r="P92" s="157">
        <f t="shared" si="163"/>
        <v>16.390399064483439</v>
      </c>
      <c r="Q92" s="157">
        <f t="shared" si="197"/>
        <v>49.532422654055772</v>
      </c>
      <c r="R92" s="240">
        <f t="shared" si="198"/>
        <v>8.4822762402421077</v>
      </c>
      <c r="S92" s="157">
        <f t="shared" si="199"/>
        <v>23360</v>
      </c>
      <c r="T92" s="157">
        <f t="shared" si="180"/>
        <v>597.07882306332556</v>
      </c>
      <c r="U92" s="157">
        <f t="shared" si="181"/>
        <v>42456.362274904946</v>
      </c>
      <c r="V92" s="254">
        <f t="shared" si="200"/>
        <v>574.3223153207183</v>
      </c>
      <c r="W92" s="256">
        <f t="shared" si="201"/>
        <v>56.268649110133467</v>
      </c>
      <c r="X92" s="241" t="str">
        <f t="shared" si="202"/>
        <v>Cancer</v>
      </c>
      <c r="Y92" s="157">
        <f t="shared" si="203"/>
        <v>206.46464646464648</v>
      </c>
      <c r="Z92" s="157">
        <f t="shared" si="166"/>
        <v>91.662709905160384</v>
      </c>
      <c r="AA92" s="157">
        <f t="shared" si="204"/>
        <v>495.32422654055767</v>
      </c>
      <c r="AB92" s="242">
        <f t="shared" si="205"/>
        <v>56.268649110133467</v>
      </c>
      <c r="AC92" s="157">
        <f t="shared" si="206"/>
        <v>7078.787878787879</v>
      </c>
      <c r="AD92" s="157">
        <f t="shared" si="182"/>
        <v>133.5656630046623</v>
      </c>
      <c r="AE92" s="157">
        <f t="shared" si="207"/>
        <v>16982.544909961976</v>
      </c>
      <c r="AF92" s="382">
        <f t="shared" si="208"/>
        <v>130.08797991536986</v>
      </c>
      <c r="AG92" s="258" t="str">
        <f t="shared" si="209"/>
        <v>V</v>
      </c>
      <c r="AH92" s="159">
        <f t="shared" si="169"/>
        <v>46341.2221544887</v>
      </c>
      <c r="AI92" s="159">
        <f t="shared" si="170"/>
        <v>45441.306932591557</v>
      </c>
      <c r="AJ92" s="159">
        <f t="shared" si="171"/>
        <v>10264.179758610804</v>
      </c>
      <c r="AK92" s="158">
        <f t="shared" si="210"/>
        <v>0.12</v>
      </c>
      <c r="AL92" s="158">
        <f t="shared" si="211"/>
        <v>3.4E-5</v>
      </c>
      <c r="AM92" s="158">
        <f t="shared" si="212"/>
        <v>0.02</v>
      </c>
      <c r="AN92" s="158">
        <f t="shared" si="213"/>
        <v>3</v>
      </c>
      <c r="AO92" s="158" t="str">
        <f t="shared" si="214"/>
        <v>--</v>
      </c>
      <c r="AP92" s="158">
        <f t="shared" si="215"/>
        <v>0.13</v>
      </c>
      <c r="AQ92" s="168">
        <f t="shared" si="216"/>
        <v>1</v>
      </c>
    </row>
    <row r="93" spans="1:43">
      <c r="A93" s="136" t="s">
        <v>257</v>
      </c>
      <c r="B93" s="185" t="s">
        <v>258</v>
      </c>
      <c r="C93" s="245">
        <f t="shared" si="185"/>
        <v>1793.2338584387892</v>
      </c>
      <c r="D93" s="249" t="str">
        <f t="shared" si="186"/>
        <v>Noncancer</v>
      </c>
      <c r="E93" s="157" t="str">
        <f t="shared" si="187"/>
        <v>--</v>
      </c>
      <c r="F93" s="157" t="str">
        <f t="shared" si="188"/>
        <v>--</v>
      </c>
      <c r="G93" s="157" t="str">
        <f t="shared" si="189"/>
        <v>--</v>
      </c>
      <c r="H93" s="237" t="str">
        <f t="shared" si="190"/>
        <v>--</v>
      </c>
      <c r="I93" s="157">
        <f t="shared" si="191"/>
        <v>2346.4285714285716</v>
      </c>
      <c r="J93" s="157" t="str">
        <f t="shared" si="192"/>
        <v>--</v>
      </c>
      <c r="K93" s="238">
        <f t="shared" si="179"/>
        <v>7606.1738514330173</v>
      </c>
      <c r="L93" s="198">
        <f t="shared" si="193"/>
        <v>1793.2338584387892</v>
      </c>
      <c r="M93" s="252">
        <f t="shared" si="194"/>
        <v>22603.360056560003</v>
      </c>
      <c r="N93" s="239" t="str">
        <f t="shared" si="195"/>
        <v>Noncancer</v>
      </c>
      <c r="O93" s="157" t="str">
        <f t="shared" si="196"/>
        <v>--</v>
      </c>
      <c r="P93" s="157" t="str">
        <f t="shared" si="163"/>
        <v>--</v>
      </c>
      <c r="Q93" s="157" t="str">
        <f t="shared" si="197"/>
        <v>--</v>
      </c>
      <c r="R93" s="240" t="str">
        <f t="shared" si="198"/>
        <v>--</v>
      </c>
      <c r="S93" s="157">
        <f t="shared" si="199"/>
        <v>35039.999999999993</v>
      </c>
      <c r="T93" s="157" t="str">
        <f t="shared" si="180"/>
        <v>--</v>
      </c>
      <c r="U93" s="157">
        <f t="shared" si="181"/>
        <v>63684.543412357423</v>
      </c>
      <c r="V93" s="254">
        <f t="shared" si="200"/>
        <v>22603.360056560003</v>
      </c>
      <c r="W93" s="256">
        <f t="shared" si="201"/>
        <v>7494.33754034302</v>
      </c>
      <c r="X93" s="241" t="str">
        <f t="shared" si="202"/>
        <v>Noncancer</v>
      </c>
      <c r="Y93" s="157" t="str">
        <f t="shared" si="203"/>
        <v>--</v>
      </c>
      <c r="Z93" s="157" t="str">
        <f t="shared" si="166"/>
        <v>--</v>
      </c>
      <c r="AA93" s="157" t="str">
        <f t="shared" si="204"/>
        <v>--</v>
      </c>
      <c r="AB93" s="242" t="str">
        <f t="shared" si="205"/>
        <v>--</v>
      </c>
      <c r="AC93" s="157">
        <f t="shared" si="206"/>
        <v>10618.181818181818</v>
      </c>
      <c r="AD93" s="157" t="str">
        <f t="shared" si="182"/>
        <v>--</v>
      </c>
      <c r="AE93" s="157">
        <f t="shared" si="207"/>
        <v>25473.81736494297</v>
      </c>
      <c r="AF93" s="382">
        <f t="shared" si="208"/>
        <v>7494.33754034302</v>
      </c>
      <c r="AG93" s="258" t="str">
        <f t="shared" si="209"/>
        <v>V</v>
      </c>
      <c r="AH93" s="159">
        <f t="shared" si="169"/>
        <v>2379675.0384497549</v>
      </c>
      <c r="AI93" s="159">
        <f t="shared" si="170"/>
        <v>2333463.3571278774</v>
      </c>
      <c r="AJ93" s="159">
        <f t="shared" si="171"/>
        <v>527077.43184458674</v>
      </c>
      <c r="AK93" s="158" t="str">
        <f t="shared" si="210"/>
        <v>--</v>
      </c>
      <c r="AL93" s="158" t="str">
        <f t="shared" si="211"/>
        <v>--</v>
      </c>
      <c r="AM93" s="158">
        <f t="shared" si="212"/>
        <v>0.03</v>
      </c>
      <c r="AN93" s="158" t="str">
        <f t="shared" si="213"/>
        <v>--</v>
      </c>
      <c r="AO93" s="158" t="str">
        <f t="shared" si="214"/>
        <v>--</v>
      </c>
      <c r="AP93" s="158">
        <f t="shared" si="215"/>
        <v>0.13</v>
      </c>
      <c r="AQ93" s="168">
        <f t="shared" si="216"/>
        <v>1</v>
      </c>
    </row>
    <row r="94" spans="1:43">
      <c r="A94" s="136" t="s">
        <v>259</v>
      </c>
      <c r="B94" s="185" t="s">
        <v>260</v>
      </c>
      <c r="C94" s="245">
        <f t="shared" si="185"/>
        <v>1.0204067725795314</v>
      </c>
      <c r="D94" s="249" t="str">
        <f t="shared" si="186"/>
        <v>Cancer</v>
      </c>
      <c r="E94" s="157">
        <f t="shared" si="187"/>
        <v>1.7380952380952381</v>
      </c>
      <c r="F94" s="157">
        <f t="shared" si="188"/>
        <v>748717.94871794875</v>
      </c>
      <c r="G94" s="157">
        <f t="shared" si="189"/>
        <v>2.4712254570074479</v>
      </c>
      <c r="H94" s="237">
        <f t="shared" si="190"/>
        <v>1.0204067725795314</v>
      </c>
      <c r="I94" s="157">
        <f t="shared" si="191"/>
        <v>391.07142857142856</v>
      </c>
      <c r="J94" s="157" t="str">
        <f t="shared" si="192"/>
        <v>--</v>
      </c>
      <c r="K94" s="238">
        <f t="shared" si="179"/>
        <v>659.20173379086145</v>
      </c>
      <c r="L94" s="198">
        <f t="shared" si="193"/>
        <v>245.45515679989242</v>
      </c>
      <c r="M94" s="252">
        <f t="shared" si="194"/>
        <v>3.9725912582099285</v>
      </c>
      <c r="N94" s="239" t="str">
        <f t="shared" si="195"/>
        <v>Cancer</v>
      </c>
      <c r="O94" s="157">
        <f t="shared" si="196"/>
        <v>8.1760000000000002</v>
      </c>
      <c r="P94" s="157">
        <f t="shared" si="163"/>
        <v>3270399.9999999995</v>
      </c>
      <c r="Q94" s="157">
        <f t="shared" si="197"/>
        <v>7.7270579340327004</v>
      </c>
      <c r="R94" s="240">
        <f t="shared" si="198"/>
        <v>3.9725912582099285</v>
      </c>
      <c r="S94" s="157">
        <f t="shared" si="199"/>
        <v>5840</v>
      </c>
      <c r="T94" s="157" t="str">
        <f t="shared" si="180"/>
        <v>--</v>
      </c>
      <c r="U94" s="157">
        <f t="shared" si="181"/>
        <v>5519.3270957376435</v>
      </c>
      <c r="V94" s="254">
        <f t="shared" si="200"/>
        <v>2837.5686312618436</v>
      </c>
      <c r="W94" s="256">
        <f t="shared" si="201"/>
        <v>34.36167253383713</v>
      </c>
      <c r="X94" s="241" t="str">
        <f t="shared" si="202"/>
        <v>Cancer</v>
      </c>
      <c r="Y94" s="157">
        <f t="shared" si="203"/>
        <v>61.939393939393938</v>
      </c>
      <c r="Z94" s="157">
        <f t="shared" si="166"/>
        <v>63123.529411764706</v>
      </c>
      <c r="AA94" s="157">
        <f t="shared" si="204"/>
        <v>77.270579340327004</v>
      </c>
      <c r="AB94" s="242">
        <f t="shared" si="205"/>
        <v>34.36167253383713</v>
      </c>
      <c r="AC94" s="157">
        <f t="shared" si="206"/>
        <v>1769.6969696969697</v>
      </c>
      <c r="AD94" s="157" t="str">
        <f t="shared" si="182"/>
        <v>--</v>
      </c>
      <c r="AE94" s="157">
        <f t="shared" si="207"/>
        <v>2207.7308382950573</v>
      </c>
      <c r="AF94" s="382">
        <f t="shared" si="208"/>
        <v>982.29679155628435</v>
      </c>
      <c r="AG94" s="258" t="str">
        <f t="shared" si="209"/>
        <v>NV</v>
      </c>
      <c r="AH94" s="159" t="str">
        <f t="shared" si="169"/>
        <v>--</v>
      </c>
      <c r="AI94" s="159" t="str">
        <f t="shared" si="170"/>
        <v>--</v>
      </c>
      <c r="AJ94" s="159" t="str">
        <f t="shared" si="171"/>
        <v>--</v>
      </c>
      <c r="AK94" s="158">
        <f t="shared" si="210"/>
        <v>0.4</v>
      </c>
      <c r="AL94" s="158">
        <f t="shared" si="211"/>
        <v>5.1000000000000003E-6</v>
      </c>
      <c r="AM94" s="158">
        <f t="shared" si="212"/>
        <v>5.0000000000000001E-3</v>
      </c>
      <c r="AN94" s="158" t="str">
        <f t="shared" si="213"/>
        <v>--</v>
      </c>
      <c r="AO94" s="158" t="str">
        <f t="shared" si="214"/>
        <v>--</v>
      </c>
      <c r="AP94" s="158">
        <f t="shared" si="215"/>
        <v>0.25</v>
      </c>
      <c r="AQ94" s="168">
        <f t="shared" si="216"/>
        <v>1</v>
      </c>
    </row>
    <row r="95" spans="1:43">
      <c r="A95" s="136" t="s">
        <v>261</v>
      </c>
      <c r="B95" s="185" t="s">
        <v>1261</v>
      </c>
      <c r="C95" s="245">
        <f t="shared" si="185"/>
        <v>54.75</v>
      </c>
      <c r="D95" s="249" t="str">
        <f t="shared" si="186"/>
        <v>Noncancer</v>
      </c>
      <c r="E95" s="157" t="str">
        <f t="shared" si="187"/>
        <v>--</v>
      </c>
      <c r="F95" s="157" t="str">
        <f t="shared" si="188"/>
        <v>--</v>
      </c>
      <c r="G95" s="157" t="str">
        <f t="shared" si="189"/>
        <v>--</v>
      </c>
      <c r="H95" s="237" t="str">
        <f t="shared" si="190"/>
        <v>--</v>
      </c>
      <c r="I95" s="157">
        <f t="shared" si="191"/>
        <v>54.75</v>
      </c>
      <c r="J95" s="157" t="str">
        <f t="shared" si="192"/>
        <v>--</v>
      </c>
      <c r="K95" s="238" t="str">
        <f t="shared" si="179"/>
        <v>--</v>
      </c>
      <c r="L95" s="198">
        <f t="shared" si="193"/>
        <v>54.75</v>
      </c>
      <c r="M95" s="252">
        <f t="shared" si="194"/>
        <v>817.6</v>
      </c>
      <c r="N95" s="239" t="str">
        <f t="shared" si="195"/>
        <v>Noncancer</v>
      </c>
      <c r="O95" s="157" t="str">
        <f t="shared" si="196"/>
        <v>--</v>
      </c>
      <c r="P95" s="157" t="str">
        <f t="shared" si="163"/>
        <v>--</v>
      </c>
      <c r="Q95" s="157" t="str">
        <f t="shared" si="197"/>
        <v>--</v>
      </c>
      <c r="R95" s="240" t="str">
        <f t="shared" si="198"/>
        <v>--</v>
      </c>
      <c r="S95" s="157">
        <f t="shared" si="199"/>
        <v>817.6</v>
      </c>
      <c r="T95" s="157" t="str">
        <f t="shared" si="180"/>
        <v>--</v>
      </c>
      <c r="U95" s="157" t="str">
        <f t="shared" si="181"/>
        <v>--</v>
      </c>
      <c r="V95" s="254">
        <f t="shared" si="200"/>
        <v>817.6</v>
      </c>
      <c r="W95" s="256">
        <f t="shared" si="201"/>
        <v>247.75757575757575</v>
      </c>
      <c r="X95" s="241" t="str">
        <f t="shared" si="202"/>
        <v>Noncancer</v>
      </c>
      <c r="Y95" s="157" t="str">
        <f t="shared" si="203"/>
        <v>--</v>
      </c>
      <c r="Z95" s="157" t="str">
        <f t="shared" si="166"/>
        <v>--</v>
      </c>
      <c r="AA95" s="157" t="str">
        <f t="shared" si="204"/>
        <v>--</v>
      </c>
      <c r="AB95" s="242" t="str">
        <f t="shared" si="205"/>
        <v>--</v>
      </c>
      <c r="AC95" s="157">
        <f t="shared" si="206"/>
        <v>247.75757575757575</v>
      </c>
      <c r="AD95" s="157" t="str">
        <f t="shared" si="182"/>
        <v>--</v>
      </c>
      <c r="AE95" s="157" t="str">
        <f t="shared" si="207"/>
        <v>--</v>
      </c>
      <c r="AF95" s="382">
        <f t="shared" si="208"/>
        <v>247.75757575757575</v>
      </c>
      <c r="AG95" s="258" t="str">
        <f t="shared" si="209"/>
        <v>NV</v>
      </c>
      <c r="AH95" s="159" t="str">
        <f t="shared" si="169"/>
        <v>--</v>
      </c>
      <c r="AI95" s="159" t="str">
        <f t="shared" si="170"/>
        <v>--</v>
      </c>
      <c r="AJ95" s="159" t="str">
        <f t="shared" si="171"/>
        <v>--</v>
      </c>
      <c r="AK95" s="158" t="str">
        <f t="shared" si="210"/>
        <v>--</v>
      </c>
      <c r="AL95" s="158" t="str">
        <f t="shared" si="211"/>
        <v>--</v>
      </c>
      <c r="AM95" s="158">
        <f t="shared" si="212"/>
        <v>6.9999999999999999E-4</v>
      </c>
      <c r="AN95" s="158" t="str">
        <f t="shared" si="213"/>
        <v>--</v>
      </c>
      <c r="AO95" s="158" t="str">
        <f t="shared" si="214"/>
        <v>--</v>
      </c>
      <c r="AP95" s="158" t="str">
        <f t="shared" si="215"/>
        <v>--</v>
      </c>
      <c r="AQ95" s="168">
        <f t="shared" si="216"/>
        <v>1</v>
      </c>
    </row>
    <row r="96" spans="1:43">
      <c r="A96" s="136" t="s">
        <v>263</v>
      </c>
      <c r="B96" s="185" t="s">
        <v>115</v>
      </c>
      <c r="C96" s="245">
        <f>IF(AND(H96="--", L96="--"),"--",IF(H96="--",L96,IF(L96="--",H96,MIN(H96,L96))))</f>
        <v>455.69192283268859</v>
      </c>
      <c r="D96" s="249" t="str">
        <f>IF(C96="--","--",IF(C96=H96,"Cancer","Noncancer"))</f>
        <v>Noncancer</v>
      </c>
      <c r="E96" s="157" t="str">
        <f>IF(AK96="--","--",
IF(AO96="--",
TR*365*LT/(AK96*IFSadj*0.000001),
TR*365*LT/(AK96*IFSmadj*0.000001)))</f>
        <v>--</v>
      </c>
      <c r="F96" s="157" t="str">
        <f>IF(AL96="--", "--",
IF(AO96="--",
IF(AND(AG96="V",AH96&lt;&gt;"--"),(TR*365*LT)/(AL96*1000*EFr*(1/AH96+1/PEFr)*EDr*ETr*(1/24)),(TR*365*LT)/(AL96*1000*EFr*(1/PEFr)*EDr*ETr*(1/24))),
IF(AND(AG96="V",AH96&lt;&gt;"--"),(TR*365*LT)/(AL96*1000*(1/AH96+1/PEFr)*TETmadj),(TR*365*LT)/(AL96*1000*(1/PEFr)*TETmadj))))</f>
        <v>--</v>
      </c>
      <c r="G96" s="157" t="str">
        <f>IF(OR(AK96="--",AP96="--"),"--",
IF(AO96="--",
(TR*365*LT)/((AK96/AQ96)*DFSadj*AP96*0.000001),
(TR*365*LT)/((AK96/AQ96)*DFSmadj*AP96*0.000001)))</f>
        <v>--</v>
      </c>
      <c r="H96" s="237" t="str">
        <f>IF(AND(E96="--",F96="--"),G96,IF(AND(E96="--",G96="--"),F96,IF(AND(F96="--",G96="--"),E96,IF(E96="--",1/(1/F96+1/G96),IF(F96="--",1/(1/E96+1/G96),IF(G96="--",1/(1/E96+1/F96),1/(1/E96+1/F96+1/G96)))))))</f>
        <v>--</v>
      </c>
      <c r="I96" s="157">
        <f>IF(AM96="--","--",(THQ*365*EDc*BWc)/(EFr*EDc*(1/AM96)*IRSc*0.000001))</f>
        <v>3037.7869897959176</v>
      </c>
      <c r="J96" s="157">
        <f>IF(AN96="--","--",IF(AND(AG96="V",AH96&lt;&gt;"--"),
(THQ*365*EDc)/(EFr*EDc*(1/(AN96/1000))*(1/AH96+1/PEFr)),
(THQ*365*EDc)/(EFr*EDc*(1/(AN96/1000))*1/PEFr)))</f>
        <v>536.11310142979335</v>
      </c>
      <c r="K96" s="238" t="str">
        <f t="shared" si="179"/>
        <v>--</v>
      </c>
      <c r="L96" s="198">
        <f>IF(AND(I96="--",J96="--"),K96,IF(AND(I96="--",K96="--"),J96,IF(AND(J96="--",K96="--"),I96,IF(I96="--",1/(1/J96+1/K96),IF(J96="--",1/(1/I96+1/K96),IF(K96="--",1/(1/I96+1/J96),1/(1/I96+1/J96+1/K96)))))))</f>
        <v>455.69192283268859</v>
      </c>
      <c r="M96" s="252">
        <f>IF(AND(R96="--", V96="--"),"--",IF(R96="--",V96,IF(V96="--",R96,MIN(R96,V96))))</f>
        <v>2105.4724843068316</v>
      </c>
      <c r="N96" s="239" t="str">
        <f>IF(M96="--","--",IF(M96=R96,"Cancer","Noncancer"))</f>
        <v>Noncancer</v>
      </c>
      <c r="O96" s="157" t="str">
        <f>IF(AK96="--","--",(TR*365*LT*BWa)/(AK96*EFci*EDci*IRSci*0.000001))</f>
        <v>--</v>
      </c>
      <c r="P96" s="157" t="str">
        <f t="shared" si="163"/>
        <v>--</v>
      </c>
      <c r="Q96" s="157" t="str">
        <f>IF(OR(AK96="--",AP96="--"),"--",(TR*365*LT*BWa)/((AK96/AQ96)*EFci*EDci*AdFci*SAci*AP96*0.000001))</f>
        <v>--</v>
      </c>
      <c r="R96" s="240" t="str">
        <f>IF(AND(O96="--",P96="--"),Q96,IF(AND(O96="--",Q96="--"),P96,IF(AND(P96="--",Q96="--"),O96,IF(O96="--",1/(1/P96+1/Q96),IF(P96="--",1/(1/O96+1/Q96),IF(Q96="--",1/(1/O96+1/P96),1/(1/O96+1/P96+1/Q96)))))))</f>
        <v>--</v>
      </c>
      <c r="S96" s="157">
        <f>IF(AM96="--","--",(THQ*EDci*365*BWa)/(EFci*EDci*(1/AM96)*IRSci*0.000001))</f>
        <v>45364.28571428571</v>
      </c>
      <c r="T96" s="157">
        <f t="shared" si="180"/>
        <v>2207.9490446000077</v>
      </c>
      <c r="U96" s="157" t="str">
        <f t="shared" si="181"/>
        <v>--</v>
      </c>
      <c r="V96" s="254">
        <f>IF(AND(S96="--",T96="--"),U96,IF(AND(S96="--",U96="--"),T96,IF(AND(T96="--",U96="--"),S96,IF(S96="--",1/(1/T96+1/U96),IF(T96="--",1/(1/S96+1/U96),IF(U96="--",1/(1/S96+1/T96),1/(1/S96+1/T96+1/U96)))))))</f>
        <v>2105.4724843068316</v>
      </c>
      <c r="W96" s="256">
        <f>IF(AND(AB96="--", AF96="--"),"--",IF(AB96="--",AF96,IF(AF96="--",AB96,MIN(AB96,AF96))))</f>
        <v>481.18538794655132</v>
      </c>
      <c r="X96" s="241" t="str">
        <f>IF(W96="--","--",IF(W96=AB96,"Cancer","Noncancer"))</f>
        <v>Noncancer</v>
      </c>
      <c r="Y96" s="157" t="str">
        <f>IF(AK96="--","--",(TR*365*LT*BWct)/(AK96*EFct*EDct*IRSct*0.000001))</f>
        <v>--</v>
      </c>
      <c r="Z96" s="157" t="str">
        <f t="shared" si="166"/>
        <v>--</v>
      </c>
      <c r="AA96" s="157" t="str">
        <f>IF(OR(AK96="--",AP96="--"),"--",(TR*365*LT*BWct)/((AK96/AQ96)*EFct*EDct*SAct*AdFct*AP96*0.000001))</f>
        <v>--</v>
      </c>
      <c r="AB96" s="242" t="str">
        <f>IF(AND(Y96="--",Z96="--"),AA96,IF(AND(Y96="--",AA96="--"),Z96,IF(AND(Z96="--",AA96="--"),Y96,IF(Y96="--",1/(1/Z96+1/AA96),IF(Z96="--",1/(1/Y96+1/AA96),IF(AA96="--",1/(1/Y96+1/Z96),1/(1/Y96+1/Z96+1/AA96)))))))</f>
        <v>--</v>
      </c>
      <c r="AC96" s="157">
        <f>IF(AM96="--","--",(THQ*EDct*365*BWct)/(EFct*EDct*(1/AM96)*IRSct*0.000001))</f>
        <v>13746.753246753246</v>
      </c>
      <c r="AD96" s="157">
        <f t="shared" si="182"/>
        <v>498.63955048506341</v>
      </c>
      <c r="AE96" s="157" t="str">
        <f>IF(OR(AM96="--",AP96="--"),"--",(THQ*EDct*365*BWct)/(EFct*EDct*(1/(AM96*AQ96))*SAct*AdFct*AP96*0.000001))</f>
        <v>--</v>
      </c>
      <c r="AF96" s="382">
        <f>IF(AND(AC96="--",AD96="--"),AE96,IF(AND(AC96="--",AE96="--"),AD96,IF(AND(AD96="--",AE96="--"),AC96,IF(AC96="--",1/(1/AD96+1/AE96),IF(AD96="--",1/(1/AC96+1/AE96),IF(AE96="--",1/(1/AC96+1/AD96),1/(1/AC96+1/AD96+1/AE96)))))))</f>
        <v>481.18538794655132</v>
      </c>
      <c r="AG96" s="258" t="str">
        <f>VLOOKUP(A96,Table_IP_1,MATCH("volatility",heading_IP_1,0),FALSE)</f>
        <v>V</v>
      </c>
      <c r="AH96" s="159">
        <f t="shared" si="169"/>
        <v>829.87421134325189</v>
      </c>
      <c r="AI96" s="159">
        <f t="shared" si="170"/>
        <v>813.75861489743534</v>
      </c>
      <c r="AJ96" s="159">
        <f t="shared" si="171"/>
        <v>183.80995766287631</v>
      </c>
      <c r="AK96" s="2113" t="str">
        <f>VLOOKUP("Petroleum: Gasoline (soil)",Table_IP_2,MATCH("SFo",heading_IP_2,0),FALSE)</f>
        <v>--</v>
      </c>
      <c r="AL96" s="2113" t="str">
        <f>VLOOKUP("Petroleum: Gasoline (soil)",Table_IP_2,MATCH("IUR",heading_IP_2,0),FALSE)</f>
        <v>--</v>
      </c>
      <c r="AM96" s="2113">
        <f>VLOOKUP("Petroleum: Gasoline (soil)",Table_IP_2,MATCH("RfDo",heading_IP_2,0),FALSE)</f>
        <v>3.8839285714285708E-2</v>
      </c>
      <c r="AN96" s="2113">
        <f>VLOOKUP("Petroleum: Gasoline (soil)",Table_IP_2,MATCH("RfC",heading_IP_2,0),FALSE)</f>
        <v>619.46902654867256</v>
      </c>
      <c r="AO96" s="2113" t="str">
        <f>VLOOKUP("Petroleum: Gasoline (soil)",Table_IP_2,MATCH("mut",heading_IP_2,0),FALSE)</f>
        <v>--</v>
      </c>
      <c r="AP96" s="2113" t="str">
        <f>VLOOKUP("Petroleum: Gasoline (soil)",Table_IP_2,MATCH("abs",heading_IP_2,0),FALSE)</f>
        <v>--</v>
      </c>
      <c r="AQ96" s="2114">
        <f>VLOOKUP("Petroleum: Gasoline (soil)",Table_IP_2,MATCH("GIABS",heading_IP_2,0),FALSE)</f>
        <v>1</v>
      </c>
    </row>
    <row r="97" spans="1:43">
      <c r="A97" s="136" t="s">
        <v>264</v>
      </c>
      <c r="B97" s="185" t="s">
        <v>115</v>
      </c>
      <c r="C97" s="245">
        <f>IF(AND(H97="--", L97="--"),"--",IF(H97="--",L97,IF(L97="--",H97,MIN(H97,L97))))</f>
        <v>245.14598701027165</v>
      </c>
      <c r="D97" s="249" t="str">
        <f>IF(C97="--","--",IF(C97=H97,"Cancer","Noncancer"))</f>
        <v>Noncancer</v>
      </c>
      <c r="E97" s="157" t="str">
        <f>IF(AK97="--","--",
IF(AO97="--",
TR*365*LT/(AK97*IFSadj*0.000001),
TR*365*LT/(AK97*IFSmadj*0.000001)))</f>
        <v>--</v>
      </c>
      <c r="F97" s="157" t="str">
        <f>IF(AL97="--", "--",
IF(AO97="--",
IF(AND(AG97="V",AH97&lt;&gt;"--"),(TR*365*LT)/(AL97*1000*EFr*(1/AH97+1/PEFr)*EDr*ETr*(1/24)),(TR*365*LT)/(AL97*1000*EFr*(1/PEFr)*EDr*ETr*(1/24))),
IF(AND(AG97="V",AH97&lt;&gt;"--"),(TR*365*LT)/(AL97*1000*(1/AH97+1/PEFr)*TETmadj),(TR*365*LT)/(AL97*1000*(1/PEFr)*TETmadj))))</f>
        <v>--</v>
      </c>
      <c r="G97" s="157" t="str">
        <f>IF(OR(AK97="--",AP97="--"),"--",
IF(AO97="--",
(TR*365*LT)/((AK97/AQ97)*DFSadj*AP97*0.000001),
(TR*365*LT)/((AK97/AQ97)*DFSmadj*AP97*0.000001)))</f>
        <v>--</v>
      </c>
      <c r="H97" s="237" t="str">
        <f>IF(AND(E97="--",F97="--"),G97,IF(AND(E97="--",G97="--"),F97,IF(AND(F97="--",G97="--"),E97,IF(E97="--",1/(1/F97+1/G97),IF(F97="--",1/(1/E97+1/G97),IF(G97="--",1/(1/E97+1/F97),1/(1/E97+1/F97+1/G97)))))))</f>
        <v>--</v>
      </c>
      <c r="I97" s="157">
        <f>IF(AM97="--","--",(THQ*365*EDc*BWc)/(EFr*EDc*(1/AM97)*IRSc*0.000001))</f>
        <v>862.65756302521015</v>
      </c>
      <c r="J97" s="157">
        <f>IF(AN97="--","--",IF(AND(AG97="V",AH97&lt;&gt;"--"),
(THQ*365*EDc)/(EFr*EDc*(1/(AN97/1000))*(1/AH97+1/PEFr)),
(THQ*365*EDc)/(EFr*EDc*(1/(AN97/1000))*1/PEFr)))</f>
        <v>342.46651877271825</v>
      </c>
      <c r="K97" s="238" t="str">
        <f t="shared" si="179"/>
        <v>--</v>
      </c>
      <c r="L97" s="198">
        <f>IF(AND(I97="--",J97="--"),K97,IF(AND(I97="--",K97="--"),J97,IF(AND(J97="--",K97="--"),I97,IF(I97="--",1/(1/J97+1/K97),IF(J97="--",1/(1/I97+1/K97),IF(K97="--",1/(1/I97+1/J97),1/(1/I97+1/J97+1/K97)))))))</f>
        <v>245.14598701027165</v>
      </c>
      <c r="M97" s="252">
        <f>IF(AND(R97="--", V97="--"),"--",IF(R97="--",V97,IF(V97="--",R97,MIN(R97,V97))))</f>
        <v>1271.2448889936204</v>
      </c>
      <c r="N97" s="239" t="str">
        <f>IF(M97="--","--",IF(M97=R97,"Cancer","Noncancer"))</f>
        <v>Noncancer</v>
      </c>
      <c r="O97" s="157" t="str">
        <f>IF(AK97="--","--",(TR*365*LT*BWa)/(AK97*EFci*EDci*IRSci*0.000001))</f>
        <v>--</v>
      </c>
      <c r="P97" s="157" t="str">
        <f t="shared" si="163"/>
        <v>--</v>
      </c>
      <c r="Q97" s="157" t="str">
        <f>IF(OR(AK97="--",AP97="--"),"--",(TR*365*LT*BWa)/((AK97/AQ97)*EFci*EDci*AdFci*SAci*AP97*0.000001))</f>
        <v>--</v>
      </c>
      <c r="R97" s="240" t="str">
        <f>IF(AND(O97="--",P97="--"),Q97,IF(AND(O97="--",Q97="--"),P97,IF(AND(P97="--",Q97="--"),O97,IF(O97="--",1/(1/P97+1/Q97),IF(P97="--",1/(1/O97+1/Q97),IF(Q97="--",1/(1/O97+1/P97),1/(1/O97+1/P97+1/Q97)))))))</f>
        <v>--</v>
      </c>
      <c r="S97" s="157">
        <f>IF(AM97="--","--",(THQ*EDci*365*BWa)/(EFci*EDci*(1/AM97)*IRSci*0.000001))</f>
        <v>12882.35294117647</v>
      </c>
      <c r="T97" s="157">
        <f t="shared" si="180"/>
        <v>1410.427433891959</v>
      </c>
      <c r="U97" s="157" t="str">
        <f t="shared" si="181"/>
        <v>--</v>
      </c>
      <c r="V97" s="254">
        <f>IF(AND(S97="--",T97="--"),U97,IF(AND(S97="--",U97="--"),T97,IF(AND(T97="--",U97="--"),S97,IF(S97="--",1/(1/T97+1/U97),IF(T97="--",1/(1/S97+1/U97),IF(U97="--",1/(1/S97+1/T97),1/(1/S97+1/T97+1/U97)))))))</f>
        <v>1271.2448889936204</v>
      </c>
      <c r="W97" s="256">
        <f>IF(AND(AB97="--", AF97="--"),"--",IF(AB97="--",AF97,IF(AF97="--",AB97,MIN(AB97,AF97))))</f>
        <v>294.48289761136567</v>
      </c>
      <c r="X97" s="241" t="str">
        <f>IF(W97="--","--",IF(W97=AB97,"Cancer","Noncancer"))</f>
        <v>Noncancer</v>
      </c>
      <c r="Y97" s="157" t="str">
        <f>IF(AK97="--","--",(TR*365*LT*BWct)/(AK97*EFct*EDct*IRSct*0.000001))</f>
        <v>--</v>
      </c>
      <c r="Z97" s="157" t="str">
        <f t="shared" si="166"/>
        <v>--</v>
      </c>
      <c r="AA97" s="157" t="str">
        <f>IF(OR(AK97="--",AP97="--"),"--",(TR*365*LT*BWct)/((AK97/AQ97)*EFct*EDct*SAct*AdFct*AP97*0.000001))</f>
        <v>--</v>
      </c>
      <c r="AB97" s="242" t="str">
        <f>IF(AND(Y97="--",Z97="--"),AA97,IF(AND(Y97="--",AA97="--"),Z97,IF(AND(Z97="--",AA97="--"),Y97,IF(Y97="--",1/(1/Z97+1/AA97),IF(Z97="--",1/(1/Y97+1/AA97),IF(AA97="--",1/(1/Y97+1/Z97),1/(1/Y97+1/Z97+1/AA97)))))))</f>
        <v>--</v>
      </c>
      <c r="AC97" s="157">
        <f>IF(AM97="--","--",(THQ*EDct*365*BWct)/(EFct*EDct*(1/AM97)*IRSct*0.000001))</f>
        <v>3903.7433155080216</v>
      </c>
      <c r="AD97" s="157">
        <f t="shared" si="182"/>
        <v>318.51002975056537</v>
      </c>
      <c r="AE97" s="157" t="str">
        <f>IF(OR(AM97="--",AP97="--"),"--",(THQ*EDct*365*BWct)/(EFct*EDct*(1/(AM97*AQ97))*SAct*AdFct*AP97*0.000001))</f>
        <v>--</v>
      </c>
      <c r="AF97" s="382">
        <f>IF(AND(AC97="--",AD97="--"),AE97,IF(AND(AC97="--",AE97="--"),AD97,IF(AND(AD97="--",AE97="--"),AC97,IF(AC97="--",1/(1/AD97+1/AE97),IF(AD97="--",1/(1/AC97+1/AE97),IF(AE97="--",1/(1/AC97+1/AD97),1/(1/AC97+1/AD97+1/AE97)))))))</f>
        <v>294.48289761136567</v>
      </c>
      <c r="AG97" s="258" t="str">
        <f>VLOOKUP(A97,Table_IP_1,MATCH("volatility",heading_IP_1,0),FALSE)</f>
        <v>V</v>
      </c>
      <c r="AH97" s="159">
        <f t="shared" si="169"/>
        <v>1107.1529346063164</v>
      </c>
      <c r="AI97" s="159">
        <f t="shared" si="170"/>
        <v>1085.6527727094469</v>
      </c>
      <c r="AJ97" s="159">
        <f t="shared" si="171"/>
        <v>245.22479582407752</v>
      </c>
      <c r="AK97" s="2113" t="str">
        <f>VLOOKUP("Petroleum: Stoddard Solvent (soil)",Table_IP_2,MATCH("SFo",heading_IP_2,0),FALSE)</f>
        <v>--</v>
      </c>
      <c r="AL97" s="2113" t="str">
        <f>VLOOKUP("Petroleum: Stoddard Solvent (soil)",Table_IP_2,MATCH("IUR",heading_IP_2,0),FALSE)</f>
        <v>--</v>
      </c>
      <c r="AM97" s="2113">
        <f>VLOOKUP("Petroleum: Stoddard Solvent (soil)",Table_IP_2,MATCH("RfDo",heading_IP_2,0),FALSE)</f>
        <v>1.1029411764705881E-2</v>
      </c>
      <c r="AN97" s="2113">
        <f>VLOOKUP("Petroleum: Stoddard Solvent (soil)",Table_IP_2,MATCH("RfC",heading_IP_2,0),FALSE)</f>
        <v>296.61016949152543</v>
      </c>
      <c r="AO97" s="2113" t="str">
        <f>VLOOKUP("Petroleum: Stoddard Solvent (soil)",Table_IP_2,MATCH("mut",heading_IP_2,0),FALSE)</f>
        <v>--</v>
      </c>
      <c r="AP97" s="2113" t="str">
        <f>VLOOKUP("Petroleum: Stoddard Solvent (soil)",Table_IP_2,MATCH("abs",heading_IP_2,0),FALSE)</f>
        <v>--</v>
      </c>
      <c r="AQ97" s="2114">
        <f>VLOOKUP("Petroleum: Stoddard Solvent (soil)",Table_IP_2,MATCH("GIABS",heading_IP_2,0),FALSE)</f>
        <v>1</v>
      </c>
    </row>
    <row r="98" spans="1:43">
      <c r="A98" s="136" t="s">
        <v>265</v>
      </c>
      <c r="B98" s="185" t="s">
        <v>115</v>
      </c>
      <c r="C98" s="245">
        <f>IF(AND(H98="--", L98="--"),"--",IF(H98="--",L98,IF(L98="--",H98,MIN(H98,L98))))</f>
        <v>251.99102513542775</v>
      </c>
      <c r="D98" s="249" t="str">
        <f>IF(C98="--","--",IF(C98=H98,"Cancer","Noncancer"))</f>
        <v>Noncancer</v>
      </c>
      <c r="E98" s="157" t="str">
        <f>IF(AK98="--","--",
IF(AO98="--",
TR*365*LT/(AK98*IFSadj*0.000001),
TR*365*LT/(AK98*IFSmadj*0.000001)))</f>
        <v>--</v>
      </c>
      <c r="F98" s="157" t="str">
        <f>IF(AL98="--", "--",
IF(AO98="--",
IF(AND(AG98="V",AH98&lt;&gt;"--"),(TR*365*LT)/(AL98*1000*EFr*(1/AH98+1/PEFr)*EDr*ETr*(1/24)),(TR*365*LT)/(AL98*1000*EFr*(1/PEFr)*EDr*ETr*(1/24))),
IF(AND(AG98="V",AH98&lt;&gt;"--"),(TR*365*LT)/(AL98*1000*(1/AH98+1/PEFr)*TETmadj),(TR*365*LT)/(AL98*1000*(1/PEFr)*TETmadj))))</f>
        <v>--</v>
      </c>
      <c r="G98" s="157" t="str">
        <f>IF(OR(AK98="--",AP98="--"),"--",
IF(AO98="--",
(TR*365*LT)/((AK98/AQ98)*DFSadj*AP98*0.000001),
(TR*365*LT)/((AK98/AQ98)*DFSmadj*AP98*0.000001)))</f>
        <v>--</v>
      </c>
      <c r="H98" s="237" t="str">
        <f>IF(AND(E98="--",F98="--"),G98,IF(AND(E98="--",G98="--"),F98,IF(AND(F98="--",G98="--"),E98,IF(E98="--",1/(1/F98+1/G98),IF(F98="--",1/(1/E98+1/G98),IF(G98="--",1/(1/E98+1/F98),1/(1/E98+1/F98+1/G98)))))))</f>
        <v>--</v>
      </c>
      <c r="I98" s="157">
        <f>IF(AM98="--","--",(THQ*365*EDc*BWc)/(EFr*EDc*(1/AM98)*IRSc*0.000001))</f>
        <v>953.83275261324047</v>
      </c>
      <c r="J98" s="157">
        <f>IF(AN98="--","--",IF(AND(AG98="V",AH98&lt;&gt;"--"),
(THQ*365*EDc)/(EFr*EDc*(1/(AN98/1000))*(1/AH98+1/PEFr)),
(THQ*365*EDc)/(EFr*EDc*(1/(AN98/1000))*1/PEFr)))</f>
        <v>342.46651877271825</v>
      </c>
      <c r="K98" s="238" t="str">
        <f t="shared" si="179"/>
        <v>--</v>
      </c>
      <c r="L98" s="198">
        <f>IF(AND(I98="--",J98="--"),K98,IF(AND(I98="--",K98="--"),J98,IF(AND(J98="--",K98="--"),I98,IF(I98="--",1/(1/J98+1/K98),IF(J98="--",1/(1/I98+1/K98),IF(K98="--",1/(1/I98+1/J98),1/(1/I98+1/J98+1/K98)))))))</f>
        <v>251.99102513542775</v>
      </c>
      <c r="M98" s="252">
        <f>IF(AND(R98="--", V98="--"),"--",IF(R98="--",V98,IF(V98="--",R98,MIN(R98,V98))))</f>
        <v>1283.3504167072908</v>
      </c>
      <c r="N98" s="239" t="str">
        <f>IF(M98="--","--",IF(M98=R98,"Cancer","Noncancer"))</f>
        <v>Noncancer</v>
      </c>
      <c r="O98" s="157" t="str">
        <f>IF(AK98="--","--",(TR*365*LT*BWa)/(AK98*EFci*EDci*IRSci*0.000001))</f>
        <v>--</v>
      </c>
      <c r="P98" s="157" t="str">
        <f t="shared" si="163"/>
        <v>--</v>
      </c>
      <c r="Q98" s="157" t="str">
        <f>IF(OR(AK98="--",AP98="--"),"--",(TR*365*LT*BWa)/((AK98/AQ98)*EFci*EDci*AdFci*SAci*AP98*0.000001))</f>
        <v>--</v>
      </c>
      <c r="R98" s="240" t="str">
        <f>IF(AND(O98="--",P98="--"),Q98,IF(AND(O98="--",Q98="--"),P98,IF(AND(P98="--",Q98="--"),O98,IF(O98="--",1/(1/P98+1/Q98),IF(P98="--",1/(1/O98+1/Q98),IF(Q98="--",1/(1/O98+1/P98),1/(1/O98+1/P98+1/Q98)))))))</f>
        <v>--</v>
      </c>
      <c r="S98" s="157">
        <f>IF(AM98="--","--",(THQ*EDci*365*BWa)/(EFci*EDci*(1/AM98)*IRSci*0.000001))</f>
        <v>14243.90243902439</v>
      </c>
      <c r="T98" s="157">
        <f t="shared" si="180"/>
        <v>1410.427433891959</v>
      </c>
      <c r="U98" s="157" t="str">
        <f t="shared" si="181"/>
        <v>--</v>
      </c>
      <c r="V98" s="254">
        <f>IF(AND(S98="--",T98="--"),U98,IF(AND(S98="--",U98="--"),T98,IF(AND(T98="--",U98="--"),S98,IF(S98="--",1/(1/T98+1/U98),IF(T98="--",1/(1/S98+1/U98),IF(U98="--",1/(1/S98+1/T98),1/(1/S98+1/T98+1/U98)))))))</f>
        <v>1283.3504167072908</v>
      </c>
      <c r="W98" s="256">
        <f>IF(AND(AB98="--", AF98="--"),"--",IF(AB98="--",AF98,IF(AF98="--",AB98,MIN(AB98,AF98))))</f>
        <v>296.62177702509797</v>
      </c>
      <c r="X98" s="241" t="str">
        <f>IF(W98="--","--",IF(W98=AB98,"Cancer","Noncancer"))</f>
        <v>Noncancer</v>
      </c>
      <c r="Y98" s="157" t="str">
        <f>IF(AK98="--","--",(TR*365*LT*BWct)/(AK98*EFct*EDct*IRSct*0.000001))</f>
        <v>--</v>
      </c>
      <c r="Z98" s="157" t="str">
        <f t="shared" si="166"/>
        <v>--</v>
      </c>
      <c r="AA98" s="157" t="str">
        <f>IF(OR(AK98="--",AP98="--"),"--",(TR*365*LT*BWct)/((AK98/AQ98)*EFct*EDct*SAct*AdFct*AP98*0.000001))</f>
        <v>--</v>
      </c>
      <c r="AB98" s="242" t="str">
        <f>IF(AND(Y98="--",Z98="--"),AA98,IF(AND(Y98="--",AA98="--"),Z98,IF(AND(Z98="--",AA98="--"),Y98,IF(Y98="--",1/(1/Z98+1/AA98),IF(Z98="--",1/(1/Y98+1/AA98),IF(AA98="--",1/(1/Y98+1/Z98),1/(1/Y98+1/Z98+1/AA98)))))))</f>
        <v>--</v>
      </c>
      <c r="AC98" s="157">
        <f>IF(AM98="--","--",(THQ*EDct*365*BWct)/(EFct*EDct*(1/AM98)*IRSct*0.000001))</f>
        <v>4316.334072431634</v>
      </c>
      <c r="AD98" s="157">
        <f t="shared" si="182"/>
        <v>318.51002975056537</v>
      </c>
      <c r="AE98" s="157" t="str">
        <f>IF(OR(AM98="--",AP98="--"),"--",(THQ*EDct*365*BWct)/(EFct*EDct*(1/(AM98*AQ98))*SAct*AdFct*AP98*0.000001))</f>
        <v>--</v>
      </c>
      <c r="AF98" s="382">
        <f>IF(AND(AC98="--",AD98="--"),AE98,IF(AND(AC98="--",AE98="--"),AD98,IF(AND(AD98="--",AE98="--"),AC98,IF(AC98="--",1/(1/AD98+1/AE98),IF(AD98="--",1/(1/AC98+1/AE98),IF(AE98="--",1/(1/AC98+1/AD98),1/(1/AC98+1/AD98+1/AE98)))))))</f>
        <v>296.62177702509797</v>
      </c>
      <c r="AG98" s="258" t="str">
        <f>VLOOKUP(A98,Table_IP_1,MATCH("volatility",heading_IP_1,0),FALSE)</f>
        <v>V</v>
      </c>
      <c r="AH98" s="159">
        <f t="shared" si="169"/>
        <v>1107.1529346063164</v>
      </c>
      <c r="AI98" s="159">
        <f t="shared" si="170"/>
        <v>1085.6527727094469</v>
      </c>
      <c r="AJ98" s="159">
        <f t="shared" si="171"/>
        <v>245.22479582407752</v>
      </c>
      <c r="AK98" s="2113" t="str">
        <f>VLOOKUP("Petroleum: Jet Fuel (soil)",Table_IP_2,MATCH("SFo",heading_IP_2,0),FALSE)</f>
        <v>--</v>
      </c>
      <c r="AL98" s="2113" t="str">
        <f>VLOOKUP("Petroleum: Jet Fuel (soil)",Table_IP_2,MATCH("IUR",heading_IP_2,0),FALSE)</f>
        <v>--</v>
      </c>
      <c r="AM98" s="2113">
        <f>VLOOKUP("Petroleum: Jet Fuel (soil)",Table_IP_2,MATCH("RfDo",heading_IP_2,0),FALSE)</f>
        <v>1.2195121951219513E-2</v>
      </c>
      <c r="AN98" s="2113">
        <f>VLOOKUP("Petroleum: Jet Fuel (soil)",Table_IP_2,MATCH("RfC",heading_IP_2,0),FALSE)</f>
        <v>296.61016949152543</v>
      </c>
      <c r="AO98" s="2113" t="str">
        <f>VLOOKUP("Petroleum: Jet Fuel (soil)",Table_IP_2,MATCH("mut",heading_IP_2,0),FALSE)</f>
        <v>--</v>
      </c>
      <c r="AP98" s="2113" t="str">
        <f>VLOOKUP("Petroleum: Jet Fuel (soil)",Table_IP_2,MATCH("abs",heading_IP_2,0),FALSE)</f>
        <v>--</v>
      </c>
      <c r="AQ98" s="2114">
        <f>VLOOKUP("Petroleum: Jet Fuel (soil)",Table_IP_2,MATCH("GIABS",heading_IP_2,0),FALSE)</f>
        <v>1</v>
      </c>
    </row>
    <row r="99" spans="1:43">
      <c r="A99" s="136" t="s">
        <v>266</v>
      </c>
      <c r="B99" s="185" t="s">
        <v>115</v>
      </c>
      <c r="C99" s="245">
        <f>IF(AND(H99="--", L99="--"),"--",IF(H99="--",L99,IF(L99="--",H99,MIN(H99,L99))))</f>
        <v>201.31571747633836</v>
      </c>
      <c r="D99" s="249" t="str">
        <f>IF(C99="--","--",IF(C99=H99,"Cancer","Noncancer"))</f>
        <v>Noncancer</v>
      </c>
      <c r="E99" s="157" t="str">
        <f>IF(AK99="--","--",
IF(AO99="--",
TR*365*LT/(AK99*IFSadj*0.000001),
TR*365*LT/(AK99*IFSmadj*0.000001)))</f>
        <v>--</v>
      </c>
      <c r="F99" s="157" t="str">
        <f>IF(AL99="--", "--",
IF(AO99="--",
IF(AND(AG99="V",AH99&lt;&gt;"--"),(TR*365*LT)/(AL99*1000*EFr*(1/AH99+1/PEFr)*EDr*ETr*(1/24)),(TR*365*LT)/(AL99*1000*EFr*(1/PEFr)*EDr*ETr*(1/24))),
IF(AND(AG99="V",AH99&lt;&gt;"--"),(TR*365*LT)/(AL99*1000*(1/AH99+1/PEFr)*TETmadj),(TR*365*LT)/(AL99*1000*(1/PEFr)*TETmadj))))</f>
        <v>--</v>
      </c>
      <c r="G99" s="157" t="str">
        <f>IF(OR(AK99="--",AP99="--"),"--",
IF(AO99="--",
(TR*365*LT)/((AK99/AQ99)*DFSadj*AP99*0.000001),
(TR*365*LT)/((AK99/AQ99)*DFSmadj*AP99*0.000001)))</f>
        <v>--</v>
      </c>
      <c r="H99" s="237" t="str">
        <f>IF(AND(E99="--",F99="--"),G99,IF(AND(E99="--",G99="--"),F99,IF(AND(F99="--",G99="--"),E99,IF(E99="--",1/(1/F99+1/G99),IF(F99="--",1/(1/E99+1/G99),IF(G99="--",1/(1/E99+1/F99),1/(1/E99+1/F99+1/G99)))))))</f>
        <v>--</v>
      </c>
      <c r="I99" s="157">
        <f>IF(AM99="--","--",(THQ*365*EDc*BWc)/(EFr*EDc*(1/AM99)*IRSc*0.000001))</f>
        <v>1510.4142719205481</v>
      </c>
      <c r="J99" s="157">
        <f>IF(AN99="--","--",IF(AND(AG99="V",AH99&lt;&gt;"--"),
(THQ*365*EDc)/(EFr*EDc*(1/(AN99/1000))*(1/AH99+1/PEFr)),
(THQ*365*EDc)/(EFr*EDc*(1/(AN99/1000))*1/PEFr)))</f>
        <v>232.27443938877641</v>
      </c>
      <c r="K99" s="238" t="str">
        <f t="shared" si="179"/>
        <v>--</v>
      </c>
      <c r="L99" s="198">
        <f>IF(AND(I99="--",J99="--"),K99,IF(AND(I99="--",K99="--"),J99,IF(AND(J99="--",K99="--"),I99,IF(I99="--",1/(1/J99+1/K99),IF(J99="--",1/(1/I99+1/K99),IF(K99="--",1/(1/I99+1/J99),1/(1/I99+1/J99+1/K99)))))))</f>
        <v>201.31571747633836</v>
      </c>
      <c r="M99" s="252">
        <f>IF(AND(R99="--", V99="--"),"--",IF(R99="--",V99,IF(V99="--",R99,MIN(R99,V99))))</f>
        <v>917.68778945095642</v>
      </c>
      <c r="N99" s="239" t="str">
        <f>IF(M99="--","--",IF(M99=R99,"Cancer","Noncancer"))</f>
        <v>Noncancer</v>
      </c>
      <c r="O99" s="157" t="str">
        <f>IF(AK99="--","--",(TR*365*LT*BWa)/(AK99*EFci*EDci*IRSci*0.000001))</f>
        <v>--</v>
      </c>
      <c r="P99" s="157" t="str">
        <f t="shared" si="163"/>
        <v>--</v>
      </c>
      <c r="Q99" s="157" t="str">
        <f>IF(OR(AK99="--",AP99="--"),"--",(TR*365*LT*BWa)/((AK99/AQ99)*EFci*EDci*AdFci*SAci*AP99*0.000001))</f>
        <v>--</v>
      </c>
      <c r="R99" s="240" t="str">
        <f>IF(AND(O99="--",P99="--"),Q99,IF(AND(O99="--",Q99="--"),P99,IF(AND(P99="--",Q99="--"),O99,IF(O99="--",1/(1/P99+1/Q99),IF(P99="--",1/(1/O99+1/Q99),IF(Q99="--",1/(1/O99+1/P99),1/(1/O99+1/P99+1/Q99)))))))</f>
        <v>--</v>
      </c>
      <c r="S99" s="157">
        <f>IF(AM99="--","--",(THQ*EDci*365*BWa)/(EFci*EDci*(1/AM99)*IRSci*0.000001))</f>
        <v>22555.519794013522</v>
      </c>
      <c r="T99" s="157">
        <f t="shared" si="180"/>
        <v>956.60808787687097</v>
      </c>
      <c r="U99" s="157" t="str">
        <f t="shared" si="181"/>
        <v>--</v>
      </c>
      <c r="V99" s="254">
        <f>IF(AND(S99="--",T99="--"),U99,IF(AND(S99="--",U99="--"),T99,IF(AND(T99="--",U99="--"),S99,IF(S99="--",1/(1/T99+1/U99),IF(T99="--",1/(1/S99+1/U99),IF(U99="--",1/(1/S99+1/T99),1/(1/S99+1/T99+1/U99)))))))</f>
        <v>917.68778945095642</v>
      </c>
      <c r="W99" s="256">
        <f>IF(AND(AB99="--", AF99="--"),"--",IF(AB99="--",AF99,IF(AF99="--",AB99,MIN(AB99,AF99))))</f>
        <v>209.40605107540898</v>
      </c>
      <c r="X99" s="241" t="str">
        <f>IF(W99="--","--",IF(W99=AB99,"Cancer","Noncancer"))</f>
        <v>Noncancer</v>
      </c>
      <c r="Y99" s="157" t="str">
        <f>IF(AK99="--","--",(TR*365*LT*BWct)/(AK99*EFct*EDct*IRSct*0.000001))</f>
        <v>--</v>
      </c>
      <c r="Z99" s="157" t="str">
        <f t="shared" si="166"/>
        <v>--</v>
      </c>
      <c r="AA99" s="157" t="str">
        <f>IF(OR(AK99="--",AP99="--"),"--",(TR*365*LT*BWct)/((AK99/AQ99)*EFct*EDct*SAct*AdFct*AP99*0.000001))</f>
        <v>--</v>
      </c>
      <c r="AB99" s="242" t="str">
        <f>IF(AND(Y99="--",Z99="--"),AA99,IF(AND(Y99="--",AA99="--"),Z99,IF(AND(Z99="--",AA99="--"),Y99,IF(Y99="--",1/(1/Z99+1/AA99),IF(Z99="--",1/(1/Y99+1/AA99),IF(AA99="--",1/(1/Y99+1/Z99),1/(1/Y99+1/Z99+1/AA99)))))))</f>
        <v>--</v>
      </c>
      <c r="AC99" s="157">
        <f>IF(AM99="--","--",(THQ*EDct*365*BWct)/(EFct*EDct*(1/AM99)*IRSct*0.000001))</f>
        <v>6835.0059981859149</v>
      </c>
      <c r="AD99" s="157">
        <f t="shared" si="182"/>
        <v>216.02445462784814</v>
      </c>
      <c r="AE99" s="157" t="str">
        <f>IF(OR(AM99="--",AP99="--"),"--",(THQ*EDct*365*BWct)/(EFct*EDct*(1/(AM99*AQ99))*SAct*AdFct*AP99*0.000001))</f>
        <v>--</v>
      </c>
      <c r="AF99" s="382">
        <f>IF(AND(AC99="--",AD99="--"),AE99,IF(AND(AC99="--",AE99="--"),AD99,IF(AND(AD99="--",AE99="--"),AC99,IF(AC99="--",1/(1/AD99+1/AE99),IF(AD99="--",1/(1/AC99+1/AE99),IF(AE99="--",1/(1/AC99+1/AD99),1/(1/AC99+1/AD99+1/AE99)))))))</f>
        <v>209.40605107540898</v>
      </c>
      <c r="AG99" s="258" t="str">
        <f>VLOOKUP(A99,Table_IP_1,MATCH("volatility",heading_IP_1,0),FALSE)</f>
        <v>V</v>
      </c>
      <c r="AH99" s="159">
        <f t="shared" si="169"/>
        <v>1145.4639535361009</v>
      </c>
      <c r="AI99" s="159">
        <f t="shared" si="170"/>
        <v>1123.2198175380222</v>
      </c>
      <c r="AJ99" s="159">
        <f t="shared" si="171"/>
        <v>253.71035504648916</v>
      </c>
      <c r="AK99" s="2113" t="str">
        <f>VLOOKUP("Petroleum: Diesel (soil)",Table_IP_2,MATCH("SFo",heading_IP_2,0),FALSE)</f>
        <v>--</v>
      </c>
      <c r="AL99" s="2113" t="str">
        <f>VLOOKUP("Petroleum: Diesel (soil)",Table_IP_2,MATCH("IUR",heading_IP_2,0),FALSE)</f>
        <v>--</v>
      </c>
      <c r="AM99" s="2113">
        <f>VLOOKUP("Petroleum: Diesel (soil)",Table_IP_2,MATCH("RfDo",heading_IP_2,0),FALSE)</f>
        <v>1.931123270035404E-2</v>
      </c>
      <c r="AN99" s="2113">
        <f>VLOOKUP("Petroleum: Diesel (soil)",Table_IP_2,MATCH("RfC",heading_IP_2,0),FALSE)</f>
        <v>194.44444444444443</v>
      </c>
      <c r="AO99" s="2113" t="str">
        <f>VLOOKUP("Petroleum: Diesel (soil)",Table_IP_2,MATCH("mut",heading_IP_2,0),FALSE)</f>
        <v>--</v>
      </c>
      <c r="AP99" s="2113" t="str">
        <f>VLOOKUP("Petroleum: Diesel (soil)",Table_IP_2,MATCH("abs",heading_IP_2,0),FALSE)</f>
        <v>--</v>
      </c>
      <c r="AQ99" s="2114">
        <f>VLOOKUP("Petroleum: Diesel (soil)",Table_IP_2,MATCH("GIABS",heading_IP_2,0),FALSE)</f>
        <v>1</v>
      </c>
    </row>
    <row r="100" spans="1:43">
      <c r="A100" s="896" t="s">
        <v>267</v>
      </c>
      <c r="B100" s="346" t="s">
        <v>115</v>
      </c>
      <c r="C100" s="590" t="s">
        <v>115</v>
      </c>
      <c r="D100" s="494" t="str">
        <f>IF(C100="--","--",IF(C100=H100,"Cancer","Noncancer"))</f>
        <v>--</v>
      </c>
      <c r="E100" s="340"/>
      <c r="F100" s="340"/>
      <c r="G100" s="340"/>
      <c r="H100" s="363" t="s">
        <v>115</v>
      </c>
      <c r="I100" s="340"/>
      <c r="J100" s="340"/>
      <c r="K100" s="495"/>
      <c r="L100" s="882" t="s">
        <v>115</v>
      </c>
      <c r="M100" s="591" t="s">
        <v>115</v>
      </c>
      <c r="N100" s="557" t="s">
        <v>115</v>
      </c>
      <c r="O100" s="340"/>
      <c r="P100" s="340"/>
      <c r="Q100" s="340"/>
      <c r="R100" s="353" t="s">
        <v>115</v>
      </c>
      <c r="S100" s="340"/>
      <c r="T100" s="340"/>
      <c r="U100" s="340"/>
      <c r="V100" s="883" t="s">
        <v>115</v>
      </c>
      <c r="W100" s="591" t="s">
        <v>115</v>
      </c>
      <c r="X100" s="341" t="str">
        <f>IF(W100="--","--",IF(W100=AB100,"Cancer","Noncancer"))</f>
        <v>--</v>
      </c>
      <c r="Y100" s="340"/>
      <c r="Z100" s="340"/>
      <c r="AA100" s="340"/>
      <c r="AB100" s="363" t="s">
        <v>115</v>
      </c>
      <c r="AC100" s="340"/>
      <c r="AD100" s="340"/>
      <c r="AE100" s="340"/>
      <c r="AF100" s="884" t="s">
        <v>115</v>
      </c>
      <c r="AG100" s="592" t="str">
        <f>VLOOKUP(A100,Table_IP_1,MATCH("volatility",heading_IP_1,0),FALSE)</f>
        <v>NV</v>
      </c>
      <c r="AH100" s="593" t="str">
        <f t="shared" si="169"/>
        <v>--</v>
      </c>
      <c r="AI100" s="593" t="str">
        <f t="shared" si="170"/>
        <v>--</v>
      </c>
      <c r="AJ100" s="593" t="str">
        <f t="shared" si="171"/>
        <v>--</v>
      </c>
      <c r="AK100" s="353"/>
      <c r="AL100" s="347"/>
      <c r="AM100" s="347"/>
      <c r="AN100" s="347"/>
      <c r="AO100" s="347"/>
      <c r="AP100" s="347"/>
      <c r="AQ100" s="356"/>
    </row>
    <row r="101" spans="1:43">
      <c r="A101" s="136" t="s">
        <v>268</v>
      </c>
      <c r="B101" s="185" t="s">
        <v>115</v>
      </c>
      <c r="C101" s="245">
        <f t="shared" ref="C101:C128" si="217">IF(AND(H101="--", L101="--"),"--",IF(H101="--",L101,IF(L101="--",H101,MIN(H101,L101))))</f>
        <v>12032.967032967033</v>
      </c>
      <c r="D101" s="249" t="str">
        <f t="shared" ref="D101:D128" si="218">IF(C101="--","--",IF(C101=H101,"Cancer","Noncancer"))</f>
        <v>Noncancer</v>
      </c>
      <c r="E101" s="157" t="str">
        <f t="shared" ref="E101:E128" si="219">IF(AK101="--","--",
IF(AO101="--",
TR*365*LT/(AK101*IFSadj*0.000001),
TR*365*LT/(AK101*IFSmadj*0.000001)))</f>
        <v>--</v>
      </c>
      <c r="F101" s="157" t="str">
        <f t="shared" ref="F101:F128" si="220">IF(AL101="--", "--",
IF(AO101="--",
IF(AND(AG101="V",AH101&lt;&gt;"--"),(TR*365*LT)/(AL101*1000*EFr*(1/AH101+1/PEFr)*EDr*ETr*(1/24)),(TR*365*LT)/(AL101*1000*EFr*(1/PEFr)*EDr*ETr*(1/24))),
IF(AND(AG101="V",AH101&lt;&gt;"--"),(TR*365*LT)/(AL101*1000*(1/AH101+1/PEFr)*TETmadj),(TR*365*LT)/(AL101*1000*(1/PEFr)*TETmadj))))</f>
        <v>--</v>
      </c>
      <c r="G101" s="157" t="str">
        <f t="shared" ref="G101:G128" si="221">IF(OR(AK101="--",AP101="--"),"--",
IF(AO101="--",
(TR*365*LT)/((AK101/AQ101)*DFSadj*AP101*0.000001),
(TR*365*LT)/((AK101/AQ101)*DFSmadj*AP101*0.000001)))</f>
        <v>--</v>
      </c>
      <c r="H101" s="237" t="str">
        <f t="shared" ref="H101:H128" si="222">IF(AND(E101="--",F101="--"),G101,IF(AND(E101="--",G101="--"),F101,IF(AND(F101="--",G101="--"),E101,IF(E101="--",1/(1/F101+1/G101),IF(F101="--",1/(1/E101+1/G101),IF(G101="--",1/(1/E101+1/F101),1/(1/E101+1/F101+1/G101)))))))</f>
        <v>--</v>
      </c>
      <c r="I101" s="157">
        <f t="shared" ref="I101:I128" si="223">IF(AM101="--","--",(THQ*365*EDc*BWc)/(EFr*EDc*(1/AM101)*IRSc*0.000001))</f>
        <v>12032.967032967033</v>
      </c>
      <c r="J101" s="157" t="str">
        <f t="shared" ref="J101:J128" si="224">IF(AN101="--","--",IF(AND(AG101="V",AH101&lt;&gt;"--"),
(THQ*365*EDc)/(EFr*EDc*(1/(AN101/1000))*(1/AH101+1/PEFr)),
(THQ*365*EDc)/(EFr*EDc*(1/(AN101/1000))*1/PEFr)))</f>
        <v>--</v>
      </c>
      <c r="K101" s="238" t="str">
        <f t="shared" ref="K101:K145" si="225">IF(OR(AM101="--",AQ101="--",AP101="--"),"--",THQ*365*EDc*BWc/(EFr*EDc*(1/(AM101*AQ101))*SAc*AdFc*AP101*0.000001))</f>
        <v>--</v>
      </c>
      <c r="L101" s="198">
        <f t="shared" ref="L101:L128" si="226">IF(AND(I101="--",J101="--"),K101,IF(AND(I101="--",K101="--"),J101,IF(AND(J101="--",K101="--"),I101,IF(I101="--",1/(1/J101+1/K101),IF(J101="--",1/(1/I101+1/K101),IF(K101="--",1/(1/I101+1/J101),1/(1/I101+1/J101+1/K101)))))))</f>
        <v>12032.967032967033</v>
      </c>
      <c r="M101" s="252">
        <f t="shared" ref="M101:M128" si="227">IF(AND(R101="--", V101="--"),"--",IF(R101="--",V101,IF(V101="--",R101,MIN(R101,V101))))</f>
        <v>179692.30769230769</v>
      </c>
      <c r="N101" s="239" t="str">
        <f t="shared" ref="N101:N128" si="228">IF(M101="--","--",IF(M101=R101,"Cancer","Noncancer"))</f>
        <v>Noncancer</v>
      </c>
      <c r="O101" s="157" t="str">
        <f t="shared" ref="O101:O128" si="229">IF(AK101="--","--",(TR*365*LT*BWa)/(AK101*EFci*EDci*IRSci*0.000001))</f>
        <v>--</v>
      </c>
      <c r="P101" s="157" t="str">
        <f t="shared" ref="P101:P145" si="230">IF(AL101="--","--",IF(AND(AG101="V",AI101&lt;&gt;"--"),
(TR*365*LT)/(AL101*1000*EFci*(1/AI101+1/PEFc)*EDci*ETw*(1/24)),
(TR*365*LT)/(AL101*1000*EFci*(1/PEFc)*EDci*ETw*(1/24))))</f>
        <v>--</v>
      </c>
      <c r="Q101" s="157" t="str">
        <f t="shared" ref="Q101:Q128" si="231">IF(OR(AK101="--",AP101="--"),"--",(TR*365*LT*BWa)/((AK101/AQ101)*EFci*EDci*AdFci*SAci*AP101*0.000001))</f>
        <v>--</v>
      </c>
      <c r="R101" s="240" t="str">
        <f t="shared" ref="R101:R128" si="232">IF(AND(O101="--",P101="--"),Q101,IF(AND(O101="--",Q101="--"),P101,IF(AND(P101="--",Q101="--"),O101,IF(O101="--",1/(1/P101+1/Q101),IF(P101="--",1/(1/O101+1/Q101),IF(Q101="--",1/(1/O101+1/P101),1/(1/O101+1/P101+1/Q101)))))))</f>
        <v>--</v>
      </c>
      <c r="S101" s="157">
        <f t="shared" ref="S101:S128" si="233">IF(AM101="--","--",(THQ*EDci*365*BWa)/(EFci*EDci*(1/AM101)*IRSci*0.000001))</f>
        <v>179692.30769230769</v>
      </c>
      <c r="T101" s="157" t="str">
        <f t="shared" ref="T101:T145" si="234">IF(AN101="--","--",IF(AND(AG101="V",AI101&lt;&gt;"--"),
(THQ*EDci*365)/(EFci*EDci*(ETw/24)*(1/(AN101/1000))*((1/AI101)+(1/PEFc))),
(THQ*EDci*365)/(EFci*EDci*(ETw/24)*(1/(AN101/1000))*1/PEFc)))</f>
        <v>--</v>
      </c>
      <c r="U101" s="157" t="str">
        <f t="shared" ref="U101:U145" si="235">IF(OR(AM101="--",AP101="--"),"--",(THQ*EDci*365*BWa)/(EFci*EDci*(1/(AM101*AQ101))*SAci*AdFci*AP101*0.000001))</f>
        <v>--</v>
      </c>
      <c r="V101" s="254">
        <f t="shared" ref="V101:V128" si="236">IF(AND(S101="--",T101="--"),U101,IF(AND(S101="--",U101="--"),T101,IF(AND(T101="--",U101="--"),S101,IF(S101="--",1/(1/T101+1/U101),IF(T101="--",1/(1/S101+1/U101),IF(U101="--",1/(1/S101+1/T101),1/(1/S101+1/T101+1/U101)))))))</f>
        <v>179692.30769230769</v>
      </c>
      <c r="W101" s="256">
        <f t="shared" ref="W101:W128" si="237">IF(AND(AB101="--", AF101="--"),"--",IF(AB101="--",AF101,IF(AF101="--",AB101,MIN(AB101,AF101))))</f>
        <v>54452.214452214452</v>
      </c>
      <c r="X101" s="241" t="str">
        <f t="shared" ref="X101:X128" si="238">IF(W101="--","--",IF(W101=AB101,"Cancer","Noncancer"))</f>
        <v>Noncancer</v>
      </c>
      <c r="Y101" s="157" t="str">
        <f t="shared" ref="Y101:Y128" si="239">IF(AK101="--","--",(TR*365*LT*BWct)/(AK101*EFct*EDct*IRSct*0.000001))</f>
        <v>--</v>
      </c>
      <c r="Z101" s="157" t="str">
        <f t="shared" ref="Z101:Z145" si="240">IF(AL101="--","--",IF(AND(AG101="V",AJ101&lt;&gt;"--"),
(TR*365*LT)/(AL101*1000*EFct*(1/AJ101+1/PEFct)*EDct*ETw*(1/24)),
(TR*365*LT)/(AL101*1000*EFct*(1/PEFct)*EDct*ETw*(1/24))))</f>
        <v>--</v>
      </c>
      <c r="AA101" s="157" t="str">
        <f t="shared" ref="AA101:AA128" si="241">IF(OR(AK101="--",AP101="--"),"--",(TR*365*LT*BWct)/((AK101/AQ101)*EFct*EDct*SAct*AdFct*AP101*0.000001))</f>
        <v>--</v>
      </c>
      <c r="AB101" s="242" t="str">
        <f t="shared" ref="AB101:AB128" si="242">IF(AND(Y101="--",Z101="--"),AA101,IF(AND(Y101="--",AA101="--"),Z101,IF(AND(Z101="--",AA101="--"),Y101,IF(Y101="--",1/(1/Z101+1/AA101),IF(Z101="--",1/(1/Y101+1/AA101),IF(AA101="--",1/(1/Y101+1/Z101),1/(1/Y101+1/Z101+1/AA101)))))))</f>
        <v>--</v>
      </c>
      <c r="AC101" s="157">
        <f t="shared" ref="AC101:AC128" si="243">IF(AM101="--","--",(THQ*EDct*365*BWct)/(EFct*EDct*(1/AM101)*IRSct*0.000001))</f>
        <v>54452.214452214452</v>
      </c>
      <c r="AD101" s="157" t="str">
        <f t="shared" ref="AD101:AD145" si="244">IF(AN101="--","--",IF(AND(AG101="V",AJ101&lt;&gt;"--"),
(THQ*EDct*365)/(EFct*EDct*(ETw/24)*(1/(AN101/1000))*(1/AJ101+1/PEFct)),
(THQ*EDct*365)/(EFct*EDct*(ETw/24)*(1/(AN101/1000))*1/PEFct)))</f>
        <v>--</v>
      </c>
      <c r="AE101" s="157" t="str">
        <f t="shared" ref="AE101:AE128" si="245">IF(OR(AM101="--",AP101="--"),"--",(THQ*EDct*365*BWct)/(EFct*EDct*(1/(AM101*AQ101))*SAct*AdFct*AP101*0.000001))</f>
        <v>--</v>
      </c>
      <c r="AF101" s="382">
        <f t="shared" ref="AF101:AF128" si="246">IF(AND(AC101="--",AD101="--"),AE101,IF(AND(AC101="--",AE101="--"),AD101,IF(AND(AD101="--",AE101="--"),AC101,IF(AC101="--",1/(1/AD101+1/AE101),IF(AD101="--",1/(1/AC101+1/AE101),IF(AE101="--",1/(1/AC101+1/AD101),1/(1/AC101+1/AD101+1/AE101)))))))</f>
        <v>54452.214452214452</v>
      </c>
      <c r="AG101" s="258" t="str">
        <f t="shared" ref="AG101:AG128" si="247">VLOOKUP(A101,Table_IP_1,MATCH("volatility",heading_IP_1,0),FALSE)</f>
        <v>NV</v>
      </c>
      <c r="AH101" s="159" t="str">
        <f t="shared" si="169"/>
        <v>--</v>
      </c>
      <c r="AI101" s="159" t="str">
        <f t="shared" si="170"/>
        <v>--</v>
      </c>
      <c r="AJ101" s="159" t="str">
        <f t="shared" si="171"/>
        <v>--</v>
      </c>
      <c r="AK101" s="2113" t="str">
        <f>VLOOKUP("Petroleum: Motor Oil (soil)",Table_IP_2,MATCH("SFo",heading_IP_2,0),FALSE)</f>
        <v>--</v>
      </c>
      <c r="AL101" s="2113" t="str">
        <f>VLOOKUP("Petroleum: Motor Oil (soil)",Table_IP_2,MATCH("IUR",heading_IP_2,0),FALSE)</f>
        <v>--</v>
      </c>
      <c r="AM101" s="2113">
        <f>VLOOKUP("Petroleum: Motor Oil (soil)",Table_IP_2,MATCH("RfDo",heading_IP_2,0),FALSE)</f>
        <v>0.15384615384615385</v>
      </c>
      <c r="AN101" s="2113" t="str">
        <f>VLOOKUP("Petroleum: Motor Oil (soil)",Table_IP_2,MATCH("RfC",heading_IP_2,0),FALSE)</f>
        <v>--</v>
      </c>
      <c r="AO101" s="2113" t="str">
        <f>VLOOKUP("Petroleum: Motor Oil (soil)",Table_IP_2,MATCH("mut",heading_IP_2,0),FALSE)</f>
        <v>--</v>
      </c>
      <c r="AP101" s="2113" t="str">
        <f>VLOOKUP("Petroleum: Motor Oil (soil)",Table_IP_2,MATCH("abs",heading_IP_2,0),FALSE)</f>
        <v>--</v>
      </c>
      <c r="AQ101" s="2114">
        <f>VLOOKUP("Petroleum: Motor Oil (soil)",Table_IP_2,MATCH("GIABS",heading_IP_2,0),FALSE)</f>
        <v>1</v>
      </c>
    </row>
    <row r="102" spans="1:43">
      <c r="A102" s="1408" t="s">
        <v>719</v>
      </c>
      <c r="B102" s="1468" t="s">
        <v>115</v>
      </c>
      <c r="C102" s="245">
        <f t="shared" ref="C102:C106" si="248">IF(AND(H102="--", L102="--"),"--",IF(H102="--",L102,IF(L102="--",H102,MIN(H102,L102))))</f>
        <v>593.37328971552336</v>
      </c>
      <c r="D102" s="249" t="str">
        <f t="shared" ref="D102:D106" si="249">IF(C102="--","--",IF(C102=H102,"Cancer","Noncancer"))</f>
        <v>Noncancer</v>
      </c>
      <c r="E102" s="157" t="str">
        <f t="shared" ref="E102:E106" si="250">IF(AK102="--","--",
IF(AO102="--",
TR*365*LT/(AK102*IFSadj*0.000001),
TR*365*LT/(AK102*IFSmadj*0.000001)))</f>
        <v>--</v>
      </c>
      <c r="F102" s="157" t="str">
        <f t="shared" ref="F102:F106" si="251">IF(AL102="--", "--",
IF(AO102="--",
IF(AND(AG102="V",AH102&lt;&gt;"--"),(TR*365*LT)/(AL102*1000*EFr*(1/AH102+1/PEFr)*EDr*ETr*(1/24)),(TR*365*LT)/(AL102*1000*EFr*(1/PEFr)*EDr*ETr*(1/24))),
IF(AND(AG102="V",AH102&lt;&gt;"--"),(TR*365*LT)/(AL102*1000*(1/AH102+1/PEFr)*TETmadj),(TR*365*LT)/(AL102*1000*(1/PEFr)*TETmadj))))</f>
        <v>--</v>
      </c>
      <c r="G102" s="157" t="str">
        <f t="shared" ref="G102:G106" si="252">IF(OR(AK102="--",AP102="--"),"--",
IF(AO102="--",
(TR*365*LT)/((AK102/AQ102)*DFSadj*AP102*0.000001),
(TR*365*LT)/((AK102/AQ102)*DFSmadj*AP102*0.000001)))</f>
        <v>--</v>
      </c>
      <c r="H102" s="237" t="str">
        <f t="shared" ref="H102:H106" si="253">IF(AND(E102="--",F102="--"),G102,IF(AND(E102="--",G102="--"),F102,IF(AND(F102="--",G102="--"),E102,IF(E102="--",1/(1/F102+1/G102),IF(F102="--",1/(1/E102+1/G102),IF(G102="--",1/(1/E102+1/F102),1/(1/E102+1/F102+1/G102)))))))</f>
        <v>--</v>
      </c>
      <c r="I102" s="157">
        <f t="shared" ref="I102:I106" si="254">IF(AM102="--","--",(THQ*365*EDc*BWc)/(EFr*EDc*(1/AM102)*IRSc*0.000001))</f>
        <v>23464.285714285717</v>
      </c>
      <c r="J102" s="157">
        <f t="shared" ref="J102:J106" si="255">IF(AN102="--","--",IF(AND(AG102="V",AH102&lt;&gt;"--"),
(THQ*365*EDc)/(EFr*EDc*(1/(AN102/1000))*(1/AH102+1/PEFr)),
(THQ*365*EDc)/(EFr*EDc*(1/(AN102/1000))*1/PEFr)))</f>
        <v>608.76803455174468</v>
      </c>
      <c r="K102" s="238" t="str">
        <f t="shared" si="225"/>
        <v>--</v>
      </c>
      <c r="L102" s="198">
        <f>IF(AND(I102="--",J102="--"),K102,IF(AND(I102="--",K102="--"),J102,IF(AND(J102="--",K102="--"),I102,IF(I102="--",1/(1/J102+1/K102),IF(J102="--",1/(1/I102+1/K102),IF(K102="--",1/(1/I102+1/J102),1/(1/I102+1/J102+1/K102)))))))</f>
        <v>593.37328971552336</v>
      </c>
      <c r="M102" s="252">
        <f t="shared" ref="M102:M106" si="256">IF(AND(R102="--", V102="--"),"--",IF(R102="--",V102,IF(V102="--",R102,MIN(R102,V102))))</f>
        <v>2489.362120562751</v>
      </c>
      <c r="N102" s="239" t="str">
        <f t="shared" ref="N102:N106" si="257">IF(M102="--","--",IF(M102=R102,"Cancer","Noncancer"))</f>
        <v>Noncancer</v>
      </c>
      <c r="O102" s="157" t="str">
        <f t="shared" ref="O102:O106" si="258">IF(AK102="--","--",(TR*365*LT*BWa)/(AK102*EFci*EDci*IRSci*0.000001))</f>
        <v>--</v>
      </c>
      <c r="P102" s="157" t="str">
        <f t="shared" si="230"/>
        <v>--</v>
      </c>
      <c r="Q102" s="157" t="str">
        <f t="shared" ref="Q102:Q106" si="259">IF(OR(AK102="--",AP102="--"),"--",(TR*365*LT*BWa)/((AK102/AQ102)*EFci*EDci*AdFci*SAci*AP102*0.000001))</f>
        <v>--</v>
      </c>
      <c r="R102" s="240" t="str">
        <f t="shared" ref="R102:R106" si="260">IF(AND(O102="--",P102="--"),Q102,IF(AND(O102="--",Q102="--"),P102,IF(AND(P102="--",Q102="--"),O102,IF(O102="--",1/(1/P102+1/Q102),IF(P102="--",1/(1/O102+1/Q102),IF(Q102="--",1/(1/O102+1/P102),1/(1/O102+1/P102+1/Q102)))))))</f>
        <v>--</v>
      </c>
      <c r="S102" s="157">
        <f t="shared" ref="S102:S106" si="261">IF(AM102="--","--",(THQ*EDci*365*BWa)/(EFci*EDci*(1/AM102)*IRSci*0.000001))</f>
        <v>350400</v>
      </c>
      <c r="T102" s="157">
        <f t="shared" si="234"/>
        <v>2507.1739466255112</v>
      </c>
      <c r="U102" s="157" t="str">
        <f t="shared" si="235"/>
        <v>--</v>
      </c>
      <c r="V102" s="254">
        <f t="shared" ref="V102:V106" si="262">IF(AND(S102="--",T102="--"),U102,IF(AND(S102="--",U102="--"),T102,IF(AND(T102="--",U102="--"),S102,IF(S102="--",1/(1/T102+1/U102),IF(T102="--",1/(1/S102+1/U102),IF(U102="--",1/(1/S102+1/T102),1/(1/S102+1/T102+1/U102)))))))</f>
        <v>2489.362120562751</v>
      </c>
      <c r="W102" s="256">
        <f t="shared" ref="W102:W106" si="263">IF(AND(AB102="--", AF102="--"),"--",IF(AB102="--",AF102,IF(AF102="--",AB102,MIN(AB102,AF102))))</f>
        <v>563.21218932307477</v>
      </c>
      <c r="X102" s="241" t="str">
        <f t="shared" ref="X102:X106" si="264">IF(W102="--","--",IF(W102=AB102,"Cancer","Noncancer"))</f>
        <v>Noncancer</v>
      </c>
      <c r="Y102" s="157" t="str">
        <f t="shared" ref="Y102:Y106" si="265">IF(AK102="--","--",(TR*365*LT*BWct)/(AK102*EFct*EDct*IRSct*0.000001))</f>
        <v>--</v>
      </c>
      <c r="Z102" s="157" t="str">
        <f t="shared" si="240"/>
        <v>--</v>
      </c>
      <c r="AA102" s="157" t="str">
        <f t="shared" ref="AA102:AA106" si="266">IF(OR(AK102="--",AP102="--"),"--",(TR*365*LT*BWct)/((AK102/AQ102)*EFct*EDct*SAct*AdFct*AP102*0.000001))</f>
        <v>--</v>
      </c>
      <c r="AB102" s="242" t="str">
        <f t="shared" ref="AB102:AB106" si="267">IF(AND(Y102="--",Z102="--"),AA102,IF(AND(Y102="--",AA102="--"),Z102,IF(AND(Z102="--",AA102="--"),Y102,IF(Y102="--",1/(1/Z102+1/AA102),IF(Z102="--",1/(1/Y102+1/AA102),IF(AA102="--",1/(1/Y102+1/Z102),1/(1/Y102+1/Z102+1/AA102)))))))</f>
        <v>--</v>
      </c>
      <c r="AC102" s="157">
        <f t="shared" ref="AC102:AC106" si="268">IF(AM102="--","--",(THQ*EDct*365*BWct)/(EFct*EDct*(1/AM102)*IRSct*0.000001))</f>
        <v>106181.81818181819</v>
      </c>
      <c r="AD102" s="157">
        <f t="shared" si="244"/>
        <v>566.21552351046807</v>
      </c>
      <c r="AE102" s="157" t="str">
        <f t="shared" ref="AE102:AE106" si="269">IF(OR(AM102="--",AP102="--"),"--",(THQ*EDct*365*BWct)/(EFct*EDct*(1/(AM102*AQ102))*SAct*AdFct*AP102*0.000001))</f>
        <v>--</v>
      </c>
      <c r="AF102" s="382">
        <f t="shared" ref="AF102:AF106" si="270">IF(AND(AC102="--",AD102="--"),AE102,IF(AND(AC102="--",AE102="--"),AD102,IF(AND(AD102="--",AE102="--"),AC102,IF(AC102="--",1/(1/AD102+1/AE102),IF(AD102="--",1/(1/AC102+1/AE102),IF(AE102="--",1/(1/AC102+1/AD102),1/(1/AC102+1/AD102+1/AE102)))))))</f>
        <v>563.21218932307477</v>
      </c>
      <c r="AG102" s="258" t="str">
        <f t="shared" ref="AG102:AG106" si="271">VLOOKUP(A102,Table_IP_1,MATCH("volatility",heading_IP_1,0),FALSE)</f>
        <v>V</v>
      </c>
      <c r="AH102" s="159">
        <f t="shared" ref="AH102:AH106" si="272">VLOOKUP($A102, Table_IP_1, MATCH("VFr", heading_IP_1, 0), FALSE)</f>
        <v>833.92932580569038</v>
      </c>
      <c r="AI102" s="159">
        <f t="shared" ref="AI102:AI106" si="273">VLOOKUP($A102, Table_IP_1, MATCH("VFc", heading_IP_1, 0), FALSE)</f>
        <v>817.73498177701742</v>
      </c>
      <c r="AJ102" s="159">
        <f t="shared" ref="AJ102:AJ106" si="274">VLOOKUP($A102, Table_IP_1, MATCH("VFcw", heading_IP_1, 0), FALSE)</f>
        <v>184.70813043107509</v>
      </c>
      <c r="AK102" s="158" t="str">
        <f t="shared" ref="AK102:AK106" si="275">VLOOKUP(A102,Table_IP_2,MATCH("SFo",heading_IP_2,0),FALSE)</f>
        <v>--</v>
      </c>
      <c r="AL102" s="158" t="str">
        <f t="shared" ref="AL102:AL106" si="276">VLOOKUP(A102,Table_IP_2,MATCH("IUR",heading_IP_2,0),FALSE)</f>
        <v>--</v>
      </c>
      <c r="AM102" s="158">
        <f t="shared" ref="AM102:AM106" si="277">VLOOKUP(A102,Table_IP_2,MATCH("RfDo",heading_IP_2,0),FALSE)</f>
        <v>0.3</v>
      </c>
      <c r="AN102" s="158">
        <f t="shared" ref="AN102:AN106" si="278">VLOOKUP(A102,Table_IP_2,MATCH("RfC",heading_IP_2,0),FALSE)</f>
        <v>700</v>
      </c>
      <c r="AO102" s="158" t="str">
        <f t="shared" ref="AO102:AO106" si="279">VLOOKUP(A102,Table_IP_2,MATCH("mut",heading_IP_2,0),FALSE)</f>
        <v>--</v>
      </c>
      <c r="AP102" s="158" t="str">
        <f t="shared" ref="AP102:AP106" si="280">VLOOKUP(A102,Table_IP_2,MATCH("abs",heading_IP_2,0),FALSE)</f>
        <v>--</v>
      </c>
      <c r="AQ102" s="168">
        <f t="shared" ref="AQ102:AQ106" si="281">VLOOKUP(A102,Table_IP_2,MATCH("GIABS",heading_IP_2,0),FALSE)</f>
        <v>1</v>
      </c>
    </row>
    <row r="103" spans="1:43">
      <c r="A103" s="1408" t="s">
        <v>720</v>
      </c>
      <c r="B103" s="1468" t="s">
        <v>115</v>
      </c>
      <c r="C103" s="245">
        <f t="shared" si="248"/>
        <v>95.507007396229454</v>
      </c>
      <c r="D103" s="249" t="str">
        <f t="shared" si="249"/>
        <v>Noncancer</v>
      </c>
      <c r="E103" s="157" t="str">
        <f t="shared" si="250"/>
        <v>--</v>
      </c>
      <c r="F103" s="157" t="str">
        <f t="shared" si="251"/>
        <v>--</v>
      </c>
      <c r="G103" s="157" t="str">
        <f t="shared" si="252"/>
        <v>--</v>
      </c>
      <c r="H103" s="237" t="str">
        <f t="shared" si="253"/>
        <v>--</v>
      </c>
      <c r="I103" s="157">
        <f>IF(AM103="--","--",(THQ*365*EDc*BWc)/(EFr*EDc*(1/AM103)*IRSc*0.000001))</f>
        <v>782.14285714285711</v>
      </c>
      <c r="J103" s="157">
        <f t="shared" si="255"/>
        <v>108.79147028168663</v>
      </c>
      <c r="K103" s="238" t="str">
        <f t="shared" si="225"/>
        <v>--</v>
      </c>
      <c r="L103" s="198">
        <f t="shared" ref="L103:L106" si="282">IF(AND(I103="--",J103="--"),K103,IF(AND(I103="--",K103="--"),J103,IF(AND(J103="--",K103="--"),I103,IF(I103="--",1/(1/J103+1/K103),IF(J103="--",1/(1/I103+1/K103),IF(K103="--",1/(1/I103+1/J103),1/(1/I103+1/J103+1/K103)))))))</f>
        <v>95.507007396229454</v>
      </c>
      <c r="M103" s="252">
        <f t="shared" si="256"/>
        <v>431.4985103546411</v>
      </c>
      <c r="N103" s="239" t="str">
        <f t="shared" si="257"/>
        <v>Noncancer</v>
      </c>
      <c r="O103" s="157" t="str">
        <f t="shared" si="258"/>
        <v>--</v>
      </c>
      <c r="P103" s="157" t="str">
        <f t="shared" si="230"/>
        <v>--</v>
      </c>
      <c r="Q103" s="157" t="str">
        <f t="shared" si="259"/>
        <v>--</v>
      </c>
      <c r="R103" s="240" t="str">
        <f t="shared" si="260"/>
        <v>--</v>
      </c>
      <c r="S103" s="157">
        <f t="shared" si="261"/>
        <v>11680</v>
      </c>
      <c r="T103" s="157">
        <f t="shared" si="234"/>
        <v>448.05102311464475</v>
      </c>
      <c r="U103" s="157" t="str">
        <f t="shared" si="235"/>
        <v>--</v>
      </c>
      <c r="V103" s="254">
        <f t="shared" si="262"/>
        <v>431.4985103546411</v>
      </c>
      <c r="W103" s="256">
        <f t="shared" si="263"/>
        <v>98.370395478443996</v>
      </c>
      <c r="X103" s="241" t="str">
        <f t="shared" si="264"/>
        <v>Noncancer</v>
      </c>
      <c r="Y103" s="157" t="str">
        <f t="shared" si="265"/>
        <v>--</v>
      </c>
      <c r="Z103" s="157" t="str">
        <f t="shared" si="240"/>
        <v>--</v>
      </c>
      <c r="AA103" s="157" t="str">
        <f t="shared" si="266"/>
        <v>--</v>
      </c>
      <c r="AB103" s="242" t="str">
        <f t="shared" si="267"/>
        <v>--</v>
      </c>
      <c r="AC103" s="157">
        <f t="shared" si="268"/>
        <v>3539.3939393939395</v>
      </c>
      <c r="AD103" s="157">
        <f t="shared" si="244"/>
        <v>101.18256301612217</v>
      </c>
      <c r="AE103" s="157" t="str">
        <f t="shared" si="269"/>
        <v>--</v>
      </c>
      <c r="AF103" s="382">
        <f t="shared" si="270"/>
        <v>98.370395478443996</v>
      </c>
      <c r="AG103" s="258" t="str">
        <f t="shared" si="271"/>
        <v>V</v>
      </c>
      <c r="AH103" s="159">
        <f t="shared" si="272"/>
        <v>1043.2066796188317</v>
      </c>
      <c r="AI103" s="159">
        <f t="shared" si="273"/>
        <v>1022.9483107859152</v>
      </c>
      <c r="AJ103" s="159">
        <f t="shared" si="274"/>
        <v>231.06125361335637</v>
      </c>
      <c r="AK103" s="158" t="str">
        <f t="shared" si="275"/>
        <v>--</v>
      </c>
      <c r="AL103" s="158" t="str">
        <f t="shared" si="276"/>
        <v>--</v>
      </c>
      <c r="AM103" s="158">
        <f t="shared" si="277"/>
        <v>0.01</v>
      </c>
      <c r="AN103" s="158">
        <f t="shared" si="278"/>
        <v>100</v>
      </c>
      <c r="AO103" s="158" t="str">
        <f t="shared" si="279"/>
        <v>--</v>
      </c>
      <c r="AP103" s="158" t="str">
        <f t="shared" si="280"/>
        <v>--</v>
      </c>
      <c r="AQ103" s="168">
        <f t="shared" si="281"/>
        <v>1</v>
      </c>
    </row>
    <row r="104" spans="1:43">
      <c r="A104" s="1408" t="s">
        <v>721</v>
      </c>
      <c r="B104" s="1468" t="s">
        <v>115</v>
      </c>
      <c r="C104" s="245">
        <f t="shared" si="248"/>
        <v>234642.85714285716</v>
      </c>
      <c r="D104" s="249" t="str">
        <f t="shared" si="249"/>
        <v>Noncancer</v>
      </c>
      <c r="E104" s="157" t="str">
        <f t="shared" si="250"/>
        <v>--</v>
      </c>
      <c r="F104" s="157" t="str">
        <f t="shared" si="251"/>
        <v>--</v>
      </c>
      <c r="G104" s="157" t="str">
        <f t="shared" si="252"/>
        <v>--</v>
      </c>
      <c r="H104" s="237" t="str">
        <f t="shared" si="253"/>
        <v>--</v>
      </c>
      <c r="I104" s="157">
        <f t="shared" si="254"/>
        <v>234642.85714285716</v>
      </c>
      <c r="J104" s="157" t="str">
        <f t="shared" si="255"/>
        <v>--</v>
      </c>
      <c r="K104" s="238" t="str">
        <f t="shared" si="225"/>
        <v>--</v>
      </c>
      <c r="L104" s="198">
        <f t="shared" si="282"/>
        <v>234642.85714285716</v>
      </c>
      <c r="M104" s="252">
        <f t="shared" si="256"/>
        <v>3504000.0000000005</v>
      </c>
      <c r="N104" s="239" t="str">
        <f t="shared" si="257"/>
        <v>Noncancer</v>
      </c>
      <c r="O104" s="157" t="str">
        <f t="shared" si="258"/>
        <v>--</v>
      </c>
      <c r="P104" s="157" t="str">
        <f t="shared" si="230"/>
        <v>--</v>
      </c>
      <c r="Q104" s="157" t="str">
        <f t="shared" si="259"/>
        <v>--</v>
      </c>
      <c r="R104" s="240" t="str">
        <f t="shared" si="260"/>
        <v>--</v>
      </c>
      <c r="S104" s="157">
        <f t="shared" si="261"/>
        <v>3504000.0000000005</v>
      </c>
      <c r="T104" s="157" t="str">
        <f t="shared" si="234"/>
        <v>--</v>
      </c>
      <c r="U104" s="157" t="str">
        <f t="shared" si="235"/>
        <v>--</v>
      </c>
      <c r="V104" s="254">
        <f t="shared" si="262"/>
        <v>3504000.0000000005</v>
      </c>
      <c r="W104" s="256">
        <f t="shared" si="263"/>
        <v>1061818.1818181819</v>
      </c>
      <c r="X104" s="241" t="str">
        <f t="shared" si="264"/>
        <v>Noncancer</v>
      </c>
      <c r="Y104" s="157" t="str">
        <f t="shared" si="265"/>
        <v>--</v>
      </c>
      <c r="Z104" s="157" t="str">
        <f t="shared" si="240"/>
        <v>--</v>
      </c>
      <c r="AA104" s="157" t="str">
        <f t="shared" si="266"/>
        <v>--</v>
      </c>
      <c r="AB104" s="242" t="str">
        <f t="shared" si="267"/>
        <v>--</v>
      </c>
      <c r="AC104" s="157">
        <f t="shared" si="268"/>
        <v>1061818.1818181819</v>
      </c>
      <c r="AD104" s="157" t="str">
        <f t="shared" si="244"/>
        <v>--</v>
      </c>
      <c r="AE104" s="157" t="str">
        <f t="shared" si="269"/>
        <v>--</v>
      </c>
      <c r="AF104" s="382">
        <f t="shared" si="270"/>
        <v>1061818.1818181819</v>
      </c>
      <c r="AG104" s="258" t="str">
        <f t="shared" si="271"/>
        <v>V</v>
      </c>
      <c r="AH104" s="159">
        <f t="shared" si="272"/>
        <v>1382.9846396928767</v>
      </c>
      <c r="AI104" s="159">
        <f t="shared" si="273"/>
        <v>1356.1280124602044</v>
      </c>
      <c r="AJ104" s="159">
        <f t="shared" si="274"/>
        <v>306.31913197892021</v>
      </c>
      <c r="AK104" s="158" t="str">
        <f t="shared" si="275"/>
        <v>--</v>
      </c>
      <c r="AL104" s="158" t="str">
        <f t="shared" si="276"/>
        <v>--</v>
      </c>
      <c r="AM104" s="158">
        <f t="shared" si="277"/>
        <v>3</v>
      </c>
      <c r="AN104" s="158" t="str">
        <f t="shared" si="278"/>
        <v>--</v>
      </c>
      <c r="AO104" s="158" t="str">
        <f t="shared" si="279"/>
        <v>--</v>
      </c>
      <c r="AP104" s="158" t="str">
        <f t="shared" si="280"/>
        <v>--</v>
      </c>
      <c r="AQ104" s="168">
        <f t="shared" si="281"/>
        <v>1</v>
      </c>
    </row>
    <row r="105" spans="1:43">
      <c r="A105" s="1408" t="s">
        <v>722</v>
      </c>
      <c r="B105" s="1468" t="s">
        <v>115</v>
      </c>
      <c r="C105" s="245">
        <f t="shared" si="248"/>
        <v>346.22093007435171</v>
      </c>
      <c r="D105" s="249" t="str">
        <f t="shared" si="249"/>
        <v>Noncancer</v>
      </c>
      <c r="E105" s="157" t="str">
        <f t="shared" si="250"/>
        <v>--</v>
      </c>
      <c r="F105" s="157" t="str">
        <f t="shared" si="251"/>
        <v>--</v>
      </c>
      <c r="G105" s="157" t="str">
        <f t="shared" si="252"/>
        <v>--</v>
      </c>
      <c r="H105" s="237" t="str">
        <f t="shared" si="253"/>
        <v>--</v>
      </c>
      <c r="I105" s="157">
        <f t="shared" si="254"/>
        <v>2346.4285714285716</v>
      </c>
      <c r="J105" s="157">
        <f>IF(AN105="--","--",IF(AND(AG105="V",AH105&lt;&gt;"--"),
(THQ*365*EDc)/(EFr*EDc*(1/(AN105/1000))*(1/AH105+1/PEFr)),
(THQ*365*EDc)/(EFr*EDc*(1/(AN105/1000))*1/PEFr)))</f>
        <v>406.14917449421262</v>
      </c>
      <c r="K105" s="238" t="str">
        <f t="shared" si="225"/>
        <v>--</v>
      </c>
      <c r="L105" s="198">
        <f t="shared" si="282"/>
        <v>346.22093007435171</v>
      </c>
      <c r="M105" s="252">
        <f t="shared" si="256"/>
        <v>1596.4892826719533</v>
      </c>
      <c r="N105" s="239" t="str">
        <f t="shared" si="257"/>
        <v>Noncancer</v>
      </c>
      <c r="O105" s="157" t="str">
        <f t="shared" si="258"/>
        <v>--</v>
      </c>
      <c r="P105" s="157" t="str">
        <f t="shared" si="230"/>
        <v>--</v>
      </c>
      <c r="Q105" s="157" t="str">
        <f t="shared" si="259"/>
        <v>--</v>
      </c>
      <c r="R105" s="240" t="str">
        <f t="shared" si="260"/>
        <v>--</v>
      </c>
      <c r="S105" s="157">
        <f t="shared" si="261"/>
        <v>35039.999999999993</v>
      </c>
      <c r="T105" s="157">
        <f t="shared" si="234"/>
        <v>1672.7007202578347</v>
      </c>
      <c r="U105" s="157" t="str">
        <f t="shared" si="235"/>
        <v>--</v>
      </c>
      <c r="V105" s="254">
        <f t="shared" si="262"/>
        <v>1596.4892826719533</v>
      </c>
      <c r="W105" s="256">
        <f t="shared" si="263"/>
        <v>364.26767967195309</v>
      </c>
      <c r="X105" s="241" t="str">
        <f t="shared" si="264"/>
        <v>Noncancer</v>
      </c>
      <c r="Y105" s="157" t="str">
        <f t="shared" si="265"/>
        <v>--</v>
      </c>
      <c r="Z105" s="157" t="str">
        <f t="shared" si="240"/>
        <v>--</v>
      </c>
      <c r="AA105" s="157" t="str">
        <f t="shared" si="266"/>
        <v>--</v>
      </c>
      <c r="AB105" s="242" t="str">
        <f t="shared" si="267"/>
        <v>--</v>
      </c>
      <c r="AC105" s="157">
        <f t="shared" si="268"/>
        <v>10618.181818181818</v>
      </c>
      <c r="AD105" s="157">
        <f t="shared" si="244"/>
        <v>377.2081959139656</v>
      </c>
      <c r="AE105" s="157" t="str">
        <f t="shared" si="269"/>
        <v>--</v>
      </c>
      <c r="AF105" s="382">
        <f t="shared" si="270"/>
        <v>364.26767967195309</v>
      </c>
      <c r="AG105" s="258" t="str">
        <f t="shared" si="271"/>
        <v>V</v>
      </c>
      <c r="AH105" s="159">
        <f t="shared" si="272"/>
        <v>7789.2068618945659</v>
      </c>
      <c r="AI105" s="159">
        <f t="shared" si="273"/>
        <v>7637.9457277329266</v>
      </c>
      <c r="AJ105" s="159">
        <f t="shared" si="274"/>
        <v>1725.2419269599807</v>
      </c>
      <c r="AK105" s="158" t="str">
        <f t="shared" si="275"/>
        <v>--</v>
      </c>
      <c r="AL105" s="158" t="str">
        <f t="shared" si="276"/>
        <v>--</v>
      </c>
      <c r="AM105" s="158">
        <f t="shared" si="277"/>
        <v>0.03</v>
      </c>
      <c r="AN105" s="158">
        <f t="shared" si="278"/>
        <v>50</v>
      </c>
      <c r="AO105" s="158" t="str">
        <f t="shared" si="279"/>
        <v>--</v>
      </c>
      <c r="AP105" s="158" t="str">
        <f t="shared" si="280"/>
        <v>--</v>
      </c>
      <c r="AQ105" s="168">
        <f t="shared" si="281"/>
        <v>1</v>
      </c>
    </row>
    <row r="106" spans="1:43">
      <c r="A106" s="1408" t="s">
        <v>723</v>
      </c>
      <c r="B106" s="1468" t="s">
        <v>115</v>
      </c>
      <c r="C106" s="245">
        <f t="shared" si="248"/>
        <v>2390.9784779183856</v>
      </c>
      <c r="D106" s="249" t="str">
        <f t="shared" si="249"/>
        <v>Noncancer</v>
      </c>
      <c r="E106" s="157" t="str">
        <f t="shared" si="250"/>
        <v>--</v>
      </c>
      <c r="F106" s="157" t="str">
        <f t="shared" si="251"/>
        <v>--</v>
      </c>
      <c r="G106" s="157" t="str">
        <f t="shared" si="252"/>
        <v>--</v>
      </c>
      <c r="H106" s="237" t="str">
        <f t="shared" si="253"/>
        <v>--</v>
      </c>
      <c r="I106" s="157">
        <f t="shared" si="254"/>
        <v>3128.5714285714284</v>
      </c>
      <c r="J106" s="157" t="str">
        <f t="shared" si="255"/>
        <v>--</v>
      </c>
      <c r="K106" s="238">
        <f t="shared" si="225"/>
        <v>10141.565135244024</v>
      </c>
      <c r="L106" s="198">
        <f t="shared" si="282"/>
        <v>2390.9784779183856</v>
      </c>
      <c r="M106" s="252">
        <f t="shared" si="256"/>
        <v>30137.813408746675</v>
      </c>
      <c r="N106" s="239" t="str">
        <f t="shared" si="257"/>
        <v>Noncancer</v>
      </c>
      <c r="O106" s="157" t="str">
        <f t="shared" si="258"/>
        <v>--</v>
      </c>
      <c r="P106" s="157" t="str">
        <f t="shared" si="230"/>
        <v>--</v>
      </c>
      <c r="Q106" s="157" t="str">
        <f t="shared" si="259"/>
        <v>--</v>
      </c>
      <c r="R106" s="240" t="str">
        <f t="shared" si="260"/>
        <v>--</v>
      </c>
      <c r="S106" s="157">
        <f t="shared" si="261"/>
        <v>46720</v>
      </c>
      <c r="T106" s="157" t="str">
        <f t="shared" si="234"/>
        <v>--</v>
      </c>
      <c r="U106" s="157">
        <f t="shared" si="235"/>
        <v>84912.724549809893</v>
      </c>
      <c r="V106" s="254">
        <f t="shared" si="262"/>
        <v>30137.813408746675</v>
      </c>
      <c r="W106" s="256">
        <f t="shared" si="263"/>
        <v>9992.4500537906933</v>
      </c>
      <c r="X106" s="241" t="str">
        <f t="shared" si="264"/>
        <v>Noncancer</v>
      </c>
      <c r="Y106" s="157" t="str">
        <f t="shared" si="265"/>
        <v>--</v>
      </c>
      <c r="Z106" s="157" t="str">
        <f t="shared" si="240"/>
        <v>--</v>
      </c>
      <c r="AA106" s="157" t="str">
        <f t="shared" si="266"/>
        <v>--</v>
      </c>
      <c r="AB106" s="242" t="str">
        <f t="shared" si="267"/>
        <v>--</v>
      </c>
      <c r="AC106" s="157">
        <f t="shared" si="268"/>
        <v>14157.575757575758</v>
      </c>
      <c r="AD106" s="157" t="str">
        <f t="shared" si="244"/>
        <v>--</v>
      </c>
      <c r="AE106" s="157">
        <f t="shared" si="269"/>
        <v>33965.089819923953</v>
      </c>
      <c r="AF106" s="382">
        <f t="shared" si="270"/>
        <v>9992.4500537906933</v>
      </c>
      <c r="AG106" s="258" t="str">
        <f t="shared" si="271"/>
        <v>NV</v>
      </c>
      <c r="AH106" s="159" t="str">
        <f t="shared" si="272"/>
        <v>--</v>
      </c>
      <c r="AI106" s="159" t="str">
        <f t="shared" si="273"/>
        <v>--</v>
      </c>
      <c r="AJ106" s="159" t="str">
        <f t="shared" si="274"/>
        <v>--</v>
      </c>
      <c r="AK106" s="158" t="str">
        <f t="shared" si="275"/>
        <v>--</v>
      </c>
      <c r="AL106" s="158" t="str">
        <f t="shared" si="276"/>
        <v>--</v>
      </c>
      <c r="AM106" s="158">
        <f t="shared" si="277"/>
        <v>0.04</v>
      </c>
      <c r="AN106" s="158" t="str">
        <f t="shared" si="278"/>
        <v>--</v>
      </c>
      <c r="AO106" s="158" t="str">
        <f t="shared" si="279"/>
        <v>Yes</v>
      </c>
      <c r="AP106" s="158">
        <f t="shared" si="280"/>
        <v>0.13</v>
      </c>
      <c r="AQ106" s="168">
        <f t="shared" si="281"/>
        <v>1</v>
      </c>
    </row>
    <row r="107" spans="1:43">
      <c r="A107" s="136" t="s">
        <v>269</v>
      </c>
      <c r="B107" s="247" t="s">
        <v>270</v>
      </c>
      <c r="C107" s="245">
        <f t="shared" si="217"/>
        <v>39.107142857142854</v>
      </c>
      <c r="D107" s="250" t="str">
        <f t="shared" si="218"/>
        <v>Noncancer</v>
      </c>
      <c r="E107" s="157" t="str">
        <f t="shared" si="219"/>
        <v>--</v>
      </c>
      <c r="F107" s="157" t="str">
        <f t="shared" si="220"/>
        <v>--</v>
      </c>
      <c r="G107" s="157" t="str">
        <f t="shared" si="221"/>
        <v>--</v>
      </c>
      <c r="H107" s="237" t="str">
        <f t="shared" si="222"/>
        <v>--</v>
      </c>
      <c r="I107" s="157">
        <f t="shared" si="223"/>
        <v>39.107142857142854</v>
      </c>
      <c r="J107" s="157" t="str">
        <f t="shared" si="224"/>
        <v>--</v>
      </c>
      <c r="K107" s="238" t="str">
        <f t="shared" si="225"/>
        <v>--</v>
      </c>
      <c r="L107" s="198">
        <f t="shared" si="226"/>
        <v>39.107142857142854</v>
      </c>
      <c r="M107" s="252">
        <f t="shared" si="227"/>
        <v>584</v>
      </c>
      <c r="N107" s="243" t="str">
        <f t="shared" si="228"/>
        <v>Noncancer</v>
      </c>
      <c r="O107" s="157" t="str">
        <f t="shared" si="229"/>
        <v>--</v>
      </c>
      <c r="P107" s="157" t="str">
        <f t="shared" si="230"/>
        <v>--</v>
      </c>
      <c r="Q107" s="157" t="str">
        <f t="shared" si="231"/>
        <v>--</v>
      </c>
      <c r="R107" s="240" t="str">
        <f t="shared" si="232"/>
        <v>--</v>
      </c>
      <c r="S107" s="157">
        <f t="shared" si="233"/>
        <v>584</v>
      </c>
      <c r="T107" s="157" t="str">
        <f t="shared" si="234"/>
        <v>--</v>
      </c>
      <c r="U107" s="157" t="str">
        <f t="shared" si="235"/>
        <v>--</v>
      </c>
      <c r="V107" s="254">
        <f t="shared" si="236"/>
        <v>584</v>
      </c>
      <c r="W107" s="256">
        <f t="shared" si="237"/>
        <v>176.96969696969697</v>
      </c>
      <c r="X107" s="241" t="str">
        <f t="shared" si="238"/>
        <v>Noncancer</v>
      </c>
      <c r="Y107" s="157" t="str">
        <f t="shared" si="239"/>
        <v>--</v>
      </c>
      <c r="Z107" s="157" t="str">
        <f t="shared" si="240"/>
        <v>--</v>
      </c>
      <c r="AA107" s="157" t="str">
        <f t="shared" si="241"/>
        <v>--</v>
      </c>
      <c r="AB107" s="242" t="str">
        <f t="shared" si="242"/>
        <v>--</v>
      </c>
      <c r="AC107" s="157">
        <f t="shared" si="243"/>
        <v>176.96969696969697</v>
      </c>
      <c r="AD107" s="157" t="str">
        <f t="shared" si="244"/>
        <v>--</v>
      </c>
      <c r="AE107" s="157" t="str">
        <f t="shared" si="245"/>
        <v>--</v>
      </c>
      <c r="AF107" s="382">
        <f t="shared" si="246"/>
        <v>176.96969696969697</v>
      </c>
      <c r="AG107" s="258" t="str">
        <f t="shared" si="247"/>
        <v>V</v>
      </c>
      <c r="AH107" s="159">
        <f t="shared" ref="AH107:AH134" si="283">VLOOKUP($A107, Table_IP_1, MATCH("VFr", heading_IP_1, 0), FALSE)</f>
        <v>26531.796464351719</v>
      </c>
      <c r="AI107" s="159">
        <f t="shared" ref="AI107:AI134" si="284">VLOOKUP($A107, Table_IP_1, MATCH("VFc", heading_IP_1, 0), FALSE)</f>
        <v>26016.566904307976</v>
      </c>
      <c r="AJ107" s="159">
        <f t="shared" ref="AJ107:AJ134" si="285">VLOOKUP($A107, Table_IP_1, MATCH("VFcw", heading_IP_1, 0), FALSE)</f>
        <v>5876.5633612578895</v>
      </c>
      <c r="AK107" s="158" t="str">
        <f t="shared" ref="AK107:AK137" si="286">VLOOKUP(A107,Table_IP_2,MATCH("SFo",heading_IP_2,0),FALSE)</f>
        <v>--</v>
      </c>
      <c r="AL107" s="158" t="str">
        <f t="shared" ref="AL107:AL137" si="287">VLOOKUP(A107,Table_IP_2,MATCH("IUR",heading_IP_2,0),FALSE)</f>
        <v>--</v>
      </c>
      <c r="AM107" s="158">
        <f t="shared" ref="AM107:AM137" si="288">VLOOKUP(A107,Table_IP_2,MATCH("RfDo",heading_IP_2,0),FALSE)</f>
        <v>5.0000000000000001E-4</v>
      </c>
      <c r="AN107" s="158" t="str">
        <f t="shared" ref="AN107:AN137" si="289">VLOOKUP(A107,Table_IP_2,MATCH("RfC",heading_IP_2,0),FALSE)</f>
        <v>--</v>
      </c>
      <c r="AO107" s="158" t="str">
        <f t="shared" ref="AO107:AO128" si="290">VLOOKUP(A107,Table_IP_2,MATCH("mut",heading_IP_2,0),FALSE)</f>
        <v>--</v>
      </c>
      <c r="AP107" s="158" t="str">
        <f t="shared" ref="AP107:AP137" si="291">VLOOKUP(A107,Table_IP_2,MATCH("abs",heading_IP_2,0),FALSE)</f>
        <v>--</v>
      </c>
      <c r="AQ107" s="168">
        <f t="shared" ref="AQ107:AQ137" si="292">VLOOKUP(A107,Table_IP_2,MATCH("GIABS",heading_IP_2,0),FALSE)</f>
        <v>1</v>
      </c>
    </row>
    <row r="108" spans="1:43">
      <c r="A108" s="136" t="s">
        <v>271</v>
      </c>
      <c r="B108" s="247" t="s">
        <v>272</v>
      </c>
      <c r="C108" s="245">
        <f t="shared" si="217"/>
        <v>78.214285714285708</v>
      </c>
      <c r="D108" s="250" t="str">
        <f t="shared" si="218"/>
        <v>Noncancer</v>
      </c>
      <c r="E108" s="157" t="str">
        <f t="shared" si="219"/>
        <v>--</v>
      </c>
      <c r="F108" s="157" t="str">
        <f t="shared" si="220"/>
        <v>--</v>
      </c>
      <c r="G108" s="157" t="str">
        <f t="shared" si="221"/>
        <v>--</v>
      </c>
      <c r="H108" s="237" t="str">
        <f t="shared" si="222"/>
        <v>--</v>
      </c>
      <c r="I108" s="157">
        <f t="shared" si="223"/>
        <v>78.214285714285708</v>
      </c>
      <c r="J108" s="157" t="str">
        <f t="shared" si="224"/>
        <v>--</v>
      </c>
      <c r="K108" s="238" t="str">
        <f t="shared" si="225"/>
        <v>--</v>
      </c>
      <c r="L108" s="198">
        <f t="shared" si="226"/>
        <v>78.214285714285708</v>
      </c>
      <c r="M108" s="252">
        <f t="shared" si="227"/>
        <v>1168</v>
      </c>
      <c r="N108" s="243" t="str">
        <f t="shared" si="228"/>
        <v>Noncancer</v>
      </c>
      <c r="O108" s="157" t="str">
        <f t="shared" si="229"/>
        <v>--</v>
      </c>
      <c r="P108" s="157" t="str">
        <f t="shared" si="230"/>
        <v>--</v>
      </c>
      <c r="Q108" s="157" t="str">
        <f t="shared" si="231"/>
        <v>--</v>
      </c>
      <c r="R108" s="240" t="str">
        <f t="shared" si="232"/>
        <v>--</v>
      </c>
      <c r="S108" s="157">
        <f t="shared" si="233"/>
        <v>1168</v>
      </c>
      <c r="T108" s="157" t="str">
        <f t="shared" si="234"/>
        <v>--</v>
      </c>
      <c r="U108" s="157" t="str">
        <f t="shared" si="235"/>
        <v>--</v>
      </c>
      <c r="V108" s="254">
        <f t="shared" si="236"/>
        <v>1168</v>
      </c>
      <c r="W108" s="256">
        <f t="shared" si="237"/>
        <v>353.93939393939394</v>
      </c>
      <c r="X108" s="241" t="str">
        <f t="shared" si="238"/>
        <v>Noncancer</v>
      </c>
      <c r="Y108" s="157" t="str">
        <f t="shared" si="239"/>
        <v>--</v>
      </c>
      <c r="Z108" s="157" t="str">
        <f t="shared" si="240"/>
        <v>--</v>
      </c>
      <c r="AA108" s="157" t="str">
        <f t="shared" si="241"/>
        <v>--</v>
      </c>
      <c r="AB108" s="242" t="str">
        <f t="shared" si="242"/>
        <v>--</v>
      </c>
      <c r="AC108" s="157">
        <f t="shared" si="243"/>
        <v>353.93939393939394</v>
      </c>
      <c r="AD108" s="157" t="str">
        <f t="shared" si="244"/>
        <v>--</v>
      </c>
      <c r="AE108" s="157" t="str">
        <f t="shared" si="245"/>
        <v>--</v>
      </c>
      <c r="AF108" s="382">
        <f t="shared" si="246"/>
        <v>353.93939393939394</v>
      </c>
      <c r="AG108" s="258" t="str">
        <f t="shared" si="247"/>
        <v>V</v>
      </c>
      <c r="AH108" s="159">
        <f t="shared" si="283"/>
        <v>30586.645193075441</v>
      </c>
      <c r="AI108" s="159">
        <f t="shared" si="284"/>
        <v>29992.673210544352</v>
      </c>
      <c r="AJ108" s="159">
        <f t="shared" si="285"/>
        <v>6774.677271737989</v>
      </c>
      <c r="AK108" s="158" t="str">
        <f t="shared" si="286"/>
        <v>--</v>
      </c>
      <c r="AL108" s="158" t="str">
        <f t="shared" si="287"/>
        <v>--</v>
      </c>
      <c r="AM108" s="158">
        <f t="shared" si="288"/>
        <v>1E-3</v>
      </c>
      <c r="AN108" s="158" t="str">
        <f t="shared" si="289"/>
        <v>--</v>
      </c>
      <c r="AO108" s="158" t="str">
        <f t="shared" si="290"/>
        <v>--</v>
      </c>
      <c r="AP108" s="158" t="str">
        <f t="shared" si="291"/>
        <v>--</v>
      </c>
      <c r="AQ108" s="168">
        <f t="shared" si="292"/>
        <v>1</v>
      </c>
    </row>
    <row r="109" spans="1:43">
      <c r="A109" s="136" t="s">
        <v>273</v>
      </c>
      <c r="B109" s="247" t="s">
        <v>274</v>
      </c>
      <c r="C109" s="245" t="str">
        <f t="shared" si="217"/>
        <v>--</v>
      </c>
      <c r="D109" s="250" t="str">
        <f t="shared" si="218"/>
        <v>--</v>
      </c>
      <c r="E109" s="157" t="str">
        <f t="shared" si="219"/>
        <v>--</v>
      </c>
      <c r="F109" s="157" t="str">
        <f t="shared" si="220"/>
        <v>--</v>
      </c>
      <c r="G109" s="157" t="str">
        <f t="shared" si="221"/>
        <v>--</v>
      </c>
      <c r="H109" s="237" t="str">
        <f t="shared" si="222"/>
        <v>--</v>
      </c>
      <c r="I109" s="157" t="str">
        <f t="shared" si="223"/>
        <v>--</v>
      </c>
      <c r="J109" s="157" t="str">
        <f t="shared" si="224"/>
        <v>--</v>
      </c>
      <c r="K109" s="238" t="str">
        <f t="shared" si="225"/>
        <v>--</v>
      </c>
      <c r="L109" s="198" t="str">
        <f t="shared" si="226"/>
        <v>--</v>
      </c>
      <c r="M109" s="252" t="str">
        <f t="shared" si="227"/>
        <v>--</v>
      </c>
      <c r="N109" s="243" t="str">
        <f t="shared" si="228"/>
        <v>--</v>
      </c>
      <c r="O109" s="157" t="str">
        <f t="shared" si="229"/>
        <v>--</v>
      </c>
      <c r="P109" s="157" t="str">
        <f t="shared" si="230"/>
        <v>--</v>
      </c>
      <c r="Q109" s="157" t="str">
        <f t="shared" si="231"/>
        <v>--</v>
      </c>
      <c r="R109" s="240" t="str">
        <f t="shared" si="232"/>
        <v>--</v>
      </c>
      <c r="S109" s="157" t="str">
        <f t="shared" si="233"/>
        <v>--</v>
      </c>
      <c r="T109" s="157" t="str">
        <f t="shared" si="234"/>
        <v>--</v>
      </c>
      <c r="U109" s="157" t="str">
        <f t="shared" si="235"/>
        <v>--</v>
      </c>
      <c r="V109" s="254" t="str">
        <f t="shared" si="236"/>
        <v>--</v>
      </c>
      <c r="W109" s="256" t="str">
        <f t="shared" si="237"/>
        <v>--</v>
      </c>
      <c r="X109" s="241" t="str">
        <f t="shared" si="238"/>
        <v>--</v>
      </c>
      <c r="Y109" s="157" t="str">
        <f t="shared" si="239"/>
        <v>--</v>
      </c>
      <c r="Z109" s="157" t="str">
        <f t="shared" si="240"/>
        <v>--</v>
      </c>
      <c r="AA109" s="157" t="str">
        <f t="shared" si="241"/>
        <v>--</v>
      </c>
      <c r="AB109" s="242" t="str">
        <f t="shared" si="242"/>
        <v>--</v>
      </c>
      <c r="AC109" s="157" t="str">
        <f t="shared" si="243"/>
        <v>--</v>
      </c>
      <c r="AD109" s="157" t="str">
        <f t="shared" si="244"/>
        <v>--</v>
      </c>
      <c r="AE109" s="157" t="str">
        <f t="shared" si="245"/>
        <v>--</v>
      </c>
      <c r="AF109" s="382" t="str">
        <f t="shared" si="246"/>
        <v>--</v>
      </c>
      <c r="AG109" s="258" t="str">
        <f t="shared" si="247"/>
        <v>V</v>
      </c>
      <c r="AH109" s="159" t="str">
        <f t="shared" si="283"/>
        <v>--</v>
      </c>
      <c r="AI109" s="159" t="str">
        <f t="shared" si="284"/>
        <v>--</v>
      </c>
      <c r="AJ109" s="159" t="str">
        <f t="shared" si="285"/>
        <v>--</v>
      </c>
      <c r="AK109" s="158" t="str">
        <f t="shared" si="286"/>
        <v>--</v>
      </c>
      <c r="AL109" s="158" t="str">
        <f t="shared" si="287"/>
        <v>--</v>
      </c>
      <c r="AM109" s="158" t="str">
        <f t="shared" si="288"/>
        <v>--</v>
      </c>
      <c r="AN109" s="158" t="str">
        <f t="shared" si="289"/>
        <v>--</v>
      </c>
      <c r="AO109" s="158" t="str">
        <f t="shared" si="290"/>
        <v>--</v>
      </c>
      <c r="AP109" s="158" t="str">
        <f t="shared" si="291"/>
        <v>--</v>
      </c>
      <c r="AQ109" s="168" t="str">
        <f t="shared" si="292"/>
        <v>--</v>
      </c>
    </row>
    <row r="110" spans="1:43">
      <c r="A110" s="136" t="s">
        <v>275</v>
      </c>
      <c r="B110" s="247" t="s">
        <v>276</v>
      </c>
      <c r="C110" s="245">
        <f t="shared" si="217"/>
        <v>31.606839777857317</v>
      </c>
      <c r="D110" s="250" t="str">
        <f t="shared" si="218"/>
        <v>Noncancer</v>
      </c>
      <c r="E110" s="157" t="str">
        <f t="shared" si="219"/>
        <v>--</v>
      </c>
      <c r="F110" s="157" t="str">
        <f t="shared" si="220"/>
        <v>--</v>
      </c>
      <c r="G110" s="157" t="str">
        <f t="shared" si="221"/>
        <v>--</v>
      </c>
      <c r="H110" s="237" t="str">
        <f t="shared" si="222"/>
        <v>--</v>
      </c>
      <c r="I110" s="157">
        <f t="shared" si="223"/>
        <v>39.107142857142854</v>
      </c>
      <c r="J110" s="157" t="str">
        <f t="shared" si="224"/>
        <v>--</v>
      </c>
      <c r="K110" s="238">
        <f t="shared" si="225"/>
        <v>164.80043344771536</v>
      </c>
      <c r="L110" s="198">
        <f t="shared" si="226"/>
        <v>31.606839777857317</v>
      </c>
      <c r="M110" s="252">
        <f t="shared" si="227"/>
        <v>410.33135662291681</v>
      </c>
      <c r="N110" s="243" t="str">
        <f t="shared" si="228"/>
        <v>Noncancer</v>
      </c>
      <c r="O110" s="157" t="str">
        <f t="shared" si="229"/>
        <v>--</v>
      </c>
      <c r="P110" s="157" t="str">
        <f t="shared" si="230"/>
        <v>--</v>
      </c>
      <c r="Q110" s="157" t="str">
        <f t="shared" si="231"/>
        <v>--</v>
      </c>
      <c r="R110" s="240" t="str">
        <f t="shared" si="232"/>
        <v>--</v>
      </c>
      <c r="S110" s="157">
        <f t="shared" si="233"/>
        <v>584</v>
      </c>
      <c r="T110" s="157" t="str">
        <f t="shared" si="234"/>
        <v>--</v>
      </c>
      <c r="U110" s="157">
        <f t="shared" si="235"/>
        <v>1379.8317739344109</v>
      </c>
      <c r="V110" s="254">
        <f t="shared" si="236"/>
        <v>410.33135662291681</v>
      </c>
      <c r="W110" s="256">
        <f t="shared" si="237"/>
        <v>134.00335008375208</v>
      </c>
      <c r="X110" s="241" t="str">
        <f t="shared" si="238"/>
        <v>Noncancer</v>
      </c>
      <c r="Y110" s="157" t="str">
        <f t="shared" si="239"/>
        <v>--</v>
      </c>
      <c r="Z110" s="157" t="str">
        <f t="shared" si="240"/>
        <v>--</v>
      </c>
      <c r="AA110" s="157" t="str">
        <f t="shared" si="241"/>
        <v>--</v>
      </c>
      <c r="AB110" s="242" t="str">
        <f t="shared" si="242"/>
        <v>--</v>
      </c>
      <c r="AC110" s="157">
        <f t="shared" si="243"/>
        <v>176.96969696969697</v>
      </c>
      <c r="AD110" s="157" t="str">
        <f t="shared" si="244"/>
        <v>--</v>
      </c>
      <c r="AE110" s="157">
        <f t="shared" si="245"/>
        <v>551.93270957376433</v>
      </c>
      <c r="AF110" s="382">
        <f t="shared" si="246"/>
        <v>134.00335008375208</v>
      </c>
      <c r="AG110" s="258" t="str">
        <f t="shared" si="247"/>
        <v>NV</v>
      </c>
      <c r="AH110" s="159" t="str">
        <f t="shared" si="283"/>
        <v>--</v>
      </c>
      <c r="AI110" s="159" t="str">
        <f t="shared" si="284"/>
        <v>--</v>
      </c>
      <c r="AJ110" s="159" t="str">
        <f t="shared" si="285"/>
        <v>--</v>
      </c>
      <c r="AK110" s="158" t="str">
        <f t="shared" si="286"/>
        <v>--</v>
      </c>
      <c r="AL110" s="158" t="str">
        <f t="shared" si="287"/>
        <v>--</v>
      </c>
      <c r="AM110" s="158">
        <f t="shared" si="288"/>
        <v>5.0000000000000001E-4</v>
      </c>
      <c r="AN110" s="158" t="str">
        <f t="shared" si="289"/>
        <v>--</v>
      </c>
      <c r="AO110" s="158" t="str">
        <f t="shared" si="290"/>
        <v>--</v>
      </c>
      <c r="AP110" s="158">
        <f t="shared" si="291"/>
        <v>0.1</v>
      </c>
      <c r="AQ110" s="168">
        <f t="shared" si="292"/>
        <v>1</v>
      </c>
    </row>
    <row r="111" spans="1:43">
      <c r="A111" s="136" t="s">
        <v>277</v>
      </c>
      <c r="B111" s="247" t="s">
        <v>278</v>
      </c>
      <c r="C111" s="245" t="str">
        <f t="shared" si="217"/>
        <v>--</v>
      </c>
      <c r="D111" s="250" t="str">
        <f t="shared" si="218"/>
        <v>--</v>
      </c>
      <c r="E111" s="157" t="str">
        <f t="shared" si="219"/>
        <v>--</v>
      </c>
      <c r="F111" s="157" t="str">
        <f t="shared" si="220"/>
        <v>--</v>
      </c>
      <c r="G111" s="157" t="str">
        <f t="shared" si="221"/>
        <v>--</v>
      </c>
      <c r="H111" s="237" t="str">
        <f t="shared" si="222"/>
        <v>--</v>
      </c>
      <c r="I111" s="157" t="str">
        <f t="shared" si="223"/>
        <v>--</v>
      </c>
      <c r="J111" s="157" t="str">
        <f t="shared" si="224"/>
        <v>--</v>
      </c>
      <c r="K111" s="238" t="str">
        <f t="shared" si="225"/>
        <v>--</v>
      </c>
      <c r="L111" s="198" t="str">
        <f t="shared" si="226"/>
        <v>--</v>
      </c>
      <c r="M111" s="252" t="str">
        <f t="shared" si="227"/>
        <v>--</v>
      </c>
      <c r="N111" s="243" t="str">
        <f t="shared" si="228"/>
        <v>--</v>
      </c>
      <c r="O111" s="157" t="str">
        <f t="shared" si="229"/>
        <v>--</v>
      </c>
      <c r="P111" s="157" t="str">
        <f t="shared" si="230"/>
        <v>--</v>
      </c>
      <c r="Q111" s="157" t="str">
        <f t="shared" si="231"/>
        <v>--</v>
      </c>
      <c r="R111" s="240" t="str">
        <f t="shared" si="232"/>
        <v>--</v>
      </c>
      <c r="S111" s="157" t="str">
        <f t="shared" si="233"/>
        <v>--</v>
      </c>
      <c r="T111" s="157" t="str">
        <f t="shared" si="234"/>
        <v>--</v>
      </c>
      <c r="U111" s="157" t="str">
        <f t="shared" si="235"/>
        <v>--</v>
      </c>
      <c r="V111" s="254" t="str">
        <f t="shared" si="236"/>
        <v>--</v>
      </c>
      <c r="W111" s="256" t="str">
        <f t="shared" si="237"/>
        <v>--</v>
      </c>
      <c r="X111" s="241" t="str">
        <f t="shared" si="238"/>
        <v>--</v>
      </c>
      <c r="Y111" s="157" t="str">
        <f t="shared" si="239"/>
        <v>--</v>
      </c>
      <c r="Z111" s="157" t="str">
        <f t="shared" si="240"/>
        <v>--</v>
      </c>
      <c r="AA111" s="157" t="str">
        <f t="shared" si="241"/>
        <v>--</v>
      </c>
      <c r="AB111" s="242" t="str">
        <f t="shared" si="242"/>
        <v>--</v>
      </c>
      <c r="AC111" s="157" t="str">
        <f t="shared" si="243"/>
        <v>--</v>
      </c>
      <c r="AD111" s="157" t="str">
        <f t="shared" si="244"/>
        <v>--</v>
      </c>
      <c r="AE111" s="157" t="str">
        <f t="shared" si="245"/>
        <v>--</v>
      </c>
      <c r="AF111" s="382" t="str">
        <f t="shared" si="246"/>
        <v>--</v>
      </c>
      <c r="AG111" s="258" t="str">
        <f t="shared" si="247"/>
        <v>V</v>
      </c>
      <c r="AH111" s="159" t="str">
        <f t="shared" si="283"/>
        <v>--</v>
      </c>
      <c r="AI111" s="159" t="str">
        <f t="shared" si="284"/>
        <v>--</v>
      </c>
      <c r="AJ111" s="159" t="str">
        <f t="shared" si="285"/>
        <v>--</v>
      </c>
      <c r="AK111" s="158" t="str">
        <f t="shared" si="286"/>
        <v>--</v>
      </c>
      <c r="AL111" s="158" t="str">
        <f t="shared" si="287"/>
        <v>--</v>
      </c>
      <c r="AM111" s="158" t="str">
        <f t="shared" si="288"/>
        <v>--</v>
      </c>
      <c r="AN111" s="158" t="str">
        <f t="shared" si="289"/>
        <v>--</v>
      </c>
      <c r="AO111" s="158" t="str">
        <f t="shared" si="290"/>
        <v>--</v>
      </c>
      <c r="AP111" s="158" t="str">
        <f t="shared" si="291"/>
        <v>--</v>
      </c>
      <c r="AQ111" s="168" t="str">
        <f t="shared" si="292"/>
        <v>--</v>
      </c>
    </row>
    <row r="112" spans="1:43">
      <c r="A112" s="136" t="s">
        <v>279</v>
      </c>
      <c r="B112" s="247" t="s">
        <v>280</v>
      </c>
      <c r="C112" s="245">
        <f t="shared" si="217"/>
        <v>1.8518415168662176E-5</v>
      </c>
      <c r="D112" s="250" t="str">
        <f t="shared" si="218"/>
        <v>Cancer</v>
      </c>
      <c r="E112" s="157">
        <f t="shared" si="219"/>
        <v>2.3728262636112467E-5</v>
      </c>
      <c r="F112" s="157" t="str">
        <f t="shared" si="220"/>
        <v>--</v>
      </c>
      <c r="G112" s="157">
        <f t="shared" si="221"/>
        <v>8.434216576817226E-5</v>
      </c>
      <c r="H112" s="237">
        <f t="shared" si="222"/>
        <v>1.8518415168662176E-5</v>
      </c>
      <c r="I112" s="157">
        <f t="shared" si="223"/>
        <v>2.3464285714285714E-3</v>
      </c>
      <c r="J112" s="157" t="str">
        <f t="shared" si="224"/>
        <v>--</v>
      </c>
      <c r="K112" s="238">
        <f t="shared" si="225"/>
        <v>9.8880260068629228E-3</v>
      </c>
      <c r="L112" s="198">
        <f t="shared" si="226"/>
        <v>1.8964103866714389E-3</v>
      </c>
      <c r="M112" s="252">
        <f t="shared" si="227"/>
        <v>7.8425105702673511E-5</v>
      </c>
      <c r="N112" s="243" t="str">
        <f t="shared" si="228"/>
        <v>Cancer</v>
      </c>
      <c r="O112" s="157">
        <f t="shared" si="229"/>
        <v>1.1161774744027304E-4</v>
      </c>
      <c r="P112" s="157" t="str">
        <f t="shared" si="230"/>
        <v>--</v>
      </c>
      <c r="Q112" s="157">
        <f t="shared" si="231"/>
        <v>2.6372211378951197E-4</v>
      </c>
      <c r="R112" s="240">
        <f t="shared" si="232"/>
        <v>7.8425105702673511E-5</v>
      </c>
      <c r="S112" s="157">
        <f t="shared" si="233"/>
        <v>3.5039999999999995E-2</v>
      </c>
      <c r="T112" s="157" t="str">
        <f t="shared" si="234"/>
        <v>--</v>
      </c>
      <c r="U112" s="157">
        <f t="shared" si="235"/>
        <v>8.2789906436064639E-2</v>
      </c>
      <c r="V112" s="254">
        <f t="shared" si="236"/>
        <v>2.4619881397374997E-2</v>
      </c>
      <c r="W112" s="256">
        <f t="shared" si="237"/>
        <v>6.4028904476878129E-4</v>
      </c>
      <c r="X112" s="241" t="str">
        <f t="shared" si="238"/>
        <v>Cancer</v>
      </c>
      <c r="Y112" s="157">
        <f t="shared" si="239"/>
        <v>8.4558899575964421E-4</v>
      </c>
      <c r="Z112" s="157" t="str">
        <f t="shared" si="240"/>
        <v>--</v>
      </c>
      <c r="AA112" s="157">
        <f t="shared" si="241"/>
        <v>2.6372211378951197E-3</v>
      </c>
      <c r="AB112" s="242">
        <f t="shared" si="242"/>
        <v>6.4028904476878129E-4</v>
      </c>
      <c r="AC112" s="157">
        <f t="shared" si="243"/>
        <v>1.0618181818181818E-2</v>
      </c>
      <c r="AD112" s="157" t="str">
        <f t="shared" si="244"/>
        <v>--</v>
      </c>
      <c r="AE112" s="157">
        <f t="shared" si="245"/>
        <v>3.311596257442586E-2</v>
      </c>
      <c r="AF112" s="382">
        <f t="shared" si="246"/>
        <v>8.0402010050251264E-3</v>
      </c>
      <c r="AG112" s="258" t="str">
        <f t="shared" si="247"/>
        <v>NV</v>
      </c>
      <c r="AH112" s="159" t="str">
        <f t="shared" si="283"/>
        <v>--</v>
      </c>
      <c r="AI112" s="159" t="str">
        <f t="shared" si="284"/>
        <v>--</v>
      </c>
      <c r="AJ112" s="159" t="str">
        <f t="shared" si="285"/>
        <v>--</v>
      </c>
      <c r="AK112" s="158">
        <f t="shared" si="286"/>
        <v>29300</v>
      </c>
      <c r="AL112" s="158" t="str">
        <f t="shared" si="287"/>
        <v>--</v>
      </c>
      <c r="AM112" s="158">
        <f t="shared" si="288"/>
        <v>2.9999999999999997E-8</v>
      </c>
      <c r="AN112" s="158" t="str">
        <f t="shared" si="289"/>
        <v>--</v>
      </c>
      <c r="AO112" s="158" t="str">
        <f t="shared" si="290"/>
        <v>--</v>
      </c>
      <c r="AP112" s="158">
        <f t="shared" si="291"/>
        <v>0.1</v>
      </c>
      <c r="AQ112" s="168">
        <f t="shared" si="292"/>
        <v>1</v>
      </c>
    </row>
    <row r="113" spans="1:43">
      <c r="A113" s="136" t="s">
        <v>281</v>
      </c>
      <c r="B113" s="247" t="s">
        <v>282</v>
      </c>
      <c r="C113" s="245">
        <f t="shared" si="217"/>
        <v>0.18964103866714391</v>
      </c>
      <c r="D113" s="250" t="str">
        <f t="shared" si="218"/>
        <v>Noncancer</v>
      </c>
      <c r="E113" s="157" t="str">
        <f t="shared" si="219"/>
        <v>--</v>
      </c>
      <c r="F113" s="157" t="str">
        <f t="shared" si="220"/>
        <v>--</v>
      </c>
      <c r="G113" s="157" t="str">
        <f t="shared" si="221"/>
        <v>--</v>
      </c>
      <c r="H113" s="237" t="str">
        <f t="shared" si="222"/>
        <v>--</v>
      </c>
      <c r="I113" s="157">
        <f t="shared" si="223"/>
        <v>0.23464285714285715</v>
      </c>
      <c r="J113" s="157" t="str">
        <f t="shared" si="224"/>
        <v>--</v>
      </c>
      <c r="K113" s="238">
        <f t="shared" si="225"/>
        <v>0.98880260068629222</v>
      </c>
      <c r="L113" s="198">
        <f t="shared" si="226"/>
        <v>0.18964103866714391</v>
      </c>
      <c r="M113" s="252">
        <f t="shared" si="227"/>
        <v>2.4619881397375005</v>
      </c>
      <c r="N113" s="243" t="str">
        <f t="shared" si="228"/>
        <v>Noncancer</v>
      </c>
      <c r="O113" s="157" t="str">
        <f t="shared" si="229"/>
        <v>--</v>
      </c>
      <c r="P113" s="157" t="str">
        <f t="shared" si="230"/>
        <v>--</v>
      </c>
      <c r="Q113" s="157" t="str">
        <f t="shared" si="231"/>
        <v>--</v>
      </c>
      <c r="R113" s="240" t="str">
        <f t="shared" si="232"/>
        <v>--</v>
      </c>
      <c r="S113" s="157">
        <f t="shared" si="233"/>
        <v>3.5040000000000004</v>
      </c>
      <c r="T113" s="157" t="str">
        <f t="shared" si="234"/>
        <v>--</v>
      </c>
      <c r="U113" s="157">
        <f t="shared" si="235"/>
        <v>8.2789906436064644</v>
      </c>
      <c r="V113" s="254">
        <f t="shared" si="236"/>
        <v>2.4619881397375005</v>
      </c>
      <c r="W113" s="256">
        <f t="shared" si="237"/>
        <v>0.8040201005025126</v>
      </c>
      <c r="X113" s="241" t="str">
        <f t="shared" si="238"/>
        <v>Noncancer</v>
      </c>
      <c r="Y113" s="157" t="str">
        <f t="shared" si="239"/>
        <v>--</v>
      </c>
      <c r="Z113" s="157" t="str">
        <f t="shared" si="240"/>
        <v>--</v>
      </c>
      <c r="AA113" s="157" t="str">
        <f t="shared" si="241"/>
        <v>--</v>
      </c>
      <c r="AB113" s="242" t="str">
        <f t="shared" si="242"/>
        <v>--</v>
      </c>
      <c r="AC113" s="157">
        <f t="shared" si="243"/>
        <v>1.0618181818181818</v>
      </c>
      <c r="AD113" s="157" t="str">
        <f t="shared" si="244"/>
        <v>--</v>
      </c>
      <c r="AE113" s="157">
        <f t="shared" si="245"/>
        <v>3.3115962574425866</v>
      </c>
      <c r="AF113" s="382">
        <f t="shared" si="246"/>
        <v>0.8040201005025126</v>
      </c>
      <c r="AG113" s="258" t="str">
        <f t="shared" si="247"/>
        <v>V</v>
      </c>
      <c r="AH113" s="159">
        <f t="shared" si="283"/>
        <v>24912.947035663088</v>
      </c>
      <c r="AI113" s="159">
        <f t="shared" si="284"/>
        <v>24429.154437682617</v>
      </c>
      <c r="AJ113" s="159">
        <f t="shared" si="285"/>
        <v>5518.0022192407268</v>
      </c>
      <c r="AK113" s="158" t="str">
        <f t="shared" si="286"/>
        <v>--</v>
      </c>
      <c r="AL113" s="158" t="str">
        <f t="shared" si="287"/>
        <v>--</v>
      </c>
      <c r="AM113" s="158">
        <f t="shared" si="288"/>
        <v>3.0000000000000001E-6</v>
      </c>
      <c r="AN113" s="158" t="str">
        <f t="shared" si="289"/>
        <v>--</v>
      </c>
      <c r="AO113" s="158" t="str">
        <f t="shared" si="290"/>
        <v>--</v>
      </c>
      <c r="AP113" s="158">
        <f t="shared" si="291"/>
        <v>0.1</v>
      </c>
      <c r="AQ113" s="168">
        <f t="shared" si="292"/>
        <v>1</v>
      </c>
    </row>
    <row r="114" spans="1:43">
      <c r="A114" s="136" t="s">
        <v>283</v>
      </c>
      <c r="B114" s="247" t="s">
        <v>284</v>
      </c>
      <c r="C114" s="245">
        <f t="shared" si="217"/>
        <v>1.2642735911142926E-4</v>
      </c>
      <c r="D114" s="250" t="str">
        <f t="shared" si="218"/>
        <v>Noncancer</v>
      </c>
      <c r="E114" s="157" t="str">
        <f t="shared" si="219"/>
        <v>--</v>
      </c>
      <c r="F114" s="157" t="str">
        <f t="shared" si="220"/>
        <v>--</v>
      </c>
      <c r="G114" s="157" t="str">
        <f t="shared" si="221"/>
        <v>--</v>
      </c>
      <c r="H114" s="237" t="str">
        <f t="shared" si="222"/>
        <v>--</v>
      </c>
      <c r="I114" s="157">
        <f t="shared" si="223"/>
        <v>1.5642857142857144E-4</v>
      </c>
      <c r="J114" s="157" t="str">
        <f t="shared" si="224"/>
        <v>--</v>
      </c>
      <c r="K114" s="238">
        <f t="shared" si="225"/>
        <v>6.5920173379086151E-4</v>
      </c>
      <c r="L114" s="198">
        <f t="shared" si="226"/>
        <v>1.2642735911142926E-4</v>
      </c>
      <c r="M114" s="252">
        <f t="shared" si="227"/>
        <v>1.6413254264916672E-3</v>
      </c>
      <c r="N114" s="243" t="str">
        <f t="shared" si="228"/>
        <v>Noncancer</v>
      </c>
      <c r="O114" s="157" t="str">
        <f t="shared" si="229"/>
        <v>--</v>
      </c>
      <c r="P114" s="157" t="str">
        <f t="shared" si="230"/>
        <v>--</v>
      </c>
      <c r="Q114" s="157" t="str">
        <f t="shared" si="231"/>
        <v>--</v>
      </c>
      <c r="R114" s="240" t="str">
        <f t="shared" si="232"/>
        <v>--</v>
      </c>
      <c r="S114" s="157">
        <f t="shared" si="233"/>
        <v>2.3360000000000004E-3</v>
      </c>
      <c r="T114" s="157" t="str">
        <f t="shared" si="234"/>
        <v>--</v>
      </c>
      <c r="U114" s="157">
        <f t="shared" si="235"/>
        <v>5.5193270957376436E-3</v>
      </c>
      <c r="V114" s="254">
        <f t="shared" si="236"/>
        <v>1.6413254264916672E-3</v>
      </c>
      <c r="W114" s="256">
        <f t="shared" si="237"/>
        <v>5.3601340033500853E-4</v>
      </c>
      <c r="X114" s="241" t="str">
        <f t="shared" si="238"/>
        <v>Noncancer</v>
      </c>
      <c r="Y114" s="157" t="str">
        <f t="shared" si="239"/>
        <v>--</v>
      </c>
      <c r="Z114" s="157" t="str">
        <f t="shared" si="240"/>
        <v>--</v>
      </c>
      <c r="AA114" s="157" t="str">
        <f t="shared" si="241"/>
        <v>--</v>
      </c>
      <c r="AB114" s="242" t="str">
        <f t="shared" si="242"/>
        <v>--</v>
      </c>
      <c r="AC114" s="157">
        <f t="shared" si="243"/>
        <v>7.0787878787878804E-4</v>
      </c>
      <c r="AD114" s="157" t="str">
        <f t="shared" si="244"/>
        <v>--</v>
      </c>
      <c r="AE114" s="157">
        <f t="shared" si="245"/>
        <v>2.2077308382950577E-3</v>
      </c>
      <c r="AF114" s="382">
        <f t="shared" si="246"/>
        <v>5.3601340033500853E-4</v>
      </c>
      <c r="AG114" s="258" t="str">
        <f t="shared" si="247"/>
        <v>NV</v>
      </c>
      <c r="AH114" s="159" t="str">
        <f t="shared" si="283"/>
        <v>--</v>
      </c>
      <c r="AI114" s="159" t="str">
        <f t="shared" si="284"/>
        <v>--</v>
      </c>
      <c r="AJ114" s="159" t="str">
        <f t="shared" si="285"/>
        <v>--</v>
      </c>
      <c r="AK114" s="158" t="str">
        <f t="shared" si="286"/>
        <v>--</v>
      </c>
      <c r="AL114" s="158" t="str">
        <f t="shared" si="287"/>
        <v>--</v>
      </c>
      <c r="AM114" s="158">
        <f t="shared" si="288"/>
        <v>2.0000000000000001E-9</v>
      </c>
      <c r="AN114" s="158" t="str">
        <f t="shared" si="289"/>
        <v>--</v>
      </c>
      <c r="AO114" s="158" t="str">
        <f t="shared" si="290"/>
        <v>--</v>
      </c>
      <c r="AP114" s="158">
        <f t="shared" si="291"/>
        <v>0.1</v>
      </c>
      <c r="AQ114" s="168">
        <f t="shared" si="292"/>
        <v>1</v>
      </c>
    </row>
    <row r="115" spans="1:43">
      <c r="A115" s="136" t="s">
        <v>285</v>
      </c>
      <c r="B115" s="247" t="s">
        <v>286</v>
      </c>
      <c r="C115" s="245">
        <f t="shared" si="217"/>
        <v>18.964103866714392</v>
      </c>
      <c r="D115" s="250" t="str">
        <f t="shared" si="218"/>
        <v>Noncancer</v>
      </c>
      <c r="E115" s="157" t="str">
        <f t="shared" si="219"/>
        <v>--</v>
      </c>
      <c r="F115" s="157" t="str">
        <f t="shared" si="220"/>
        <v>--</v>
      </c>
      <c r="G115" s="157" t="str">
        <f t="shared" si="221"/>
        <v>--</v>
      </c>
      <c r="H115" s="237" t="str">
        <f t="shared" si="222"/>
        <v>--</v>
      </c>
      <c r="I115" s="157">
        <f t="shared" si="223"/>
        <v>23.464285714285715</v>
      </c>
      <c r="J115" s="157" t="str">
        <f t="shared" si="224"/>
        <v>--</v>
      </c>
      <c r="K115" s="238">
        <f t="shared" si="225"/>
        <v>98.880260068629227</v>
      </c>
      <c r="L115" s="198">
        <f t="shared" si="226"/>
        <v>18.964103866714392</v>
      </c>
      <c r="M115" s="252">
        <f t="shared" si="227"/>
        <v>246.19881397375005</v>
      </c>
      <c r="N115" s="243" t="str">
        <f t="shared" si="228"/>
        <v>Noncancer</v>
      </c>
      <c r="O115" s="157" t="str">
        <f t="shared" si="229"/>
        <v>--</v>
      </c>
      <c r="P115" s="157" t="str">
        <f t="shared" si="230"/>
        <v>--</v>
      </c>
      <c r="Q115" s="157" t="str">
        <f t="shared" si="231"/>
        <v>--</v>
      </c>
      <c r="R115" s="240" t="str">
        <f t="shared" si="232"/>
        <v>--</v>
      </c>
      <c r="S115" s="157">
        <f t="shared" si="233"/>
        <v>350.4</v>
      </c>
      <c r="T115" s="157" t="str">
        <f t="shared" si="234"/>
        <v>--</v>
      </c>
      <c r="U115" s="157">
        <f t="shared" si="235"/>
        <v>827.89906436064643</v>
      </c>
      <c r="V115" s="254">
        <f t="shared" si="236"/>
        <v>246.19881397375005</v>
      </c>
      <c r="W115" s="256">
        <f t="shared" si="237"/>
        <v>80.402010050251249</v>
      </c>
      <c r="X115" s="241" t="str">
        <f t="shared" si="238"/>
        <v>Noncancer</v>
      </c>
      <c r="Y115" s="157" t="str">
        <f t="shared" si="239"/>
        <v>--</v>
      </c>
      <c r="Z115" s="157" t="str">
        <f t="shared" si="240"/>
        <v>--</v>
      </c>
      <c r="AA115" s="157" t="str">
        <f t="shared" si="241"/>
        <v>--</v>
      </c>
      <c r="AB115" s="242" t="str">
        <f t="shared" si="242"/>
        <v>--</v>
      </c>
      <c r="AC115" s="157">
        <f t="shared" si="243"/>
        <v>106.18181818181819</v>
      </c>
      <c r="AD115" s="157" t="str">
        <f t="shared" si="244"/>
        <v>--</v>
      </c>
      <c r="AE115" s="157">
        <f t="shared" si="245"/>
        <v>331.15962574425851</v>
      </c>
      <c r="AF115" s="382">
        <f t="shared" si="246"/>
        <v>80.402010050251249</v>
      </c>
      <c r="AG115" s="258" t="str">
        <f t="shared" si="247"/>
        <v>NV</v>
      </c>
      <c r="AH115" s="159" t="str">
        <f t="shared" si="283"/>
        <v>--</v>
      </c>
      <c r="AI115" s="159" t="str">
        <f t="shared" si="284"/>
        <v>--</v>
      </c>
      <c r="AJ115" s="159" t="str">
        <f t="shared" si="285"/>
        <v>--</v>
      </c>
      <c r="AK115" s="158" t="str">
        <f t="shared" si="286"/>
        <v>--</v>
      </c>
      <c r="AL115" s="158" t="str">
        <f t="shared" si="287"/>
        <v>--</v>
      </c>
      <c r="AM115" s="158">
        <f t="shared" si="288"/>
        <v>2.9999999999999997E-4</v>
      </c>
      <c r="AN115" s="158" t="str">
        <f t="shared" si="289"/>
        <v>--</v>
      </c>
      <c r="AO115" s="158" t="str">
        <f t="shared" si="290"/>
        <v>--</v>
      </c>
      <c r="AP115" s="158">
        <f t="shared" si="291"/>
        <v>0.1</v>
      </c>
      <c r="AQ115" s="168">
        <f t="shared" si="292"/>
        <v>1</v>
      </c>
    </row>
    <row r="116" spans="1:43">
      <c r="A116" s="136" t="s">
        <v>287</v>
      </c>
      <c r="B116" s="247" t="s">
        <v>288</v>
      </c>
      <c r="C116" s="245">
        <f t="shared" si="217"/>
        <v>3.1606839777857316</v>
      </c>
      <c r="D116" s="250" t="str">
        <f t="shared" si="218"/>
        <v>Noncancer</v>
      </c>
      <c r="E116" s="157" t="str">
        <f t="shared" si="219"/>
        <v>--</v>
      </c>
      <c r="F116" s="157" t="str">
        <f t="shared" si="220"/>
        <v>--</v>
      </c>
      <c r="G116" s="157" t="str">
        <f t="shared" si="221"/>
        <v>--</v>
      </c>
      <c r="H116" s="237" t="str">
        <f t="shared" si="222"/>
        <v>--</v>
      </c>
      <c r="I116" s="157">
        <f t="shared" si="223"/>
        <v>3.9107142857142856</v>
      </c>
      <c r="J116" s="157" t="str">
        <f t="shared" si="224"/>
        <v>--</v>
      </c>
      <c r="K116" s="238">
        <f t="shared" si="225"/>
        <v>16.480043344771538</v>
      </c>
      <c r="L116" s="198">
        <f t="shared" si="226"/>
        <v>3.1606839777857316</v>
      </c>
      <c r="M116" s="252">
        <f t="shared" si="227"/>
        <v>41.03313566229167</v>
      </c>
      <c r="N116" s="243" t="str">
        <f t="shared" si="228"/>
        <v>Noncancer</v>
      </c>
      <c r="O116" s="157" t="str">
        <f t="shared" si="229"/>
        <v>--</v>
      </c>
      <c r="P116" s="157" t="str">
        <f t="shared" si="230"/>
        <v>--</v>
      </c>
      <c r="Q116" s="157" t="str">
        <f t="shared" si="231"/>
        <v>--</v>
      </c>
      <c r="R116" s="240" t="str">
        <f t="shared" si="232"/>
        <v>--</v>
      </c>
      <c r="S116" s="157">
        <f t="shared" si="233"/>
        <v>58.4</v>
      </c>
      <c r="T116" s="157" t="str">
        <f t="shared" si="234"/>
        <v>--</v>
      </c>
      <c r="U116" s="157">
        <f t="shared" si="235"/>
        <v>137.98317739344108</v>
      </c>
      <c r="V116" s="254">
        <f t="shared" si="236"/>
        <v>41.03313566229167</v>
      </c>
      <c r="W116" s="256">
        <f t="shared" si="237"/>
        <v>13.40033500837521</v>
      </c>
      <c r="X116" s="241" t="str">
        <f t="shared" si="238"/>
        <v>Noncancer</v>
      </c>
      <c r="Y116" s="157" t="str">
        <f t="shared" si="239"/>
        <v>--</v>
      </c>
      <c r="Z116" s="157" t="str">
        <f t="shared" si="240"/>
        <v>--</v>
      </c>
      <c r="AA116" s="157" t="str">
        <f t="shared" si="241"/>
        <v>--</v>
      </c>
      <c r="AB116" s="242" t="str">
        <f t="shared" si="242"/>
        <v>--</v>
      </c>
      <c r="AC116" s="157">
        <f t="shared" si="243"/>
        <v>17.696969696969695</v>
      </c>
      <c r="AD116" s="157" t="str">
        <f t="shared" si="244"/>
        <v>--</v>
      </c>
      <c r="AE116" s="157">
        <f t="shared" si="245"/>
        <v>55.193270957376434</v>
      </c>
      <c r="AF116" s="382">
        <f t="shared" si="246"/>
        <v>13.40033500837521</v>
      </c>
      <c r="AG116" s="258" t="str">
        <f t="shared" si="247"/>
        <v>NV</v>
      </c>
      <c r="AH116" s="159" t="str">
        <f t="shared" si="283"/>
        <v>--</v>
      </c>
      <c r="AI116" s="159" t="str">
        <f t="shared" si="284"/>
        <v>--</v>
      </c>
      <c r="AJ116" s="159" t="str">
        <f t="shared" si="285"/>
        <v>--</v>
      </c>
      <c r="AK116" s="158" t="str">
        <f t="shared" si="286"/>
        <v>--</v>
      </c>
      <c r="AL116" s="158" t="str">
        <f t="shared" si="287"/>
        <v>--</v>
      </c>
      <c r="AM116" s="158">
        <f t="shared" si="288"/>
        <v>5.0000000000000002E-5</v>
      </c>
      <c r="AN116" s="158" t="str">
        <f t="shared" si="289"/>
        <v>--</v>
      </c>
      <c r="AO116" s="158" t="str">
        <f t="shared" si="290"/>
        <v>--</v>
      </c>
      <c r="AP116" s="158">
        <f t="shared" si="291"/>
        <v>0.1</v>
      </c>
      <c r="AQ116" s="168">
        <f t="shared" si="292"/>
        <v>1</v>
      </c>
    </row>
    <row r="117" spans="1:43">
      <c r="A117" s="136" t="s">
        <v>289</v>
      </c>
      <c r="B117" s="247" t="s">
        <v>290</v>
      </c>
      <c r="C117" s="245">
        <f t="shared" si="217"/>
        <v>63.213679555714634</v>
      </c>
      <c r="D117" s="250" t="str">
        <f t="shared" si="218"/>
        <v>Noncancer</v>
      </c>
      <c r="E117" s="157" t="str">
        <f t="shared" si="219"/>
        <v>--</v>
      </c>
      <c r="F117" s="157" t="str">
        <f t="shared" si="220"/>
        <v>--</v>
      </c>
      <c r="G117" s="157" t="str">
        <f t="shared" si="221"/>
        <v>--</v>
      </c>
      <c r="H117" s="237" t="str">
        <f t="shared" si="222"/>
        <v>--</v>
      </c>
      <c r="I117" s="157">
        <f t="shared" si="223"/>
        <v>78.214285714285708</v>
      </c>
      <c r="J117" s="157" t="str">
        <f t="shared" si="224"/>
        <v>--</v>
      </c>
      <c r="K117" s="238">
        <f t="shared" si="225"/>
        <v>329.60086689543073</v>
      </c>
      <c r="L117" s="198">
        <f t="shared" si="226"/>
        <v>63.213679555714634</v>
      </c>
      <c r="M117" s="252">
        <f t="shared" si="227"/>
        <v>820.66271324583363</v>
      </c>
      <c r="N117" s="243" t="str">
        <f t="shared" si="228"/>
        <v>Noncancer</v>
      </c>
      <c r="O117" s="157" t="str">
        <f t="shared" si="229"/>
        <v>--</v>
      </c>
      <c r="P117" s="157" t="str">
        <f t="shared" si="230"/>
        <v>--</v>
      </c>
      <c r="Q117" s="157" t="str">
        <f t="shared" si="231"/>
        <v>--</v>
      </c>
      <c r="R117" s="240" t="str">
        <f t="shared" si="232"/>
        <v>--</v>
      </c>
      <c r="S117" s="157">
        <f t="shared" si="233"/>
        <v>1168</v>
      </c>
      <c r="T117" s="157" t="str">
        <f t="shared" si="234"/>
        <v>--</v>
      </c>
      <c r="U117" s="157">
        <f t="shared" si="235"/>
        <v>2759.6635478688218</v>
      </c>
      <c r="V117" s="254">
        <f t="shared" si="236"/>
        <v>820.66271324583363</v>
      </c>
      <c r="W117" s="256">
        <f t="shared" si="237"/>
        <v>268.00670016750416</v>
      </c>
      <c r="X117" s="241" t="str">
        <f t="shared" si="238"/>
        <v>Noncancer</v>
      </c>
      <c r="Y117" s="157" t="str">
        <f t="shared" si="239"/>
        <v>--</v>
      </c>
      <c r="Z117" s="157" t="str">
        <f t="shared" si="240"/>
        <v>--</v>
      </c>
      <c r="AA117" s="157" t="str">
        <f t="shared" si="241"/>
        <v>--</v>
      </c>
      <c r="AB117" s="242" t="str">
        <f t="shared" si="242"/>
        <v>--</v>
      </c>
      <c r="AC117" s="157">
        <f t="shared" si="243"/>
        <v>353.93939393939394</v>
      </c>
      <c r="AD117" s="157" t="str">
        <f t="shared" si="244"/>
        <v>--</v>
      </c>
      <c r="AE117" s="157">
        <f t="shared" si="245"/>
        <v>1103.8654191475287</v>
      </c>
      <c r="AF117" s="382">
        <f t="shared" si="246"/>
        <v>268.00670016750416</v>
      </c>
      <c r="AG117" s="258" t="str">
        <f t="shared" si="247"/>
        <v>NV</v>
      </c>
      <c r="AH117" s="159" t="str">
        <f t="shared" si="283"/>
        <v>--</v>
      </c>
      <c r="AI117" s="159" t="str">
        <f t="shared" si="284"/>
        <v>--</v>
      </c>
      <c r="AJ117" s="159" t="str">
        <f t="shared" si="285"/>
        <v>--</v>
      </c>
      <c r="AK117" s="158" t="str">
        <f t="shared" si="286"/>
        <v>--</v>
      </c>
      <c r="AL117" s="158" t="str">
        <f t="shared" si="287"/>
        <v>--</v>
      </c>
      <c r="AM117" s="158">
        <f t="shared" si="288"/>
        <v>1E-3</v>
      </c>
      <c r="AN117" s="158" t="str">
        <f t="shared" si="289"/>
        <v>--</v>
      </c>
      <c r="AO117" s="158" t="str">
        <f t="shared" si="290"/>
        <v>--</v>
      </c>
      <c r="AP117" s="158">
        <f t="shared" si="291"/>
        <v>0.1</v>
      </c>
      <c r="AQ117" s="168">
        <f t="shared" si="292"/>
        <v>1</v>
      </c>
    </row>
    <row r="118" spans="1:43">
      <c r="A118" s="136" t="s">
        <v>291</v>
      </c>
      <c r="B118" s="247" t="s">
        <v>292</v>
      </c>
      <c r="C118" s="245">
        <f t="shared" si="217"/>
        <v>2528.5471822285854</v>
      </c>
      <c r="D118" s="250" t="str">
        <f t="shared" si="218"/>
        <v>Noncancer</v>
      </c>
      <c r="E118" s="157" t="str">
        <f t="shared" si="219"/>
        <v>--</v>
      </c>
      <c r="F118" s="157" t="str">
        <f t="shared" si="220"/>
        <v>--</v>
      </c>
      <c r="G118" s="157" t="str">
        <f t="shared" si="221"/>
        <v>--</v>
      </c>
      <c r="H118" s="237" t="str">
        <f t="shared" si="222"/>
        <v>--</v>
      </c>
      <c r="I118" s="157">
        <f t="shared" si="223"/>
        <v>3128.5714285714284</v>
      </c>
      <c r="J118" s="157" t="str">
        <f t="shared" si="224"/>
        <v>--</v>
      </c>
      <c r="K118" s="238">
        <f t="shared" si="225"/>
        <v>13184.034675817229</v>
      </c>
      <c r="L118" s="198">
        <f t="shared" si="226"/>
        <v>2528.5471822285854</v>
      </c>
      <c r="M118" s="252">
        <f t="shared" si="227"/>
        <v>32826.508529833336</v>
      </c>
      <c r="N118" s="243" t="str">
        <f t="shared" si="228"/>
        <v>Noncancer</v>
      </c>
      <c r="O118" s="157" t="str">
        <f t="shared" si="229"/>
        <v>--</v>
      </c>
      <c r="P118" s="157" t="str">
        <f t="shared" si="230"/>
        <v>--</v>
      </c>
      <c r="Q118" s="157" t="str">
        <f t="shared" si="231"/>
        <v>--</v>
      </c>
      <c r="R118" s="240" t="str">
        <f t="shared" si="232"/>
        <v>--</v>
      </c>
      <c r="S118" s="157">
        <f t="shared" si="233"/>
        <v>46720</v>
      </c>
      <c r="T118" s="157" t="str">
        <f t="shared" si="234"/>
        <v>--</v>
      </c>
      <c r="U118" s="157">
        <f t="shared" si="235"/>
        <v>110386.54191475286</v>
      </c>
      <c r="V118" s="254">
        <f t="shared" si="236"/>
        <v>32826.508529833336</v>
      </c>
      <c r="W118" s="256">
        <f t="shared" si="237"/>
        <v>10720.268006700167</v>
      </c>
      <c r="X118" s="241" t="str">
        <f t="shared" si="238"/>
        <v>Noncancer</v>
      </c>
      <c r="Y118" s="157" t="str">
        <f t="shared" si="239"/>
        <v>--</v>
      </c>
      <c r="Z118" s="157" t="str">
        <f t="shared" si="240"/>
        <v>--</v>
      </c>
      <c r="AA118" s="157" t="str">
        <f t="shared" si="241"/>
        <v>--</v>
      </c>
      <c r="AB118" s="242" t="str">
        <f t="shared" si="242"/>
        <v>--</v>
      </c>
      <c r="AC118" s="157">
        <f t="shared" si="243"/>
        <v>14157.575757575758</v>
      </c>
      <c r="AD118" s="157" t="str">
        <f t="shared" si="244"/>
        <v>--</v>
      </c>
      <c r="AE118" s="157">
        <f t="shared" si="245"/>
        <v>44154.616765901148</v>
      </c>
      <c r="AF118" s="382">
        <f t="shared" si="246"/>
        <v>10720.268006700167</v>
      </c>
      <c r="AG118" s="258" t="str">
        <f t="shared" si="247"/>
        <v>NV</v>
      </c>
      <c r="AH118" s="159" t="str">
        <f t="shared" si="283"/>
        <v>--</v>
      </c>
      <c r="AI118" s="159" t="str">
        <f t="shared" si="284"/>
        <v>--</v>
      </c>
      <c r="AJ118" s="159" t="str">
        <f t="shared" si="285"/>
        <v>--</v>
      </c>
      <c r="AK118" s="158" t="str">
        <f t="shared" si="286"/>
        <v>--</v>
      </c>
      <c r="AL118" s="158" t="str">
        <f t="shared" si="287"/>
        <v>--</v>
      </c>
      <c r="AM118" s="158">
        <f t="shared" si="288"/>
        <v>0.04</v>
      </c>
      <c r="AN118" s="158" t="str">
        <f t="shared" si="289"/>
        <v>--</v>
      </c>
      <c r="AO118" s="158" t="str">
        <f t="shared" si="290"/>
        <v>--</v>
      </c>
      <c r="AP118" s="158">
        <f t="shared" si="291"/>
        <v>0.1</v>
      </c>
      <c r="AQ118" s="168">
        <f t="shared" si="292"/>
        <v>1</v>
      </c>
    </row>
    <row r="119" spans="1:43">
      <c r="A119" s="136" t="s">
        <v>293</v>
      </c>
      <c r="B119" s="247" t="s">
        <v>294</v>
      </c>
      <c r="C119" s="245">
        <f t="shared" si="217"/>
        <v>18.964103866714392</v>
      </c>
      <c r="D119" s="250" t="str">
        <f t="shared" si="218"/>
        <v>Noncancer</v>
      </c>
      <c r="E119" s="157" t="str">
        <f t="shared" si="219"/>
        <v>--</v>
      </c>
      <c r="F119" s="157" t="str">
        <f t="shared" si="220"/>
        <v>--</v>
      </c>
      <c r="G119" s="157" t="str">
        <f t="shared" si="221"/>
        <v>--</v>
      </c>
      <c r="H119" s="237" t="str">
        <f t="shared" si="222"/>
        <v>--</v>
      </c>
      <c r="I119" s="157">
        <f t="shared" si="223"/>
        <v>23.464285714285715</v>
      </c>
      <c r="J119" s="157" t="str">
        <f t="shared" si="224"/>
        <v>--</v>
      </c>
      <c r="K119" s="238">
        <f t="shared" si="225"/>
        <v>98.880260068629227</v>
      </c>
      <c r="L119" s="198">
        <f t="shared" si="226"/>
        <v>18.964103866714392</v>
      </c>
      <c r="M119" s="252">
        <f t="shared" si="227"/>
        <v>246.19881397375005</v>
      </c>
      <c r="N119" s="243" t="str">
        <f t="shared" si="228"/>
        <v>Noncancer</v>
      </c>
      <c r="O119" s="157" t="str">
        <f t="shared" si="229"/>
        <v>--</v>
      </c>
      <c r="P119" s="157" t="str">
        <f t="shared" si="230"/>
        <v>--</v>
      </c>
      <c r="Q119" s="157" t="str">
        <f t="shared" si="231"/>
        <v>--</v>
      </c>
      <c r="R119" s="240" t="str">
        <f t="shared" si="232"/>
        <v>--</v>
      </c>
      <c r="S119" s="157">
        <f t="shared" si="233"/>
        <v>350.4</v>
      </c>
      <c r="T119" s="157" t="str">
        <f t="shared" si="234"/>
        <v>--</v>
      </c>
      <c r="U119" s="157">
        <f t="shared" si="235"/>
        <v>827.89906436064643</v>
      </c>
      <c r="V119" s="254">
        <f t="shared" si="236"/>
        <v>246.19881397375005</v>
      </c>
      <c r="W119" s="256">
        <f t="shared" si="237"/>
        <v>80.402010050251249</v>
      </c>
      <c r="X119" s="241" t="str">
        <f t="shared" si="238"/>
        <v>Noncancer</v>
      </c>
      <c r="Y119" s="157" t="str">
        <f t="shared" si="239"/>
        <v>--</v>
      </c>
      <c r="Z119" s="157" t="str">
        <f t="shared" si="240"/>
        <v>--</v>
      </c>
      <c r="AA119" s="157" t="str">
        <f t="shared" si="241"/>
        <v>--</v>
      </c>
      <c r="AB119" s="242" t="str">
        <f t="shared" si="242"/>
        <v>--</v>
      </c>
      <c r="AC119" s="157">
        <f t="shared" si="243"/>
        <v>106.18181818181819</v>
      </c>
      <c r="AD119" s="157" t="str">
        <f t="shared" si="244"/>
        <v>--</v>
      </c>
      <c r="AE119" s="157">
        <f t="shared" si="245"/>
        <v>331.15962574425851</v>
      </c>
      <c r="AF119" s="382">
        <f t="shared" si="246"/>
        <v>80.402010050251249</v>
      </c>
      <c r="AG119" s="258" t="str">
        <f t="shared" si="247"/>
        <v>NV</v>
      </c>
      <c r="AH119" s="159" t="str">
        <f t="shared" si="283"/>
        <v>--</v>
      </c>
      <c r="AI119" s="159" t="str">
        <f t="shared" si="284"/>
        <v>--</v>
      </c>
      <c r="AJ119" s="159" t="str">
        <f t="shared" si="285"/>
        <v>--</v>
      </c>
      <c r="AK119" s="158" t="str">
        <f t="shared" si="286"/>
        <v>--</v>
      </c>
      <c r="AL119" s="158" t="str">
        <f t="shared" si="287"/>
        <v>--</v>
      </c>
      <c r="AM119" s="158">
        <f t="shared" si="288"/>
        <v>2.9999999999999997E-4</v>
      </c>
      <c r="AN119" s="158" t="str">
        <f t="shared" si="289"/>
        <v>--</v>
      </c>
      <c r="AO119" s="158" t="str">
        <f t="shared" si="290"/>
        <v>--</v>
      </c>
      <c r="AP119" s="158">
        <f t="shared" si="291"/>
        <v>0.1</v>
      </c>
      <c r="AQ119" s="168">
        <f t="shared" si="292"/>
        <v>1</v>
      </c>
    </row>
    <row r="120" spans="1:43">
      <c r="A120" s="136" t="s">
        <v>295</v>
      </c>
      <c r="B120" s="247" t="s">
        <v>296</v>
      </c>
      <c r="C120" s="245">
        <f t="shared" si="217"/>
        <v>1.2642735911142928</v>
      </c>
      <c r="D120" s="250" t="str">
        <f t="shared" si="218"/>
        <v>Noncancer</v>
      </c>
      <c r="E120" s="157" t="str">
        <f t="shared" si="219"/>
        <v>--</v>
      </c>
      <c r="F120" s="157" t="str">
        <f t="shared" si="220"/>
        <v>--</v>
      </c>
      <c r="G120" s="157" t="str">
        <f t="shared" si="221"/>
        <v>--</v>
      </c>
      <c r="H120" s="237" t="str">
        <f t="shared" si="222"/>
        <v>--</v>
      </c>
      <c r="I120" s="157">
        <f t="shared" si="223"/>
        <v>1.5642857142857145</v>
      </c>
      <c r="J120" s="157" t="str">
        <f t="shared" si="224"/>
        <v>--</v>
      </c>
      <c r="K120" s="238">
        <f t="shared" si="225"/>
        <v>6.5920173379086142</v>
      </c>
      <c r="L120" s="198">
        <f t="shared" si="226"/>
        <v>1.2642735911142928</v>
      </c>
      <c r="M120" s="252">
        <f t="shared" si="227"/>
        <v>16.41325426491667</v>
      </c>
      <c r="N120" s="243" t="str">
        <f t="shared" si="228"/>
        <v>Noncancer</v>
      </c>
      <c r="O120" s="157" t="str">
        <f t="shared" si="229"/>
        <v>--</v>
      </c>
      <c r="P120" s="157" t="str">
        <f t="shared" si="230"/>
        <v>--</v>
      </c>
      <c r="Q120" s="157" t="str">
        <f t="shared" si="231"/>
        <v>--</v>
      </c>
      <c r="R120" s="240" t="str">
        <f t="shared" si="232"/>
        <v>--</v>
      </c>
      <c r="S120" s="157">
        <f t="shared" si="233"/>
        <v>23.360000000000007</v>
      </c>
      <c r="T120" s="157" t="str">
        <f t="shared" si="234"/>
        <v>--</v>
      </c>
      <c r="U120" s="157">
        <f t="shared" si="235"/>
        <v>55.193270957376434</v>
      </c>
      <c r="V120" s="254">
        <f t="shared" si="236"/>
        <v>16.41325426491667</v>
      </c>
      <c r="W120" s="256">
        <f t="shared" si="237"/>
        <v>5.3601340033500851</v>
      </c>
      <c r="X120" s="241" t="str">
        <f t="shared" si="238"/>
        <v>Noncancer</v>
      </c>
      <c r="Y120" s="157" t="str">
        <f t="shared" si="239"/>
        <v>--</v>
      </c>
      <c r="Z120" s="157" t="str">
        <f t="shared" si="240"/>
        <v>--</v>
      </c>
      <c r="AA120" s="157" t="str">
        <f t="shared" si="241"/>
        <v>--</v>
      </c>
      <c r="AB120" s="242" t="str">
        <f t="shared" si="242"/>
        <v>--</v>
      </c>
      <c r="AC120" s="157">
        <f t="shared" si="243"/>
        <v>7.07878787878788</v>
      </c>
      <c r="AD120" s="157" t="str">
        <f t="shared" si="244"/>
        <v>--</v>
      </c>
      <c r="AE120" s="157">
        <f t="shared" si="245"/>
        <v>22.077308382950573</v>
      </c>
      <c r="AF120" s="382">
        <f t="shared" si="246"/>
        <v>5.3601340033500851</v>
      </c>
      <c r="AG120" s="258" t="str">
        <f t="shared" si="247"/>
        <v>V</v>
      </c>
      <c r="AH120" s="159">
        <f t="shared" si="283"/>
        <v>44947.769874712569</v>
      </c>
      <c r="AI120" s="159">
        <f t="shared" si="284"/>
        <v>44074.914554545627</v>
      </c>
      <c r="AJ120" s="159">
        <f t="shared" si="285"/>
        <v>9955.5421349204498</v>
      </c>
      <c r="AK120" s="158" t="str">
        <f t="shared" si="286"/>
        <v>--</v>
      </c>
      <c r="AL120" s="158" t="str">
        <f t="shared" si="287"/>
        <v>--</v>
      </c>
      <c r="AM120" s="158">
        <f t="shared" si="288"/>
        <v>2.0000000000000002E-5</v>
      </c>
      <c r="AN120" s="158" t="str">
        <f t="shared" si="289"/>
        <v>--</v>
      </c>
      <c r="AO120" s="158" t="str">
        <f t="shared" si="290"/>
        <v>--</v>
      </c>
      <c r="AP120" s="158">
        <f t="shared" si="291"/>
        <v>0.1</v>
      </c>
      <c r="AQ120" s="168">
        <f t="shared" si="292"/>
        <v>1</v>
      </c>
    </row>
    <row r="121" spans="1:43">
      <c r="A121" s="136" t="s">
        <v>297</v>
      </c>
      <c r="B121" s="247" t="s">
        <v>298</v>
      </c>
      <c r="C121" s="245">
        <f t="shared" si="217"/>
        <v>6.3213679555714636E-3</v>
      </c>
      <c r="D121" s="250" t="str">
        <f t="shared" si="218"/>
        <v>Noncancer</v>
      </c>
      <c r="E121" s="157">
        <f t="shared" si="219"/>
        <v>1.7600964436407476E-2</v>
      </c>
      <c r="F121" s="157" t="str">
        <f t="shared" si="220"/>
        <v>--</v>
      </c>
      <c r="G121" s="157">
        <f t="shared" si="221"/>
        <v>6.25626697976569E-2</v>
      </c>
      <c r="H121" s="237">
        <f t="shared" si="222"/>
        <v>1.3736444669412703E-2</v>
      </c>
      <c r="I121" s="157">
        <f t="shared" si="223"/>
        <v>7.8214285714285712E-3</v>
      </c>
      <c r="J121" s="157" t="str">
        <f t="shared" si="224"/>
        <v>--</v>
      </c>
      <c r="K121" s="238">
        <f t="shared" si="225"/>
        <v>3.2960086689543075E-2</v>
      </c>
      <c r="L121" s="198">
        <f t="shared" si="226"/>
        <v>6.3213679555714636E-3</v>
      </c>
      <c r="M121" s="252">
        <f t="shared" si="227"/>
        <v>5.8173559419957811E-2</v>
      </c>
      <c r="N121" s="243" t="str">
        <f t="shared" si="228"/>
        <v>Cancer</v>
      </c>
      <c r="O121" s="157">
        <f t="shared" si="229"/>
        <v>8.2794936708860761E-2</v>
      </c>
      <c r="P121" s="157" t="str">
        <f t="shared" si="230"/>
        <v>--</v>
      </c>
      <c r="Q121" s="157">
        <f t="shared" si="231"/>
        <v>0.19562171984892912</v>
      </c>
      <c r="R121" s="240">
        <f t="shared" si="232"/>
        <v>5.8173559419957811E-2</v>
      </c>
      <c r="S121" s="157">
        <f t="shared" si="233"/>
        <v>0.1168</v>
      </c>
      <c r="T121" s="157" t="str">
        <f t="shared" si="234"/>
        <v>--</v>
      </c>
      <c r="U121" s="157">
        <f t="shared" si="235"/>
        <v>0.27596635478688214</v>
      </c>
      <c r="V121" s="254">
        <f t="shared" si="236"/>
        <v>8.2066271324583343E-2</v>
      </c>
      <c r="W121" s="256">
        <f t="shared" si="237"/>
        <v>2.6800670016750419E-2</v>
      </c>
      <c r="X121" s="241" t="str">
        <f t="shared" si="238"/>
        <v>Noncancer</v>
      </c>
      <c r="Y121" s="157">
        <f t="shared" si="239"/>
        <v>0.62723436900652096</v>
      </c>
      <c r="Z121" s="157" t="str">
        <f t="shared" si="240"/>
        <v>--</v>
      </c>
      <c r="AA121" s="157">
        <f t="shared" si="241"/>
        <v>1.9562171984892911</v>
      </c>
      <c r="AB121" s="242">
        <f t="shared" si="242"/>
        <v>0.47494858257532391</v>
      </c>
      <c r="AC121" s="157">
        <f t="shared" si="243"/>
        <v>3.5393939393939394E-2</v>
      </c>
      <c r="AD121" s="157" t="str">
        <f t="shared" si="244"/>
        <v>--</v>
      </c>
      <c r="AE121" s="157">
        <f t="shared" si="245"/>
        <v>0.11038654191475286</v>
      </c>
      <c r="AF121" s="382">
        <f t="shared" si="246"/>
        <v>2.6800670016750419E-2</v>
      </c>
      <c r="AG121" s="258" t="str">
        <f t="shared" si="247"/>
        <v>NV</v>
      </c>
      <c r="AH121" s="159" t="str">
        <f t="shared" si="283"/>
        <v>--</v>
      </c>
      <c r="AI121" s="159" t="str">
        <f t="shared" si="284"/>
        <v>--</v>
      </c>
      <c r="AJ121" s="159" t="str">
        <f t="shared" si="285"/>
        <v>--</v>
      </c>
      <c r="AK121" s="158">
        <f t="shared" si="286"/>
        <v>39.5</v>
      </c>
      <c r="AL121" s="158" t="str">
        <f t="shared" si="287"/>
        <v>--</v>
      </c>
      <c r="AM121" s="158">
        <f t="shared" si="288"/>
        <v>9.9999999999999995E-8</v>
      </c>
      <c r="AN121" s="158" t="str">
        <f t="shared" si="289"/>
        <v>--</v>
      </c>
      <c r="AO121" s="158" t="str">
        <f t="shared" si="290"/>
        <v>--</v>
      </c>
      <c r="AP121" s="158">
        <f t="shared" si="291"/>
        <v>0.1</v>
      </c>
      <c r="AQ121" s="168">
        <f t="shared" si="292"/>
        <v>1</v>
      </c>
    </row>
    <row r="122" spans="1:43">
      <c r="A122" s="136" t="s">
        <v>299</v>
      </c>
      <c r="B122" s="247" t="s">
        <v>300</v>
      </c>
      <c r="C122" s="245">
        <f t="shared" si="217"/>
        <v>0.23464285714285715</v>
      </c>
      <c r="D122" s="250" t="str">
        <f t="shared" si="218"/>
        <v>Noncancer</v>
      </c>
      <c r="E122" s="157" t="str">
        <f t="shared" si="219"/>
        <v>--</v>
      </c>
      <c r="F122" s="157" t="str">
        <f t="shared" si="220"/>
        <v>--</v>
      </c>
      <c r="G122" s="157" t="str">
        <f t="shared" si="221"/>
        <v>--</v>
      </c>
      <c r="H122" s="237" t="str">
        <f t="shared" si="222"/>
        <v>--</v>
      </c>
      <c r="I122" s="157">
        <f t="shared" si="223"/>
        <v>0.23464285714285715</v>
      </c>
      <c r="J122" s="157" t="str">
        <f t="shared" si="224"/>
        <v>--</v>
      </c>
      <c r="K122" s="238" t="str">
        <f t="shared" si="225"/>
        <v>--</v>
      </c>
      <c r="L122" s="198">
        <f t="shared" si="226"/>
        <v>0.23464285714285715</v>
      </c>
      <c r="M122" s="252">
        <f t="shared" si="227"/>
        <v>3.5040000000000004</v>
      </c>
      <c r="N122" s="243" t="str">
        <f t="shared" si="228"/>
        <v>Noncancer</v>
      </c>
      <c r="O122" s="157" t="str">
        <f t="shared" si="229"/>
        <v>--</v>
      </c>
      <c r="P122" s="157" t="str">
        <f t="shared" si="230"/>
        <v>--</v>
      </c>
      <c r="Q122" s="157" t="str">
        <f t="shared" si="231"/>
        <v>--</v>
      </c>
      <c r="R122" s="240" t="str">
        <f t="shared" si="232"/>
        <v>--</v>
      </c>
      <c r="S122" s="157">
        <f t="shared" si="233"/>
        <v>3.5040000000000004</v>
      </c>
      <c r="T122" s="157" t="str">
        <f t="shared" si="234"/>
        <v>--</v>
      </c>
      <c r="U122" s="157" t="str">
        <f t="shared" si="235"/>
        <v>--</v>
      </c>
      <c r="V122" s="254">
        <f t="shared" si="236"/>
        <v>3.5040000000000004</v>
      </c>
      <c r="W122" s="256">
        <f t="shared" si="237"/>
        <v>1.0618181818181818</v>
      </c>
      <c r="X122" s="241" t="str">
        <f t="shared" si="238"/>
        <v>Noncancer</v>
      </c>
      <c r="Y122" s="157" t="str">
        <f t="shared" si="239"/>
        <v>--</v>
      </c>
      <c r="Z122" s="157" t="str">
        <f t="shared" si="240"/>
        <v>--</v>
      </c>
      <c r="AA122" s="157" t="str">
        <f t="shared" si="241"/>
        <v>--</v>
      </c>
      <c r="AB122" s="242" t="str">
        <f t="shared" si="242"/>
        <v>--</v>
      </c>
      <c r="AC122" s="157">
        <f t="shared" si="243"/>
        <v>1.0618181818181818</v>
      </c>
      <c r="AD122" s="157" t="str">
        <f t="shared" si="244"/>
        <v>--</v>
      </c>
      <c r="AE122" s="157" t="str">
        <f t="shared" si="245"/>
        <v>--</v>
      </c>
      <c r="AF122" s="382">
        <f t="shared" si="246"/>
        <v>1.0618181818181818</v>
      </c>
      <c r="AG122" s="258" t="str">
        <f t="shared" si="247"/>
        <v>V</v>
      </c>
      <c r="AH122" s="159">
        <f t="shared" si="283"/>
        <v>49743.700991434998</v>
      </c>
      <c r="AI122" s="159">
        <f t="shared" si="284"/>
        <v>48777.711929548423</v>
      </c>
      <c r="AJ122" s="159">
        <f t="shared" si="285"/>
        <v>11017.799382427806</v>
      </c>
      <c r="AK122" s="158" t="str">
        <f t="shared" si="286"/>
        <v>--</v>
      </c>
      <c r="AL122" s="158" t="str">
        <f t="shared" si="287"/>
        <v>--</v>
      </c>
      <c r="AM122" s="158">
        <f t="shared" si="288"/>
        <v>3.0000000000000001E-6</v>
      </c>
      <c r="AN122" s="158" t="str">
        <f t="shared" si="289"/>
        <v>--</v>
      </c>
      <c r="AO122" s="158" t="str">
        <f t="shared" si="290"/>
        <v>--</v>
      </c>
      <c r="AP122" s="158" t="str">
        <f t="shared" si="291"/>
        <v>--</v>
      </c>
      <c r="AQ122" s="168">
        <f t="shared" si="292"/>
        <v>1</v>
      </c>
    </row>
    <row r="123" spans="1:43">
      <c r="A123" s="136" t="s">
        <v>301</v>
      </c>
      <c r="B123" s="247" t="s">
        <v>302</v>
      </c>
      <c r="C123" s="245">
        <f t="shared" si="217"/>
        <v>18962.836092564077</v>
      </c>
      <c r="D123" s="250" t="str">
        <f t="shared" si="218"/>
        <v>Noncancer</v>
      </c>
      <c r="E123" s="157" t="str">
        <f t="shared" si="219"/>
        <v>--</v>
      </c>
      <c r="F123" s="157" t="str">
        <f t="shared" si="220"/>
        <v>--</v>
      </c>
      <c r="G123" s="157" t="str">
        <f t="shared" si="221"/>
        <v>--</v>
      </c>
      <c r="H123" s="237" t="str">
        <f t="shared" si="222"/>
        <v>--</v>
      </c>
      <c r="I123" s="157">
        <f t="shared" si="223"/>
        <v>23464.285714285717</v>
      </c>
      <c r="J123" s="157">
        <f t="shared" si="224"/>
        <v>283657142.85714287</v>
      </c>
      <c r="K123" s="238">
        <f t="shared" si="225"/>
        <v>98880.260068629228</v>
      </c>
      <c r="L123" s="198">
        <f t="shared" si="226"/>
        <v>18962.836092564077</v>
      </c>
      <c r="M123" s="252">
        <f t="shared" si="227"/>
        <v>246147.94661835828</v>
      </c>
      <c r="N123" s="243" t="str">
        <f t="shared" si="228"/>
        <v>Noncancer</v>
      </c>
      <c r="O123" s="157" t="str">
        <f t="shared" si="229"/>
        <v>--</v>
      </c>
      <c r="P123" s="157" t="str">
        <f t="shared" si="230"/>
        <v>--</v>
      </c>
      <c r="Q123" s="157" t="str">
        <f t="shared" si="231"/>
        <v>--</v>
      </c>
      <c r="R123" s="240" t="str">
        <f t="shared" si="232"/>
        <v>--</v>
      </c>
      <c r="S123" s="157">
        <f t="shared" si="233"/>
        <v>350400</v>
      </c>
      <c r="T123" s="157">
        <f t="shared" si="234"/>
        <v>1191360000.0000002</v>
      </c>
      <c r="U123" s="157">
        <f t="shared" si="235"/>
        <v>827899.06436064653</v>
      </c>
      <c r="V123" s="254">
        <f t="shared" si="236"/>
        <v>246147.94661835828</v>
      </c>
      <c r="W123" s="256">
        <f t="shared" si="237"/>
        <v>73938.832456960969</v>
      </c>
      <c r="X123" s="241" t="str">
        <f t="shared" si="238"/>
        <v>Noncancer</v>
      </c>
      <c r="Y123" s="157" t="str">
        <f t="shared" si="239"/>
        <v>--</v>
      </c>
      <c r="Z123" s="157" t="str">
        <f t="shared" si="240"/>
        <v>--</v>
      </c>
      <c r="AA123" s="157" t="str">
        <f t="shared" si="241"/>
        <v>--</v>
      </c>
      <c r="AB123" s="242" t="str">
        <f t="shared" si="242"/>
        <v>--</v>
      </c>
      <c r="AC123" s="157">
        <f t="shared" si="243"/>
        <v>106181.81818181819</v>
      </c>
      <c r="AD123" s="157">
        <f t="shared" si="244"/>
        <v>919800.00000000012</v>
      </c>
      <c r="AE123" s="157">
        <f t="shared" si="245"/>
        <v>331159.62574425852</v>
      </c>
      <c r="AF123" s="382">
        <f t="shared" si="246"/>
        <v>73938.832456960969</v>
      </c>
      <c r="AG123" s="258" t="str">
        <f t="shared" si="247"/>
        <v>NV</v>
      </c>
      <c r="AH123" s="159" t="str">
        <f t="shared" si="283"/>
        <v>--</v>
      </c>
      <c r="AI123" s="159" t="str">
        <f t="shared" si="284"/>
        <v>--</v>
      </c>
      <c r="AJ123" s="159" t="str">
        <f t="shared" si="285"/>
        <v>--</v>
      </c>
      <c r="AK123" s="158" t="str">
        <f t="shared" si="286"/>
        <v>--</v>
      </c>
      <c r="AL123" s="158" t="str">
        <f t="shared" si="287"/>
        <v>--</v>
      </c>
      <c r="AM123" s="158">
        <f t="shared" si="288"/>
        <v>0.3</v>
      </c>
      <c r="AN123" s="158">
        <f t="shared" si="289"/>
        <v>200</v>
      </c>
      <c r="AO123" s="158" t="str">
        <f t="shared" si="290"/>
        <v>--</v>
      </c>
      <c r="AP123" s="158">
        <f t="shared" si="291"/>
        <v>0.1</v>
      </c>
      <c r="AQ123" s="168">
        <f t="shared" si="292"/>
        <v>1</v>
      </c>
    </row>
    <row r="124" spans="1:43">
      <c r="A124" s="136" t="s">
        <v>303</v>
      </c>
      <c r="B124" s="247" t="s">
        <v>304</v>
      </c>
      <c r="C124" s="245">
        <f t="shared" si="217"/>
        <v>0.22770871299594589</v>
      </c>
      <c r="D124" s="250" t="str">
        <f t="shared" si="218"/>
        <v>Cancer</v>
      </c>
      <c r="E124" s="157">
        <f t="shared" si="219"/>
        <v>0.34761904761904766</v>
      </c>
      <c r="F124" s="157">
        <f t="shared" si="220"/>
        <v>2.6190210665556601</v>
      </c>
      <c r="G124" s="157">
        <f t="shared" si="221"/>
        <v>0.88258052035980261</v>
      </c>
      <c r="H124" s="237">
        <f t="shared" si="222"/>
        <v>0.22770871299594589</v>
      </c>
      <c r="I124" s="157" t="str">
        <f t="shared" si="223"/>
        <v>--</v>
      </c>
      <c r="J124" s="157" t="str">
        <f t="shared" si="224"/>
        <v>--</v>
      </c>
      <c r="K124" s="238" t="str">
        <f t="shared" si="225"/>
        <v>--</v>
      </c>
      <c r="L124" s="198" t="str">
        <f t="shared" si="226"/>
        <v>--</v>
      </c>
      <c r="M124" s="252">
        <f t="shared" si="227"/>
        <v>0.94068693558064298</v>
      </c>
      <c r="N124" s="243" t="str">
        <f t="shared" si="228"/>
        <v>Cancer</v>
      </c>
      <c r="O124" s="157">
        <f t="shared" si="229"/>
        <v>1.6352</v>
      </c>
      <c r="P124" s="157">
        <f t="shared" si="230"/>
        <v>11.217814367199509</v>
      </c>
      <c r="Q124" s="157">
        <f t="shared" si="231"/>
        <v>2.7596635478688212</v>
      </c>
      <c r="R124" s="240">
        <f t="shared" si="232"/>
        <v>0.94068693558064298</v>
      </c>
      <c r="S124" s="157" t="str">
        <f t="shared" si="233"/>
        <v>--</v>
      </c>
      <c r="T124" s="157" t="str">
        <f t="shared" si="234"/>
        <v>--</v>
      </c>
      <c r="U124" s="157" t="str">
        <f t="shared" si="235"/>
        <v>--</v>
      </c>
      <c r="V124" s="254" t="str">
        <f t="shared" si="236"/>
        <v>--</v>
      </c>
      <c r="W124" s="256">
        <f t="shared" si="237"/>
        <v>7.4343297676734545</v>
      </c>
      <c r="X124" s="241" t="str">
        <f t="shared" si="238"/>
        <v>Cancer</v>
      </c>
      <c r="Y124" s="157">
        <f t="shared" si="239"/>
        <v>12.38787878787879</v>
      </c>
      <c r="Z124" s="157">
        <f t="shared" si="240"/>
        <v>56.977638209028072</v>
      </c>
      <c r="AA124" s="157">
        <f t="shared" si="241"/>
        <v>27.596635478688217</v>
      </c>
      <c r="AB124" s="242">
        <f t="shared" si="242"/>
        <v>7.4343297676734545</v>
      </c>
      <c r="AC124" s="157" t="str">
        <f t="shared" si="243"/>
        <v>--</v>
      </c>
      <c r="AD124" s="157" t="str">
        <f t="shared" si="244"/>
        <v>--</v>
      </c>
      <c r="AE124" s="157" t="str">
        <f t="shared" si="245"/>
        <v>--</v>
      </c>
      <c r="AF124" s="382" t="str">
        <f t="shared" si="246"/>
        <v>--</v>
      </c>
      <c r="AG124" s="258" t="str">
        <f t="shared" si="247"/>
        <v>V</v>
      </c>
      <c r="AH124" s="159">
        <f t="shared" si="283"/>
        <v>531905.10382762493</v>
      </c>
      <c r="AI124" s="159">
        <f t="shared" si="284"/>
        <v>521575.86611474142</v>
      </c>
      <c r="AJ124" s="159">
        <f t="shared" si="285"/>
        <v>117812.37840488122</v>
      </c>
      <c r="AK124" s="158">
        <f t="shared" si="286"/>
        <v>2</v>
      </c>
      <c r="AL124" s="158">
        <f t="shared" si="287"/>
        <v>5.6999999999999998E-4</v>
      </c>
      <c r="AM124" s="158" t="str">
        <f t="shared" si="288"/>
        <v>--</v>
      </c>
      <c r="AN124" s="158" t="str">
        <f t="shared" si="289"/>
        <v>--</v>
      </c>
      <c r="AO124" s="158" t="str">
        <f t="shared" si="290"/>
        <v>--</v>
      </c>
      <c r="AP124" s="158">
        <f t="shared" si="291"/>
        <v>0.14000000000000001</v>
      </c>
      <c r="AQ124" s="168">
        <f t="shared" si="292"/>
        <v>1</v>
      </c>
    </row>
    <row r="125" spans="1:43">
      <c r="A125" s="136" t="s">
        <v>305</v>
      </c>
      <c r="B125" s="247" t="s">
        <v>306</v>
      </c>
      <c r="C125" s="245">
        <f t="shared" si="217"/>
        <v>391.06603703599149</v>
      </c>
      <c r="D125" s="250" t="str">
        <f t="shared" si="218"/>
        <v>Noncancer</v>
      </c>
      <c r="E125" s="157" t="str">
        <f t="shared" si="219"/>
        <v>--</v>
      </c>
      <c r="F125" s="157" t="str">
        <f t="shared" si="220"/>
        <v>--</v>
      </c>
      <c r="G125" s="157" t="str">
        <f t="shared" si="221"/>
        <v>--</v>
      </c>
      <c r="H125" s="237" t="str">
        <f t="shared" si="222"/>
        <v>--</v>
      </c>
      <c r="I125" s="157">
        <f t="shared" si="223"/>
        <v>391.07142857142856</v>
      </c>
      <c r="J125" s="157">
        <f t="shared" si="224"/>
        <v>28365714.285714287</v>
      </c>
      <c r="K125" s="238" t="str">
        <f t="shared" si="225"/>
        <v>--</v>
      </c>
      <c r="L125" s="198">
        <f t="shared" si="226"/>
        <v>391.06603703599149</v>
      </c>
      <c r="M125" s="252">
        <f t="shared" si="227"/>
        <v>5839.7137395225727</v>
      </c>
      <c r="N125" s="243" t="str">
        <f t="shared" si="228"/>
        <v>Noncancer</v>
      </c>
      <c r="O125" s="157" t="str">
        <f t="shared" si="229"/>
        <v>--</v>
      </c>
      <c r="P125" s="157" t="str">
        <f t="shared" si="230"/>
        <v>--</v>
      </c>
      <c r="Q125" s="157" t="str">
        <f t="shared" si="231"/>
        <v>--</v>
      </c>
      <c r="R125" s="240" t="str">
        <f t="shared" si="232"/>
        <v>--</v>
      </c>
      <c r="S125" s="157">
        <f t="shared" si="233"/>
        <v>5840</v>
      </c>
      <c r="T125" s="157">
        <f t="shared" si="234"/>
        <v>119136000</v>
      </c>
      <c r="U125" s="157" t="str">
        <f t="shared" si="235"/>
        <v>--</v>
      </c>
      <c r="V125" s="254">
        <f t="shared" si="236"/>
        <v>5839.7137395225727</v>
      </c>
      <c r="W125" s="256">
        <f t="shared" si="237"/>
        <v>1736.2907031618688</v>
      </c>
      <c r="X125" s="241" t="str">
        <f t="shared" si="238"/>
        <v>Noncancer</v>
      </c>
      <c r="Y125" s="157" t="str">
        <f t="shared" si="239"/>
        <v>--</v>
      </c>
      <c r="Z125" s="157" t="str">
        <f t="shared" si="240"/>
        <v>--</v>
      </c>
      <c r="AA125" s="157" t="str">
        <f t="shared" si="241"/>
        <v>--</v>
      </c>
      <c r="AB125" s="242" t="str">
        <f t="shared" si="242"/>
        <v>--</v>
      </c>
      <c r="AC125" s="157">
        <f t="shared" si="243"/>
        <v>1769.6969696969697</v>
      </c>
      <c r="AD125" s="157">
        <f t="shared" si="244"/>
        <v>91980</v>
      </c>
      <c r="AE125" s="157" t="str">
        <f t="shared" si="245"/>
        <v>--</v>
      </c>
      <c r="AF125" s="382">
        <f t="shared" si="246"/>
        <v>1736.2907031618688</v>
      </c>
      <c r="AG125" s="258" t="str">
        <f t="shared" si="247"/>
        <v>NV</v>
      </c>
      <c r="AH125" s="159" t="str">
        <f t="shared" si="283"/>
        <v>--</v>
      </c>
      <c r="AI125" s="159" t="str">
        <f t="shared" si="284"/>
        <v>--</v>
      </c>
      <c r="AJ125" s="159" t="str">
        <f t="shared" si="285"/>
        <v>--</v>
      </c>
      <c r="AK125" s="158" t="str">
        <f t="shared" si="286"/>
        <v>--</v>
      </c>
      <c r="AL125" s="158" t="str">
        <f t="shared" si="287"/>
        <v>--</v>
      </c>
      <c r="AM125" s="158">
        <f t="shared" si="288"/>
        <v>5.0000000000000001E-3</v>
      </c>
      <c r="AN125" s="158">
        <f t="shared" si="289"/>
        <v>20</v>
      </c>
      <c r="AO125" s="158" t="str">
        <f t="shared" si="290"/>
        <v>--</v>
      </c>
      <c r="AP125" s="158" t="str">
        <f t="shared" si="291"/>
        <v>--</v>
      </c>
      <c r="AQ125" s="168">
        <f t="shared" si="292"/>
        <v>1</v>
      </c>
    </row>
    <row r="126" spans="1:43">
      <c r="A126" s="136" t="s">
        <v>307</v>
      </c>
      <c r="B126" s="247" t="s">
        <v>308</v>
      </c>
      <c r="C126" s="245">
        <f t="shared" si="217"/>
        <v>391.07142857142856</v>
      </c>
      <c r="D126" s="250" t="str">
        <f t="shared" si="218"/>
        <v>Noncancer</v>
      </c>
      <c r="E126" s="157" t="str">
        <f t="shared" si="219"/>
        <v>--</v>
      </c>
      <c r="F126" s="157" t="str">
        <f t="shared" si="220"/>
        <v>--</v>
      </c>
      <c r="G126" s="157" t="str">
        <f t="shared" si="221"/>
        <v>--</v>
      </c>
      <c r="H126" s="237" t="str">
        <f t="shared" si="222"/>
        <v>--</v>
      </c>
      <c r="I126" s="157">
        <f t="shared" si="223"/>
        <v>391.07142857142856</v>
      </c>
      <c r="J126" s="157" t="str">
        <f t="shared" si="224"/>
        <v>--</v>
      </c>
      <c r="K126" s="238" t="str">
        <f t="shared" si="225"/>
        <v>--</v>
      </c>
      <c r="L126" s="198">
        <f t="shared" si="226"/>
        <v>391.07142857142856</v>
      </c>
      <c r="M126" s="252">
        <f t="shared" si="227"/>
        <v>5840</v>
      </c>
      <c r="N126" s="243" t="str">
        <f t="shared" si="228"/>
        <v>Noncancer</v>
      </c>
      <c r="O126" s="157" t="str">
        <f t="shared" si="229"/>
        <v>--</v>
      </c>
      <c r="P126" s="157" t="str">
        <f t="shared" si="230"/>
        <v>--</v>
      </c>
      <c r="Q126" s="157" t="str">
        <f t="shared" si="231"/>
        <v>--</v>
      </c>
      <c r="R126" s="240" t="str">
        <f t="shared" si="232"/>
        <v>--</v>
      </c>
      <c r="S126" s="157">
        <f t="shared" si="233"/>
        <v>5840</v>
      </c>
      <c r="T126" s="157" t="str">
        <f t="shared" si="234"/>
        <v>--</v>
      </c>
      <c r="U126" s="157" t="str">
        <f t="shared" si="235"/>
        <v>--</v>
      </c>
      <c r="V126" s="254">
        <f t="shared" si="236"/>
        <v>5840</v>
      </c>
      <c r="W126" s="256">
        <f t="shared" si="237"/>
        <v>1769.6969696969697</v>
      </c>
      <c r="X126" s="241" t="str">
        <f t="shared" si="238"/>
        <v>Noncancer</v>
      </c>
      <c r="Y126" s="157" t="str">
        <f t="shared" si="239"/>
        <v>--</v>
      </c>
      <c r="Z126" s="157" t="str">
        <f t="shared" si="240"/>
        <v>--</v>
      </c>
      <c r="AA126" s="157" t="str">
        <f t="shared" si="241"/>
        <v>--</v>
      </c>
      <c r="AB126" s="242" t="str">
        <f t="shared" si="242"/>
        <v>--</v>
      </c>
      <c r="AC126" s="157">
        <f t="shared" si="243"/>
        <v>1769.6969696969697</v>
      </c>
      <c r="AD126" s="157" t="str">
        <f t="shared" si="244"/>
        <v>--</v>
      </c>
      <c r="AE126" s="157" t="str">
        <f t="shared" si="245"/>
        <v>--</v>
      </c>
      <c r="AF126" s="382">
        <f t="shared" si="246"/>
        <v>1769.6969696969697</v>
      </c>
      <c r="AG126" s="258" t="str">
        <f t="shared" si="247"/>
        <v>NV</v>
      </c>
      <c r="AH126" s="159" t="str">
        <f t="shared" si="283"/>
        <v>--</v>
      </c>
      <c r="AI126" s="159" t="str">
        <f t="shared" si="284"/>
        <v>--</v>
      </c>
      <c r="AJ126" s="159" t="str">
        <f t="shared" si="285"/>
        <v>--</v>
      </c>
      <c r="AK126" s="158" t="str">
        <f t="shared" si="286"/>
        <v>--</v>
      </c>
      <c r="AL126" s="158" t="str">
        <f t="shared" si="287"/>
        <v>--</v>
      </c>
      <c r="AM126" s="158">
        <f t="shared" si="288"/>
        <v>5.0000000000000001E-3</v>
      </c>
      <c r="AN126" s="158" t="str">
        <f t="shared" si="289"/>
        <v>--</v>
      </c>
      <c r="AO126" s="158" t="str">
        <f t="shared" si="290"/>
        <v>--</v>
      </c>
      <c r="AP126" s="158" t="str">
        <f t="shared" si="291"/>
        <v>--</v>
      </c>
      <c r="AQ126" s="168">
        <f t="shared" si="292"/>
        <v>0.04</v>
      </c>
    </row>
    <row r="127" spans="1:43">
      <c r="A127" s="136" t="s">
        <v>309</v>
      </c>
      <c r="B127" s="247" t="s">
        <v>310</v>
      </c>
      <c r="C127" s="245">
        <f t="shared" si="217"/>
        <v>5620.8680730044125</v>
      </c>
      <c r="D127" s="250" t="str">
        <f t="shared" si="218"/>
        <v>Noncancer</v>
      </c>
      <c r="E127" s="157" t="str">
        <f t="shared" si="219"/>
        <v>--</v>
      </c>
      <c r="F127" s="157" t="str">
        <f t="shared" si="220"/>
        <v>--</v>
      </c>
      <c r="G127" s="157" t="str">
        <f t="shared" si="221"/>
        <v>--</v>
      </c>
      <c r="H127" s="237" t="str">
        <f t="shared" si="222"/>
        <v>--</v>
      </c>
      <c r="I127" s="157">
        <f t="shared" si="223"/>
        <v>15642.857142857141</v>
      </c>
      <c r="J127" s="157">
        <f t="shared" si="224"/>
        <v>8773.3518438318133</v>
      </c>
      <c r="K127" s="238" t="str">
        <f t="shared" si="225"/>
        <v>--</v>
      </c>
      <c r="L127" s="198">
        <f t="shared" si="226"/>
        <v>5620.8680730044125</v>
      </c>
      <c r="M127" s="252">
        <f t="shared" si="227"/>
        <v>31292.319613139312</v>
      </c>
      <c r="N127" s="243" t="str">
        <f t="shared" si="228"/>
        <v>Noncancer</v>
      </c>
      <c r="O127" s="157" t="str">
        <f t="shared" si="229"/>
        <v>--</v>
      </c>
      <c r="P127" s="157" t="str">
        <f t="shared" si="230"/>
        <v>--</v>
      </c>
      <c r="Q127" s="157" t="str">
        <f t="shared" si="231"/>
        <v>--</v>
      </c>
      <c r="R127" s="240" t="str">
        <f t="shared" si="232"/>
        <v>--</v>
      </c>
      <c r="S127" s="157">
        <f t="shared" si="233"/>
        <v>233600</v>
      </c>
      <c r="T127" s="157">
        <f t="shared" si="234"/>
        <v>36132.517794930434</v>
      </c>
      <c r="U127" s="157" t="str">
        <f t="shared" si="235"/>
        <v>--</v>
      </c>
      <c r="V127" s="254">
        <f t="shared" si="236"/>
        <v>31292.319613139312</v>
      </c>
      <c r="W127" s="256">
        <f t="shared" si="237"/>
        <v>7304.9482862341747</v>
      </c>
      <c r="X127" s="241" t="str">
        <f t="shared" si="238"/>
        <v>Noncancer</v>
      </c>
      <c r="Y127" s="157" t="str">
        <f t="shared" si="239"/>
        <v>--</v>
      </c>
      <c r="Z127" s="157" t="str">
        <f t="shared" si="240"/>
        <v>--</v>
      </c>
      <c r="AA127" s="157" t="str">
        <f t="shared" si="241"/>
        <v>--</v>
      </c>
      <c r="AB127" s="242" t="str">
        <f t="shared" si="242"/>
        <v>--</v>
      </c>
      <c r="AC127" s="157">
        <f t="shared" si="243"/>
        <v>70787.878787878799</v>
      </c>
      <c r="AD127" s="157">
        <f t="shared" si="244"/>
        <v>8145.5249427130866</v>
      </c>
      <c r="AE127" s="157" t="str">
        <f t="shared" si="245"/>
        <v>--</v>
      </c>
      <c r="AF127" s="382">
        <f t="shared" si="246"/>
        <v>7304.9482862341747</v>
      </c>
      <c r="AG127" s="258" t="str">
        <f t="shared" si="247"/>
        <v>V</v>
      </c>
      <c r="AH127" s="159">
        <f t="shared" si="283"/>
        <v>9347.6232902671545</v>
      </c>
      <c r="AI127" s="159">
        <f t="shared" si="284"/>
        <v>9166.0987620743472</v>
      </c>
      <c r="AJ127" s="159">
        <f t="shared" si="285"/>
        <v>2070.4176822791378</v>
      </c>
      <c r="AK127" s="158" t="str">
        <f t="shared" si="286"/>
        <v>--</v>
      </c>
      <c r="AL127" s="158" t="str">
        <f t="shared" si="287"/>
        <v>--</v>
      </c>
      <c r="AM127" s="158">
        <f t="shared" si="288"/>
        <v>0.2</v>
      </c>
      <c r="AN127" s="158">
        <f t="shared" si="289"/>
        <v>900</v>
      </c>
      <c r="AO127" s="158" t="str">
        <f t="shared" si="290"/>
        <v>--</v>
      </c>
      <c r="AP127" s="158" t="str">
        <f t="shared" si="291"/>
        <v>--</v>
      </c>
      <c r="AQ127" s="168">
        <f t="shared" si="292"/>
        <v>1</v>
      </c>
    </row>
    <row r="128" spans="1:43">
      <c r="A128" s="136" t="s">
        <v>311</v>
      </c>
      <c r="B128" s="247" t="s">
        <v>312</v>
      </c>
      <c r="C128" s="245">
        <f t="shared" si="217"/>
        <v>1390.4761904761906</v>
      </c>
      <c r="D128" s="250" t="str">
        <f t="shared" si="218"/>
        <v>Cancer</v>
      </c>
      <c r="E128" s="157">
        <f t="shared" si="219"/>
        <v>1390.4761904761906</v>
      </c>
      <c r="F128" s="157" t="str">
        <f t="shared" si="220"/>
        <v>--</v>
      </c>
      <c r="G128" s="157" t="str">
        <f t="shared" si="221"/>
        <v>--</v>
      </c>
      <c r="H128" s="237">
        <f t="shared" si="222"/>
        <v>1390.4761904761906</v>
      </c>
      <c r="I128" s="157">
        <f t="shared" si="223"/>
        <v>31285.714285714283</v>
      </c>
      <c r="J128" s="157">
        <f t="shared" si="224"/>
        <v>149764.73269249446</v>
      </c>
      <c r="K128" s="238" t="str">
        <f t="shared" si="225"/>
        <v>--</v>
      </c>
      <c r="L128" s="198">
        <f t="shared" si="226"/>
        <v>25879.508807054768</v>
      </c>
      <c r="M128" s="252">
        <f t="shared" si="227"/>
        <v>6540.8</v>
      </c>
      <c r="N128" s="243" t="str">
        <f t="shared" si="228"/>
        <v>Cancer</v>
      </c>
      <c r="O128" s="157">
        <f t="shared" si="229"/>
        <v>6540.8</v>
      </c>
      <c r="P128" s="157" t="str">
        <f t="shared" si="230"/>
        <v>--</v>
      </c>
      <c r="Q128" s="157" t="str">
        <f t="shared" si="231"/>
        <v>--</v>
      </c>
      <c r="R128" s="240">
        <f t="shared" si="232"/>
        <v>6540.8</v>
      </c>
      <c r="S128" s="157">
        <f t="shared" si="233"/>
        <v>467200</v>
      </c>
      <c r="T128" s="157">
        <f t="shared" si="234"/>
        <v>616797.14462901629</v>
      </c>
      <c r="U128" s="157" t="str">
        <f t="shared" si="235"/>
        <v>--</v>
      </c>
      <c r="V128" s="254">
        <f t="shared" si="236"/>
        <v>265837.99357635574</v>
      </c>
      <c r="W128" s="256">
        <f t="shared" si="237"/>
        <v>49551.515151515152</v>
      </c>
      <c r="X128" s="241" t="str">
        <f t="shared" si="238"/>
        <v>Cancer</v>
      </c>
      <c r="Y128" s="157">
        <f t="shared" si="239"/>
        <v>49551.515151515152</v>
      </c>
      <c r="Z128" s="157" t="str">
        <f t="shared" si="240"/>
        <v>--</v>
      </c>
      <c r="AA128" s="157" t="str">
        <f t="shared" si="241"/>
        <v>--</v>
      </c>
      <c r="AB128" s="242">
        <f t="shared" si="242"/>
        <v>49551.515151515152</v>
      </c>
      <c r="AC128" s="157">
        <f t="shared" si="243"/>
        <v>141575.7575757576</v>
      </c>
      <c r="AD128" s="157">
        <f t="shared" si="244"/>
        <v>138484.5714412244</v>
      </c>
      <c r="AE128" s="157" t="str">
        <f t="shared" si="245"/>
        <v>--</v>
      </c>
      <c r="AF128" s="382">
        <f t="shared" si="246"/>
        <v>70006.552456619509</v>
      </c>
      <c r="AG128" s="258" t="str">
        <f t="shared" si="247"/>
        <v>V</v>
      </c>
      <c r="AH128" s="159">
        <f t="shared" si="283"/>
        <v>28722.610126324369</v>
      </c>
      <c r="AI128" s="159">
        <f t="shared" si="284"/>
        <v>28164.836445278015</v>
      </c>
      <c r="AJ128" s="159">
        <f t="shared" si="285"/>
        <v>6361.8096322591737</v>
      </c>
      <c r="AK128" s="158">
        <f t="shared" si="286"/>
        <v>5.0000000000000001E-4</v>
      </c>
      <c r="AL128" s="158" t="str">
        <f t="shared" si="287"/>
        <v>--</v>
      </c>
      <c r="AM128" s="158">
        <f t="shared" si="288"/>
        <v>0.4</v>
      </c>
      <c r="AN128" s="158">
        <f t="shared" si="289"/>
        <v>5000</v>
      </c>
      <c r="AO128" s="158" t="str">
        <f t="shared" si="290"/>
        <v>--</v>
      </c>
      <c r="AP128" s="158" t="str">
        <f t="shared" si="291"/>
        <v>--</v>
      </c>
      <c r="AQ128" s="168">
        <f t="shared" si="292"/>
        <v>1</v>
      </c>
    </row>
    <row r="129" spans="1:43">
      <c r="A129" s="136" t="s">
        <v>313</v>
      </c>
      <c r="B129" s="247" t="s">
        <v>314</v>
      </c>
      <c r="C129" s="245">
        <f t="shared" ref="C129" si="293">IF(AND(H129="--", L129="--"),"--",IF(H129="--",L129,IF(L129="--",H129,MIN(H129,L129))))</f>
        <v>1.9932659344327348</v>
      </c>
      <c r="D129" s="250" t="str">
        <f t="shared" ref="D129" si="294">IF(C129="--","--",IF(C129=H129,"Cancer","Noncancer"))</f>
        <v>Cancer</v>
      </c>
      <c r="E129" s="157">
        <f t="shared" ref="E129:E137" si="295">IF(AK129="--","--",
IF(AO129="--",
TR*365*LT/(AK129*IFSadj*0.000001),
TR*365*LT/(AK129*IFSmadj*0.000001)))</f>
        <v>26.739926739926741</v>
      </c>
      <c r="F129" s="157">
        <f t="shared" ref="F129:F137" si="296">IF(AL129="--", "--",
IF(AO129="--",
IF(AND(AG129="V",AH129&lt;&gt;"--"),(TR*365*LT)/(AL129*1000*EFr*(1/AH129+1/PEFr)*EDr*ETr*(1/24)),(TR*365*LT)/(AL129*1000*EFr*(1/PEFr)*EDr*ETr*(1/24))),
IF(AND(AG129="V",AH129&lt;&gt;"--"),(TR*365*LT)/(AL129*1000*(1/AH129+1/PEFr)*TETmadj),(TR*365*LT)/(AL129*1000*(1/PEFr)*TETmadj))))</f>
        <v>2.1538172555422048</v>
      </c>
      <c r="G129" s="157" t="str">
        <f t="shared" ref="G129" si="297">IF(OR(AK129="--",AP129="--"),"--",
IF(AO129="--",
(TR*365*LT)/((AK129/AQ129)*DFSadj*AP129*0.000001),
(TR*365*LT)/((AK129/AQ129)*DFSmadj*AP129*0.000001)))</f>
        <v>--</v>
      </c>
      <c r="H129" s="237">
        <f t="shared" ref="H129" si="298">IF(AND(E129="--",F129="--"),G129,IF(AND(E129="--",G129="--"),F129,IF(AND(F129="--",G129="--"),E129,IF(E129="--",1/(1/F129+1/G129),IF(F129="--",1/(1/E129+1/G129),IF(G129="--",1/(1/E129+1/F129),1/(1/E129+1/F129+1/G129)))))))</f>
        <v>1.9932659344327348</v>
      </c>
      <c r="I129" s="157">
        <f t="shared" ref="I129" si="299">IF(AM129="--","--",(THQ*365*EDc*BWc)/(EFr*EDc*(1/AM129)*IRSc*0.000001))</f>
        <v>2346.4285714285716</v>
      </c>
      <c r="J129" s="157" t="str">
        <f t="shared" ref="J129" si="300">IF(AN129="--","--",IF(AND(AG129="V",AH129&lt;&gt;"--"),
(THQ*365*EDc)/(EFr*EDc*(1/(AN129/1000))*(1/AH129+1/PEFr)),
(THQ*365*EDc)/(EFr*EDc*(1/(AN129/1000))*1/PEFr)))</f>
        <v>--</v>
      </c>
      <c r="K129" s="238" t="str">
        <f t="shared" si="225"/>
        <v>--</v>
      </c>
      <c r="L129" s="198">
        <f t="shared" ref="L129" si="301">IF(AND(I129="--",J129="--"),K129,IF(AND(I129="--",K129="--"),J129,IF(AND(J129="--",K129="--"),I129,IF(I129="--",1/(1/J129+1/K129),IF(J129="--",1/(1/I129+1/K129),IF(K129="--",1/(1/I129+1/J129),1/(1/I129+1/J129+1/K129)))))))</f>
        <v>2346.4285714285716</v>
      </c>
      <c r="M129" s="252">
        <f t="shared" ref="M129" si="302">IF(AND(R129="--", V129="--"),"--",IF(R129="--",V129,IF(V129="--",R129,MIN(R129,V129))))</f>
        <v>8.5948261095628098</v>
      </c>
      <c r="N129" s="243" t="str">
        <f t="shared" ref="N129" si="303">IF(M129="--","--",IF(M129=R129,"Cancer","Noncancer"))</f>
        <v>Cancer</v>
      </c>
      <c r="O129" s="157">
        <f t="shared" ref="O129" si="304">IF(AK129="--","--",(TR*365*LT*BWa)/(AK129*EFci*EDci*IRSci*0.000001))</f>
        <v>125.78461538461538</v>
      </c>
      <c r="P129" s="157">
        <f t="shared" si="230"/>
        <v>9.2251799681250279</v>
      </c>
      <c r="Q129" s="157" t="str">
        <f t="shared" ref="Q129" si="305">IF(OR(AK129="--",AP129="--"),"--",(TR*365*LT*BWa)/((AK129/AQ129)*EFci*EDci*AdFci*SAci*AP129*0.000001))</f>
        <v>--</v>
      </c>
      <c r="R129" s="240">
        <f t="shared" ref="R129" si="306">IF(AND(O129="--",P129="--"),Q129,IF(AND(O129="--",Q129="--"),P129,IF(AND(P129="--",Q129="--"),O129,IF(O129="--",1/(1/P129+1/Q129),IF(P129="--",1/(1/O129+1/Q129),IF(Q129="--",1/(1/O129+1/P129),1/(1/O129+1/P129+1/Q129)))))))</f>
        <v>8.5948261095628098</v>
      </c>
      <c r="S129" s="157">
        <f t="shared" ref="S129" si="307">IF(AM129="--","--",(THQ*EDci*365*BWa)/(EFci*EDci*(1/AM129)*IRSci*0.000001))</f>
        <v>35039.999999999993</v>
      </c>
      <c r="T129" s="157" t="str">
        <f t="shared" si="234"/>
        <v>--</v>
      </c>
      <c r="U129" s="157" t="str">
        <f t="shared" si="235"/>
        <v>--</v>
      </c>
      <c r="V129" s="254">
        <f t="shared" ref="V129" si="308">IF(AND(S129="--",T129="--"),U129,IF(AND(S129="--",U129="--"),T129,IF(AND(T129="--",U129="--"),S129,IF(S129="--",1/(1/T129+1/U129),IF(T129="--",1/(1/S129+1/U129),IF(U129="--",1/(1/S129+1/T129),1/(1/S129+1/T129+1/U129)))))))</f>
        <v>35039.999999999993</v>
      </c>
      <c r="W129" s="256">
        <f t="shared" ref="W129" si="309">IF(AND(AB129="--", AF129="--"),"--",IF(AB129="--",AF129,IF(AF129="--",AB129,MIN(AB129,AF129))))</f>
        <v>49.337974535048488</v>
      </c>
      <c r="X129" s="241" t="str">
        <f t="shared" ref="X129" si="310">IF(W129="--","--",IF(W129=AB129,"Cancer","Noncancer"))</f>
        <v>Cancer</v>
      </c>
      <c r="Y129" s="157">
        <f t="shared" ref="Y129" si="311">IF(AK129="--","--",(TR*365*LT*BWct)/(AK129*EFct*EDct*IRSct*0.000001))</f>
        <v>952.913752913753</v>
      </c>
      <c r="Z129" s="157">
        <f t="shared" si="240"/>
        <v>52.031977395095119</v>
      </c>
      <c r="AA129" s="157" t="str">
        <f t="shared" ref="AA129" si="312">IF(OR(AK129="--",AP129="--"),"--",(TR*365*LT*BWct)/((AK129/AQ129)*EFct*EDct*SAct*AdFct*AP129*0.000001))</f>
        <v>--</v>
      </c>
      <c r="AB129" s="242">
        <f t="shared" ref="AB129" si="313">IF(AND(Y129="--",Z129="--"),AA129,IF(AND(Y129="--",AA129="--"),Z129,IF(AND(Z129="--",AA129="--"),Y129,IF(Y129="--",1/(1/Z129+1/AA129),IF(Z129="--",1/(1/Y129+1/AA129),IF(AA129="--",1/(1/Y129+1/Z129),1/(1/Y129+1/Z129+1/AA129)))))))</f>
        <v>49.337974535048488</v>
      </c>
      <c r="AC129" s="157">
        <f t="shared" ref="AC129" si="314">IF(AM129="--","--",(THQ*EDct*365*BWct)/(EFct*EDct*(1/AM129)*IRSct*0.000001))</f>
        <v>10618.181818181818</v>
      </c>
      <c r="AD129" s="157" t="str">
        <f t="shared" si="244"/>
        <v>--</v>
      </c>
      <c r="AE129" s="157" t="str">
        <f t="shared" ref="AE129" si="315">IF(OR(AM129="--",AP129="--"),"--",(THQ*EDct*365*BWct)/(EFct*EDct*(1/(AM129*AQ129))*SAct*AdFct*AP129*0.000001))</f>
        <v>--</v>
      </c>
      <c r="AF129" s="382">
        <f t="shared" ref="AF129" si="316">IF(AND(AC129="--",AD129="--"),AE129,IF(AND(AC129="--",AE129="--"),AD129,IF(AND(AD129="--",AE129="--"),AC129,IF(AC129="--",1/(1/AD129+1/AE129),IF(AD129="--",1/(1/AC129+1/AE129),IF(AE129="--",1/(1/AC129+1/AD129),1/(1/AC129+1/AD129+1/AE129)))))))</f>
        <v>10618.181818181818</v>
      </c>
      <c r="AG129" s="258" t="str">
        <f t="shared" ref="AG129:AG137" si="317">VLOOKUP(A129,Table_IP_1,MATCH("volatility",heading_IP_1,0),FALSE)</f>
        <v>V</v>
      </c>
      <c r="AH129" s="159">
        <f t="shared" si="283"/>
        <v>5676.6598582844317</v>
      </c>
      <c r="AI129" s="159">
        <f t="shared" si="284"/>
        <v>5566.4229595040706</v>
      </c>
      <c r="AJ129" s="159">
        <f t="shared" si="285"/>
        <v>1257.331043615512</v>
      </c>
      <c r="AK129" s="158">
        <f t="shared" si="286"/>
        <v>2.5999999999999999E-2</v>
      </c>
      <c r="AL129" s="158">
        <f t="shared" si="287"/>
        <v>7.4000000000000003E-6</v>
      </c>
      <c r="AM129" s="158">
        <f t="shared" si="288"/>
        <v>0.03</v>
      </c>
      <c r="AN129" s="158" t="str">
        <f t="shared" si="289"/>
        <v>--</v>
      </c>
      <c r="AO129" s="158" t="str">
        <f t="shared" ref="AO129" si="318">VLOOKUP(A129,Table_IP_2,MATCH("mut",heading_IP_2,0),FALSE)</f>
        <v>--</v>
      </c>
      <c r="AP129" s="158" t="str">
        <f t="shared" si="291"/>
        <v>--</v>
      </c>
      <c r="AQ129" s="168">
        <f t="shared" si="292"/>
        <v>1</v>
      </c>
    </row>
    <row r="130" spans="1:43">
      <c r="A130" s="136" t="s">
        <v>315</v>
      </c>
      <c r="B130" s="247" t="s">
        <v>316</v>
      </c>
      <c r="C130" s="245">
        <f t="shared" ref="C130:C137" si="319">IF(AND(H130="--", L130="--"),"--",IF(H130="--",L130,IF(L130="--",H130,MIN(H130,L130))))</f>
        <v>0.60443883894350037</v>
      </c>
      <c r="D130" s="250" t="str">
        <f t="shared" ref="D130:D137" si="320">IF(C130="--","--",IF(C130=H130,"Cancer","Noncancer"))</f>
        <v>Cancer</v>
      </c>
      <c r="E130" s="157">
        <f t="shared" si="295"/>
        <v>3.4761904761904763</v>
      </c>
      <c r="F130" s="157">
        <f t="shared" si="296"/>
        <v>0.73165955862022292</v>
      </c>
      <c r="G130" s="157" t="str">
        <f t="shared" ref="G130:G137" si="321">IF(OR(AK130="--",AP130="--"),"--",
IF(AO130="--",
(TR*365*LT)/((AK130/AQ130)*DFSadj*AP130*0.000001),
(TR*365*LT)/((AK130/AQ130)*DFSmadj*AP130*0.000001)))</f>
        <v>--</v>
      </c>
      <c r="H130" s="237">
        <f t="shared" ref="H130:H137" si="322">IF(AND(E130="--",F130="--"),G130,IF(AND(E130="--",G130="--"),F130,IF(AND(F130="--",G130="--"),E130,IF(E130="--",1/(1/F130+1/G130),IF(F130="--",1/(1/E130+1/G130),IF(G130="--",1/(1/E130+1/F130),1/(1/E130+1/F130+1/G130)))))))</f>
        <v>0.60443883894350037</v>
      </c>
      <c r="I130" s="157">
        <f t="shared" ref="I130:I137" si="323">IF(AM130="--","--",(THQ*365*EDc*BWc)/(EFr*EDc*(1/AM130)*IRSc*0.000001))</f>
        <v>1564.2857142857142</v>
      </c>
      <c r="J130" s="157" t="str">
        <f t="shared" ref="J130:J137" si="324">IF(AN130="--","--",IF(AND(AG130="V",AH130&lt;&gt;"--"),
(THQ*365*EDc)/(EFr*EDc*(1/(AN130/1000))*(1/AH130+1/PEFr)),
(THQ*365*EDc)/(EFr*EDc*(1/(AN130/1000))*1/PEFr)))</f>
        <v>--</v>
      </c>
      <c r="K130" s="238" t="str">
        <f t="shared" si="225"/>
        <v>--</v>
      </c>
      <c r="L130" s="198">
        <f t="shared" ref="L130:L137" si="325">IF(AND(I130="--",J130="--"),K130,IF(AND(I130="--",K130="--"),J130,IF(AND(J130="--",K130="--"),I130,IF(I130="--",1/(1/J130+1/K130),IF(J130="--",1/(1/I130+1/K130),IF(K130="--",1/(1/I130+1/J130),1/(1/I130+1/J130+1/K130)))))))</f>
        <v>1564.2857142857142</v>
      </c>
      <c r="M130" s="252">
        <f t="shared" ref="M130:M137" si="326">IF(AND(R130="--", V130="--"),"--",IF(R130="--",V130,IF(V130="--",R130,MIN(R130,V130))))</f>
        <v>2.6298266771875025</v>
      </c>
      <c r="N130" s="243" t="str">
        <f t="shared" ref="N130:N137" si="327">IF(M130="--","--",IF(M130=R130,"Cancer","Noncancer"))</f>
        <v>Cancer</v>
      </c>
      <c r="O130" s="157">
        <f t="shared" ref="O130:O137" si="328">IF(AK130="--","--",(TR*365*LT*BWa)/(AK130*EFci*EDci*IRSci*0.000001))</f>
        <v>16.352</v>
      </c>
      <c r="P130" s="157">
        <f t="shared" si="230"/>
        <v>3.1338276243661491</v>
      </c>
      <c r="Q130" s="157" t="str">
        <f t="shared" ref="Q130:Q137" si="329">IF(OR(AK130="--",AP130="--"),"--",(TR*365*LT*BWa)/((AK130/AQ130)*EFci*EDci*AdFci*SAci*AP130*0.000001))</f>
        <v>--</v>
      </c>
      <c r="R130" s="240">
        <f t="shared" ref="R130:R137" si="330">IF(AND(O130="--",P130="--"),Q130,IF(AND(O130="--",Q130="--"),P130,IF(AND(P130="--",Q130="--"),O130,IF(O130="--",1/(1/P130+1/Q130),IF(P130="--",1/(1/O130+1/Q130),IF(Q130="--",1/(1/O130+1/P130),1/(1/O130+1/P130+1/Q130)))))))</f>
        <v>2.6298266771875025</v>
      </c>
      <c r="S130" s="157">
        <f t="shared" ref="S130:S137" si="331">IF(AM130="--","--",(THQ*EDci*365*BWa)/(EFci*EDci*(1/AM130)*IRSci*0.000001))</f>
        <v>23360</v>
      </c>
      <c r="T130" s="157" t="str">
        <f t="shared" si="234"/>
        <v>--</v>
      </c>
      <c r="U130" s="157" t="str">
        <f t="shared" si="235"/>
        <v>--</v>
      </c>
      <c r="V130" s="254">
        <f t="shared" ref="V130:V137" si="332">IF(AND(S130="--",T130="--"),U130,IF(AND(S130="--",U130="--"),T130,IF(AND(T130="--",U130="--"),S130,IF(S130="--",1/(1/T130+1/U130),IF(T130="--",1/(1/S130+1/U130),IF(U130="--",1/(1/S130+1/T130),1/(1/S130+1/T130+1/U130)))))))</f>
        <v>23360</v>
      </c>
      <c r="W130" s="256">
        <f t="shared" ref="W130:W137" si="333">IF(AND(AB130="--", AF130="--"),"--",IF(AB130="--",AF130,IF(AF130="--",AB130,MIN(AB130,AF130))))</f>
        <v>15.441594464104064</v>
      </c>
      <c r="X130" s="241" t="str">
        <f t="shared" ref="X130:X137" si="334">IF(W130="--","--",IF(W130=AB130,"Cancer","Noncancer"))</f>
        <v>Cancer</v>
      </c>
      <c r="Y130" s="157">
        <f t="shared" ref="Y130:Y137" si="335">IF(AK130="--","--",(TR*365*LT*BWct)/(AK130*EFct*EDct*IRSct*0.000001))</f>
        <v>123.87878787878788</v>
      </c>
      <c r="Z130" s="157">
        <f t="shared" si="240"/>
        <v>17.640497184520296</v>
      </c>
      <c r="AA130" s="157" t="str">
        <f t="shared" ref="AA130:AA137" si="336">IF(OR(AK130="--",AP130="--"),"--",(TR*365*LT*BWct)/((AK130/AQ130)*EFct*EDct*SAct*AdFct*AP130*0.000001))</f>
        <v>--</v>
      </c>
      <c r="AB130" s="242">
        <f t="shared" ref="AB130:AB137" si="337">IF(AND(Y130="--",Z130="--"),AA130,IF(AND(Y130="--",AA130="--"),Z130,IF(AND(Z130="--",AA130="--"),Y130,IF(Y130="--",1/(1/Z130+1/AA130),IF(Z130="--",1/(1/Y130+1/AA130),IF(AA130="--",1/(1/Y130+1/Z130),1/(1/Y130+1/Z130+1/AA130)))))))</f>
        <v>15.441594464104064</v>
      </c>
      <c r="AC130" s="157">
        <f t="shared" ref="AC130:AC137" si="338">IF(AM130="--","--",(THQ*EDct*365*BWct)/(EFct*EDct*(1/AM130)*IRSct*0.000001))</f>
        <v>7078.787878787879</v>
      </c>
      <c r="AD130" s="157" t="str">
        <f t="shared" si="244"/>
        <v>--</v>
      </c>
      <c r="AE130" s="157" t="str">
        <f t="shared" ref="AE130:AE137" si="339">IF(OR(AM130="--",AP130="--"),"--",(THQ*EDct*365*BWct)/(EFct*EDct*(1/(AM130*AQ130))*SAct*AdFct*AP130*0.000001))</f>
        <v>--</v>
      </c>
      <c r="AF130" s="382">
        <f t="shared" ref="AF130:AF137" si="340">IF(AND(AC130="--",AD130="--"),AE130,IF(AND(AC130="--",AE130="--"),AD130,IF(AND(AD130="--",AE130="--"),AC130,IF(AC130="--",1/(1/AD130+1/AE130),IF(AD130="--",1/(1/AC130+1/AE130),IF(AE130="--",1/(1/AC130+1/AD130),1/(1/AC130+1/AD130+1/AE130)))))))</f>
        <v>7078.787878787879</v>
      </c>
      <c r="AG130" s="258" t="str">
        <f t="shared" si="317"/>
        <v>V</v>
      </c>
      <c r="AH130" s="159">
        <f t="shared" si="283"/>
        <v>15114.450362613026</v>
      </c>
      <c r="AI130" s="159">
        <f t="shared" si="284"/>
        <v>14820.937949267956</v>
      </c>
      <c r="AJ130" s="159">
        <f t="shared" si="285"/>
        <v>3347.7199836740492</v>
      </c>
      <c r="AK130" s="158">
        <f t="shared" si="286"/>
        <v>0.2</v>
      </c>
      <c r="AL130" s="158">
        <f t="shared" si="287"/>
        <v>5.8E-5</v>
      </c>
      <c r="AM130" s="158">
        <f t="shared" si="288"/>
        <v>0.02</v>
      </c>
      <c r="AN130" s="158" t="str">
        <f t="shared" si="289"/>
        <v>--</v>
      </c>
      <c r="AO130" s="158" t="str">
        <f t="shared" ref="AO130:AO137" si="341">VLOOKUP(A130,Table_IP_2,MATCH("mut",heading_IP_2,0),FALSE)</f>
        <v>--</v>
      </c>
      <c r="AP130" s="158" t="str">
        <f t="shared" si="291"/>
        <v>--</v>
      </c>
      <c r="AQ130" s="168">
        <f t="shared" si="292"/>
        <v>1</v>
      </c>
    </row>
    <row r="131" spans="1:43">
      <c r="A131" s="136" t="s">
        <v>317</v>
      </c>
      <c r="B131" s="247" t="s">
        <v>318</v>
      </c>
      <c r="C131" s="245">
        <f t="shared" si="319"/>
        <v>0.58761543617295708</v>
      </c>
      <c r="D131" s="250" t="str">
        <f t="shared" si="320"/>
        <v>Cancer</v>
      </c>
      <c r="E131" s="157">
        <f t="shared" si="295"/>
        <v>1.2874779541446209</v>
      </c>
      <c r="F131" s="157">
        <f t="shared" si="296"/>
        <v>1.0809864797165618</v>
      </c>
      <c r="G131" s="157" t="str">
        <f t="shared" si="321"/>
        <v>--</v>
      </c>
      <c r="H131" s="237">
        <f t="shared" si="322"/>
        <v>0.58761543617295708</v>
      </c>
      <c r="I131" s="157">
        <f t="shared" si="323"/>
        <v>469.28571428571428</v>
      </c>
      <c r="J131" s="157">
        <f t="shared" si="324"/>
        <v>97.968260390312409</v>
      </c>
      <c r="K131" s="238" t="str">
        <f t="shared" si="225"/>
        <v>--</v>
      </c>
      <c r="L131" s="198">
        <f t="shared" si="325"/>
        <v>81.048537528281187</v>
      </c>
      <c r="M131" s="252">
        <f t="shared" si="326"/>
        <v>2.6240002171253174</v>
      </c>
      <c r="N131" s="243" t="str">
        <f t="shared" si="327"/>
        <v>Cancer</v>
      </c>
      <c r="O131" s="157">
        <f t="shared" si="328"/>
        <v>6.0562962962962974</v>
      </c>
      <c r="P131" s="157">
        <f t="shared" si="230"/>
        <v>4.6300559246319883</v>
      </c>
      <c r="Q131" s="157" t="str">
        <f t="shared" si="329"/>
        <v>--</v>
      </c>
      <c r="R131" s="240">
        <f t="shared" si="330"/>
        <v>2.6240002171253174</v>
      </c>
      <c r="S131" s="157">
        <f t="shared" si="331"/>
        <v>7008.0000000000009</v>
      </c>
      <c r="T131" s="157">
        <f t="shared" si="234"/>
        <v>403.47630200364483</v>
      </c>
      <c r="U131" s="157" t="str">
        <f t="shared" si="235"/>
        <v>--</v>
      </c>
      <c r="V131" s="254">
        <f t="shared" si="332"/>
        <v>381.51129535112051</v>
      </c>
      <c r="W131" s="256">
        <f t="shared" si="333"/>
        <v>16.649561556861702</v>
      </c>
      <c r="X131" s="241" t="str">
        <f t="shared" si="334"/>
        <v>Cancer</v>
      </c>
      <c r="Y131" s="157">
        <f t="shared" si="335"/>
        <v>45.881032547699213</v>
      </c>
      <c r="Z131" s="157">
        <f t="shared" si="240"/>
        <v>26.132762047272081</v>
      </c>
      <c r="AA131" s="157" t="str">
        <f t="shared" si="336"/>
        <v>--</v>
      </c>
      <c r="AB131" s="242">
        <f t="shared" si="337"/>
        <v>16.649561556861702</v>
      </c>
      <c r="AC131" s="157">
        <f t="shared" si="338"/>
        <v>2123.6363636363635</v>
      </c>
      <c r="AD131" s="157">
        <f t="shared" si="244"/>
        <v>91.091341993348422</v>
      </c>
      <c r="AE131" s="157" t="str">
        <f t="shared" si="339"/>
        <v>--</v>
      </c>
      <c r="AF131" s="382">
        <f t="shared" si="340"/>
        <v>87.344771900303996</v>
      </c>
      <c r="AG131" s="258" t="str">
        <f t="shared" si="317"/>
        <v>V</v>
      </c>
      <c r="AH131" s="159">
        <f t="shared" si="283"/>
        <v>2348.5582431127432</v>
      </c>
      <c r="AI131" s="159">
        <f t="shared" si="284"/>
        <v>2302.9508289309742</v>
      </c>
      <c r="AJ131" s="159">
        <f t="shared" si="285"/>
        <v>520.18533090287576</v>
      </c>
      <c r="AK131" s="158">
        <f t="shared" si="286"/>
        <v>0.54</v>
      </c>
      <c r="AL131" s="158">
        <f t="shared" si="287"/>
        <v>6.1E-6</v>
      </c>
      <c r="AM131" s="158">
        <f t="shared" si="288"/>
        <v>6.0000000000000001E-3</v>
      </c>
      <c r="AN131" s="158">
        <f t="shared" si="289"/>
        <v>40</v>
      </c>
      <c r="AO131" s="158" t="str">
        <f t="shared" si="341"/>
        <v>--</v>
      </c>
      <c r="AP131" s="158" t="str">
        <f t="shared" si="291"/>
        <v>--</v>
      </c>
      <c r="AQ131" s="168">
        <f t="shared" si="292"/>
        <v>1</v>
      </c>
    </row>
    <row r="132" spans="1:43">
      <c r="A132" s="136" t="s">
        <v>319</v>
      </c>
      <c r="B132" s="247" t="s">
        <v>320</v>
      </c>
      <c r="C132" s="245">
        <f t="shared" si="319"/>
        <v>0.78214285714285725</v>
      </c>
      <c r="D132" s="250" t="str">
        <f t="shared" si="320"/>
        <v>Noncancer</v>
      </c>
      <c r="E132" s="157" t="str">
        <f t="shared" si="295"/>
        <v>--</v>
      </c>
      <c r="F132" s="157" t="str">
        <f t="shared" si="296"/>
        <v>--</v>
      </c>
      <c r="G132" s="157" t="str">
        <f t="shared" si="321"/>
        <v>--</v>
      </c>
      <c r="H132" s="237" t="str">
        <f t="shared" si="322"/>
        <v>--</v>
      </c>
      <c r="I132" s="157">
        <f t="shared" si="323"/>
        <v>0.78214285714285725</v>
      </c>
      <c r="J132" s="157" t="str">
        <f t="shared" si="324"/>
        <v>--</v>
      </c>
      <c r="K132" s="238" t="str">
        <f t="shared" si="225"/>
        <v>--</v>
      </c>
      <c r="L132" s="198">
        <f t="shared" si="325"/>
        <v>0.78214285714285725</v>
      </c>
      <c r="M132" s="252">
        <f t="shared" si="326"/>
        <v>11.680000000000003</v>
      </c>
      <c r="N132" s="243" t="str">
        <f t="shared" si="327"/>
        <v>Noncancer</v>
      </c>
      <c r="O132" s="157" t="str">
        <f t="shared" si="328"/>
        <v>--</v>
      </c>
      <c r="P132" s="157" t="str">
        <f t="shared" si="230"/>
        <v>--</v>
      </c>
      <c r="Q132" s="157" t="str">
        <f t="shared" si="329"/>
        <v>--</v>
      </c>
      <c r="R132" s="240" t="str">
        <f t="shared" si="330"/>
        <v>--</v>
      </c>
      <c r="S132" s="157">
        <f t="shared" si="331"/>
        <v>11.680000000000003</v>
      </c>
      <c r="T132" s="157" t="str">
        <f t="shared" si="234"/>
        <v>--</v>
      </c>
      <c r="U132" s="157" t="str">
        <f t="shared" si="235"/>
        <v>--</v>
      </c>
      <c r="V132" s="254">
        <f t="shared" si="332"/>
        <v>11.680000000000003</v>
      </c>
      <c r="W132" s="256">
        <f t="shared" si="333"/>
        <v>3.53939393939394</v>
      </c>
      <c r="X132" s="241" t="str">
        <f t="shared" si="334"/>
        <v>Noncancer</v>
      </c>
      <c r="Y132" s="157" t="str">
        <f t="shared" si="335"/>
        <v>--</v>
      </c>
      <c r="Z132" s="157" t="str">
        <f t="shared" si="240"/>
        <v>--</v>
      </c>
      <c r="AA132" s="157" t="str">
        <f t="shared" si="336"/>
        <v>--</v>
      </c>
      <c r="AB132" s="242" t="str">
        <f t="shared" si="337"/>
        <v>--</v>
      </c>
      <c r="AC132" s="157">
        <f t="shared" si="338"/>
        <v>3.53939393939394</v>
      </c>
      <c r="AD132" s="157" t="str">
        <f t="shared" si="244"/>
        <v>--</v>
      </c>
      <c r="AE132" s="157" t="str">
        <f t="shared" si="339"/>
        <v>--</v>
      </c>
      <c r="AF132" s="382">
        <f t="shared" si="340"/>
        <v>3.53939393939394</v>
      </c>
      <c r="AG132" s="258" t="str">
        <f t="shared" si="317"/>
        <v>NV</v>
      </c>
      <c r="AH132" s="159" t="str">
        <f t="shared" si="283"/>
        <v>--</v>
      </c>
      <c r="AI132" s="159" t="str">
        <f t="shared" si="284"/>
        <v>--</v>
      </c>
      <c r="AJ132" s="159" t="str">
        <f t="shared" si="285"/>
        <v>--</v>
      </c>
      <c r="AK132" s="158" t="str">
        <f t="shared" si="286"/>
        <v>--</v>
      </c>
      <c r="AL132" s="158" t="str">
        <f t="shared" si="287"/>
        <v>--</v>
      </c>
      <c r="AM132" s="158">
        <f t="shared" si="288"/>
        <v>1.0000000000000001E-5</v>
      </c>
      <c r="AN132" s="158" t="str">
        <f t="shared" si="289"/>
        <v>--</v>
      </c>
      <c r="AO132" s="158" t="str">
        <f t="shared" si="341"/>
        <v>--</v>
      </c>
      <c r="AP132" s="158" t="str">
        <f t="shared" si="291"/>
        <v>--</v>
      </c>
      <c r="AQ132" s="168">
        <f t="shared" si="292"/>
        <v>1</v>
      </c>
    </row>
    <row r="133" spans="1:43">
      <c r="A133" s="136" t="s">
        <v>321</v>
      </c>
      <c r="B133" s="247" t="s">
        <v>322</v>
      </c>
      <c r="C133" s="245">
        <f t="shared" si="319"/>
        <v>1444.4015205139203</v>
      </c>
      <c r="D133" s="250" t="str">
        <f t="shared" si="320"/>
        <v>Noncancer</v>
      </c>
      <c r="E133" s="157" t="str">
        <f t="shared" si="295"/>
        <v>--</v>
      </c>
      <c r="F133" s="157" t="str">
        <f t="shared" si="296"/>
        <v>--</v>
      </c>
      <c r="G133" s="157" t="str">
        <f t="shared" si="321"/>
        <v>--</v>
      </c>
      <c r="H133" s="237" t="str">
        <f t="shared" si="322"/>
        <v>--</v>
      </c>
      <c r="I133" s="157">
        <f t="shared" si="323"/>
        <v>6257.1428571428569</v>
      </c>
      <c r="J133" s="157">
        <f t="shared" si="324"/>
        <v>1877.8957822114048</v>
      </c>
      <c r="K133" s="238" t="str">
        <f t="shared" si="225"/>
        <v>--</v>
      </c>
      <c r="L133" s="198">
        <f t="shared" si="325"/>
        <v>1444.4015205139203</v>
      </c>
      <c r="M133" s="252">
        <f t="shared" si="326"/>
        <v>7142.7926929519208</v>
      </c>
      <c r="N133" s="243" t="str">
        <f t="shared" si="327"/>
        <v>Noncancer</v>
      </c>
      <c r="O133" s="157" t="str">
        <f t="shared" si="328"/>
        <v>--</v>
      </c>
      <c r="P133" s="157" t="str">
        <f t="shared" si="230"/>
        <v>--</v>
      </c>
      <c r="Q133" s="157" t="str">
        <f t="shared" si="329"/>
        <v>--</v>
      </c>
      <c r="R133" s="240" t="str">
        <f t="shared" si="330"/>
        <v>--</v>
      </c>
      <c r="S133" s="157">
        <f t="shared" si="331"/>
        <v>93440</v>
      </c>
      <c r="T133" s="157">
        <f t="shared" si="234"/>
        <v>7733.999396466189</v>
      </c>
      <c r="U133" s="157" t="str">
        <f t="shared" si="235"/>
        <v>--</v>
      </c>
      <c r="V133" s="254">
        <f t="shared" si="332"/>
        <v>7142.7926929519208</v>
      </c>
      <c r="W133" s="256">
        <f t="shared" si="333"/>
        <v>1644.0262864823758</v>
      </c>
      <c r="X133" s="241" t="str">
        <f t="shared" si="334"/>
        <v>Noncancer</v>
      </c>
      <c r="Y133" s="157" t="str">
        <f t="shared" si="335"/>
        <v>--</v>
      </c>
      <c r="Z133" s="157" t="str">
        <f t="shared" si="240"/>
        <v>--</v>
      </c>
      <c r="AA133" s="157" t="str">
        <f t="shared" si="336"/>
        <v>--</v>
      </c>
      <c r="AB133" s="242" t="str">
        <f t="shared" si="337"/>
        <v>--</v>
      </c>
      <c r="AC133" s="157">
        <f t="shared" si="338"/>
        <v>28315.151515151516</v>
      </c>
      <c r="AD133" s="157">
        <f t="shared" si="244"/>
        <v>1745.3651841656176</v>
      </c>
      <c r="AE133" s="157" t="str">
        <f t="shared" si="339"/>
        <v>--</v>
      </c>
      <c r="AF133" s="382">
        <f t="shared" si="340"/>
        <v>1644.0262864823758</v>
      </c>
      <c r="AG133" s="258" t="str">
        <f t="shared" si="317"/>
        <v>V</v>
      </c>
      <c r="AH133" s="159">
        <f t="shared" si="283"/>
        <v>4287.4468090011242</v>
      </c>
      <c r="AI133" s="159">
        <f t="shared" si="284"/>
        <v>4204.1874889592036</v>
      </c>
      <c r="AJ133" s="159">
        <f t="shared" si="285"/>
        <v>949.63237280109661</v>
      </c>
      <c r="AK133" s="158" t="str">
        <f t="shared" si="286"/>
        <v>--</v>
      </c>
      <c r="AL133" s="158" t="str">
        <f t="shared" si="287"/>
        <v>--</v>
      </c>
      <c r="AM133" s="158">
        <f t="shared" si="288"/>
        <v>0.08</v>
      </c>
      <c r="AN133" s="158">
        <f t="shared" si="289"/>
        <v>420</v>
      </c>
      <c r="AO133" s="158" t="str">
        <f t="shared" si="341"/>
        <v>--</v>
      </c>
      <c r="AP133" s="158" t="str">
        <f t="shared" si="291"/>
        <v>--</v>
      </c>
      <c r="AQ133" s="168">
        <f t="shared" si="292"/>
        <v>1</v>
      </c>
    </row>
    <row r="134" spans="1:43">
      <c r="A134" s="136" t="s">
        <v>323</v>
      </c>
      <c r="B134" s="247" t="s">
        <v>324</v>
      </c>
      <c r="C134" s="245">
        <f t="shared" si="319"/>
        <v>0.45214083768107488</v>
      </c>
      <c r="D134" s="250" t="str">
        <f t="shared" si="320"/>
        <v>Cancer</v>
      </c>
      <c r="E134" s="157">
        <f t="shared" si="295"/>
        <v>0.57936507936507931</v>
      </c>
      <c r="F134" s="157">
        <f t="shared" si="296"/>
        <v>11932.692307692309</v>
      </c>
      <c r="G134" s="157">
        <f t="shared" si="321"/>
        <v>2.0593545475062061</v>
      </c>
      <c r="H134" s="237">
        <f t="shared" si="322"/>
        <v>0.45214083768107488</v>
      </c>
      <c r="I134" s="157">
        <f t="shared" si="323"/>
        <v>7.0392857142857155</v>
      </c>
      <c r="J134" s="157" t="str">
        <f t="shared" si="324"/>
        <v>--</v>
      </c>
      <c r="K134" s="238">
        <f t="shared" si="225"/>
        <v>29.664078020588772</v>
      </c>
      <c r="L134" s="198">
        <f t="shared" si="325"/>
        <v>5.6892311600143186</v>
      </c>
      <c r="M134" s="252">
        <f t="shared" si="326"/>
        <v>1.9148093171810252</v>
      </c>
      <c r="N134" s="243" t="str">
        <f t="shared" si="327"/>
        <v>Cancer</v>
      </c>
      <c r="O134" s="157">
        <f t="shared" si="328"/>
        <v>2.7253333333333334</v>
      </c>
      <c r="P134" s="157">
        <f t="shared" si="230"/>
        <v>52122.000000000015</v>
      </c>
      <c r="Q134" s="157">
        <f t="shared" si="329"/>
        <v>6.43921494502725</v>
      </c>
      <c r="R134" s="240">
        <f t="shared" si="330"/>
        <v>1.9148093171810252</v>
      </c>
      <c r="S134" s="157">
        <f t="shared" si="331"/>
        <v>105.12</v>
      </c>
      <c r="T134" s="157" t="str">
        <f t="shared" si="234"/>
        <v>--</v>
      </c>
      <c r="U134" s="157">
        <f t="shared" si="235"/>
        <v>248.36971930819391</v>
      </c>
      <c r="V134" s="254">
        <f t="shared" si="332"/>
        <v>73.859644192125018</v>
      </c>
      <c r="W134" s="256">
        <f t="shared" si="333"/>
        <v>15.394493765488249</v>
      </c>
      <c r="X134" s="241" t="str">
        <f t="shared" si="334"/>
        <v>Cancer</v>
      </c>
      <c r="Y134" s="157">
        <f t="shared" si="335"/>
        <v>20.646464646464647</v>
      </c>
      <c r="Z134" s="157">
        <f t="shared" si="240"/>
        <v>1006.0312500000001</v>
      </c>
      <c r="AA134" s="157">
        <f t="shared" si="336"/>
        <v>64.392149450272498</v>
      </c>
      <c r="AB134" s="242">
        <f t="shared" si="337"/>
        <v>15.394493765488249</v>
      </c>
      <c r="AC134" s="157">
        <f t="shared" si="338"/>
        <v>31.854545454545452</v>
      </c>
      <c r="AD134" s="157" t="str">
        <f t="shared" si="244"/>
        <v>--</v>
      </c>
      <c r="AE134" s="157">
        <f t="shared" si="339"/>
        <v>99.347887723277566</v>
      </c>
      <c r="AF134" s="382">
        <f t="shared" si="340"/>
        <v>24.120603015075371</v>
      </c>
      <c r="AG134" s="258" t="str">
        <f t="shared" si="317"/>
        <v>NV</v>
      </c>
      <c r="AH134" s="159" t="str">
        <f t="shared" si="283"/>
        <v>--</v>
      </c>
      <c r="AI134" s="159" t="str">
        <f t="shared" si="284"/>
        <v>--</v>
      </c>
      <c r="AJ134" s="159" t="str">
        <f t="shared" si="285"/>
        <v>--</v>
      </c>
      <c r="AK134" s="158">
        <f t="shared" si="286"/>
        <v>1.2</v>
      </c>
      <c r="AL134" s="158">
        <f t="shared" si="287"/>
        <v>3.2000000000000003E-4</v>
      </c>
      <c r="AM134" s="158">
        <f t="shared" si="288"/>
        <v>9.0000000000000006E-5</v>
      </c>
      <c r="AN134" s="158" t="str">
        <f t="shared" si="289"/>
        <v>--</v>
      </c>
      <c r="AO134" s="158" t="str">
        <f t="shared" si="341"/>
        <v>--</v>
      </c>
      <c r="AP134" s="158">
        <f t="shared" si="291"/>
        <v>0.1</v>
      </c>
      <c r="AQ134" s="168">
        <f t="shared" si="292"/>
        <v>1</v>
      </c>
    </row>
    <row r="135" spans="1:43">
      <c r="A135" s="136" t="s">
        <v>325</v>
      </c>
      <c r="B135" s="247" t="s">
        <v>326</v>
      </c>
      <c r="C135" s="245">
        <f t="shared" si="319"/>
        <v>23.973727422003286</v>
      </c>
      <c r="D135" s="250" t="str">
        <f t="shared" si="320"/>
        <v>Cancer</v>
      </c>
      <c r="E135" s="157">
        <f t="shared" si="295"/>
        <v>23.973727422003286</v>
      </c>
      <c r="F135" s="157" t="str">
        <f t="shared" si="296"/>
        <v>--</v>
      </c>
      <c r="G135" s="157" t="str">
        <f t="shared" si="321"/>
        <v>--</v>
      </c>
      <c r="H135" s="237">
        <f t="shared" si="322"/>
        <v>23.973727422003286</v>
      </c>
      <c r="I135" s="157">
        <f t="shared" si="323"/>
        <v>782.14285714285711</v>
      </c>
      <c r="J135" s="157">
        <f t="shared" si="324"/>
        <v>62.412209802167666</v>
      </c>
      <c r="K135" s="238" t="str">
        <f t="shared" si="225"/>
        <v>--</v>
      </c>
      <c r="L135" s="198">
        <f t="shared" si="325"/>
        <v>57.799977770359433</v>
      </c>
      <c r="M135" s="252">
        <f t="shared" si="326"/>
        <v>112.77241379310345</v>
      </c>
      <c r="N135" s="243" t="str">
        <f t="shared" si="327"/>
        <v>Cancer</v>
      </c>
      <c r="O135" s="157">
        <f t="shared" si="328"/>
        <v>112.77241379310345</v>
      </c>
      <c r="P135" s="157" t="str">
        <f t="shared" si="230"/>
        <v>--</v>
      </c>
      <c r="Q135" s="157" t="str">
        <f t="shared" si="329"/>
        <v>--</v>
      </c>
      <c r="R135" s="240">
        <f t="shared" si="330"/>
        <v>112.77241379310345</v>
      </c>
      <c r="S135" s="157">
        <f t="shared" si="331"/>
        <v>11680</v>
      </c>
      <c r="T135" s="157">
        <f t="shared" si="234"/>
        <v>257.0409786363349</v>
      </c>
      <c r="U135" s="157" t="str">
        <f t="shared" si="235"/>
        <v>--</v>
      </c>
      <c r="V135" s="254">
        <f t="shared" si="332"/>
        <v>251.50610070330526</v>
      </c>
      <c r="W135" s="256">
        <f t="shared" si="333"/>
        <v>56.771433999555853</v>
      </c>
      <c r="X135" s="241" t="str">
        <f t="shared" si="334"/>
        <v>Noncancer</v>
      </c>
      <c r="Y135" s="157">
        <f t="shared" si="335"/>
        <v>854.33646812957159</v>
      </c>
      <c r="Z135" s="157" t="str">
        <f t="shared" si="240"/>
        <v>--</v>
      </c>
      <c r="AA135" s="157" t="str">
        <f t="shared" si="336"/>
        <v>--</v>
      </c>
      <c r="AB135" s="242">
        <f t="shared" si="337"/>
        <v>854.33646812957159</v>
      </c>
      <c r="AC135" s="157">
        <f t="shared" si="338"/>
        <v>3539.3939393939395</v>
      </c>
      <c r="AD135" s="157">
        <f t="shared" si="244"/>
        <v>57.69688478079145</v>
      </c>
      <c r="AE135" s="157" t="str">
        <f t="shared" si="339"/>
        <v>--</v>
      </c>
      <c r="AF135" s="382">
        <f t="shared" si="340"/>
        <v>56.771433999555853</v>
      </c>
      <c r="AG135" s="258" t="str">
        <f t="shared" si="317"/>
        <v>V</v>
      </c>
      <c r="AH135" s="159">
        <f t="shared" ref="AH135:AH145" si="342">VLOOKUP($A135, Table_IP_1, MATCH("VFr", heading_IP_1, 0), FALSE)</f>
        <v>29924.320649551075</v>
      </c>
      <c r="AI135" s="159">
        <f t="shared" ref="AI135:AI145" si="343">VLOOKUP($A135, Table_IP_1, MATCH("VFc", heading_IP_1, 0), FALSE)</f>
        <v>29343.210562128545</v>
      </c>
      <c r="AJ135" s="159">
        <f t="shared" ref="AJ135:AJ145" si="344">VLOOKUP($A135, Table_IP_1, MATCH("VFcw", heading_IP_1, 0), FALSE)</f>
        <v>6627.9781158415235</v>
      </c>
      <c r="AK135" s="158">
        <f t="shared" si="286"/>
        <v>2.9000000000000001E-2</v>
      </c>
      <c r="AL135" s="158" t="str">
        <f t="shared" si="287"/>
        <v>--</v>
      </c>
      <c r="AM135" s="158">
        <f t="shared" si="288"/>
        <v>0.01</v>
      </c>
      <c r="AN135" s="158">
        <f t="shared" si="289"/>
        <v>2</v>
      </c>
      <c r="AO135" s="158" t="str">
        <f t="shared" si="341"/>
        <v>--</v>
      </c>
      <c r="AP135" s="158" t="str">
        <f t="shared" si="291"/>
        <v>--</v>
      </c>
      <c r="AQ135" s="168">
        <f t="shared" si="292"/>
        <v>1</v>
      </c>
    </row>
    <row r="136" spans="1:43">
      <c r="A136" s="136" t="s">
        <v>327</v>
      </c>
      <c r="B136" s="247" t="s">
        <v>328</v>
      </c>
      <c r="C136" s="245">
        <f t="shared" si="319"/>
        <v>1701.2198140508713</v>
      </c>
      <c r="D136" s="250" t="str">
        <f t="shared" si="320"/>
        <v>Noncancer</v>
      </c>
      <c r="E136" s="157" t="str">
        <f t="shared" si="295"/>
        <v>--</v>
      </c>
      <c r="F136" s="157" t="str">
        <f t="shared" si="296"/>
        <v>--</v>
      </c>
      <c r="G136" s="157" t="str">
        <f t="shared" si="321"/>
        <v>--</v>
      </c>
      <c r="H136" s="237" t="str">
        <f t="shared" si="322"/>
        <v>--</v>
      </c>
      <c r="I136" s="157">
        <f t="shared" si="323"/>
        <v>156428.57142857142</v>
      </c>
      <c r="J136" s="157">
        <f t="shared" si="324"/>
        <v>1719.924644357342</v>
      </c>
      <c r="K136" s="238" t="str">
        <f t="shared" si="225"/>
        <v>--</v>
      </c>
      <c r="L136" s="198">
        <f t="shared" si="325"/>
        <v>1701.2198140508713</v>
      </c>
      <c r="M136" s="252">
        <f t="shared" si="326"/>
        <v>7061.9906916737436</v>
      </c>
      <c r="N136" s="243" t="str">
        <f t="shared" si="327"/>
        <v>Noncancer</v>
      </c>
      <c r="O136" s="157" t="str">
        <f t="shared" si="328"/>
        <v>--</v>
      </c>
      <c r="P136" s="157" t="str">
        <f t="shared" si="230"/>
        <v>--</v>
      </c>
      <c r="Q136" s="157" t="str">
        <f t="shared" si="329"/>
        <v>--</v>
      </c>
      <c r="R136" s="240" t="str">
        <f t="shared" si="330"/>
        <v>--</v>
      </c>
      <c r="S136" s="157">
        <f t="shared" si="331"/>
        <v>2336000</v>
      </c>
      <c r="T136" s="157">
        <f t="shared" si="234"/>
        <v>7083.404620395745</v>
      </c>
      <c r="U136" s="157" t="str">
        <f t="shared" si="235"/>
        <v>--</v>
      </c>
      <c r="V136" s="254">
        <f t="shared" si="332"/>
        <v>7061.9906916737436</v>
      </c>
      <c r="W136" s="256">
        <f t="shared" si="333"/>
        <v>1595.8231878244881</v>
      </c>
      <c r="X136" s="241" t="str">
        <f t="shared" si="334"/>
        <v>Noncancer</v>
      </c>
      <c r="Y136" s="157" t="str">
        <f t="shared" si="335"/>
        <v>--</v>
      </c>
      <c r="Z136" s="157" t="str">
        <f t="shared" si="240"/>
        <v>--</v>
      </c>
      <c r="AA136" s="157" t="str">
        <f t="shared" si="336"/>
        <v>--</v>
      </c>
      <c r="AB136" s="242" t="str">
        <f t="shared" si="337"/>
        <v>--</v>
      </c>
      <c r="AC136" s="157">
        <f t="shared" si="338"/>
        <v>707878.78787878796</v>
      </c>
      <c r="AD136" s="157">
        <f t="shared" si="244"/>
        <v>1599.428897963501</v>
      </c>
      <c r="AE136" s="157" t="str">
        <f t="shared" si="339"/>
        <v>--</v>
      </c>
      <c r="AF136" s="382">
        <f t="shared" si="340"/>
        <v>1595.8231878244881</v>
      </c>
      <c r="AG136" s="258" t="str">
        <f t="shared" si="317"/>
        <v>V</v>
      </c>
      <c r="AH136" s="159">
        <f t="shared" si="342"/>
        <v>1649.2448096615076</v>
      </c>
      <c r="AI136" s="159">
        <f t="shared" si="343"/>
        <v>1617.2175898376245</v>
      </c>
      <c r="AJ136" s="159">
        <f t="shared" si="344"/>
        <v>365.29345591896276</v>
      </c>
      <c r="AK136" s="158" t="str">
        <f t="shared" si="286"/>
        <v>--</v>
      </c>
      <c r="AL136" s="158" t="str">
        <f t="shared" si="287"/>
        <v>--</v>
      </c>
      <c r="AM136" s="158">
        <f t="shared" si="288"/>
        <v>2</v>
      </c>
      <c r="AN136" s="158">
        <f t="shared" si="289"/>
        <v>1000</v>
      </c>
      <c r="AO136" s="158" t="str">
        <f t="shared" si="341"/>
        <v>--</v>
      </c>
      <c r="AP136" s="158" t="str">
        <f t="shared" si="291"/>
        <v>--</v>
      </c>
      <c r="AQ136" s="168">
        <f t="shared" si="292"/>
        <v>1</v>
      </c>
    </row>
    <row r="137" spans="1:43">
      <c r="A137" s="136" t="s">
        <v>329</v>
      </c>
      <c r="B137" s="247" t="s">
        <v>330</v>
      </c>
      <c r="C137" s="245">
        <f t="shared" si="319"/>
        <v>1.147687774376893</v>
      </c>
      <c r="D137" s="250" t="str">
        <f t="shared" si="320"/>
        <v>Cancer</v>
      </c>
      <c r="E137" s="157">
        <f t="shared" si="295"/>
        <v>12.19715956558062</v>
      </c>
      <c r="F137" s="157">
        <f t="shared" si="296"/>
        <v>1.2668959367528332</v>
      </c>
      <c r="G137" s="157" t="str">
        <f t="shared" si="321"/>
        <v>--</v>
      </c>
      <c r="H137" s="237">
        <f t="shared" si="322"/>
        <v>1.147687774376893</v>
      </c>
      <c r="I137" s="157">
        <f t="shared" si="323"/>
        <v>312.85714285714283</v>
      </c>
      <c r="J137" s="157">
        <f t="shared" si="324"/>
        <v>1.5057963133976533</v>
      </c>
      <c r="K137" s="238" t="str">
        <f t="shared" si="225"/>
        <v>--</v>
      </c>
      <c r="L137" s="198">
        <f t="shared" si="325"/>
        <v>1.4985835594279118</v>
      </c>
      <c r="M137" s="252">
        <f t="shared" si="326"/>
        <v>4.9574806495230073</v>
      </c>
      <c r="N137" s="243" t="str">
        <f t="shared" si="327"/>
        <v>Cancer</v>
      </c>
      <c r="O137" s="157">
        <f t="shared" si="328"/>
        <v>57.375438596491236</v>
      </c>
      <c r="P137" s="157">
        <f t="shared" si="230"/>
        <v>5.4263393260715951</v>
      </c>
      <c r="Q137" s="157" t="str">
        <f t="shared" si="329"/>
        <v>--</v>
      </c>
      <c r="R137" s="240">
        <f t="shared" si="330"/>
        <v>4.9574806495230073</v>
      </c>
      <c r="S137" s="157">
        <f t="shared" si="331"/>
        <v>4672</v>
      </c>
      <c r="T137" s="157">
        <f t="shared" si="234"/>
        <v>6.2015306583675374</v>
      </c>
      <c r="U137" s="157" t="str">
        <f t="shared" si="235"/>
        <v>--</v>
      </c>
      <c r="V137" s="254">
        <f t="shared" si="332"/>
        <v>6.1933097678704883</v>
      </c>
      <c r="W137" s="256">
        <f t="shared" si="333"/>
        <v>1.3972845378010612</v>
      </c>
      <c r="X137" s="241" t="str">
        <f t="shared" si="334"/>
        <v>Noncancer</v>
      </c>
      <c r="Y137" s="157">
        <f t="shared" si="335"/>
        <v>434.66241360978205</v>
      </c>
      <c r="Z137" s="157">
        <f t="shared" si="240"/>
        <v>30.595795841257658</v>
      </c>
      <c r="AA137" s="157" t="str">
        <f t="shared" si="336"/>
        <v>--</v>
      </c>
      <c r="AB137" s="242">
        <f t="shared" si="337"/>
        <v>28.583788951009698</v>
      </c>
      <c r="AC137" s="157">
        <f t="shared" si="338"/>
        <v>1415.7575757575758</v>
      </c>
      <c r="AD137" s="157">
        <f t="shared" si="244"/>
        <v>1.3986649527432073</v>
      </c>
      <c r="AE137" s="157" t="str">
        <f t="shared" si="339"/>
        <v>--</v>
      </c>
      <c r="AF137" s="382">
        <f t="shared" si="340"/>
        <v>1.3972845378010612</v>
      </c>
      <c r="AG137" s="258" t="str">
        <f t="shared" si="317"/>
        <v>V</v>
      </c>
      <c r="AH137" s="159">
        <f t="shared" si="342"/>
        <v>7219.6096909635653</v>
      </c>
      <c r="AI137" s="159">
        <f t="shared" si="343"/>
        <v>7079.4097489897695</v>
      </c>
      <c r="AJ137" s="159">
        <f t="shared" si="344"/>
        <v>1599.0810818070076</v>
      </c>
      <c r="AK137" s="158">
        <f t="shared" si="286"/>
        <v>5.7000000000000002E-2</v>
      </c>
      <c r="AL137" s="158">
        <f t="shared" si="287"/>
        <v>1.5999999999999999E-5</v>
      </c>
      <c r="AM137" s="158">
        <f t="shared" si="288"/>
        <v>4.0000000000000001E-3</v>
      </c>
      <c r="AN137" s="158">
        <f t="shared" si="289"/>
        <v>0.2</v>
      </c>
      <c r="AO137" s="158" t="str">
        <f t="shared" si="341"/>
        <v>--</v>
      </c>
      <c r="AP137" s="158" t="str">
        <f t="shared" si="291"/>
        <v>--</v>
      </c>
      <c r="AQ137" s="168">
        <f t="shared" si="292"/>
        <v>1</v>
      </c>
    </row>
    <row r="138" spans="1:43">
      <c r="A138" s="896" t="s">
        <v>331</v>
      </c>
      <c r="B138" s="185" t="s">
        <v>332</v>
      </c>
      <c r="C138" s="245">
        <f>IF(AND(H138="--", L138="--"),"--",IF(H138="--",L138,IF(L138="--",H138,MIN(H138,L138))))</f>
        <v>0.94322350821413881</v>
      </c>
      <c r="D138" s="249" t="str">
        <f>IF(C138="--","--",IF(C138=H138,"Cancer","Noncancer"))</f>
        <v>Cancer</v>
      </c>
      <c r="E138" s="340">
        <f>TR*365*LT/(AK138*0.000001*((0.804*IFSadj)+(0.202*IFSmadj)))</f>
        <v>8.7819478440518566</v>
      </c>
      <c r="F138" s="340">
        <f>TR*365*LT/(AL138*((1/AH138)+(1/PEFr))*1000/24*((0.756*EFr*EDr*ETr)+((2*EFr*ETr*0.244*10)+
(4*EFr*ETr*0.244*3)+
(10*EFr*ETr*0.244*3)+
(10*EFr*ETr*0.244*1))))</f>
        <v>1.0567203666736613</v>
      </c>
      <c r="G138" s="157" t="str">
        <f>IF(OR(AK138="--",AP138="--"),"--",
IF(AO138="--",
(TR*365*LT)/((AK138/AQ138)*DFSadj*AP138*0.000001),
(TR*365*LT)/((AK138/AQ138)*DFSmadj*AP138*0.000001)))</f>
        <v>--</v>
      </c>
      <c r="H138" s="237">
        <f>IF(AND(E138="--",F138="--"),G138,IF(AND(E138="--",G138="--"),F138,IF(AND(F138="--",G138="--"),E138,IF(E138="--",1/(1/F138+1/G138),IF(F138="--",1/(1/E138+1/G138),IF(G138="--",1/(1/E138+1/F138),1/(1/E138+1/F138+1/G138)))))))</f>
        <v>0.94322350821413881</v>
      </c>
      <c r="I138" s="157">
        <f>IF(AM138="--","--",(THQ*365*EDc*BWc)/(EFr*EDc*(1/AM138)*IRSc*0.000001))</f>
        <v>39.107142857142854</v>
      </c>
      <c r="J138" s="157">
        <f>IF(AN138="--","--",IF(AND(AG138="V",AH138&lt;&gt;"--"),
(THQ*365*EDc)/(EFr*EDc*(1/(AN138/1000))*(1/AH138+1/PEFr)),
(THQ*365*EDc)/(EFr*EDc*(1/(AN138/1000))*1/PEFr)))</f>
        <v>4.6078563316899279</v>
      </c>
      <c r="K138" s="238" t="str">
        <f t="shared" si="225"/>
        <v>--</v>
      </c>
      <c r="L138" s="198">
        <f>IF(AND(I138="--",J138="--"),K138,IF(AND(I138="--",K138="--"),J138,IF(AND(J138="--",K138="--"),I138,IF(I138="--",1/(1/J138+1/K138),IF(J138="--",1/(1/I138+1/K138),IF(K138="--",1/(1/I138+1/J138),1/(1/I138+1/J138+1/K138)))))))</f>
        <v>4.1221571353619346</v>
      </c>
      <c r="M138" s="252">
        <f>IF(AND(R138="--", V138="--"),"--",IF(R138="--",V138,IF(V138="--",R138,MIN(R138,V138))))</f>
        <v>5.9387260045173811</v>
      </c>
      <c r="N138" s="239" t="str">
        <f>IF(M138="--","--",IF(M138=R138,"Cancer","Noncancer"))</f>
        <v>Cancer</v>
      </c>
      <c r="O138" s="157">
        <f>IF(AK138="--","--",(TR*365*LT*BWa)/(AK138*EFci*EDci*IRSci*0.000001))</f>
        <v>71.095652173913052</v>
      </c>
      <c r="P138" s="157">
        <f t="shared" si="230"/>
        <v>6.4800110010661687</v>
      </c>
      <c r="Q138" s="157" t="str">
        <f>IF(OR(AK138="--",AP138="--"),"--",(TR*365*LT*BWa)/((AK138/AQ138)*EFci*EDci*AdFci*SAci*AP138*0.000001))</f>
        <v>--</v>
      </c>
      <c r="R138" s="240">
        <f>IF(AND(O138="--",P138="--"),Q138,IF(AND(O138="--",Q138="--"),P138,IF(AND(P138="--",Q138="--"),O138,IF(O138="--",1/(1/P138+1/Q138),IF(P138="--",1/(1/O138+1/Q138),IF(Q138="--",1/(1/O138+1/P138),1/(1/O138+1/P138+1/Q138)))))))</f>
        <v>5.9387260045173811</v>
      </c>
      <c r="S138" s="157">
        <f>IF(AM138="--","--",(THQ*EDci*365*BWa)/(EFci*EDci*(1/AM138)*IRSci*0.000001))</f>
        <v>584</v>
      </c>
      <c r="T138" s="157">
        <f t="shared" si="234"/>
        <v>18.977175074550921</v>
      </c>
      <c r="U138" s="157" t="str">
        <f t="shared" si="235"/>
        <v>--</v>
      </c>
      <c r="V138" s="254">
        <f>IF(AND(S138="--",T138="--"),U138,IF(AND(S138="--",U138="--"),T138,IF(AND(T138="--",U138="--"),S138,IF(S138="--",1/(1/T138+1/U138),IF(T138="--",1/(1/S138+1/U138),IF(U138="--",1/(1/S138+1/T138),1/(1/S138+1/T138+1/U138)))))))</f>
        <v>18.379916689495747</v>
      </c>
      <c r="W138" s="256">
        <f>IF(AND(AB138="--", AF138="--"),"--",IF(AB138="--",AF138,IF(AF138="--",AB138,MIN(AB138,AF138))))</f>
        <v>4.1832527525041323</v>
      </c>
      <c r="X138" s="241" t="str">
        <f>IF(W138="--","--",IF(W138=AB138,"Cancer","Noncancer"))</f>
        <v>Noncancer</v>
      </c>
      <c r="Y138" s="157">
        <f>IF(AK138="--","--",(TR*365*LT*BWct)/(AK138*EFct*EDct*IRSct*0.000001))</f>
        <v>538.60342555994737</v>
      </c>
      <c r="Z138" s="157">
        <f t="shared" si="240"/>
        <v>36.575269343962908</v>
      </c>
      <c r="AA138" s="157" t="str">
        <f>IF(OR(AK138="--",AP138="--"),"--",(TR*365*LT*BWct)/((AK138/AQ138)*EFct*EDct*SAct*AdFct*AP138*0.000001))</f>
        <v>--</v>
      </c>
      <c r="AB138" s="242">
        <f>IF(AND(Y138="--",Z138="--"),AA138,IF(AND(Y138="--",AA138="--"),Z138,IF(AND(Z138="--",AA138="--"),Y138,IF(Y138="--",1/(1/Z138+1/AA138),IF(Z138="--",1/(1/Y138+1/AA138),IF(AA138="--",1/(1/Y138+1/Z138),1/(1/Y138+1/Z138+1/AA138)))))))</f>
        <v>34.249469832548606</v>
      </c>
      <c r="AC138" s="157">
        <f>IF(AM138="--","--",(THQ*EDct*365*BWct)/(EFct*EDct*(1/AM138)*IRSct*0.000001))</f>
        <v>176.96969696969697</v>
      </c>
      <c r="AD138" s="157">
        <f t="shared" si="244"/>
        <v>4.2845315517213693</v>
      </c>
      <c r="AE138" s="157" t="str">
        <f>IF(OR(AM138="--",AP138="--"),"--",(THQ*EDct*365*BWct)/(EFct*EDct*(1/(AM138*AQ138))*SAct*AdFct*AP138*0.000001))</f>
        <v>--</v>
      </c>
      <c r="AF138" s="382">
        <f>IF(AND(AC138="--",AD138="--"),AE138,IF(AND(AC138="--",AE138="--"),AD138,IF(AND(AD138="--",AE138="--"),AC138,IF(AC138="--",1/(1/AD138+1/AE138),IF(AD138="--",1/(1/AC138+1/AE138),IF(AE138="--",1/(1/AC138+1/AD138),1/(1/AC138+1/AD138+1/AE138)))))))</f>
        <v>4.1832527525041323</v>
      </c>
      <c r="AG138" s="258" t="str">
        <f t="shared" ref="AG138:AG143" si="345">VLOOKUP(A138,Table_IP_1,MATCH("volatility",heading_IP_1,0),FALSE)</f>
        <v>V</v>
      </c>
      <c r="AH138" s="159">
        <f t="shared" si="342"/>
        <v>2209.2497752330314</v>
      </c>
      <c r="AI138" s="159">
        <f t="shared" si="343"/>
        <v>2166.3476373680192</v>
      </c>
      <c r="AJ138" s="159">
        <f t="shared" si="344"/>
        <v>489.32971057747352</v>
      </c>
      <c r="AK138" s="158">
        <f t="shared" ref="AK138:AK143" si="346">VLOOKUP(A138,Table_IP_2,MATCH("SFo",heading_IP_2,0),FALSE)</f>
        <v>4.5999999999999999E-2</v>
      </c>
      <c r="AL138" s="158">
        <f t="shared" ref="AL138:AL143" si="347">VLOOKUP(A138,Table_IP_2,MATCH("IUR",heading_IP_2,0),FALSE)</f>
        <v>4.0999999999999997E-6</v>
      </c>
      <c r="AM138" s="158">
        <f t="shared" ref="AM138:AM143" si="348">VLOOKUP(A138,Table_IP_2,MATCH("RfDo",heading_IP_2,0),FALSE)</f>
        <v>5.0000000000000001E-4</v>
      </c>
      <c r="AN138" s="158">
        <f t="shared" ref="AN138:AN143" si="349">VLOOKUP(A138,Table_IP_2,MATCH("RfC",heading_IP_2,0),FALSE)</f>
        <v>2</v>
      </c>
      <c r="AO138" s="158" t="str">
        <f>VLOOKUP(A138,Table_IP_2,MATCH("mut",heading_IP_2,0),FALSE)</f>
        <v>Yes</v>
      </c>
      <c r="AP138" s="158" t="str">
        <f t="shared" ref="AP138:AP143" si="350">VLOOKUP(A138,Table_IP_2,MATCH("abs",heading_IP_2,0),FALSE)</f>
        <v>--</v>
      </c>
      <c r="AQ138" s="168">
        <f t="shared" ref="AQ138:AQ143" si="351">VLOOKUP(A138,Table_IP_2,MATCH("GIABS",heading_IP_2,0),FALSE)</f>
        <v>1</v>
      </c>
    </row>
    <row r="139" spans="1:43">
      <c r="A139" s="153" t="s">
        <v>333</v>
      </c>
      <c r="B139" s="185" t="s">
        <v>334</v>
      </c>
      <c r="C139" s="245">
        <f>IF(AND(H139="--", L139="--"),"--",IF(H139="--",L139,IF(L139="--",H139,MIN(H139,L139))))</f>
        <v>6321.3679555714625</v>
      </c>
      <c r="D139" s="249" t="str">
        <f>IF(C139="--","--",IF(C139=H139,"Cancer","Noncancer"))</f>
        <v>Noncancer</v>
      </c>
      <c r="E139" s="157" t="str">
        <f>IF(AK139="--","--",
IF(AO139="--",
TR*365*LT/(AK139*IFSadj*0.000001),
TR*365*LT/(AK139*IFSmadj*0.000001)))</f>
        <v>--</v>
      </c>
      <c r="F139" s="157" t="str">
        <f>IF(AL139="--", "--",
IF(AO139="--",
IF(AND(AG139="V",AH139&lt;&gt;"--"),(TR*365*LT)/(AL139*1000*EFr*(1/AH139+1/PEFr)*EDr*ETr*(1/24)),(TR*365*LT)/(AL139*1000*EFr*(1/PEFr)*EDr*ETr*(1/24))),
IF(AND(AG139="V",AH139&lt;&gt;"--"),(TR*365*LT)/(AL139*1000*(1/AH139+1/PEFr)*TETmadj),(TR*365*LT)/(AL139*1000*(1/PEFr)*TETmadj))))</f>
        <v>--</v>
      </c>
      <c r="G139" s="157" t="str">
        <f>IF(OR(AK139="--",AP139="--"),"--",
IF(AO139="--",
(TR*365*LT)/((AK139/AQ139)*DFSadj*AP139*0.000001),
(TR*365*LT)/((AK139/AQ139)*DFSmadj*AP139*0.000001)))</f>
        <v>--</v>
      </c>
      <c r="H139" s="237" t="str">
        <f>IF(AND(E139="--",F139="--"),G139,IF(AND(E139="--",G139="--"),F139,IF(AND(F139="--",G139="--"),E139,IF(E139="--",1/(1/F139+1/G139),IF(F139="--",1/(1/E139+1/G139),IF(G139="--",1/(1/E139+1/F139),1/(1/E139+1/F139+1/G139)))))))</f>
        <v>--</v>
      </c>
      <c r="I139" s="157">
        <f>IF(AM139="--","--",(THQ*365*EDc*BWc)/(EFr*EDc*(1/AM139)*IRSc*0.000001))</f>
        <v>7821.4285714285706</v>
      </c>
      <c r="J139" s="157" t="str">
        <f>IF(AN139="--","--",IF(AND(AG139="V",AH139&lt;&gt;"--"),
(THQ*365*EDc)/(EFr*EDc*(1/(AN139/1000))*(1/AH139+1/PEFr)),
(THQ*365*EDc)/(EFr*EDc*(1/(AN139/1000))*1/PEFr)))</f>
        <v>--</v>
      </c>
      <c r="K139" s="238">
        <f t="shared" si="225"/>
        <v>32960.086689543074</v>
      </c>
      <c r="L139" s="198">
        <f>IF(AND(I139="--",J139="--"),K139,IF(AND(I139="--",K139="--"),J139,IF(AND(J139="--",K139="--"),I139,IF(I139="--",1/(1/J139+1/K139),IF(J139="--",1/(1/I139+1/K139),IF(K139="--",1/(1/I139+1/J139),1/(1/I139+1/J139+1/K139)))))))</f>
        <v>6321.3679555714625</v>
      </c>
      <c r="M139" s="252">
        <f>IF(AND(R139="--", V139="--"),"--",IF(R139="--",V139,IF(V139="--",R139,MIN(R139,V139))))</f>
        <v>82066.271324583358</v>
      </c>
      <c r="N139" s="239" t="str">
        <f>IF(M139="--","--",IF(M139=R139,"Cancer","Noncancer"))</f>
        <v>Noncancer</v>
      </c>
      <c r="O139" s="157" t="str">
        <f>IF(AK139="--","--",(TR*365*LT*BWa)/(AK139*EFci*EDci*IRSci*0.000001))</f>
        <v>--</v>
      </c>
      <c r="P139" s="157" t="str">
        <f t="shared" si="230"/>
        <v>--</v>
      </c>
      <c r="Q139" s="157" t="str">
        <f>IF(OR(AK139="--",AP139="--"),"--",(TR*365*LT*BWa)/((AK139/AQ139)*EFci*EDci*AdFci*SAci*AP139*0.000001))</f>
        <v>--</v>
      </c>
      <c r="R139" s="240" t="str">
        <f>IF(AND(O139="--",P139="--"),Q139,IF(AND(O139="--",Q139="--"),P139,IF(AND(P139="--",Q139="--"),O139,IF(O139="--",1/(1/P139+1/Q139),IF(P139="--",1/(1/O139+1/Q139),IF(Q139="--",1/(1/O139+1/P139),1/(1/O139+1/P139+1/Q139)))))))</f>
        <v>--</v>
      </c>
      <c r="S139" s="157">
        <f>IF(AM139="--","--",(THQ*EDci*365*BWa)/(EFci*EDci*(1/AM139)*IRSci*0.000001))</f>
        <v>116800</v>
      </c>
      <c r="T139" s="157" t="str">
        <f t="shared" si="234"/>
        <v>--</v>
      </c>
      <c r="U139" s="157">
        <f t="shared" si="235"/>
        <v>275966.35478688218</v>
      </c>
      <c r="V139" s="254">
        <f>IF(AND(S139="--",T139="--"),U139,IF(AND(S139="--",U139="--"),T139,IF(AND(T139="--",U139="--"),S139,IF(S139="--",1/(1/T139+1/U139),IF(T139="--",1/(1/S139+1/U139),IF(U139="--",1/(1/S139+1/T139),1/(1/S139+1/T139+1/U139)))))))</f>
        <v>82066.271324583358</v>
      </c>
      <c r="W139" s="256">
        <f>IF(AND(AB139="--", AF139="--"),"--",IF(AB139="--",AF139,IF(AF139="--",AB139,MIN(AB139,AF139))))</f>
        <v>26800.67001675042</v>
      </c>
      <c r="X139" s="241" t="str">
        <f>IF(W139="--","--",IF(W139=AB139,"Cancer","Noncancer"))</f>
        <v>Noncancer</v>
      </c>
      <c r="Y139" s="157" t="str">
        <f>IF(AK139="--","--",(TR*365*LT*BWct)/(AK139*EFct*EDct*IRSct*0.000001))</f>
        <v>--</v>
      </c>
      <c r="Z139" s="157" t="str">
        <f t="shared" si="240"/>
        <v>--</v>
      </c>
      <c r="AA139" s="157" t="str">
        <f>IF(OR(AK139="--",AP139="--"),"--",(TR*365*LT*BWct)/((AK139/AQ139)*EFct*EDct*SAct*AdFct*AP139*0.000001))</f>
        <v>--</v>
      </c>
      <c r="AB139" s="242" t="str">
        <f>IF(AND(Y139="--",Z139="--"),AA139,IF(AND(Y139="--",AA139="--"),Z139,IF(AND(Z139="--",AA139="--"),Y139,IF(Y139="--",1/(1/Z139+1/AA139),IF(Z139="--",1/(1/Y139+1/AA139),IF(AA139="--",1/(1/Y139+1/Z139),1/(1/Y139+1/Z139+1/AA139)))))))</f>
        <v>--</v>
      </c>
      <c r="AC139" s="157">
        <f>IF(AM139="--","--",(THQ*EDct*365*BWct)/(EFct*EDct*(1/AM139)*IRSct*0.000001))</f>
        <v>35393.939393939399</v>
      </c>
      <c r="AD139" s="157" t="str">
        <f t="shared" si="244"/>
        <v>--</v>
      </c>
      <c r="AE139" s="157">
        <f>IF(OR(AM139="--",AP139="--"),"--",(THQ*EDct*365*BWct)/(EFct*EDct*(1/(AM139*AQ139))*SAct*AdFct*AP139*0.000001))</f>
        <v>110386.54191475286</v>
      </c>
      <c r="AF139" s="382">
        <f>IF(AND(AC139="--",AD139="--"),AE139,IF(AND(AC139="--",AE139="--"),AD139,IF(AND(AD139="--",AE139="--"),AC139,IF(AC139="--",1/(1/AD139+1/AE139),IF(AD139="--",1/(1/AC139+1/AE139),IF(AE139="--",1/(1/AC139+1/AD139),1/(1/AC139+1/AD139+1/AE139)))))))</f>
        <v>26800.67001675042</v>
      </c>
      <c r="AG139" s="258" t="str">
        <f t="shared" si="345"/>
        <v>NV</v>
      </c>
      <c r="AH139" s="159" t="str">
        <f t="shared" si="342"/>
        <v>--</v>
      </c>
      <c r="AI139" s="159" t="str">
        <f t="shared" si="343"/>
        <v>--</v>
      </c>
      <c r="AJ139" s="159" t="str">
        <f t="shared" si="344"/>
        <v>--</v>
      </c>
      <c r="AK139" s="158" t="str">
        <f t="shared" si="346"/>
        <v>--</v>
      </c>
      <c r="AL139" s="158" t="str">
        <f t="shared" si="347"/>
        <v>--</v>
      </c>
      <c r="AM139" s="158">
        <f t="shared" si="348"/>
        <v>0.1</v>
      </c>
      <c r="AN139" s="158" t="str">
        <f t="shared" si="349"/>
        <v>--</v>
      </c>
      <c r="AO139" s="158" t="str">
        <f>VLOOKUP(A139,Table_IP_2,MATCH("mut",heading_IP_2,0),FALSE)</f>
        <v>--</v>
      </c>
      <c r="AP139" s="158">
        <f t="shared" si="350"/>
        <v>0.1</v>
      </c>
      <c r="AQ139" s="168">
        <f t="shared" si="351"/>
        <v>1</v>
      </c>
    </row>
    <row r="140" spans="1:43">
      <c r="A140" s="153" t="s">
        <v>335</v>
      </c>
      <c r="B140" s="185" t="s">
        <v>336</v>
      </c>
      <c r="C140" s="245">
        <f>IF(AND(H140="--", L140="--"),"--",IF(H140="--",L140,IF(L140="--",H140,MIN(H140,L140))))</f>
        <v>7.7509648108695872</v>
      </c>
      <c r="D140" s="249" t="str">
        <f>IF(C140="--","--",IF(C140=H140,"Cancer","Noncancer"))</f>
        <v>Cancer</v>
      </c>
      <c r="E140" s="157">
        <f>IF(AK140="--","--",
IF(AO140="--",
TR*365*LT/(AK140*IFSadj*0.000001),
TR*365*LT/(AK140*IFSmadj*0.000001)))</f>
        <v>9.9319727891156457</v>
      </c>
      <c r="F140" s="157">
        <f>IF(AL140="--", "--",
IF(AO140="--",
IF(AND(AG140="V",AH140&lt;&gt;"--"),(TR*365*LT)/(AL140*1000*EFr*(1/AH140+1/PEFr)*EDr*ETr*(1/24)),(TR*365*LT)/(AL140*1000*EFr*(1/PEFr)*EDr*ETr*(1/24))),
IF(AND(AG140="V",AH140&lt;&gt;"--"),(TR*365*LT)/(AL140*1000*(1/AH140+1/PEFr)*TETmadj),(TR*365*LT)/(AL140*1000*(1/PEFr)*TETmadj))))</f>
        <v>190923.07692307694</v>
      </c>
      <c r="G140" s="157">
        <f>IF(OR(AK140="--",AP140="--"),"--",
IF(AO140="--",
(TR*365*LT)/((AK140/AQ140)*DFSadj*AP140*0.000001),
(TR*365*LT)/((AK140/AQ140)*DFSmadj*AP140*0.000001)))</f>
        <v>35.303220814392098</v>
      </c>
      <c r="H140" s="237">
        <f>IF(AND(E140="--",F140="--"),G140,IF(AND(E140="--",G140="--"),F140,IF(AND(F140="--",G140="--"),E140,IF(E140="--",1/(1/F140+1/G140),IF(F140="--",1/(1/E140+1/G140),IF(G140="--",1/(1/E140+1/F140),1/(1/E140+1/F140+1/G140)))))))</f>
        <v>7.7509648108695872</v>
      </c>
      <c r="I140" s="157">
        <f>IF(AM140="--","--",(THQ*365*EDc*BWc)/(EFr*EDc*(1/AM140)*IRSc*0.000001))</f>
        <v>78.214285714285708</v>
      </c>
      <c r="J140" s="157" t="str">
        <f>IF(AN140="--","--",IF(AND(AG140="V",AH140&lt;&gt;"--"),
(THQ*365*EDc)/(EFr*EDc*(1/(AN140/1000))*(1/AH140+1/PEFr)),
(THQ*365*EDc)/(EFr*EDc*(1/(AN140/1000))*1/PEFr)))</f>
        <v>--</v>
      </c>
      <c r="K140" s="238">
        <f t="shared" si="225"/>
        <v>329.60086689543073</v>
      </c>
      <c r="L140" s="198">
        <f>IF(AND(I140="--",J140="--"),K140,IF(AND(I140="--",K140="--"),J140,IF(AND(J140="--",K140="--"),I140,IF(I140="--",1/(1/J140+1/K140),IF(J140="--",1/(1/I140+1/K140),IF(K140="--",1/(1/I140+1/J140),1/(1/I140+1/J140+1/K140)))))))</f>
        <v>63.213679555714634</v>
      </c>
      <c r="M140" s="252">
        <f>IF(AND(R140="--", V140="--"),"--",IF(R140="--",V140,IF(V140="--",R140,MIN(R140,V140))))</f>
        <v>32.825216444380452</v>
      </c>
      <c r="N140" s="239" t="str">
        <f>IF(M140="--","--",IF(M140=R140,"Cancer","Noncancer"))</f>
        <v>Cancer</v>
      </c>
      <c r="O140" s="157">
        <f>IF(AK140="--","--",(TR*365*LT*BWa)/(AK140*EFci*EDci*IRSci*0.000001))</f>
        <v>46.720000000000006</v>
      </c>
      <c r="P140" s="157">
        <f t="shared" si="230"/>
        <v>833952.00000000023</v>
      </c>
      <c r="Q140" s="157">
        <f>IF(OR(AK140="--",AP140="--"),"--",(TR*365*LT*BWa)/((AK140/AQ140)*EFci*EDci*AdFci*SAci*AP140*0.000001))</f>
        <v>110.38654191475287</v>
      </c>
      <c r="R140" s="240">
        <f>IF(AND(O140="--",P140="--"),Q140,IF(AND(O140="--",Q140="--"),P140,IF(AND(P140="--",Q140="--"),O140,IF(O140="--",1/(1/P140+1/Q140),IF(P140="--",1/(1/O140+1/Q140),IF(Q140="--",1/(1/O140+1/P140),1/(1/O140+1/P140+1/Q140)))))))</f>
        <v>32.825216444380452</v>
      </c>
      <c r="S140" s="157">
        <f>IF(AM140="--","--",(THQ*EDci*365*BWa)/(EFci*EDci*(1/AM140)*IRSci*0.000001))</f>
        <v>1168</v>
      </c>
      <c r="T140" s="157" t="str">
        <f t="shared" si="234"/>
        <v>--</v>
      </c>
      <c r="U140" s="157">
        <f t="shared" si="235"/>
        <v>2759.6635478688218</v>
      </c>
      <c r="V140" s="254">
        <f>IF(AND(S140="--",T140="--"),U140,IF(AND(S140="--",U140="--"),T140,IF(AND(T140="--",U140="--"),S140,IF(S140="--",1/(1/T140+1/U140),IF(T140="--",1/(1/S140+1/U140),IF(U140="--",1/(1/S140+1/T140),1/(1/S140+1/T140+1/U140)))))))</f>
        <v>820.66271324583363</v>
      </c>
      <c r="W140" s="256">
        <f>IF(AND(AB140="--", AF140="--"),"--",IF(AB140="--",AF140,IF(AF140="--",AB140,MIN(AB140,AF140))))</f>
        <v>263.61746970362839</v>
      </c>
      <c r="X140" s="241" t="str">
        <f>IF(W140="--","--",IF(W140=AB140,"Cancer","Noncancer"))</f>
        <v>Cancer</v>
      </c>
      <c r="Y140" s="157">
        <f>IF(AK140="--","--",(TR*365*LT*BWct)/(AK140*EFct*EDct*IRSct*0.000001))</f>
        <v>353.93939393939394</v>
      </c>
      <c r="Z140" s="157">
        <f t="shared" si="240"/>
        <v>16096.500000000002</v>
      </c>
      <c r="AA140" s="157">
        <f>IF(OR(AK140="--",AP140="--"),"--",(TR*365*LT*BWct)/((AK140/AQ140)*EFct*EDct*SAct*AdFct*AP140*0.000001))</f>
        <v>1103.8654191475287</v>
      </c>
      <c r="AB140" s="242">
        <f>IF(AND(Y140="--",Z140="--"),AA140,IF(AND(Y140="--",AA140="--"),Z140,IF(AND(Z140="--",AA140="--"),Y140,IF(Y140="--",1/(1/Z140+1/AA140),IF(Z140="--",1/(1/Y140+1/AA140),IF(AA140="--",1/(1/Y140+1/Z140),1/(1/Y140+1/Z140+1/AA140)))))))</f>
        <v>263.61746970362839</v>
      </c>
      <c r="AC140" s="157">
        <f>IF(AM140="--","--",(THQ*EDct*365*BWct)/(EFct*EDct*(1/AM140)*IRSct*0.000001))</f>
        <v>353.93939393939394</v>
      </c>
      <c r="AD140" s="157" t="str">
        <f t="shared" si="244"/>
        <v>--</v>
      </c>
      <c r="AE140" s="157">
        <f>IF(OR(AM140="--",AP140="--"),"--",(THQ*EDct*365*BWct)/(EFct*EDct*(1/(AM140*AQ140))*SAct*AdFct*AP140*0.000001))</f>
        <v>1103.8654191475287</v>
      </c>
      <c r="AF140" s="382">
        <f>IF(AND(AC140="--",AD140="--"),AE140,IF(AND(AC140="--",AE140="--"),AD140,IF(AND(AD140="--",AE140="--"),AC140,IF(AC140="--",1/(1/AD140+1/AE140),IF(AD140="--",1/(1/AC140+1/AE140),IF(AE140="--",1/(1/AC140+1/AD140),1/(1/AC140+1/AD140+1/AE140)))))))</f>
        <v>268.00670016750416</v>
      </c>
      <c r="AG140" s="258" t="str">
        <f t="shared" si="345"/>
        <v>NV</v>
      </c>
      <c r="AH140" s="159" t="str">
        <f t="shared" si="342"/>
        <v>--</v>
      </c>
      <c r="AI140" s="159" t="str">
        <f t="shared" si="343"/>
        <v>--</v>
      </c>
      <c r="AJ140" s="159" t="str">
        <f t="shared" si="344"/>
        <v>--</v>
      </c>
      <c r="AK140" s="158">
        <f t="shared" si="346"/>
        <v>7.0000000000000007E-2</v>
      </c>
      <c r="AL140" s="158">
        <f t="shared" si="347"/>
        <v>2.0000000000000002E-5</v>
      </c>
      <c r="AM140" s="158">
        <f t="shared" si="348"/>
        <v>1E-3</v>
      </c>
      <c r="AN140" s="158" t="str">
        <f t="shared" si="349"/>
        <v>--</v>
      </c>
      <c r="AO140" s="158" t="str">
        <f>VLOOKUP(A140,Table_IP_2,MATCH("mut",heading_IP_2,0),FALSE)</f>
        <v>--</v>
      </c>
      <c r="AP140" s="158">
        <f t="shared" si="350"/>
        <v>0.1</v>
      </c>
      <c r="AQ140" s="168">
        <f t="shared" si="351"/>
        <v>1</v>
      </c>
    </row>
    <row r="141" spans="1:43">
      <c r="A141" s="153" t="s">
        <v>337</v>
      </c>
      <c r="B141" s="185" t="s">
        <v>338</v>
      </c>
      <c r="C141" s="245">
        <f t="shared" ref="C141" si="352">IF(AND(H141="--", L141="--"),"--",IF(H141="--",L141,IF(L141="--",H141,MIN(H141,L141))))</f>
        <v>5.1048951048951055E-3</v>
      </c>
      <c r="D141" s="249" t="str">
        <f t="shared" ref="D141" si="353">IF(C141="--","--",IF(C141=H141,"Cancer","Noncancer"))</f>
        <v>Cancer</v>
      </c>
      <c r="E141" s="157">
        <f>IF(AK141="--","--",
IF(AO141="--",
TR*365*LT/(AK141*IFSadj*0.000001),
TR*365*LT/(AK141*IFSmadj*0.000001)))</f>
        <v>5.1048951048951055E-3</v>
      </c>
      <c r="F141" s="157" t="str">
        <f>IF(AL141="--", "--",
IF(AO141="--",
IF(AND(AG141="V",AH141&lt;&gt;"--"),(TR*365*LT)/(AL141*1000*EFr*(1/AH141+1/PEFr)*EDr*ETr*(1/24)),(TR*365*LT)/(AL141*1000*EFr*(1/PEFr)*EDr*ETr*(1/24))),
IF(AND(AG141="V",AH141&lt;&gt;"--"),(TR*365*LT)/(AL141*1000*(1/AH141+1/PEFr)*TETmadj),(TR*365*LT)/(AL141*1000*(1/PEFr)*TETmadj))))</f>
        <v>--</v>
      </c>
      <c r="G141" s="157" t="str">
        <f t="shared" ref="G141" si="354">IF(OR(AK141="--",AP141="--"),"--",
IF(AO141="--",
(TR*365*LT)/((AK141/AQ141)*DFSadj*AP141*0.000001),
(TR*365*LT)/((AK141/AQ141)*DFSmadj*AP141*0.000001)))</f>
        <v>--</v>
      </c>
      <c r="H141" s="237">
        <f t="shared" ref="H141" si="355">IF(AND(E141="--",F141="--"),G141,IF(AND(E141="--",G141="--"),F141,IF(AND(F141="--",G141="--"),E141,IF(E141="--",1/(1/F141+1/G141),IF(F141="--",1/(1/E141+1/G141),IF(G141="--",1/(1/E141+1/F141),1/(1/E141+1/F141+1/G141)))))))</f>
        <v>5.1048951048951055E-3</v>
      </c>
      <c r="I141" s="157">
        <f t="shared" ref="I141" si="356">IF(AM141="--","--",(THQ*365*EDc*BWc)/(EFr*EDc*(1/AM141)*IRSc*0.000001))</f>
        <v>312.85714285714283</v>
      </c>
      <c r="J141" s="157">
        <f t="shared" ref="J141" si="357">IF(AN141="--","--",IF(AND(AG141="V",AH141&lt;&gt;"--"),
(THQ*365*EDc)/(EFr*EDc*(1/(AN141/1000))*(1/AH141+1/PEFr)),
(THQ*365*EDc)/(EFr*EDc*(1/(AN141/1000))*1/PEFr)))</f>
        <v>4.9147740692617914</v>
      </c>
      <c r="K141" s="238" t="str">
        <f t="shared" si="225"/>
        <v>--</v>
      </c>
      <c r="L141" s="198">
        <f t="shared" ref="L141" si="358">IF(AND(I141="--",J141="--"),K141,IF(AND(I141="--",K141="--"),J141,IF(AND(J141="--",K141="--"),I141,IF(I141="--",1/(1/J141+1/K141),IF(J141="--",1/(1/I141+1/K141),IF(K141="--",1/(1/I141+1/J141),1/(1/I141+1/J141+1/K141)))))))</f>
        <v>4.8387604164962372</v>
      </c>
      <c r="M141" s="252">
        <f t="shared" ref="M141" si="359">IF(AND(R141="--", V141="--"),"--",IF(R141="--",V141,IF(V141="--",R141,MIN(R141,V141))))</f>
        <v>0.10901333333333334</v>
      </c>
      <c r="N141" s="239" t="str">
        <f t="shared" ref="N141" si="360">IF(M141="--","--",IF(M141=R141,"Cancer","Noncancer"))</f>
        <v>Cancer</v>
      </c>
      <c r="O141" s="157">
        <f t="shared" ref="O141" si="361">IF(AK141="--","--",(TR*365*LT*BWa)/(AK141*EFci*EDci*IRSci*0.000001))</f>
        <v>0.10901333333333334</v>
      </c>
      <c r="P141" s="157" t="str">
        <f t="shared" si="230"/>
        <v>--</v>
      </c>
      <c r="Q141" s="157" t="str">
        <f t="shared" ref="Q141" si="362">IF(OR(AK141="--",AP141="--"),"--",(TR*365*LT*BWa)/((AK141/AQ141)*EFci*EDci*AdFci*SAci*AP141*0.000001))</f>
        <v>--</v>
      </c>
      <c r="R141" s="240">
        <f t="shared" ref="R141" si="363">IF(AND(O141="--",P141="--"),Q141,IF(AND(O141="--",Q141="--"),P141,IF(AND(P141="--",Q141="--"),O141,IF(O141="--",1/(1/P141+1/Q141),IF(P141="--",1/(1/O141+1/Q141),IF(Q141="--",1/(1/O141+1/P141),1/(1/O141+1/P141+1/Q141)))))))</f>
        <v>0.10901333333333334</v>
      </c>
      <c r="S141" s="157">
        <f t="shared" ref="S141" si="364">IF(AM141="--","--",(THQ*EDci*365*BWa)/(EFci*EDci*(1/AM141)*IRSci*0.000001))</f>
        <v>4672</v>
      </c>
      <c r="T141" s="157">
        <f t="shared" si="234"/>
        <v>20.241200946706922</v>
      </c>
      <c r="U141" s="157" t="str">
        <f t="shared" si="235"/>
        <v>--</v>
      </c>
      <c r="V141" s="254">
        <f t="shared" ref="V141" si="365">IF(AND(S141="--",T141="--"),U141,IF(AND(S141="--",U141="--"),T141,IF(AND(T141="--",U141="--"),S141,IF(S141="--",1/(1/T141+1/U141),IF(T141="--",1/(1/S141+1/U141),IF(U141="--",1/(1/S141+1/T141),1/(1/S141+1/T141+1/U141)))))))</f>
        <v>20.153885269993136</v>
      </c>
      <c r="W141" s="256">
        <f t="shared" ref="W141" si="366">IF(AND(AB141="--", AF141="--"),"--",IF(AB141="--",AF141,IF(AF141="--",AB141,MIN(AB141,AF141))))</f>
        <v>0.82585858585858585</v>
      </c>
      <c r="X141" s="241" t="str">
        <f t="shared" ref="X141" si="367">IF(W141="--","--",IF(W141=AB141,"Cancer","Noncancer"))</f>
        <v>Cancer</v>
      </c>
      <c r="Y141" s="157">
        <f t="shared" ref="Y141" si="368">IF(AK141="--","--",(TR*365*LT*BWct)/(AK141*EFct*EDct*IRSct*0.000001))</f>
        <v>0.82585858585858585</v>
      </c>
      <c r="Z141" s="157" t="str">
        <f t="shared" si="240"/>
        <v>--</v>
      </c>
      <c r="AA141" s="157" t="str">
        <f t="shared" ref="AA141" si="369">IF(OR(AK141="--",AP141="--"),"--",(TR*365*LT*BWct)/((AK141/AQ141)*EFct*EDct*SAct*AdFct*AP141*0.000001))</f>
        <v>--</v>
      </c>
      <c r="AB141" s="242">
        <f t="shared" ref="AB141" si="370">IF(AND(Y141="--",Z141="--"),AA141,IF(AND(Y141="--",AA141="--"),Z141,IF(AND(Z141="--",AA141="--"),Y141,IF(Y141="--",1/(1/Z141+1/AA141),IF(Z141="--",1/(1/Y141+1/AA141),IF(AA141="--",1/(1/Y141+1/Z141),1/(1/Y141+1/Z141+1/AA141)))))))</f>
        <v>0.82585858585858585</v>
      </c>
      <c r="AC141" s="157">
        <f t="shared" ref="AC141" si="371">IF(AM141="--","--",(THQ*EDct*365*BWct)/(EFct*EDct*(1/AM141)*IRSct*0.000001))</f>
        <v>1415.7575757575758</v>
      </c>
      <c r="AD141" s="157">
        <f t="shared" si="244"/>
        <v>4.5569874589708084</v>
      </c>
      <c r="AE141" s="157" t="str">
        <f t="shared" ref="AE141" si="372">IF(OR(AM141="--",AP141="--"),"--",(THQ*EDct*365*BWct)/(EFct*EDct*(1/(AM141*AQ141))*SAct*AdFct*AP141*0.000001))</f>
        <v>--</v>
      </c>
      <c r="AF141" s="382">
        <f t="shared" ref="AF141" si="373">IF(AND(AC141="--",AD141="--"),AE141,IF(AND(AC141="--",AE141="--"),AD141,IF(AND(AD141="--",AE141="--"),AC141,IF(AC141="--",1/(1/AD141+1/AE141),IF(AD141="--",1/(1/AC141+1/AE141),IF(AE141="--",1/(1/AC141+1/AD141),1/(1/AC141+1/AD141+1/AE141)))))))</f>
        <v>4.5423666592979606</v>
      </c>
      <c r="AG141" s="258" t="str">
        <f t="shared" ref="AG141" si="374">VLOOKUP(A141,Table_IP_1,MATCH("volatility",heading_IP_1,0),FALSE)</f>
        <v>V</v>
      </c>
      <c r="AH141" s="159">
        <f t="shared" si="342"/>
        <v>15709.504969126343</v>
      </c>
      <c r="AI141" s="159">
        <f t="shared" si="343"/>
        <v>15404.436997395778</v>
      </c>
      <c r="AJ141" s="159">
        <f t="shared" si="344"/>
        <v>3479.5194305483819</v>
      </c>
      <c r="AK141" s="158">
        <f t="shared" ref="AK141" si="375">VLOOKUP(A141,Table_IP_2,MATCH("SFo",heading_IP_2,0),FALSE)</f>
        <v>30</v>
      </c>
      <c r="AL141" s="158" t="str">
        <f t="shared" ref="AL141" si="376">VLOOKUP(A141,Table_IP_2,MATCH("IUR",heading_IP_2,0),FALSE)</f>
        <v>--</v>
      </c>
      <c r="AM141" s="158">
        <f t="shared" ref="AM141" si="377">VLOOKUP(A141,Table_IP_2,MATCH("RfDo",heading_IP_2,0),FALSE)</f>
        <v>4.0000000000000001E-3</v>
      </c>
      <c r="AN141" s="158">
        <f t="shared" ref="AN141" si="378">VLOOKUP(A141,Table_IP_2,MATCH("RfC",heading_IP_2,0),FALSE)</f>
        <v>0.3</v>
      </c>
      <c r="AO141" s="158" t="str">
        <f t="shared" ref="AO141" si="379">VLOOKUP(A141,Table_IP_2,MATCH("mut",heading_IP_2,0),FALSE)</f>
        <v>Yes</v>
      </c>
      <c r="AP141" s="158" t="str">
        <f t="shared" ref="AP141" si="380">VLOOKUP(A141,Table_IP_2,MATCH("abs",heading_IP_2,0),FALSE)</f>
        <v>--</v>
      </c>
      <c r="AQ141" s="168">
        <f t="shared" ref="AQ141" si="381">VLOOKUP(A141,Table_IP_2,MATCH("GIABS",heading_IP_2,0),FALSE)</f>
        <v>1</v>
      </c>
    </row>
    <row r="142" spans="1:43">
      <c r="A142" s="153" t="s">
        <v>339</v>
      </c>
      <c r="B142" s="185" t="s">
        <v>340</v>
      </c>
      <c r="C142" s="245">
        <f>IF(AND(H142="--", L142="--"),"--",IF(H142="--",L142,IF(L142="--",H142,MIN(H142,L142))))</f>
        <v>389.99607175592507</v>
      </c>
      <c r="D142" s="249" t="str">
        <f>IF(C142="--","--",IF(C142=H142,"Cancer","Noncancer"))</f>
        <v>Noncancer</v>
      </c>
      <c r="E142" s="157" t="str">
        <f>IF(AK142="--","--",
IF(AO142="--",
TR*365*LT/(AK142*IFSadj*0.000001),
TR*365*LT/(AK142*IFSmadj*0.000001)))</f>
        <v>--</v>
      </c>
      <c r="F142" s="157" t="str">
        <f>IF(AL142="--", "--",
IF(AO142="--",
IF(AND(AG142="V",AH142&lt;&gt;"--"),(TR*365*LT)/(AL142*1000*EFr*(1/AH142+1/PEFr)*EDr*ETr*(1/24)),(TR*365*LT)/(AL142*1000*EFr*(1/PEFr)*EDr*ETr*(1/24))),
IF(AND(AG142="V",AH142&lt;&gt;"--"),(TR*365*LT)/(AL142*1000*(1/AH142+1/PEFr)*TETmadj),(TR*365*LT)/(AL142*1000*(1/PEFr)*TETmadj))))</f>
        <v>--</v>
      </c>
      <c r="G142" s="157" t="str">
        <f>IF(OR(AK142="--",AP142="--"),"--",
IF(AO142="--",
(TR*365*LT)/((AK142/AQ142)*DFSadj*AP142*0.000001),
(TR*365*LT)/((AK142/AQ142)*DFSmadj*AP142*0.000001)))</f>
        <v>--</v>
      </c>
      <c r="H142" s="237" t="str">
        <f>IF(AND(E142="--",F142="--"),G142,IF(AND(E142="--",G142="--"),F142,IF(AND(F142="--",G142="--"),E142,IF(E142="--",1/(1/F142+1/G142),IF(F142="--",1/(1/E142+1/G142),IF(G142="--",1/(1/E142+1/F142),1/(1/E142+1/F142+1/G142)))))))</f>
        <v>--</v>
      </c>
      <c r="I142" s="157">
        <f>IF(AM142="--","--",(THQ*365*EDc*BWc)/(EFr*EDc*(1/AM142)*IRSc*0.000001))</f>
        <v>391.07142857142856</v>
      </c>
      <c r="J142" s="157">
        <f>IF(AN142="--","--",IF(AND(AG142="V",AH142&lt;&gt;"--"),
(THQ*365*EDc)/(EFr*EDc*(1/(AN142/1000))*(1/AH142+1/PEFr)),
(THQ*365*EDc)/(EFr*EDc*(1/(AN142/1000))*1/PEFr)))</f>
        <v>141828.57142857142</v>
      </c>
      <c r="K142" s="238" t="str">
        <f t="shared" si="225"/>
        <v>--</v>
      </c>
      <c r="L142" s="198">
        <f>IF(AND(I142="--",J142="--"),K142,IF(AND(I142="--",K142="--"),J142,IF(AND(J142="--",K142="--"),I142,IF(I142="--",1/(1/J142+1/K142),IF(J142="--",1/(1/I142+1/K142),IF(K142="--",1/(1/I142+1/J142),1/(1/I142+1/J142+1/K142)))))))</f>
        <v>389.99607175592507</v>
      </c>
      <c r="M142" s="252">
        <f>IF(AND(R142="--", V142="--"),"--",IF(R142="--",V142,IF(V142="--",R142,MIN(R142,V142))))</f>
        <v>5783.3009708737864</v>
      </c>
      <c r="N142" s="239" t="str">
        <f>IF(M142="--","--",IF(M142=R142,"Cancer","Noncancer"))</f>
        <v>Noncancer</v>
      </c>
      <c r="O142" s="157" t="str">
        <f>IF(AK142="--","--",(TR*365*LT*BWa)/(AK142*EFci*EDci*IRSci*0.000001))</f>
        <v>--</v>
      </c>
      <c r="P142" s="157" t="str">
        <f t="shared" si="230"/>
        <v>--</v>
      </c>
      <c r="Q142" s="157" t="str">
        <f>IF(OR(AK142="--",AP142="--"),"--",(TR*365*LT*BWa)/((AK142/AQ142)*EFci*EDci*AdFci*SAci*AP142*0.000001))</f>
        <v>--</v>
      </c>
      <c r="R142" s="240" t="str">
        <f>IF(AND(O142="--",P142="--"),Q142,IF(AND(O142="--",Q142="--"),P142,IF(AND(P142="--",Q142="--"),O142,IF(O142="--",1/(1/P142+1/Q142),IF(P142="--",1/(1/O142+1/Q142),IF(Q142="--",1/(1/O142+1/P142),1/(1/O142+1/P142+1/Q142)))))))</f>
        <v>--</v>
      </c>
      <c r="S142" s="157">
        <f>IF(AM142="--","--",(THQ*EDci*365*BWa)/(EFci*EDci*(1/AM142)*IRSci*0.000001))</f>
        <v>5840</v>
      </c>
      <c r="T142" s="157">
        <f t="shared" si="234"/>
        <v>595680</v>
      </c>
      <c r="U142" s="157" t="str">
        <f t="shared" si="235"/>
        <v>--</v>
      </c>
      <c r="V142" s="254">
        <f>IF(AND(S142="--",T142="--"),U142,IF(AND(S142="--",U142="--"),T142,IF(AND(T142="--",U142="--"),S142,IF(S142="--",1/(1/T142+1/U142),IF(T142="--",1/(1/S142+1/U142),IF(U142="--",1/(1/S142+1/T142),1/(1/S142+1/T142+1/U142)))))))</f>
        <v>5783.3009708737864</v>
      </c>
      <c r="W142" s="256">
        <f>IF(AND(AB142="--", AF142="--"),"--",IF(AB142="--",AF142,IF(AF142="--",AB142,MIN(AB142,AF142))))</f>
        <v>365.03621391011012</v>
      </c>
      <c r="X142" s="241" t="str">
        <f>IF(W142="--","--",IF(W142=AB142,"Cancer","Noncancer"))</f>
        <v>Noncancer</v>
      </c>
      <c r="Y142" s="157" t="str">
        <f>IF(AK142="--","--",(TR*365*LT*BWct)/(AK142*EFct*EDct*IRSct*0.000001))</f>
        <v>--</v>
      </c>
      <c r="Z142" s="157" t="str">
        <f t="shared" si="240"/>
        <v>--</v>
      </c>
      <c r="AA142" s="157" t="str">
        <f>IF(OR(AK142="--",AP142="--"),"--",(TR*365*LT*BWct)/((AK142/AQ142)*EFct*EDct*SAct*AdFct*AP142*0.000001))</f>
        <v>--</v>
      </c>
      <c r="AB142" s="242" t="str">
        <f>IF(AND(Y142="--",Z142="--"),AA142,IF(AND(Y142="--",AA142="--"),Z142,IF(AND(Z142="--",AA142="--"),Y142,IF(Y142="--",1/(1/Z142+1/AA142),IF(Z142="--",1/(1/Y142+1/AA142),IF(AA142="--",1/(1/Y142+1/Z142),1/(1/Y142+1/Z142+1/AA142)))))))</f>
        <v>--</v>
      </c>
      <c r="AC142" s="157">
        <f>IF(AM142="--","--",(THQ*EDct*365*BWct)/(EFct*EDct*(1/AM142)*IRSct*0.000001))</f>
        <v>1769.6969696969697</v>
      </c>
      <c r="AD142" s="157">
        <f t="shared" si="244"/>
        <v>459.90000000000003</v>
      </c>
      <c r="AE142" s="157" t="str">
        <f>IF(OR(AM142="--",AP142="--"),"--",(THQ*EDct*365*BWct)/(EFct*EDct*(1/(AM142*AQ142))*SAct*AdFct*AP142*0.000001))</f>
        <v>--</v>
      </c>
      <c r="AF142" s="382">
        <f>IF(AND(AC142="--",AD142="--"),AE142,IF(AND(AC142="--",AE142="--"),AD142,IF(AND(AD142="--",AE142="--"),AC142,IF(AC142="--",1/(1/AD142+1/AE142),IF(AD142="--",1/(1/AC142+1/AE142),IF(AE142="--",1/(1/AC142+1/AD142),1/(1/AC142+1/AD142+1/AE142)))))))</f>
        <v>365.03621391011012</v>
      </c>
      <c r="AG142" s="258" t="str">
        <f t="shared" si="345"/>
        <v>NV</v>
      </c>
      <c r="AH142" s="159" t="str">
        <f t="shared" si="342"/>
        <v>--</v>
      </c>
      <c r="AI142" s="159" t="str">
        <f t="shared" si="343"/>
        <v>--</v>
      </c>
      <c r="AJ142" s="159" t="str">
        <f t="shared" si="344"/>
        <v>--</v>
      </c>
      <c r="AK142" s="158" t="str">
        <f t="shared" si="346"/>
        <v>--</v>
      </c>
      <c r="AL142" s="158" t="str">
        <f t="shared" si="347"/>
        <v>--</v>
      </c>
      <c r="AM142" s="158">
        <f t="shared" si="348"/>
        <v>5.0000000000000001E-3</v>
      </c>
      <c r="AN142" s="158">
        <f t="shared" si="349"/>
        <v>0.1</v>
      </c>
      <c r="AO142" s="158" t="str">
        <f>VLOOKUP(A142,Table_IP_2,MATCH("mut",heading_IP_2,0),FALSE)</f>
        <v>--</v>
      </c>
      <c r="AP142" s="158" t="str">
        <f t="shared" si="350"/>
        <v>--</v>
      </c>
      <c r="AQ142" s="168">
        <f t="shared" si="351"/>
        <v>2.5999999999999999E-2</v>
      </c>
    </row>
    <row r="143" spans="1:43">
      <c r="A143" s="896" t="s">
        <v>341</v>
      </c>
      <c r="B143" s="247" t="s">
        <v>342</v>
      </c>
      <c r="C143" s="245">
        <f>IF(AND(H143="--", L143="--"),"--",IF(H143="--",L143,IF(L143="--",H143,MIN(H143,L143))))</f>
        <v>8.2447432304591194E-3</v>
      </c>
      <c r="D143" s="250" t="str">
        <f>IF(C143="--","--",IF(C143=H143,"Cancer","Noncancer"))</f>
        <v>Cancer</v>
      </c>
      <c r="E143" s="340">
        <f>TR/((AK143*IFSadj*0.000001/365/LT)+(AK143*IRSc*0.000001/BWc))</f>
        <v>9.4023699124162793E-2</v>
      </c>
      <c r="F143" s="340">
        <f>TR/((AL143*EFr*EDr*ETr/24*1000/365/LT/AH143)+(AL143/AH143*1000))</f>
        <v>9.0371962304750721E-3</v>
      </c>
      <c r="G143" s="157" t="str">
        <f>IF(OR(AK143="--",AP143="--"),"--",
IF(AO143="--",
(TR*365*LT)/((AK143/AQ143)*DFSadj*AP143*0.000001),
(TR*365*LT)/((AK143/AQ143)*DFSmadj*AP143*0.000001)))</f>
        <v>--</v>
      </c>
      <c r="H143" s="237">
        <f>IF(AND(E143="--",F143="--"),G143,IF(AND(E143="--",G143="--"),F143,IF(AND(F143="--",G143="--"),E143,IF(E143="--",1/(1/F143+1/G143),IF(F143="--",1/(1/E143+1/G143),IF(G143="--",1/(1/E143+1/F143),1/(1/E143+1/F143+1/G143)))))))</f>
        <v>8.2447432304591194E-3</v>
      </c>
      <c r="I143" s="157">
        <f>IF(AM143="--","--",(THQ*365*EDc*BWc)/(EFr*EDc*(1/AM143)*IRSc*0.000001))</f>
        <v>234.64285714285714</v>
      </c>
      <c r="J143" s="157">
        <f>IF(AN143="--","--",IF(AND(AG143="V",AH143&lt;&gt;"--"),
(THQ*365*EDc)/(EFr*EDc*(1/(AN143/1000))*(1/AH143+1/PEFr)),
(THQ*365*EDc)/(EFr*EDc*(1/(AN143/1000))*1/PEFr)))</f>
        <v>50.843488459696701</v>
      </c>
      <c r="K143" s="238" t="str">
        <f t="shared" si="225"/>
        <v>--</v>
      </c>
      <c r="L143" s="198">
        <f>IF(AND(I143="--",J143="--"),K143,IF(AND(I143="--",K143="--"),J143,IF(AND(J143="--",K143="--"),I143,IF(I143="--",1/(1/J143+1/K143),IF(J143="--",1/(1/I143+1/K143),IF(K143="--",1/(1/I143+1/J143),1/(1/I143+1/J143+1/K143)))))))</f>
        <v>41.788553403887903</v>
      </c>
      <c r="M143" s="252">
        <f>IF(AND(R143="--", V143="--"),"--",IF(R143="--",V143,IF(V143="--",R143,MIN(R143,V143))))</f>
        <v>0.14275550945087243</v>
      </c>
      <c r="N143" s="243" t="str">
        <f>IF(M143="--","--",IF(M143=R143,"Cancer","Noncancer"))</f>
        <v>Cancer</v>
      </c>
      <c r="O143" s="157">
        <f>IF(AK143="--","--",(TR*365*LT*BWa)/(AK143*EFci*EDci*IRSci*0.000001))</f>
        <v>4.5422222222222226</v>
      </c>
      <c r="P143" s="157">
        <f t="shared" si="230"/>
        <v>0.14738769257875448</v>
      </c>
      <c r="Q143" s="157" t="str">
        <f>IF(OR(AK143="--",AP143="--"),"--",(TR*365*LT*BWa)/((AK143/AQ143)*EFci*EDci*AdFci*SAci*AP143*0.000001))</f>
        <v>--</v>
      </c>
      <c r="R143" s="240">
        <f>IF(AND(O143="--",P143="--"),Q143,IF(AND(O143="--",Q143="--"),P143,IF(AND(P143="--",Q143="--"),O143,IF(O143="--",1/(1/P143+1/Q143),IF(P143="--",1/(1/O143+1/Q143),IF(Q143="--",1/(1/O143+1/P143),1/(1/O143+1/P143+1/Q143)))))))</f>
        <v>0.14275550945087243</v>
      </c>
      <c r="S143" s="157">
        <f>IF(AM143="--","--",(THQ*EDci*365*BWa)/(EFci*EDci*(1/AM143)*IRSci*0.000001))</f>
        <v>3504.0000000000005</v>
      </c>
      <c r="T143" s="157">
        <f t="shared" si="234"/>
        <v>209.39580038510189</v>
      </c>
      <c r="U143" s="157" t="str">
        <f t="shared" si="235"/>
        <v>--</v>
      </c>
      <c r="V143" s="254">
        <f>IF(AND(S143="--",T143="--"),U143,IF(AND(S143="--",U143="--"),T143,IF(AND(T143="--",U143="--"),S143,IF(S143="--",1/(1/T143+1/U143),IF(T143="--",1/(1/S143+1/U143),IF(U143="--",1/(1/S143+1/T143),1/(1/S143+1/T143+1/U143)))))))</f>
        <v>197.58811718193508</v>
      </c>
      <c r="W143" s="256">
        <f>IF(AND(AB143="--", AF143="--"),"--",IF(AB143="--",AF143,IF(AF143="--",AB143,MIN(AB143,AF143))))</f>
        <v>0.81247543455655413</v>
      </c>
      <c r="X143" s="241" t="str">
        <f>IF(W143="--","--",IF(W143=AB143,"Cancer","Noncancer"))</f>
        <v>Cancer</v>
      </c>
      <c r="Y143" s="157">
        <f>IF(AK143="--","--",(TR*365*LT*BWct)/(AK143*EFct*EDct*IRSct*0.000001))</f>
        <v>34.410774410774415</v>
      </c>
      <c r="Z143" s="157">
        <f t="shared" si="240"/>
        <v>0.83212274861329016</v>
      </c>
      <c r="AA143" s="157" t="str">
        <f>IF(OR(AK143="--",AP143="--"),"--",(TR*365*LT*BWct)/((AK143/AQ143)*EFct*EDct*SAct*AdFct*AP143*0.000001))</f>
        <v>--</v>
      </c>
      <c r="AB143" s="242">
        <f>IF(AND(Y143="--",Z143="--"),AA143,IF(AND(Y143="--",AA143="--"),Z143,IF(AND(Z143="--",AA143="--"),Y143,IF(Y143="--",1/(1/Z143+1/AA143),IF(Z143="--",1/(1/Y143+1/AA143),IF(AA143="--",1/(1/Y143+1/Z143),1/(1/Y143+1/Z143+1/AA143)))))))</f>
        <v>0.81247543455655413</v>
      </c>
      <c r="AC143" s="157">
        <f>IF(AM143="--","--",(THQ*EDct*365*BWct)/(EFct*EDct*(1/AM143)*IRSct*0.000001))</f>
        <v>1061.8181818181818</v>
      </c>
      <c r="AD143" s="157">
        <f t="shared" si="244"/>
        <v>47.288347056909551</v>
      </c>
      <c r="AE143" s="157" t="str">
        <f>IF(OR(AM143="--",AP143="--"),"--",(THQ*EDct*365*BWct)/(EFct*EDct*(1/(AM143*AQ143))*SAct*AdFct*AP143*0.000001))</f>
        <v>--</v>
      </c>
      <c r="AF143" s="382">
        <f>IF(AND(AC143="--",AD143="--"),AE143,IF(AND(AC143="--",AE143="--"),AD143,IF(AND(AD143="--",AE143="--"),AC143,IF(AC143="--",1/(1/AD143+1/AE143),IF(AD143="--",1/(1/AC143+1/AE143),IF(AE143="--",1/(1/AC143+1/AD143),1/(1/AC143+1/AD143+1/AE143)))))))</f>
        <v>45.272140579752865</v>
      </c>
      <c r="AG143" s="258" t="str">
        <f t="shared" si="345"/>
        <v>V</v>
      </c>
      <c r="AH143" s="159">
        <f t="shared" si="342"/>
        <v>955.96204509217148</v>
      </c>
      <c r="AI143" s="159">
        <f t="shared" si="343"/>
        <v>937.39790811135538</v>
      </c>
      <c r="AJ143" s="159">
        <f t="shared" si="344"/>
        <v>211.73732191447681</v>
      </c>
      <c r="AK143" s="158">
        <f t="shared" si="346"/>
        <v>0.72</v>
      </c>
      <c r="AL143" s="158">
        <f t="shared" si="347"/>
        <v>7.7999999999999999E-5</v>
      </c>
      <c r="AM143" s="158">
        <f t="shared" si="348"/>
        <v>3.0000000000000001E-3</v>
      </c>
      <c r="AN143" s="158">
        <f t="shared" si="349"/>
        <v>51</v>
      </c>
      <c r="AO143" s="158" t="str">
        <f>VLOOKUP(A143,Table_IP_2,MATCH("mut",heading_IP_2,0),FALSE)</f>
        <v>Yes</v>
      </c>
      <c r="AP143" s="158" t="str">
        <f t="shared" si="350"/>
        <v>--</v>
      </c>
      <c r="AQ143" s="168">
        <f t="shared" si="351"/>
        <v>1</v>
      </c>
    </row>
    <row r="144" spans="1:43">
      <c r="A144" s="136" t="s">
        <v>343</v>
      </c>
      <c r="B144" s="247" t="s">
        <v>344</v>
      </c>
      <c r="C144" s="245">
        <f t="shared" ref="C144:C145" si="382">IF(AND(H144="--", L144="--"),"--",IF(H144="--",L144,IF(L144="--",H144,MIN(H144,L144))))</f>
        <v>576.35022173447896</v>
      </c>
      <c r="D144" s="250" t="str">
        <f t="shared" ref="D144:D145" si="383">IF(C144="--","--",IF(C144=H144,"Cancer","Noncancer"))</f>
        <v>Noncancer</v>
      </c>
      <c r="E144" s="157" t="str">
        <f>IF(AK144="--","--",
IF(AO144="--",
TR*365*LT/(AK144*IFSadj*0.000001),
TR*365*LT/(AK144*IFSmadj*0.000001)))</f>
        <v>--</v>
      </c>
      <c r="F144" s="157" t="str">
        <f>IF(AL144="--", "--",
IF(AO144="--",
IF(AND(AG144="V",AH144&lt;&gt;"--"),(TR*365*LT)/(AL144*1000*EFr*(1/AH144+1/PEFr)*EDr*ETr*(1/24)),(TR*365*LT)/(AL144*1000*EFr*(1/PEFr)*EDr*ETr*(1/24))),
IF(AND(AG144="V",AH144&lt;&gt;"--"),(TR*365*LT)/(AL144*1000*(1/AH144+1/PEFr)*TETmadj),(TR*365*LT)/(AL144*1000*(1/PEFr)*TETmadj))))</f>
        <v>--</v>
      </c>
      <c r="G144" s="157" t="str">
        <f>IF(OR(AK144="--",AP144="--"),"--",
IF(AO144="--",
(TR*365*LT)/((AK144/AQ144)*DFSadj*AP144*0.000001),
(TR*365*LT)/((AK144/AQ144)*DFSmadj*AP144*0.000001)))</f>
        <v>--</v>
      </c>
      <c r="H144" s="237" t="str">
        <f>IF(AND(E144="--",F144="--"),G144,IF(AND(E144="--",G144="--"),F144,IF(AND(F144="--",G144="--"),E144,IF(E144="--",1/(1/F144+1/G144),IF(F144="--",1/(1/E144+1/G144),IF(G144="--",1/(1/E144+1/F144),1/(1/E144+1/F144+1/G144)))))))</f>
        <v>--</v>
      </c>
      <c r="I144" s="157">
        <f>IF(AM144="--","--",(THQ*365*EDc*BWc)/(EFr*EDc*(1/AM144)*IRSc*0.000001))</f>
        <v>15642.857142857141</v>
      </c>
      <c r="J144" s="157">
        <f>IF(AN144="--","--",IF(AND(AG144="V",AH144&lt;&gt;"--"),
(THQ*365*EDc)/(EFr*EDc*(1/(AN144/1000))*(1/AH144+1/PEFr)),
(THQ*365*EDc)/(EFr*EDc*(1/(AN144/1000))*1/PEFr)))</f>
        <v>598.39777262550069</v>
      </c>
      <c r="K144" s="238" t="str">
        <f t="shared" si="225"/>
        <v>--</v>
      </c>
      <c r="L144" s="198">
        <f t="shared" ref="L144:L145" si="384">IF(AND(I144="--",J144="--"),K144,IF(AND(I144="--",K144="--"),J144,IF(AND(J144="--",K144="--"),I144,IF(I144="--",1/(1/J144+1/K144),IF(J144="--",1/(1/I144+1/K144),IF(K144="--",1/(1/I144+1/J144),1/(1/I144+1/J144+1/K144)))))))</f>
        <v>576.35022173447896</v>
      </c>
      <c r="M144" s="252">
        <f t="shared" ref="M144:M145" si="385">IF(AND(R144="--", V144="--"),"--",IF(R144="--",V144,IF(V144="--",R144,MIN(R144,V144))))</f>
        <v>2438.736319426459</v>
      </c>
      <c r="N144" s="243" t="str">
        <f t="shared" ref="N144:N145" si="386">IF(M144="--","--",IF(M144=R144,"Cancer","Noncancer"))</f>
        <v>Noncancer</v>
      </c>
      <c r="O144" s="157" t="str">
        <f>IF(AK144="--","--",(TR*365*LT*BWa)/(AK144*EFci*EDci*IRSci*0.000001))</f>
        <v>--</v>
      </c>
      <c r="P144" s="157" t="str">
        <f t="shared" si="230"/>
        <v>--</v>
      </c>
      <c r="Q144" s="157" t="str">
        <f>IF(OR(AK144="--",AP144="--"),"--",(TR*365*LT*BWa)/((AK144/AQ144)*EFci*EDci*AdFci*SAci*AP144*0.000001))</f>
        <v>--</v>
      </c>
      <c r="R144" s="240" t="str">
        <f t="shared" ref="R144:R145" si="387">IF(AND(O144="--",P144="--"),Q144,IF(AND(O144="--",Q144="--"),P144,IF(AND(P144="--",Q144="--"),O144,IF(O144="--",1/(1/P144+1/Q144),IF(P144="--",1/(1/O144+1/Q144),IF(Q144="--",1/(1/O144+1/P144),1/(1/O144+1/P144+1/Q144)))))))</f>
        <v>--</v>
      </c>
      <c r="S144" s="157">
        <f>IF(AM144="--","--",(THQ*EDci*365*BWa)/(EFci*EDci*(1/AM144)*IRSci*0.000001))</f>
        <v>233600</v>
      </c>
      <c r="T144" s="157">
        <f t="shared" si="234"/>
        <v>2464.4648292165252</v>
      </c>
      <c r="U144" s="157" t="str">
        <f t="shared" si="235"/>
        <v>--</v>
      </c>
      <c r="V144" s="254">
        <f t="shared" ref="V144:V145" si="388">IF(AND(S144="--",T144="--"),U144,IF(AND(S144="--",U144="--"),T144,IF(AND(T144="--",U144="--"),S144,IF(S144="--",1/(1/T144+1/U144),IF(T144="--",1/(1/S144+1/U144),IF(U144="--",1/(1/S144+1/T144),1/(1/S144+1/T144+1/U144)))))))</f>
        <v>2438.736319426459</v>
      </c>
      <c r="W144" s="256">
        <f t="shared" ref="W144:W145" si="389">IF(AND(AB144="--", AF144="--"),"--",IF(AB144="--",AF144,IF(AF144="--",AB144,MIN(AB144,AF144))))</f>
        <v>551.66406798924208</v>
      </c>
      <c r="X144" s="241" t="str">
        <f t="shared" ref="X144:X145" si="390">IF(W144="--","--",IF(W144=AB144,"Cancer","Noncancer"))</f>
        <v>Noncancer</v>
      </c>
      <c r="Y144" s="157" t="str">
        <f>IF(AK144="--","--",(TR*365*LT*BWct)/(AK144*EFct*EDct*IRSct*0.000001))</f>
        <v>--</v>
      </c>
      <c r="Z144" s="157" t="str">
        <f t="shared" si="240"/>
        <v>--</v>
      </c>
      <c r="AA144" s="157" t="str">
        <f>IF(OR(AK144="--",AP144="--"),"--",(TR*365*LT*BWct)/((AK144/AQ144)*EFct*EDct*SAct*AdFct*AP144*0.000001))</f>
        <v>--</v>
      </c>
      <c r="AB144" s="242" t="str">
        <f t="shared" ref="AB144:AB145" si="391">IF(AND(Y144="--",Z144="--"),AA144,IF(AND(Y144="--",AA144="--"),Z144,IF(AND(Z144="--",AA144="--"),Y144,IF(Y144="--",1/(1/Z144+1/AA144),IF(Z144="--",1/(1/Y144+1/AA144),IF(AA144="--",1/(1/Y144+1/Z144),1/(1/Y144+1/Z144+1/AA144)))))))</f>
        <v>--</v>
      </c>
      <c r="AC144" s="157">
        <f>IF(AM144="--","--",(THQ*EDct*365*BWct)/(EFct*EDct*(1/AM144)*IRSct*0.000001))</f>
        <v>70787.878787878799</v>
      </c>
      <c r="AD144" s="157">
        <f t="shared" si="244"/>
        <v>555.99706408141697</v>
      </c>
      <c r="AE144" s="157" t="str">
        <f>IF(OR(AM144="--",AP144="--"),"--",(THQ*EDct*365*BWct)/(EFct*EDct*(1/(AM144*AQ144))*SAct*AdFct*AP144*0.000001))</f>
        <v>--</v>
      </c>
      <c r="AF144" s="382">
        <f t="shared" ref="AF144:AF145" si="392">IF(AND(AC144="--",AD144="--"),AE144,IF(AND(AC144="--",AE144="--"),AD144,IF(AND(AD144="--",AE144="--"),AC144,IF(AC144="--",1/(1/AD144+1/AE144),IF(AD144="--",1/(1/AC144+1/AE144),IF(AE144="--",1/(1/AC144+1/AD144),1/(1/AC144+1/AD144+1/AE144)))))))</f>
        <v>551.66406798924208</v>
      </c>
      <c r="AG144" s="258" t="str">
        <f t="shared" ref="AG144:AG145" si="393">VLOOKUP(A144,Table_IP_1,MATCH("volatility",heading_IP_1,0),FALSE)</f>
        <v>V</v>
      </c>
      <c r="AH144" s="159">
        <f t="shared" si="342"/>
        <v>5738.0850433077449</v>
      </c>
      <c r="AI144" s="159">
        <f t="shared" si="343"/>
        <v>5626.6553089386725</v>
      </c>
      <c r="AJ144" s="159">
        <f t="shared" si="344"/>
        <v>1270.9361906417034</v>
      </c>
      <c r="AK144" s="158" t="str">
        <f t="shared" ref="AK144:AK145" si="394">VLOOKUP(A144,Table_IP_2,MATCH("SFo",heading_IP_2,0),FALSE)</f>
        <v>--</v>
      </c>
      <c r="AL144" s="158" t="str">
        <f t="shared" ref="AL144:AL145" si="395">VLOOKUP(A144,Table_IP_2,MATCH("IUR",heading_IP_2,0),FALSE)</f>
        <v>--</v>
      </c>
      <c r="AM144" s="158">
        <f t="shared" ref="AM144:AM145" si="396">VLOOKUP(A144,Table_IP_2,MATCH("RfDo",heading_IP_2,0),FALSE)</f>
        <v>0.2</v>
      </c>
      <c r="AN144" s="158">
        <f t="shared" ref="AN144:AN145" si="397">VLOOKUP(A144,Table_IP_2,MATCH("RfC",heading_IP_2,0),FALSE)</f>
        <v>100</v>
      </c>
      <c r="AO144" s="158" t="str">
        <f>VLOOKUP(A144,Table_IP_2,MATCH("mut",heading_IP_2,0),FALSE)</f>
        <v>--</v>
      </c>
      <c r="AP144" s="158" t="str">
        <f t="shared" ref="AP144:AP145" si="398">VLOOKUP(A144,Table_IP_2,MATCH("abs",heading_IP_2,0),FALSE)</f>
        <v>--</v>
      </c>
      <c r="AQ144" s="168">
        <f t="shared" ref="AQ144:AQ145" si="399">VLOOKUP(A144,Table_IP_2,MATCH("GIABS",heading_IP_2,0),FALSE)</f>
        <v>1</v>
      </c>
    </row>
    <row r="145" spans="1:43" ht="13.5" thickBot="1">
      <c r="A145" s="2" t="s">
        <v>345</v>
      </c>
      <c r="B145" s="247" t="s">
        <v>346</v>
      </c>
      <c r="C145" s="1809">
        <f t="shared" si="382"/>
        <v>23464.285714285717</v>
      </c>
      <c r="D145" s="250" t="str">
        <f t="shared" si="383"/>
        <v>Noncancer</v>
      </c>
      <c r="E145" s="170" t="str">
        <f>IF(AK145="--","--",
IF(AO145="--",
TR*365*LT/(AK145*IFSadj*0.000001),
TR*365*LT/(AK145*IFSmadj*0.000001)))</f>
        <v>--</v>
      </c>
      <c r="F145" s="170" t="str">
        <f>IF(AL145="--", "--",
IF(AO145="--",
IF(AND(AG145="V",AH145&lt;&gt;"--"),(TR*365*LT)/(AL145*1000*EFr*(1/AH145+1/PEFr)*EDr*ETr*(1/24)),(TR*365*LT)/(AL145*1000*EFr*(1/PEFr)*EDr*ETr*(1/24))),
IF(AND(AG145="V",AH145&lt;&gt;"--"),(TR*365*LT)/(AL145*1000*(1/AH145+1/PEFr)*TETmadj),(TR*365*LT)/(AL145*1000*(1/PEFr)*TETmadj))))</f>
        <v>--</v>
      </c>
      <c r="G145" s="170" t="str">
        <f>IF(OR(AK145="--",AP145="--"),"--",
IF(AO145="--",
(TR*365*LT)/((AK145/AQ145)*DFSadj*AP145*0.000001),
(TR*365*LT)/((AK145/AQ145)*DFSmadj*AP145*0.000001)))</f>
        <v>--</v>
      </c>
      <c r="H145" s="1810" t="str">
        <f>IF(AND(E145="--",F145="--"),G145,IF(AND(E145="--",G145="--"),F145,IF(AND(F145="--",G145="--"),E145,IF(E145="--",1/(1/F145+1/G145),IF(F145="--",1/(1/E145+1/G145),IF(G145="--",1/(1/E145+1/F145),1/(1/E145+1/F145+1/G145)))))))</f>
        <v>--</v>
      </c>
      <c r="I145" s="170">
        <f>IF(AM145="--","--",(THQ*365*EDc*BWc)/(EFr*EDc*(1/AM145)*IRSc*0.000001))</f>
        <v>23464.285714285717</v>
      </c>
      <c r="J145" s="170" t="str">
        <f>IF(AN145="--","--",IF(AND(AG145="V",AH145&lt;&gt;"--"),
(THQ*365*EDc)/(EFr*EDc*(1/(AN145/1000))*(1/AH145+1/PEFr)),
(THQ*365*EDc)/(EFr*EDc*(1/(AN145/1000))*1/PEFr)))</f>
        <v>--</v>
      </c>
      <c r="K145" s="238" t="str">
        <f t="shared" si="225"/>
        <v>--</v>
      </c>
      <c r="L145" s="1811">
        <f t="shared" si="384"/>
        <v>23464.285714285717</v>
      </c>
      <c r="M145" s="1812">
        <f t="shared" si="385"/>
        <v>350400</v>
      </c>
      <c r="N145" s="243" t="str">
        <f t="shared" si="386"/>
        <v>Noncancer</v>
      </c>
      <c r="O145" s="170" t="str">
        <f>IF(AK145="--","--",(TR*365*LT*BWa)/(AK145*EFci*EDci*IRSci*0.000001))</f>
        <v>--</v>
      </c>
      <c r="P145" s="157" t="str">
        <f t="shared" si="230"/>
        <v>--</v>
      </c>
      <c r="Q145" s="170" t="str">
        <f>IF(OR(AK145="--",AP145="--"),"--",(TR*365*LT*BWa)/((AK145/AQ145)*EFci*EDci*AdFci*SAci*AP145*0.000001))</f>
        <v>--</v>
      </c>
      <c r="R145" s="1813" t="str">
        <f t="shared" si="387"/>
        <v>--</v>
      </c>
      <c r="S145" s="170">
        <f>IF(AM145="--","--",(THQ*EDci*365*BWa)/(EFci*EDci*(1/AM145)*IRSci*0.000001))</f>
        <v>350400</v>
      </c>
      <c r="T145" s="157" t="str">
        <f t="shared" si="234"/>
        <v>--</v>
      </c>
      <c r="U145" s="157" t="str">
        <f t="shared" si="235"/>
        <v>--</v>
      </c>
      <c r="V145" s="1814">
        <f t="shared" si="388"/>
        <v>350400</v>
      </c>
      <c r="W145" s="1815">
        <f t="shared" si="389"/>
        <v>106181.81818181819</v>
      </c>
      <c r="X145" s="1816" t="str">
        <f t="shared" si="390"/>
        <v>Noncancer</v>
      </c>
      <c r="Y145" s="170" t="str">
        <f>IF(AK145="--","--",(TR*365*LT*BWct)/(AK145*EFct*EDct*IRSct*0.000001))</f>
        <v>--</v>
      </c>
      <c r="Z145" s="157" t="str">
        <f t="shared" si="240"/>
        <v>--</v>
      </c>
      <c r="AA145" s="170" t="str">
        <f>IF(OR(AK145="--",AP145="--"),"--",(TR*365*LT*BWct)/((AK145/AQ145)*EFct*EDct*SAct*AdFct*AP145*0.000001))</f>
        <v>--</v>
      </c>
      <c r="AB145" s="1817" t="str">
        <f t="shared" si="391"/>
        <v>--</v>
      </c>
      <c r="AC145" s="170">
        <f>IF(AM145="--","--",(THQ*EDct*365*BWct)/(EFct*EDct*(1/AM145)*IRSct*0.000001))</f>
        <v>106181.81818181819</v>
      </c>
      <c r="AD145" s="157" t="str">
        <f t="shared" si="244"/>
        <v>--</v>
      </c>
      <c r="AE145" s="170" t="str">
        <f>IF(OR(AM145="--",AP145="--"),"--",(THQ*EDct*365*BWct)/(EFct*EDct*(1/(AM145*AQ145))*SAct*AdFct*AP145*0.000001))</f>
        <v>--</v>
      </c>
      <c r="AF145" s="1807">
        <f t="shared" si="392"/>
        <v>106181.81818181819</v>
      </c>
      <c r="AG145" s="1808" t="str">
        <f t="shared" si="393"/>
        <v>NV</v>
      </c>
      <c r="AH145" s="1818" t="str">
        <f t="shared" si="342"/>
        <v>--</v>
      </c>
      <c r="AI145" s="1818" t="str">
        <f t="shared" si="343"/>
        <v>--</v>
      </c>
      <c r="AJ145" s="1818" t="str">
        <f t="shared" si="344"/>
        <v>--</v>
      </c>
      <c r="AK145" s="589" t="str">
        <f t="shared" si="394"/>
        <v>--</v>
      </c>
      <c r="AL145" s="589" t="str">
        <f t="shared" si="395"/>
        <v>--</v>
      </c>
      <c r="AM145" s="589">
        <f t="shared" si="396"/>
        <v>0.3</v>
      </c>
      <c r="AN145" s="589" t="str">
        <f t="shared" si="397"/>
        <v>--</v>
      </c>
      <c r="AO145" s="589" t="str">
        <f>VLOOKUP(A145,Table_IP_2,MATCH("mut",heading_IP_2,0),FALSE)</f>
        <v>--</v>
      </c>
      <c r="AP145" s="589" t="str">
        <f t="shared" si="398"/>
        <v>--</v>
      </c>
      <c r="AQ145" s="1819">
        <f t="shared" si="399"/>
        <v>1</v>
      </c>
    </row>
    <row r="146" spans="1:43" ht="13.5" thickTop="1">
      <c r="A146" s="29" t="s">
        <v>347</v>
      </c>
      <c r="B146" s="2057"/>
      <c r="C146" s="259"/>
      <c r="D146" s="260"/>
      <c r="E146" s="2057"/>
      <c r="F146" s="2057"/>
      <c r="G146" s="2057"/>
      <c r="H146" s="2057"/>
      <c r="I146" s="2057"/>
      <c r="J146" s="2058"/>
      <c r="K146" s="2057"/>
      <c r="L146" s="2057"/>
      <c r="M146" s="2057"/>
      <c r="N146" s="2057"/>
      <c r="O146" s="2057"/>
      <c r="P146" s="2057"/>
      <c r="Q146" s="2057"/>
      <c r="R146" s="2057"/>
      <c r="S146" s="2057"/>
      <c r="T146" s="2057"/>
      <c r="U146" s="2057"/>
      <c r="V146" s="2057"/>
      <c r="W146" s="2057"/>
      <c r="X146" s="2057"/>
      <c r="Y146" s="2057"/>
      <c r="Z146" s="2057"/>
      <c r="AA146" s="2057"/>
      <c r="AB146" s="2057"/>
      <c r="AC146" s="2057"/>
      <c r="AD146" s="2057"/>
      <c r="AE146" s="2057"/>
      <c r="AF146" s="2057"/>
      <c r="AG146" s="19"/>
      <c r="AH146" s="19"/>
      <c r="AI146" s="19"/>
      <c r="AJ146" s="19"/>
      <c r="AK146" s="2059"/>
      <c r="AL146" s="2059"/>
      <c r="AM146" s="2059"/>
      <c r="AN146" s="2059"/>
      <c r="AO146" s="2059"/>
      <c r="AP146" s="2057"/>
      <c r="AQ146" s="2060"/>
    </row>
    <row r="147" spans="1:43">
      <c r="A147" s="2" t="s">
        <v>891</v>
      </c>
      <c r="B147" s="55"/>
      <c r="C147" s="1820"/>
      <c r="D147" s="1821"/>
      <c r="E147" s="55"/>
      <c r="F147" s="55"/>
      <c r="G147" s="55"/>
      <c r="H147" s="55"/>
      <c r="I147" s="55"/>
      <c r="J147" s="2061"/>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4"/>
      <c r="AH147" s="4"/>
      <c r="AI147" s="4"/>
      <c r="AJ147" s="4"/>
      <c r="AK147" s="349"/>
      <c r="AL147" s="349"/>
      <c r="AM147" s="349"/>
      <c r="AN147" s="349"/>
      <c r="AO147" s="349"/>
      <c r="AP147" s="55"/>
      <c r="AQ147" s="608"/>
    </row>
    <row r="148" spans="1:43">
      <c r="A148" s="26" t="s">
        <v>892</v>
      </c>
      <c r="B148" s="31"/>
      <c r="C148" s="11"/>
      <c r="E148" s="55"/>
      <c r="F148" s="55"/>
      <c r="G148" s="55"/>
      <c r="H148" s="55"/>
      <c r="I148" s="55"/>
      <c r="J148" s="2061"/>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4"/>
      <c r="AH148" s="4"/>
      <c r="AI148" s="4"/>
      <c r="AJ148" s="4"/>
      <c r="AK148" s="349"/>
      <c r="AL148" s="349"/>
      <c r="AM148" s="349"/>
      <c r="AN148" s="349"/>
      <c r="AO148" s="349"/>
      <c r="AP148" s="55"/>
      <c r="AQ148" s="608"/>
    </row>
    <row r="149" spans="1:43">
      <c r="A149" s="2" t="s">
        <v>893</v>
      </c>
      <c r="B149" s="55"/>
      <c r="C149" s="1820"/>
      <c r="D149" s="1821"/>
      <c r="E149" s="55"/>
      <c r="F149" s="55"/>
      <c r="G149" s="55"/>
      <c r="H149" s="55"/>
      <c r="I149" s="55"/>
      <c r="J149" s="2061"/>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4"/>
      <c r="AH149" s="4"/>
      <c r="AI149" s="4"/>
      <c r="AJ149" s="4"/>
      <c r="AK149" s="349"/>
      <c r="AL149" s="349"/>
      <c r="AM149" s="349"/>
      <c r="AN149" s="349"/>
      <c r="AO149" s="349"/>
      <c r="AP149" s="55"/>
      <c r="AQ149" s="608"/>
    </row>
    <row r="150" spans="1:43">
      <c r="A150" s="909" t="s">
        <v>894</v>
      </c>
      <c r="B150" s="1137"/>
      <c r="C150" s="1822"/>
      <c r="D150" s="1823"/>
      <c r="E150" s="1137"/>
      <c r="F150" s="1137"/>
      <c r="G150" s="1137"/>
      <c r="H150" s="1137"/>
      <c r="I150" s="1137"/>
      <c r="J150" s="2062"/>
      <c r="K150" s="1137"/>
      <c r="L150" s="1137"/>
      <c r="M150" s="1137"/>
      <c r="N150" s="1137"/>
      <c r="O150" s="1137"/>
      <c r="P150" s="1137"/>
      <c r="Q150" s="1137"/>
      <c r="R150" s="1137"/>
      <c r="S150" s="1137"/>
      <c r="T150" s="1137"/>
      <c r="U150" s="1137"/>
      <c r="V150" s="1137"/>
      <c r="W150" s="1137"/>
      <c r="X150" s="1137"/>
      <c r="Y150" s="1137"/>
      <c r="Z150" s="1137"/>
      <c r="AA150" s="1137"/>
      <c r="AB150" s="1137"/>
      <c r="AC150" s="1137"/>
      <c r="AD150" s="1137"/>
      <c r="AE150" s="1137"/>
      <c r="AF150" s="1137"/>
      <c r="AG150" s="1167"/>
      <c r="AH150" s="1167"/>
      <c r="AI150" s="1167"/>
      <c r="AJ150" s="1167"/>
      <c r="AK150" s="2063"/>
      <c r="AL150" s="2063"/>
      <c r="AM150" s="2063"/>
      <c r="AN150" s="2063"/>
      <c r="AO150" s="2063"/>
      <c r="AP150" s="1137"/>
      <c r="AQ150" s="1153"/>
    </row>
    <row r="151" spans="1:43">
      <c r="A151" s="909" t="s">
        <v>895</v>
      </c>
      <c r="B151" s="1137"/>
      <c r="C151" s="1822"/>
      <c r="D151" s="1823"/>
      <c r="E151" s="1137"/>
      <c r="F151" s="1137"/>
      <c r="G151" s="1137"/>
      <c r="H151" s="1137"/>
      <c r="I151" s="1137"/>
      <c r="J151" s="2062"/>
      <c r="K151" s="1137"/>
      <c r="L151" s="1137"/>
      <c r="M151" s="1137"/>
      <c r="N151" s="1137"/>
      <c r="O151" s="1137"/>
      <c r="P151" s="1137"/>
      <c r="Q151" s="1137"/>
      <c r="R151" s="1137"/>
      <c r="S151" s="1137"/>
      <c r="T151" s="1137"/>
      <c r="U151" s="1137"/>
      <c r="V151" s="1137"/>
      <c r="W151" s="1137"/>
      <c r="X151" s="1137"/>
      <c r="Y151" s="1137"/>
      <c r="Z151" s="1137"/>
      <c r="AA151" s="1137"/>
      <c r="AB151" s="1137"/>
      <c r="AC151" s="1137"/>
      <c r="AD151" s="1137"/>
      <c r="AE151" s="1137"/>
      <c r="AF151" s="1137"/>
      <c r="AG151" s="1167"/>
      <c r="AH151" s="1167"/>
      <c r="AI151" s="1167"/>
      <c r="AJ151" s="1167"/>
      <c r="AK151" s="2063"/>
      <c r="AL151" s="2063"/>
      <c r="AM151" s="2063"/>
      <c r="AN151" s="2063"/>
      <c r="AO151" s="2063"/>
      <c r="AP151" s="1137"/>
      <c r="AQ151" s="1153"/>
    </row>
    <row r="152" spans="1:43">
      <c r="A152" s="909" t="s">
        <v>4307</v>
      </c>
      <c r="B152" s="2022"/>
      <c r="C152" s="1159"/>
      <c r="D152" s="565"/>
      <c r="E152" s="1137"/>
      <c r="F152" s="1137"/>
      <c r="G152" s="1137"/>
      <c r="H152" s="1137"/>
      <c r="I152" s="1137"/>
      <c r="J152" s="2062"/>
      <c r="K152" s="1137"/>
      <c r="L152" s="1137"/>
      <c r="M152" s="1137"/>
      <c r="N152" s="1137"/>
      <c r="O152" s="1137"/>
      <c r="P152" s="1137"/>
      <c r="Q152" s="1137"/>
      <c r="R152" s="1137"/>
      <c r="S152" s="1137"/>
      <c r="T152" s="1137"/>
      <c r="U152" s="1137"/>
      <c r="V152" s="1137"/>
      <c r="W152" s="1137"/>
      <c r="X152" s="1137"/>
      <c r="Y152" s="1137"/>
      <c r="Z152" s="1137"/>
      <c r="AA152" s="1137"/>
      <c r="AB152" s="1137"/>
      <c r="AC152" s="1137"/>
      <c r="AD152" s="1137"/>
      <c r="AE152" s="1137"/>
      <c r="AF152" s="1137"/>
      <c r="AG152" s="1167"/>
      <c r="AH152" s="1167"/>
      <c r="AI152" s="1167"/>
      <c r="AJ152" s="1167"/>
      <c r="AK152" s="2063"/>
      <c r="AL152" s="2063"/>
      <c r="AM152" s="2063"/>
      <c r="AN152" s="2063"/>
      <c r="AO152" s="2063"/>
      <c r="AP152" s="1137"/>
      <c r="AQ152" s="1153"/>
    </row>
    <row r="153" spans="1:43">
      <c r="A153" s="909" t="s">
        <v>441</v>
      </c>
      <c r="B153" s="2022"/>
      <c r="C153" s="1159"/>
      <c r="D153" s="565"/>
      <c r="E153" s="1137"/>
      <c r="F153" s="1137"/>
      <c r="G153" s="1137"/>
      <c r="H153" s="1137"/>
      <c r="I153" s="1137"/>
      <c r="J153" s="2062"/>
      <c r="K153" s="1137"/>
      <c r="L153" s="1137"/>
      <c r="M153" s="1137"/>
      <c r="N153" s="1137"/>
      <c r="O153" s="1137"/>
      <c r="P153" s="1137"/>
      <c r="Q153" s="1137"/>
      <c r="R153" s="1137"/>
      <c r="S153" s="1137"/>
      <c r="T153" s="1137"/>
      <c r="U153" s="1137"/>
      <c r="V153" s="1137"/>
      <c r="W153" s="1137"/>
      <c r="X153" s="1137"/>
      <c r="Y153" s="1137"/>
      <c r="Z153" s="1137"/>
      <c r="AA153" s="1137"/>
      <c r="AB153" s="1137"/>
      <c r="AC153" s="1137"/>
      <c r="AD153" s="1137"/>
      <c r="AE153" s="1137"/>
      <c r="AF153" s="1137"/>
      <c r="AG153" s="1167"/>
      <c r="AH153" s="1167"/>
      <c r="AI153" s="1167"/>
      <c r="AJ153" s="1167"/>
      <c r="AK153" s="2063"/>
      <c r="AL153" s="2063"/>
      <c r="AM153" s="2063"/>
      <c r="AN153" s="2063"/>
      <c r="AO153" s="2063"/>
      <c r="AP153" s="1137"/>
      <c r="AQ153" s="1153"/>
    </row>
    <row r="154" spans="1:43">
      <c r="A154" s="595" t="s">
        <v>726</v>
      </c>
      <c r="B154" s="2022"/>
      <c r="C154" s="1159"/>
      <c r="D154" s="565"/>
      <c r="E154" s="1137"/>
      <c r="F154" s="1137"/>
      <c r="G154" s="1137"/>
      <c r="H154" s="1137"/>
      <c r="I154" s="1137"/>
      <c r="J154" s="2062"/>
      <c r="K154" s="1137"/>
      <c r="L154" s="1137"/>
      <c r="M154" s="1137"/>
      <c r="N154" s="1137"/>
      <c r="O154" s="1137"/>
      <c r="P154" s="1137"/>
      <c r="Q154" s="1137"/>
      <c r="R154" s="1137"/>
      <c r="S154" s="1137"/>
      <c r="T154" s="1137"/>
      <c r="U154" s="1137"/>
      <c r="V154" s="1137"/>
      <c r="W154" s="1137"/>
      <c r="X154" s="1137"/>
      <c r="Y154" s="1137"/>
      <c r="Z154" s="1137"/>
      <c r="AA154" s="1137"/>
      <c r="AB154" s="1137"/>
      <c r="AC154" s="1137"/>
      <c r="AD154" s="1137"/>
      <c r="AE154" s="1137"/>
      <c r="AF154" s="1137"/>
      <c r="AG154" s="1167"/>
      <c r="AH154" s="1167"/>
      <c r="AI154" s="1167"/>
      <c r="AJ154" s="1167"/>
      <c r="AK154" s="2063"/>
      <c r="AL154" s="2063"/>
      <c r="AM154" s="2063"/>
      <c r="AN154" s="2063"/>
      <c r="AO154" s="2063"/>
      <c r="AP154" s="1137"/>
      <c r="AQ154" s="1153"/>
    </row>
    <row r="155" spans="1:43">
      <c r="A155" s="909" t="s">
        <v>727</v>
      </c>
      <c r="B155" s="565"/>
      <c r="C155" s="2064"/>
      <c r="D155" s="565"/>
      <c r="E155" s="1137"/>
      <c r="F155" s="1137"/>
      <c r="G155" s="1137"/>
      <c r="H155" s="1137"/>
      <c r="I155" s="1137"/>
      <c r="J155" s="2062"/>
      <c r="K155" s="1137"/>
      <c r="L155" s="1137"/>
      <c r="M155" s="1137"/>
      <c r="N155" s="1137"/>
      <c r="O155" s="1137"/>
      <c r="P155" s="1137"/>
      <c r="Q155" s="1137"/>
      <c r="R155" s="1137"/>
      <c r="S155" s="1137"/>
      <c r="T155" s="1137"/>
      <c r="U155" s="1137"/>
      <c r="V155" s="1137"/>
      <c r="W155" s="1137"/>
      <c r="X155" s="1137"/>
      <c r="Y155" s="1137"/>
      <c r="Z155" s="1137"/>
      <c r="AA155" s="1137"/>
      <c r="AB155" s="1137"/>
      <c r="AC155" s="1137"/>
      <c r="AD155" s="1137"/>
      <c r="AE155" s="1137"/>
      <c r="AF155" s="1137"/>
      <c r="AG155" s="1137"/>
      <c r="AH155" s="1137"/>
      <c r="AI155" s="1137"/>
      <c r="AJ155" s="1137"/>
      <c r="AK155" s="2063"/>
      <c r="AL155" s="2063"/>
      <c r="AM155" s="2063"/>
      <c r="AN155" s="2063"/>
      <c r="AO155" s="2063"/>
      <c r="AP155" s="1137"/>
      <c r="AQ155" s="1153"/>
    </row>
    <row r="156" spans="1:43">
      <c r="A156" s="2115" t="s">
        <v>4291</v>
      </c>
      <c r="B156" s="2116"/>
      <c r="C156" s="2117"/>
      <c r="D156" s="2116"/>
      <c r="E156" s="2118"/>
      <c r="F156" s="2118"/>
      <c r="G156" s="2118"/>
      <c r="H156" s="2118"/>
      <c r="I156" s="2118"/>
      <c r="J156" s="2119"/>
      <c r="K156" s="2118"/>
      <c r="L156" s="2118"/>
      <c r="M156" s="2118"/>
      <c r="N156" s="2118"/>
      <c r="O156" s="2118"/>
      <c r="P156" s="2118"/>
      <c r="Q156" s="2118"/>
      <c r="R156" s="2118"/>
      <c r="S156" s="2118"/>
      <c r="T156" s="2118"/>
      <c r="U156" s="2118"/>
      <c r="V156" s="2118"/>
      <c r="W156" s="2118"/>
      <c r="X156" s="2118"/>
      <c r="Y156" s="2118"/>
      <c r="Z156" s="2118"/>
      <c r="AA156" s="2118"/>
      <c r="AB156" s="2118"/>
      <c r="AC156" s="2118"/>
      <c r="AD156" s="2118"/>
      <c r="AE156" s="2118"/>
      <c r="AF156" s="2118"/>
      <c r="AG156" s="2118"/>
      <c r="AH156" s="2118"/>
      <c r="AI156" s="2118"/>
      <c r="AJ156" s="2118"/>
      <c r="AK156" s="2120"/>
      <c r="AL156" s="2120"/>
      <c r="AM156" s="2120"/>
      <c r="AN156" s="2120"/>
      <c r="AO156" s="2120"/>
      <c r="AP156" s="2118"/>
      <c r="AQ156" s="2121"/>
    </row>
    <row r="157" spans="1:43">
      <c r="A157" s="1132" t="s">
        <v>348</v>
      </c>
      <c r="B157" s="55"/>
      <c r="C157" s="1820"/>
      <c r="D157" s="1821"/>
      <c r="E157" s="55"/>
      <c r="F157" s="55"/>
      <c r="G157" s="55"/>
      <c r="H157" s="55"/>
      <c r="I157" s="55"/>
      <c r="J157" s="2061"/>
      <c r="K157" s="55"/>
      <c r="L157" s="55"/>
      <c r="M157" s="55"/>
      <c r="N157" s="55"/>
      <c r="O157" s="55"/>
      <c r="P157" s="55"/>
      <c r="Q157" s="55"/>
      <c r="R157" s="55"/>
      <c r="S157" s="55"/>
      <c r="T157" s="55"/>
      <c r="U157" s="55"/>
      <c r="V157" s="55"/>
      <c r="W157" s="55"/>
      <c r="X157" s="55"/>
      <c r="Y157" s="55"/>
      <c r="Z157" s="55"/>
      <c r="AA157" s="55"/>
      <c r="AB157" s="55"/>
      <c r="AC157" s="55"/>
      <c r="AD157" s="55"/>
      <c r="AE157" s="55"/>
      <c r="AF157" s="55"/>
      <c r="AG157" s="4"/>
      <c r="AH157" s="4"/>
      <c r="AI157" s="4"/>
      <c r="AJ157" s="4"/>
      <c r="AK157" s="349"/>
      <c r="AL157" s="349"/>
      <c r="AM157" s="349"/>
      <c r="AN157" s="349"/>
      <c r="AO157" s="349"/>
      <c r="AP157" s="55"/>
      <c r="AQ157" s="608"/>
    </row>
    <row r="158" spans="1:43">
      <c r="A158" s="1133" t="s">
        <v>349</v>
      </c>
      <c r="B158" s="55"/>
      <c r="C158" s="1820"/>
      <c r="D158" s="1821"/>
      <c r="E158" s="55"/>
      <c r="F158" s="55"/>
      <c r="G158" s="55"/>
      <c r="H158" s="55"/>
      <c r="I158" s="55"/>
      <c r="J158" s="2061"/>
      <c r="K158" s="55"/>
      <c r="L158" s="55"/>
      <c r="M158" s="55"/>
      <c r="N158" s="55"/>
      <c r="O158" s="55"/>
      <c r="P158" s="55"/>
      <c r="Q158" s="55"/>
      <c r="R158" s="55"/>
      <c r="S158" s="55"/>
      <c r="T158" s="55"/>
      <c r="U158" s="55"/>
      <c r="V158" s="55"/>
      <c r="W158" s="55"/>
      <c r="X158" s="55"/>
      <c r="Y158" s="55"/>
      <c r="Z158" s="55"/>
      <c r="AA158" s="55"/>
      <c r="AB158" s="55"/>
      <c r="AC158" s="55"/>
      <c r="AD158" s="55"/>
      <c r="AE158" s="55"/>
      <c r="AF158" s="55"/>
      <c r="AG158" s="4"/>
      <c r="AH158" s="4"/>
      <c r="AI158" s="4"/>
      <c r="AJ158" s="4"/>
      <c r="AK158" s="349"/>
      <c r="AL158" s="349"/>
      <c r="AM158" s="349"/>
      <c r="AN158" s="349"/>
      <c r="AO158" s="349"/>
      <c r="AP158" s="55"/>
      <c r="AQ158" s="608"/>
    </row>
    <row r="159" spans="1:43">
      <c r="A159" s="1133" t="s">
        <v>350</v>
      </c>
      <c r="B159" s="55"/>
      <c r="C159" s="1820"/>
      <c r="D159" s="1821"/>
      <c r="E159" s="55"/>
      <c r="F159" s="55"/>
      <c r="G159" s="55"/>
      <c r="H159" s="55"/>
      <c r="I159" s="55"/>
      <c r="J159" s="2061"/>
      <c r="K159" s="55"/>
      <c r="L159" s="55"/>
      <c r="M159" s="55"/>
      <c r="N159" s="55"/>
      <c r="O159" s="55"/>
      <c r="P159" s="55"/>
      <c r="Q159" s="55"/>
      <c r="R159" s="55"/>
      <c r="S159" s="55"/>
      <c r="T159" s="55"/>
      <c r="U159" s="55"/>
      <c r="V159" s="55"/>
      <c r="W159" s="55"/>
      <c r="X159" s="55"/>
      <c r="Y159" s="55"/>
      <c r="Z159" s="55"/>
      <c r="AA159" s="55"/>
      <c r="AB159" s="55"/>
      <c r="AC159" s="55"/>
      <c r="AD159" s="55"/>
      <c r="AE159" s="55"/>
      <c r="AF159" s="55"/>
      <c r="AG159" s="4"/>
      <c r="AH159" s="4"/>
      <c r="AI159" s="4"/>
      <c r="AJ159" s="4"/>
      <c r="AK159" s="349"/>
      <c r="AL159" s="349"/>
      <c r="AM159" s="349"/>
      <c r="AN159" s="349"/>
      <c r="AO159" s="349"/>
      <c r="AP159" s="55"/>
      <c r="AQ159" s="608"/>
    </row>
    <row r="160" spans="1:43">
      <c r="A160" s="1133" t="s">
        <v>351</v>
      </c>
      <c r="B160" s="1"/>
      <c r="C160" s="1925"/>
      <c r="E160" s="55"/>
      <c r="F160" s="55"/>
      <c r="G160" s="55"/>
      <c r="H160" s="55"/>
      <c r="I160" s="55"/>
      <c r="J160" s="2061"/>
      <c r="K160" s="55"/>
      <c r="L160" s="55"/>
      <c r="M160" s="55"/>
      <c r="N160" s="55"/>
      <c r="O160" s="55"/>
      <c r="P160" s="55"/>
      <c r="Q160" s="55"/>
      <c r="R160" s="55"/>
      <c r="S160" s="55"/>
      <c r="T160" s="55"/>
      <c r="U160" s="55"/>
      <c r="V160" s="55"/>
      <c r="W160" s="55"/>
      <c r="X160" s="55"/>
      <c r="Y160" s="55"/>
      <c r="Z160" s="55"/>
      <c r="AA160" s="55"/>
      <c r="AB160" s="55"/>
      <c r="AC160" s="55"/>
      <c r="AD160" s="55"/>
      <c r="AE160" s="55"/>
      <c r="AF160" s="55"/>
      <c r="AG160" s="55"/>
      <c r="AH160" s="55"/>
      <c r="AI160" s="55"/>
      <c r="AJ160" s="55"/>
      <c r="AK160" s="349"/>
      <c r="AL160" s="349"/>
      <c r="AM160" s="349"/>
      <c r="AN160" s="349"/>
      <c r="AO160" s="349"/>
      <c r="AP160" s="55"/>
      <c r="AQ160" s="608"/>
    </row>
    <row r="161" spans="1:43">
      <c r="A161" s="1133" t="s">
        <v>397</v>
      </c>
      <c r="B161" s="55"/>
      <c r="C161" s="1820"/>
      <c r="D161" s="1821"/>
      <c r="E161" s="55"/>
      <c r="F161" s="55"/>
      <c r="G161" s="55"/>
      <c r="H161" s="55"/>
      <c r="I161" s="55"/>
      <c r="J161" s="2061"/>
      <c r="K161" s="55"/>
      <c r="L161" s="55"/>
      <c r="M161" s="55"/>
      <c r="N161" s="55"/>
      <c r="O161" s="55"/>
      <c r="P161" s="55"/>
      <c r="Q161" s="55"/>
      <c r="R161" s="55"/>
      <c r="S161" s="55"/>
      <c r="T161" s="55"/>
      <c r="U161" s="55"/>
      <c r="V161" s="55"/>
      <c r="W161" s="55"/>
      <c r="X161" s="55"/>
      <c r="Y161" s="55"/>
      <c r="Z161" s="55"/>
      <c r="AA161" s="55"/>
      <c r="AB161" s="55"/>
      <c r="AC161" s="55"/>
      <c r="AD161" s="55"/>
      <c r="AE161" s="55"/>
      <c r="AF161" s="55"/>
      <c r="AG161" s="4"/>
      <c r="AH161" s="4"/>
      <c r="AI161" s="4"/>
      <c r="AJ161" s="4"/>
      <c r="AK161" s="349"/>
      <c r="AL161" s="349"/>
      <c r="AM161" s="349"/>
      <c r="AN161" s="349"/>
      <c r="AO161" s="349"/>
      <c r="AP161" s="55"/>
      <c r="AQ161" s="608"/>
    </row>
    <row r="162" spans="1:43">
      <c r="A162" s="1133" t="s">
        <v>353</v>
      </c>
      <c r="B162" s="1"/>
      <c r="C162" s="1925"/>
      <c r="E162" s="55"/>
      <c r="F162" s="55"/>
      <c r="G162" s="55"/>
      <c r="H162" s="55"/>
      <c r="I162" s="55"/>
      <c r="J162" s="2061"/>
      <c r="K162" s="55"/>
      <c r="L162" s="55"/>
      <c r="M162" s="55"/>
      <c r="N162" s="55"/>
      <c r="O162" s="55"/>
      <c r="P162" s="55"/>
      <c r="Q162" s="55"/>
      <c r="R162" s="55"/>
      <c r="S162" s="55"/>
      <c r="T162" s="55"/>
      <c r="U162" s="55"/>
      <c r="V162" s="55"/>
      <c r="W162" s="55"/>
      <c r="X162" s="55"/>
      <c r="Y162" s="55"/>
      <c r="Z162" s="55"/>
      <c r="AA162" s="55"/>
      <c r="AB162" s="55"/>
      <c r="AC162" s="55"/>
      <c r="AD162" s="55"/>
      <c r="AE162" s="55"/>
      <c r="AF162" s="55"/>
      <c r="AG162" s="55"/>
      <c r="AH162" s="55"/>
      <c r="AI162" s="55"/>
      <c r="AJ162" s="55"/>
      <c r="AK162" s="349"/>
      <c r="AL162" s="349"/>
      <c r="AM162" s="349"/>
      <c r="AN162" s="349"/>
      <c r="AO162" s="349"/>
      <c r="AP162" s="55"/>
      <c r="AQ162" s="608"/>
    </row>
    <row r="163" spans="1:43">
      <c r="A163" s="1133" t="s">
        <v>354</v>
      </c>
      <c r="B163" s="1"/>
      <c r="C163" s="1925"/>
      <c r="E163" s="55"/>
      <c r="F163" s="55"/>
      <c r="G163" s="55"/>
      <c r="H163" s="55"/>
      <c r="I163" s="55"/>
      <c r="J163" s="2061"/>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349"/>
      <c r="AL163" s="349"/>
      <c r="AM163" s="349"/>
      <c r="AN163" s="349"/>
      <c r="AO163" s="349"/>
      <c r="AP163" s="55"/>
      <c r="AQ163" s="608"/>
    </row>
    <row r="164" spans="1:43" ht="13.5" thickBot="1">
      <c r="A164" s="9" t="s">
        <v>355</v>
      </c>
      <c r="B164" s="1149"/>
      <c r="C164" s="1149"/>
      <c r="D164" s="1149"/>
      <c r="E164" s="1149"/>
      <c r="F164" s="1149"/>
      <c r="G164" s="1149"/>
      <c r="H164" s="2065"/>
      <c r="I164" s="1149"/>
      <c r="J164" s="1149"/>
      <c r="K164" s="1149"/>
      <c r="L164" s="1149"/>
      <c r="M164" s="1149"/>
      <c r="N164" s="1149"/>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2066"/>
      <c r="AL164" s="2066"/>
      <c r="AM164" s="2066"/>
      <c r="AN164" s="2066"/>
      <c r="AO164" s="2066"/>
      <c r="AP164" s="1149"/>
      <c r="AQ164" s="1150"/>
    </row>
    <row r="165" spans="1:43" ht="13.5" thickTop="1">
      <c r="A165" s="55"/>
      <c r="B165" s="55"/>
      <c r="C165" s="55"/>
      <c r="D165" s="55"/>
      <c r="E165" s="55"/>
      <c r="F165" s="55"/>
      <c r="G165" s="55"/>
      <c r="H165" s="2061"/>
      <c r="I165" s="55"/>
      <c r="J165" s="55"/>
      <c r="K165" s="55"/>
      <c r="L165" s="55"/>
      <c r="M165" s="55"/>
      <c r="N165" s="55"/>
      <c r="O165" s="55"/>
      <c r="P165" s="55"/>
      <c r="Q165" s="55"/>
      <c r="R165" s="55"/>
      <c r="S165" s="55"/>
      <c r="T165" s="55"/>
      <c r="U165" s="55"/>
      <c r="V165" s="55"/>
      <c r="W165" s="55"/>
      <c r="X165" s="55"/>
      <c r="Y165" s="55"/>
      <c r="Z165" s="55"/>
      <c r="AA165" s="55"/>
      <c r="AB165" s="55"/>
      <c r="AC165" s="55"/>
      <c r="AD165" s="55"/>
      <c r="AE165" s="55"/>
      <c r="AF165" s="55"/>
      <c r="AG165" s="55"/>
      <c r="AH165" s="1925"/>
      <c r="AI165" s="1925"/>
      <c r="AJ165" s="1925"/>
      <c r="AK165" s="349"/>
      <c r="AL165" s="349"/>
      <c r="AM165" s="349"/>
      <c r="AN165" s="349"/>
      <c r="AO165" s="349"/>
      <c r="AP165" s="55"/>
      <c r="AQ165" s="55"/>
    </row>
    <row r="166" spans="1:43">
      <c r="A166" s="55"/>
      <c r="B166" s="55"/>
      <c r="C166" s="55"/>
      <c r="D166" s="55"/>
      <c r="E166" s="55"/>
      <c r="F166" s="55"/>
      <c r="G166" s="55"/>
      <c r="H166" s="2061"/>
      <c r="I166" s="55"/>
      <c r="J166" s="55"/>
      <c r="K166" s="55"/>
      <c r="L166" s="55"/>
      <c r="M166" s="55"/>
      <c r="N166" s="55"/>
      <c r="O166" s="55"/>
      <c r="P166" s="55"/>
      <c r="Q166" s="55"/>
      <c r="R166" s="55"/>
      <c r="S166" s="55"/>
      <c r="T166" s="55"/>
      <c r="U166" s="55"/>
      <c r="V166" s="55"/>
      <c r="W166" s="55"/>
      <c r="X166" s="55"/>
      <c r="Y166" s="55"/>
      <c r="Z166" s="55"/>
      <c r="AA166" s="55"/>
      <c r="AB166" s="55"/>
      <c r="AC166" s="55"/>
      <c r="AD166" s="55"/>
      <c r="AE166" s="55"/>
      <c r="AF166" s="55"/>
      <c r="AG166" s="55"/>
      <c r="AH166" s="1925"/>
      <c r="AI166" s="1925"/>
      <c r="AJ166" s="1925"/>
      <c r="AK166" s="349"/>
      <c r="AL166" s="349"/>
      <c r="AM166" s="349"/>
      <c r="AN166" s="349"/>
      <c r="AO166" s="349"/>
      <c r="AP166" s="55"/>
      <c r="AQ166" s="55"/>
    </row>
    <row r="167" spans="1:43">
      <c r="A167" s="1133"/>
      <c r="B167" s="55"/>
      <c r="C167" s="55"/>
      <c r="D167" s="55"/>
      <c r="E167" s="55"/>
      <c r="F167" s="55"/>
      <c r="G167" s="55"/>
      <c r="H167" s="2061"/>
      <c r="I167" s="55"/>
      <c r="J167" s="55"/>
      <c r="K167" s="55"/>
      <c r="L167" s="55"/>
      <c r="M167" s="55"/>
      <c r="N167" s="55"/>
      <c r="O167" s="55"/>
      <c r="P167" s="55"/>
      <c r="Q167" s="55"/>
      <c r="R167" s="55"/>
      <c r="S167" s="55"/>
      <c r="T167" s="55"/>
      <c r="U167" s="55"/>
      <c r="V167" s="55"/>
      <c r="W167" s="55"/>
      <c r="X167" s="55"/>
      <c r="Y167" s="55"/>
      <c r="Z167" s="55"/>
      <c r="AA167" s="55"/>
      <c r="AB167" s="55"/>
      <c r="AC167" s="55"/>
      <c r="AD167" s="55"/>
      <c r="AE167" s="55"/>
      <c r="AF167" s="55"/>
      <c r="AG167" s="55"/>
      <c r="AH167" s="1925"/>
      <c r="AI167" s="1925"/>
      <c r="AJ167" s="1925"/>
      <c r="AK167" s="349"/>
      <c r="AL167" s="349"/>
      <c r="AM167" s="349"/>
      <c r="AN167" s="349"/>
      <c r="AO167" s="349"/>
      <c r="AP167" s="55"/>
      <c r="AQ167" s="55"/>
    </row>
    <row r="168" spans="1:43">
      <c r="A168" s="55"/>
      <c r="B168" s="55"/>
      <c r="C168" s="55"/>
      <c r="D168" s="55"/>
      <c r="E168" s="55"/>
      <c r="F168" s="55"/>
      <c r="G168" s="55"/>
      <c r="H168" s="2061"/>
      <c r="I168" s="55"/>
      <c r="J168" s="55"/>
      <c r="K168" s="55"/>
      <c r="L168" s="55"/>
      <c r="M168" s="55"/>
      <c r="N168" s="55"/>
      <c r="O168" s="55"/>
      <c r="P168" s="55"/>
      <c r="Q168" s="55"/>
      <c r="R168" s="55"/>
      <c r="S168" s="55"/>
      <c r="T168" s="55"/>
      <c r="U168" s="55"/>
      <c r="V168" s="55"/>
      <c r="W168" s="55"/>
      <c r="X168" s="55"/>
      <c r="Y168" s="55"/>
      <c r="Z168" s="55"/>
      <c r="AA168" s="55"/>
      <c r="AB168" s="55"/>
      <c r="AC168" s="55"/>
      <c r="AD168" s="55"/>
      <c r="AE168" s="55"/>
      <c r="AF168" s="55"/>
      <c r="AG168" s="55"/>
      <c r="AH168" s="1925"/>
      <c r="AI168" s="1925"/>
      <c r="AJ168" s="1925"/>
      <c r="AK168" s="349"/>
      <c r="AL168" s="349"/>
      <c r="AM168" s="349"/>
      <c r="AN168" s="349"/>
      <c r="AO168" s="349"/>
      <c r="AP168" s="55"/>
      <c r="AQ168" s="55"/>
    </row>
    <row r="169" spans="1:43">
      <c r="A169" s="55"/>
      <c r="B169" s="55"/>
      <c r="C169" s="55"/>
      <c r="D169" s="55"/>
      <c r="E169" s="55"/>
      <c r="F169" s="55"/>
      <c r="G169" s="55"/>
      <c r="H169" s="2061"/>
      <c r="I169" s="55"/>
      <c r="J169" s="55"/>
      <c r="K169" s="55"/>
      <c r="L169" s="55"/>
      <c r="M169" s="55"/>
      <c r="N169" s="55"/>
      <c r="O169" s="55"/>
      <c r="P169" s="55"/>
      <c r="Q169" s="55"/>
      <c r="R169" s="55"/>
      <c r="S169" s="55"/>
      <c r="T169" s="55"/>
      <c r="U169" s="55"/>
      <c r="V169" s="55"/>
      <c r="W169" s="55"/>
      <c r="X169" s="55"/>
      <c r="Y169" s="55"/>
      <c r="Z169" s="55"/>
      <c r="AA169" s="55"/>
      <c r="AB169" s="55"/>
      <c r="AC169" s="55"/>
      <c r="AD169" s="55"/>
      <c r="AE169" s="55"/>
      <c r="AF169" s="55"/>
      <c r="AG169" s="55"/>
      <c r="AH169" s="1925"/>
      <c r="AI169" s="1925"/>
      <c r="AJ169" s="1925"/>
      <c r="AK169" s="349"/>
      <c r="AL169" s="349"/>
      <c r="AM169" s="349"/>
      <c r="AN169" s="349"/>
      <c r="AO169" s="349"/>
      <c r="AP169" s="55"/>
      <c r="AQ169" s="55"/>
    </row>
    <row r="170" spans="1:43">
      <c r="A170" s="55"/>
      <c r="B170" s="55"/>
      <c r="C170" s="55"/>
      <c r="D170" s="55"/>
      <c r="E170" s="55"/>
      <c r="F170" s="55"/>
      <c r="G170" s="55"/>
      <c r="H170" s="2061"/>
      <c r="I170" s="55"/>
      <c r="J170" s="55"/>
      <c r="K170" s="55"/>
      <c r="L170" s="55"/>
      <c r="M170" s="55"/>
      <c r="N170" s="55"/>
      <c r="O170" s="55"/>
      <c r="P170" s="55"/>
      <c r="Q170" s="55"/>
      <c r="R170" s="55"/>
      <c r="S170" s="55"/>
      <c r="T170" s="55"/>
      <c r="U170" s="55"/>
      <c r="V170" s="55"/>
      <c r="W170" s="55"/>
      <c r="X170" s="55"/>
      <c r="Y170" s="55"/>
      <c r="Z170" s="55"/>
      <c r="AA170" s="55"/>
      <c r="AB170" s="55"/>
      <c r="AC170" s="55"/>
      <c r="AD170" s="55"/>
      <c r="AE170" s="55"/>
      <c r="AF170" s="55"/>
      <c r="AG170" s="55"/>
      <c r="AH170" s="1925"/>
      <c r="AI170" s="1925"/>
      <c r="AJ170" s="1925"/>
      <c r="AK170" s="349"/>
      <c r="AL170" s="349"/>
      <c r="AM170" s="349"/>
      <c r="AN170" s="349"/>
      <c r="AO170" s="349"/>
      <c r="AP170" s="55"/>
      <c r="AQ170" s="55"/>
    </row>
    <row r="171" spans="1:43">
      <c r="A171" s="55"/>
      <c r="B171" s="55"/>
      <c r="C171" s="55"/>
      <c r="D171" s="55"/>
      <c r="E171" s="55"/>
      <c r="F171" s="55"/>
      <c r="G171" s="55"/>
      <c r="H171" s="2061"/>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1925"/>
      <c r="AI171" s="1925"/>
      <c r="AJ171" s="1925"/>
      <c r="AK171" s="349"/>
      <c r="AL171" s="349"/>
      <c r="AM171" s="349"/>
      <c r="AN171" s="349"/>
      <c r="AO171" s="349"/>
      <c r="AP171" s="55"/>
      <c r="AQ171" s="55"/>
    </row>
    <row r="172" spans="1:43">
      <c r="A172" s="55"/>
      <c r="B172" s="55"/>
      <c r="C172" s="55"/>
      <c r="D172" s="55"/>
      <c r="E172" s="55"/>
      <c r="F172" s="55"/>
      <c r="G172" s="55"/>
      <c r="H172" s="2061"/>
      <c r="I172" s="55"/>
      <c r="J172" s="55"/>
      <c r="K172" s="55"/>
      <c r="L172" s="55"/>
      <c r="M172" s="55"/>
      <c r="N172" s="55"/>
      <c r="O172" s="55"/>
      <c r="P172" s="55"/>
      <c r="Q172" s="55"/>
      <c r="R172" s="55"/>
      <c r="S172" s="55"/>
      <c r="T172" s="55"/>
      <c r="U172" s="55"/>
      <c r="V172" s="55"/>
      <c r="W172" s="55"/>
      <c r="X172" s="55"/>
      <c r="Y172" s="55"/>
      <c r="Z172" s="55"/>
      <c r="AA172" s="55"/>
      <c r="AB172" s="55"/>
      <c r="AC172" s="55"/>
      <c r="AD172" s="55"/>
      <c r="AE172" s="55"/>
      <c r="AF172" s="55"/>
      <c r="AG172" s="55"/>
      <c r="AH172" s="1925"/>
      <c r="AI172" s="1925"/>
      <c r="AJ172" s="1925"/>
      <c r="AK172" s="349"/>
      <c r="AL172" s="349"/>
      <c r="AM172" s="349"/>
      <c r="AN172" s="349"/>
      <c r="AO172" s="349"/>
      <c r="AP172" s="55"/>
      <c r="AQ172" s="55"/>
    </row>
    <row r="173" spans="1:43">
      <c r="A173" s="55"/>
      <c r="B173" s="55"/>
      <c r="C173" s="55"/>
      <c r="D173" s="55"/>
      <c r="E173" s="55"/>
      <c r="F173" s="55"/>
      <c r="G173" s="55"/>
      <c r="H173" s="2061"/>
      <c r="I173" s="55"/>
      <c r="J173" s="55"/>
      <c r="K173" s="55"/>
      <c r="L173" s="55"/>
      <c r="M173" s="55"/>
      <c r="N173" s="55"/>
      <c r="O173" s="55"/>
      <c r="P173" s="55"/>
      <c r="Q173" s="55"/>
      <c r="R173" s="55"/>
      <c r="S173" s="55"/>
      <c r="T173" s="55"/>
      <c r="U173" s="55"/>
      <c r="V173" s="55"/>
      <c r="W173" s="55"/>
      <c r="X173" s="55"/>
      <c r="Y173" s="55"/>
      <c r="Z173" s="55"/>
      <c r="AA173" s="55"/>
      <c r="AB173" s="55"/>
      <c r="AC173" s="55"/>
      <c r="AD173" s="55"/>
      <c r="AE173" s="55"/>
      <c r="AF173" s="55"/>
      <c r="AG173" s="55"/>
      <c r="AH173" s="1925"/>
      <c r="AI173" s="1925"/>
      <c r="AJ173" s="1925"/>
      <c r="AK173" s="349"/>
      <c r="AL173" s="349"/>
      <c r="AM173" s="349"/>
      <c r="AN173" s="349"/>
      <c r="AO173" s="349"/>
      <c r="AP173" s="55"/>
      <c r="AQ173" s="55"/>
    </row>
    <row r="174" spans="1:43">
      <c r="A174" s="55"/>
      <c r="B174" s="55"/>
      <c r="C174" s="55"/>
      <c r="D174" s="55"/>
      <c r="E174" s="55"/>
      <c r="F174" s="55"/>
      <c r="G174" s="55"/>
      <c r="H174" s="2061"/>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1925"/>
      <c r="AI174" s="1925"/>
      <c r="AJ174" s="1925"/>
      <c r="AK174" s="349"/>
      <c r="AL174" s="349"/>
      <c r="AM174" s="349"/>
      <c r="AN174" s="349"/>
      <c r="AO174" s="349"/>
      <c r="AP174" s="55"/>
      <c r="AQ174" s="55"/>
    </row>
    <row r="175" spans="1:43">
      <c r="A175" s="55"/>
      <c r="B175" s="55"/>
      <c r="C175" s="55"/>
      <c r="D175" s="55"/>
      <c r="E175" s="55"/>
      <c r="F175" s="55"/>
      <c r="G175" s="55"/>
      <c r="H175" s="2061"/>
      <c r="I175" s="55"/>
      <c r="J175" s="55"/>
      <c r="K175" s="55"/>
      <c r="L175" s="55"/>
      <c r="M175" s="55"/>
      <c r="N175" s="55"/>
      <c r="O175" s="55"/>
      <c r="P175" s="55"/>
      <c r="Q175" s="55"/>
      <c r="R175" s="55"/>
      <c r="S175" s="55"/>
      <c r="T175" s="55"/>
      <c r="U175" s="55"/>
      <c r="V175" s="55"/>
      <c r="W175" s="55"/>
      <c r="X175" s="55"/>
      <c r="Y175" s="55"/>
      <c r="Z175" s="55"/>
      <c r="AA175" s="55"/>
      <c r="AB175" s="55"/>
      <c r="AC175" s="55"/>
      <c r="AD175" s="55"/>
      <c r="AE175" s="55"/>
      <c r="AF175" s="55"/>
      <c r="AG175" s="55"/>
      <c r="AH175" s="1925"/>
      <c r="AI175" s="1925"/>
      <c r="AJ175" s="1925"/>
      <c r="AK175" s="349"/>
      <c r="AL175" s="349"/>
      <c r="AM175" s="349"/>
      <c r="AN175" s="349"/>
      <c r="AO175" s="349"/>
      <c r="AP175" s="55"/>
      <c r="AQ175" s="55"/>
    </row>
    <row r="176" spans="1:43">
      <c r="A176" s="55"/>
      <c r="B176" s="55"/>
      <c r="C176" s="55"/>
      <c r="D176" s="55"/>
      <c r="E176" s="55"/>
      <c r="F176" s="55"/>
      <c r="G176" s="55"/>
      <c r="H176" s="2061"/>
      <c r="I176" s="55"/>
      <c r="J176" s="55"/>
      <c r="K176" s="55"/>
      <c r="L176" s="55"/>
      <c r="M176" s="55"/>
      <c r="N176" s="55"/>
      <c r="O176" s="55"/>
      <c r="P176" s="55"/>
      <c r="Q176" s="55"/>
      <c r="R176" s="55"/>
      <c r="S176" s="55"/>
      <c r="T176" s="55"/>
      <c r="U176" s="55"/>
      <c r="V176" s="55"/>
      <c r="W176" s="55"/>
      <c r="X176" s="55"/>
      <c r="Y176" s="55"/>
      <c r="Z176" s="55"/>
      <c r="AA176" s="55"/>
      <c r="AB176" s="55"/>
      <c r="AC176" s="55"/>
      <c r="AD176" s="55"/>
      <c r="AE176" s="55"/>
      <c r="AF176" s="55"/>
      <c r="AG176" s="55"/>
      <c r="AH176" s="1925"/>
      <c r="AI176" s="1925"/>
      <c r="AJ176" s="1925"/>
      <c r="AK176" s="349"/>
      <c r="AL176" s="349"/>
      <c r="AM176" s="349"/>
      <c r="AN176" s="349"/>
      <c r="AO176" s="349"/>
      <c r="AP176" s="55"/>
      <c r="AQ176" s="55"/>
    </row>
    <row r="177" spans="1:43">
      <c r="A177" s="55"/>
      <c r="B177" s="55"/>
      <c r="C177" s="55"/>
      <c r="D177" s="55"/>
      <c r="E177" s="55"/>
      <c r="F177" s="55"/>
      <c r="G177" s="55"/>
      <c r="H177" s="2061"/>
      <c r="I177" s="55"/>
      <c r="J177" s="55"/>
      <c r="K177" s="55"/>
      <c r="L177" s="55"/>
      <c r="M177" s="55"/>
      <c r="N177" s="55"/>
      <c r="O177" s="55"/>
      <c r="P177" s="55"/>
      <c r="Q177" s="55"/>
      <c r="R177" s="55"/>
      <c r="S177" s="55"/>
      <c r="T177" s="55"/>
      <c r="U177" s="55"/>
      <c r="V177" s="55"/>
      <c r="W177" s="55"/>
      <c r="X177" s="55"/>
      <c r="Y177" s="55"/>
      <c r="Z177" s="55"/>
      <c r="AA177" s="55"/>
      <c r="AB177" s="55"/>
      <c r="AC177" s="55"/>
      <c r="AD177" s="55"/>
      <c r="AE177" s="55"/>
      <c r="AF177" s="55"/>
      <c r="AG177" s="55"/>
      <c r="AH177" s="1925"/>
      <c r="AI177" s="1925"/>
      <c r="AJ177" s="1925"/>
      <c r="AK177" s="349"/>
      <c r="AL177" s="349"/>
      <c r="AM177" s="349"/>
      <c r="AN177" s="349"/>
      <c r="AO177" s="349"/>
      <c r="AP177" s="55"/>
      <c r="AQ177" s="55"/>
    </row>
    <row r="178" spans="1:43">
      <c r="C178" s="6"/>
      <c r="D178" s="6"/>
      <c r="E178" s="6"/>
      <c r="F178" s="6"/>
      <c r="G178" s="6"/>
      <c r="H178" s="2061"/>
      <c r="I178" s="55"/>
      <c r="J178" s="55"/>
      <c r="K178" s="55"/>
      <c r="L178" s="55"/>
      <c r="M178" s="55"/>
      <c r="N178" s="55"/>
      <c r="O178" s="55"/>
      <c r="P178" s="55"/>
      <c r="Q178" s="55"/>
      <c r="R178" s="55"/>
      <c r="S178" s="55"/>
      <c r="T178" s="55"/>
      <c r="U178" s="55"/>
      <c r="V178" s="55"/>
      <c r="W178" s="55"/>
      <c r="X178" s="55"/>
      <c r="Y178" s="55"/>
      <c r="Z178" s="55"/>
      <c r="AA178" s="55"/>
      <c r="AB178" s="55"/>
      <c r="AC178" s="55"/>
      <c r="AD178" s="55"/>
      <c r="AE178" s="55"/>
      <c r="AF178" s="55"/>
      <c r="AG178" s="55"/>
      <c r="AH178" s="1925"/>
      <c r="AI178" s="1925"/>
      <c r="AJ178" s="1925"/>
      <c r="AK178" s="349"/>
      <c r="AL178" s="349"/>
      <c r="AM178" s="349"/>
      <c r="AN178" s="349"/>
      <c r="AO178" s="349"/>
      <c r="AP178" s="6"/>
      <c r="AQ178" s="6"/>
    </row>
    <row r="179" spans="1:43">
      <c r="C179" s="6"/>
      <c r="D179" s="6"/>
      <c r="E179" s="6"/>
      <c r="F179" s="6"/>
      <c r="G179" s="6"/>
      <c r="H179" s="2061"/>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1925"/>
      <c r="AI179" s="1925"/>
      <c r="AJ179" s="1925"/>
      <c r="AK179" s="349"/>
      <c r="AL179" s="349"/>
      <c r="AM179" s="349"/>
      <c r="AN179" s="349"/>
      <c r="AO179" s="349"/>
      <c r="AP179" s="6"/>
      <c r="AQ179" s="6"/>
    </row>
    <row r="180" spans="1:43">
      <c r="C180" s="6"/>
      <c r="D180" s="6"/>
      <c r="E180" s="6"/>
      <c r="F180" s="6"/>
      <c r="G180" s="6"/>
      <c r="H180" s="2061"/>
      <c r="I180" s="55"/>
      <c r="J180" s="55"/>
      <c r="K180" s="55"/>
      <c r="L180" s="55"/>
      <c r="M180" s="55"/>
      <c r="N180" s="55"/>
      <c r="O180" s="55"/>
      <c r="P180" s="55"/>
      <c r="Q180" s="55"/>
      <c r="R180" s="55"/>
      <c r="S180" s="55"/>
      <c r="T180" s="55"/>
      <c r="U180" s="55"/>
      <c r="V180" s="55"/>
      <c r="W180" s="55"/>
      <c r="X180" s="55"/>
      <c r="Y180" s="55"/>
      <c r="Z180" s="55"/>
      <c r="AA180" s="55"/>
      <c r="AB180" s="55"/>
      <c r="AC180" s="55"/>
      <c r="AD180" s="55"/>
      <c r="AE180" s="55"/>
      <c r="AF180" s="55"/>
      <c r="AG180" s="55"/>
      <c r="AH180" s="1925"/>
      <c r="AI180" s="1925"/>
      <c r="AJ180" s="1925"/>
      <c r="AK180" s="349"/>
      <c r="AL180" s="349"/>
      <c r="AM180" s="349"/>
      <c r="AN180" s="349"/>
      <c r="AO180" s="349"/>
      <c r="AP180" s="6"/>
      <c r="AQ180" s="6"/>
    </row>
    <row r="181" spans="1:43">
      <c r="C181" s="6"/>
      <c r="D181" s="6"/>
      <c r="E181" s="6"/>
      <c r="F181" s="6"/>
      <c r="G181" s="6"/>
      <c r="H181" s="2061"/>
      <c r="I181" s="55"/>
      <c r="J181" s="55"/>
      <c r="K181" s="55"/>
      <c r="L181" s="55"/>
      <c r="M181" s="55"/>
      <c r="N181" s="55"/>
      <c r="O181" s="55"/>
      <c r="P181" s="55"/>
      <c r="Q181" s="55"/>
      <c r="R181" s="55"/>
      <c r="S181" s="55"/>
      <c r="T181" s="55"/>
      <c r="U181" s="55"/>
      <c r="V181" s="55"/>
      <c r="W181" s="55"/>
      <c r="X181" s="55"/>
      <c r="Y181" s="55"/>
      <c r="Z181" s="55"/>
      <c r="AA181" s="55"/>
      <c r="AB181" s="55"/>
      <c r="AC181" s="55"/>
      <c r="AD181" s="55"/>
      <c r="AE181" s="55"/>
      <c r="AF181" s="55"/>
      <c r="AG181" s="55"/>
      <c r="AH181" s="1925"/>
      <c r="AI181" s="1925"/>
      <c r="AJ181" s="1925"/>
      <c r="AK181" s="349"/>
      <c r="AL181" s="349"/>
      <c r="AM181" s="349"/>
      <c r="AN181" s="349"/>
      <c r="AO181" s="349"/>
      <c r="AP181" s="6"/>
      <c r="AQ181" s="6"/>
    </row>
    <row r="182" spans="1:43">
      <c r="C182" s="6"/>
      <c r="D182" s="6"/>
      <c r="E182" s="6"/>
      <c r="F182" s="6"/>
      <c r="G182" s="6"/>
      <c r="H182" s="2061"/>
      <c r="I182" s="55"/>
      <c r="J182" s="55"/>
      <c r="K182" s="55"/>
      <c r="L182" s="55"/>
      <c r="M182" s="55"/>
      <c r="N182" s="55"/>
      <c r="O182" s="55"/>
      <c r="P182" s="55"/>
      <c r="Q182" s="55"/>
      <c r="R182" s="55"/>
      <c r="S182" s="55"/>
      <c r="T182" s="55"/>
      <c r="U182" s="55"/>
      <c r="V182" s="55"/>
      <c r="W182" s="55"/>
      <c r="X182" s="55"/>
      <c r="Y182" s="55"/>
      <c r="Z182" s="55"/>
      <c r="AA182" s="55"/>
      <c r="AB182" s="55"/>
      <c r="AC182" s="55"/>
      <c r="AD182" s="55"/>
      <c r="AE182" s="55"/>
      <c r="AF182" s="55"/>
      <c r="AG182" s="55"/>
      <c r="AH182" s="1925"/>
      <c r="AI182" s="1925"/>
      <c r="AJ182" s="1925"/>
      <c r="AK182" s="349"/>
      <c r="AL182" s="349"/>
      <c r="AM182" s="349"/>
      <c r="AN182" s="349"/>
      <c r="AO182" s="349"/>
      <c r="AP182" s="6"/>
      <c r="AQ182" s="6"/>
    </row>
    <row r="183" spans="1:43">
      <c r="C183" s="6"/>
      <c r="D183" s="6"/>
      <c r="E183" s="6"/>
      <c r="F183" s="6"/>
      <c r="G183" s="6"/>
      <c r="H183" s="2061"/>
      <c r="I183" s="55"/>
      <c r="J183" s="55"/>
      <c r="K183" s="55"/>
      <c r="L183" s="55"/>
      <c r="M183" s="55"/>
      <c r="N183" s="55"/>
      <c r="O183" s="55"/>
      <c r="P183" s="55"/>
      <c r="Q183" s="55"/>
      <c r="R183" s="55"/>
      <c r="S183" s="55"/>
      <c r="T183" s="55"/>
      <c r="U183" s="55"/>
      <c r="V183" s="55"/>
      <c r="W183" s="55"/>
      <c r="X183" s="55"/>
      <c r="Y183" s="55"/>
      <c r="Z183" s="55"/>
      <c r="AA183" s="55"/>
      <c r="AB183" s="55"/>
      <c r="AC183" s="55"/>
      <c r="AD183" s="55"/>
      <c r="AE183" s="55"/>
      <c r="AF183" s="55"/>
      <c r="AG183" s="55"/>
      <c r="AH183" s="1925"/>
      <c r="AI183" s="1925"/>
      <c r="AJ183" s="1925"/>
      <c r="AK183" s="349"/>
      <c r="AL183" s="349"/>
      <c r="AM183" s="349"/>
      <c r="AN183" s="349"/>
      <c r="AO183" s="349"/>
      <c r="AP183" s="6"/>
      <c r="AQ183" s="6"/>
    </row>
    <row r="184" spans="1:43">
      <c r="C184" s="6"/>
      <c r="D184" s="6"/>
      <c r="E184" s="6"/>
      <c r="F184" s="6"/>
      <c r="G184" s="6"/>
      <c r="H184" s="2061"/>
      <c r="I184" s="55"/>
      <c r="J184" s="55"/>
      <c r="K184" s="55"/>
      <c r="L184" s="55"/>
      <c r="M184" s="55"/>
      <c r="N184" s="55"/>
      <c r="O184" s="55"/>
      <c r="P184" s="55"/>
      <c r="Q184" s="55"/>
      <c r="R184" s="55"/>
      <c r="S184" s="55"/>
      <c r="T184" s="55"/>
      <c r="U184" s="55"/>
      <c r="V184" s="55"/>
      <c r="W184" s="55"/>
      <c r="X184" s="55"/>
      <c r="Y184" s="55"/>
      <c r="Z184" s="55"/>
      <c r="AA184" s="55"/>
      <c r="AB184" s="55"/>
      <c r="AC184" s="55"/>
      <c r="AD184" s="55"/>
      <c r="AE184" s="55"/>
      <c r="AF184" s="55"/>
      <c r="AG184" s="55"/>
      <c r="AH184" s="1925"/>
      <c r="AI184" s="1925"/>
      <c r="AJ184" s="1925"/>
      <c r="AK184" s="349"/>
      <c r="AL184" s="349"/>
      <c r="AM184" s="349"/>
      <c r="AN184" s="349"/>
      <c r="AO184" s="349"/>
      <c r="AP184" s="6"/>
      <c r="AQ184" s="6"/>
    </row>
    <row r="185" spans="1:43">
      <c r="C185" s="6"/>
      <c r="D185" s="6"/>
      <c r="E185" s="6"/>
      <c r="F185" s="6"/>
      <c r="G185" s="6"/>
      <c r="H185" s="2061"/>
      <c r="I185" s="55"/>
      <c r="J185" s="55"/>
      <c r="K185" s="55"/>
      <c r="L185" s="55"/>
      <c r="M185" s="55"/>
      <c r="N185" s="55"/>
      <c r="O185" s="55"/>
      <c r="P185" s="55"/>
      <c r="Q185" s="55"/>
      <c r="R185" s="55"/>
      <c r="S185" s="55"/>
      <c r="T185" s="55"/>
      <c r="U185" s="55"/>
      <c r="V185" s="55"/>
      <c r="W185" s="55"/>
      <c r="X185" s="55"/>
      <c r="Y185" s="55"/>
      <c r="Z185" s="55"/>
      <c r="AA185" s="55"/>
      <c r="AB185" s="55"/>
      <c r="AC185" s="55"/>
      <c r="AD185" s="55"/>
      <c r="AE185" s="55"/>
      <c r="AF185" s="55"/>
      <c r="AG185" s="55"/>
      <c r="AH185" s="1925"/>
      <c r="AI185" s="1925"/>
      <c r="AJ185" s="1925"/>
      <c r="AK185" s="349"/>
      <c r="AL185" s="349"/>
      <c r="AM185" s="349"/>
      <c r="AN185" s="349"/>
      <c r="AO185" s="349"/>
      <c r="AP185" s="6"/>
      <c r="AQ185" s="6"/>
    </row>
    <row r="186" spans="1:43">
      <c r="C186" s="6"/>
      <c r="D186" s="6"/>
      <c r="E186" s="6"/>
      <c r="F186" s="6"/>
      <c r="G186" s="6"/>
      <c r="H186" s="2061"/>
      <c r="I186" s="55"/>
      <c r="J186" s="55"/>
      <c r="K186" s="55"/>
      <c r="L186" s="55"/>
      <c r="M186" s="55"/>
      <c r="N186" s="55"/>
      <c r="O186" s="55"/>
      <c r="P186" s="55"/>
      <c r="Q186" s="55"/>
      <c r="R186" s="55"/>
      <c r="S186" s="55"/>
      <c r="T186" s="55"/>
      <c r="U186" s="55"/>
      <c r="V186" s="55"/>
      <c r="W186" s="55"/>
      <c r="X186" s="55"/>
      <c r="Y186" s="55"/>
      <c r="Z186" s="55"/>
      <c r="AA186" s="55"/>
      <c r="AB186" s="55"/>
      <c r="AC186" s="55"/>
      <c r="AD186" s="55"/>
      <c r="AE186" s="55"/>
      <c r="AF186" s="55"/>
      <c r="AG186" s="55"/>
      <c r="AH186" s="1925"/>
      <c r="AI186" s="1925"/>
      <c r="AJ186" s="1925"/>
      <c r="AK186" s="349"/>
      <c r="AL186" s="349"/>
      <c r="AM186" s="349"/>
      <c r="AN186" s="349"/>
      <c r="AO186" s="349"/>
      <c r="AP186" s="6"/>
      <c r="AQ186" s="6"/>
    </row>
    <row r="187" spans="1:43">
      <c r="C187" s="6"/>
      <c r="D187" s="6"/>
      <c r="E187" s="6"/>
      <c r="F187" s="6"/>
      <c r="G187" s="6"/>
      <c r="H187" s="2061"/>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1925"/>
      <c r="AI187" s="1925"/>
      <c r="AJ187" s="1925"/>
      <c r="AK187" s="349"/>
      <c r="AL187" s="349"/>
      <c r="AM187" s="349"/>
      <c r="AN187" s="349"/>
      <c r="AO187" s="349"/>
      <c r="AP187" s="6"/>
      <c r="AQ187" s="6"/>
    </row>
    <row r="188" spans="1:43">
      <c r="C188" s="6"/>
      <c r="D188" s="6"/>
      <c r="E188" s="6"/>
      <c r="F188" s="6"/>
      <c r="G188" s="6"/>
      <c r="H188" s="2061"/>
      <c r="I188" s="55"/>
      <c r="J188" s="55"/>
      <c r="K188" s="55"/>
      <c r="L188" s="55"/>
      <c r="M188" s="55"/>
      <c r="N188" s="55"/>
      <c r="O188" s="55"/>
      <c r="P188" s="55"/>
      <c r="Q188" s="55"/>
      <c r="R188" s="55"/>
      <c r="S188" s="55"/>
      <c r="T188" s="55"/>
      <c r="U188" s="55"/>
      <c r="V188" s="55"/>
      <c r="W188" s="55"/>
      <c r="X188" s="55"/>
      <c r="Y188" s="55"/>
      <c r="Z188" s="55"/>
      <c r="AA188" s="55"/>
      <c r="AB188" s="55"/>
      <c r="AC188" s="55"/>
      <c r="AD188" s="55"/>
      <c r="AE188" s="55"/>
      <c r="AF188" s="55"/>
      <c r="AG188" s="55"/>
      <c r="AH188" s="1925"/>
      <c r="AI188" s="1925"/>
      <c r="AJ188" s="1925"/>
      <c r="AK188" s="349"/>
      <c r="AL188" s="349"/>
      <c r="AM188" s="349"/>
      <c r="AN188" s="349"/>
      <c r="AO188" s="349"/>
      <c r="AP188" s="6"/>
      <c r="AQ188" s="6"/>
    </row>
    <row r="189" spans="1:43">
      <c r="C189" s="6"/>
      <c r="D189" s="6"/>
      <c r="E189" s="6"/>
      <c r="F189" s="6"/>
      <c r="G189" s="6"/>
      <c r="H189" s="2061"/>
      <c r="I189" s="55"/>
      <c r="J189" s="55"/>
      <c r="K189" s="55"/>
      <c r="L189" s="55"/>
      <c r="M189" s="55"/>
      <c r="N189" s="55"/>
      <c r="O189" s="55"/>
      <c r="P189" s="55"/>
      <c r="Q189" s="55"/>
      <c r="R189" s="55"/>
      <c r="S189" s="55"/>
      <c r="T189" s="55"/>
      <c r="U189" s="55"/>
      <c r="V189" s="55"/>
      <c r="W189" s="55"/>
      <c r="X189" s="55"/>
      <c r="Y189" s="55"/>
      <c r="Z189" s="55"/>
      <c r="AA189" s="55"/>
      <c r="AB189" s="55"/>
      <c r="AC189" s="55"/>
      <c r="AD189" s="55"/>
      <c r="AE189" s="55"/>
      <c r="AF189" s="55"/>
      <c r="AG189" s="55"/>
      <c r="AH189" s="1925"/>
      <c r="AI189" s="1925"/>
      <c r="AJ189" s="1925"/>
      <c r="AK189" s="349"/>
      <c r="AL189" s="349"/>
      <c r="AM189" s="349"/>
      <c r="AN189" s="349"/>
      <c r="AO189" s="349"/>
      <c r="AP189" s="6"/>
      <c r="AQ189" s="6"/>
    </row>
    <row r="190" spans="1:43">
      <c r="C190" s="6"/>
      <c r="D190" s="6"/>
      <c r="E190" s="6"/>
      <c r="F190" s="6"/>
      <c r="G190" s="6"/>
      <c r="H190" s="2061"/>
      <c r="I190" s="55"/>
      <c r="J190" s="55"/>
      <c r="K190" s="55"/>
      <c r="L190" s="55"/>
      <c r="M190" s="55"/>
      <c r="N190" s="55"/>
      <c r="O190" s="55"/>
      <c r="P190" s="55"/>
      <c r="Q190" s="55"/>
      <c r="R190" s="55"/>
      <c r="S190" s="55"/>
      <c r="T190" s="55"/>
      <c r="U190" s="55"/>
      <c r="V190" s="55"/>
      <c r="W190" s="55"/>
      <c r="X190" s="55"/>
      <c r="Y190" s="55"/>
      <c r="Z190" s="55"/>
      <c r="AA190" s="55"/>
      <c r="AB190" s="55"/>
      <c r="AC190" s="55"/>
      <c r="AD190" s="55"/>
      <c r="AE190" s="55"/>
      <c r="AF190" s="55"/>
      <c r="AG190" s="55"/>
      <c r="AH190" s="1925"/>
      <c r="AI190" s="1925"/>
      <c r="AJ190" s="1925"/>
      <c r="AK190" s="349"/>
      <c r="AL190" s="349"/>
      <c r="AM190" s="349"/>
      <c r="AN190" s="349"/>
      <c r="AO190" s="349"/>
      <c r="AP190" s="6"/>
      <c r="AQ190" s="6"/>
    </row>
    <row r="191" spans="1:43">
      <c r="C191" s="6"/>
      <c r="D191" s="6"/>
      <c r="E191" s="6"/>
      <c r="F191" s="6"/>
      <c r="G191" s="6"/>
      <c r="H191" s="2061"/>
      <c r="I191" s="55"/>
      <c r="J191" s="55"/>
      <c r="K191" s="55"/>
      <c r="L191" s="55"/>
      <c r="M191" s="55"/>
      <c r="N191" s="55"/>
      <c r="O191" s="55"/>
      <c r="P191" s="55"/>
      <c r="Q191" s="55"/>
      <c r="R191" s="55"/>
      <c r="S191" s="55"/>
      <c r="T191" s="55"/>
      <c r="U191" s="55"/>
      <c r="V191" s="55"/>
      <c r="W191" s="55"/>
      <c r="X191" s="55"/>
      <c r="Y191" s="55"/>
      <c r="Z191" s="55"/>
      <c r="AA191" s="55"/>
      <c r="AB191" s="55"/>
      <c r="AC191" s="55"/>
      <c r="AD191" s="55"/>
      <c r="AE191" s="55"/>
      <c r="AF191" s="55"/>
      <c r="AG191" s="55"/>
      <c r="AH191" s="1925"/>
      <c r="AI191" s="1925"/>
      <c r="AJ191" s="1925"/>
      <c r="AK191" s="349"/>
      <c r="AL191" s="349"/>
      <c r="AM191" s="349"/>
      <c r="AN191" s="349"/>
      <c r="AO191" s="349"/>
      <c r="AP191" s="6"/>
      <c r="AQ191" s="6"/>
    </row>
    <row r="192" spans="1:43">
      <c r="C192" s="6"/>
      <c r="D192" s="6"/>
      <c r="E192" s="6"/>
      <c r="F192" s="6"/>
      <c r="G192" s="6"/>
      <c r="H192" s="2061"/>
      <c r="I192" s="55"/>
      <c r="J192" s="55"/>
      <c r="K192" s="55"/>
      <c r="L192" s="55"/>
      <c r="M192" s="55"/>
      <c r="N192" s="55"/>
      <c r="O192" s="55"/>
      <c r="P192" s="55"/>
      <c r="Q192" s="55"/>
      <c r="R192" s="55"/>
      <c r="S192" s="55"/>
      <c r="T192" s="55"/>
      <c r="U192" s="55"/>
      <c r="V192" s="55"/>
      <c r="W192" s="55"/>
      <c r="X192" s="55"/>
      <c r="Y192" s="55"/>
      <c r="Z192" s="55"/>
      <c r="AA192" s="55"/>
      <c r="AB192" s="55"/>
      <c r="AC192" s="55"/>
      <c r="AD192" s="55"/>
      <c r="AE192" s="55"/>
      <c r="AF192" s="55"/>
      <c r="AG192" s="55"/>
      <c r="AH192" s="1925"/>
      <c r="AI192" s="1925"/>
      <c r="AJ192" s="1925"/>
      <c r="AK192" s="349"/>
      <c r="AL192" s="349"/>
      <c r="AM192" s="349"/>
      <c r="AN192" s="349"/>
      <c r="AO192" s="349"/>
      <c r="AP192" s="6"/>
      <c r="AQ192" s="6"/>
    </row>
    <row r="193" spans="3:43">
      <c r="C193" s="6"/>
      <c r="D193" s="6"/>
      <c r="E193" s="6"/>
      <c r="F193" s="6"/>
      <c r="G193" s="6"/>
      <c r="H193" s="2061"/>
      <c r="I193" s="55"/>
      <c r="J193" s="55"/>
      <c r="K193" s="55"/>
      <c r="L193" s="55"/>
      <c r="M193" s="55"/>
      <c r="N193" s="55"/>
      <c r="O193" s="55"/>
      <c r="P193" s="55"/>
      <c r="Q193" s="55"/>
      <c r="R193" s="55"/>
      <c r="S193" s="55"/>
      <c r="T193" s="55"/>
      <c r="U193" s="55"/>
      <c r="V193" s="55"/>
      <c r="W193" s="55"/>
      <c r="X193" s="55"/>
      <c r="Y193" s="55"/>
      <c r="Z193" s="55"/>
      <c r="AA193" s="55"/>
      <c r="AB193" s="55"/>
      <c r="AC193" s="55"/>
      <c r="AD193" s="55"/>
      <c r="AE193" s="55"/>
      <c r="AF193" s="55"/>
      <c r="AG193" s="55"/>
      <c r="AH193" s="1925"/>
      <c r="AI193" s="1925"/>
      <c r="AJ193" s="1925"/>
      <c r="AK193" s="349"/>
      <c r="AL193" s="349"/>
      <c r="AM193" s="349"/>
      <c r="AN193" s="349"/>
      <c r="AO193" s="349"/>
      <c r="AP193" s="6"/>
      <c r="AQ193" s="6"/>
    </row>
    <row r="194" spans="3:43">
      <c r="C194" s="6"/>
      <c r="D194" s="6"/>
      <c r="E194" s="6"/>
      <c r="F194" s="6"/>
      <c r="G194" s="6"/>
      <c r="H194" s="2061"/>
      <c r="I194" s="55"/>
      <c r="J194" s="55"/>
      <c r="K194" s="55"/>
      <c r="L194" s="55"/>
      <c r="M194" s="55"/>
      <c r="N194" s="55"/>
      <c r="O194" s="55"/>
      <c r="P194" s="55"/>
      <c r="Q194" s="55"/>
      <c r="R194" s="55"/>
      <c r="S194" s="55"/>
      <c r="T194" s="55"/>
      <c r="U194" s="55"/>
      <c r="V194" s="55"/>
      <c r="W194" s="55"/>
      <c r="X194" s="55"/>
      <c r="Y194" s="55"/>
      <c r="Z194" s="55"/>
      <c r="AA194" s="55"/>
      <c r="AB194" s="55"/>
      <c r="AC194" s="55"/>
      <c r="AD194" s="55"/>
      <c r="AE194" s="55"/>
      <c r="AF194" s="55"/>
      <c r="AG194" s="55"/>
      <c r="AH194" s="1925"/>
      <c r="AI194" s="1925"/>
      <c r="AJ194" s="1925"/>
      <c r="AK194" s="349"/>
      <c r="AL194" s="349"/>
      <c r="AM194" s="349"/>
      <c r="AN194" s="349"/>
      <c r="AO194" s="349"/>
      <c r="AP194" s="6"/>
      <c r="AQ194" s="6"/>
    </row>
    <row r="195" spans="3:43">
      <c r="C195" s="6"/>
      <c r="D195" s="6"/>
      <c r="E195" s="6"/>
      <c r="F195" s="6"/>
      <c r="G195" s="6"/>
      <c r="H195" s="2061"/>
      <c r="I195" s="55"/>
      <c r="J195" s="55"/>
      <c r="K195" s="55"/>
      <c r="L195" s="55"/>
      <c r="M195" s="55"/>
      <c r="N195" s="55"/>
      <c r="O195" s="55"/>
      <c r="P195" s="55"/>
      <c r="Q195" s="55"/>
      <c r="R195" s="55"/>
      <c r="S195" s="55"/>
      <c r="T195" s="55"/>
      <c r="U195" s="55"/>
      <c r="V195" s="55"/>
      <c r="W195" s="55"/>
      <c r="X195" s="55"/>
      <c r="Y195" s="55"/>
      <c r="Z195" s="55"/>
      <c r="AA195" s="55"/>
      <c r="AB195" s="55"/>
      <c r="AC195" s="55"/>
      <c r="AD195" s="55"/>
      <c r="AE195" s="55"/>
      <c r="AF195" s="55"/>
      <c r="AG195" s="55"/>
      <c r="AH195" s="1925"/>
      <c r="AI195" s="1925"/>
      <c r="AJ195" s="1925"/>
      <c r="AK195" s="349"/>
      <c r="AL195" s="349"/>
      <c r="AM195" s="349"/>
      <c r="AN195" s="349"/>
      <c r="AO195" s="349"/>
      <c r="AP195" s="6"/>
      <c r="AQ195" s="6"/>
    </row>
    <row r="196" spans="3:43">
      <c r="C196" s="6"/>
      <c r="D196" s="6"/>
      <c r="E196" s="6"/>
      <c r="F196" s="6"/>
      <c r="G196" s="6"/>
      <c r="H196" s="2061"/>
      <c r="I196" s="55"/>
      <c r="J196" s="55"/>
      <c r="K196" s="55"/>
      <c r="L196" s="55"/>
      <c r="M196" s="55"/>
      <c r="N196" s="55"/>
      <c r="O196" s="55"/>
      <c r="P196" s="55"/>
      <c r="Q196" s="55"/>
      <c r="R196" s="55"/>
      <c r="S196" s="55"/>
      <c r="T196" s="55"/>
      <c r="U196" s="55"/>
      <c r="V196" s="55"/>
      <c r="W196" s="55"/>
      <c r="X196" s="55"/>
      <c r="Y196" s="55"/>
      <c r="Z196" s="55"/>
      <c r="AA196" s="55"/>
      <c r="AB196" s="55"/>
      <c r="AC196" s="55"/>
      <c r="AD196" s="55"/>
      <c r="AE196" s="55"/>
      <c r="AF196" s="55"/>
      <c r="AG196" s="55"/>
      <c r="AH196" s="1925"/>
      <c r="AI196" s="1925"/>
      <c r="AJ196" s="1925"/>
      <c r="AK196" s="349"/>
      <c r="AL196" s="349"/>
      <c r="AM196" s="349"/>
      <c r="AN196" s="349"/>
      <c r="AO196" s="349"/>
      <c r="AP196" s="6"/>
      <c r="AQ196" s="6"/>
    </row>
    <row r="197" spans="3:43">
      <c r="C197" s="6"/>
      <c r="D197" s="6"/>
      <c r="E197" s="6"/>
      <c r="F197" s="6"/>
      <c r="G197" s="6"/>
      <c r="H197" s="2061"/>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1925"/>
      <c r="AI197" s="1925"/>
      <c r="AJ197" s="1925"/>
      <c r="AK197" s="349"/>
      <c r="AL197" s="349"/>
      <c r="AM197" s="349"/>
      <c r="AN197" s="349"/>
      <c r="AO197" s="349"/>
      <c r="AP197" s="6"/>
      <c r="AQ197" s="6"/>
    </row>
    <row r="198" spans="3:43">
      <c r="C198" s="6"/>
      <c r="D198" s="6"/>
      <c r="E198" s="6"/>
      <c r="F198" s="6"/>
      <c r="G198" s="6"/>
      <c r="H198" s="2061"/>
      <c r="I198" s="55"/>
      <c r="J198" s="55"/>
      <c r="K198" s="55"/>
      <c r="L198" s="55"/>
      <c r="M198" s="55"/>
      <c r="N198" s="55"/>
      <c r="O198" s="55"/>
      <c r="P198" s="55"/>
      <c r="Q198" s="55"/>
      <c r="R198" s="55"/>
      <c r="S198" s="55"/>
      <c r="T198" s="55"/>
      <c r="U198" s="55"/>
      <c r="V198" s="55"/>
      <c r="W198" s="55"/>
      <c r="X198" s="55"/>
      <c r="Y198" s="55"/>
      <c r="Z198" s="55"/>
      <c r="AA198" s="55"/>
      <c r="AB198" s="55"/>
      <c r="AC198" s="55"/>
      <c r="AD198" s="55"/>
      <c r="AE198" s="55"/>
      <c r="AF198" s="55"/>
      <c r="AG198" s="55"/>
      <c r="AH198" s="1925"/>
      <c r="AI198" s="1925"/>
      <c r="AJ198" s="1925"/>
      <c r="AK198" s="349"/>
      <c r="AL198" s="349"/>
      <c r="AM198" s="349"/>
      <c r="AN198" s="349"/>
      <c r="AO198" s="349"/>
      <c r="AP198" s="6"/>
      <c r="AQ198" s="6"/>
    </row>
    <row r="199" spans="3:43">
      <c r="C199" s="6"/>
      <c r="D199" s="6"/>
      <c r="E199" s="6"/>
      <c r="F199" s="6"/>
      <c r="G199" s="6"/>
      <c r="H199" s="2061"/>
      <c r="I199" s="55"/>
      <c r="J199" s="55"/>
      <c r="K199" s="55"/>
      <c r="L199" s="55"/>
      <c r="M199" s="55"/>
      <c r="N199" s="55"/>
      <c r="O199" s="55"/>
      <c r="P199" s="55"/>
      <c r="Q199" s="55"/>
      <c r="R199" s="55"/>
      <c r="S199" s="55"/>
      <c r="T199" s="55"/>
      <c r="U199" s="55"/>
      <c r="V199" s="55"/>
      <c r="W199" s="55"/>
      <c r="X199" s="55"/>
      <c r="Y199" s="55"/>
      <c r="Z199" s="55"/>
      <c r="AA199" s="55"/>
      <c r="AB199" s="55"/>
      <c r="AC199" s="55"/>
      <c r="AD199" s="55"/>
      <c r="AE199" s="55"/>
      <c r="AF199" s="55"/>
      <c r="AG199" s="55"/>
      <c r="AH199" s="1925"/>
      <c r="AI199" s="1925"/>
      <c r="AJ199" s="1925"/>
      <c r="AK199" s="349"/>
      <c r="AL199" s="349"/>
      <c r="AM199" s="349"/>
      <c r="AN199" s="349"/>
      <c r="AO199" s="349"/>
      <c r="AP199" s="6"/>
      <c r="AQ199" s="6"/>
    </row>
    <row r="200" spans="3:43">
      <c r="C200" s="6"/>
      <c r="D200" s="6"/>
      <c r="E200" s="6"/>
      <c r="F200" s="6"/>
      <c r="G200" s="6"/>
      <c r="H200" s="2061"/>
      <c r="I200" s="55"/>
      <c r="J200" s="55"/>
      <c r="K200" s="55"/>
      <c r="L200" s="55"/>
      <c r="M200" s="55"/>
      <c r="N200" s="55"/>
      <c r="O200" s="55"/>
      <c r="P200" s="55"/>
      <c r="Q200" s="55"/>
      <c r="R200" s="55"/>
      <c r="S200" s="55"/>
      <c r="T200" s="55"/>
      <c r="U200" s="55"/>
      <c r="V200" s="55"/>
      <c r="W200" s="55"/>
      <c r="X200" s="55"/>
      <c r="Y200" s="55"/>
      <c r="Z200" s="55"/>
      <c r="AA200" s="55"/>
      <c r="AB200" s="55"/>
      <c r="AC200" s="55"/>
      <c r="AD200" s="55"/>
      <c r="AE200" s="55"/>
      <c r="AF200" s="55"/>
      <c r="AG200" s="55"/>
      <c r="AH200" s="1925"/>
      <c r="AI200" s="1925"/>
      <c r="AJ200" s="1925"/>
      <c r="AK200" s="349"/>
      <c r="AL200" s="349"/>
      <c r="AM200" s="349"/>
      <c r="AN200" s="349"/>
      <c r="AO200" s="349"/>
      <c r="AP200" s="6"/>
      <c r="AQ200" s="6"/>
    </row>
    <row r="201" spans="3:43">
      <c r="C201" s="6"/>
      <c r="D201" s="6"/>
      <c r="E201" s="6"/>
      <c r="F201" s="6"/>
      <c r="G201" s="6"/>
      <c r="H201" s="2061"/>
      <c r="I201" s="55"/>
      <c r="J201" s="55"/>
      <c r="K201" s="55"/>
      <c r="L201" s="55"/>
      <c r="M201" s="55"/>
      <c r="N201" s="55"/>
      <c r="O201" s="55"/>
      <c r="P201" s="55"/>
      <c r="Q201" s="55"/>
      <c r="R201" s="55"/>
      <c r="S201" s="55"/>
      <c r="T201" s="55"/>
      <c r="U201" s="55"/>
      <c r="V201" s="55"/>
      <c r="W201" s="55"/>
      <c r="X201" s="55"/>
      <c r="Y201" s="55"/>
      <c r="Z201" s="55"/>
      <c r="AA201" s="55"/>
      <c r="AB201" s="55"/>
      <c r="AC201" s="55"/>
      <c r="AD201" s="55"/>
      <c r="AE201" s="55"/>
      <c r="AF201" s="55"/>
      <c r="AG201" s="55"/>
      <c r="AH201" s="1925"/>
      <c r="AI201" s="1925"/>
      <c r="AJ201" s="1925"/>
      <c r="AK201" s="349"/>
      <c r="AL201" s="349"/>
      <c r="AM201" s="349"/>
      <c r="AN201" s="349"/>
      <c r="AO201" s="349"/>
      <c r="AP201" s="6"/>
      <c r="AQ201" s="6"/>
    </row>
    <row r="202" spans="3:43">
      <c r="C202" s="6"/>
      <c r="D202" s="6"/>
      <c r="E202" s="6"/>
      <c r="F202" s="6"/>
      <c r="G202" s="6"/>
      <c r="H202" s="2061"/>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1925"/>
      <c r="AI202" s="1925"/>
      <c r="AJ202" s="1925"/>
      <c r="AK202" s="349"/>
      <c r="AL202" s="349"/>
      <c r="AM202" s="349"/>
      <c r="AN202" s="349"/>
      <c r="AO202" s="349"/>
      <c r="AP202" s="6"/>
      <c r="AQ202" s="6"/>
    </row>
    <row r="203" spans="3:43">
      <c r="C203" s="6"/>
      <c r="D203" s="6"/>
      <c r="E203" s="6"/>
      <c r="F203" s="6"/>
      <c r="G203" s="6"/>
      <c r="H203" s="2061"/>
      <c r="I203" s="55"/>
      <c r="J203" s="55"/>
      <c r="K203" s="55"/>
      <c r="L203" s="55"/>
      <c r="M203" s="55"/>
      <c r="N203" s="55"/>
      <c r="O203" s="55"/>
      <c r="P203" s="55"/>
      <c r="Q203" s="55"/>
      <c r="R203" s="55"/>
      <c r="S203" s="55"/>
      <c r="T203" s="55"/>
      <c r="U203" s="55"/>
      <c r="V203" s="55"/>
      <c r="W203" s="55"/>
      <c r="X203" s="55"/>
      <c r="Y203" s="55"/>
      <c r="Z203" s="55"/>
      <c r="AA203" s="55"/>
      <c r="AB203" s="55"/>
      <c r="AC203" s="55"/>
      <c r="AD203" s="55"/>
      <c r="AE203" s="55"/>
      <c r="AF203" s="55"/>
      <c r="AG203" s="55"/>
      <c r="AH203" s="1925"/>
      <c r="AI203" s="1925"/>
      <c r="AJ203" s="1925"/>
      <c r="AK203" s="349"/>
      <c r="AL203" s="349"/>
      <c r="AM203" s="349"/>
      <c r="AN203" s="349"/>
      <c r="AO203" s="349"/>
      <c r="AP203" s="6"/>
      <c r="AQ203" s="6"/>
    </row>
    <row r="204" spans="3:43">
      <c r="C204" s="6"/>
      <c r="D204" s="6"/>
      <c r="E204" s="6"/>
      <c r="F204" s="6"/>
      <c r="G204" s="6"/>
      <c r="H204" s="2061"/>
      <c r="I204" s="55"/>
      <c r="J204" s="55"/>
      <c r="K204" s="55"/>
      <c r="L204" s="55"/>
      <c r="M204" s="55"/>
      <c r="N204" s="55"/>
      <c r="O204" s="55"/>
      <c r="P204" s="55"/>
      <c r="Q204" s="55"/>
      <c r="R204" s="55"/>
      <c r="S204" s="55"/>
      <c r="T204" s="55"/>
      <c r="U204" s="55"/>
      <c r="V204" s="55"/>
      <c r="W204" s="55"/>
      <c r="X204" s="55"/>
      <c r="Y204" s="55"/>
      <c r="Z204" s="55"/>
      <c r="AA204" s="55"/>
      <c r="AB204" s="55"/>
      <c r="AC204" s="55"/>
      <c r="AD204" s="55"/>
      <c r="AE204" s="55"/>
      <c r="AF204" s="55"/>
      <c r="AG204" s="55"/>
      <c r="AH204" s="1925"/>
      <c r="AI204" s="1925"/>
      <c r="AJ204" s="1925"/>
      <c r="AK204" s="349"/>
      <c r="AL204" s="349"/>
      <c r="AM204" s="349"/>
      <c r="AN204" s="349"/>
      <c r="AO204" s="349"/>
      <c r="AP204" s="6"/>
      <c r="AQ204" s="6"/>
    </row>
    <row r="205" spans="3:43">
      <c r="C205" s="6"/>
      <c r="D205" s="6"/>
      <c r="E205" s="6"/>
      <c r="F205" s="6"/>
      <c r="G205" s="6"/>
      <c r="H205" s="2061"/>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1925"/>
      <c r="AI205" s="1925"/>
      <c r="AJ205" s="1925"/>
      <c r="AK205" s="349"/>
      <c r="AL205" s="349"/>
      <c r="AM205" s="349"/>
      <c r="AN205" s="349"/>
      <c r="AO205" s="349"/>
      <c r="AP205" s="6"/>
      <c r="AQ205" s="6"/>
    </row>
    <row r="206" spans="3:43">
      <c r="C206" s="6"/>
      <c r="D206" s="6"/>
      <c r="E206" s="6"/>
      <c r="F206" s="6"/>
      <c r="G206" s="6"/>
      <c r="H206" s="2061"/>
      <c r="I206" s="55"/>
      <c r="J206" s="55"/>
      <c r="K206" s="55"/>
      <c r="L206" s="55"/>
      <c r="M206" s="55"/>
      <c r="N206" s="55"/>
      <c r="O206" s="55"/>
      <c r="P206" s="55"/>
      <c r="Q206" s="55"/>
      <c r="R206" s="55"/>
      <c r="S206" s="55"/>
      <c r="T206" s="55"/>
      <c r="U206" s="55"/>
      <c r="V206" s="55"/>
      <c r="W206" s="55"/>
      <c r="X206" s="55"/>
      <c r="Y206" s="55"/>
      <c r="Z206" s="55"/>
      <c r="AA206" s="55"/>
      <c r="AB206" s="55"/>
      <c r="AC206" s="55"/>
      <c r="AD206" s="55"/>
      <c r="AE206" s="55"/>
      <c r="AF206" s="55"/>
      <c r="AG206" s="55"/>
      <c r="AH206" s="1925"/>
      <c r="AI206" s="1925"/>
      <c r="AJ206" s="1925"/>
      <c r="AK206" s="349"/>
      <c r="AL206" s="349"/>
      <c r="AM206" s="349"/>
      <c r="AN206" s="349"/>
      <c r="AO206" s="349"/>
      <c r="AP206" s="6"/>
      <c r="AQ206" s="6"/>
    </row>
    <row r="207" spans="3:43">
      <c r="C207" s="6"/>
      <c r="D207" s="6"/>
      <c r="E207" s="6"/>
      <c r="F207" s="6"/>
      <c r="G207" s="6"/>
      <c r="H207" s="2061"/>
      <c r="I207" s="55"/>
      <c r="J207" s="55"/>
      <c r="K207" s="55"/>
      <c r="L207" s="55"/>
      <c r="M207" s="55"/>
      <c r="N207" s="55"/>
      <c r="O207" s="55"/>
      <c r="P207" s="55"/>
      <c r="Q207" s="55"/>
      <c r="R207" s="55"/>
      <c r="S207" s="55"/>
      <c r="T207" s="55"/>
      <c r="U207" s="55"/>
      <c r="V207" s="55"/>
      <c r="W207" s="55"/>
      <c r="X207" s="55"/>
      <c r="Y207" s="55"/>
      <c r="Z207" s="55"/>
      <c r="AA207" s="55"/>
      <c r="AB207" s="55"/>
      <c r="AC207" s="55"/>
      <c r="AD207" s="55"/>
      <c r="AE207" s="55"/>
      <c r="AF207" s="55"/>
      <c r="AG207" s="55"/>
      <c r="AH207" s="1925"/>
      <c r="AI207" s="1925"/>
      <c r="AJ207" s="1925"/>
      <c r="AK207" s="349"/>
      <c r="AL207" s="349"/>
      <c r="AM207" s="349"/>
      <c r="AN207" s="349"/>
      <c r="AO207" s="349"/>
      <c r="AP207" s="6"/>
      <c r="AQ207" s="6"/>
    </row>
    <row r="208" spans="3:43">
      <c r="C208" s="6"/>
      <c r="D208" s="6"/>
      <c r="E208" s="6"/>
      <c r="F208" s="6"/>
      <c r="G208" s="6"/>
      <c r="H208" s="2061"/>
      <c r="I208" s="55"/>
      <c r="J208" s="55"/>
      <c r="K208" s="55"/>
      <c r="L208" s="55"/>
      <c r="M208" s="55"/>
      <c r="N208" s="55"/>
      <c r="O208" s="55"/>
      <c r="P208" s="55"/>
      <c r="Q208" s="55"/>
      <c r="R208" s="55"/>
      <c r="S208" s="55"/>
      <c r="T208" s="55"/>
      <c r="U208" s="55"/>
      <c r="V208" s="55"/>
      <c r="W208" s="55"/>
      <c r="X208" s="55"/>
      <c r="Y208" s="55"/>
      <c r="Z208" s="55"/>
      <c r="AA208" s="55"/>
      <c r="AB208" s="55"/>
      <c r="AC208" s="55"/>
      <c r="AD208" s="55"/>
      <c r="AE208" s="55"/>
      <c r="AF208" s="55"/>
      <c r="AG208" s="55"/>
      <c r="AH208" s="1925"/>
      <c r="AI208" s="1925"/>
      <c r="AJ208" s="1925"/>
      <c r="AK208" s="349"/>
      <c r="AL208" s="349"/>
      <c r="AM208" s="349"/>
      <c r="AN208" s="349"/>
      <c r="AO208" s="349"/>
      <c r="AP208" s="6"/>
      <c r="AQ208" s="6"/>
    </row>
    <row r="209" spans="3:43">
      <c r="C209" s="6"/>
      <c r="D209" s="6"/>
      <c r="E209" s="6"/>
      <c r="F209" s="6"/>
      <c r="G209" s="6"/>
      <c r="H209" s="2061"/>
      <c r="I209" s="55"/>
      <c r="J209" s="55"/>
      <c r="K209" s="55"/>
      <c r="L209" s="55"/>
      <c r="M209" s="55"/>
      <c r="N209" s="55"/>
      <c r="O209" s="55"/>
      <c r="P209" s="55"/>
      <c r="Q209" s="55"/>
      <c r="R209" s="55"/>
      <c r="S209" s="55"/>
      <c r="T209" s="55"/>
      <c r="U209" s="55"/>
      <c r="V209" s="55"/>
      <c r="W209" s="55"/>
      <c r="X209" s="55"/>
      <c r="Y209" s="55"/>
      <c r="Z209" s="55"/>
      <c r="AA209" s="55"/>
      <c r="AB209" s="55"/>
      <c r="AC209" s="55"/>
      <c r="AD209" s="55"/>
      <c r="AE209" s="55"/>
      <c r="AF209" s="55"/>
      <c r="AG209" s="55"/>
      <c r="AH209" s="1925"/>
      <c r="AI209" s="1925"/>
      <c r="AJ209" s="1925"/>
      <c r="AK209" s="349"/>
      <c r="AL209" s="349"/>
      <c r="AM209" s="349"/>
      <c r="AN209" s="349"/>
      <c r="AO209" s="349"/>
      <c r="AP209" s="6"/>
      <c r="AQ209" s="6"/>
    </row>
    <row r="210" spans="3:43">
      <c r="C210" s="55"/>
      <c r="D210" s="55"/>
      <c r="E210" s="55"/>
      <c r="F210" s="55"/>
      <c r="G210" s="55"/>
      <c r="H210" s="2061"/>
      <c r="I210" s="55"/>
      <c r="J210" s="55"/>
      <c r="K210" s="55"/>
      <c r="L210" s="55"/>
      <c r="M210" s="55"/>
      <c r="N210" s="55"/>
      <c r="O210" s="55"/>
      <c r="P210" s="55"/>
      <c r="Q210" s="55"/>
      <c r="R210" s="55"/>
      <c r="S210" s="55"/>
      <c r="T210" s="55"/>
      <c r="U210" s="55"/>
      <c r="V210" s="55"/>
      <c r="W210" s="55"/>
      <c r="X210" s="55"/>
      <c r="Y210" s="55"/>
      <c r="Z210" s="55"/>
      <c r="AA210" s="55"/>
      <c r="AB210" s="55"/>
      <c r="AC210" s="55"/>
      <c r="AD210" s="55"/>
      <c r="AE210" s="55"/>
      <c r="AF210" s="55"/>
      <c r="AG210" s="55"/>
      <c r="AH210" s="1925"/>
      <c r="AI210" s="1925"/>
      <c r="AJ210" s="1925"/>
      <c r="AK210" s="349"/>
      <c r="AL210" s="349"/>
      <c r="AM210" s="349"/>
      <c r="AN210" s="349"/>
      <c r="AO210" s="349"/>
      <c r="AP210" s="55"/>
      <c r="AQ210" s="55"/>
    </row>
    <row r="211" spans="3:43">
      <c r="C211" s="55"/>
      <c r="D211" s="55"/>
      <c r="E211" s="55"/>
      <c r="F211" s="55"/>
      <c r="G211" s="55"/>
      <c r="H211" s="2061"/>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1925"/>
      <c r="AI211" s="1925"/>
      <c r="AJ211" s="1925"/>
      <c r="AK211" s="349"/>
      <c r="AL211" s="349"/>
      <c r="AM211" s="349"/>
      <c r="AN211" s="349"/>
      <c r="AO211" s="349"/>
      <c r="AP211" s="55"/>
      <c r="AQ211" s="55"/>
    </row>
    <row r="212" spans="3:43">
      <c r="C212" s="55"/>
      <c r="D212" s="55"/>
      <c r="E212" s="55"/>
      <c r="F212" s="55"/>
      <c r="G212" s="55"/>
      <c r="H212" s="2061"/>
      <c r="I212" s="55"/>
      <c r="J212" s="55"/>
      <c r="K212" s="55"/>
      <c r="L212" s="55"/>
      <c r="M212" s="55"/>
      <c r="N212" s="55"/>
      <c r="O212" s="55"/>
      <c r="P212" s="55"/>
      <c r="Q212" s="55"/>
      <c r="R212" s="55"/>
      <c r="S212" s="55"/>
      <c r="T212" s="55"/>
      <c r="U212" s="55"/>
      <c r="V212" s="55"/>
      <c r="W212" s="55"/>
      <c r="X212" s="55"/>
      <c r="Y212" s="55"/>
      <c r="Z212" s="55"/>
      <c r="AA212" s="55"/>
      <c r="AB212" s="55"/>
      <c r="AC212" s="55"/>
      <c r="AD212" s="55"/>
      <c r="AE212" s="55"/>
      <c r="AF212" s="55"/>
      <c r="AG212" s="55"/>
      <c r="AH212" s="1925"/>
      <c r="AI212" s="1925"/>
      <c r="AJ212" s="1925"/>
      <c r="AK212" s="349"/>
      <c r="AL212" s="349"/>
      <c r="AM212" s="349"/>
      <c r="AN212" s="349"/>
      <c r="AO212" s="349"/>
      <c r="AP212" s="55"/>
      <c r="AQ212" s="55"/>
    </row>
    <row r="213" spans="3:43">
      <c r="C213" s="55"/>
      <c r="D213" s="55"/>
      <c r="E213" s="55"/>
      <c r="F213" s="55"/>
      <c r="G213" s="55"/>
      <c r="H213" s="2061"/>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1925"/>
      <c r="AI213" s="1925"/>
      <c r="AJ213" s="1925"/>
      <c r="AK213" s="349"/>
      <c r="AL213" s="349"/>
      <c r="AM213" s="349"/>
      <c r="AN213" s="349"/>
      <c r="AO213" s="349"/>
      <c r="AP213" s="55"/>
      <c r="AQ213" s="55"/>
    </row>
    <row r="214" spans="3:43">
      <c r="C214" s="55"/>
      <c r="D214" s="55"/>
      <c r="E214" s="55"/>
      <c r="F214" s="55"/>
      <c r="G214" s="55"/>
      <c r="H214" s="2061"/>
      <c r="I214" s="55"/>
      <c r="J214" s="55"/>
      <c r="K214" s="55"/>
      <c r="L214" s="55"/>
      <c r="M214" s="55"/>
      <c r="N214" s="55"/>
      <c r="O214" s="55"/>
      <c r="P214" s="55"/>
      <c r="Q214" s="55"/>
      <c r="R214" s="55"/>
      <c r="S214" s="55"/>
      <c r="T214" s="55"/>
      <c r="U214" s="55"/>
      <c r="V214" s="55"/>
      <c r="W214" s="55"/>
      <c r="X214" s="55"/>
      <c r="Y214" s="55"/>
      <c r="Z214" s="55"/>
      <c r="AA214" s="55"/>
      <c r="AB214" s="55"/>
      <c r="AC214" s="55"/>
      <c r="AD214" s="55"/>
      <c r="AE214" s="55"/>
      <c r="AF214" s="55"/>
      <c r="AG214" s="55"/>
      <c r="AH214" s="1925"/>
      <c r="AI214" s="1925"/>
      <c r="AJ214" s="1925"/>
      <c r="AK214" s="349"/>
      <c r="AL214" s="349"/>
      <c r="AM214" s="349"/>
      <c r="AN214" s="349"/>
      <c r="AO214" s="349"/>
      <c r="AP214" s="55"/>
      <c r="AQ214" s="55"/>
    </row>
    <row r="215" spans="3:43">
      <c r="C215" s="55"/>
      <c r="D215" s="55"/>
      <c r="E215" s="55"/>
      <c r="F215" s="55"/>
      <c r="G215" s="55"/>
      <c r="H215" s="2061"/>
      <c r="I215" s="55"/>
      <c r="J215" s="55"/>
      <c r="K215" s="55"/>
      <c r="L215" s="55"/>
      <c r="M215" s="55"/>
      <c r="N215" s="55"/>
      <c r="O215" s="55"/>
      <c r="P215" s="55"/>
      <c r="Q215" s="55"/>
      <c r="R215" s="55"/>
      <c r="S215" s="55"/>
      <c r="T215" s="55"/>
      <c r="U215" s="55"/>
      <c r="V215" s="55"/>
      <c r="W215" s="55"/>
      <c r="X215" s="55"/>
      <c r="Y215" s="55"/>
      <c r="Z215" s="55"/>
      <c r="AA215" s="55"/>
      <c r="AB215" s="55"/>
      <c r="AC215" s="55"/>
      <c r="AD215" s="55"/>
      <c r="AE215" s="55"/>
      <c r="AF215" s="55"/>
      <c r="AG215" s="55"/>
      <c r="AH215" s="1925"/>
      <c r="AI215" s="1925"/>
      <c r="AJ215" s="1925"/>
      <c r="AK215" s="349"/>
      <c r="AL215" s="349"/>
      <c r="AM215" s="349"/>
      <c r="AN215" s="349"/>
      <c r="AO215" s="349"/>
      <c r="AP215" s="55"/>
      <c r="AQ215" s="55"/>
    </row>
    <row r="216" spans="3:43">
      <c r="C216" s="55"/>
      <c r="D216" s="55"/>
      <c r="E216" s="55"/>
      <c r="F216" s="55"/>
      <c r="G216" s="55"/>
      <c r="H216" s="2061"/>
      <c r="I216" s="55"/>
      <c r="J216" s="55"/>
      <c r="K216" s="55"/>
      <c r="L216" s="55"/>
      <c r="M216" s="55"/>
      <c r="N216" s="55"/>
      <c r="O216" s="55"/>
      <c r="P216" s="55"/>
      <c r="Q216" s="55"/>
      <c r="R216" s="55"/>
      <c r="S216" s="55"/>
      <c r="T216" s="55"/>
      <c r="U216" s="55"/>
      <c r="V216" s="55"/>
      <c r="W216" s="55"/>
      <c r="X216" s="55"/>
      <c r="Y216" s="55"/>
      <c r="Z216" s="55"/>
      <c r="AA216" s="55"/>
      <c r="AB216" s="55"/>
      <c r="AC216" s="55"/>
      <c r="AD216" s="55"/>
      <c r="AE216" s="55"/>
      <c r="AF216" s="55"/>
      <c r="AG216" s="55"/>
      <c r="AH216" s="1925"/>
      <c r="AI216" s="1925"/>
      <c r="AJ216" s="1925"/>
      <c r="AK216" s="349"/>
      <c r="AL216" s="349"/>
      <c r="AM216" s="349"/>
      <c r="AN216" s="349"/>
      <c r="AO216" s="349"/>
      <c r="AP216" s="55"/>
      <c r="AQ216" s="55"/>
    </row>
    <row r="217" spans="3:43">
      <c r="C217" s="55"/>
      <c r="D217" s="55"/>
      <c r="E217" s="55"/>
      <c r="F217" s="55"/>
      <c r="G217" s="55"/>
      <c r="H217" s="2061"/>
      <c r="I217" s="55"/>
      <c r="J217" s="55"/>
      <c r="K217" s="55"/>
      <c r="L217" s="55"/>
      <c r="M217" s="55"/>
      <c r="N217" s="55"/>
      <c r="O217" s="55"/>
      <c r="P217" s="55"/>
      <c r="Q217" s="55"/>
      <c r="R217" s="55"/>
      <c r="S217" s="55"/>
      <c r="T217" s="55"/>
      <c r="U217" s="55"/>
      <c r="V217" s="55"/>
      <c r="W217" s="55"/>
      <c r="X217" s="55"/>
      <c r="Y217" s="55"/>
      <c r="Z217" s="55"/>
      <c r="AA217" s="55"/>
      <c r="AB217" s="55"/>
      <c r="AC217" s="55"/>
      <c r="AD217" s="55"/>
      <c r="AE217" s="55"/>
      <c r="AF217" s="55"/>
      <c r="AG217" s="55"/>
      <c r="AH217" s="1925"/>
      <c r="AI217" s="1925"/>
      <c r="AJ217" s="1925"/>
      <c r="AK217" s="349"/>
      <c r="AL217" s="349"/>
      <c r="AM217" s="349"/>
      <c r="AN217" s="349"/>
      <c r="AO217" s="349"/>
      <c r="AP217" s="55"/>
      <c r="AQ217" s="55"/>
    </row>
    <row r="218" spans="3:43">
      <c r="C218" s="55"/>
      <c r="D218" s="55"/>
      <c r="E218" s="55"/>
      <c r="F218" s="55"/>
      <c r="G218" s="55"/>
      <c r="H218" s="2061"/>
      <c r="I218" s="55"/>
      <c r="J218" s="55"/>
      <c r="K218" s="55"/>
      <c r="L218" s="55"/>
      <c r="M218" s="55"/>
      <c r="N218" s="55"/>
      <c r="O218" s="55"/>
      <c r="P218" s="55"/>
      <c r="Q218" s="55"/>
      <c r="R218" s="55"/>
      <c r="S218" s="55"/>
      <c r="T218" s="55"/>
      <c r="U218" s="55"/>
      <c r="V218" s="55"/>
      <c r="W218" s="55"/>
      <c r="X218" s="55"/>
      <c r="Y218" s="55"/>
      <c r="Z218" s="55"/>
      <c r="AA218" s="55"/>
      <c r="AB218" s="55"/>
      <c r="AC218" s="55"/>
      <c r="AD218" s="55"/>
      <c r="AE218" s="55"/>
      <c r="AF218" s="55"/>
      <c r="AG218" s="55"/>
      <c r="AH218" s="1925"/>
      <c r="AI218" s="1925"/>
      <c r="AJ218" s="1925"/>
      <c r="AK218" s="349"/>
      <c r="AL218" s="349"/>
      <c r="AM218" s="349"/>
      <c r="AN218" s="349"/>
      <c r="AO218" s="349"/>
      <c r="AP218" s="55"/>
      <c r="AQ218" s="55"/>
    </row>
    <row r="219" spans="3:43">
      <c r="C219" s="55"/>
      <c r="D219" s="55"/>
      <c r="E219" s="55"/>
      <c r="F219" s="55"/>
      <c r="G219" s="55"/>
      <c r="H219" s="2061"/>
      <c r="I219" s="55"/>
      <c r="J219" s="55"/>
      <c r="K219" s="55"/>
      <c r="L219" s="55"/>
      <c r="M219" s="55"/>
      <c r="N219" s="55"/>
      <c r="O219" s="55"/>
      <c r="P219" s="55"/>
      <c r="Q219" s="55"/>
      <c r="R219" s="55"/>
      <c r="S219" s="55"/>
      <c r="T219" s="55"/>
      <c r="U219" s="55"/>
      <c r="V219" s="55"/>
      <c r="W219" s="55"/>
      <c r="X219" s="55"/>
      <c r="Y219" s="55"/>
      <c r="Z219" s="55"/>
      <c r="AA219" s="55"/>
      <c r="AB219" s="55"/>
      <c r="AC219" s="55"/>
      <c r="AD219" s="55"/>
      <c r="AE219" s="55"/>
      <c r="AF219" s="55"/>
      <c r="AG219" s="55"/>
      <c r="AH219" s="1925"/>
      <c r="AI219" s="1925"/>
      <c r="AJ219" s="1925"/>
      <c r="AK219" s="349"/>
      <c r="AL219" s="349"/>
      <c r="AM219" s="349"/>
      <c r="AN219" s="349"/>
      <c r="AO219" s="349"/>
      <c r="AP219" s="55"/>
      <c r="AQ219" s="55"/>
    </row>
    <row r="220" spans="3:43">
      <c r="C220" s="55"/>
      <c r="D220" s="55"/>
      <c r="E220" s="55"/>
      <c r="F220" s="55"/>
      <c r="G220" s="55"/>
      <c r="H220" s="2061"/>
      <c r="I220" s="55"/>
      <c r="J220" s="55"/>
      <c r="K220" s="55"/>
      <c r="L220" s="55"/>
      <c r="M220" s="55"/>
      <c r="N220" s="55"/>
      <c r="O220" s="55"/>
      <c r="P220" s="55"/>
      <c r="Q220" s="55"/>
      <c r="R220" s="55"/>
      <c r="S220" s="55"/>
      <c r="T220" s="55"/>
      <c r="U220" s="55"/>
      <c r="V220" s="55"/>
      <c r="W220" s="55"/>
      <c r="X220" s="55"/>
      <c r="Y220" s="55"/>
      <c r="Z220" s="55"/>
      <c r="AA220" s="55"/>
      <c r="AB220" s="55"/>
      <c r="AC220" s="55"/>
      <c r="AD220" s="55"/>
      <c r="AE220" s="55"/>
      <c r="AF220" s="55"/>
      <c r="AG220" s="55"/>
      <c r="AH220" s="1925"/>
      <c r="AI220" s="1925"/>
      <c r="AJ220" s="1925"/>
      <c r="AK220" s="349"/>
      <c r="AL220" s="349"/>
      <c r="AM220" s="349"/>
      <c r="AN220" s="349"/>
      <c r="AO220" s="349"/>
      <c r="AP220" s="55"/>
      <c r="AQ220" s="55"/>
    </row>
    <row r="221" spans="3:43">
      <c r="C221" s="55"/>
      <c r="D221" s="55"/>
      <c r="E221" s="55"/>
      <c r="F221" s="55"/>
      <c r="G221" s="55"/>
      <c r="H221" s="2061"/>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1925"/>
      <c r="AI221" s="1925"/>
      <c r="AJ221" s="1925"/>
      <c r="AK221" s="349"/>
      <c r="AL221" s="349"/>
      <c r="AM221" s="349"/>
      <c r="AN221" s="349"/>
      <c r="AO221" s="349"/>
      <c r="AP221" s="55"/>
      <c r="AQ221" s="55"/>
    </row>
    <row r="222" spans="3:43">
      <c r="K222" s="55"/>
      <c r="L222" s="55"/>
      <c r="U222" s="55"/>
      <c r="V222" s="55"/>
      <c r="AE222" s="55"/>
      <c r="AF222" s="55"/>
      <c r="AG222" s="55"/>
      <c r="AH222" s="1925"/>
      <c r="AI222" s="1925"/>
      <c r="AJ222" s="1925"/>
    </row>
    <row r="223" spans="3:43">
      <c r="K223" s="55"/>
      <c r="L223" s="55"/>
      <c r="U223" s="55"/>
      <c r="V223" s="55"/>
      <c r="AE223" s="55"/>
      <c r="AF223" s="55"/>
      <c r="AG223" s="55"/>
      <c r="AH223" s="1925"/>
      <c r="AI223" s="1925"/>
      <c r="AJ223" s="1925"/>
    </row>
    <row r="224" spans="3:43">
      <c r="K224" s="55"/>
      <c r="L224" s="55"/>
      <c r="U224" s="55"/>
      <c r="V224" s="55"/>
      <c r="AE224" s="55"/>
      <c r="AF224" s="55"/>
      <c r="AG224" s="55"/>
      <c r="AH224" s="1925"/>
      <c r="AI224" s="1925"/>
      <c r="AJ224" s="1925"/>
    </row>
  </sheetData>
  <sheetProtection algorithmName="SHA-512" hashValue="76xdaVbF84NhCIkrESBVeyERSpO/jFKZvQgDrFDYbcd4vlsVH8n3AcJI1PHURgCarJFKJZheQw9rgujmzGM9ww==" saltValue="+SRo9Z1vS/7UoQwddJsLFQ==" spinCount="100000" sheet="1" sort="0" autoFilter="0"/>
  <autoFilter ref="A5:B130" xr:uid="{00000000-0009-0000-0000-000011000000}"/>
  <mergeCells count="34">
    <mergeCell ref="I70:K70"/>
    <mergeCell ref="S70:U70"/>
    <mergeCell ref="AC70:AE70"/>
    <mergeCell ref="W4:W5"/>
    <mergeCell ref="X4:X5"/>
    <mergeCell ref="AC4:AF4"/>
    <mergeCell ref="Y4:AB4"/>
    <mergeCell ref="A3:B3"/>
    <mergeCell ref="A4:A5"/>
    <mergeCell ref="B4:B5"/>
    <mergeCell ref="C3:L3"/>
    <mergeCell ref="M3:V3"/>
    <mergeCell ref="C4:C5"/>
    <mergeCell ref="D4:D5"/>
    <mergeCell ref="O4:R4"/>
    <mergeCell ref="S4:V4"/>
    <mergeCell ref="M4:M5"/>
    <mergeCell ref="N4:N5"/>
    <mergeCell ref="AI4:AI5"/>
    <mergeCell ref="AJ4:AJ5"/>
    <mergeCell ref="AH4:AH5"/>
    <mergeCell ref="AO4:AO5"/>
    <mergeCell ref="C2:AF2"/>
    <mergeCell ref="AG3:AQ3"/>
    <mergeCell ref="AG4:AG5"/>
    <mergeCell ref="AQ4:AQ5"/>
    <mergeCell ref="AP4:AP5"/>
    <mergeCell ref="AK4:AK5"/>
    <mergeCell ref="AM4:AM5"/>
    <mergeCell ref="AL4:AL5"/>
    <mergeCell ref="AN4:AN5"/>
    <mergeCell ref="E4:H4"/>
    <mergeCell ref="W3:AF3"/>
    <mergeCell ref="I4:L4"/>
  </mergeCells>
  <phoneticPr fontId="0" type="noConversion"/>
  <printOptions horizontalCentered="1"/>
  <pageMargins left="0.7" right="0.7" top="0.75" bottom="0.5" header="0.3" footer="0.3"/>
  <pageSetup scale="34" fitToHeight="0" orientation="landscape" r:id="rId1"/>
  <headerFooter alignWithMargins="0">
    <oddFooter>&amp;C&amp;P of &amp;N&amp;R&amp;A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pageSetUpPr fitToPage="1"/>
  </sheetPr>
  <dimension ref="A1:I151"/>
  <sheetViews>
    <sheetView showGridLines="0" zoomScale="110" zoomScaleNormal="110" workbookViewId="0">
      <pane ySplit="4" topLeftCell="A5" activePane="bottomLeft" state="frozen"/>
      <selection pane="bottomLeft" activeCell="A3" sqref="A3:B3"/>
    </sheetView>
  </sheetViews>
  <sheetFormatPr defaultRowHeight="12.75"/>
  <cols>
    <col min="1" max="1" width="49.85546875" customWidth="1"/>
    <col min="3" max="4" width="22.5703125" customWidth="1"/>
    <col min="5" max="8" width="11.42578125" customWidth="1"/>
  </cols>
  <sheetData>
    <row r="1" spans="1:8" hidden="1">
      <c r="A1" s="55" t="s">
        <v>896</v>
      </c>
      <c r="C1" s="55" t="s">
        <v>897</v>
      </c>
      <c r="D1" s="55" t="s">
        <v>898</v>
      </c>
    </row>
    <row r="2" spans="1:8" ht="36" customHeight="1" thickBot="1">
      <c r="A2" s="2676" t="s">
        <v>899</v>
      </c>
      <c r="B2" s="2676"/>
      <c r="C2" s="2676"/>
      <c r="D2" s="2676"/>
      <c r="E2" s="2676"/>
      <c r="F2" s="2676"/>
      <c r="G2" s="2676"/>
      <c r="H2" s="2676"/>
    </row>
    <row r="3" spans="1:8" ht="19.5" thickTop="1" thickBot="1">
      <c r="A3" s="2606" t="str">
        <f>'Water Direct Exp (GW-1)'!A3:B3</f>
        <v>2025 (Rev 4)</v>
      </c>
      <c r="B3" s="2677"/>
      <c r="C3" s="2678" t="s">
        <v>900</v>
      </c>
      <c r="D3" s="2680" t="s">
        <v>901</v>
      </c>
      <c r="E3" s="2682" t="s">
        <v>821</v>
      </c>
      <c r="F3" s="2683"/>
      <c r="G3" s="2683"/>
      <c r="H3" s="2684"/>
    </row>
    <row r="4" spans="1:8" ht="80.25" customHeight="1" thickBot="1">
      <c r="A4" s="907" t="s">
        <v>869</v>
      </c>
      <c r="B4" s="908" t="s">
        <v>80</v>
      </c>
      <c r="C4" s="2679"/>
      <c r="D4" s="2681"/>
      <c r="E4" s="2024" t="s">
        <v>902</v>
      </c>
      <c r="F4" s="713" t="s">
        <v>903</v>
      </c>
      <c r="G4" s="707" t="s">
        <v>904</v>
      </c>
      <c r="H4" s="793" t="s">
        <v>905</v>
      </c>
    </row>
    <row r="5" spans="1:8">
      <c r="A5" s="280" t="s">
        <v>391</v>
      </c>
      <c r="B5" s="711" t="s">
        <v>392</v>
      </c>
      <c r="C5" s="1210">
        <f>IF(AND(E5="--",F5="--"),"--", MIN(E5,F5))</f>
        <v>56</v>
      </c>
      <c r="D5" s="1211">
        <f>IF(AND(G5="--",H5="--"),"--", MIN(G5,H5))</f>
        <v>56</v>
      </c>
      <c r="E5" s="712" t="str">
        <f t="shared" ref="E5:E20" si="0">IF(VLOOKUP($A5,Table_IP_8,MATCH("SV-L",heading_IP_8,0),FALSE)="--",VLOOKUP($A5,Table_IP_8,MATCH("SV-L-other",heading_IP_8,0),FALSE),VLOOKUP($A5,Table_IP_8,MATCH("SV-L",heading_IP_8,0),FALSE))</f>
        <v>--</v>
      </c>
      <c r="F5" s="271">
        <f t="shared" ref="F5:F20" si="1">IF(VLOOKUP($A5, Table_IP_8, MATCH("SV-H", heading_IP_8, 0), FALSE)="--",VLOOKUP($A5, Table_IP_8, MATCH("SV-H-other", heading_IP_8, 0), FALSE),VLOOKUP($A5, Table_IP_8, MATCH("SV-H", heading_IP_8, 0), FALSE))</f>
        <v>56</v>
      </c>
      <c r="G5" s="272" t="str">
        <f t="shared" ref="G5:G20" si="2">IF(VLOOKUP($A5, Table_IP_8, MATCH("MV-L", heading_IP_8, 0), FALSE)="--",VLOOKUP($A5, Table_IP_8, MATCH("MV-L-other", heading_IP_8, 0), FALSE),VLOOKUP($A5, Table_IP_8, MATCH("MV-L", heading_IP_8, 0), FALSE))</f>
        <v>--</v>
      </c>
      <c r="H5" s="794">
        <f t="shared" ref="H5:H20" si="3">IF(VLOOKUP($A5, Table_IP_8, MATCH("MV-H", heading_IP_8, 0), FALSE)="--",VLOOKUP($A5, Table_IP_8, MATCH("MV-H-other", heading_IP_8, 0), FALSE),VLOOKUP($A5, Table_IP_8, MATCH("MV-H", heading_IP_8, 0), FALSE))</f>
        <v>56</v>
      </c>
    </row>
    <row r="6" spans="1:8">
      <c r="A6" s="280" t="s">
        <v>85</v>
      </c>
      <c r="B6" s="708" t="s">
        <v>86</v>
      </c>
      <c r="C6" s="1210">
        <f t="shared" ref="C6:C27" si="4">IF(AND(E6="--",F6="--"),"--", MIN(E6,F6))</f>
        <v>2.3999999999999998E-3</v>
      </c>
      <c r="D6" s="1211">
        <f t="shared" ref="D6:D27" si="5">IF(AND(G6="--",H6="--"),"--", MIN(G6,H6))</f>
        <v>0.1</v>
      </c>
      <c r="E6" s="712">
        <f t="shared" si="0"/>
        <v>5.5E-2</v>
      </c>
      <c r="F6" s="271">
        <f t="shared" si="1"/>
        <v>2.3999999999999998E-3</v>
      </c>
      <c r="G6" s="272">
        <f t="shared" si="2"/>
        <v>0.1</v>
      </c>
      <c r="H6" s="794">
        <f t="shared" si="3"/>
        <v>1200</v>
      </c>
    </row>
    <row r="7" spans="1:8">
      <c r="A7" s="280" t="s">
        <v>87</v>
      </c>
      <c r="B7" s="708" t="s">
        <v>88</v>
      </c>
      <c r="C7" s="1210">
        <f t="shared" si="4"/>
        <v>25</v>
      </c>
      <c r="D7" s="1211">
        <f t="shared" si="5"/>
        <v>50</v>
      </c>
      <c r="E7" s="712">
        <f t="shared" si="0"/>
        <v>25</v>
      </c>
      <c r="F7" s="271">
        <f t="shared" si="1"/>
        <v>25</v>
      </c>
      <c r="G7" s="272">
        <f t="shared" si="2"/>
        <v>50</v>
      </c>
      <c r="H7" s="794">
        <f t="shared" si="3"/>
        <v>1500</v>
      </c>
    </row>
    <row r="8" spans="1:8">
      <c r="A8" s="280" t="s">
        <v>89</v>
      </c>
      <c r="B8" s="708" t="s">
        <v>90</v>
      </c>
      <c r="C8" s="1210">
        <f t="shared" si="4"/>
        <v>25</v>
      </c>
      <c r="D8" s="1211">
        <f t="shared" si="5"/>
        <v>50</v>
      </c>
      <c r="E8" s="712">
        <f t="shared" si="0"/>
        <v>25</v>
      </c>
      <c r="F8" s="271">
        <f t="shared" si="1"/>
        <v>51</v>
      </c>
      <c r="G8" s="272">
        <f t="shared" si="2"/>
        <v>50</v>
      </c>
      <c r="H8" s="794">
        <f t="shared" si="3"/>
        <v>330</v>
      </c>
    </row>
    <row r="9" spans="1:8">
      <c r="A9" s="280" t="s">
        <v>91</v>
      </c>
      <c r="B9" s="708" t="s">
        <v>92</v>
      </c>
      <c r="C9" s="1210">
        <f t="shared" si="4"/>
        <v>390</v>
      </c>
      <c r="D9" s="1211">
        <f t="shared" si="5"/>
        <v>670</v>
      </c>
      <c r="E9" s="712">
        <f t="shared" si="0"/>
        <v>1000</v>
      </c>
      <c r="F9" s="271">
        <f t="shared" si="1"/>
        <v>390</v>
      </c>
      <c r="G9" s="272">
        <f t="shared" si="2"/>
        <v>2000</v>
      </c>
      <c r="H9" s="794">
        <f t="shared" si="3"/>
        <v>670</v>
      </c>
    </row>
    <row r="10" spans="1:8">
      <c r="A10" s="280" t="s">
        <v>93</v>
      </c>
      <c r="B10" s="708" t="s">
        <v>94</v>
      </c>
      <c r="C10" s="1210">
        <f t="shared" si="4"/>
        <v>60</v>
      </c>
      <c r="D10" s="1211">
        <f t="shared" si="5"/>
        <v>310</v>
      </c>
      <c r="E10" s="712">
        <f t="shared" si="0"/>
        <v>60</v>
      </c>
      <c r="F10" s="271">
        <f t="shared" si="1"/>
        <v>370</v>
      </c>
      <c r="G10" s="272">
        <f t="shared" si="2"/>
        <v>310</v>
      </c>
      <c r="H10" s="794">
        <f t="shared" si="3"/>
        <v>6800</v>
      </c>
    </row>
    <row r="11" spans="1:8">
      <c r="A11" s="280" t="s">
        <v>95</v>
      </c>
      <c r="B11" s="708" t="s">
        <v>96</v>
      </c>
      <c r="C11" s="1210">
        <f t="shared" si="4"/>
        <v>5</v>
      </c>
      <c r="D11" s="1211">
        <f t="shared" si="5"/>
        <v>10</v>
      </c>
      <c r="E11" s="712">
        <f t="shared" si="0"/>
        <v>5</v>
      </c>
      <c r="F11" s="271">
        <f t="shared" si="1"/>
        <v>13</v>
      </c>
      <c r="G11" s="272">
        <f t="shared" si="2"/>
        <v>10</v>
      </c>
      <c r="H11" s="794" t="str">
        <f t="shared" si="3"/>
        <v>--</v>
      </c>
    </row>
    <row r="12" spans="1:8">
      <c r="A12" s="280" t="s">
        <v>97</v>
      </c>
      <c r="B12" s="708" t="s">
        <v>98</v>
      </c>
      <c r="C12" s="1210" t="str">
        <f t="shared" si="4"/>
        <v>--</v>
      </c>
      <c r="D12" s="1211" t="str">
        <f t="shared" si="5"/>
        <v>--</v>
      </c>
      <c r="E12" s="712" t="str">
        <f t="shared" si="0"/>
        <v>--</v>
      </c>
      <c r="F12" s="271" t="str">
        <f t="shared" si="1"/>
        <v>--</v>
      </c>
      <c r="G12" s="272" t="str">
        <f t="shared" si="2"/>
        <v>--</v>
      </c>
      <c r="H12" s="794" t="str">
        <f t="shared" si="3"/>
        <v>--</v>
      </c>
    </row>
    <row r="13" spans="1:8">
      <c r="A13" s="280" t="s">
        <v>99</v>
      </c>
      <c r="B13" s="708" t="s">
        <v>100</v>
      </c>
      <c r="C13" s="1210" t="str">
        <f t="shared" si="4"/>
        <v>--</v>
      </c>
      <c r="D13" s="1211" t="str">
        <f t="shared" si="5"/>
        <v>--</v>
      </c>
      <c r="E13" s="712" t="str">
        <f t="shared" si="0"/>
        <v>--</v>
      </c>
      <c r="F13" s="271" t="str">
        <f t="shared" si="1"/>
        <v>--</v>
      </c>
      <c r="G13" s="272" t="str">
        <f t="shared" si="2"/>
        <v>--</v>
      </c>
      <c r="H13" s="794" t="str">
        <f t="shared" si="3"/>
        <v>--</v>
      </c>
    </row>
    <row r="14" spans="1:8">
      <c r="A14" s="280" t="s">
        <v>101</v>
      </c>
      <c r="B14" s="708" t="s">
        <v>102</v>
      </c>
      <c r="C14" s="1210" t="str">
        <f t="shared" si="4"/>
        <v>--</v>
      </c>
      <c r="D14" s="1211" t="str">
        <f t="shared" si="5"/>
        <v>--</v>
      </c>
      <c r="E14" s="712" t="str">
        <f t="shared" si="0"/>
        <v>--</v>
      </c>
      <c r="F14" s="271" t="str">
        <f t="shared" si="1"/>
        <v>--</v>
      </c>
      <c r="G14" s="272" t="str">
        <f t="shared" si="2"/>
        <v>--</v>
      </c>
      <c r="H14" s="794" t="str">
        <f t="shared" si="3"/>
        <v>--</v>
      </c>
    </row>
    <row r="15" spans="1:8">
      <c r="A15" s="280" t="s">
        <v>103</v>
      </c>
      <c r="B15" s="708" t="s">
        <v>104</v>
      </c>
      <c r="C15" s="1210">
        <f t="shared" si="4"/>
        <v>0.8</v>
      </c>
      <c r="D15" s="1211">
        <f t="shared" si="5"/>
        <v>35</v>
      </c>
      <c r="E15" s="712">
        <f t="shared" si="0"/>
        <v>17</v>
      </c>
      <c r="F15" s="271">
        <f t="shared" si="1"/>
        <v>0.8</v>
      </c>
      <c r="G15" s="272">
        <f t="shared" si="2"/>
        <v>35</v>
      </c>
      <c r="H15" s="794">
        <f t="shared" si="3"/>
        <v>140000</v>
      </c>
    </row>
    <row r="16" spans="1:8">
      <c r="A16" s="280" t="s">
        <v>105</v>
      </c>
      <c r="B16" s="708" t="s">
        <v>106</v>
      </c>
      <c r="C16" s="1210">
        <f t="shared" si="4"/>
        <v>120</v>
      </c>
      <c r="D16" s="1211">
        <f t="shared" si="5"/>
        <v>120</v>
      </c>
      <c r="E16" s="712" t="str">
        <f t="shared" si="0"/>
        <v>--</v>
      </c>
      <c r="F16" s="271">
        <f t="shared" si="1"/>
        <v>120</v>
      </c>
      <c r="G16" s="272" t="str">
        <f t="shared" si="2"/>
        <v>--</v>
      </c>
      <c r="H16" s="794">
        <f t="shared" si="3"/>
        <v>120</v>
      </c>
    </row>
    <row r="17" spans="1:8">
      <c r="A17" s="280" t="s">
        <v>107</v>
      </c>
      <c r="B17" s="708" t="s">
        <v>108</v>
      </c>
      <c r="C17" s="1210" t="str">
        <f t="shared" si="4"/>
        <v>--</v>
      </c>
      <c r="D17" s="1211" t="str">
        <f t="shared" si="5"/>
        <v>--</v>
      </c>
      <c r="E17" s="712" t="str">
        <f t="shared" si="0"/>
        <v>--</v>
      </c>
      <c r="F17" s="271" t="str">
        <f t="shared" si="1"/>
        <v>--</v>
      </c>
      <c r="G17" s="272" t="str">
        <f t="shared" si="2"/>
        <v>--</v>
      </c>
      <c r="H17" s="794" t="str">
        <f t="shared" si="3"/>
        <v>--</v>
      </c>
    </row>
    <row r="18" spans="1:8">
      <c r="A18" s="280" t="s">
        <v>109</v>
      </c>
      <c r="B18" s="708" t="s">
        <v>110</v>
      </c>
      <c r="C18" s="1210" t="str">
        <f t="shared" si="4"/>
        <v>--</v>
      </c>
      <c r="D18" s="1211" t="str">
        <f t="shared" si="5"/>
        <v>--</v>
      </c>
      <c r="E18" s="712" t="str">
        <f t="shared" si="0"/>
        <v>--</v>
      </c>
      <c r="F18" s="271" t="str">
        <f t="shared" si="1"/>
        <v>--</v>
      </c>
      <c r="G18" s="272" t="str">
        <f t="shared" si="2"/>
        <v>--</v>
      </c>
      <c r="H18" s="794" t="str">
        <f t="shared" si="3"/>
        <v>--</v>
      </c>
    </row>
    <row r="19" spans="1:8">
      <c r="A19" s="280" t="s">
        <v>111</v>
      </c>
      <c r="B19" s="708" t="s">
        <v>112</v>
      </c>
      <c r="C19" s="1210" t="str">
        <f t="shared" si="4"/>
        <v>--</v>
      </c>
      <c r="D19" s="1211" t="str">
        <f t="shared" si="5"/>
        <v>--</v>
      </c>
      <c r="E19" s="712" t="str">
        <f t="shared" si="0"/>
        <v>--</v>
      </c>
      <c r="F19" s="271" t="str">
        <f t="shared" si="1"/>
        <v>--</v>
      </c>
      <c r="G19" s="272" t="str">
        <f t="shared" si="2"/>
        <v>--</v>
      </c>
      <c r="H19" s="794" t="str">
        <f t="shared" si="3"/>
        <v>--</v>
      </c>
    </row>
    <row r="20" spans="1:8">
      <c r="A20" s="280" t="s">
        <v>113</v>
      </c>
      <c r="B20" s="708" t="s">
        <v>114</v>
      </c>
      <c r="C20" s="1210">
        <f t="shared" si="4"/>
        <v>1.9</v>
      </c>
      <c r="D20" s="1211">
        <f t="shared" si="5"/>
        <v>1.9</v>
      </c>
      <c r="E20" s="712">
        <f t="shared" si="0"/>
        <v>12</v>
      </c>
      <c r="F20" s="271">
        <f t="shared" si="1"/>
        <v>1.9</v>
      </c>
      <c r="G20" s="272">
        <f t="shared" si="2"/>
        <v>30</v>
      </c>
      <c r="H20" s="794">
        <f t="shared" si="3"/>
        <v>1.9</v>
      </c>
    </row>
    <row r="21" spans="1:8">
      <c r="A21" s="280" t="s">
        <v>117</v>
      </c>
      <c r="B21" s="708" t="s">
        <v>118</v>
      </c>
      <c r="C21" s="1210">
        <f t="shared" si="4"/>
        <v>7.3</v>
      </c>
      <c r="D21" s="1211">
        <f t="shared" si="5"/>
        <v>15</v>
      </c>
      <c r="E21" s="712">
        <f t="shared" ref="E21:E52" si="6">IF(VLOOKUP($A21,Table_IP_8,MATCH("SV-L",heading_IP_8,0),FALSE)="--",VLOOKUP($A21,Table_IP_8,MATCH("SV-L-other",heading_IP_8,0),FALSE),VLOOKUP($A21,Table_IP_8,MATCH("SV-L",heading_IP_8,0),FALSE))</f>
        <v>7.3</v>
      </c>
      <c r="F21" s="271">
        <f t="shared" ref="F21:F52" si="7">IF(VLOOKUP($A21, Table_IP_8, MATCH("SV-H", heading_IP_8, 0), FALSE)="--",VLOOKUP($A21, Table_IP_8, MATCH("SV-H-other", heading_IP_8, 0), FALSE),VLOOKUP($A21, Table_IP_8, MATCH("SV-H", heading_IP_8, 0), FALSE))</f>
        <v>7.6</v>
      </c>
      <c r="G21" s="272">
        <f t="shared" ref="G21:G52" si="8">IF(VLOOKUP($A21, Table_IP_8, MATCH("MV-L", heading_IP_8, 0), FALSE)="--",VLOOKUP($A21, Table_IP_8, MATCH("MV-L-other", heading_IP_8, 0), FALSE),VLOOKUP($A21, Table_IP_8, MATCH("MV-L", heading_IP_8, 0), FALSE))</f>
        <v>15</v>
      </c>
      <c r="H21" s="794">
        <f t="shared" ref="H21:H52" si="9">IF(VLOOKUP($A21, Table_IP_8, MATCH("MV-H", heading_IP_8, 0), FALSE)="--",VLOOKUP($A21, Table_IP_8, MATCH("MV-H-other", heading_IP_8, 0), FALSE),VLOOKUP($A21, Table_IP_8, MATCH("MV-H", heading_IP_8, 0), FALSE))</f>
        <v>880</v>
      </c>
    </row>
    <row r="22" spans="1:8">
      <c r="A22" s="280" t="s">
        <v>119</v>
      </c>
      <c r="B22" s="708" t="s">
        <v>120</v>
      </c>
      <c r="C22" s="1210">
        <f t="shared" si="4"/>
        <v>8.5000000000000006E-3</v>
      </c>
      <c r="D22" s="1211">
        <f t="shared" si="5"/>
        <v>8.5000000000000006E-3</v>
      </c>
      <c r="E22" s="712">
        <f t="shared" si="6"/>
        <v>1.4</v>
      </c>
      <c r="F22" s="271">
        <f t="shared" si="7"/>
        <v>8.5000000000000006E-3</v>
      </c>
      <c r="G22" s="272">
        <f t="shared" si="8"/>
        <v>2.7</v>
      </c>
      <c r="H22" s="794">
        <f t="shared" si="9"/>
        <v>8.5000000000000006E-3</v>
      </c>
    </row>
    <row r="23" spans="1:8">
      <c r="A23" s="280" t="s">
        <v>121</v>
      </c>
      <c r="B23" s="708" t="s">
        <v>122</v>
      </c>
      <c r="C23" s="1210">
        <f t="shared" si="4"/>
        <v>25</v>
      </c>
      <c r="D23" s="1211">
        <f t="shared" si="5"/>
        <v>50</v>
      </c>
      <c r="E23" s="712">
        <f t="shared" si="6"/>
        <v>25</v>
      </c>
      <c r="F23" s="271" t="str">
        <f t="shared" si="7"/>
        <v>--</v>
      </c>
      <c r="G23" s="272">
        <f t="shared" si="8"/>
        <v>50</v>
      </c>
      <c r="H23" s="794" t="str">
        <f t="shared" si="9"/>
        <v>--</v>
      </c>
    </row>
    <row r="24" spans="1:8">
      <c r="A24" s="280" t="s">
        <v>123</v>
      </c>
      <c r="B24" s="708" t="s">
        <v>124</v>
      </c>
      <c r="C24" s="1210">
        <f t="shared" si="4"/>
        <v>7.5</v>
      </c>
      <c r="D24" s="1211">
        <f t="shared" si="5"/>
        <v>15</v>
      </c>
      <c r="E24" s="712">
        <f t="shared" si="6"/>
        <v>7.5</v>
      </c>
      <c r="F24" s="271" t="str">
        <f t="shared" si="7"/>
        <v>--</v>
      </c>
      <c r="G24" s="272">
        <f t="shared" si="8"/>
        <v>15</v>
      </c>
      <c r="H24" s="794" t="str">
        <f t="shared" si="9"/>
        <v>--</v>
      </c>
    </row>
    <row r="25" spans="1:8">
      <c r="A25" s="280" t="s">
        <v>125</v>
      </c>
      <c r="B25" s="708" t="s">
        <v>126</v>
      </c>
      <c r="C25" s="1210" t="str">
        <f t="shared" si="4"/>
        <v>--</v>
      </c>
      <c r="D25" s="1211" t="str">
        <f t="shared" si="5"/>
        <v>--</v>
      </c>
      <c r="E25" s="712" t="str">
        <f t="shared" si="6"/>
        <v>--</v>
      </c>
      <c r="F25" s="271" t="str">
        <f t="shared" si="7"/>
        <v>--</v>
      </c>
      <c r="G25" s="272" t="str">
        <f t="shared" si="8"/>
        <v>--</v>
      </c>
      <c r="H25" s="794" t="str">
        <f t="shared" si="9"/>
        <v>--</v>
      </c>
    </row>
    <row r="26" spans="1:8">
      <c r="A26" s="280" t="s">
        <v>127</v>
      </c>
      <c r="B26" s="708" t="s">
        <v>128</v>
      </c>
      <c r="C26" s="1210">
        <f t="shared" si="4"/>
        <v>43</v>
      </c>
      <c r="D26" s="1211">
        <f t="shared" si="5"/>
        <v>85</v>
      </c>
      <c r="E26" s="712">
        <f t="shared" si="6"/>
        <v>43</v>
      </c>
      <c r="F26" s="271">
        <f t="shared" si="7"/>
        <v>81</v>
      </c>
      <c r="G26" s="272">
        <f t="shared" si="8"/>
        <v>85</v>
      </c>
      <c r="H26" s="794">
        <f t="shared" si="9"/>
        <v>830</v>
      </c>
    </row>
    <row r="27" spans="1:8">
      <c r="A27" s="280" t="s">
        <v>129</v>
      </c>
      <c r="B27" s="708" t="s">
        <v>130</v>
      </c>
      <c r="C27" s="1210" t="str">
        <f t="shared" si="4"/>
        <v>--</v>
      </c>
      <c r="D27" s="1211" t="str">
        <f t="shared" si="5"/>
        <v>--</v>
      </c>
      <c r="E27" s="712" t="str">
        <f t="shared" si="6"/>
        <v>--</v>
      </c>
      <c r="F27" s="271" t="str">
        <f t="shared" si="7"/>
        <v>--</v>
      </c>
      <c r="G27" s="272" t="str">
        <f t="shared" si="8"/>
        <v>--</v>
      </c>
      <c r="H27" s="794" t="str">
        <f t="shared" si="9"/>
        <v>--</v>
      </c>
    </row>
    <row r="28" spans="1:8">
      <c r="A28" s="280" t="s">
        <v>131</v>
      </c>
      <c r="B28" s="708" t="s">
        <v>132</v>
      </c>
      <c r="C28" s="1210">
        <f t="shared" ref="C28:C29" si="10">IF(AND(E28="--",F28="--"),"--", MIN(E28,F28))</f>
        <v>2</v>
      </c>
      <c r="D28" s="1211">
        <f t="shared" ref="D28:D29" si="11">IF(AND(G28="--",H28="--"),"--", MIN(G28,H28))</f>
        <v>3.9</v>
      </c>
      <c r="E28" s="712">
        <f t="shared" si="6"/>
        <v>2</v>
      </c>
      <c r="F28" s="271" t="str">
        <f t="shared" si="7"/>
        <v>--</v>
      </c>
      <c r="G28" s="272">
        <f t="shared" si="8"/>
        <v>3.9</v>
      </c>
      <c r="H28" s="794" t="str">
        <f t="shared" si="9"/>
        <v>--</v>
      </c>
    </row>
    <row r="29" spans="1:8">
      <c r="A29" s="280" t="s">
        <v>133</v>
      </c>
      <c r="B29" s="708" t="s">
        <v>134</v>
      </c>
      <c r="C29" s="1210">
        <f t="shared" si="10"/>
        <v>160</v>
      </c>
      <c r="D29" s="1211">
        <f t="shared" si="11"/>
        <v>160</v>
      </c>
      <c r="E29" s="712">
        <f t="shared" si="6"/>
        <v>390</v>
      </c>
      <c r="F29" s="271">
        <f t="shared" si="7"/>
        <v>160</v>
      </c>
      <c r="G29" s="272">
        <f t="shared" si="8"/>
        <v>630</v>
      </c>
      <c r="H29" s="794">
        <f t="shared" si="9"/>
        <v>160</v>
      </c>
    </row>
    <row r="30" spans="1:8">
      <c r="A30" s="280" t="s">
        <v>135</v>
      </c>
      <c r="B30" s="708" t="s">
        <v>136</v>
      </c>
      <c r="C30" s="1210" t="str">
        <f t="shared" ref="C30" si="12">IF(AND(E30="--",F30="--"),"--", MIN(E30,F30))</f>
        <v>--</v>
      </c>
      <c r="D30" s="1211" t="str">
        <f t="shared" ref="D30" si="13">IF(AND(G30="--",H30="--"),"--", MIN(G30,H30))</f>
        <v>--</v>
      </c>
      <c r="E30" s="712" t="str">
        <f t="shared" si="6"/>
        <v>--</v>
      </c>
      <c r="F30" s="271" t="str">
        <f t="shared" si="7"/>
        <v>--</v>
      </c>
      <c r="G30" s="272" t="str">
        <f t="shared" si="8"/>
        <v>--</v>
      </c>
      <c r="H30" s="794" t="str">
        <f t="shared" si="9"/>
        <v>--</v>
      </c>
    </row>
    <row r="31" spans="1:8">
      <c r="A31" s="280" t="s">
        <v>137</v>
      </c>
      <c r="B31" s="708" t="s">
        <v>138</v>
      </c>
      <c r="C31" s="1210">
        <f t="shared" ref="C31:C94" si="14">IF(AND(E31="--",F31="--"),"--", MIN(E31,F31))</f>
        <v>10</v>
      </c>
      <c r="D31" s="1211">
        <f t="shared" ref="D31:D94" si="15">IF(AND(G31="--",H31="--"),"--", MIN(G31,H31))</f>
        <v>10</v>
      </c>
      <c r="E31" s="712">
        <f t="shared" si="6"/>
        <v>10</v>
      </c>
      <c r="F31" s="271">
        <f t="shared" si="7"/>
        <v>910</v>
      </c>
      <c r="G31" s="272">
        <f t="shared" si="8"/>
        <v>10</v>
      </c>
      <c r="H31" s="794">
        <f t="shared" si="9"/>
        <v>8500</v>
      </c>
    </row>
    <row r="32" spans="1:8">
      <c r="A32" s="280" t="s">
        <v>139</v>
      </c>
      <c r="B32" s="708" t="s">
        <v>140</v>
      </c>
      <c r="C32" s="1210">
        <f t="shared" si="14"/>
        <v>50</v>
      </c>
      <c r="D32" s="1211">
        <f t="shared" si="15"/>
        <v>100</v>
      </c>
      <c r="E32" s="712">
        <f t="shared" si="6"/>
        <v>50</v>
      </c>
      <c r="F32" s="271">
        <f t="shared" si="7"/>
        <v>180</v>
      </c>
      <c r="G32" s="272">
        <f t="shared" si="8"/>
        <v>100</v>
      </c>
      <c r="H32" s="794">
        <f t="shared" si="9"/>
        <v>180</v>
      </c>
    </row>
    <row r="33" spans="1:8">
      <c r="A33" s="280" t="s">
        <v>141</v>
      </c>
      <c r="B33" s="708" t="s">
        <v>142</v>
      </c>
      <c r="C33" s="1210">
        <f t="shared" si="14"/>
        <v>180</v>
      </c>
      <c r="D33" s="1211">
        <f t="shared" si="15"/>
        <v>300</v>
      </c>
      <c r="E33" s="712">
        <f t="shared" si="6"/>
        <v>180</v>
      </c>
      <c r="F33" s="271">
        <f t="shared" si="7"/>
        <v>280</v>
      </c>
      <c r="G33" s="272">
        <f t="shared" si="8"/>
        <v>300</v>
      </c>
      <c r="H33" s="794">
        <f t="shared" si="9"/>
        <v>3100</v>
      </c>
    </row>
    <row r="34" spans="1:8">
      <c r="A34" s="280" t="s">
        <v>143</v>
      </c>
      <c r="B34" s="708" t="s">
        <v>144</v>
      </c>
      <c r="C34" s="1210">
        <f t="shared" si="14"/>
        <v>0.11</v>
      </c>
      <c r="D34" s="1211">
        <f t="shared" si="15"/>
        <v>0.11</v>
      </c>
      <c r="E34" s="712">
        <f t="shared" si="6"/>
        <v>1.1000000000000001</v>
      </c>
      <c r="F34" s="271">
        <f t="shared" si="7"/>
        <v>0.11</v>
      </c>
      <c r="G34" s="272">
        <f t="shared" si="8"/>
        <v>10</v>
      </c>
      <c r="H34" s="794">
        <f t="shared" si="9"/>
        <v>0.11</v>
      </c>
    </row>
    <row r="35" spans="1:8">
      <c r="A35" s="280" t="s">
        <v>145</v>
      </c>
      <c r="B35" s="708" t="s">
        <v>146</v>
      </c>
      <c r="C35" s="1210" t="str">
        <f t="shared" si="14"/>
        <v>--</v>
      </c>
      <c r="D35" s="1211" t="str">
        <f t="shared" si="15"/>
        <v>--</v>
      </c>
      <c r="E35" s="712" t="str">
        <f t="shared" si="6"/>
        <v>--</v>
      </c>
      <c r="F35" s="271" t="str">
        <f t="shared" si="7"/>
        <v>--</v>
      </c>
      <c r="G35" s="272" t="str">
        <f t="shared" si="8"/>
        <v>--</v>
      </c>
      <c r="H35" s="794" t="str">
        <f t="shared" si="9"/>
        <v>--</v>
      </c>
    </row>
    <row r="36" spans="1:8">
      <c r="A36" s="280" t="s">
        <v>147</v>
      </c>
      <c r="B36" s="708" t="s">
        <v>148</v>
      </c>
      <c r="C36" s="1210" t="str">
        <f t="shared" si="14"/>
        <v>--</v>
      </c>
      <c r="D36" s="1211" t="str">
        <f t="shared" si="15"/>
        <v>--</v>
      </c>
      <c r="E36" s="712" t="str">
        <f t="shared" si="6"/>
        <v>--</v>
      </c>
      <c r="F36" s="271" t="str">
        <f t="shared" si="7"/>
        <v>--</v>
      </c>
      <c r="G36" s="272" t="str">
        <f t="shared" si="8"/>
        <v>--</v>
      </c>
      <c r="H36" s="794" t="str">
        <f t="shared" si="9"/>
        <v>--</v>
      </c>
    </row>
    <row r="37" spans="1:8">
      <c r="A37" s="280" t="s">
        <v>149</v>
      </c>
      <c r="B37" s="708" t="s">
        <v>150</v>
      </c>
      <c r="C37" s="1210" t="str">
        <f t="shared" si="14"/>
        <v>--</v>
      </c>
      <c r="D37" s="1211" t="str">
        <f t="shared" si="15"/>
        <v>--</v>
      </c>
      <c r="E37" s="712" t="str">
        <f t="shared" si="6"/>
        <v>--</v>
      </c>
      <c r="F37" s="271" t="str">
        <f t="shared" si="7"/>
        <v>--</v>
      </c>
      <c r="G37" s="272" t="str">
        <f t="shared" si="8"/>
        <v>--</v>
      </c>
      <c r="H37" s="794" t="str">
        <f t="shared" si="9"/>
        <v>--</v>
      </c>
    </row>
    <row r="38" spans="1:8">
      <c r="A38" s="280" t="s">
        <v>151</v>
      </c>
      <c r="B38" s="708" t="s">
        <v>152</v>
      </c>
      <c r="C38" s="1210">
        <f t="shared" si="14"/>
        <v>4.3</v>
      </c>
      <c r="D38" s="1211">
        <f t="shared" si="15"/>
        <v>8.5</v>
      </c>
      <c r="E38" s="712">
        <f t="shared" si="6"/>
        <v>4.3</v>
      </c>
      <c r="F38" s="271" t="str">
        <f t="shared" si="7"/>
        <v>--</v>
      </c>
      <c r="G38" s="272">
        <f t="shared" si="8"/>
        <v>8.5</v>
      </c>
      <c r="H38" s="794" t="str">
        <f t="shared" si="9"/>
        <v>--</v>
      </c>
    </row>
    <row r="39" spans="1:8">
      <c r="A39" s="280" t="s">
        <v>153</v>
      </c>
      <c r="B39" s="708" t="s">
        <v>154</v>
      </c>
      <c r="C39" s="1210">
        <f t="shared" si="14"/>
        <v>4.5</v>
      </c>
      <c r="D39" s="1211">
        <f t="shared" si="15"/>
        <v>9</v>
      </c>
      <c r="E39" s="712">
        <f t="shared" si="6"/>
        <v>4.5</v>
      </c>
      <c r="F39" s="271" t="str">
        <f t="shared" si="7"/>
        <v>--</v>
      </c>
      <c r="G39" s="272">
        <f t="shared" si="8"/>
        <v>9</v>
      </c>
      <c r="H39" s="794" t="str">
        <f t="shared" si="9"/>
        <v>--</v>
      </c>
    </row>
    <row r="40" spans="1:8">
      <c r="A40" s="280" t="s">
        <v>155</v>
      </c>
      <c r="B40" s="708" t="s">
        <v>156</v>
      </c>
      <c r="C40" s="1210" t="str">
        <f t="shared" si="14"/>
        <v>--</v>
      </c>
      <c r="D40" s="1211" t="str">
        <f t="shared" si="15"/>
        <v>--</v>
      </c>
      <c r="E40" s="712" t="str">
        <f t="shared" si="6"/>
        <v>--</v>
      </c>
      <c r="F40" s="271" t="str">
        <f t="shared" si="7"/>
        <v>--</v>
      </c>
      <c r="G40" s="272" t="str">
        <f t="shared" si="8"/>
        <v>--</v>
      </c>
      <c r="H40" s="794" t="str">
        <f t="shared" si="9"/>
        <v>--</v>
      </c>
    </row>
    <row r="41" spans="1:8">
      <c r="A41" s="280" t="s">
        <v>157</v>
      </c>
      <c r="B41" s="708" t="s">
        <v>158</v>
      </c>
      <c r="C41" s="1210">
        <f t="shared" si="14"/>
        <v>8.5</v>
      </c>
      <c r="D41" s="1211">
        <f t="shared" si="15"/>
        <v>17</v>
      </c>
      <c r="E41" s="712">
        <f t="shared" si="6"/>
        <v>8.5</v>
      </c>
      <c r="F41" s="271" t="str">
        <f t="shared" si="7"/>
        <v>--</v>
      </c>
      <c r="G41" s="272">
        <f t="shared" si="8"/>
        <v>17</v>
      </c>
      <c r="H41" s="794" t="str">
        <f t="shared" si="9"/>
        <v>--</v>
      </c>
    </row>
    <row r="42" spans="1:8">
      <c r="A42" s="280" t="s">
        <v>159</v>
      </c>
      <c r="B42" s="708" t="s">
        <v>160</v>
      </c>
      <c r="C42" s="1210">
        <f t="shared" si="14"/>
        <v>0.33</v>
      </c>
      <c r="D42" s="1211">
        <f t="shared" si="15"/>
        <v>0.65</v>
      </c>
      <c r="E42" s="712">
        <f t="shared" si="6"/>
        <v>0.33</v>
      </c>
      <c r="F42" s="271" t="str">
        <f t="shared" si="7"/>
        <v>--</v>
      </c>
      <c r="G42" s="272">
        <f t="shared" si="8"/>
        <v>0.65</v>
      </c>
      <c r="H42" s="794" t="str">
        <f t="shared" si="9"/>
        <v>--</v>
      </c>
    </row>
    <row r="43" spans="1:8">
      <c r="A43" s="280" t="s">
        <v>161</v>
      </c>
      <c r="B43" s="708" t="s">
        <v>162</v>
      </c>
      <c r="C43" s="1210">
        <f t="shared" si="14"/>
        <v>2.1000000000000001E-2</v>
      </c>
      <c r="D43" s="1211">
        <f t="shared" si="15"/>
        <v>7.8</v>
      </c>
      <c r="E43" s="712">
        <f t="shared" si="6"/>
        <v>1.3</v>
      </c>
      <c r="F43" s="271">
        <f t="shared" si="7"/>
        <v>2.1000000000000001E-2</v>
      </c>
      <c r="G43" s="272">
        <f t="shared" si="8"/>
        <v>7.8</v>
      </c>
      <c r="H43" s="794" t="str">
        <f t="shared" si="9"/>
        <v>--</v>
      </c>
    </row>
    <row r="44" spans="1:8">
      <c r="A44" s="280" t="s">
        <v>163</v>
      </c>
      <c r="B44" s="708" t="s">
        <v>164</v>
      </c>
      <c r="C44" s="1210">
        <f t="shared" si="14"/>
        <v>11</v>
      </c>
      <c r="D44" s="1211">
        <f t="shared" si="15"/>
        <v>21</v>
      </c>
      <c r="E44" s="712">
        <f t="shared" si="6"/>
        <v>11</v>
      </c>
      <c r="F44" s="271" t="str">
        <f t="shared" si="7"/>
        <v>--</v>
      </c>
      <c r="G44" s="272">
        <f>IF(VLOOKUP($A44, Table_IP_8, MATCH("MV-L", heading_IP_8, 0), FALSE)="--",VLOOKUP($A44, Table_IP_8, MATCH("MV-L-other", heading_IP_8, 0), FALSE),VLOOKUP($A44, Table_IP_8, MATCH("MV-L", heading_IP_8, 0), FALSE))</f>
        <v>21</v>
      </c>
      <c r="H44" s="794" t="str">
        <f t="shared" si="9"/>
        <v>--</v>
      </c>
    </row>
    <row r="45" spans="1:8">
      <c r="A45" s="280" t="s">
        <v>165</v>
      </c>
      <c r="B45" s="708" t="s">
        <v>166</v>
      </c>
      <c r="C45" s="1210">
        <f t="shared" si="14"/>
        <v>29</v>
      </c>
      <c r="D45" s="1211">
        <f t="shared" si="15"/>
        <v>29</v>
      </c>
      <c r="E45" s="712">
        <f t="shared" si="6"/>
        <v>60</v>
      </c>
      <c r="F45" s="271">
        <f t="shared" si="7"/>
        <v>29</v>
      </c>
      <c r="G45" s="272">
        <f t="shared" si="8"/>
        <v>120</v>
      </c>
      <c r="H45" s="794">
        <f t="shared" si="9"/>
        <v>29</v>
      </c>
    </row>
    <row r="46" spans="1:8">
      <c r="A46" s="280" t="s">
        <v>167</v>
      </c>
      <c r="B46" s="708" t="s">
        <v>168</v>
      </c>
      <c r="C46" s="1210">
        <f t="shared" si="14"/>
        <v>43</v>
      </c>
      <c r="D46" s="1211">
        <f t="shared" si="15"/>
        <v>130</v>
      </c>
      <c r="E46" s="712">
        <f t="shared" si="6"/>
        <v>63</v>
      </c>
      <c r="F46" s="271">
        <f t="shared" si="7"/>
        <v>43</v>
      </c>
      <c r="G46" s="272">
        <f t="shared" si="8"/>
        <v>130</v>
      </c>
      <c r="H46" s="794">
        <f t="shared" si="9"/>
        <v>760</v>
      </c>
    </row>
    <row r="47" spans="1:8">
      <c r="A47" s="280" t="s">
        <v>169</v>
      </c>
      <c r="B47" s="708" t="s">
        <v>170</v>
      </c>
      <c r="C47" s="1210">
        <f t="shared" si="14"/>
        <v>84</v>
      </c>
      <c r="D47" s="1211">
        <f t="shared" si="15"/>
        <v>940</v>
      </c>
      <c r="E47" s="712" t="str">
        <f t="shared" si="6"/>
        <v>--</v>
      </c>
      <c r="F47" s="271">
        <f t="shared" si="7"/>
        <v>84</v>
      </c>
      <c r="G47" s="272" t="str">
        <f t="shared" si="8"/>
        <v>--</v>
      </c>
      <c r="H47" s="794">
        <f t="shared" si="9"/>
        <v>940</v>
      </c>
    </row>
    <row r="48" spans="1:8">
      <c r="A48" s="280" t="s">
        <v>171</v>
      </c>
      <c r="B48" s="708" t="s">
        <v>172</v>
      </c>
      <c r="C48" s="1210">
        <f t="shared" si="14"/>
        <v>84</v>
      </c>
      <c r="D48" s="1211">
        <f t="shared" si="15"/>
        <v>940</v>
      </c>
      <c r="E48" s="712" t="str">
        <f t="shared" si="6"/>
        <v>--</v>
      </c>
      <c r="F48" s="271">
        <f t="shared" si="7"/>
        <v>84</v>
      </c>
      <c r="G48" s="272" t="str">
        <f t="shared" si="8"/>
        <v>--</v>
      </c>
      <c r="H48" s="794">
        <f t="shared" si="9"/>
        <v>940</v>
      </c>
    </row>
    <row r="49" spans="1:8">
      <c r="A49" s="280" t="s">
        <v>173</v>
      </c>
      <c r="B49" s="708" t="s">
        <v>174</v>
      </c>
      <c r="C49" s="1210">
        <f t="shared" si="14"/>
        <v>2.1</v>
      </c>
      <c r="D49" s="1211" t="str">
        <f t="shared" si="15"/>
        <v>--</v>
      </c>
      <c r="E49" s="712">
        <f t="shared" si="6"/>
        <v>2.1</v>
      </c>
      <c r="F49" s="271" t="str">
        <f t="shared" si="7"/>
        <v>--</v>
      </c>
      <c r="G49" s="272" t="str">
        <f t="shared" si="8"/>
        <v>--</v>
      </c>
      <c r="H49" s="794" t="str">
        <f t="shared" si="9"/>
        <v>--</v>
      </c>
    </row>
    <row r="50" spans="1:8">
      <c r="A50" s="280" t="s">
        <v>175</v>
      </c>
      <c r="B50" s="708" t="s">
        <v>176</v>
      </c>
      <c r="C50" s="1210">
        <f t="shared" si="14"/>
        <v>31</v>
      </c>
      <c r="D50" s="1211">
        <f t="shared" si="15"/>
        <v>63</v>
      </c>
      <c r="E50" s="712">
        <f t="shared" si="6"/>
        <v>31</v>
      </c>
      <c r="F50" s="271" t="str">
        <f t="shared" si="7"/>
        <v>--</v>
      </c>
      <c r="G50" s="272">
        <f t="shared" si="8"/>
        <v>63</v>
      </c>
      <c r="H50" s="794" t="str">
        <f t="shared" si="9"/>
        <v>--</v>
      </c>
    </row>
    <row r="51" spans="1:8">
      <c r="A51" s="280" t="s">
        <v>177</v>
      </c>
      <c r="B51" s="708" t="s">
        <v>178</v>
      </c>
      <c r="C51" s="1210">
        <f t="shared" si="14"/>
        <v>31</v>
      </c>
      <c r="D51" s="1211">
        <f t="shared" si="15"/>
        <v>63</v>
      </c>
      <c r="E51" s="712">
        <f t="shared" si="6"/>
        <v>31</v>
      </c>
      <c r="F51" s="271" t="str">
        <f t="shared" si="7"/>
        <v>--</v>
      </c>
      <c r="G51" s="272">
        <f t="shared" si="8"/>
        <v>63</v>
      </c>
      <c r="H51" s="794" t="str">
        <f t="shared" si="9"/>
        <v>--</v>
      </c>
    </row>
    <row r="52" spans="1:8">
      <c r="A52" s="280" t="s">
        <v>179</v>
      </c>
      <c r="B52" s="708" t="s">
        <v>180</v>
      </c>
      <c r="C52" s="1210">
        <f t="shared" si="14"/>
        <v>9.6000000000000002E-4</v>
      </c>
      <c r="D52" s="1211">
        <f t="shared" si="15"/>
        <v>0.11</v>
      </c>
      <c r="E52" s="712">
        <f t="shared" si="6"/>
        <v>5.5E-2</v>
      </c>
      <c r="F52" s="271">
        <f t="shared" si="7"/>
        <v>9.6000000000000002E-4</v>
      </c>
      <c r="G52" s="272">
        <f t="shared" si="8"/>
        <v>0.11</v>
      </c>
      <c r="H52" s="794">
        <f t="shared" si="9"/>
        <v>240</v>
      </c>
    </row>
    <row r="53" spans="1:8">
      <c r="A53" s="280" t="s">
        <v>181</v>
      </c>
      <c r="B53" s="708" t="s">
        <v>182</v>
      </c>
      <c r="C53" s="1210">
        <f t="shared" si="14"/>
        <v>13</v>
      </c>
      <c r="D53" s="1211">
        <f t="shared" si="15"/>
        <v>27</v>
      </c>
      <c r="E53" s="712">
        <f t="shared" ref="E53:E84" si="16">IF(VLOOKUP($A53,Table_IP_8,MATCH("SV-L",heading_IP_8,0),FALSE)="--",VLOOKUP($A53,Table_IP_8,MATCH("SV-L-other",heading_IP_8,0),FALSE),VLOOKUP($A53,Table_IP_8,MATCH("SV-L",heading_IP_8,0),FALSE))</f>
        <v>13</v>
      </c>
      <c r="F53" s="271">
        <f t="shared" ref="F53:F84" si="17">IF(VLOOKUP($A53, Table_IP_8, MATCH("SV-H", heading_IP_8, 0), FALSE)="--",VLOOKUP($A53, Table_IP_8, MATCH("SV-H-other", heading_IP_8, 0), FALSE),VLOOKUP($A53, Table_IP_8, MATCH("SV-H", heading_IP_8, 0), FALSE))</f>
        <v>85</v>
      </c>
      <c r="G53" s="272">
        <f t="shared" ref="G53:G84" si="18">IF(VLOOKUP($A53, Table_IP_8, MATCH("MV-L", heading_IP_8, 0), FALSE)="--",VLOOKUP($A53, Table_IP_8, MATCH("MV-L-other", heading_IP_8, 0), FALSE),VLOOKUP($A53, Table_IP_8, MATCH("MV-L", heading_IP_8, 0), FALSE))</f>
        <v>27</v>
      </c>
      <c r="H53" s="794">
        <f t="shared" ref="H53:H84" si="19">IF(VLOOKUP($A53, Table_IP_8, MATCH("MV-H", heading_IP_8, 0), FALSE)="--",VLOOKUP($A53, Table_IP_8, MATCH("MV-H-other", heading_IP_8, 0), FALSE),VLOOKUP($A53, Table_IP_8, MATCH("MV-H", heading_IP_8, 0), FALSE))</f>
        <v>1000000</v>
      </c>
    </row>
    <row r="54" spans="1:8">
      <c r="A54" s="280" t="s">
        <v>183</v>
      </c>
      <c r="B54" s="708" t="s">
        <v>184</v>
      </c>
      <c r="C54" s="1210" t="str">
        <f t="shared" si="14"/>
        <v>--</v>
      </c>
      <c r="D54" s="1211" t="str">
        <f t="shared" si="15"/>
        <v>--</v>
      </c>
      <c r="E54" s="712" t="str">
        <f t="shared" si="16"/>
        <v>--</v>
      </c>
      <c r="F54" s="271" t="str">
        <f t="shared" si="17"/>
        <v>--</v>
      </c>
      <c r="G54" s="272" t="str">
        <f t="shared" si="18"/>
        <v>--</v>
      </c>
      <c r="H54" s="794" t="str">
        <f t="shared" si="19"/>
        <v>--</v>
      </c>
    </row>
    <row r="55" spans="1:8">
      <c r="A55" s="280" t="s">
        <v>185</v>
      </c>
      <c r="B55" s="708" t="s">
        <v>186</v>
      </c>
      <c r="C55" s="1210" t="str">
        <f t="shared" si="14"/>
        <v>--</v>
      </c>
      <c r="D55" s="1211" t="str">
        <f t="shared" si="15"/>
        <v>--</v>
      </c>
      <c r="E55" s="712" t="str">
        <f t="shared" si="16"/>
        <v>--</v>
      </c>
      <c r="F55" s="271" t="str">
        <f t="shared" si="17"/>
        <v>--</v>
      </c>
      <c r="G55" s="272" t="str">
        <f t="shared" si="18"/>
        <v>--</v>
      </c>
      <c r="H55" s="794" t="str">
        <f t="shared" si="19"/>
        <v>--</v>
      </c>
    </row>
    <row r="56" spans="1:8">
      <c r="A56" s="280" t="s">
        <v>187</v>
      </c>
      <c r="B56" s="708" t="s">
        <v>188</v>
      </c>
      <c r="C56" s="1210" t="str">
        <f t="shared" si="14"/>
        <v>--</v>
      </c>
      <c r="D56" s="1211" t="str">
        <f t="shared" si="15"/>
        <v>--</v>
      </c>
      <c r="E56" s="712" t="str">
        <f t="shared" si="16"/>
        <v>--</v>
      </c>
      <c r="F56" s="271" t="str">
        <f t="shared" si="17"/>
        <v>--</v>
      </c>
      <c r="G56" s="272" t="str">
        <f t="shared" si="18"/>
        <v>--</v>
      </c>
      <c r="H56" s="794" t="str">
        <f t="shared" si="19"/>
        <v>--</v>
      </c>
    </row>
    <row r="57" spans="1:8">
      <c r="A57" s="280" t="s">
        <v>189</v>
      </c>
      <c r="B57" s="708" t="s">
        <v>190</v>
      </c>
      <c r="C57" s="1210">
        <f t="shared" si="14"/>
        <v>1.8</v>
      </c>
      <c r="D57" s="1211">
        <f t="shared" si="15"/>
        <v>1.8</v>
      </c>
      <c r="E57" s="712" t="str">
        <f t="shared" si="16"/>
        <v>--</v>
      </c>
      <c r="F57" s="271">
        <f t="shared" si="17"/>
        <v>1.8</v>
      </c>
      <c r="G57" s="272" t="str">
        <f t="shared" si="18"/>
        <v>--</v>
      </c>
      <c r="H57" s="794">
        <f t="shared" si="19"/>
        <v>1.8</v>
      </c>
    </row>
    <row r="58" spans="1:8">
      <c r="A58" s="280" t="s">
        <v>191</v>
      </c>
      <c r="B58" s="708" t="s">
        <v>192</v>
      </c>
      <c r="C58" s="1210">
        <f t="shared" si="14"/>
        <v>1.2999999999999999E-5</v>
      </c>
      <c r="D58" s="1211">
        <f t="shared" si="15"/>
        <v>9.8999999999999994E-5</v>
      </c>
      <c r="E58" s="712" t="str">
        <f t="shared" si="16"/>
        <v>--</v>
      </c>
      <c r="F58" s="271">
        <f t="shared" si="17"/>
        <v>1.2999999999999999E-5</v>
      </c>
      <c r="G58" s="272" t="str">
        <f t="shared" si="18"/>
        <v>--</v>
      </c>
      <c r="H58" s="794">
        <f t="shared" si="19"/>
        <v>9.8999999999999994E-5</v>
      </c>
    </row>
    <row r="59" spans="1:8">
      <c r="A59" s="280" t="s">
        <v>193</v>
      </c>
      <c r="B59" s="708" t="s">
        <v>194</v>
      </c>
      <c r="C59" s="1210">
        <f t="shared" si="14"/>
        <v>2.3E-2</v>
      </c>
      <c r="D59" s="1211">
        <f t="shared" si="15"/>
        <v>0.38</v>
      </c>
      <c r="E59" s="712">
        <f t="shared" si="16"/>
        <v>0.19</v>
      </c>
      <c r="F59" s="271">
        <f t="shared" si="17"/>
        <v>2.3E-2</v>
      </c>
      <c r="G59" s="272">
        <f t="shared" si="18"/>
        <v>0.38</v>
      </c>
      <c r="H59" s="794">
        <f t="shared" si="19"/>
        <v>1.2</v>
      </c>
    </row>
    <row r="60" spans="1:8">
      <c r="A60" s="280" t="s">
        <v>195</v>
      </c>
      <c r="B60" s="708" t="s">
        <v>196</v>
      </c>
      <c r="C60" s="1210">
        <f t="shared" si="14"/>
        <v>1.1000000000000001E-3</v>
      </c>
      <c r="D60" s="1211">
        <f t="shared" si="15"/>
        <v>1.1000000000000001E-3</v>
      </c>
      <c r="E60" s="712">
        <f t="shared" si="16"/>
        <v>2.4E-2</v>
      </c>
      <c r="F60" s="271">
        <f t="shared" si="17"/>
        <v>1.1000000000000001E-3</v>
      </c>
      <c r="G60" s="272">
        <f t="shared" si="18"/>
        <v>4.8000000000000001E-2</v>
      </c>
      <c r="H60" s="794">
        <f t="shared" si="19"/>
        <v>1.1000000000000001E-3</v>
      </c>
    </row>
    <row r="61" spans="1:8">
      <c r="A61" s="280" t="s">
        <v>197</v>
      </c>
      <c r="B61" s="708" t="s">
        <v>198</v>
      </c>
      <c r="C61" s="1210">
        <f t="shared" si="14"/>
        <v>90</v>
      </c>
      <c r="D61" s="1211">
        <f t="shared" si="15"/>
        <v>430</v>
      </c>
      <c r="E61" s="712">
        <f t="shared" si="16"/>
        <v>120</v>
      </c>
      <c r="F61" s="271">
        <f t="shared" si="17"/>
        <v>90</v>
      </c>
      <c r="G61" s="272">
        <f t="shared" si="18"/>
        <v>430</v>
      </c>
      <c r="H61" s="794">
        <f t="shared" si="19"/>
        <v>38000</v>
      </c>
    </row>
    <row r="62" spans="1:8">
      <c r="A62" s="280" t="s">
        <v>199</v>
      </c>
      <c r="B62" s="708" t="s">
        <v>200</v>
      </c>
      <c r="C62" s="1210">
        <f t="shared" si="14"/>
        <v>0.25</v>
      </c>
      <c r="D62" s="1211">
        <f t="shared" si="15"/>
        <v>0.5</v>
      </c>
      <c r="E62" s="712">
        <f t="shared" si="16"/>
        <v>0.25</v>
      </c>
      <c r="F62" s="271">
        <f t="shared" si="17"/>
        <v>3.9</v>
      </c>
      <c r="G62" s="272">
        <f t="shared" si="18"/>
        <v>0.5</v>
      </c>
      <c r="H62" s="794">
        <f t="shared" si="19"/>
        <v>1100</v>
      </c>
    </row>
    <row r="63" spans="1:8">
      <c r="A63" s="280" t="s">
        <v>201</v>
      </c>
      <c r="B63" s="708" t="s">
        <v>202</v>
      </c>
      <c r="C63" s="1210" t="str">
        <f t="shared" si="14"/>
        <v>--</v>
      </c>
      <c r="D63" s="1211" t="str">
        <f t="shared" si="15"/>
        <v>--</v>
      </c>
      <c r="E63" s="712" t="str">
        <f t="shared" si="16"/>
        <v>--</v>
      </c>
      <c r="F63" s="271" t="str">
        <f t="shared" si="17"/>
        <v>--</v>
      </c>
      <c r="G63" s="272" t="str">
        <f t="shared" si="18"/>
        <v>--</v>
      </c>
      <c r="H63" s="794" t="str">
        <f t="shared" si="19"/>
        <v>--</v>
      </c>
    </row>
    <row r="64" spans="1:8">
      <c r="A64" s="280" t="s">
        <v>203</v>
      </c>
      <c r="B64" s="708" t="s">
        <v>204</v>
      </c>
      <c r="C64" s="1210">
        <f t="shared" si="14"/>
        <v>130</v>
      </c>
      <c r="D64" s="1211">
        <f t="shared" si="15"/>
        <v>250</v>
      </c>
      <c r="E64" s="712">
        <f t="shared" si="16"/>
        <v>130</v>
      </c>
      <c r="F64" s="271" t="str">
        <f t="shared" si="17"/>
        <v>--</v>
      </c>
      <c r="G64" s="272">
        <f t="shared" si="18"/>
        <v>250</v>
      </c>
      <c r="H64" s="794" t="str">
        <f t="shared" si="19"/>
        <v>--</v>
      </c>
    </row>
    <row r="65" spans="1:8">
      <c r="A65" s="280" t="s">
        <v>205</v>
      </c>
      <c r="B65" s="708" t="s">
        <v>206</v>
      </c>
      <c r="C65" s="1210" t="str">
        <f t="shared" si="14"/>
        <v>--</v>
      </c>
      <c r="D65" s="1211" t="str">
        <f t="shared" si="15"/>
        <v>--</v>
      </c>
      <c r="E65" s="712" t="str">
        <f t="shared" si="16"/>
        <v>--</v>
      </c>
      <c r="F65" s="271" t="str">
        <f t="shared" si="17"/>
        <v>--</v>
      </c>
      <c r="G65" s="272" t="str">
        <f t="shared" si="18"/>
        <v>--</v>
      </c>
      <c r="H65" s="794" t="str">
        <f t="shared" si="19"/>
        <v>--</v>
      </c>
    </row>
    <row r="66" spans="1:8">
      <c r="A66" s="2108" t="s">
        <v>4279</v>
      </c>
      <c r="B66" s="708" t="s">
        <v>208</v>
      </c>
      <c r="C66" s="1210">
        <f t="shared" si="14"/>
        <v>7.4</v>
      </c>
      <c r="D66" s="1211">
        <f t="shared" si="15"/>
        <v>15</v>
      </c>
      <c r="E66" s="712">
        <f t="shared" si="16"/>
        <v>7.4</v>
      </c>
      <c r="F66" s="271" t="str">
        <f t="shared" si="17"/>
        <v>--</v>
      </c>
      <c r="G66" s="272">
        <f t="shared" si="18"/>
        <v>15</v>
      </c>
      <c r="H66" s="794" t="str">
        <f t="shared" si="19"/>
        <v>--</v>
      </c>
    </row>
    <row r="67" spans="1:8">
      <c r="A67" s="280" t="s">
        <v>209</v>
      </c>
      <c r="B67" s="708" t="s">
        <v>210</v>
      </c>
      <c r="C67" s="1210" t="str">
        <f t="shared" si="14"/>
        <v>--</v>
      </c>
      <c r="D67" s="1211" t="str">
        <f t="shared" si="15"/>
        <v>--</v>
      </c>
      <c r="E67" s="712" t="str">
        <f t="shared" si="16"/>
        <v>--</v>
      </c>
      <c r="F67" s="271" t="str">
        <f t="shared" si="17"/>
        <v>--</v>
      </c>
      <c r="G67" s="272" t="str">
        <f t="shared" si="18"/>
        <v>--</v>
      </c>
      <c r="H67" s="794" t="str">
        <f t="shared" si="19"/>
        <v>--</v>
      </c>
    </row>
    <row r="68" spans="1:8">
      <c r="A68" s="280" t="s">
        <v>211</v>
      </c>
      <c r="B68" s="708" t="s">
        <v>212</v>
      </c>
      <c r="C68" s="1210">
        <f t="shared" si="14"/>
        <v>32</v>
      </c>
      <c r="D68" s="1211">
        <f t="shared" si="15"/>
        <v>32</v>
      </c>
      <c r="E68" s="712">
        <f t="shared" si="16"/>
        <v>310</v>
      </c>
      <c r="F68" s="271">
        <f t="shared" si="17"/>
        <v>32</v>
      </c>
      <c r="G68" s="272">
        <f t="shared" si="18"/>
        <v>1400</v>
      </c>
      <c r="H68" s="794">
        <f t="shared" si="19"/>
        <v>32</v>
      </c>
    </row>
    <row r="69" spans="1:8">
      <c r="A69" s="280" t="s">
        <v>213</v>
      </c>
      <c r="B69" s="708" t="s">
        <v>214</v>
      </c>
      <c r="C69" s="1210">
        <f t="shared" si="14"/>
        <v>15</v>
      </c>
      <c r="D69" s="1211">
        <f t="shared" si="15"/>
        <v>20</v>
      </c>
      <c r="E69" s="712">
        <f t="shared" si="16"/>
        <v>15</v>
      </c>
      <c r="F69" s="271">
        <f t="shared" si="17"/>
        <v>20</v>
      </c>
      <c r="G69" s="272">
        <f t="shared" si="18"/>
        <v>63</v>
      </c>
      <c r="H69" s="794">
        <f t="shared" si="19"/>
        <v>20</v>
      </c>
    </row>
    <row r="70" spans="1:8">
      <c r="A70" s="280" t="s">
        <v>215</v>
      </c>
      <c r="B70" s="708" t="s">
        <v>216</v>
      </c>
      <c r="C70" s="1210">
        <f t="shared" si="14"/>
        <v>0.13</v>
      </c>
      <c r="D70" s="1211">
        <f t="shared" si="15"/>
        <v>4100</v>
      </c>
      <c r="E70" s="712" t="str">
        <f t="shared" si="16"/>
        <v>--</v>
      </c>
      <c r="F70" s="271">
        <f t="shared" si="17"/>
        <v>0.13</v>
      </c>
      <c r="G70" s="272" t="str">
        <f t="shared" si="18"/>
        <v>--</v>
      </c>
      <c r="H70" s="794">
        <f t="shared" si="19"/>
        <v>4100</v>
      </c>
    </row>
    <row r="71" spans="1:8">
      <c r="A71" s="280" t="s">
        <v>217</v>
      </c>
      <c r="B71" s="708" t="s">
        <v>218</v>
      </c>
      <c r="C71" s="1210">
        <f t="shared" si="14"/>
        <v>0.98</v>
      </c>
      <c r="D71" s="1211">
        <f t="shared" si="15"/>
        <v>2</v>
      </c>
      <c r="E71" s="712">
        <f t="shared" si="16"/>
        <v>0.98</v>
      </c>
      <c r="F71" s="271">
        <f t="shared" si="17"/>
        <v>350</v>
      </c>
      <c r="G71" s="272">
        <f t="shared" si="18"/>
        <v>2</v>
      </c>
      <c r="H71" s="794">
        <f t="shared" si="19"/>
        <v>400</v>
      </c>
    </row>
    <row r="72" spans="1:8">
      <c r="A72" s="280" t="s">
        <v>219</v>
      </c>
      <c r="B72" s="708" t="s">
        <v>220</v>
      </c>
      <c r="C72" s="1210">
        <f t="shared" si="14"/>
        <v>44</v>
      </c>
      <c r="D72" s="1211">
        <f t="shared" si="15"/>
        <v>88</v>
      </c>
      <c r="E72" s="712">
        <f t="shared" si="16"/>
        <v>44</v>
      </c>
      <c r="F72" s="271">
        <f t="shared" si="17"/>
        <v>9900</v>
      </c>
      <c r="G72" s="272">
        <f t="shared" si="18"/>
        <v>88</v>
      </c>
      <c r="H72" s="794">
        <f t="shared" si="19"/>
        <v>9900</v>
      </c>
    </row>
    <row r="73" spans="1:8">
      <c r="A73" s="280" t="s">
        <v>221</v>
      </c>
      <c r="B73" s="708" t="s">
        <v>222</v>
      </c>
      <c r="C73" s="1210" t="str">
        <f t="shared" si="14"/>
        <v>--</v>
      </c>
      <c r="D73" s="1211" t="str">
        <f t="shared" si="15"/>
        <v>--</v>
      </c>
      <c r="E73" s="712" t="str">
        <f t="shared" si="16"/>
        <v>--</v>
      </c>
      <c r="F73" s="271" t="str">
        <f t="shared" si="17"/>
        <v>--</v>
      </c>
      <c r="G73" s="272" t="str">
        <f t="shared" si="18"/>
        <v>--</v>
      </c>
      <c r="H73" s="794" t="str">
        <f t="shared" si="19"/>
        <v>--</v>
      </c>
    </row>
    <row r="74" spans="1:8">
      <c r="A74" s="280" t="s">
        <v>223</v>
      </c>
      <c r="B74" s="708" t="s">
        <v>224</v>
      </c>
      <c r="C74" s="1210">
        <f t="shared" si="14"/>
        <v>3.4000000000000002E-2</v>
      </c>
      <c r="D74" s="1211">
        <f t="shared" si="15"/>
        <v>3.4000000000000002E-2</v>
      </c>
      <c r="E74" s="712">
        <f t="shared" si="16"/>
        <v>0.8</v>
      </c>
      <c r="F74" s="271">
        <f t="shared" si="17"/>
        <v>3.4000000000000002E-2</v>
      </c>
      <c r="G74" s="272">
        <f t="shared" si="18"/>
        <v>2</v>
      </c>
      <c r="H74" s="794">
        <f t="shared" si="19"/>
        <v>3.4000000000000002E-2</v>
      </c>
    </row>
    <row r="75" spans="1:8">
      <c r="A75" s="280" t="s">
        <v>225</v>
      </c>
      <c r="B75" s="708" t="s">
        <v>226</v>
      </c>
      <c r="C75" s="1210" t="str">
        <f t="shared" si="14"/>
        <v>--</v>
      </c>
      <c r="D75" s="1211" t="str">
        <f t="shared" si="15"/>
        <v>--</v>
      </c>
      <c r="E75" s="712" t="str">
        <f t="shared" si="16"/>
        <v>--</v>
      </c>
      <c r="F75" s="271" t="str">
        <f t="shared" si="17"/>
        <v>--</v>
      </c>
      <c r="G75" s="272" t="str">
        <f t="shared" si="18"/>
        <v>--</v>
      </c>
      <c r="H75" s="794" t="str">
        <f t="shared" si="19"/>
        <v>--</v>
      </c>
    </row>
    <row r="76" spans="1:8">
      <c r="A76" s="280" t="s">
        <v>227</v>
      </c>
      <c r="B76" s="708" t="s">
        <v>228</v>
      </c>
      <c r="C76" s="1210">
        <f t="shared" si="14"/>
        <v>31</v>
      </c>
      <c r="D76" s="1211">
        <f t="shared" si="15"/>
        <v>63</v>
      </c>
      <c r="E76" s="712">
        <f t="shared" si="16"/>
        <v>31</v>
      </c>
      <c r="F76" s="271" t="str">
        <f t="shared" si="17"/>
        <v>--</v>
      </c>
      <c r="G76" s="272">
        <f t="shared" si="18"/>
        <v>63</v>
      </c>
      <c r="H76" s="794" t="str">
        <f t="shared" si="19"/>
        <v>--</v>
      </c>
    </row>
    <row r="77" spans="1:8">
      <c r="A77" s="280" t="s">
        <v>229</v>
      </c>
      <c r="B77" s="708" t="s">
        <v>230</v>
      </c>
      <c r="C77" s="1210">
        <f t="shared" si="14"/>
        <v>6.9</v>
      </c>
      <c r="D77" s="1211">
        <f t="shared" si="15"/>
        <v>40</v>
      </c>
      <c r="E77" s="712">
        <f t="shared" si="16"/>
        <v>40</v>
      </c>
      <c r="F77" s="271">
        <f t="shared" si="17"/>
        <v>6.9</v>
      </c>
      <c r="G77" s="272">
        <f t="shared" si="18"/>
        <v>40</v>
      </c>
      <c r="H77" s="794">
        <f t="shared" si="19"/>
        <v>74</v>
      </c>
    </row>
    <row r="78" spans="1:8">
      <c r="A78" s="280" t="s">
        <v>231</v>
      </c>
      <c r="B78" s="708" t="s">
        <v>232</v>
      </c>
      <c r="C78" s="1210">
        <f t="shared" si="14"/>
        <v>130</v>
      </c>
      <c r="D78" s="1211">
        <f t="shared" si="15"/>
        <v>340</v>
      </c>
      <c r="E78" s="712">
        <f t="shared" si="16"/>
        <v>130</v>
      </c>
      <c r="F78" s="271">
        <f t="shared" si="17"/>
        <v>5000</v>
      </c>
      <c r="G78" s="272">
        <f t="shared" si="18"/>
        <v>340</v>
      </c>
      <c r="H78" s="794">
        <f t="shared" si="19"/>
        <v>5400</v>
      </c>
    </row>
    <row r="79" spans="1:8">
      <c r="A79" s="280" t="s">
        <v>233</v>
      </c>
      <c r="B79" s="708" t="s">
        <v>234</v>
      </c>
      <c r="C79" s="1210">
        <f t="shared" si="14"/>
        <v>6600</v>
      </c>
      <c r="D79" s="1211">
        <f t="shared" si="15"/>
        <v>46000</v>
      </c>
      <c r="E79" s="712" t="str">
        <f t="shared" si="16"/>
        <v>--</v>
      </c>
      <c r="F79" s="271">
        <f t="shared" si="17"/>
        <v>6600</v>
      </c>
      <c r="G79" s="272" t="str">
        <f t="shared" si="18"/>
        <v>--</v>
      </c>
      <c r="H79" s="794">
        <f t="shared" si="19"/>
        <v>46000</v>
      </c>
    </row>
    <row r="80" spans="1:8">
      <c r="A80" s="280" t="s">
        <v>235</v>
      </c>
      <c r="B80" s="708" t="s">
        <v>236</v>
      </c>
      <c r="C80" s="1210">
        <f t="shared" si="14"/>
        <v>3.1</v>
      </c>
      <c r="D80" s="1211">
        <f t="shared" si="15"/>
        <v>40</v>
      </c>
      <c r="E80" s="712">
        <f t="shared" si="16"/>
        <v>3.1</v>
      </c>
      <c r="F80" s="271">
        <f t="shared" si="17"/>
        <v>38000</v>
      </c>
      <c r="G80" s="272">
        <f t="shared" si="18"/>
        <v>40</v>
      </c>
      <c r="H80" s="794">
        <f t="shared" si="19"/>
        <v>470000</v>
      </c>
    </row>
    <row r="81" spans="1:9">
      <c r="A81" s="280" t="s">
        <v>237</v>
      </c>
      <c r="B81" s="708" t="s">
        <v>238</v>
      </c>
      <c r="C81" s="1210">
        <f t="shared" si="14"/>
        <v>0.63</v>
      </c>
      <c r="D81" s="1211">
        <f t="shared" si="15"/>
        <v>1.3</v>
      </c>
      <c r="E81" s="712">
        <f t="shared" si="16"/>
        <v>0.63</v>
      </c>
      <c r="F81" s="271" t="str">
        <f t="shared" si="17"/>
        <v>--</v>
      </c>
      <c r="G81" s="272">
        <f t="shared" si="18"/>
        <v>1.3</v>
      </c>
      <c r="H81" s="794" t="str">
        <f t="shared" si="19"/>
        <v>--</v>
      </c>
    </row>
    <row r="82" spans="1:9">
      <c r="A82" s="280" t="s">
        <v>239</v>
      </c>
      <c r="B82" s="708" t="s">
        <v>240</v>
      </c>
      <c r="C82" s="1210">
        <f t="shared" si="14"/>
        <v>25</v>
      </c>
      <c r="D82" s="1211">
        <f t="shared" si="15"/>
        <v>90</v>
      </c>
      <c r="E82" s="712">
        <f t="shared" si="16"/>
        <v>25</v>
      </c>
      <c r="F82" s="271">
        <f t="shared" si="17"/>
        <v>1600</v>
      </c>
      <c r="G82" s="272">
        <f t="shared" si="18"/>
        <v>90</v>
      </c>
      <c r="H82" s="794">
        <f t="shared" si="19"/>
        <v>46000</v>
      </c>
    </row>
    <row r="83" spans="1:9">
      <c r="A83" s="280" t="s">
        <v>241</v>
      </c>
      <c r="B83" s="708" t="s">
        <v>242</v>
      </c>
      <c r="C83" s="1210" t="str">
        <f t="shared" si="14"/>
        <v>--</v>
      </c>
      <c r="D83" s="1211" t="str">
        <f t="shared" si="15"/>
        <v>--</v>
      </c>
      <c r="E83" s="712" t="str">
        <f t="shared" si="16"/>
        <v>--</v>
      </c>
      <c r="F83" s="271" t="str">
        <f t="shared" si="17"/>
        <v>--</v>
      </c>
      <c r="G83" s="272" t="str">
        <f t="shared" si="18"/>
        <v>--</v>
      </c>
      <c r="H83" s="794" t="str">
        <f t="shared" si="19"/>
        <v>--</v>
      </c>
    </row>
    <row r="84" spans="1:9">
      <c r="A84" s="280" t="s">
        <v>243</v>
      </c>
      <c r="B84" s="708" t="s">
        <v>244</v>
      </c>
      <c r="C84" s="1210">
        <f t="shared" si="14"/>
        <v>9.5</v>
      </c>
      <c r="D84" s="1211">
        <f t="shared" si="15"/>
        <v>19</v>
      </c>
      <c r="E84" s="712">
        <f t="shared" si="16"/>
        <v>9.5</v>
      </c>
      <c r="F84" s="271" t="str">
        <f t="shared" si="17"/>
        <v>--</v>
      </c>
      <c r="G84" s="272">
        <f t="shared" si="18"/>
        <v>19</v>
      </c>
      <c r="H84" s="794" t="str">
        <f t="shared" si="19"/>
        <v>--</v>
      </c>
      <c r="I84" s="55"/>
    </row>
    <row r="85" spans="1:9">
      <c r="A85" s="280" t="s">
        <v>245</v>
      </c>
      <c r="B85" s="708" t="s">
        <v>246</v>
      </c>
      <c r="C85" s="1210">
        <f t="shared" si="14"/>
        <v>8.8000000000000007</v>
      </c>
      <c r="D85" s="1211">
        <f t="shared" si="15"/>
        <v>18</v>
      </c>
      <c r="E85" s="712">
        <f t="shared" ref="E85:E97" si="20">IF(VLOOKUP($A85,Table_IP_8,MATCH("SV-L",heading_IP_8,0),FALSE)="--",VLOOKUP($A85,Table_IP_8,MATCH("SV-L-other",heading_IP_8,0),FALSE),VLOOKUP($A85,Table_IP_8,MATCH("SV-L",heading_IP_8,0),FALSE))</f>
        <v>8.8000000000000007</v>
      </c>
      <c r="F85" s="271" t="str">
        <f t="shared" ref="F85:F97" si="21">IF(VLOOKUP($A85, Table_IP_8, MATCH("SV-H", heading_IP_8, 0), FALSE)="--",VLOOKUP($A85, Table_IP_8, MATCH("SV-H-other", heading_IP_8, 0), FALSE),VLOOKUP($A85, Table_IP_8, MATCH("SV-H", heading_IP_8, 0), FALSE))</f>
        <v>--</v>
      </c>
      <c r="G85" s="272">
        <f t="shared" ref="G85:G97" si="22">IF(VLOOKUP($A85, Table_IP_8, MATCH("MV-L", heading_IP_8, 0), FALSE)="--",VLOOKUP($A85, Table_IP_8, MATCH("MV-L-other", heading_IP_8, 0), FALSE),VLOOKUP($A85, Table_IP_8, MATCH("MV-L", heading_IP_8, 0), FALSE))</f>
        <v>18</v>
      </c>
      <c r="H85" s="794" t="str">
        <f t="shared" ref="H85:H97" si="23">IF(VLOOKUP($A85, Table_IP_8, MATCH("MV-H", heading_IP_8, 0), FALSE)="--",VLOOKUP($A85, Table_IP_8, MATCH("MV-H-other", heading_IP_8, 0), FALSE),VLOOKUP($A85, Table_IP_8, MATCH("MV-H", heading_IP_8, 0), FALSE))</f>
        <v>--</v>
      </c>
    </row>
    <row r="86" spans="1:9">
      <c r="A86" s="280" t="s">
        <v>247</v>
      </c>
      <c r="B86" s="708" t="s">
        <v>248</v>
      </c>
      <c r="C86" s="1210" t="str">
        <f t="shared" si="14"/>
        <v>--</v>
      </c>
      <c r="D86" s="1211" t="str">
        <f t="shared" si="15"/>
        <v>--</v>
      </c>
      <c r="E86" s="712" t="str">
        <f t="shared" si="20"/>
        <v>--</v>
      </c>
      <c r="F86" s="271" t="str">
        <f t="shared" si="21"/>
        <v>--</v>
      </c>
      <c r="G86" s="272" t="str">
        <f t="shared" si="22"/>
        <v>--</v>
      </c>
      <c r="H86" s="794" t="str">
        <f t="shared" si="23"/>
        <v>--</v>
      </c>
    </row>
    <row r="87" spans="1:9">
      <c r="A87" s="280" t="s">
        <v>249</v>
      </c>
      <c r="B87" s="708" t="s">
        <v>250</v>
      </c>
      <c r="C87" s="1210">
        <f t="shared" si="14"/>
        <v>0.69</v>
      </c>
      <c r="D87" s="1211">
        <f t="shared" si="15"/>
        <v>120000</v>
      </c>
      <c r="E87" s="712">
        <f t="shared" si="20"/>
        <v>63</v>
      </c>
      <c r="F87" s="271">
        <f t="shared" si="21"/>
        <v>0.69</v>
      </c>
      <c r="G87" s="272" t="str">
        <f t="shared" si="22"/>
        <v>--</v>
      </c>
      <c r="H87" s="794">
        <f t="shared" si="23"/>
        <v>120000</v>
      </c>
    </row>
    <row r="88" spans="1:9">
      <c r="A88" s="280" t="s">
        <v>251</v>
      </c>
      <c r="B88" s="708" t="s">
        <v>252</v>
      </c>
      <c r="C88" s="1210" t="str">
        <f t="shared" si="14"/>
        <v>--</v>
      </c>
      <c r="D88" s="1211" t="str">
        <f t="shared" si="15"/>
        <v>--</v>
      </c>
      <c r="E88" s="712" t="str">
        <f t="shared" si="20"/>
        <v>--</v>
      </c>
      <c r="F88" s="271" t="str">
        <f t="shared" si="21"/>
        <v>--</v>
      </c>
      <c r="G88" s="272" t="str">
        <f t="shared" si="22"/>
        <v>--</v>
      </c>
      <c r="H88" s="794" t="str">
        <f t="shared" si="23"/>
        <v>--</v>
      </c>
    </row>
    <row r="89" spans="1:9">
      <c r="A89" s="280" t="s">
        <v>253</v>
      </c>
      <c r="B89" s="708" t="s">
        <v>254</v>
      </c>
      <c r="C89" s="1210">
        <f t="shared" si="14"/>
        <v>0.48</v>
      </c>
      <c r="D89" s="1211">
        <f t="shared" si="15"/>
        <v>0.95</v>
      </c>
      <c r="E89" s="712">
        <f t="shared" si="20"/>
        <v>0.48</v>
      </c>
      <c r="F89" s="271" t="str">
        <f t="shared" si="21"/>
        <v>--</v>
      </c>
      <c r="G89" s="272">
        <f t="shared" si="22"/>
        <v>0.95</v>
      </c>
      <c r="H89" s="794" t="str">
        <f t="shared" si="23"/>
        <v>--</v>
      </c>
    </row>
    <row r="90" spans="1:9">
      <c r="A90" s="280" t="s">
        <v>255</v>
      </c>
      <c r="B90" s="708" t="s">
        <v>256</v>
      </c>
      <c r="C90" s="1210">
        <f t="shared" si="14"/>
        <v>0.75</v>
      </c>
      <c r="D90" s="1211">
        <f t="shared" si="15"/>
        <v>28</v>
      </c>
      <c r="E90" s="712">
        <f t="shared" si="20"/>
        <v>0.75</v>
      </c>
      <c r="F90" s="271">
        <f t="shared" si="21"/>
        <v>380</v>
      </c>
      <c r="G90" s="272">
        <f t="shared" si="22"/>
        <v>28</v>
      </c>
      <c r="H90" s="794">
        <f t="shared" si="23"/>
        <v>1300</v>
      </c>
    </row>
    <row r="91" spans="1:9">
      <c r="A91" s="280" t="s">
        <v>257</v>
      </c>
      <c r="B91" s="708" t="s">
        <v>258</v>
      </c>
      <c r="C91" s="1210">
        <f t="shared" si="14"/>
        <v>4700</v>
      </c>
      <c r="D91" s="1211">
        <f t="shared" si="15"/>
        <v>99000</v>
      </c>
      <c r="E91" s="712" t="str">
        <f t="shared" si="20"/>
        <v>--</v>
      </c>
      <c r="F91" s="271">
        <f t="shared" si="21"/>
        <v>4700</v>
      </c>
      <c r="G91" s="272" t="str">
        <f t="shared" si="22"/>
        <v>--</v>
      </c>
      <c r="H91" s="794">
        <f t="shared" si="23"/>
        <v>99000</v>
      </c>
    </row>
    <row r="92" spans="1:9">
      <c r="A92" s="280" t="s">
        <v>259</v>
      </c>
      <c r="B92" s="708" t="s">
        <v>260</v>
      </c>
      <c r="C92" s="1210">
        <f t="shared" si="14"/>
        <v>1.2999999999999999E-2</v>
      </c>
      <c r="D92" s="1211">
        <f t="shared" si="15"/>
        <v>39</v>
      </c>
      <c r="E92" s="712">
        <f t="shared" si="20"/>
        <v>21</v>
      </c>
      <c r="F92" s="271">
        <f t="shared" si="21"/>
        <v>1.2999999999999999E-2</v>
      </c>
      <c r="G92" s="272">
        <f t="shared" si="22"/>
        <v>39</v>
      </c>
      <c r="H92" s="794">
        <f t="shared" si="23"/>
        <v>2000</v>
      </c>
    </row>
    <row r="93" spans="1:9">
      <c r="A93" s="280" t="s">
        <v>261</v>
      </c>
      <c r="B93" s="708" t="s">
        <v>1261</v>
      </c>
      <c r="C93" s="1210" t="str">
        <f t="shared" si="14"/>
        <v>--</v>
      </c>
      <c r="D93" s="1211" t="str">
        <f t="shared" si="15"/>
        <v>--</v>
      </c>
      <c r="E93" s="712" t="str">
        <f t="shared" si="20"/>
        <v>--</v>
      </c>
      <c r="F93" s="271" t="str">
        <f t="shared" si="21"/>
        <v>--</v>
      </c>
      <c r="G93" s="272" t="str">
        <f t="shared" si="22"/>
        <v>--</v>
      </c>
      <c r="H93" s="794" t="str">
        <f t="shared" si="23"/>
        <v>--</v>
      </c>
      <c r="I93" s="55"/>
    </row>
    <row r="94" spans="1:9">
      <c r="A94" s="280" t="s">
        <v>263</v>
      </c>
      <c r="B94" s="708" t="s">
        <v>115</v>
      </c>
      <c r="C94" s="1210">
        <f t="shared" si="14"/>
        <v>120</v>
      </c>
      <c r="D94" s="1211">
        <f t="shared" si="15"/>
        <v>120</v>
      </c>
      <c r="E94" s="712">
        <f t="shared" si="20"/>
        <v>120</v>
      </c>
      <c r="F94" s="271" t="str">
        <f t="shared" si="21"/>
        <v>--</v>
      </c>
      <c r="G94" s="272">
        <f t="shared" si="22"/>
        <v>120</v>
      </c>
      <c r="H94" s="794" t="str">
        <f t="shared" si="23"/>
        <v>--</v>
      </c>
    </row>
    <row r="95" spans="1:9">
      <c r="A95" s="280" t="s">
        <v>264</v>
      </c>
      <c r="B95" s="708" t="s">
        <v>115</v>
      </c>
      <c r="C95" s="1210">
        <f t="shared" ref="C95:C123" si="24">IF(AND(E95="--",F95="--"),"--", MIN(E95,F95))</f>
        <v>260</v>
      </c>
      <c r="D95" s="1211">
        <f t="shared" ref="D95:D123" si="25">IF(AND(G95="--",H95="--"),"--", MIN(G95,H95))</f>
        <v>260</v>
      </c>
      <c r="E95" s="712">
        <f t="shared" si="20"/>
        <v>260</v>
      </c>
      <c r="F95" s="271" t="str">
        <f t="shared" si="21"/>
        <v>--</v>
      </c>
      <c r="G95" s="272">
        <f t="shared" si="22"/>
        <v>260</v>
      </c>
      <c r="H95" s="794" t="str">
        <f t="shared" si="23"/>
        <v>--</v>
      </c>
      <c r="I95" s="55"/>
    </row>
    <row r="96" spans="1:9">
      <c r="A96" s="280" t="s">
        <v>265</v>
      </c>
      <c r="B96" s="708" t="s">
        <v>115</v>
      </c>
      <c r="C96" s="1210">
        <f t="shared" ref="C96:C100" si="26">IF(AND(E96="--",F96="--"),"--", MIN(E96,F96))</f>
        <v>260</v>
      </c>
      <c r="D96" s="1211">
        <f t="shared" ref="D96:D101" si="27">IF(AND(G96="--",H96="--"),"--", MIN(G96,H96))</f>
        <v>260</v>
      </c>
      <c r="E96" s="712">
        <f t="shared" si="20"/>
        <v>260</v>
      </c>
      <c r="F96" s="271" t="str">
        <f t="shared" si="21"/>
        <v>--</v>
      </c>
      <c r="G96" s="272">
        <f t="shared" si="22"/>
        <v>260</v>
      </c>
      <c r="H96" s="794" t="str">
        <f t="shared" si="23"/>
        <v>--</v>
      </c>
      <c r="I96" s="55"/>
    </row>
    <row r="97" spans="1:9">
      <c r="A97" s="280" t="s">
        <v>266</v>
      </c>
      <c r="B97" s="708" t="s">
        <v>115</v>
      </c>
      <c r="C97" s="1210">
        <f t="shared" si="26"/>
        <v>260</v>
      </c>
      <c r="D97" s="1211">
        <f t="shared" si="27"/>
        <v>260</v>
      </c>
      <c r="E97" s="712">
        <f t="shared" si="20"/>
        <v>260</v>
      </c>
      <c r="F97" s="271" t="str">
        <f t="shared" si="21"/>
        <v>--</v>
      </c>
      <c r="G97" s="272">
        <f t="shared" si="22"/>
        <v>260</v>
      </c>
      <c r="H97" s="794" t="str">
        <f t="shared" si="23"/>
        <v>--</v>
      </c>
      <c r="I97" s="55"/>
    </row>
    <row r="98" spans="1:9">
      <c r="A98" s="1381" t="s">
        <v>267</v>
      </c>
      <c r="B98" s="709" t="s">
        <v>115</v>
      </c>
      <c r="C98" s="389" t="s">
        <v>115</v>
      </c>
      <c r="D98" s="715" t="s">
        <v>115</v>
      </c>
      <c r="E98" s="343"/>
      <c r="F98" s="359"/>
      <c r="G98" s="358"/>
      <c r="H98" s="795"/>
      <c r="I98" s="55"/>
    </row>
    <row r="99" spans="1:9">
      <c r="A99" s="280" t="s">
        <v>268</v>
      </c>
      <c r="B99" s="708" t="s">
        <v>115</v>
      </c>
      <c r="C99" s="1210">
        <f>IF(AND(E99="--",F99="--"),"--", MIN(E99,F99))</f>
        <v>1600</v>
      </c>
      <c r="D99" s="1211">
        <f t="shared" si="27"/>
        <v>1600</v>
      </c>
      <c r="E99" s="712">
        <f>IF(VLOOKUP($A99,Table_IP_8,MATCH("SV-L",heading_IP_8,0),FALSE)="--",VLOOKUP($A99,Table_IP_8,MATCH("SV-L-other",heading_IP_8,0),FALSE),VLOOKUP($A99,Table_IP_8,MATCH("SV-L",heading_IP_8,0),FALSE))</f>
        <v>1600</v>
      </c>
      <c r="F99" s="271" t="str">
        <f t="shared" ref="F99:F138" si="28">IF(VLOOKUP($A99, Table_IP_8, MATCH("SV-H", heading_IP_8, 0), FALSE)="--",VLOOKUP($A99, Table_IP_8, MATCH("SV-H-other", heading_IP_8, 0), FALSE),VLOOKUP($A99, Table_IP_8, MATCH("SV-H", heading_IP_8, 0), FALSE))</f>
        <v>--</v>
      </c>
      <c r="G99" s="272">
        <f t="shared" ref="G99:G138" si="29">IF(VLOOKUP($A99, Table_IP_8, MATCH("MV-L", heading_IP_8, 0), FALSE)="--",VLOOKUP($A99, Table_IP_8, MATCH("MV-L-other", heading_IP_8, 0), FALSE),VLOOKUP($A99, Table_IP_8, MATCH("MV-L", heading_IP_8, 0), FALSE))</f>
        <v>1600</v>
      </c>
      <c r="H99" s="794" t="str">
        <f t="shared" ref="H99:H138" si="30">IF(VLOOKUP($A99, Table_IP_8, MATCH("MV-H", heading_IP_8, 0), FALSE)="--",VLOOKUP($A99, Table_IP_8, MATCH("MV-H-other", heading_IP_8, 0), FALSE),VLOOKUP($A99, Table_IP_8, MATCH("MV-H", heading_IP_8, 0), FALSE))</f>
        <v>--</v>
      </c>
      <c r="I99" s="55"/>
    </row>
    <row r="100" spans="1:9">
      <c r="A100" s="280" t="s">
        <v>269</v>
      </c>
      <c r="B100" s="708" t="s">
        <v>270</v>
      </c>
      <c r="C100" s="1210" t="str">
        <f t="shared" si="26"/>
        <v>--</v>
      </c>
      <c r="D100" s="1211" t="str">
        <f t="shared" si="27"/>
        <v>--</v>
      </c>
      <c r="E100" s="712" t="str">
        <f t="shared" ref="E100:E138" si="31">IF(VLOOKUP($A100,Table_IP_8,MATCH("SV-L",heading_IP_8,0),FALSE)="--",VLOOKUP($A100,Table_IP_8,MATCH("SV-L-other",heading_IP_8,0),FALSE),VLOOKUP($A100,Table_IP_8,MATCH("SV-L",heading_IP_8,0),FALSE))</f>
        <v>--</v>
      </c>
      <c r="F100" s="271" t="str">
        <f t="shared" si="28"/>
        <v>--</v>
      </c>
      <c r="G100" s="272" t="str">
        <f t="shared" si="29"/>
        <v>--</v>
      </c>
      <c r="H100" s="794" t="str">
        <f t="shared" si="30"/>
        <v>--</v>
      </c>
      <c r="I100" s="55"/>
    </row>
    <row r="101" spans="1:9">
      <c r="A101" s="280" t="s">
        <v>271</v>
      </c>
      <c r="B101" s="708" t="s">
        <v>272</v>
      </c>
      <c r="C101" s="1210">
        <f>IF(AND(E101="--",F101="--"),"--", MIN(E101,F101))</f>
        <v>2.98</v>
      </c>
      <c r="D101" s="1211">
        <f t="shared" si="27"/>
        <v>70</v>
      </c>
      <c r="E101" s="712">
        <f>IF(VLOOKUP($A101,Table_IP_8,MATCH("SV-L",heading_IP_8,0),FALSE)="--",VLOOKUP($A101,Table_IP_8,MATCH("SV-L-other",heading_IP_8,0),FALSE),VLOOKUP($A101,Table_IP_8,MATCH("SV-L",heading_IP_8,0),FALSE))</f>
        <v>642</v>
      </c>
      <c r="F101" s="271">
        <f t="shared" si="28"/>
        <v>2.98</v>
      </c>
      <c r="G101" s="272">
        <f t="shared" si="29"/>
        <v>642</v>
      </c>
      <c r="H101" s="794">
        <f t="shared" si="30"/>
        <v>70</v>
      </c>
      <c r="I101" s="55"/>
    </row>
    <row r="102" spans="1:9">
      <c r="A102" s="280" t="s">
        <v>273</v>
      </c>
      <c r="B102" s="708" t="s">
        <v>274</v>
      </c>
      <c r="C102" s="1210" t="str">
        <f t="shared" ref="C102" si="32">IF(AND(E102="--",F102="--"),"--", MIN(E102,F102))</f>
        <v>--</v>
      </c>
      <c r="D102" s="1211" t="str">
        <f t="shared" ref="D102" si="33">IF(AND(G102="--",H102="--"),"--", MIN(G102,H102))</f>
        <v>--</v>
      </c>
      <c r="E102" s="712" t="str">
        <f t="shared" si="31"/>
        <v>--</v>
      </c>
      <c r="F102" s="271" t="str">
        <f t="shared" si="28"/>
        <v>--</v>
      </c>
      <c r="G102" s="272" t="str">
        <f t="shared" si="29"/>
        <v>--</v>
      </c>
      <c r="H102" s="794" t="str">
        <f t="shared" si="30"/>
        <v>--</v>
      </c>
      <c r="I102" s="55"/>
    </row>
    <row r="103" spans="1:9">
      <c r="A103" s="280" t="s">
        <v>275</v>
      </c>
      <c r="B103" s="708" t="s">
        <v>276</v>
      </c>
      <c r="C103" s="1210">
        <f>IF(AND(E103="--",F103="--"),"--", MIN(E103,F103))</f>
        <v>6.2</v>
      </c>
      <c r="D103" s="1211">
        <f t="shared" si="25"/>
        <v>260</v>
      </c>
      <c r="E103" s="712" t="str">
        <f t="shared" si="31"/>
        <v>--</v>
      </c>
      <c r="F103" s="271">
        <f t="shared" si="28"/>
        <v>6.2</v>
      </c>
      <c r="G103" s="272" t="str">
        <f t="shared" si="29"/>
        <v>--</v>
      </c>
      <c r="H103" s="794">
        <f t="shared" si="30"/>
        <v>260</v>
      </c>
    </row>
    <row r="104" spans="1:9">
      <c r="A104" s="280" t="s">
        <v>277</v>
      </c>
      <c r="B104" s="708" t="s">
        <v>278</v>
      </c>
      <c r="C104" s="1210">
        <f t="shared" si="24"/>
        <v>1</v>
      </c>
      <c r="D104" s="1211">
        <f t="shared" si="25"/>
        <v>100</v>
      </c>
      <c r="E104" s="712">
        <f t="shared" si="31"/>
        <v>1</v>
      </c>
      <c r="F104" s="271" t="str">
        <f t="shared" si="28"/>
        <v>--</v>
      </c>
      <c r="G104" s="272">
        <f t="shared" si="29"/>
        <v>100</v>
      </c>
      <c r="H104" s="794" t="str">
        <f t="shared" si="30"/>
        <v>--</v>
      </c>
    </row>
    <row r="105" spans="1:9">
      <c r="A105" s="280" t="s">
        <v>279</v>
      </c>
      <c r="B105" s="708" t="s">
        <v>280</v>
      </c>
      <c r="C105" s="1210">
        <f t="shared" si="24"/>
        <v>8.4000000000000005E-2</v>
      </c>
      <c r="D105" s="1211">
        <f t="shared" si="25"/>
        <v>0.84</v>
      </c>
      <c r="E105" s="712">
        <f t="shared" si="31"/>
        <v>8.4000000000000005E-2</v>
      </c>
      <c r="F105" s="271">
        <f t="shared" si="28"/>
        <v>0.56999999999999995</v>
      </c>
      <c r="G105" s="272">
        <f t="shared" si="29"/>
        <v>0.84</v>
      </c>
      <c r="H105" s="794">
        <f t="shared" si="30"/>
        <v>1.1000000000000001</v>
      </c>
    </row>
    <row r="106" spans="1:9">
      <c r="A106" s="280" t="s">
        <v>281</v>
      </c>
      <c r="B106" s="708" t="s">
        <v>282</v>
      </c>
      <c r="C106" s="1210">
        <f t="shared" si="24"/>
        <v>2.4199999999999999E-2</v>
      </c>
      <c r="D106" s="1211">
        <f t="shared" si="25"/>
        <v>1.3</v>
      </c>
      <c r="E106" s="712">
        <f t="shared" si="31"/>
        <v>1</v>
      </c>
      <c r="F106" s="271">
        <f t="shared" si="28"/>
        <v>2.4199999999999999E-2</v>
      </c>
      <c r="G106" s="272">
        <f t="shared" si="29"/>
        <v>100</v>
      </c>
      <c r="H106" s="794">
        <f t="shared" si="30"/>
        <v>1.3</v>
      </c>
    </row>
    <row r="107" spans="1:9">
      <c r="A107" s="280" t="s">
        <v>283</v>
      </c>
      <c r="B107" s="708" t="s">
        <v>284</v>
      </c>
      <c r="C107" s="1210">
        <f t="shared" si="24"/>
        <v>6.7699999999999996E-2</v>
      </c>
      <c r="D107" s="1211">
        <f t="shared" si="25"/>
        <v>6.7699999999999996E-2</v>
      </c>
      <c r="E107" s="712">
        <f t="shared" si="31"/>
        <v>51</v>
      </c>
      <c r="F107" s="271">
        <f t="shared" si="28"/>
        <v>6.7699999999999996E-2</v>
      </c>
      <c r="G107" s="272">
        <f t="shared" si="29"/>
        <v>51</v>
      </c>
      <c r="H107" s="794">
        <f t="shared" si="30"/>
        <v>6.7699999999999996E-2</v>
      </c>
    </row>
    <row r="108" spans="1:9">
      <c r="A108" s="280" t="s">
        <v>285</v>
      </c>
      <c r="B108" s="708" t="s">
        <v>286</v>
      </c>
      <c r="C108" s="1210" t="str">
        <f t="shared" si="24"/>
        <v>--</v>
      </c>
      <c r="D108" s="1211" t="str">
        <f t="shared" si="25"/>
        <v>--</v>
      </c>
      <c r="E108" s="712" t="str">
        <f t="shared" si="31"/>
        <v>--</v>
      </c>
      <c r="F108" s="271" t="str">
        <f t="shared" si="28"/>
        <v>--</v>
      </c>
      <c r="G108" s="272" t="str">
        <f t="shared" si="29"/>
        <v>--</v>
      </c>
      <c r="H108" s="794" t="str">
        <f t="shared" si="30"/>
        <v>--</v>
      </c>
    </row>
    <row r="109" spans="1:9">
      <c r="A109" s="280" t="s">
        <v>287</v>
      </c>
      <c r="B109" s="708" t="s">
        <v>288</v>
      </c>
      <c r="C109" s="1210" t="str">
        <f t="shared" si="24"/>
        <v>--</v>
      </c>
      <c r="D109" s="1211" t="str">
        <f t="shared" si="25"/>
        <v>--</v>
      </c>
      <c r="E109" s="712" t="str">
        <f t="shared" si="31"/>
        <v>--</v>
      </c>
      <c r="F109" s="271" t="str">
        <f t="shared" si="28"/>
        <v>--</v>
      </c>
      <c r="G109" s="272" t="str">
        <f t="shared" si="29"/>
        <v>--</v>
      </c>
      <c r="H109" s="794" t="str">
        <f t="shared" si="30"/>
        <v>--</v>
      </c>
    </row>
    <row r="110" spans="1:9">
      <c r="A110" s="280" t="s">
        <v>289</v>
      </c>
      <c r="B110" s="708" t="s">
        <v>290</v>
      </c>
      <c r="C110" s="1210" t="str">
        <f t="shared" si="24"/>
        <v>--</v>
      </c>
      <c r="D110" s="1211" t="str">
        <f t="shared" si="25"/>
        <v>--</v>
      </c>
      <c r="E110" s="712" t="str">
        <f t="shared" si="31"/>
        <v>--</v>
      </c>
      <c r="F110" s="271" t="str">
        <f t="shared" si="28"/>
        <v>--</v>
      </c>
      <c r="G110" s="272" t="str">
        <f t="shared" si="29"/>
        <v>--</v>
      </c>
      <c r="H110" s="794" t="str">
        <f t="shared" si="30"/>
        <v>--</v>
      </c>
    </row>
    <row r="111" spans="1:9">
      <c r="A111" s="280" t="s">
        <v>291</v>
      </c>
      <c r="B111" s="708" t="s">
        <v>292</v>
      </c>
      <c r="C111" s="1210" t="str">
        <f t="shared" si="24"/>
        <v>--</v>
      </c>
      <c r="D111" s="1211" t="str">
        <f t="shared" si="25"/>
        <v>--</v>
      </c>
      <c r="E111" s="712" t="str">
        <f t="shared" si="31"/>
        <v>--</v>
      </c>
      <c r="F111" s="271" t="str">
        <f t="shared" si="28"/>
        <v>--</v>
      </c>
      <c r="G111" s="272" t="str">
        <f t="shared" si="29"/>
        <v>--</v>
      </c>
      <c r="H111" s="794" t="str">
        <f t="shared" si="30"/>
        <v>--</v>
      </c>
    </row>
    <row r="112" spans="1:9">
      <c r="A112" s="280" t="s">
        <v>293</v>
      </c>
      <c r="B112" s="708" t="s">
        <v>294</v>
      </c>
      <c r="C112" s="1210">
        <f t="shared" si="24"/>
        <v>0.81699999999999995</v>
      </c>
      <c r="D112" s="1211">
        <f t="shared" si="25"/>
        <v>10</v>
      </c>
      <c r="E112" s="712">
        <f t="shared" si="31"/>
        <v>10</v>
      </c>
      <c r="F112" s="271">
        <f t="shared" si="28"/>
        <v>0.81699999999999995</v>
      </c>
      <c r="G112" s="272">
        <f t="shared" si="29"/>
        <v>10</v>
      </c>
      <c r="H112" s="794">
        <f t="shared" si="30"/>
        <v>15</v>
      </c>
    </row>
    <row r="113" spans="1:9">
      <c r="A113" s="280" t="s">
        <v>295</v>
      </c>
      <c r="B113" s="708" t="s">
        <v>296</v>
      </c>
      <c r="C113" s="1210">
        <f t="shared" si="24"/>
        <v>0.14499999999999999</v>
      </c>
      <c r="D113" s="1211">
        <f t="shared" si="25"/>
        <v>1</v>
      </c>
      <c r="E113" s="712">
        <f t="shared" si="31"/>
        <v>1</v>
      </c>
      <c r="F113" s="271">
        <f t="shared" si="28"/>
        <v>0.14499999999999999</v>
      </c>
      <c r="G113" s="272">
        <f t="shared" si="29"/>
        <v>1</v>
      </c>
      <c r="H113" s="794" t="str">
        <f t="shared" si="30"/>
        <v>--</v>
      </c>
    </row>
    <row r="114" spans="1:9">
      <c r="A114" s="280" t="s">
        <v>297</v>
      </c>
      <c r="B114" s="708" t="s">
        <v>298</v>
      </c>
      <c r="C114" s="1210">
        <f t="shared" si="24"/>
        <v>4.0000000000000001E-3</v>
      </c>
      <c r="D114" s="1211">
        <f t="shared" si="25"/>
        <v>0.05</v>
      </c>
      <c r="E114" s="712">
        <f t="shared" si="31"/>
        <v>7.7</v>
      </c>
      <c r="F114" s="271">
        <f t="shared" si="28"/>
        <v>4.0000000000000001E-3</v>
      </c>
      <c r="G114" s="272">
        <f t="shared" si="29"/>
        <v>33</v>
      </c>
      <c r="H114" s="794">
        <f t="shared" si="30"/>
        <v>0.05</v>
      </c>
    </row>
    <row r="115" spans="1:9">
      <c r="A115" s="280" t="s">
        <v>299</v>
      </c>
      <c r="B115" s="708" t="s">
        <v>300</v>
      </c>
      <c r="C115" s="1210" t="str">
        <f t="shared" si="24"/>
        <v>--</v>
      </c>
      <c r="D115" s="1211" t="str">
        <f t="shared" si="25"/>
        <v>--</v>
      </c>
      <c r="E115" s="712" t="str">
        <f t="shared" si="31"/>
        <v>--</v>
      </c>
      <c r="F115" s="271" t="str">
        <f t="shared" si="28"/>
        <v>--</v>
      </c>
      <c r="G115" s="272" t="str">
        <f t="shared" si="29"/>
        <v>--</v>
      </c>
      <c r="H115" s="794" t="str">
        <f t="shared" si="30"/>
        <v>--</v>
      </c>
    </row>
    <row r="116" spans="1:9">
      <c r="A116" s="280" t="s">
        <v>301</v>
      </c>
      <c r="B116" s="708" t="s">
        <v>302</v>
      </c>
      <c r="C116" s="1210">
        <f t="shared" si="24"/>
        <v>9.4</v>
      </c>
      <c r="D116" s="1211">
        <f t="shared" si="25"/>
        <v>9.4</v>
      </c>
      <c r="E116" s="712">
        <f t="shared" si="31"/>
        <v>22</v>
      </c>
      <c r="F116" s="271">
        <f t="shared" si="28"/>
        <v>9.4</v>
      </c>
      <c r="G116" s="272">
        <f t="shared" si="29"/>
        <v>40</v>
      </c>
      <c r="H116" s="794">
        <f t="shared" si="30"/>
        <v>9.4</v>
      </c>
    </row>
    <row r="117" spans="1:9">
      <c r="A117" s="280" t="s">
        <v>303</v>
      </c>
      <c r="B117" s="708" t="s">
        <v>304</v>
      </c>
      <c r="C117" s="1210">
        <f t="shared" si="24"/>
        <v>1.1000000000000001</v>
      </c>
      <c r="D117" s="1211">
        <f t="shared" si="25"/>
        <v>1.1000000000000001</v>
      </c>
      <c r="E117" s="712">
        <f t="shared" si="31"/>
        <v>41</v>
      </c>
      <c r="F117" s="271">
        <f t="shared" si="28"/>
        <v>1.1000000000000001</v>
      </c>
      <c r="G117" s="272">
        <f t="shared" si="29"/>
        <v>41</v>
      </c>
      <c r="H117" s="794">
        <f t="shared" si="30"/>
        <v>1.1000000000000001</v>
      </c>
    </row>
    <row r="118" spans="1:9">
      <c r="A118" s="280" t="s">
        <v>305</v>
      </c>
      <c r="B118" s="708" t="s">
        <v>306</v>
      </c>
      <c r="C118" s="1210">
        <f t="shared" si="24"/>
        <v>2.4</v>
      </c>
      <c r="D118" s="1211">
        <f t="shared" si="25"/>
        <v>5.5</v>
      </c>
      <c r="E118" s="712">
        <f t="shared" si="31"/>
        <v>13</v>
      </c>
      <c r="F118" s="271">
        <f t="shared" si="28"/>
        <v>2.4</v>
      </c>
      <c r="G118" s="272">
        <f t="shared" si="29"/>
        <v>13</v>
      </c>
      <c r="H118" s="794">
        <f t="shared" si="30"/>
        <v>5.5</v>
      </c>
    </row>
    <row r="119" spans="1:9">
      <c r="A119" s="280" t="s">
        <v>307</v>
      </c>
      <c r="B119" s="708" t="s">
        <v>308</v>
      </c>
      <c r="C119" s="1210">
        <f t="shared" si="24"/>
        <v>25</v>
      </c>
      <c r="D119" s="1211">
        <f t="shared" si="25"/>
        <v>50</v>
      </c>
      <c r="E119" s="712">
        <f t="shared" si="31"/>
        <v>25</v>
      </c>
      <c r="F119" s="271" t="str">
        <f t="shared" si="28"/>
        <v>--</v>
      </c>
      <c r="G119" s="272">
        <f t="shared" si="29"/>
        <v>50</v>
      </c>
      <c r="H119" s="794" t="str">
        <f t="shared" si="30"/>
        <v>--</v>
      </c>
    </row>
    <row r="120" spans="1:9">
      <c r="A120" s="280" t="s">
        <v>309</v>
      </c>
      <c r="B120" s="708" t="s">
        <v>310</v>
      </c>
      <c r="C120" s="1210">
        <f t="shared" ref="C120" si="34">IF(AND(E120="--",F120="--"),"--", MIN(E120,F120))</f>
        <v>22</v>
      </c>
      <c r="D120" s="1211">
        <f t="shared" ref="D120" si="35">IF(AND(G120="--",H120="--"),"--", MIN(G120,H120))</f>
        <v>43</v>
      </c>
      <c r="E120" s="712">
        <f t="shared" si="31"/>
        <v>22</v>
      </c>
      <c r="F120" s="271" t="str">
        <f t="shared" si="28"/>
        <v>--</v>
      </c>
      <c r="G120" s="272">
        <f t="shared" si="29"/>
        <v>43</v>
      </c>
      <c r="H120" s="794" t="str">
        <f t="shared" si="30"/>
        <v>--</v>
      </c>
    </row>
    <row r="121" spans="1:9">
      <c r="A121" s="280" t="s">
        <v>311</v>
      </c>
      <c r="B121" s="708" t="s">
        <v>312</v>
      </c>
      <c r="C121" s="1210" t="str">
        <f t="shared" si="24"/>
        <v>--</v>
      </c>
      <c r="D121" s="1211" t="str">
        <f t="shared" si="25"/>
        <v>--</v>
      </c>
      <c r="E121" s="712" t="str">
        <f t="shared" si="31"/>
        <v>--</v>
      </c>
      <c r="F121" s="271" t="str">
        <f t="shared" si="28"/>
        <v>--</v>
      </c>
      <c r="G121" s="272" t="str">
        <f t="shared" si="29"/>
        <v>--</v>
      </c>
      <c r="H121" s="794" t="str">
        <f t="shared" si="30"/>
        <v>--</v>
      </c>
      <c r="I121" s="55"/>
    </row>
    <row r="122" spans="1:9">
      <c r="A122" s="280" t="s">
        <v>313</v>
      </c>
      <c r="B122" s="710" t="s">
        <v>314</v>
      </c>
      <c r="C122" s="1210" t="str">
        <f t="shared" si="24"/>
        <v>--</v>
      </c>
      <c r="D122" s="1211" t="str">
        <f t="shared" si="25"/>
        <v>--</v>
      </c>
      <c r="E122" s="712" t="str">
        <f t="shared" si="31"/>
        <v>--</v>
      </c>
      <c r="F122" s="271" t="str">
        <f t="shared" si="28"/>
        <v>--</v>
      </c>
      <c r="G122" s="272" t="str">
        <f t="shared" si="29"/>
        <v>--</v>
      </c>
      <c r="H122" s="794" t="str">
        <f t="shared" si="30"/>
        <v>--</v>
      </c>
    </row>
    <row r="123" spans="1:9">
      <c r="A123" s="280" t="s">
        <v>315</v>
      </c>
      <c r="B123" s="710" t="s">
        <v>316</v>
      </c>
      <c r="C123" s="1210" t="str">
        <f t="shared" si="24"/>
        <v>--</v>
      </c>
      <c r="D123" s="1211" t="str">
        <f t="shared" si="25"/>
        <v>--</v>
      </c>
      <c r="E123" s="712" t="str">
        <f t="shared" si="31"/>
        <v>--</v>
      </c>
      <c r="F123" s="271" t="str">
        <f t="shared" si="28"/>
        <v>--</v>
      </c>
      <c r="G123" s="272" t="str">
        <f t="shared" si="29"/>
        <v>--</v>
      </c>
      <c r="H123" s="794" t="str">
        <f t="shared" si="30"/>
        <v>--</v>
      </c>
    </row>
    <row r="124" spans="1:9">
      <c r="A124" s="280" t="s">
        <v>317</v>
      </c>
      <c r="B124" s="710" t="s">
        <v>318</v>
      </c>
      <c r="C124" s="1210">
        <f t="shared" ref="C124:C138" si="36">IF(AND(E124="--",F124="--"),"--", MIN(E124,F124))</f>
        <v>4.5</v>
      </c>
      <c r="D124" s="1211">
        <f t="shared" ref="D124:D138" si="37">IF(AND(G124="--",H124="--"),"--", MIN(G124,H124))</f>
        <v>43</v>
      </c>
      <c r="E124" s="712">
        <f t="shared" si="31"/>
        <v>4.8</v>
      </c>
      <c r="F124" s="271">
        <f t="shared" si="28"/>
        <v>4.5</v>
      </c>
      <c r="G124" s="272">
        <f t="shared" si="29"/>
        <v>43</v>
      </c>
      <c r="H124" s="794">
        <f t="shared" si="30"/>
        <v>310</v>
      </c>
    </row>
    <row r="125" spans="1:9">
      <c r="A125" s="280" t="s">
        <v>319</v>
      </c>
      <c r="B125" s="710" t="s">
        <v>320</v>
      </c>
      <c r="C125" s="1210">
        <f t="shared" si="36"/>
        <v>1.8</v>
      </c>
      <c r="D125" s="1211">
        <f t="shared" si="37"/>
        <v>4.5</v>
      </c>
      <c r="E125" s="712">
        <f t="shared" si="31"/>
        <v>1.8</v>
      </c>
      <c r="F125" s="271">
        <f t="shared" si="28"/>
        <v>3.9</v>
      </c>
      <c r="G125" s="272">
        <f t="shared" si="29"/>
        <v>4.5</v>
      </c>
      <c r="H125" s="794">
        <f t="shared" si="30"/>
        <v>47</v>
      </c>
    </row>
    <row r="126" spans="1:9">
      <c r="A126" s="280" t="s">
        <v>321</v>
      </c>
      <c r="B126" s="710" t="s">
        <v>322</v>
      </c>
      <c r="C126" s="1210">
        <f t="shared" si="36"/>
        <v>140</v>
      </c>
      <c r="D126" s="1211">
        <f t="shared" si="37"/>
        <v>660</v>
      </c>
      <c r="E126" s="712">
        <f t="shared" si="31"/>
        <v>220</v>
      </c>
      <c r="F126" s="271">
        <f t="shared" si="28"/>
        <v>140</v>
      </c>
      <c r="G126" s="272">
        <f t="shared" si="29"/>
        <v>660</v>
      </c>
      <c r="H126" s="794">
        <f t="shared" si="30"/>
        <v>14000</v>
      </c>
    </row>
    <row r="127" spans="1:9">
      <c r="A127" s="280" t="s">
        <v>323</v>
      </c>
      <c r="B127" s="710" t="s">
        <v>324</v>
      </c>
      <c r="C127" s="1210" t="str">
        <f t="shared" si="36"/>
        <v>--</v>
      </c>
      <c r="D127" s="1211" t="str">
        <f t="shared" si="37"/>
        <v>--</v>
      </c>
      <c r="E127" s="712" t="str">
        <f t="shared" si="31"/>
        <v>--</v>
      </c>
      <c r="F127" s="271" t="str">
        <f t="shared" si="28"/>
        <v>--</v>
      </c>
      <c r="G127" s="272" t="str">
        <f t="shared" si="29"/>
        <v>--</v>
      </c>
      <c r="H127" s="794" t="str">
        <f t="shared" si="30"/>
        <v>--</v>
      </c>
    </row>
    <row r="128" spans="1:9">
      <c r="A128" s="280" t="s">
        <v>325</v>
      </c>
      <c r="B128" s="710" t="s">
        <v>326</v>
      </c>
      <c r="C128" s="1210">
        <f t="shared" si="36"/>
        <v>16</v>
      </c>
      <c r="D128" s="1211">
        <f t="shared" si="37"/>
        <v>30</v>
      </c>
      <c r="E128" s="712">
        <f t="shared" si="31"/>
        <v>16</v>
      </c>
      <c r="F128" s="271" t="str">
        <f t="shared" si="28"/>
        <v>--</v>
      </c>
      <c r="G128" s="272">
        <f t="shared" si="29"/>
        <v>30</v>
      </c>
      <c r="H128" s="794" t="str">
        <f t="shared" si="30"/>
        <v>--</v>
      </c>
    </row>
    <row r="129" spans="1:8">
      <c r="A129" s="280" t="s">
        <v>327</v>
      </c>
      <c r="B129" s="710" t="s">
        <v>328</v>
      </c>
      <c r="C129" s="1210">
        <f t="shared" si="36"/>
        <v>22</v>
      </c>
      <c r="D129" s="1211">
        <f t="shared" si="37"/>
        <v>44</v>
      </c>
      <c r="E129" s="712">
        <f t="shared" si="31"/>
        <v>22</v>
      </c>
      <c r="F129" s="271">
        <f t="shared" si="28"/>
        <v>820</v>
      </c>
      <c r="G129" s="272">
        <f t="shared" si="29"/>
        <v>44</v>
      </c>
      <c r="H129" s="794">
        <f t="shared" si="30"/>
        <v>39000</v>
      </c>
    </row>
    <row r="130" spans="1:8">
      <c r="A130" s="280" t="s">
        <v>329</v>
      </c>
      <c r="B130" s="710" t="s">
        <v>330</v>
      </c>
      <c r="C130" s="1210">
        <f t="shared" si="36"/>
        <v>100</v>
      </c>
      <c r="D130" s="1211">
        <f t="shared" si="37"/>
        <v>200</v>
      </c>
      <c r="E130" s="712">
        <f t="shared" si="31"/>
        <v>100</v>
      </c>
      <c r="F130" s="271" t="str">
        <f t="shared" si="28"/>
        <v>--</v>
      </c>
      <c r="G130" s="272">
        <f t="shared" si="29"/>
        <v>200</v>
      </c>
      <c r="H130" s="794" t="str">
        <f t="shared" si="30"/>
        <v>--</v>
      </c>
    </row>
    <row r="131" spans="1:8">
      <c r="A131" s="280" t="s">
        <v>331</v>
      </c>
      <c r="B131" s="710" t="s">
        <v>332</v>
      </c>
      <c r="C131" s="1210">
        <f t="shared" si="36"/>
        <v>8.1</v>
      </c>
      <c r="D131" s="1211">
        <f t="shared" si="37"/>
        <v>250</v>
      </c>
      <c r="E131" s="712">
        <f t="shared" si="31"/>
        <v>130</v>
      </c>
      <c r="F131" s="271">
        <f t="shared" si="28"/>
        <v>8.1</v>
      </c>
      <c r="G131" s="272">
        <f t="shared" si="29"/>
        <v>250</v>
      </c>
      <c r="H131" s="794">
        <f t="shared" si="30"/>
        <v>390</v>
      </c>
    </row>
    <row r="132" spans="1:8">
      <c r="A132" s="280" t="s">
        <v>333</v>
      </c>
      <c r="B132" s="710" t="s">
        <v>334</v>
      </c>
      <c r="C132" s="1210">
        <f t="shared" si="36"/>
        <v>5.5</v>
      </c>
      <c r="D132" s="1211">
        <f t="shared" si="37"/>
        <v>10</v>
      </c>
      <c r="E132" s="712">
        <f t="shared" si="31"/>
        <v>5.5</v>
      </c>
      <c r="F132" s="271" t="str">
        <f t="shared" si="28"/>
        <v>--</v>
      </c>
      <c r="G132" s="272">
        <f t="shared" si="29"/>
        <v>10</v>
      </c>
      <c r="H132" s="794" t="str">
        <f t="shared" si="30"/>
        <v>--</v>
      </c>
    </row>
    <row r="133" spans="1:8">
      <c r="A133" s="280" t="s">
        <v>335</v>
      </c>
      <c r="B133" s="710" t="s">
        <v>336</v>
      </c>
      <c r="C133" s="1210">
        <f t="shared" si="36"/>
        <v>5.5</v>
      </c>
      <c r="D133" s="1211">
        <f t="shared" si="37"/>
        <v>10</v>
      </c>
      <c r="E133" s="712">
        <f t="shared" si="31"/>
        <v>5.5</v>
      </c>
      <c r="F133" s="271" t="str">
        <f t="shared" si="28"/>
        <v>--</v>
      </c>
      <c r="G133" s="272">
        <f t="shared" si="29"/>
        <v>10</v>
      </c>
      <c r="H133" s="794" t="str">
        <f t="shared" si="30"/>
        <v>--</v>
      </c>
    </row>
    <row r="134" spans="1:8">
      <c r="A134" s="280" t="s">
        <v>337</v>
      </c>
      <c r="B134" s="710" t="s">
        <v>338</v>
      </c>
      <c r="C134" s="1210" t="str">
        <f t="shared" si="36"/>
        <v>--</v>
      </c>
      <c r="D134" s="1211" t="str">
        <f t="shared" si="37"/>
        <v>--</v>
      </c>
      <c r="E134" s="712" t="str">
        <f t="shared" si="31"/>
        <v>--</v>
      </c>
      <c r="F134" s="271" t="str">
        <f t="shared" si="28"/>
        <v>--</v>
      </c>
      <c r="G134" s="272" t="str">
        <f t="shared" si="29"/>
        <v>--</v>
      </c>
      <c r="H134" s="794" t="str">
        <f t="shared" si="30"/>
        <v>--</v>
      </c>
    </row>
    <row r="135" spans="1:8">
      <c r="A135" s="280" t="s">
        <v>339</v>
      </c>
      <c r="B135" s="710" t="s">
        <v>340</v>
      </c>
      <c r="C135" s="1210">
        <f t="shared" si="36"/>
        <v>18</v>
      </c>
      <c r="D135" s="1211">
        <f t="shared" si="37"/>
        <v>18</v>
      </c>
      <c r="E135" s="712">
        <f t="shared" si="31"/>
        <v>250</v>
      </c>
      <c r="F135" s="271">
        <f t="shared" si="28"/>
        <v>18</v>
      </c>
      <c r="G135" s="272">
        <f t="shared" si="29"/>
        <v>250</v>
      </c>
      <c r="H135" s="794">
        <f t="shared" si="30"/>
        <v>18</v>
      </c>
    </row>
    <row r="136" spans="1:8">
      <c r="A136" s="280" t="s">
        <v>341</v>
      </c>
      <c r="B136" s="710" t="s">
        <v>342</v>
      </c>
      <c r="C136" s="1210">
        <f t="shared" si="36"/>
        <v>4.3</v>
      </c>
      <c r="D136" s="1211">
        <f t="shared" si="37"/>
        <v>8.5</v>
      </c>
      <c r="E136" s="712">
        <f t="shared" si="31"/>
        <v>4.3</v>
      </c>
      <c r="F136" s="271">
        <f t="shared" si="28"/>
        <v>12</v>
      </c>
      <c r="G136" s="272">
        <f t="shared" si="29"/>
        <v>8.5</v>
      </c>
      <c r="H136" s="794">
        <f t="shared" si="30"/>
        <v>12</v>
      </c>
    </row>
    <row r="137" spans="1:8">
      <c r="A137" s="280" t="s">
        <v>343</v>
      </c>
      <c r="B137" s="710" t="s">
        <v>344</v>
      </c>
      <c r="C137" s="1210">
        <f t="shared" si="36"/>
        <v>55</v>
      </c>
      <c r="D137" s="1211">
        <f t="shared" si="37"/>
        <v>210</v>
      </c>
      <c r="E137" s="712">
        <f t="shared" si="31"/>
        <v>55</v>
      </c>
      <c r="F137" s="271">
        <f t="shared" si="28"/>
        <v>96</v>
      </c>
      <c r="G137" s="272">
        <f t="shared" si="29"/>
        <v>210</v>
      </c>
      <c r="H137" s="794">
        <f t="shared" si="30"/>
        <v>47000</v>
      </c>
    </row>
    <row r="138" spans="1:8" ht="13.5" thickBot="1">
      <c r="A138" s="280" t="s">
        <v>345</v>
      </c>
      <c r="B138" s="710" t="s">
        <v>346</v>
      </c>
      <c r="C138" s="1210">
        <f t="shared" si="36"/>
        <v>340</v>
      </c>
      <c r="D138" s="1211">
        <f t="shared" si="37"/>
        <v>340</v>
      </c>
      <c r="E138" s="712">
        <f t="shared" si="31"/>
        <v>500</v>
      </c>
      <c r="F138" s="271">
        <f t="shared" si="28"/>
        <v>340</v>
      </c>
      <c r="G138" s="272">
        <f t="shared" si="29"/>
        <v>800</v>
      </c>
      <c r="H138" s="794">
        <f t="shared" si="30"/>
        <v>340</v>
      </c>
    </row>
    <row r="139" spans="1:8" ht="13.5" thickTop="1">
      <c r="A139" s="29" t="s">
        <v>347</v>
      </c>
      <c r="B139" s="404"/>
      <c r="C139" s="404"/>
      <c r="D139" s="404"/>
      <c r="E139" s="404"/>
      <c r="F139" s="404"/>
      <c r="G139" s="404"/>
      <c r="H139" s="406"/>
    </row>
    <row r="140" spans="1:8">
      <c r="A140" s="2" t="s">
        <v>906</v>
      </c>
      <c r="H140" s="407"/>
    </row>
    <row r="141" spans="1:8">
      <c r="A141" s="909" t="s">
        <v>907</v>
      </c>
      <c r="B141" s="1160"/>
      <c r="C141" s="1160"/>
      <c r="D141" s="1160"/>
      <c r="E141" s="1160"/>
      <c r="F141" s="1160"/>
      <c r="G141" s="1160"/>
      <c r="H141" s="1161"/>
    </row>
    <row r="142" spans="1:8">
      <c r="A142" s="909" t="s">
        <v>441</v>
      </c>
      <c r="B142" s="1160"/>
      <c r="C142" s="1160"/>
      <c r="D142" s="1160"/>
      <c r="E142" s="1160"/>
      <c r="F142" s="1160"/>
      <c r="G142" s="1160"/>
      <c r="H142" s="1161"/>
    </row>
    <row r="143" spans="1:8">
      <c r="A143" s="1132" t="s">
        <v>348</v>
      </c>
      <c r="H143" s="407"/>
    </row>
    <row r="144" spans="1:8">
      <c r="A144" s="1133" t="s">
        <v>349</v>
      </c>
      <c r="H144" s="407"/>
    </row>
    <row r="145" spans="1:8">
      <c r="A145" s="1133" t="s">
        <v>350</v>
      </c>
      <c r="H145" s="407"/>
    </row>
    <row r="146" spans="1:8">
      <c r="A146" s="1133" t="s">
        <v>351</v>
      </c>
      <c r="H146" s="407"/>
    </row>
    <row r="147" spans="1:8" ht="25.5" customHeight="1">
      <c r="A147" s="2611" t="s">
        <v>908</v>
      </c>
      <c r="B147" s="2612"/>
      <c r="C147" s="2612"/>
      <c r="D147" s="2612"/>
      <c r="E147" s="2612"/>
      <c r="F147" s="2612"/>
      <c r="G147" s="2612"/>
      <c r="H147" s="2613"/>
    </row>
    <row r="148" spans="1:8" ht="12.75" customHeight="1">
      <c r="A148" s="1133" t="s">
        <v>353</v>
      </c>
      <c r="H148" s="407"/>
    </row>
    <row r="149" spans="1:8" ht="12.75" customHeight="1">
      <c r="A149" s="1133" t="s">
        <v>354</v>
      </c>
      <c r="H149" s="407"/>
    </row>
    <row r="150" spans="1:8" ht="12.75" customHeight="1" thickBot="1">
      <c r="A150" s="2673" t="s">
        <v>355</v>
      </c>
      <c r="B150" s="2674"/>
      <c r="C150" s="2674"/>
      <c r="D150" s="2674"/>
      <c r="E150" s="2674"/>
      <c r="F150" s="2674"/>
      <c r="G150" s="2674"/>
      <c r="H150" s="2675"/>
    </row>
    <row r="151" spans="1:8" ht="13.5" thickTop="1"/>
  </sheetData>
  <sheetProtection algorithmName="SHA-512" hashValue="3gVZF5/91DF2LKET1l255PIsN8x0jGMlz3hpUPGZsI9VvIhpUvCi+Qn1IOMWnLyfXVVPM5rsvfTeKf4GCkr8Xg==" saltValue="fuMl0JbZOACVfQ4eI/6E4A==" spinCount="100000" sheet="1" sort="0" autoFilter="0"/>
  <autoFilter ref="A4:A124" xr:uid="{039AB781-F430-48DA-BB05-7DF32070818B}"/>
  <mergeCells count="7">
    <mergeCell ref="A150:H150"/>
    <mergeCell ref="A147:H147"/>
    <mergeCell ref="A2:H2"/>
    <mergeCell ref="A3:B3"/>
    <mergeCell ref="C3:C4"/>
    <mergeCell ref="D3:D4"/>
    <mergeCell ref="E3:H3"/>
  </mergeCells>
  <pageMargins left="0.7" right="0.7" top="0.75" bottom="0.75" header="0.3" footer="0.3"/>
  <pageSetup scale="61" fitToHeight="0" orientation="portrait" r:id="rId1"/>
  <headerFooter>
    <oddFooter>&amp;CPage &amp;P of &amp;N&amp;R&amp;A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9">
    <tabColor rgb="FFFFC000"/>
    <pageSetUpPr fitToPage="1"/>
  </sheetPr>
  <dimension ref="A1:BG389"/>
  <sheetViews>
    <sheetView showGridLines="0" topLeftCell="A2" zoomScale="120" zoomScaleNormal="120" workbookViewId="0">
      <pane xSplit="2" ySplit="5" topLeftCell="C7" activePane="bottomRight" state="frozen"/>
      <selection activeCell="A2" sqref="A2"/>
      <selection pane="topRight" activeCell="C2" sqref="C2"/>
      <selection pane="bottomLeft" activeCell="A7" sqref="A7"/>
      <selection pane="bottomRight" activeCell="A3" sqref="A3:B3"/>
    </sheetView>
  </sheetViews>
  <sheetFormatPr defaultColWidth="8.5703125" defaultRowHeight="11.25"/>
  <cols>
    <col min="1" max="1" width="39.85546875" style="3" customWidth="1"/>
    <col min="2" max="2" width="9" style="3" bestFit="1" customWidth="1"/>
    <col min="3" max="3" width="13.42578125" style="10" customWidth="1"/>
    <col min="4" max="4" width="13.42578125" style="16" customWidth="1"/>
    <col min="5" max="5" width="14.5703125" style="10" customWidth="1"/>
    <col min="6" max="6" width="12.5703125" style="10" bestFit="1" customWidth="1"/>
    <col min="7" max="7" width="13.42578125" style="10" customWidth="1"/>
    <col min="8" max="8" width="16.5703125" style="10" customWidth="1"/>
    <col min="9" max="9" width="12.42578125" style="10" customWidth="1"/>
    <col min="10" max="10" width="9.85546875" style="10" customWidth="1"/>
    <col min="11" max="11" width="17.28515625" style="10" customWidth="1"/>
    <col min="12" max="12" width="13.42578125" style="4" customWidth="1"/>
    <col min="13" max="13" width="11.140625" style="4" customWidth="1"/>
    <col min="14" max="14" width="14.28515625" style="4" customWidth="1"/>
    <col min="15" max="15" width="13" style="4" customWidth="1"/>
    <col min="16" max="16" width="14.42578125" style="10" customWidth="1"/>
    <col min="17" max="17" width="11.140625" style="10" customWidth="1"/>
    <col min="18" max="22" width="11.140625" style="10" hidden="1" customWidth="1"/>
    <col min="23" max="23" width="14.7109375" style="1" hidden="1" customWidth="1"/>
    <col min="24" max="24" width="16.85546875" style="1" hidden="1" customWidth="1"/>
    <col min="25" max="25" width="11.85546875" style="1" hidden="1" customWidth="1"/>
    <col min="26" max="26" width="16.7109375" style="1" hidden="1" customWidth="1"/>
    <col min="27" max="27" width="11.85546875" style="1" hidden="1" customWidth="1"/>
    <col min="28" max="28" width="16.7109375" style="1" hidden="1" customWidth="1"/>
    <col min="29" max="29" width="11.85546875" style="1" hidden="1" customWidth="1"/>
    <col min="30" max="30" width="16.7109375" style="1" hidden="1" customWidth="1"/>
    <col min="31" max="31" width="8.5703125" style="1" hidden="1" customWidth="1"/>
    <col min="32" max="32" width="16.7109375" style="1" hidden="1" customWidth="1"/>
    <col min="33" max="33" width="8.5703125" style="1" hidden="1" customWidth="1"/>
    <col min="34" max="34" width="16.7109375" style="1" hidden="1" customWidth="1"/>
    <col min="35" max="35" width="8.5703125" style="1" hidden="1" customWidth="1"/>
    <col min="36" max="36" width="16.7109375" style="1" hidden="1" customWidth="1"/>
    <col min="37" max="37" width="8.5703125" style="1" hidden="1" customWidth="1"/>
    <col min="38" max="38" width="16.7109375" style="1" hidden="1" customWidth="1"/>
    <col min="39" max="39" width="8.5703125" style="1" hidden="1" customWidth="1"/>
    <col min="40" max="40" width="16.7109375" style="1" hidden="1" customWidth="1"/>
    <col min="41" max="41" width="8.5703125" style="1" hidden="1" customWidth="1"/>
    <col min="42" max="42" width="16.7109375" style="1" hidden="1" customWidth="1"/>
    <col min="43" max="43" width="8.5703125" style="1" hidden="1" customWidth="1"/>
    <col min="44" max="44" width="16.7109375" style="1" hidden="1" customWidth="1"/>
    <col min="45" max="45" width="8.5703125" style="1" hidden="1" customWidth="1"/>
    <col min="46" max="46" width="13.5703125" style="1" hidden="1" customWidth="1"/>
    <col min="47" max="58" width="11.140625" style="10" customWidth="1"/>
    <col min="59" max="60" width="8.5703125" style="1" bestFit="1" customWidth="1"/>
    <col min="61" max="16384" width="8.5703125" style="1"/>
  </cols>
  <sheetData>
    <row r="1" spans="1:59" s="98" customFormat="1" ht="15.75" hidden="1" customHeight="1">
      <c r="A1" s="321" t="s">
        <v>909</v>
      </c>
      <c r="B1" s="321"/>
      <c r="C1" s="138" t="s">
        <v>410</v>
      </c>
      <c r="D1" s="138" t="s">
        <v>411</v>
      </c>
      <c r="E1" s="138"/>
      <c r="F1" s="138"/>
      <c r="G1" s="138"/>
      <c r="H1" s="138"/>
      <c r="I1" s="138"/>
      <c r="J1" s="138"/>
      <c r="K1" s="138"/>
      <c r="P1" s="138"/>
      <c r="Q1" s="138"/>
      <c r="R1" s="138"/>
      <c r="S1" s="138"/>
      <c r="T1" s="138"/>
      <c r="U1" s="138"/>
      <c r="V1" s="138"/>
      <c r="X1" s="98" t="s">
        <v>910</v>
      </c>
      <c r="Z1" s="98" t="s">
        <v>911</v>
      </c>
      <c r="AB1" s="98" t="s">
        <v>912</v>
      </c>
      <c r="AD1" s="98" t="s">
        <v>913</v>
      </c>
      <c r="AF1" s="98" t="s">
        <v>914</v>
      </c>
      <c r="AH1" s="98" t="s">
        <v>915</v>
      </c>
      <c r="AJ1" s="98" t="s">
        <v>916</v>
      </c>
      <c r="AL1" s="98" t="s">
        <v>917</v>
      </c>
      <c r="AN1" s="98" t="s">
        <v>918</v>
      </c>
      <c r="AP1" s="98" t="s">
        <v>919</v>
      </c>
      <c r="AR1" s="98" t="s">
        <v>920</v>
      </c>
      <c r="AT1" s="98" t="s">
        <v>921</v>
      </c>
      <c r="AU1" s="98" t="s">
        <v>922</v>
      </c>
      <c r="AV1" s="98" t="s">
        <v>923</v>
      </c>
      <c r="AW1" s="98" t="s">
        <v>924</v>
      </c>
      <c r="AX1" s="98" t="s">
        <v>925</v>
      </c>
      <c r="AY1" s="98" t="s">
        <v>926</v>
      </c>
      <c r="AZ1" s="98" t="s">
        <v>927</v>
      </c>
      <c r="BA1" s="98" t="s">
        <v>928</v>
      </c>
      <c r="BB1" s="98" t="s">
        <v>929</v>
      </c>
      <c r="BC1" s="98" t="s">
        <v>930</v>
      </c>
      <c r="BD1" s="98" t="s">
        <v>931</v>
      </c>
      <c r="BE1" s="98" t="s">
        <v>932</v>
      </c>
      <c r="BF1" s="98" t="s">
        <v>933</v>
      </c>
    </row>
    <row r="2" spans="1:59" ht="35.25" customHeight="1" thickBot="1">
      <c r="A2" s="2699" t="s">
        <v>934</v>
      </c>
      <c r="B2" s="2699"/>
      <c r="C2" s="2699"/>
      <c r="D2" s="2699"/>
      <c r="E2" s="2699"/>
      <c r="F2" s="2699"/>
      <c r="G2" s="2699"/>
      <c r="H2" s="2699"/>
      <c r="I2" s="2699"/>
      <c r="J2" s="2699"/>
      <c r="K2" s="2699"/>
      <c r="L2" s="2699"/>
      <c r="M2" s="2699"/>
      <c r="N2" s="2699"/>
      <c r="O2" s="2699"/>
      <c r="P2" s="2699"/>
      <c r="Q2" s="2699"/>
      <c r="R2" s="268"/>
      <c r="S2" s="268"/>
      <c r="T2" s="268"/>
      <c r="U2" s="268"/>
      <c r="V2" s="268"/>
      <c r="AU2" s="268"/>
      <c r="AV2" s="268"/>
      <c r="AW2" s="268"/>
      <c r="AX2" s="268"/>
      <c r="AY2" s="268"/>
      <c r="AZ2" s="268"/>
      <c r="BA2" s="268"/>
      <c r="BB2" s="268"/>
      <c r="BC2" s="268"/>
      <c r="BD2" s="268"/>
      <c r="BE2" s="268"/>
      <c r="BF2" s="268"/>
    </row>
    <row r="3" spans="1:59" s="98" customFormat="1" ht="16.5" customHeight="1" thickTop="1" thickBot="1">
      <c r="A3" s="2606" t="str">
        <f>'Water Direct Exp (GW-1)'!A3:B3</f>
        <v>2025 (Rev 4)</v>
      </c>
      <c r="B3" s="2607"/>
      <c r="C3" s="2695" t="s">
        <v>935</v>
      </c>
      <c r="D3" s="2696"/>
      <c r="E3" s="2730" t="s">
        <v>821</v>
      </c>
      <c r="F3" s="2731"/>
      <c r="G3" s="2731"/>
      <c r="H3" s="2731"/>
      <c r="I3" s="2731"/>
      <c r="J3" s="2731"/>
      <c r="K3" s="2731"/>
      <c r="L3" s="2731"/>
      <c r="M3" s="2731"/>
      <c r="N3" s="2731"/>
      <c r="O3" s="2731"/>
      <c r="P3" s="2731"/>
      <c r="Q3" s="2731"/>
      <c r="R3" s="1780"/>
      <c r="S3" s="1780"/>
      <c r="T3" s="1780"/>
      <c r="U3" s="1780"/>
      <c r="V3" s="1780"/>
      <c r="W3" s="2719" t="s">
        <v>936</v>
      </c>
      <c r="X3" s="2720"/>
      <c r="Y3" s="2720"/>
      <c r="Z3" s="2720"/>
      <c r="AA3" s="2720"/>
      <c r="AB3" s="2720"/>
      <c r="AC3" s="2720"/>
      <c r="AD3" s="2720"/>
      <c r="AE3" s="2720"/>
      <c r="AF3" s="2720"/>
      <c r="AG3" s="2720"/>
      <c r="AH3" s="2720"/>
      <c r="AI3" s="2720"/>
      <c r="AJ3" s="2720"/>
      <c r="AK3" s="2720"/>
      <c r="AL3" s="2720"/>
      <c r="AM3" s="2720"/>
      <c r="AN3" s="2720"/>
      <c r="AO3" s="2720"/>
      <c r="AP3" s="2720"/>
      <c r="AQ3" s="2720"/>
      <c r="AR3" s="2720"/>
      <c r="AS3" s="2720"/>
      <c r="AT3" s="2721"/>
      <c r="AU3" s="2705" t="s">
        <v>937</v>
      </c>
      <c r="AV3" s="2706"/>
      <c r="AW3" s="2706"/>
      <c r="AX3" s="2706"/>
      <c r="AY3" s="2706"/>
      <c r="AZ3" s="2706"/>
      <c r="BA3" s="2706"/>
      <c r="BB3" s="2706"/>
      <c r="BC3" s="2706"/>
      <c r="BD3" s="2706"/>
      <c r="BE3" s="2706"/>
      <c r="BF3" s="2707"/>
    </row>
    <row r="4" spans="1:59" s="366" customFormat="1" ht="18.75" customHeight="1">
      <c r="A4" s="2689" t="s">
        <v>661</v>
      </c>
      <c r="B4" s="2692" t="s">
        <v>80</v>
      </c>
      <c r="C4" s="2697"/>
      <c r="D4" s="2698"/>
      <c r="E4" s="2740" t="s">
        <v>938</v>
      </c>
      <c r="F4" s="2741"/>
      <c r="G4" s="2741"/>
      <c r="H4" s="2742"/>
      <c r="I4" s="2728" t="s">
        <v>939</v>
      </c>
      <c r="J4" s="2729"/>
      <c r="K4" s="2729"/>
      <c r="L4" s="2729"/>
      <c r="M4" s="2729"/>
      <c r="N4" s="2729"/>
      <c r="O4" s="2729"/>
      <c r="P4" s="2729"/>
      <c r="Q4" s="2729"/>
      <c r="R4" s="2007"/>
      <c r="S4" s="2007"/>
      <c r="T4" s="2007"/>
      <c r="U4" s="2007"/>
      <c r="V4" s="2007"/>
      <c r="W4" s="2722"/>
      <c r="X4" s="2723"/>
      <c r="Y4" s="2723"/>
      <c r="Z4" s="2723"/>
      <c r="AA4" s="2723"/>
      <c r="AB4" s="2723"/>
      <c r="AC4" s="2723"/>
      <c r="AD4" s="2723"/>
      <c r="AE4" s="2723"/>
      <c r="AF4" s="2723"/>
      <c r="AG4" s="2723"/>
      <c r="AH4" s="2723"/>
      <c r="AI4" s="2723"/>
      <c r="AJ4" s="2723"/>
      <c r="AK4" s="2723"/>
      <c r="AL4" s="2723"/>
      <c r="AM4" s="2723"/>
      <c r="AN4" s="2723"/>
      <c r="AO4" s="2723"/>
      <c r="AP4" s="2723"/>
      <c r="AQ4" s="2723"/>
      <c r="AR4" s="2723"/>
      <c r="AS4" s="2723"/>
      <c r="AT4" s="2724"/>
      <c r="AU4" s="2708"/>
      <c r="AV4" s="2709"/>
      <c r="AW4" s="2709"/>
      <c r="AX4" s="2709"/>
      <c r="AY4" s="2710"/>
      <c r="AZ4" s="2710"/>
      <c r="BA4" s="2710"/>
      <c r="BB4" s="2710"/>
      <c r="BC4" s="2710"/>
      <c r="BD4" s="2710"/>
      <c r="BE4" s="2710"/>
      <c r="BF4" s="2711"/>
    </row>
    <row r="5" spans="1:59" s="67" customFormat="1" ht="45" customHeight="1">
      <c r="A5" s="2690"/>
      <c r="B5" s="2693"/>
      <c r="C5" s="2685" t="s">
        <v>492</v>
      </c>
      <c r="D5" s="2687" t="s">
        <v>940</v>
      </c>
      <c r="E5" s="1781" t="s">
        <v>941</v>
      </c>
      <c r="F5" s="1770" t="s">
        <v>942</v>
      </c>
      <c r="G5" s="2738" t="s">
        <v>943</v>
      </c>
      <c r="H5" s="1993" t="s">
        <v>944</v>
      </c>
      <c r="I5" s="2734" t="s">
        <v>945</v>
      </c>
      <c r="J5" s="2732" t="s">
        <v>946</v>
      </c>
      <c r="K5" s="2736" t="s">
        <v>947</v>
      </c>
      <c r="L5" s="2702" t="s">
        <v>948</v>
      </c>
      <c r="M5" s="2703"/>
      <c r="N5" s="2704"/>
      <c r="O5" s="2700" t="s">
        <v>949</v>
      </c>
      <c r="P5" s="1771" t="s">
        <v>950</v>
      </c>
      <c r="Q5" s="1772" t="s">
        <v>951</v>
      </c>
      <c r="R5" s="2712" t="s">
        <v>952</v>
      </c>
      <c r="S5" s="2712"/>
      <c r="T5" s="2712"/>
      <c r="U5" s="2712"/>
      <c r="V5" s="2712"/>
      <c r="W5" s="2725"/>
      <c r="X5" s="2726"/>
      <c r="Y5" s="2726"/>
      <c r="Z5" s="2726"/>
      <c r="AA5" s="2726"/>
      <c r="AB5" s="2726"/>
      <c r="AC5" s="2726"/>
      <c r="AD5" s="2726"/>
      <c r="AE5" s="2726"/>
      <c r="AF5" s="2726"/>
      <c r="AG5" s="2726"/>
      <c r="AH5" s="2726"/>
      <c r="AI5" s="2726"/>
      <c r="AJ5" s="2726"/>
      <c r="AK5" s="2726"/>
      <c r="AL5" s="2726"/>
      <c r="AM5" s="2726"/>
      <c r="AN5" s="2726"/>
      <c r="AO5" s="2726"/>
      <c r="AP5" s="2726"/>
      <c r="AQ5" s="2726"/>
      <c r="AR5" s="2726"/>
      <c r="AS5" s="2726"/>
      <c r="AT5" s="2727"/>
      <c r="AU5" s="2713" t="s">
        <v>953</v>
      </c>
      <c r="AV5" s="2714"/>
      <c r="AW5" s="2714"/>
      <c r="AX5" s="2714"/>
      <c r="AY5" s="2715" t="s">
        <v>954</v>
      </c>
      <c r="AZ5" s="2715"/>
      <c r="BA5" s="2715"/>
      <c r="BB5" s="2716"/>
      <c r="BC5" s="2717" t="s">
        <v>955</v>
      </c>
      <c r="BD5" s="2715"/>
      <c r="BE5" s="2715"/>
      <c r="BF5" s="2718"/>
    </row>
    <row r="6" spans="1:59" s="98" customFormat="1" ht="51" customHeight="1" thickBot="1">
      <c r="A6" s="2691"/>
      <c r="B6" s="2694"/>
      <c r="C6" s="2686"/>
      <c r="D6" s="2688"/>
      <c r="E6" s="1782" t="s">
        <v>956</v>
      </c>
      <c r="F6" s="2013" t="s">
        <v>957</v>
      </c>
      <c r="G6" s="2739"/>
      <c r="H6" s="189" t="s">
        <v>958</v>
      </c>
      <c r="I6" s="2735"/>
      <c r="J6" s="2733"/>
      <c r="K6" s="2737"/>
      <c r="L6" s="1640" t="s">
        <v>959</v>
      </c>
      <c r="M6" s="1640" t="s">
        <v>498</v>
      </c>
      <c r="N6" s="1640" t="s">
        <v>960</v>
      </c>
      <c r="O6" s="2701"/>
      <c r="P6" s="1769" t="s">
        <v>961</v>
      </c>
      <c r="Q6" s="1775" t="s">
        <v>962</v>
      </c>
      <c r="R6" s="1783" t="s">
        <v>357</v>
      </c>
      <c r="S6" s="1783" t="s">
        <v>963</v>
      </c>
      <c r="T6" s="1783" t="s">
        <v>964</v>
      </c>
      <c r="U6" s="1783" t="s">
        <v>965</v>
      </c>
      <c r="V6" s="1783" t="s">
        <v>966</v>
      </c>
      <c r="W6" s="1939" t="s">
        <v>967</v>
      </c>
      <c r="X6" s="1987" t="s">
        <v>968</v>
      </c>
      <c r="Y6" s="1987" t="s">
        <v>969</v>
      </c>
      <c r="Z6" s="1987" t="s">
        <v>968</v>
      </c>
      <c r="AA6" s="1987" t="s">
        <v>970</v>
      </c>
      <c r="AB6" s="1987" t="s">
        <v>968</v>
      </c>
      <c r="AC6" s="1987" t="s">
        <v>971</v>
      </c>
      <c r="AD6" s="1987" t="s">
        <v>968</v>
      </c>
      <c r="AE6" s="1987" t="s">
        <v>972</v>
      </c>
      <c r="AF6" s="1987" t="s">
        <v>968</v>
      </c>
      <c r="AG6" s="1987" t="s">
        <v>973</v>
      </c>
      <c r="AH6" s="1987" t="s">
        <v>968</v>
      </c>
      <c r="AI6" s="1987" t="s">
        <v>974</v>
      </c>
      <c r="AJ6" s="1987" t="s">
        <v>968</v>
      </c>
      <c r="AK6" s="1987" t="s">
        <v>975</v>
      </c>
      <c r="AL6" s="1987" t="s">
        <v>968</v>
      </c>
      <c r="AM6" s="1987" t="s">
        <v>976</v>
      </c>
      <c r="AN6" s="1987" t="s">
        <v>968</v>
      </c>
      <c r="AO6" s="1987" t="s">
        <v>977</v>
      </c>
      <c r="AP6" s="1987" t="s">
        <v>968</v>
      </c>
      <c r="AQ6" s="1987" t="s">
        <v>978</v>
      </c>
      <c r="AR6" s="1987" t="s">
        <v>968</v>
      </c>
      <c r="AS6" s="1987" t="s">
        <v>979</v>
      </c>
      <c r="AT6" s="1940" t="s">
        <v>968</v>
      </c>
      <c r="AU6" s="1766" t="s">
        <v>980</v>
      </c>
      <c r="AV6" s="1767" t="s">
        <v>981</v>
      </c>
      <c r="AW6" s="1768" t="s">
        <v>982</v>
      </c>
      <c r="AX6" s="1768" t="s">
        <v>983</v>
      </c>
      <c r="AY6" s="1298" t="s">
        <v>980</v>
      </c>
      <c r="AZ6" s="1298" t="s">
        <v>981</v>
      </c>
      <c r="BA6" s="1298" t="s">
        <v>982</v>
      </c>
      <c r="BB6" s="1298" t="s">
        <v>983</v>
      </c>
      <c r="BC6" s="1298" t="s">
        <v>980</v>
      </c>
      <c r="BD6" s="1298" t="s">
        <v>981</v>
      </c>
      <c r="BE6" s="1298" t="s">
        <v>982</v>
      </c>
      <c r="BF6" s="1784" t="s">
        <v>983</v>
      </c>
      <c r="BG6" s="85"/>
    </row>
    <row r="7" spans="1:59">
      <c r="A7" s="184" t="s">
        <v>391</v>
      </c>
      <c r="B7" s="184" t="s">
        <v>392</v>
      </c>
      <c r="C7" s="388">
        <f>IF(G7="--","--",IF(I7="--", I7,IF(AND(G7*I7*0.001&lt;H7,E7&gt;30000),H7,G7*I7*0.001)))</f>
        <v>0.91450350000000002</v>
      </c>
      <c r="D7" s="1779">
        <f>IF(G7="--","--",IF(J7="--","--",IF(AND(G7*J7*0.001&lt;H7,E7&gt;30000),H7,G7*J7*0.001)))</f>
        <v>0.91450350000000002</v>
      </c>
      <c r="E7" s="1785">
        <f t="shared" ref="E7:E22" si="0">VLOOKUP($A7,Table_IP_1, MATCH("Koc", heading_IP_1, 0), FALSE)</f>
        <v>2.3639999999999999</v>
      </c>
      <c r="F7" s="271">
        <f t="shared" ref="F7:F22" si="1">VLOOKUP($A7,Table_IP_1, MATCH("h", heading_IP_1, 0), FALSE)</f>
        <v>3.4999999999999997E-5</v>
      </c>
      <c r="G7" s="271">
        <f t="shared" ref="G7:G22" si="2">VLOOKUP($A7,Table_IP_1, MATCH("daf", heading_IP_1, 0), FALSE)</f>
        <v>0.60966900000000002</v>
      </c>
      <c r="H7" s="272">
        <f t="shared" ref="H7:H22" si="3">VLOOKUP($A7,Table_IP_1, MATCH("sat lim", heading_IP_1, 0), FALSE)</f>
        <v>114454.88250872909</v>
      </c>
      <c r="I7" s="1162">
        <f t="shared" ref="I7:I21" si="4">VLOOKUP($A7,Table_GW_Summary, MATCH("GW-ESL", heading_GW_Summary, 0), FALSE)</f>
        <v>1500</v>
      </c>
      <c r="J7" s="1163">
        <f>IF(MIN(L7,M7,N7,O7,P7,Q7)=0, "--",MIN(L7,M7,N7,O7,P7,Q7))</f>
        <v>1500</v>
      </c>
      <c r="K7" s="1164" t="str">
        <f>IF(J7="--","--", IF(J7=L7,"FW EcoTox Goal", IF(J7=M7,"SW EcoTox Goal", IF(J7=N7, "Seafood Consumption", IF(J7=O7, "Gross Contam.",IF(J7=P7,"GW VI", "Nuis-Odor"))))))</f>
        <v>FW EcoTox Goal</v>
      </c>
      <c r="L7" s="271">
        <f t="shared" ref="L7:L21" si="5">VLOOKUP($A7,Table_GW_Summary, MATCH("FW-EcoT", heading_GW_Summary, 0), FALSE)</f>
        <v>1500</v>
      </c>
      <c r="M7" s="271" t="str">
        <f t="shared" ref="M7:M21" si="6">VLOOKUP($A7,Table_GW_Summary, MATCH("SW-EcoT", heading_GW_Summary, 0), FALSE)</f>
        <v>--</v>
      </c>
      <c r="N7" s="271" t="str">
        <f t="shared" ref="N7:N21" si="7">VLOOKUP($A7,Table_GW_Summary, MATCH("bioac", heading_GW_Summary, 0), FALSE)</f>
        <v>--</v>
      </c>
      <c r="O7" s="271">
        <f t="shared" ref="O7:O21" si="8">VLOOKUP($A7,Table_GW_Summary, MATCH("W-GC", heading_GW_Summary, 0), FALSE)</f>
        <v>50000</v>
      </c>
      <c r="P7" s="1773">
        <f t="shared" ref="P7:P21" si="9">IF(VLOOKUP($A7,Table_GW_Summary,MATCH("Res-VI-C-Min",heading_GW_Summary,0),FALSE)="--",VLOOKUP($A7,Table_GW_Summary,MATCH("Res-VI-NC-Min",heading_GW_Summary,0),FALSE),IF(VLOOKUP($A7,Table_GW_Summary,MATCH("Res-VI-NC-Min",heading_GW_Summary,0),FALSE)="--",VLOOKUP($A7,Table_GW_Summary,MATCH("Res-VI-C-Min",heading_GW_Summary,0),FALSE),MIN(VLOOKUP($A7,Table_GW_Summary,MATCH("Res-VI-C-Min",heading_GW_Summary,0),FALSE),VLOOKUP($A7,Table_GW_Summary,MATCH("Res-VI-NC-Min",heading_GW_Summary,0),FALSE))))</f>
        <v>22593053.061253536</v>
      </c>
      <c r="Q7" s="1776">
        <f>VLOOKUP($A7,Table_GW_Summary, MATCH("NDW-NO", heading_GW_Summary, 0), FALSE)</f>
        <v>200000</v>
      </c>
      <c r="R7" s="1786" t="str">
        <f t="shared" ref="R7:R21" si="10">VLOOKUP($A7,Table_GW_Summary, MATCH("mcl", heading_GW_Summary, 0), FALSE)</f>
        <v>--</v>
      </c>
      <c r="S7" s="1786" t="str">
        <f t="shared" ref="S7:S21" si="11">VLOOKUP($A7,Table_GW_Summary, MATCH("DW-C", heading_GW_Summary, 0), FALSE)</f>
        <v>--</v>
      </c>
      <c r="T7" s="1786">
        <f t="shared" ref="T7:T21" si="12">VLOOKUP($A7,Table_GW_Summary, MATCH("DW-NC", heading_GW_Summary, 0), FALSE)</f>
        <v>14065.199496529907</v>
      </c>
      <c r="U7" s="1786">
        <f t="shared" ref="U7:U70" si="13">IF(AND(R7="--", S7="--",T7="--"),"--", IF(R7="--", MIN(S7:T7),R7))</f>
        <v>14065.199496529907</v>
      </c>
      <c r="V7" s="1786">
        <f t="shared" ref="V7:V38" si="14">VLOOKUP($A7,Table_GW_Summary, MATCH("DW-NO", heading_GW_Summary, 0), FALSE)</f>
        <v>20000</v>
      </c>
      <c r="W7" s="1937">
        <f>IF(AND(U7="--",V7="--",P7="--",O7="--",N7="--",M7="--"), "--", MIN(U7,V7,P7,O7,N7,M7))</f>
        <v>14065.199496529907</v>
      </c>
      <c r="X7" s="1927" t="str">
        <f t="shared" ref="X7:X38" si="15">IF(W7=$R7,"MCL",IF(W7=$S7,"Tapwater Cancer", IF(W7=$T7,"Tapwater Noncancer",IF(W7=$V7,"DW Taste &amp; Odor",IF(W7=$P7,"VI",IF(W7=$N7,"Seafood Ingestion",IF(W7=$M7,"Saltwater EcoTox",IF(W7=$L7,"FW EcoTox","Outdoor Odor"))))))))</f>
        <v>Tapwater Noncancer</v>
      </c>
      <c r="Y7" s="1928">
        <f>IF(AND(U7="--",V7="--",P7="--",O7="--",N7="--",L7="--"),"--",MIN(U7,V7,P7,O7,N7,L7))</f>
        <v>1500</v>
      </c>
      <c r="Z7" s="1927" t="str">
        <f t="shared" ref="Z7:Z38" si="16">IF(Y7=$R7,"MCL",IF(Y7=$S7,"Tapwater Cancer", IF(Y7=$T7,"Tapwater Noncancer",IF(Y7=$V7,"DW Taste &amp; Odor",IF(Y7=$P7,"VI",IF(Y7=$N7,"Seafood Ingestion",IF(Y7=$M7,"Saltwater EcoTox",IF(Y7=$L7,"FW EcoTox","Outdoor Odor"))))))))</f>
        <v>FW EcoTox</v>
      </c>
      <c r="AA7" s="1928">
        <f>IF(AND(U7="--",V7="--",P7="--",O7="--",N7="--",L7="--",M7="--"),"--",MIN(U7,V7,P7,O7,N7,M7,L7))</f>
        <v>1500</v>
      </c>
      <c r="AB7" s="1927" t="str">
        <f t="shared" ref="AB7:AB38" si="17">IF(AA7=$R7,"MCL",IF(AA7=$S7,"Tapwater Cancer", IF(AA7=$T7,"Tapwater Noncancer",IF(AA7=$V7,"DW Taste &amp; Odor",IF(AA7=$P7,"VI",IF(AA7=$N7,"Seafood Ingestion",IF(AA7=$M7,"Saltwater EcoTox",IF(AA7=$L7,"FW EcoTox","Outdoor Odor"))))))))</f>
        <v>FW EcoTox</v>
      </c>
      <c r="AC7" s="1765">
        <f>IF(AND(U7="--",V7="--",P7="--",O7="--"), "--", MIN(U7,V7,P7,O7))</f>
        <v>14065.199496529907</v>
      </c>
      <c r="AD7" s="1927" t="str">
        <f t="shared" ref="AD7:AD38" si="18">IF(AC7=$R7,"MCL",IF(AC7=$S7,"Tapwater Cancer", IF(AC7=$T7,"Tapwater Noncancer",IF(AC7=$V7,"DW Taste &amp; Odor",IF(AC7=$P7,"VI",IF(AC7=$N7,"Seafood Ingestion",IF(AC7=$M7,"Saltwater EcoTox",IF(AC7=$L7,"FW EcoTox","Outdoor Odor"))))))))</f>
        <v>Tapwater Noncancer</v>
      </c>
      <c r="AE7" s="1928">
        <f t="shared" ref="AE7:AE21" si="19">IF(AND(T7="--",S7="--",V7="--",P7="--",O7="--",N7="--",M7="--"), "--", MIN(T7,S7,V7,P7,O7,N7,M7))</f>
        <v>14065.199496529907</v>
      </c>
      <c r="AF7" s="1927" t="str">
        <f t="shared" ref="AF7:AF38" si="20">IF(AE7=$R7,"MCL",IF(AE7=$S7,"Tapwater Cancer", IF(AE7=$T7,"Tapwater Noncancer",IF(AE7=$V7,"DW Taste &amp; Odor",IF(AE7=$P7,"VI",IF(AE7=$N7,"Seafood Ingestion",IF(AE7=$M7,"Saltwater EcoTox",IF(AE7=$L7,"FW EcoTox","Outdoor Odor"))))))))</f>
        <v>Tapwater Noncancer</v>
      </c>
      <c r="AG7" s="1928">
        <f t="shared" ref="AG7:AG21" si="21">IF(AND(T7="--",S7="--",V7="--",P7="--",O7="--",N7="--",L7="--"), "--", MIN(T7,S7,V7,P7,O7,N7,L7))</f>
        <v>1500</v>
      </c>
      <c r="AH7" s="1927" t="str">
        <f t="shared" ref="AH7:AH38" si="22">IF(AG7=$R7,"MCL",IF(AG7=$S7,"Tapwater Cancer", IF(AG7=$T7,"Tapwater Noncancer",IF(AG7=$V7,"DW Taste &amp; Odor",IF(AG7=$P7,"VI",IF(AG7=$N7,"Seafood Ingestion",IF(AG7=$M7,"Saltwater EcoTox",IF(AG7=$L7,"FW EcoTox","Outdoor Odor"))))))))</f>
        <v>FW EcoTox</v>
      </c>
      <c r="AI7" s="1928">
        <f t="shared" ref="AI7:AI21" si="23">IF(AND(T7="--",S7="--",V7="--",P7="--",O7="--",N7="--",M7="--",L7="--"), "--", MIN(T7,S7,V7,P7,O7,N7,M7,L7))</f>
        <v>1500</v>
      </c>
      <c r="AJ7" s="1927" t="str">
        <f t="shared" ref="AJ7:AJ38" si="24">IF(AI7=$R7,"MCL",IF(AI7=$S7,"Tapwater Cancer", IF(AI7=$T7,"Tapwater Noncancer",IF(AI7=$V7,"DW Taste &amp; Odor",IF(AI7=$P7,"VI",IF(AI7=$N7,"Seafood Ingestion",IF(AI7=$M7,"Saltwater EcoTox",IF(AI7=$L7,"FW EcoTox","Outdoor Odor"))))))))</f>
        <v>FW EcoTox</v>
      </c>
      <c r="AK7" s="1765">
        <f t="shared" ref="AK7:AK21" si="25">IF(AND(T7="--",S7="--",V7="--",P7="--",O7="--"),"--",MIN(T7,S7,V7,P7,O7))</f>
        <v>14065.199496529907</v>
      </c>
      <c r="AL7" s="1927" t="str">
        <f t="shared" ref="AL7:AL38" si="26">IF(AK7=$R7,"MCL",IF(AK7=$S7,"Tapwater Cancer", IF(AK7=$T7,"Tapwater Noncancer",IF(AK7=$V7,"DW Taste &amp; Odor",IF(AK7=$P7,"VI",IF(AK7=$N7,"Seafood Ingestion",IF(AK7=$M7,"Saltwater EcoTox",IF(AK7=$L7,"FW EcoTox","Outdoor Odor"))))))))</f>
        <v>Tapwater Noncancer</v>
      </c>
      <c r="AM7" s="1765">
        <f t="shared" ref="AM7:AM21" si="27">IF(AND(Q7="--",P7="--",O7="--",N7="--",M7="--"), "--", MIN(M7,N7,O7,P7,Q7))</f>
        <v>50000</v>
      </c>
      <c r="AN7" s="1927" t="str">
        <f t="shared" ref="AN7:AN38" si="28">IF(AM7=$R7,"MCL",IF(AM7=$S7,"Tapwater Cancer", IF(AM7=$T7,"Tapwater Noncancer",IF(AM7=$V7,"DW Taste &amp; Odor",IF(AM7=$P7,"VI",IF(AM7=$N7,"Seafood Ingestion",IF(AM7=$M7,"Saltwater EcoTox",IF(AM7=$L7,"FW EcoTox","Outdoor Odor"))))))))</f>
        <v>Outdoor Odor</v>
      </c>
      <c r="AO7" s="1929">
        <f t="shared" ref="AO7:AO21" si="29">IF(AND(Q7="--",P7="--",O7="--",N7="--",L7="--"),"--",MIN(Q7,P7,O7,N7,L7))</f>
        <v>1500</v>
      </c>
      <c r="AP7" s="1927" t="str">
        <f t="shared" ref="AP7:AP38" si="30">IF(AO7=$R7,"MCL",IF(AO7=$S7,"Tapwater Cancer", IF(AO7=$T7,"Tapwater Noncancer",IF(AO7=$V7,"DW Taste &amp; Odor",IF(AO7=$P7,"VI",IF(AO7=$N7,"Seafood Ingestion",IF(AO7=$M7,"Saltwater EcoTox",IF(AO7=$L7,"FW EcoTox","Outdoor Odor"))))))))</f>
        <v>FW EcoTox</v>
      </c>
      <c r="AQ7" s="1929">
        <f t="shared" ref="AQ7:AQ21" si="31">IF(AND(Q7="--",P7="--",O7="--",N7="--",M7="--",L7="--"),"--",MIN(Q7,P7,O7,N7,M7,L7))</f>
        <v>1500</v>
      </c>
      <c r="AR7" s="1927" t="str">
        <f t="shared" ref="AR7:AR38" si="32">IF(AQ7=$R7,"MCL",IF(AQ7=$S7,"Tapwater Cancer", IF(AQ7=$T7,"Tapwater Noncancer",IF(AQ7=$V7,"DW Taste &amp; Odor",IF(AQ7=$P7,"VI",IF(AQ7=$N7,"Seafood Ingestion",IF(AQ7=$M7,"Saltwater EcoTox",IF(AQ7=$L7,"FW EcoTox","Outdoor Odor"))))))))</f>
        <v>FW EcoTox</v>
      </c>
      <c r="AS7" s="1930">
        <f t="shared" ref="AS7:AS21" si="33">IF(AND(Q7="--",P7="--",O7="--"),"--",MIN(Q7,P7,O7))</f>
        <v>50000</v>
      </c>
      <c r="AT7" s="1938" t="str">
        <f t="shared" ref="AT7:AT38" si="34">IF(AS7=$R7,"MCL",IF(AS7=$S7,"Tapwater Cancer", IF(AS7=$T7,"Tapwater Noncancer",IF(AS7=$V7,"DW Taste &amp; Odor",IF(AS7=$P7,"VI",IF(AS7=$N7,"Seafood Ingestion",IF(AS7=$M7,"Saltwater EcoTox",IF(AS7=$L7,"FW EcoTox","Outdoor Odor"))))))))</f>
        <v>Outdoor Odor</v>
      </c>
      <c r="AU7" s="1773">
        <f>IF($G7="--","--",IF(W7="--", W7,IF(AND($G7*W7*0.001&lt;$H7,$E7&gt;30000),$H7,$G7*W7*0.001)))</f>
        <v>8.5751161118498924</v>
      </c>
      <c r="AV7" s="1773">
        <f t="shared" ref="AV7:AV22" si="35">IF($G7="--","--",IF(Y7="--", Y7,IF(AND($G7*Y7*0.001&lt;$H7,$E7&gt;30000),$H7,$G7*Y7*0.001)))</f>
        <v>0.91450350000000002</v>
      </c>
      <c r="AW7" s="1773">
        <f t="shared" ref="AW7:AW22" si="36">IF($G7="--","--",IF(AA7="--", AA7,IF(AND($G7*AA7*0.001&lt;$H7,$E7&gt;30000),$H7,$G7*AA7*0.001)))</f>
        <v>0.91450350000000002</v>
      </c>
      <c r="AX7" s="1773">
        <f t="shared" ref="AX7:AX22" si="37">IF($G7="--","--",IF(AC7="--", AC7,IF(AND($G7*AC7*0.001&lt;$H7,$E7&gt;30000),$H7,$G7*AC7*0.001)))</f>
        <v>8.5751161118498924</v>
      </c>
      <c r="AY7" s="1773">
        <f t="shared" ref="AY7:AY22" si="38">IF($G7="--","--",IF(AE7="--", AE7,IF(AND($G7*AE7*0.001&lt;$H7,$E7&gt;30000),$H7,$G7*AE7*0.001)))</f>
        <v>8.5751161118498924</v>
      </c>
      <c r="AZ7" s="1773">
        <f t="shared" ref="AZ7:AZ22" si="39">IF($G7="--","--",IF(AG7="--", AG7,IF(AND($G7*AG7*0.001&lt;$H7,$E7&gt;30000),$H7,$G7*AG7*0.001)))</f>
        <v>0.91450350000000002</v>
      </c>
      <c r="BA7" s="1773">
        <f t="shared" ref="BA7:BA22" si="40">IF($G7="--","--",IF(AI7="--", AI7,IF(AND($G7*AI7*0.001&lt;$H7,$E7&gt;30000),$H7,$G7*AI7*0.001)))</f>
        <v>0.91450350000000002</v>
      </c>
      <c r="BB7" s="1773">
        <f t="shared" ref="BB7:BB22" si="41">IF($G7="--","--",IF(AK7="--", AK7,IF(AND($G7*AK7*0.001&lt;$H7,$E7&gt;30000),$H7,$G7*AK7*0.001)))</f>
        <v>8.5751161118498924</v>
      </c>
      <c r="BC7" s="1773">
        <f t="shared" ref="BC7:BC22" si="42">IF($G7="--","--",IF(AM7="--", AM7,IF(AND($G7*AM7*0.001&lt;$H7,$E7&gt;30000),$H7,$G7*AM7*0.001)))</f>
        <v>30.483450000000001</v>
      </c>
      <c r="BD7" s="1773">
        <f t="shared" ref="BD7:BD22" si="43">IF($G7="--","--",IF(AO7="--", AO7,IF(AND($G7*AO7*0.001&lt;$H7,$E7&gt;30000),$H7,$G7*AO7*0.001)))</f>
        <v>0.91450350000000002</v>
      </c>
      <c r="BE7" s="1773">
        <f t="shared" ref="BE7:BE22" si="44">IF($G7="--","--",IF(AQ7="--", AQ7,IF(AND($G7*AQ7*0.001&lt;$H7,$E7&gt;30000),$H7,$G7*AQ7*0.001)))</f>
        <v>0.91450350000000002</v>
      </c>
      <c r="BF7" s="1947">
        <f t="shared" ref="BF7:BF22" si="45">IF($G7="--","--",IF(AS7="--", AS7,IF(AND($G7*AS7*0.001&lt;$H7,$E7&gt;30000),$H7,$G7*AS7*0.001)))</f>
        <v>30.483450000000001</v>
      </c>
    </row>
    <row r="8" spans="1:59">
      <c r="A8" s="184" t="s">
        <v>85</v>
      </c>
      <c r="B8" s="185" t="s">
        <v>86</v>
      </c>
      <c r="C8" s="388">
        <f t="shared" ref="C8:C71" si="46">IF(G8="--","--",IF(I8="--", I8,IF(AND(G8*I8*0.001&lt;H8,E8&gt;30000),H8,G8*I8*0.001)))</f>
        <v>8.3677457891461877</v>
      </c>
      <c r="D8" s="1779">
        <f t="shared" ref="D8:D71" si="47">IF(G8="--","--",IF(J8="--","--",IF(AND(G8*J8*0.001&lt;H8,E8&gt;30000),H8,G8*J8*0.001)))</f>
        <v>8.3677457891461877</v>
      </c>
      <c r="E8" s="1785">
        <f t="shared" si="0"/>
        <v>82020</v>
      </c>
      <c r="F8" s="271">
        <f t="shared" si="1"/>
        <v>4.3999999999999999E-5</v>
      </c>
      <c r="G8" s="271">
        <f t="shared" si="2"/>
        <v>13615.593108000001</v>
      </c>
      <c r="H8" s="272">
        <f t="shared" si="3"/>
        <v>8.3677457891461877</v>
      </c>
      <c r="I8" s="1162">
        <f t="shared" si="4"/>
        <v>7.7000000000000004E-7</v>
      </c>
      <c r="J8" s="1163">
        <f t="shared" ref="J8:J71" si="48">IF(MIN(L8,M8,N8,O8,P8,Q8)=0, "--",MIN(L8,M8,N8,O8,P8,Q8))</f>
        <v>7.7000000000000004E-7</v>
      </c>
      <c r="K8" s="1164" t="str">
        <f t="shared" ref="K8:K71" si="49">IF(J8="--","--", IF(J8=L8,"FW EcoTox Goal", IF(J8=M8,"SW EcoTox Goal", IF(J8=N8, "Seafood Consumption", IF(J8=O8, "Gross Contam.",IF(J8=P8,"GW VI", "Nuis-Odor"))))))</f>
        <v>Seafood Consumption</v>
      </c>
      <c r="L8" s="271">
        <f t="shared" si="5"/>
        <v>0.3</v>
      </c>
      <c r="M8" s="271">
        <f t="shared" si="6"/>
        <v>0.13</v>
      </c>
      <c r="N8" s="271">
        <f t="shared" si="7"/>
        <v>7.7000000000000004E-7</v>
      </c>
      <c r="O8" s="271">
        <f t="shared" si="8"/>
        <v>8.5</v>
      </c>
      <c r="P8" s="1773">
        <f t="shared" si="9"/>
        <v>0.31853503639157693</v>
      </c>
      <c r="Q8" s="1777">
        <f t="shared" ref="Q8:Q21" si="50">VLOOKUP($A8,Table_GW_Summary, MATCH("NDW-NO", heading_GW_Summary, 0), FALSE)</f>
        <v>170</v>
      </c>
      <c r="R8" s="1786" t="str">
        <f t="shared" si="10"/>
        <v>--</v>
      </c>
      <c r="S8" s="1786">
        <f t="shared" si="11"/>
        <v>9.1675143477878659E-4</v>
      </c>
      <c r="T8" s="1786">
        <f t="shared" si="12"/>
        <v>2E-3</v>
      </c>
      <c r="U8" s="1786">
        <f t="shared" si="13"/>
        <v>9.1675143477878659E-4</v>
      </c>
      <c r="V8" s="1786">
        <f t="shared" si="14"/>
        <v>17</v>
      </c>
      <c r="W8" s="1890">
        <f t="shared" ref="W8:W21" si="51">IF(AND(U8="--",V8="--",P8="--",O8="--",N8="--",M8="--"), "--", MIN(U8,V8,P8,O8,N8,M8))</f>
        <v>7.7000000000000004E-7</v>
      </c>
      <c r="X8" s="1646" t="str">
        <f t="shared" si="15"/>
        <v>Seafood Ingestion</v>
      </c>
      <c r="Y8" s="1642">
        <f t="shared" ref="Y8:Y21" si="52">IF(AND(U8="--",V8="--",P8="--",O8="--",N8="--",L8="--"),"--",MIN(U8,V8,P8,O8,N8,L8))</f>
        <v>7.7000000000000004E-7</v>
      </c>
      <c r="Z8" s="1646" t="str">
        <f t="shared" si="16"/>
        <v>Seafood Ingestion</v>
      </c>
      <c r="AA8" s="1642">
        <f t="shared" ref="AA8:AA21" si="53">IF(AND(U8="--",V8="--",P8="--",O8="--",N8="--",L8="--",M8="--"),"--",MIN(U8,V8,P8,O8,N8,M8,L8))</f>
        <v>7.7000000000000004E-7</v>
      </c>
      <c r="AB8" s="1646" t="str">
        <f t="shared" si="17"/>
        <v>Seafood Ingestion</v>
      </c>
      <c r="AC8" s="1641">
        <f t="shared" ref="AC8:AC21" si="54">IF(AND(U8="--",V8="--",P8="--",O8="--"), "--", MIN(U8,V8,P8,O8))</f>
        <v>9.1675143477878659E-4</v>
      </c>
      <c r="AD8" s="1646" t="str">
        <f t="shared" si="18"/>
        <v>Tapwater Cancer</v>
      </c>
      <c r="AE8" s="1642">
        <f t="shared" si="19"/>
        <v>7.7000000000000004E-7</v>
      </c>
      <c r="AF8" s="1646" t="str">
        <f t="shared" si="20"/>
        <v>Seafood Ingestion</v>
      </c>
      <c r="AG8" s="1642">
        <f t="shared" si="21"/>
        <v>7.7000000000000004E-7</v>
      </c>
      <c r="AH8" s="1646" t="str">
        <f t="shared" si="22"/>
        <v>Seafood Ingestion</v>
      </c>
      <c r="AI8" s="1642">
        <f t="shared" si="23"/>
        <v>7.7000000000000004E-7</v>
      </c>
      <c r="AJ8" s="1646" t="str">
        <f t="shared" si="24"/>
        <v>Seafood Ingestion</v>
      </c>
      <c r="AK8" s="1641">
        <f t="shared" si="25"/>
        <v>9.1675143477878659E-4</v>
      </c>
      <c r="AL8" s="1646" t="str">
        <f t="shared" si="26"/>
        <v>Tapwater Cancer</v>
      </c>
      <c r="AM8" s="1641">
        <f t="shared" si="27"/>
        <v>7.7000000000000004E-7</v>
      </c>
      <c r="AN8" s="1646" t="str">
        <f t="shared" si="28"/>
        <v>Seafood Ingestion</v>
      </c>
      <c r="AO8" s="1643">
        <f t="shared" si="29"/>
        <v>7.7000000000000004E-7</v>
      </c>
      <c r="AP8" s="1646" t="str">
        <f t="shared" si="30"/>
        <v>Seafood Ingestion</v>
      </c>
      <c r="AQ8" s="1643">
        <f t="shared" si="31"/>
        <v>7.7000000000000004E-7</v>
      </c>
      <c r="AR8" s="1646" t="str">
        <f t="shared" si="32"/>
        <v>Seafood Ingestion</v>
      </c>
      <c r="AS8" s="1644">
        <f t="shared" si="33"/>
        <v>0.31853503639157693</v>
      </c>
      <c r="AT8" s="1891" t="str">
        <f t="shared" si="34"/>
        <v>VI</v>
      </c>
      <c r="AU8" s="1773">
        <f t="shared" ref="AU8:AU22" si="55">IF($G8="--","--",IF(W8="--", W8,IF(AND($G8*W8*0.001&lt;$H8,$E8&gt;30000),$H8,$G8*W8*0.001)))</f>
        <v>8.3677457891461877</v>
      </c>
      <c r="AV8" s="1773">
        <f t="shared" si="35"/>
        <v>8.3677457891461877</v>
      </c>
      <c r="AW8" s="1773">
        <f t="shared" si="36"/>
        <v>8.3677457891461877</v>
      </c>
      <c r="AX8" s="1773">
        <f t="shared" si="37"/>
        <v>8.3677457891461877</v>
      </c>
      <c r="AY8" s="1773">
        <f t="shared" si="38"/>
        <v>8.3677457891461877</v>
      </c>
      <c r="AZ8" s="1773">
        <f t="shared" si="39"/>
        <v>8.3677457891461877</v>
      </c>
      <c r="BA8" s="1773">
        <f t="shared" si="40"/>
        <v>8.3677457891461877</v>
      </c>
      <c r="BB8" s="1773">
        <f t="shared" si="41"/>
        <v>8.3677457891461877</v>
      </c>
      <c r="BC8" s="1773">
        <f t="shared" si="42"/>
        <v>8.3677457891461877</v>
      </c>
      <c r="BD8" s="1773">
        <f t="shared" si="43"/>
        <v>8.3677457891461877</v>
      </c>
      <c r="BE8" s="1773">
        <f t="shared" si="44"/>
        <v>8.3677457891461877</v>
      </c>
      <c r="BF8" s="1947">
        <f t="shared" si="45"/>
        <v>8.3677457891461877</v>
      </c>
    </row>
    <row r="9" spans="1:59">
      <c r="A9" s="184" t="s">
        <v>87</v>
      </c>
      <c r="B9" s="185" t="s">
        <v>88</v>
      </c>
      <c r="C9" s="388" t="str">
        <f t="shared" si="46"/>
        <v>--</v>
      </c>
      <c r="D9" s="1779" t="str">
        <f t="shared" si="47"/>
        <v>--</v>
      </c>
      <c r="E9" s="1785" t="str">
        <f t="shared" si="0"/>
        <v>--</v>
      </c>
      <c r="F9" s="271" t="str">
        <f t="shared" si="1"/>
        <v>--</v>
      </c>
      <c r="G9" s="271" t="str">
        <f t="shared" si="2"/>
        <v>--</v>
      </c>
      <c r="H9" s="272" t="str">
        <f t="shared" si="3"/>
        <v>--</v>
      </c>
      <c r="I9" s="1162">
        <f t="shared" si="4"/>
        <v>6</v>
      </c>
      <c r="J9" s="1163">
        <f t="shared" si="48"/>
        <v>30</v>
      </c>
      <c r="K9" s="1164" t="str">
        <f t="shared" si="49"/>
        <v>FW EcoTox Goal</v>
      </c>
      <c r="L9" s="271">
        <f t="shared" si="5"/>
        <v>30</v>
      </c>
      <c r="M9" s="271">
        <f t="shared" si="6"/>
        <v>500</v>
      </c>
      <c r="N9" s="271">
        <f t="shared" si="7"/>
        <v>640</v>
      </c>
      <c r="O9" s="271">
        <f t="shared" si="8"/>
        <v>50000</v>
      </c>
      <c r="P9" s="1773" t="str">
        <f t="shared" si="9"/>
        <v>--</v>
      </c>
      <c r="Q9" s="1777" t="str">
        <f t="shared" si="50"/>
        <v>--</v>
      </c>
      <c r="R9" s="1786">
        <f t="shared" si="10"/>
        <v>6</v>
      </c>
      <c r="S9" s="1786" t="str">
        <f t="shared" si="11"/>
        <v>--</v>
      </c>
      <c r="T9" s="1786">
        <f t="shared" si="12"/>
        <v>1</v>
      </c>
      <c r="U9" s="1786">
        <f t="shared" si="13"/>
        <v>6</v>
      </c>
      <c r="V9" s="1786" t="str">
        <f t="shared" si="14"/>
        <v>--</v>
      </c>
      <c r="W9" s="1890">
        <f t="shared" si="51"/>
        <v>6</v>
      </c>
      <c r="X9" s="1646" t="str">
        <f t="shared" si="15"/>
        <v>MCL</v>
      </c>
      <c r="Y9" s="1642">
        <f t="shared" si="52"/>
        <v>6</v>
      </c>
      <c r="Z9" s="1646" t="str">
        <f t="shared" si="16"/>
        <v>MCL</v>
      </c>
      <c r="AA9" s="1642">
        <f t="shared" si="53"/>
        <v>6</v>
      </c>
      <c r="AB9" s="1646" t="str">
        <f t="shared" si="17"/>
        <v>MCL</v>
      </c>
      <c r="AC9" s="1641">
        <f t="shared" si="54"/>
        <v>6</v>
      </c>
      <c r="AD9" s="1646" t="str">
        <f t="shared" si="18"/>
        <v>MCL</v>
      </c>
      <c r="AE9" s="1642">
        <f t="shared" si="19"/>
        <v>1</v>
      </c>
      <c r="AF9" s="1646" t="str">
        <f t="shared" si="20"/>
        <v>Tapwater Noncancer</v>
      </c>
      <c r="AG9" s="1642">
        <f t="shared" si="21"/>
        <v>1</v>
      </c>
      <c r="AH9" s="1646" t="str">
        <f t="shared" si="22"/>
        <v>Tapwater Noncancer</v>
      </c>
      <c r="AI9" s="1642">
        <f t="shared" si="23"/>
        <v>1</v>
      </c>
      <c r="AJ9" s="1646" t="str">
        <f t="shared" si="24"/>
        <v>Tapwater Noncancer</v>
      </c>
      <c r="AK9" s="1641">
        <f t="shared" si="25"/>
        <v>1</v>
      </c>
      <c r="AL9" s="1646" t="str">
        <f t="shared" si="26"/>
        <v>Tapwater Noncancer</v>
      </c>
      <c r="AM9" s="1641">
        <f t="shared" si="27"/>
        <v>500</v>
      </c>
      <c r="AN9" s="1646" t="str">
        <f t="shared" si="28"/>
        <v>Saltwater EcoTox</v>
      </c>
      <c r="AO9" s="1643">
        <f t="shared" si="29"/>
        <v>30</v>
      </c>
      <c r="AP9" s="1646" t="str">
        <f t="shared" si="30"/>
        <v>FW EcoTox</v>
      </c>
      <c r="AQ9" s="1643">
        <f t="shared" si="31"/>
        <v>30</v>
      </c>
      <c r="AR9" s="1646" t="str">
        <f t="shared" si="32"/>
        <v>FW EcoTox</v>
      </c>
      <c r="AS9" s="1644">
        <f t="shared" si="33"/>
        <v>50000</v>
      </c>
      <c r="AT9" s="1891" t="str">
        <f t="shared" si="34"/>
        <v>Outdoor Odor</v>
      </c>
      <c r="AU9" s="1773" t="str">
        <f t="shared" si="55"/>
        <v>--</v>
      </c>
      <c r="AV9" s="1773" t="str">
        <f t="shared" si="35"/>
        <v>--</v>
      </c>
      <c r="AW9" s="1773" t="str">
        <f t="shared" si="36"/>
        <v>--</v>
      </c>
      <c r="AX9" s="1773" t="str">
        <f t="shared" si="37"/>
        <v>--</v>
      </c>
      <c r="AY9" s="1773" t="str">
        <f t="shared" si="38"/>
        <v>--</v>
      </c>
      <c r="AZ9" s="1773" t="str">
        <f t="shared" si="39"/>
        <v>--</v>
      </c>
      <c r="BA9" s="1773" t="str">
        <f t="shared" si="40"/>
        <v>--</v>
      </c>
      <c r="BB9" s="1773" t="str">
        <f t="shared" si="41"/>
        <v>--</v>
      </c>
      <c r="BC9" s="1773" t="str">
        <f t="shared" si="42"/>
        <v>--</v>
      </c>
      <c r="BD9" s="1773" t="str">
        <f t="shared" si="43"/>
        <v>--</v>
      </c>
      <c r="BE9" s="1773" t="str">
        <f t="shared" si="44"/>
        <v>--</v>
      </c>
      <c r="BF9" s="1947" t="str">
        <f t="shared" si="45"/>
        <v>--</v>
      </c>
    </row>
    <row r="10" spans="1:59">
      <c r="A10" s="184" t="s">
        <v>89</v>
      </c>
      <c r="B10" s="185" t="s">
        <v>90</v>
      </c>
      <c r="C10" s="388" t="str">
        <f t="shared" si="46"/>
        <v>--</v>
      </c>
      <c r="D10" s="1779" t="str">
        <f t="shared" si="47"/>
        <v>--</v>
      </c>
      <c r="E10" s="1785" t="str">
        <f t="shared" si="0"/>
        <v>--</v>
      </c>
      <c r="F10" s="271" t="str">
        <f t="shared" si="1"/>
        <v>--</v>
      </c>
      <c r="G10" s="271" t="str">
        <f t="shared" si="2"/>
        <v>--</v>
      </c>
      <c r="H10" s="272" t="str">
        <f t="shared" si="3"/>
        <v>--</v>
      </c>
      <c r="I10" s="1162">
        <f t="shared" si="4"/>
        <v>0.14000000000000001</v>
      </c>
      <c r="J10" s="1163">
        <f t="shared" si="48"/>
        <v>0.14000000000000001</v>
      </c>
      <c r="K10" s="1164" t="str">
        <f t="shared" si="49"/>
        <v>Seafood Consumption</v>
      </c>
      <c r="L10" s="271">
        <f t="shared" si="5"/>
        <v>150</v>
      </c>
      <c r="M10" s="271">
        <f t="shared" si="6"/>
        <v>8</v>
      </c>
      <c r="N10" s="271">
        <f t="shared" si="7"/>
        <v>0.14000000000000001</v>
      </c>
      <c r="O10" s="271">
        <f t="shared" si="8"/>
        <v>50000</v>
      </c>
      <c r="P10" s="1773" t="str">
        <f t="shared" si="9"/>
        <v>--</v>
      </c>
      <c r="Q10" s="1777" t="str">
        <f t="shared" si="50"/>
        <v>--</v>
      </c>
      <c r="R10" s="1786">
        <f t="shared" si="10"/>
        <v>10</v>
      </c>
      <c r="S10" s="1786">
        <f t="shared" si="11"/>
        <v>2.4217007289035635E-3</v>
      </c>
      <c r="T10" s="1786">
        <f t="shared" si="12"/>
        <v>6.988435957398495E-2</v>
      </c>
      <c r="U10" s="1786">
        <f t="shared" si="13"/>
        <v>10</v>
      </c>
      <c r="V10" s="1786" t="str">
        <f t="shared" si="14"/>
        <v>--</v>
      </c>
      <c r="W10" s="1890">
        <f t="shared" si="51"/>
        <v>0.14000000000000001</v>
      </c>
      <c r="X10" s="1646" t="str">
        <f t="shared" si="15"/>
        <v>Seafood Ingestion</v>
      </c>
      <c r="Y10" s="1642">
        <f t="shared" si="52"/>
        <v>0.14000000000000001</v>
      </c>
      <c r="Z10" s="1646" t="str">
        <f t="shared" si="16"/>
        <v>Seafood Ingestion</v>
      </c>
      <c r="AA10" s="1642">
        <f t="shared" si="53"/>
        <v>0.14000000000000001</v>
      </c>
      <c r="AB10" s="1646" t="str">
        <f t="shared" si="17"/>
        <v>Seafood Ingestion</v>
      </c>
      <c r="AC10" s="1641">
        <f t="shared" si="54"/>
        <v>10</v>
      </c>
      <c r="AD10" s="1646" t="str">
        <f t="shared" si="18"/>
        <v>MCL</v>
      </c>
      <c r="AE10" s="1642">
        <f t="shared" si="19"/>
        <v>2.4217007289035635E-3</v>
      </c>
      <c r="AF10" s="1646" t="str">
        <f t="shared" si="20"/>
        <v>Tapwater Cancer</v>
      </c>
      <c r="AG10" s="1642">
        <f t="shared" si="21"/>
        <v>2.4217007289035635E-3</v>
      </c>
      <c r="AH10" s="1646" t="str">
        <f t="shared" si="22"/>
        <v>Tapwater Cancer</v>
      </c>
      <c r="AI10" s="1642">
        <f t="shared" si="23"/>
        <v>2.4217007289035635E-3</v>
      </c>
      <c r="AJ10" s="1646" t="str">
        <f t="shared" si="24"/>
        <v>Tapwater Cancer</v>
      </c>
      <c r="AK10" s="1641">
        <f t="shared" si="25"/>
        <v>2.4217007289035635E-3</v>
      </c>
      <c r="AL10" s="1646" t="str">
        <f t="shared" si="26"/>
        <v>Tapwater Cancer</v>
      </c>
      <c r="AM10" s="1641">
        <f t="shared" si="27"/>
        <v>0.14000000000000001</v>
      </c>
      <c r="AN10" s="1646" t="str">
        <f t="shared" si="28"/>
        <v>Seafood Ingestion</v>
      </c>
      <c r="AO10" s="1643">
        <f t="shared" si="29"/>
        <v>0.14000000000000001</v>
      </c>
      <c r="AP10" s="1646" t="str">
        <f t="shared" si="30"/>
        <v>Seafood Ingestion</v>
      </c>
      <c r="AQ10" s="1643">
        <f t="shared" si="31"/>
        <v>0.14000000000000001</v>
      </c>
      <c r="AR10" s="1646" t="str">
        <f t="shared" si="32"/>
        <v>Seafood Ingestion</v>
      </c>
      <c r="AS10" s="1644">
        <f t="shared" si="33"/>
        <v>50000</v>
      </c>
      <c r="AT10" s="1891" t="str">
        <f t="shared" si="34"/>
        <v>Outdoor Odor</v>
      </c>
      <c r="AU10" s="1773" t="str">
        <f t="shared" si="55"/>
        <v>--</v>
      </c>
      <c r="AV10" s="1773" t="str">
        <f t="shared" si="35"/>
        <v>--</v>
      </c>
      <c r="AW10" s="1773" t="str">
        <f t="shared" si="36"/>
        <v>--</v>
      </c>
      <c r="AX10" s="1773" t="str">
        <f t="shared" si="37"/>
        <v>--</v>
      </c>
      <c r="AY10" s="1773" t="str">
        <f t="shared" si="38"/>
        <v>--</v>
      </c>
      <c r="AZ10" s="1773" t="str">
        <f t="shared" si="39"/>
        <v>--</v>
      </c>
      <c r="BA10" s="1773" t="str">
        <f t="shared" si="40"/>
        <v>--</v>
      </c>
      <c r="BB10" s="1773" t="str">
        <f t="shared" si="41"/>
        <v>--</v>
      </c>
      <c r="BC10" s="1773" t="str">
        <f t="shared" si="42"/>
        <v>--</v>
      </c>
      <c r="BD10" s="1773" t="str">
        <f t="shared" si="43"/>
        <v>--</v>
      </c>
      <c r="BE10" s="1773" t="str">
        <f t="shared" si="44"/>
        <v>--</v>
      </c>
      <c r="BF10" s="1947" t="str">
        <f t="shared" si="45"/>
        <v>--</v>
      </c>
    </row>
    <row r="11" spans="1:59">
      <c r="A11" s="184" t="s">
        <v>91</v>
      </c>
      <c r="B11" s="185" t="s">
        <v>92</v>
      </c>
      <c r="C11" s="388" t="str">
        <f t="shared" si="46"/>
        <v>--</v>
      </c>
      <c r="D11" s="1779" t="str">
        <f t="shared" si="47"/>
        <v>--</v>
      </c>
      <c r="E11" s="1785" t="str">
        <f t="shared" si="0"/>
        <v>--</v>
      </c>
      <c r="F11" s="271" t="str">
        <f t="shared" si="1"/>
        <v>--</v>
      </c>
      <c r="G11" s="271" t="str">
        <f t="shared" si="2"/>
        <v>--</v>
      </c>
      <c r="H11" s="272" t="str">
        <f t="shared" si="3"/>
        <v>--</v>
      </c>
      <c r="I11" s="1162">
        <f t="shared" si="4"/>
        <v>1000</v>
      </c>
      <c r="J11" s="1163">
        <f t="shared" si="48"/>
        <v>50000</v>
      </c>
      <c r="K11" s="1164" t="str">
        <f t="shared" si="49"/>
        <v>Gross Contam.</v>
      </c>
      <c r="L11" s="271" t="str">
        <f t="shared" si="5"/>
        <v>--</v>
      </c>
      <c r="M11" s="271" t="str">
        <f t="shared" si="6"/>
        <v>--</v>
      </c>
      <c r="N11" s="271" t="str">
        <f t="shared" si="7"/>
        <v>--</v>
      </c>
      <c r="O11" s="271">
        <f t="shared" si="8"/>
        <v>50000</v>
      </c>
      <c r="P11" s="1773" t="str">
        <f t="shared" si="9"/>
        <v>--</v>
      </c>
      <c r="Q11" s="1777" t="str">
        <f t="shared" si="50"/>
        <v>--</v>
      </c>
      <c r="R11" s="1786">
        <f t="shared" si="10"/>
        <v>1000</v>
      </c>
      <c r="S11" s="1786" t="str">
        <f t="shared" si="11"/>
        <v>--</v>
      </c>
      <c r="T11" s="1786">
        <f t="shared" si="12"/>
        <v>2000</v>
      </c>
      <c r="U11" s="1786">
        <f t="shared" si="13"/>
        <v>1000</v>
      </c>
      <c r="V11" s="1786" t="str">
        <f t="shared" si="14"/>
        <v>--</v>
      </c>
      <c r="W11" s="1890">
        <f t="shared" si="51"/>
        <v>1000</v>
      </c>
      <c r="X11" s="1646" t="str">
        <f t="shared" si="15"/>
        <v>MCL</v>
      </c>
      <c r="Y11" s="1642">
        <f t="shared" si="52"/>
        <v>1000</v>
      </c>
      <c r="Z11" s="1646" t="str">
        <f t="shared" si="16"/>
        <v>MCL</v>
      </c>
      <c r="AA11" s="1642">
        <f t="shared" si="53"/>
        <v>1000</v>
      </c>
      <c r="AB11" s="1646" t="str">
        <f t="shared" si="17"/>
        <v>MCL</v>
      </c>
      <c r="AC11" s="1641">
        <f t="shared" si="54"/>
        <v>1000</v>
      </c>
      <c r="AD11" s="1646" t="str">
        <f t="shared" si="18"/>
        <v>MCL</v>
      </c>
      <c r="AE11" s="1642">
        <f t="shared" si="19"/>
        <v>2000</v>
      </c>
      <c r="AF11" s="1646" t="str">
        <f t="shared" si="20"/>
        <v>Tapwater Noncancer</v>
      </c>
      <c r="AG11" s="1642">
        <f t="shared" si="21"/>
        <v>2000</v>
      </c>
      <c r="AH11" s="1646" t="str">
        <f t="shared" si="22"/>
        <v>Tapwater Noncancer</v>
      </c>
      <c r="AI11" s="1642">
        <f t="shared" si="23"/>
        <v>2000</v>
      </c>
      <c r="AJ11" s="1646" t="str">
        <f t="shared" si="24"/>
        <v>Tapwater Noncancer</v>
      </c>
      <c r="AK11" s="1641">
        <f t="shared" si="25"/>
        <v>2000</v>
      </c>
      <c r="AL11" s="1646" t="str">
        <f t="shared" si="26"/>
        <v>Tapwater Noncancer</v>
      </c>
      <c r="AM11" s="1641">
        <f t="shared" si="27"/>
        <v>50000</v>
      </c>
      <c r="AN11" s="1646" t="str">
        <f t="shared" si="28"/>
        <v>Outdoor Odor</v>
      </c>
      <c r="AO11" s="1643">
        <f t="shared" si="29"/>
        <v>50000</v>
      </c>
      <c r="AP11" s="1646" t="str">
        <f t="shared" si="30"/>
        <v>Outdoor Odor</v>
      </c>
      <c r="AQ11" s="1643">
        <f t="shared" si="31"/>
        <v>50000</v>
      </c>
      <c r="AR11" s="1646" t="str">
        <f t="shared" si="32"/>
        <v>Outdoor Odor</v>
      </c>
      <c r="AS11" s="1644">
        <f t="shared" si="33"/>
        <v>50000</v>
      </c>
      <c r="AT11" s="1891" t="str">
        <f t="shared" si="34"/>
        <v>Outdoor Odor</v>
      </c>
      <c r="AU11" s="1773" t="str">
        <f t="shared" si="55"/>
        <v>--</v>
      </c>
      <c r="AV11" s="1773" t="str">
        <f t="shared" si="35"/>
        <v>--</v>
      </c>
      <c r="AW11" s="1773" t="str">
        <f t="shared" si="36"/>
        <v>--</v>
      </c>
      <c r="AX11" s="1773" t="str">
        <f t="shared" si="37"/>
        <v>--</v>
      </c>
      <c r="AY11" s="1773" t="str">
        <f t="shared" si="38"/>
        <v>--</v>
      </c>
      <c r="AZ11" s="1773" t="str">
        <f t="shared" si="39"/>
        <v>--</v>
      </c>
      <c r="BA11" s="1773" t="str">
        <f t="shared" si="40"/>
        <v>--</v>
      </c>
      <c r="BB11" s="1773" t="str">
        <f t="shared" si="41"/>
        <v>--</v>
      </c>
      <c r="BC11" s="1773" t="str">
        <f t="shared" si="42"/>
        <v>--</v>
      </c>
      <c r="BD11" s="1773" t="str">
        <f t="shared" si="43"/>
        <v>--</v>
      </c>
      <c r="BE11" s="1773" t="str">
        <f t="shared" si="44"/>
        <v>--</v>
      </c>
      <c r="BF11" s="1947" t="str">
        <f t="shared" si="45"/>
        <v>--</v>
      </c>
    </row>
    <row r="12" spans="1:59">
      <c r="A12" s="184" t="s">
        <v>93</v>
      </c>
      <c r="B12" s="185" t="s">
        <v>94</v>
      </c>
      <c r="C12" s="388">
        <f t="shared" si="46"/>
        <v>2.5026217699476064E-2</v>
      </c>
      <c r="D12" s="1779">
        <f t="shared" si="47"/>
        <v>2.5026217699476064E-2</v>
      </c>
      <c r="E12" s="1785">
        <f t="shared" si="0"/>
        <v>145.80000000000001</v>
      </c>
      <c r="F12" s="271">
        <f t="shared" si="1"/>
        <v>5.5500000000000002E-3</v>
      </c>
      <c r="G12" s="271">
        <f t="shared" si="2"/>
        <v>58.651650000000004</v>
      </c>
      <c r="H12" s="272">
        <f t="shared" si="3"/>
        <v>1821.7800652277899</v>
      </c>
      <c r="I12" s="1162">
        <f t="shared" si="4"/>
        <v>0.42669247496832674</v>
      </c>
      <c r="J12" s="1163">
        <f t="shared" si="48"/>
        <v>0.42669247496832674</v>
      </c>
      <c r="K12" s="1164" t="str">
        <f t="shared" si="49"/>
        <v>GW VI</v>
      </c>
      <c r="L12" s="271">
        <f t="shared" si="5"/>
        <v>46</v>
      </c>
      <c r="M12" s="271">
        <f t="shared" si="6"/>
        <v>350</v>
      </c>
      <c r="N12" s="271">
        <f t="shared" si="7"/>
        <v>5.9</v>
      </c>
      <c r="O12" s="271">
        <f t="shared" si="8"/>
        <v>50000</v>
      </c>
      <c r="P12" s="1773">
        <f t="shared" si="9"/>
        <v>0.42669247496832674</v>
      </c>
      <c r="Q12" s="1777">
        <f t="shared" si="50"/>
        <v>20000</v>
      </c>
      <c r="R12" s="1786">
        <f t="shared" si="10"/>
        <v>1</v>
      </c>
      <c r="S12" s="1786">
        <f t="shared" si="11"/>
        <v>0.15</v>
      </c>
      <c r="T12" s="1786">
        <f t="shared" si="12"/>
        <v>5.7492741399940606</v>
      </c>
      <c r="U12" s="1786">
        <f t="shared" si="13"/>
        <v>1</v>
      </c>
      <c r="V12" s="1786">
        <f t="shared" si="14"/>
        <v>170</v>
      </c>
      <c r="W12" s="1890">
        <f t="shared" si="51"/>
        <v>0.42669247496832674</v>
      </c>
      <c r="X12" s="1646" t="str">
        <f t="shared" si="15"/>
        <v>VI</v>
      </c>
      <c r="Y12" s="1642">
        <f t="shared" si="52"/>
        <v>0.42669247496832674</v>
      </c>
      <c r="Z12" s="1646" t="str">
        <f t="shared" si="16"/>
        <v>VI</v>
      </c>
      <c r="AA12" s="1642">
        <f t="shared" si="53"/>
        <v>0.42669247496832674</v>
      </c>
      <c r="AB12" s="1646" t="str">
        <f t="shared" si="17"/>
        <v>VI</v>
      </c>
      <c r="AC12" s="1641">
        <f t="shared" si="54"/>
        <v>0.42669247496832674</v>
      </c>
      <c r="AD12" s="1646" t="str">
        <f t="shared" si="18"/>
        <v>VI</v>
      </c>
      <c r="AE12" s="1642">
        <f t="shared" si="19"/>
        <v>0.15</v>
      </c>
      <c r="AF12" s="1646" t="str">
        <f t="shared" si="20"/>
        <v>Tapwater Cancer</v>
      </c>
      <c r="AG12" s="1642">
        <f t="shared" si="21"/>
        <v>0.15</v>
      </c>
      <c r="AH12" s="1646" t="str">
        <f t="shared" si="22"/>
        <v>Tapwater Cancer</v>
      </c>
      <c r="AI12" s="1642">
        <f t="shared" si="23"/>
        <v>0.15</v>
      </c>
      <c r="AJ12" s="1646" t="str">
        <f t="shared" si="24"/>
        <v>Tapwater Cancer</v>
      </c>
      <c r="AK12" s="1641">
        <f t="shared" si="25"/>
        <v>0.15</v>
      </c>
      <c r="AL12" s="1646" t="str">
        <f t="shared" si="26"/>
        <v>Tapwater Cancer</v>
      </c>
      <c r="AM12" s="1641">
        <f t="shared" si="27"/>
        <v>0.42669247496832674</v>
      </c>
      <c r="AN12" s="1646" t="str">
        <f t="shared" si="28"/>
        <v>VI</v>
      </c>
      <c r="AO12" s="1643">
        <f t="shared" si="29"/>
        <v>0.42669247496832674</v>
      </c>
      <c r="AP12" s="1646" t="str">
        <f t="shared" si="30"/>
        <v>VI</v>
      </c>
      <c r="AQ12" s="1643">
        <f t="shared" si="31"/>
        <v>0.42669247496832674</v>
      </c>
      <c r="AR12" s="1646" t="str">
        <f t="shared" si="32"/>
        <v>VI</v>
      </c>
      <c r="AS12" s="1644">
        <f t="shared" si="33"/>
        <v>0.42669247496832674</v>
      </c>
      <c r="AT12" s="1891" t="str">
        <f t="shared" si="34"/>
        <v>VI</v>
      </c>
      <c r="AU12" s="1773">
        <f t="shared" si="55"/>
        <v>2.5026217699476064E-2</v>
      </c>
      <c r="AV12" s="1773">
        <f t="shared" si="35"/>
        <v>2.5026217699476064E-2</v>
      </c>
      <c r="AW12" s="1773">
        <f t="shared" si="36"/>
        <v>2.5026217699476064E-2</v>
      </c>
      <c r="AX12" s="1773">
        <f t="shared" si="37"/>
        <v>2.5026217699476064E-2</v>
      </c>
      <c r="AY12" s="1773">
        <f t="shared" si="38"/>
        <v>8.7977474999999996E-3</v>
      </c>
      <c r="AZ12" s="1773">
        <f t="shared" si="39"/>
        <v>8.7977474999999996E-3</v>
      </c>
      <c r="BA12" s="1773">
        <f t="shared" si="40"/>
        <v>8.7977474999999996E-3</v>
      </c>
      <c r="BB12" s="1773">
        <f t="shared" si="41"/>
        <v>8.7977474999999996E-3</v>
      </c>
      <c r="BC12" s="1773">
        <f t="shared" si="42"/>
        <v>2.5026217699476064E-2</v>
      </c>
      <c r="BD12" s="1773">
        <f t="shared" si="43"/>
        <v>2.5026217699476064E-2</v>
      </c>
      <c r="BE12" s="1773">
        <f t="shared" si="44"/>
        <v>2.5026217699476064E-2</v>
      </c>
      <c r="BF12" s="1947">
        <f t="shared" si="45"/>
        <v>2.5026217699476064E-2</v>
      </c>
    </row>
    <row r="13" spans="1:59">
      <c r="A13" s="184" t="s">
        <v>95</v>
      </c>
      <c r="B13" s="185" t="s">
        <v>96</v>
      </c>
      <c r="C13" s="388" t="str">
        <f t="shared" si="46"/>
        <v>--</v>
      </c>
      <c r="D13" s="1779" t="str">
        <f t="shared" si="47"/>
        <v>--</v>
      </c>
      <c r="E13" s="1785" t="str">
        <f t="shared" si="0"/>
        <v>--</v>
      </c>
      <c r="F13" s="271" t="str">
        <f t="shared" si="1"/>
        <v>--</v>
      </c>
      <c r="G13" s="271" t="str">
        <f t="shared" si="2"/>
        <v>--</v>
      </c>
      <c r="H13" s="272" t="str">
        <f t="shared" si="3"/>
        <v>--</v>
      </c>
      <c r="I13" s="1162">
        <f t="shared" si="4"/>
        <v>3.3000000000000002E-2</v>
      </c>
      <c r="J13" s="1163">
        <f t="shared" si="48"/>
        <v>3.3000000000000002E-2</v>
      </c>
      <c r="K13" s="1164" t="str">
        <f t="shared" si="49"/>
        <v>Seafood Consumption</v>
      </c>
      <c r="L13" s="271">
        <f t="shared" si="5"/>
        <v>2.65</v>
      </c>
      <c r="M13" s="271" t="str">
        <f t="shared" si="6"/>
        <v>--</v>
      </c>
      <c r="N13" s="271">
        <f t="shared" si="7"/>
        <v>3.3000000000000002E-2</v>
      </c>
      <c r="O13" s="271">
        <f t="shared" si="8"/>
        <v>50000</v>
      </c>
      <c r="P13" s="1773" t="str">
        <f t="shared" si="9"/>
        <v>--</v>
      </c>
      <c r="Q13" s="1777" t="str">
        <f t="shared" si="50"/>
        <v>--</v>
      </c>
      <c r="R13" s="1786">
        <f t="shared" si="10"/>
        <v>4</v>
      </c>
      <c r="S13" s="1786" t="str">
        <f t="shared" si="11"/>
        <v>--</v>
      </c>
      <c r="T13" s="1786">
        <f t="shared" si="12"/>
        <v>1</v>
      </c>
      <c r="U13" s="1786">
        <f t="shared" si="13"/>
        <v>4</v>
      </c>
      <c r="V13" s="1786" t="str">
        <f t="shared" si="14"/>
        <v>--</v>
      </c>
      <c r="W13" s="1890">
        <f t="shared" si="51"/>
        <v>3.3000000000000002E-2</v>
      </c>
      <c r="X13" s="1646" t="str">
        <f t="shared" si="15"/>
        <v>Seafood Ingestion</v>
      </c>
      <c r="Y13" s="1642">
        <f t="shared" si="52"/>
        <v>3.3000000000000002E-2</v>
      </c>
      <c r="Z13" s="1646" t="str">
        <f t="shared" si="16"/>
        <v>Seafood Ingestion</v>
      </c>
      <c r="AA13" s="1642">
        <f t="shared" si="53"/>
        <v>3.3000000000000002E-2</v>
      </c>
      <c r="AB13" s="1646" t="str">
        <f t="shared" si="17"/>
        <v>Seafood Ingestion</v>
      </c>
      <c r="AC13" s="1641">
        <f t="shared" si="54"/>
        <v>4</v>
      </c>
      <c r="AD13" s="1646" t="str">
        <f t="shared" si="18"/>
        <v>MCL</v>
      </c>
      <c r="AE13" s="1642">
        <f t="shared" si="19"/>
        <v>3.3000000000000002E-2</v>
      </c>
      <c r="AF13" s="1646" t="str">
        <f t="shared" si="20"/>
        <v>Seafood Ingestion</v>
      </c>
      <c r="AG13" s="1642">
        <f t="shared" si="21"/>
        <v>3.3000000000000002E-2</v>
      </c>
      <c r="AH13" s="1646" t="str">
        <f t="shared" si="22"/>
        <v>Seafood Ingestion</v>
      </c>
      <c r="AI13" s="1642">
        <f t="shared" si="23"/>
        <v>3.3000000000000002E-2</v>
      </c>
      <c r="AJ13" s="1646" t="str">
        <f t="shared" si="24"/>
        <v>Seafood Ingestion</v>
      </c>
      <c r="AK13" s="1641">
        <f t="shared" si="25"/>
        <v>1</v>
      </c>
      <c r="AL13" s="1646" t="str">
        <f t="shared" si="26"/>
        <v>Tapwater Noncancer</v>
      </c>
      <c r="AM13" s="1641">
        <f t="shared" si="27"/>
        <v>3.3000000000000002E-2</v>
      </c>
      <c r="AN13" s="1646" t="str">
        <f t="shared" si="28"/>
        <v>Seafood Ingestion</v>
      </c>
      <c r="AO13" s="1643">
        <f t="shared" si="29"/>
        <v>3.3000000000000002E-2</v>
      </c>
      <c r="AP13" s="1646" t="str">
        <f t="shared" si="30"/>
        <v>Seafood Ingestion</v>
      </c>
      <c r="AQ13" s="1643">
        <f t="shared" si="31"/>
        <v>3.3000000000000002E-2</v>
      </c>
      <c r="AR13" s="1646" t="str">
        <f t="shared" si="32"/>
        <v>Seafood Ingestion</v>
      </c>
      <c r="AS13" s="1644">
        <f t="shared" si="33"/>
        <v>50000</v>
      </c>
      <c r="AT13" s="1891" t="str">
        <f t="shared" si="34"/>
        <v>Outdoor Odor</v>
      </c>
      <c r="AU13" s="1773" t="str">
        <f t="shared" si="55"/>
        <v>--</v>
      </c>
      <c r="AV13" s="1773" t="str">
        <f t="shared" si="35"/>
        <v>--</v>
      </c>
      <c r="AW13" s="1773" t="str">
        <f t="shared" si="36"/>
        <v>--</v>
      </c>
      <c r="AX13" s="1773" t="str">
        <f t="shared" si="37"/>
        <v>--</v>
      </c>
      <c r="AY13" s="1773" t="str">
        <f t="shared" si="38"/>
        <v>--</v>
      </c>
      <c r="AZ13" s="1773" t="str">
        <f t="shared" si="39"/>
        <v>--</v>
      </c>
      <c r="BA13" s="1773" t="str">
        <f t="shared" si="40"/>
        <v>--</v>
      </c>
      <c r="BB13" s="1773" t="str">
        <f t="shared" si="41"/>
        <v>--</v>
      </c>
      <c r="BC13" s="1773" t="str">
        <f t="shared" si="42"/>
        <v>--</v>
      </c>
      <c r="BD13" s="1773" t="str">
        <f t="shared" si="43"/>
        <v>--</v>
      </c>
      <c r="BE13" s="1773" t="str">
        <f t="shared" si="44"/>
        <v>--</v>
      </c>
      <c r="BF13" s="1947" t="str">
        <f t="shared" si="45"/>
        <v>--</v>
      </c>
    </row>
    <row r="14" spans="1:59">
      <c r="A14" s="184" t="s">
        <v>97</v>
      </c>
      <c r="B14" s="185" t="s">
        <v>98</v>
      </c>
      <c r="C14" s="388">
        <f t="shared" si="46"/>
        <v>0.42666287800000002</v>
      </c>
      <c r="D14" s="1779">
        <f t="shared" si="47"/>
        <v>4.2666287800000005</v>
      </c>
      <c r="E14" s="1785">
        <f t="shared" si="0"/>
        <v>5129</v>
      </c>
      <c r="F14" s="271">
        <f t="shared" si="1"/>
        <v>3.0800000000000001E-4</v>
      </c>
      <c r="G14" s="271">
        <f t="shared" si="2"/>
        <v>853.32575600000007</v>
      </c>
      <c r="H14" s="272">
        <f t="shared" si="3"/>
        <v>230.95535057025464</v>
      </c>
      <c r="I14" s="1162">
        <f t="shared" si="4"/>
        <v>0.5</v>
      </c>
      <c r="J14" s="1163">
        <f t="shared" si="48"/>
        <v>5</v>
      </c>
      <c r="K14" s="1164" t="str">
        <f t="shared" si="49"/>
        <v>Nuis-Odor</v>
      </c>
      <c r="L14" s="271">
        <f t="shared" si="5"/>
        <v>14</v>
      </c>
      <c r="M14" s="271" t="str">
        <f t="shared" si="6"/>
        <v>--</v>
      </c>
      <c r="N14" s="271" t="str">
        <f t="shared" si="7"/>
        <v>--</v>
      </c>
      <c r="O14" s="271">
        <f t="shared" si="8"/>
        <v>3740</v>
      </c>
      <c r="P14" s="1773">
        <f t="shared" si="9"/>
        <v>33.127643784776616</v>
      </c>
      <c r="Q14" s="1777">
        <f t="shared" si="50"/>
        <v>5</v>
      </c>
      <c r="R14" s="1786" t="str">
        <f t="shared" si="10"/>
        <v>--</v>
      </c>
      <c r="S14" s="1786">
        <f t="shared" si="11"/>
        <v>3.9121541266834634</v>
      </c>
      <c r="T14" s="1786">
        <f t="shared" si="12"/>
        <v>0.83412125317780383</v>
      </c>
      <c r="U14" s="1786">
        <f t="shared" si="13"/>
        <v>0.83412125317780383</v>
      </c>
      <c r="V14" s="1786">
        <f t="shared" si="14"/>
        <v>0.5</v>
      </c>
      <c r="W14" s="1890">
        <f t="shared" si="51"/>
        <v>0.5</v>
      </c>
      <c r="X14" s="1646" t="str">
        <f t="shared" si="15"/>
        <v>DW Taste &amp; Odor</v>
      </c>
      <c r="Y14" s="1642">
        <f t="shared" si="52"/>
        <v>0.5</v>
      </c>
      <c r="Z14" s="1646" t="str">
        <f t="shared" si="16"/>
        <v>DW Taste &amp; Odor</v>
      </c>
      <c r="AA14" s="1642">
        <f t="shared" si="53"/>
        <v>0.5</v>
      </c>
      <c r="AB14" s="1646" t="str">
        <f t="shared" si="17"/>
        <v>DW Taste &amp; Odor</v>
      </c>
      <c r="AC14" s="1641">
        <f t="shared" si="54"/>
        <v>0.5</v>
      </c>
      <c r="AD14" s="1646" t="str">
        <f t="shared" si="18"/>
        <v>DW Taste &amp; Odor</v>
      </c>
      <c r="AE14" s="1642">
        <f t="shared" si="19"/>
        <v>0.5</v>
      </c>
      <c r="AF14" s="1646" t="str">
        <f t="shared" si="20"/>
        <v>DW Taste &amp; Odor</v>
      </c>
      <c r="AG14" s="1642">
        <f t="shared" si="21"/>
        <v>0.5</v>
      </c>
      <c r="AH14" s="1646" t="str">
        <f t="shared" si="22"/>
        <v>DW Taste &amp; Odor</v>
      </c>
      <c r="AI14" s="1642">
        <f t="shared" si="23"/>
        <v>0.5</v>
      </c>
      <c r="AJ14" s="1646" t="str">
        <f t="shared" si="24"/>
        <v>DW Taste &amp; Odor</v>
      </c>
      <c r="AK14" s="1641">
        <f t="shared" si="25"/>
        <v>0.5</v>
      </c>
      <c r="AL14" s="1646" t="str">
        <f t="shared" si="26"/>
        <v>DW Taste &amp; Odor</v>
      </c>
      <c r="AM14" s="1641">
        <f t="shared" si="27"/>
        <v>5</v>
      </c>
      <c r="AN14" s="1646" t="str">
        <f t="shared" si="28"/>
        <v>Outdoor Odor</v>
      </c>
      <c r="AO14" s="1643">
        <f t="shared" si="29"/>
        <v>5</v>
      </c>
      <c r="AP14" s="1646" t="str">
        <f t="shared" si="30"/>
        <v>Outdoor Odor</v>
      </c>
      <c r="AQ14" s="1643">
        <f t="shared" si="31"/>
        <v>5</v>
      </c>
      <c r="AR14" s="1646" t="str">
        <f t="shared" si="32"/>
        <v>Outdoor Odor</v>
      </c>
      <c r="AS14" s="1644">
        <f t="shared" si="33"/>
        <v>5</v>
      </c>
      <c r="AT14" s="1891" t="str">
        <f t="shared" si="34"/>
        <v>Outdoor Odor</v>
      </c>
      <c r="AU14" s="1773">
        <f t="shared" si="55"/>
        <v>0.42666287800000002</v>
      </c>
      <c r="AV14" s="1773">
        <f t="shared" si="35"/>
        <v>0.42666287800000002</v>
      </c>
      <c r="AW14" s="1773">
        <f t="shared" si="36"/>
        <v>0.42666287800000002</v>
      </c>
      <c r="AX14" s="1773">
        <f t="shared" si="37"/>
        <v>0.42666287800000002</v>
      </c>
      <c r="AY14" s="1773">
        <f t="shared" si="38"/>
        <v>0.42666287800000002</v>
      </c>
      <c r="AZ14" s="1773">
        <f t="shared" si="39"/>
        <v>0.42666287800000002</v>
      </c>
      <c r="BA14" s="1773">
        <f t="shared" si="40"/>
        <v>0.42666287800000002</v>
      </c>
      <c r="BB14" s="1773">
        <f t="shared" si="41"/>
        <v>0.42666287800000002</v>
      </c>
      <c r="BC14" s="1773">
        <f t="shared" si="42"/>
        <v>4.2666287800000005</v>
      </c>
      <c r="BD14" s="1773">
        <f t="shared" si="43"/>
        <v>4.2666287800000005</v>
      </c>
      <c r="BE14" s="1773">
        <f t="shared" si="44"/>
        <v>4.2666287800000005</v>
      </c>
      <c r="BF14" s="1947">
        <f t="shared" si="45"/>
        <v>4.2666287800000005</v>
      </c>
    </row>
    <row r="15" spans="1:59">
      <c r="A15" s="184" t="s">
        <v>99</v>
      </c>
      <c r="B15" s="185" t="s">
        <v>100</v>
      </c>
      <c r="C15" s="388">
        <f t="shared" si="46"/>
        <v>3.4212800206067848E-5</v>
      </c>
      <c r="D15" s="1779">
        <f t="shared" si="47"/>
        <v>2.4535705500000003E-4</v>
      </c>
      <c r="E15" s="1785">
        <f t="shared" si="0"/>
        <v>32.21</v>
      </c>
      <c r="F15" s="271">
        <f t="shared" si="1"/>
        <v>1.7E-5</v>
      </c>
      <c r="G15" s="271">
        <f t="shared" si="2"/>
        <v>5.4523790000000005</v>
      </c>
      <c r="H15" s="272">
        <f t="shared" si="3"/>
        <v>5046.335029872921</v>
      </c>
      <c r="I15" s="1162">
        <f t="shared" si="4"/>
        <v>6.2748389659023776E-3</v>
      </c>
      <c r="J15" s="1163">
        <f t="shared" si="48"/>
        <v>4.4999999999999998E-2</v>
      </c>
      <c r="K15" s="1164" t="str">
        <f t="shared" si="49"/>
        <v>Seafood Consumption</v>
      </c>
      <c r="L15" s="271">
        <f t="shared" si="5"/>
        <v>61</v>
      </c>
      <c r="M15" s="271" t="str">
        <f t="shared" si="6"/>
        <v>--</v>
      </c>
      <c r="N15" s="271">
        <f t="shared" si="7"/>
        <v>4.4999999999999998E-2</v>
      </c>
      <c r="O15" s="271">
        <f t="shared" si="8"/>
        <v>50000</v>
      </c>
      <c r="P15" s="1773">
        <f t="shared" si="9"/>
        <v>5.6898221910839517</v>
      </c>
      <c r="Q15" s="1777">
        <f t="shared" si="50"/>
        <v>3600</v>
      </c>
      <c r="R15" s="1786" t="str">
        <f t="shared" si="10"/>
        <v>--</v>
      </c>
      <c r="S15" s="1786">
        <f t="shared" si="11"/>
        <v>6.2748389659023776E-3</v>
      </c>
      <c r="T15" s="1786" t="str">
        <f t="shared" si="12"/>
        <v>--</v>
      </c>
      <c r="U15" s="1786">
        <f t="shared" si="13"/>
        <v>6.2748389659023776E-3</v>
      </c>
      <c r="V15" s="1786">
        <f t="shared" si="14"/>
        <v>360</v>
      </c>
      <c r="W15" s="1890">
        <f t="shared" si="51"/>
        <v>6.2748389659023776E-3</v>
      </c>
      <c r="X15" s="1646" t="str">
        <f t="shared" si="15"/>
        <v>Tapwater Cancer</v>
      </c>
      <c r="Y15" s="1642">
        <f t="shared" si="52"/>
        <v>6.2748389659023776E-3</v>
      </c>
      <c r="Z15" s="1646" t="str">
        <f t="shared" si="16"/>
        <v>Tapwater Cancer</v>
      </c>
      <c r="AA15" s="1642">
        <f t="shared" si="53"/>
        <v>6.2748389659023776E-3</v>
      </c>
      <c r="AB15" s="1646" t="str">
        <f t="shared" si="17"/>
        <v>Tapwater Cancer</v>
      </c>
      <c r="AC15" s="1641">
        <f t="shared" si="54"/>
        <v>6.2748389659023776E-3</v>
      </c>
      <c r="AD15" s="1646" t="str">
        <f t="shared" si="18"/>
        <v>Tapwater Cancer</v>
      </c>
      <c r="AE15" s="1642">
        <f t="shared" si="19"/>
        <v>6.2748389659023776E-3</v>
      </c>
      <c r="AF15" s="1646" t="str">
        <f t="shared" si="20"/>
        <v>Tapwater Cancer</v>
      </c>
      <c r="AG15" s="1642">
        <f t="shared" si="21"/>
        <v>6.2748389659023776E-3</v>
      </c>
      <c r="AH15" s="1646" t="str">
        <f t="shared" si="22"/>
        <v>Tapwater Cancer</v>
      </c>
      <c r="AI15" s="1642">
        <f t="shared" si="23"/>
        <v>6.2748389659023776E-3</v>
      </c>
      <c r="AJ15" s="1646" t="str">
        <f t="shared" si="24"/>
        <v>Tapwater Cancer</v>
      </c>
      <c r="AK15" s="1641">
        <f t="shared" si="25"/>
        <v>6.2748389659023776E-3</v>
      </c>
      <c r="AL15" s="1646" t="str">
        <f t="shared" si="26"/>
        <v>Tapwater Cancer</v>
      </c>
      <c r="AM15" s="1641">
        <f t="shared" si="27"/>
        <v>4.4999999999999998E-2</v>
      </c>
      <c r="AN15" s="1646" t="str">
        <f t="shared" si="28"/>
        <v>Seafood Ingestion</v>
      </c>
      <c r="AO15" s="1643">
        <f t="shared" si="29"/>
        <v>4.4999999999999998E-2</v>
      </c>
      <c r="AP15" s="1646" t="str">
        <f t="shared" si="30"/>
        <v>Seafood Ingestion</v>
      </c>
      <c r="AQ15" s="1643">
        <f t="shared" si="31"/>
        <v>4.4999999999999998E-2</v>
      </c>
      <c r="AR15" s="1646" t="str">
        <f t="shared" si="32"/>
        <v>Seafood Ingestion</v>
      </c>
      <c r="AS15" s="1644">
        <f t="shared" si="33"/>
        <v>5.6898221910839517</v>
      </c>
      <c r="AT15" s="1891" t="str">
        <f t="shared" si="34"/>
        <v>VI</v>
      </c>
      <c r="AU15" s="1773">
        <f t="shared" si="55"/>
        <v>3.4212800206067848E-5</v>
      </c>
      <c r="AV15" s="1773">
        <f t="shared" si="35"/>
        <v>3.4212800206067848E-5</v>
      </c>
      <c r="AW15" s="1773">
        <f t="shared" si="36"/>
        <v>3.4212800206067848E-5</v>
      </c>
      <c r="AX15" s="1773">
        <f t="shared" si="37"/>
        <v>3.4212800206067848E-5</v>
      </c>
      <c r="AY15" s="1773">
        <f t="shared" si="38"/>
        <v>3.4212800206067848E-5</v>
      </c>
      <c r="AZ15" s="1773">
        <f t="shared" si="39"/>
        <v>3.4212800206067848E-5</v>
      </c>
      <c r="BA15" s="1773">
        <f t="shared" si="40"/>
        <v>3.4212800206067848E-5</v>
      </c>
      <c r="BB15" s="1773">
        <f t="shared" si="41"/>
        <v>3.4212800206067848E-5</v>
      </c>
      <c r="BC15" s="1773">
        <f t="shared" si="42"/>
        <v>2.4535705500000003E-4</v>
      </c>
      <c r="BD15" s="1773">
        <f t="shared" si="43"/>
        <v>2.4535705500000003E-4</v>
      </c>
      <c r="BE15" s="1773">
        <f t="shared" si="44"/>
        <v>2.4535705500000003E-4</v>
      </c>
      <c r="BF15" s="1947">
        <f t="shared" si="45"/>
        <v>3.1023067028400127E-2</v>
      </c>
    </row>
    <row r="16" spans="1:59">
      <c r="A16" s="184" t="s">
        <v>101</v>
      </c>
      <c r="B16" s="185" t="s">
        <v>102</v>
      </c>
      <c r="C16" s="388">
        <f t="shared" si="46"/>
        <v>0.86774204339999994</v>
      </c>
      <c r="D16" s="1779">
        <f t="shared" si="47"/>
        <v>0.86774204339999994</v>
      </c>
      <c r="E16" s="1785">
        <f t="shared" si="0"/>
        <v>82.92</v>
      </c>
      <c r="F16" s="271">
        <f t="shared" si="1"/>
        <v>7.4200000000000001E-5</v>
      </c>
      <c r="G16" s="271">
        <f t="shared" si="2"/>
        <v>14.2252794</v>
      </c>
      <c r="H16" s="272">
        <f t="shared" si="3"/>
        <v>1016.7602605614596</v>
      </c>
      <c r="I16" s="1162">
        <f t="shared" si="4"/>
        <v>61</v>
      </c>
      <c r="J16" s="1163">
        <f t="shared" si="48"/>
        <v>61</v>
      </c>
      <c r="K16" s="1164" t="str">
        <f t="shared" si="49"/>
        <v>FW EcoTox Goal</v>
      </c>
      <c r="L16" s="271">
        <f t="shared" si="5"/>
        <v>61</v>
      </c>
      <c r="M16" s="271" t="str">
        <f t="shared" si="6"/>
        <v>--</v>
      </c>
      <c r="N16" s="271">
        <f t="shared" si="7"/>
        <v>4000</v>
      </c>
      <c r="O16" s="271">
        <f t="shared" si="8"/>
        <v>50000</v>
      </c>
      <c r="P16" s="1773" t="str">
        <f t="shared" si="9"/>
        <v>--</v>
      </c>
      <c r="Q16" s="1777">
        <f t="shared" si="50"/>
        <v>3200</v>
      </c>
      <c r="R16" s="1786" t="str">
        <f t="shared" si="10"/>
        <v>--</v>
      </c>
      <c r="S16" s="1786" t="str">
        <f t="shared" si="11"/>
        <v>--</v>
      </c>
      <c r="T16" s="1786">
        <f t="shared" si="12"/>
        <v>713.87600680014839</v>
      </c>
      <c r="U16" s="1786">
        <f t="shared" si="13"/>
        <v>713.87600680014839</v>
      </c>
      <c r="V16" s="1786">
        <f t="shared" si="14"/>
        <v>320</v>
      </c>
      <c r="W16" s="1890">
        <f t="shared" si="51"/>
        <v>320</v>
      </c>
      <c r="X16" s="1646" t="str">
        <f t="shared" si="15"/>
        <v>DW Taste &amp; Odor</v>
      </c>
      <c r="Y16" s="1642">
        <f t="shared" si="52"/>
        <v>61</v>
      </c>
      <c r="Z16" s="1646" t="str">
        <f t="shared" si="16"/>
        <v>FW EcoTox</v>
      </c>
      <c r="AA16" s="1642">
        <f t="shared" si="53"/>
        <v>61</v>
      </c>
      <c r="AB16" s="1646" t="str">
        <f t="shared" si="17"/>
        <v>FW EcoTox</v>
      </c>
      <c r="AC16" s="1641">
        <f t="shared" si="54"/>
        <v>320</v>
      </c>
      <c r="AD16" s="1646" t="str">
        <f t="shared" si="18"/>
        <v>DW Taste &amp; Odor</v>
      </c>
      <c r="AE16" s="1642">
        <f t="shared" si="19"/>
        <v>320</v>
      </c>
      <c r="AF16" s="1646" t="str">
        <f t="shared" si="20"/>
        <v>DW Taste &amp; Odor</v>
      </c>
      <c r="AG16" s="1642">
        <f t="shared" si="21"/>
        <v>61</v>
      </c>
      <c r="AH16" s="1646" t="str">
        <f t="shared" si="22"/>
        <v>FW EcoTox</v>
      </c>
      <c r="AI16" s="1642">
        <f t="shared" si="23"/>
        <v>61</v>
      </c>
      <c r="AJ16" s="1646" t="str">
        <f t="shared" si="24"/>
        <v>FW EcoTox</v>
      </c>
      <c r="AK16" s="1641">
        <f t="shared" si="25"/>
        <v>320</v>
      </c>
      <c r="AL16" s="1646" t="str">
        <f t="shared" si="26"/>
        <v>DW Taste &amp; Odor</v>
      </c>
      <c r="AM16" s="1641">
        <f t="shared" si="27"/>
        <v>3200</v>
      </c>
      <c r="AN16" s="1646" t="str">
        <f t="shared" si="28"/>
        <v>Outdoor Odor</v>
      </c>
      <c r="AO16" s="1643">
        <f t="shared" si="29"/>
        <v>61</v>
      </c>
      <c r="AP16" s="1646" t="str">
        <f t="shared" si="30"/>
        <v>FW EcoTox</v>
      </c>
      <c r="AQ16" s="1643">
        <f t="shared" si="31"/>
        <v>61</v>
      </c>
      <c r="AR16" s="1646" t="str">
        <f t="shared" si="32"/>
        <v>FW EcoTox</v>
      </c>
      <c r="AS16" s="1644">
        <f t="shared" si="33"/>
        <v>3200</v>
      </c>
      <c r="AT16" s="1891" t="str">
        <f t="shared" si="34"/>
        <v>Outdoor Odor</v>
      </c>
      <c r="AU16" s="1773">
        <f t="shared" si="55"/>
        <v>4.5520894079999996</v>
      </c>
      <c r="AV16" s="1773">
        <f t="shared" si="35"/>
        <v>0.86774204339999994</v>
      </c>
      <c r="AW16" s="1773">
        <f t="shared" si="36"/>
        <v>0.86774204339999994</v>
      </c>
      <c r="AX16" s="1773">
        <f t="shared" si="37"/>
        <v>4.5520894079999996</v>
      </c>
      <c r="AY16" s="1773">
        <f t="shared" si="38"/>
        <v>4.5520894079999996</v>
      </c>
      <c r="AZ16" s="1773">
        <f t="shared" si="39"/>
        <v>0.86774204339999994</v>
      </c>
      <c r="BA16" s="1773">
        <f t="shared" si="40"/>
        <v>0.86774204339999994</v>
      </c>
      <c r="BB16" s="1773">
        <f t="shared" si="41"/>
        <v>4.5520894079999996</v>
      </c>
      <c r="BC16" s="1773">
        <f t="shared" si="42"/>
        <v>45.520894079999998</v>
      </c>
      <c r="BD16" s="1773">
        <f t="shared" si="43"/>
        <v>0.86774204339999994</v>
      </c>
      <c r="BE16" s="1773">
        <f t="shared" si="44"/>
        <v>0.86774204339999994</v>
      </c>
      <c r="BF16" s="1947">
        <f t="shared" si="45"/>
        <v>45.520894079999998</v>
      </c>
    </row>
    <row r="17" spans="1:58">
      <c r="A17" s="184" t="s">
        <v>103</v>
      </c>
      <c r="B17" s="185" t="s">
        <v>104</v>
      </c>
      <c r="C17" s="388">
        <f t="shared" si="46"/>
        <v>193.77900056420961</v>
      </c>
      <c r="D17" s="1779">
        <f t="shared" si="47"/>
        <v>193.77900056420961</v>
      </c>
      <c r="E17" s="1785">
        <f t="shared" si="0"/>
        <v>119600</v>
      </c>
      <c r="F17" s="271">
        <f t="shared" si="1"/>
        <v>2.7000000000000001E-7</v>
      </c>
      <c r="G17" s="271">
        <f t="shared" si="2"/>
        <v>19853.60167589</v>
      </c>
      <c r="H17" s="272">
        <f t="shared" si="3"/>
        <v>193.77900056420961</v>
      </c>
      <c r="I17" s="1162">
        <f t="shared" si="4"/>
        <v>0.37</v>
      </c>
      <c r="J17" s="1163">
        <f t="shared" si="48"/>
        <v>0.37</v>
      </c>
      <c r="K17" s="1164" t="str">
        <f t="shared" si="49"/>
        <v>Seafood Consumption</v>
      </c>
      <c r="L17" s="271">
        <f t="shared" si="5"/>
        <v>32</v>
      </c>
      <c r="M17" s="271" t="str">
        <f t="shared" si="6"/>
        <v>--</v>
      </c>
      <c r="N17" s="271">
        <f t="shared" si="7"/>
        <v>0.37</v>
      </c>
      <c r="O17" s="271">
        <f t="shared" si="8"/>
        <v>135</v>
      </c>
      <c r="P17" s="1773" t="str">
        <f t="shared" si="9"/>
        <v>--</v>
      </c>
      <c r="Q17" s="1777" t="str">
        <f t="shared" si="50"/>
        <v>--</v>
      </c>
      <c r="R17" s="1786">
        <f t="shared" si="10"/>
        <v>4</v>
      </c>
      <c r="S17" s="1786">
        <f t="shared" si="11"/>
        <v>5.5648726940082334</v>
      </c>
      <c r="T17" s="1786">
        <f t="shared" si="12"/>
        <v>401.09890109890108</v>
      </c>
      <c r="U17" s="1786">
        <f t="shared" si="13"/>
        <v>4</v>
      </c>
      <c r="V17" s="1786" t="str">
        <f t="shared" si="14"/>
        <v>--</v>
      </c>
      <c r="W17" s="1890">
        <f t="shared" si="51"/>
        <v>0.37</v>
      </c>
      <c r="X17" s="1646" t="str">
        <f t="shared" si="15"/>
        <v>Seafood Ingestion</v>
      </c>
      <c r="Y17" s="1642">
        <f t="shared" si="52"/>
        <v>0.37</v>
      </c>
      <c r="Z17" s="1646" t="str">
        <f t="shared" si="16"/>
        <v>Seafood Ingestion</v>
      </c>
      <c r="AA17" s="1642">
        <f t="shared" si="53"/>
        <v>0.37</v>
      </c>
      <c r="AB17" s="1646" t="str">
        <f t="shared" si="17"/>
        <v>Seafood Ingestion</v>
      </c>
      <c r="AC17" s="1641">
        <f t="shared" si="54"/>
        <v>4</v>
      </c>
      <c r="AD17" s="1646" t="str">
        <f t="shared" si="18"/>
        <v>MCL</v>
      </c>
      <c r="AE17" s="1642">
        <f t="shared" si="19"/>
        <v>0.37</v>
      </c>
      <c r="AF17" s="1646" t="str">
        <f t="shared" si="20"/>
        <v>Seafood Ingestion</v>
      </c>
      <c r="AG17" s="1642">
        <f t="shared" si="21"/>
        <v>0.37</v>
      </c>
      <c r="AH17" s="1646" t="str">
        <f t="shared" si="22"/>
        <v>Seafood Ingestion</v>
      </c>
      <c r="AI17" s="1642">
        <f t="shared" si="23"/>
        <v>0.37</v>
      </c>
      <c r="AJ17" s="1646" t="str">
        <f t="shared" si="24"/>
        <v>Seafood Ingestion</v>
      </c>
      <c r="AK17" s="1641">
        <f t="shared" si="25"/>
        <v>5.5648726940082334</v>
      </c>
      <c r="AL17" s="1646" t="str">
        <f t="shared" si="26"/>
        <v>Tapwater Cancer</v>
      </c>
      <c r="AM17" s="1641">
        <f t="shared" si="27"/>
        <v>0.37</v>
      </c>
      <c r="AN17" s="1646" t="str">
        <f t="shared" si="28"/>
        <v>Seafood Ingestion</v>
      </c>
      <c r="AO17" s="1643">
        <f t="shared" si="29"/>
        <v>0.37</v>
      </c>
      <c r="AP17" s="1646" t="str">
        <f t="shared" si="30"/>
        <v>Seafood Ingestion</v>
      </c>
      <c r="AQ17" s="1643">
        <f t="shared" si="31"/>
        <v>0.37</v>
      </c>
      <c r="AR17" s="1646" t="str">
        <f t="shared" si="32"/>
        <v>Seafood Ingestion</v>
      </c>
      <c r="AS17" s="1644">
        <f t="shared" si="33"/>
        <v>135</v>
      </c>
      <c r="AT17" s="1891" t="str">
        <f t="shared" si="34"/>
        <v>Outdoor Odor</v>
      </c>
      <c r="AU17" s="1773">
        <f t="shared" si="55"/>
        <v>193.77900056420961</v>
      </c>
      <c r="AV17" s="1773">
        <f t="shared" si="35"/>
        <v>193.77900056420961</v>
      </c>
      <c r="AW17" s="1773">
        <f t="shared" si="36"/>
        <v>193.77900056420961</v>
      </c>
      <c r="AX17" s="1773">
        <f t="shared" si="37"/>
        <v>193.77900056420961</v>
      </c>
      <c r="AY17" s="1773">
        <f t="shared" si="38"/>
        <v>193.77900056420961</v>
      </c>
      <c r="AZ17" s="1773">
        <f t="shared" si="39"/>
        <v>193.77900056420961</v>
      </c>
      <c r="BA17" s="1773">
        <f t="shared" si="40"/>
        <v>193.77900056420961</v>
      </c>
      <c r="BB17" s="1773">
        <f t="shared" si="41"/>
        <v>193.77900056420961</v>
      </c>
      <c r="BC17" s="1773">
        <f t="shared" si="42"/>
        <v>193.77900056420961</v>
      </c>
      <c r="BD17" s="1773">
        <f t="shared" si="43"/>
        <v>193.77900056420961</v>
      </c>
      <c r="BE17" s="1773">
        <f t="shared" si="44"/>
        <v>193.77900056420961</v>
      </c>
      <c r="BF17" s="1947">
        <f t="shared" si="45"/>
        <v>2680.2362262451502</v>
      </c>
    </row>
    <row r="18" spans="1:58">
      <c r="A18" s="184" t="s">
        <v>105</v>
      </c>
      <c r="B18" s="185" t="s">
        <v>106</v>
      </c>
      <c r="C18" s="388" t="str">
        <f t="shared" si="46"/>
        <v>--</v>
      </c>
      <c r="D18" s="1779" t="str">
        <f t="shared" si="47"/>
        <v>--</v>
      </c>
      <c r="E18" s="1785" t="str">
        <f t="shared" si="0"/>
        <v>--</v>
      </c>
      <c r="F18" s="271" t="str">
        <f t="shared" si="1"/>
        <v>--</v>
      </c>
      <c r="G18" s="271" t="str">
        <f t="shared" si="2"/>
        <v>--</v>
      </c>
      <c r="H18" s="272" t="str">
        <f t="shared" si="3"/>
        <v>--</v>
      </c>
      <c r="I18" s="1162">
        <f t="shared" si="4"/>
        <v>1.6</v>
      </c>
      <c r="J18" s="1163">
        <f t="shared" si="48"/>
        <v>1.6</v>
      </c>
      <c r="K18" s="1164" t="str">
        <f t="shared" si="49"/>
        <v>FW EcoTox Goal</v>
      </c>
      <c r="L18" s="271">
        <f t="shared" si="5"/>
        <v>1.6</v>
      </c>
      <c r="M18" s="271" t="str">
        <f t="shared" si="6"/>
        <v>--</v>
      </c>
      <c r="N18" s="271" t="str">
        <f t="shared" si="7"/>
        <v>--</v>
      </c>
      <c r="O18" s="271">
        <f t="shared" si="8"/>
        <v>50000</v>
      </c>
      <c r="P18" s="1773" t="str">
        <f t="shared" si="9"/>
        <v>--</v>
      </c>
      <c r="Q18" s="1777" t="str">
        <f t="shared" si="50"/>
        <v>--</v>
      </c>
      <c r="R18" s="1786" t="str">
        <f t="shared" si="10"/>
        <v>--</v>
      </c>
      <c r="S18" s="1786" t="str">
        <f t="shared" si="11"/>
        <v>--</v>
      </c>
      <c r="T18" s="1786">
        <f t="shared" si="12"/>
        <v>1000</v>
      </c>
      <c r="U18" s="1786">
        <f t="shared" si="13"/>
        <v>1000</v>
      </c>
      <c r="V18" s="1786" t="str">
        <f t="shared" si="14"/>
        <v>--</v>
      </c>
      <c r="W18" s="1890">
        <f t="shared" si="51"/>
        <v>1000</v>
      </c>
      <c r="X18" s="1646" t="str">
        <f t="shared" si="15"/>
        <v>Tapwater Noncancer</v>
      </c>
      <c r="Y18" s="1642">
        <f t="shared" si="52"/>
        <v>1.6</v>
      </c>
      <c r="Z18" s="1646" t="str">
        <f t="shared" si="16"/>
        <v>FW EcoTox</v>
      </c>
      <c r="AA18" s="1642">
        <f t="shared" si="53"/>
        <v>1.6</v>
      </c>
      <c r="AB18" s="1646" t="str">
        <f t="shared" si="17"/>
        <v>FW EcoTox</v>
      </c>
      <c r="AC18" s="1641">
        <f t="shared" si="54"/>
        <v>1000</v>
      </c>
      <c r="AD18" s="1646" t="str">
        <f t="shared" si="18"/>
        <v>Tapwater Noncancer</v>
      </c>
      <c r="AE18" s="1642">
        <f t="shared" si="19"/>
        <v>1000</v>
      </c>
      <c r="AF18" s="1646" t="str">
        <f t="shared" si="20"/>
        <v>Tapwater Noncancer</v>
      </c>
      <c r="AG18" s="1642">
        <f t="shared" si="21"/>
        <v>1.6</v>
      </c>
      <c r="AH18" s="1646" t="str">
        <f t="shared" si="22"/>
        <v>FW EcoTox</v>
      </c>
      <c r="AI18" s="1642">
        <f t="shared" si="23"/>
        <v>1.6</v>
      </c>
      <c r="AJ18" s="1646" t="str">
        <f t="shared" si="24"/>
        <v>FW EcoTox</v>
      </c>
      <c r="AK18" s="1641">
        <f t="shared" si="25"/>
        <v>1000</v>
      </c>
      <c r="AL18" s="1646" t="str">
        <f t="shared" si="26"/>
        <v>Tapwater Noncancer</v>
      </c>
      <c r="AM18" s="1641">
        <f t="shared" si="27"/>
        <v>50000</v>
      </c>
      <c r="AN18" s="1646" t="str">
        <f t="shared" si="28"/>
        <v>Outdoor Odor</v>
      </c>
      <c r="AO18" s="1643">
        <f t="shared" si="29"/>
        <v>1.6</v>
      </c>
      <c r="AP18" s="1646" t="str">
        <f t="shared" si="30"/>
        <v>FW EcoTox</v>
      </c>
      <c r="AQ18" s="1643">
        <f t="shared" si="31"/>
        <v>1.6</v>
      </c>
      <c r="AR18" s="1646" t="str">
        <f t="shared" si="32"/>
        <v>FW EcoTox</v>
      </c>
      <c r="AS18" s="1644">
        <f t="shared" si="33"/>
        <v>50000</v>
      </c>
      <c r="AT18" s="1891" t="str">
        <f t="shared" si="34"/>
        <v>Outdoor Odor</v>
      </c>
      <c r="AU18" s="1773" t="str">
        <f t="shared" si="55"/>
        <v>--</v>
      </c>
      <c r="AV18" s="1773" t="str">
        <f t="shared" si="35"/>
        <v>--</v>
      </c>
      <c r="AW18" s="1773" t="str">
        <f t="shared" si="36"/>
        <v>--</v>
      </c>
      <c r="AX18" s="1773" t="str">
        <f t="shared" si="37"/>
        <v>--</v>
      </c>
      <c r="AY18" s="1773" t="str">
        <f t="shared" si="38"/>
        <v>--</v>
      </c>
      <c r="AZ18" s="1773" t="str">
        <f t="shared" si="39"/>
        <v>--</v>
      </c>
      <c r="BA18" s="1773" t="str">
        <f t="shared" si="40"/>
        <v>--</v>
      </c>
      <c r="BB18" s="1773" t="str">
        <f t="shared" si="41"/>
        <v>--</v>
      </c>
      <c r="BC18" s="1773" t="str">
        <f t="shared" si="42"/>
        <v>--</v>
      </c>
      <c r="BD18" s="1773" t="str">
        <f t="shared" si="43"/>
        <v>--</v>
      </c>
      <c r="BE18" s="1773" t="str">
        <f t="shared" si="44"/>
        <v>--</v>
      </c>
      <c r="BF18" s="1947" t="str">
        <f t="shared" si="45"/>
        <v>--</v>
      </c>
    </row>
    <row r="19" spans="1:58">
      <c r="A19" s="184" t="s">
        <v>107</v>
      </c>
      <c r="B19" s="185" t="s">
        <v>108</v>
      </c>
      <c r="C19" s="388">
        <f t="shared" si="46"/>
        <v>1.6145515120229877E-2</v>
      </c>
      <c r="D19" s="1779">
        <f t="shared" si="47"/>
        <v>1.6145515120229877E-2</v>
      </c>
      <c r="E19" s="1785">
        <f t="shared" si="0"/>
        <v>31.82</v>
      </c>
      <c r="F19" s="271">
        <f t="shared" si="1"/>
        <v>2.1199999999999999E-3</v>
      </c>
      <c r="G19" s="271">
        <f t="shared" si="2"/>
        <v>18.44096</v>
      </c>
      <c r="H19" s="272">
        <f t="shared" si="3"/>
        <v>931.81770928318099</v>
      </c>
      <c r="I19" s="1162">
        <f t="shared" si="4"/>
        <v>0.87552465382658373</v>
      </c>
      <c r="J19" s="1163">
        <f t="shared" si="48"/>
        <v>0.87552465382658373</v>
      </c>
      <c r="K19" s="1164" t="str">
        <f t="shared" si="49"/>
        <v>GW VI</v>
      </c>
      <c r="L19" s="271">
        <f t="shared" si="5"/>
        <v>1100</v>
      </c>
      <c r="M19" s="271">
        <f t="shared" si="6"/>
        <v>3200</v>
      </c>
      <c r="N19" s="271">
        <f t="shared" si="7"/>
        <v>27</v>
      </c>
      <c r="O19" s="271">
        <f t="shared" si="8"/>
        <v>50000</v>
      </c>
      <c r="P19" s="1773">
        <f t="shared" si="9"/>
        <v>0.87552465382658373</v>
      </c>
      <c r="Q19" s="1777" t="str">
        <f t="shared" si="50"/>
        <v>--</v>
      </c>
      <c r="R19" s="1786">
        <f t="shared" si="10"/>
        <v>80</v>
      </c>
      <c r="S19" s="1786">
        <f t="shared" si="11"/>
        <v>0.06</v>
      </c>
      <c r="T19" s="1786">
        <f t="shared" si="12"/>
        <v>151.05445134322525</v>
      </c>
      <c r="U19" s="1786">
        <f t="shared" si="13"/>
        <v>80</v>
      </c>
      <c r="V19" s="1786" t="str">
        <f t="shared" si="14"/>
        <v>--</v>
      </c>
      <c r="W19" s="1890">
        <f t="shared" si="51"/>
        <v>0.87552465382658373</v>
      </c>
      <c r="X19" s="1646" t="str">
        <f t="shared" si="15"/>
        <v>VI</v>
      </c>
      <c r="Y19" s="1642">
        <f t="shared" si="52"/>
        <v>0.87552465382658373</v>
      </c>
      <c r="Z19" s="1646" t="str">
        <f t="shared" si="16"/>
        <v>VI</v>
      </c>
      <c r="AA19" s="1642">
        <f t="shared" si="53"/>
        <v>0.87552465382658373</v>
      </c>
      <c r="AB19" s="1646" t="str">
        <f t="shared" si="17"/>
        <v>VI</v>
      </c>
      <c r="AC19" s="1641">
        <f t="shared" si="54"/>
        <v>0.87552465382658373</v>
      </c>
      <c r="AD19" s="1646" t="str">
        <f t="shared" si="18"/>
        <v>VI</v>
      </c>
      <c r="AE19" s="1642">
        <f t="shared" si="19"/>
        <v>0.06</v>
      </c>
      <c r="AF19" s="1646" t="str">
        <f t="shared" si="20"/>
        <v>Tapwater Cancer</v>
      </c>
      <c r="AG19" s="1642">
        <f t="shared" si="21"/>
        <v>0.06</v>
      </c>
      <c r="AH19" s="1646" t="str">
        <f t="shared" si="22"/>
        <v>Tapwater Cancer</v>
      </c>
      <c r="AI19" s="1642">
        <f t="shared" si="23"/>
        <v>0.06</v>
      </c>
      <c r="AJ19" s="1646" t="str">
        <f t="shared" si="24"/>
        <v>Tapwater Cancer</v>
      </c>
      <c r="AK19" s="1641">
        <f t="shared" si="25"/>
        <v>0.06</v>
      </c>
      <c r="AL19" s="1646" t="str">
        <f t="shared" si="26"/>
        <v>Tapwater Cancer</v>
      </c>
      <c r="AM19" s="1641">
        <f t="shared" si="27"/>
        <v>0.87552465382658373</v>
      </c>
      <c r="AN19" s="1646" t="str">
        <f t="shared" si="28"/>
        <v>VI</v>
      </c>
      <c r="AO19" s="1643">
        <f t="shared" si="29"/>
        <v>0.87552465382658373</v>
      </c>
      <c r="AP19" s="1646" t="str">
        <f t="shared" si="30"/>
        <v>VI</v>
      </c>
      <c r="AQ19" s="1643">
        <f t="shared" si="31"/>
        <v>0.87552465382658373</v>
      </c>
      <c r="AR19" s="1646" t="str">
        <f t="shared" si="32"/>
        <v>VI</v>
      </c>
      <c r="AS19" s="1644">
        <f t="shared" si="33"/>
        <v>0.87552465382658373</v>
      </c>
      <c r="AT19" s="1891" t="str">
        <f t="shared" si="34"/>
        <v>VI</v>
      </c>
      <c r="AU19" s="1773">
        <f t="shared" si="55"/>
        <v>1.6145515120229877E-2</v>
      </c>
      <c r="AV19" s="1773">
        <f t="shared" si="35"/>
        <v>1.6145515120229877E-2</v>
      </c>
      <c r="AW19" s="1773">
        <f t="shared" si="36"/>
        <v>1.6145515120229877E-2</v>
      </c>
      <c r="AX19" s="1773">
        <f t="shared" si="37"/>
        <v>1.6145515120229877E-2</v>
      </c>
      <c r="AY19" s="1773">
        <f t="shared" si="38"/>
        <v>1.1064575999999999E-3</v>
      </c>
      <c r="AZ19" s="1773">
        <f t="shared" si="39"/>
        <v>1.1064575999999999E-3</v>
      </c>
      <c r="BA19" s="1773">
        <f t="shared" si="40"/>
        <v>1.1064575999999999E-3</v>
      </c>
      <c r="BB19" s="1773">
        <f t="shared" si="41"/>
        <v>1.1064575999999999E-3</v>
      </c>
      <c r="BC19" s="1773">
        <f t="shared" si="42"/>
        <v>1.6145515120229877E-2</v>
      </c>
      <c r="BD19" s="1773">
        <f t="shared" si="43"/>
        <v>1.6145515120229877E-2</v>
      </c>
      <c r="BE19" s="1773">
        <f t="shared" si="44"/>
        <v>1.6145515120229877E-2</v>
      </c>
      <c r="BF19" s="1947">
        <f t="shared" si="45"/>
        <v>1.6145515120229877E-2</v>
      </c>
    </row>
    <row r="20" spans="1:58">
      <c r="A20" s="184" t="s">
        <v>109</v>
      </c>
      <c r="B20" s="185" t="s">
        <v>110</v>
      </c>
      <c r="C20" s="388">
        <f t="shared" si="46"/>
        <v>0.68822919999999999</v>
      </c>
      <c r="D20" s="1779">
        <f t="shared" si="47"/>
        <v>1.0039280887980968</v>
      </c>
      <c r="E20" s="1785">
        <f t="shared" si="0"/>
        <v>31.82</v>
      </c>
      <c r="F20" s="271">
        <f t="shared" si="1"/>
        <v>5.3499999999999999E-4</v>
      </c>
      <c r="G20" s="271">
        <f t="shared" si="2"/>
        <v>8.6028649999999995</v>
      </c>
      <c r="H20" s="272">
        <f t="shared" si="3"/>
        <v>914.68796116365081</v>
      </c>
      <c r="I20" s="1162">
        <f t="shared" si="4"/>
        <v>80</v>
      </c>
      <c r="J20" s="1163">
        <f t="shared" si="48"/>
        <v>116.69694791189876</v>
      </c>
      <c r="K20" s="1164" t="str">
        <f t="shared" si="49"/>
        <v>GW VI</v>
      </c>
      <c r="L20" s="271">
        <f t="shared" si="5"/>
        <v>1100</v>
      </c>
      <c r="M20" s="271">
        <f t="shared" si="6"/>
        <v>3200</v>
      </c>
      <c r="N20" s="271">
        <f t="shared" si="7"/>
        <v>120</v>
      </c>
      <c r="O20" s="271">
        <f t="shared" si="8"/>
        <v>50000</v>
      </c>
      <c r="P20" s="1773">
        <f t="shared" si="9"/>
        <v>116.69694791189876</v>
      </c>
      <c r="Q20" s="1777">
        <f t="shared" si="50"/>
        <v>5100</v>
      </c>
      <c r="R20" s="1786">
        <f t="shared" si="10"/>
        <v>80</v>
      </c>
      <c r="S20" s="1786">
        <f t="shared" si="11"/>
        <v>0.5</v>
      </c>
      <c r="T20" s="1786">
        <f t="shared" si="12"/>
        <v>376.8214429008363</v>
      </c>
      <c r="U20" s="1786">
        <f t="shared" si="13"/>
        <v>80</v>
      </c>
      <c r="V20" s="1786">
        <f t="shared" si="14"/>
        <v>510</v>
      </c>
      <c r="W20" s="1890">
        <f t="shared" si="51"/>
        <v>80</v>
      </c>
      <c r="X20" s="1646" t="str">
        <f t="shared" si="15"/>
        <v>MCL</v>
      </c>
      <c r="Y20" s="1642">
        <f t="shared" si="52"/>
        <v>80</v>
      </c>
      <c r="Z20" s="1646" t="str">
        <f t="shared" si="16"/>
        <v>MCL</v>
      </c>
      <c r="AA20" s="1642">
        <f t="shared" si="53"/>
        <v>80</v>
      </c>
      <c r="AB20" s="1646" t="str">
        <f t="shared" si="17"/>
        <v>MCL</v>
      </c>
      <c r="AC20" s="1641">
        <f t="shared" si="54"/>
        <v>80</v>
      </c>
      <c r="AD20" s="1646" t="str">
        <f t="shared" si="18"/>
        <v>MCL</v>
      </c>
      <c r="AE20" s="1642">
        <f t="shared" si="19"/>
        <v>0.5</v>
      </c>
      <c r="AF20" s="1646" t="str">
        <f t="shared" si="20"/>
        <v>Tapwater Cancer</v>
      </c>
      <c r="AG20" s="1642">
        <f t="shared" si="21"/>
        <v>0.5</v>
      </c>
      <c r="AH20" s="1646" t="str">
        <f t="shared" si="22"/>
        <v>Tapwater Cancer</v>
      </c>
      <c r="AI20" s="1642">
        <f t="shared" si="23"/>
        <v>0.5</v>
      </c>
      <c r="AJ20" s="1646" t="str">
        <f t="shared" si="24"/>
        <v>Tapwater Cancer</v>
      </c>
      <c r="AK20" s="1641">
        <f t="shared" si="25"/>
        <v>0.5</v>
      </c>
      <c r="AL20" s="1646" t="str">
        <f t="shared" si="26"/>
        <v>Tapwater Cancer</v>
      </c>
      <c r="AM20" s="1641">
        <f t="shared" si="27"/>
        <v>116.69694791189876</v>
      </c>
      <c r="AN20" s="1646" t="str">
        <f t="shared" si="28"/>
        <v>VI</v>
      </c>
      <c r="AO20" s="1643">
        <f t="shared" si="29"/>
        <v>116.69694791189876</v>
      </c>
      <c r="AP20" s="1646" t="str">
        <f t="shared" si="30"/>
        <v>VI</v>
      </c>
      <c r="AQ20" s="1643">
        <f t="shared" si="31"/>
        <v>116.69694791189876</v>
      </c>
      <c r="AR20" s="1646" t="str">
        <f t="shared" si="32"/>
        <v>VI</v>
      </c>
      <c r="AS20" s="1644">
        <f t="shared" si="33"/>
        <v>116.69694791189876</v>
      </c>
      <c r="AT20" s="1891" t="str">
        <f t="shared" si="34"/>
        <v>VI</v>
      </c>
      <c r="AU20" s="1773">
        <f t="shared" si="55"/>
        <v>0.68822919999999999</v>
      </c>
      <c r="AV20" s="1773">
        <f t="shared" si="35"/>
        <v>0.68822919999999999</v>
      </c>
      <c r="AW20" s="1773">
        <f t="shared" si="36"/>
        <v>0.68822919999999999</v>
      </c>
      <c r="AX20" s="1773">
        <f t="shared" si="37"/>
        <v>0.68822919999999999</v>
      </c>
      <c r="AY20" s="1773">
        <f t="shared" si="38"/>
        <v>4.3014324999999997E-3</v>
      </c>
      <c r="AZ20" s="1773">
        <f t="shared" si="39"/>
        <v>4.3014324999999997E-3</v>
      </c>
      <c r="BA20" s="1773">
        <f t="shared" si="40"/>
        <v>4.3014324999999997E-3</v>
      </c>
      <c r="BB20" s="1773">
        <f t="shared" si="41"/>
        <v>4.3014324999999997E-3</v>
      </c>
      <c r="BC20" s="1773">
        <f t="shared" si="42"/>
        <v>1.0039280887980968</v>
      </c>
      <c r="BD20" s="1773">
        <f t="shared" si="43"/>
        <v>1.0039280887980968</v>
      </c>
      <c r="BE20" s="1773">
        <f t="shared" si="44"/>
        <v>1.0039280887980968</v>
      </c>
      <c r="BF20" s="1947">
        <f t="shared" si="45"/>
        <v>1.0039280887980968</v>
      </c>
    </row>
    <row r="21" spans="1:58">
      <c r="A21" s="184" t="s">
        <v>111</v>
      </c>
      <c r="B21" s="185" t="s">
        <v>112</v>
      </c>
      <c r="C21" s="388">
        <f t="shared" si="46"/>
        <v>0.36038092796448851</v>
      </c>
      <c r="D21" s="1779">
        <f t="shared" si="47"/>
        <v>0.82978210161542676</v>
      </c>
      <c r="E21" s="1785">
        <f t="shared" si="0"/>
        <v>13.22</v>
      </c>
      <c r="F21" s="271">
        <f t="shared" si="1"/>
        <v>7.3400000000000002E-3</v>
      </c>
      <c r="G21" s="271">
        <f t="shared" si="2"/>
        <v>47.753900000000002</v>
      </c>
      <c r="H21" s="272">
        <f t="shared" si="3"/>
        <v>3589.1445638264377</v>
      </c>
      <c r="I21" s="1162">
        <f t="shared" si="4"/>
        <v>7.5466281908805035</v>
      </c>
      <c r="J21" s="1163">
        <f t="shared" si="48"/>
        <v>17.376216426625401</v>
      </c>
      <c r="K21" s="1164" t="str">
        <f t="shared" si="49"/>
        <v>GW VI</v>
      </c>
      <c r="L21" s="271">
        <f t="shared" si="5"/>
        <v>160</v>
      </c>
      <c r="M21" s="271">
        <f t="shared" si="6"/>
        <v>3200</v>
      </c>
      <c r="N21" s="271">
        <f t="shared" si="7"/>
        <v>4000</v>
      </c>
      <c r="O21" s="271">
        <f t="shared" si="8"/>
        <v>50000</v>
      </c>
      <c r="P21" s="1773">
        <f t="shared" si="9"/>
        <v>17.376216426625401</v>
      </c>
      <c r="Q21" s="1777" t="str">
        <f t="shared" si="50"/>
        <v>--</v>
      </c>
      <c r="R21" s="1786" t="str">
        <f t="shared" si="10"/>
        <v>--</v>
      </c>
      <c r="S21" s="1786" t="str">
        <f t="shared" si="11"/>
        <v>--</v>
      </c>
      <c r="T21" s="1786">
        <f t="shared" si="12"/>
        <v>7.5466281908805035</v>
      </c>
      <c r="U21" s="1786">
        <f t="shared" si="13"/>
        <v>7.5466281908805035</v>
      </c>
      <c r="V21" s="1786" t="str">
        <f t="shared" si="14"/>
        <v>--</v>
      </c>
      <c r="W21" s="1890">
        <f t="shared" si="51"/>
        <v>7.5466281908805035</v>
      </c>
      <c r="X21" s="1646" t="str">
        <f t="shared" si="15"/>
        <v>Tapwater Noncancer</v>
      </c>
      <c r="Y21" s="1642">
        <f t="shared" si="52"/>
        <v>7.5466281908805035</v>
      </c>
      <c r="Z21" s="1646" t="str">
        <f t="shared" si="16"/>
        <v>Tapwater Noncancer</v>
      </c>
      <c r="AA21" s="1642">
        <f t="shared" si="53"/>
        <v>7.5466281908805035</v>
      </c>
      <c r="AB21" s="1646" t="str">
        <f t="shared" si="17"/>
        <v>Tapwater Noncancer</v>
      </c>
      <c r="AC21" s="1641">
        <f t="shared" si="54"/>
        <v>7.5466281908805035</v>
      </c>
      <c r="AD21" s="1646" t="str">
        <f t="shared" si="18"/>
        <v>Tapwater Noncancer</v>
      </c>
      <c r="AE21" s="1642">
        <f t="shared" si="19"/>
        <v>7.5466281908805035</v>
      </c>
      <c r="AF21" s="1646" t="str">
        <f t="shared" si="20"/>
        <v>Tapwater Noncancer</v>
      </c>
      <c r="AG21" s="1642">
        <f t="shared" si="21"/>
        <v>7.5466281908805035</v>
      </c>
      <c r="AH21" s="1646" t="str">
        <f t="shared" si="22"/>
        <v>Tapwater Noncancer</v>
      </c>
      <c r="AI21" s="1642">
        <f t="shared" si="23"/>
        <v>7.5466281908805035</v>
      </c>
      <c r="AJ21" s="1646" t="str">
        <f t="shared" si="24"/>
        <v>Tapwater Noncancer</v>
      </c>
      <c r="AK21" s="1641">
        <f t="shared" si="25"/>
        <v>7.5466281908805035</v>
      </c>
      <c r="AL21" s="1646" t="str">
        <f t="shared" si="26"/>
        <v>Tapwater Noncancer</v>
      </c>
      <c r="AM21" s="1641">
        <f t="shared" si="27"/>
        <v>17.376216426625401</v>
      </c>
      <c r="AN21" s="1646" t="str">
        <f t="shared" si="28"/>
        <v>VI</v>
      </c>
      <c r="AO21" s="1643">
        <f t="shared" si="29"/>
        <v>17.376216426625401</v>
      </c>
      <c r="AP21" s="1646" t="str">
        <f t="shared" si="30"/>
        <v>VI</v>
      </c>
      <c r="AQ21" s="1643">
        <f t="shared" si="31"/>
        <v>17.376216426625401</v>
      </c>
      <c r="AR21" s="1646" t="str">
        <f t="shared" si="32"/>
        <v>VI</v>
      </c>
      <c r="AS21" s="1644">
        <f t="shared" si="33"/>
        <v>17.376216426625401</v>
      </c>
      <c r="AT21" s="1891" t="str">
        <f t="shared" si="34"/>
        <v>VI</v>
      </c>
      <c r="AU21" s="1773">
        <f t="shared" si="55"/>
        <v>0.36038092796448851</v>
      </c>
      <c r="AV21" s="1773">
        <f t="shared" si="35"/>
        <v>0.36038092796448851</v>
      </c>
      <c r="AW21" s="1773">
        <f t="shared" si="36"/>
        <v>0.36038092796448851</v>
      </c>
      <c r="AX21" s="1773">
        <f t="shared" si="37"/>
        <v>0.36038092796448851</v>
      </c>
      <c r="AY21" s="1773">
        <f t="shared" si="38"/>
        <v>0.36038092796448851</v>
      </c>
      <c r="AZ21" s="1773">
        <f t="shared" si="39"/>
        <v>0.36038092796448851</v>
      </c>
      <c r="BA21" s="1773">
        <f t="shared" si="40"/>
        <v>0.36038092796448851</v>
      </c>
      <c r="BB21" s="1773">
        <f t="shared" si="41"/>
        <v>0.36038092796448851</v>
      </c>
      <c r="BC21" s="1773">
        <f t="shared" si="42"/>
        <v>0.82978210161542676</v>
      </c>
      <c r="BD21" s="1773">
        <f t="shared" si="43"/>
        <v>0.82978210161542676</v>
      </c>
      <c r="BE21" s="1773">
        <f t="shared" si="44"/>
        <v>0.82978210161542676</v>
      </c>
      <c r="BF21" s="1947">
        <f t="shared" si="45"/>
        <v>0.82978210161542676</v>
      </c>
    </row>
    <row r="22" spans="1:58">
      <c r="A22" s="184" t="s">
        <v>113</v>
      </c>
      <c r="B22" s="185" t="s">
        <v>114</v>
      </c>
      <c r="C22" s="388" t="str">
        <f t="shared" si="46"/>
        <v>--</v>
      </c>
      <c r="D22" s="1779" t="str">
        <f t="shared" si="47"/>
        <v>--</v>
      </c>
      <c r="E22" s="1785" t="str">
        <f t="shared" si="0"/>
        <v>--</v>
      </c>
      <c r="F22" s="271" t="str">
        <f t="shared" si="1"/>
        <v>--</v>
      </c>
      <c r="G22" s="271" t="str">
        <f t="shared" si="2"/>
        <v>--</v>
      </c>
      <c r="H22" s="272" t="str">
        <f t="shared" si="3"/>
        <v>--</v>
      </c>
      <c r="I22" s="1162">
        <f>I23</f>
        <v>0.25</v>
      </c>
      <c r="J22" s="1163">
        <f t="shared" si="48"/>
        <v>0.25</v>
      </c>
      <c r="K22" s="1164" t="str">
        <f t="shared" si="49"/>
        <v>FW EcoTox Goal</v>
      </c>
      <c r="L22" s="271">
        <f t="shared" ref="L22:W22" si="56">L23</f>
        <v>0.25</v>
      </c>
      <c r="M22" s="271">
        <f t="shared" si="56"/>
        <v>1</v>
      </c>
      <c r="N22" s="271" t="str">
        <f t="shared" si="56"/>
        <v>--</v>
      </c>
      <c r="O22" s="271">
        <f t="shared" si="56"/>
        <v>50000</v>
      </c>
      <c r="P22" s="1941" t="str">
        <f t="shared" si="56"/>
        <v>--</v>
      </c>
      <c r="Q22" s="1777" t="str">
        <f t="shared" si="56"/>
        <v>--</v>
      </c>
      <c r="R22" s="1787">
        <f t="shared" si="56"/>
        <v>5</v>
      </c>
      <c r="S22" s="1787" t="str">
        <f t="shared" si="56"/>
        <v>--</v>
      </c>
      <c r="T22" s="1787">
        <f t="shared" si="56"/>
        <v>0.04</v>
      </c>
      <c r="U22" s="1787">
        <f t="shared" si="56"/>
        <v>5</v>
      </c>
      <c r="V22" s="1787" t="str">
        <f t="shared" si="56"/>
        <v>--</v>
      </c>
      <c r="W22" s="1892">
        <f t="shared" si="56"/>
        <v>1</v>
      </c>
      <c r="X22" s="1646" t="str">
        <f t="shared" si="15"/>
        <v>Saltwater EcoTox</v>
      </c>
      <c r="Y22" s="1645">
        <f>Y23</f>
        <v>0.25</v>
      </c>
      <c r="Z22" s="1646" t="str">
        <f t="shared" si="16"/>
        <v>FW EcoTox</v>
      </c>
      <c r="AA22" s="1645">
        <f>AA23</f>
        <v>0.25</v>
      </c>
      <c r="AB22" s="1646" t="str">
        <f t="shared" si="17"/>
        <v>FW EcoTox</v>
      </c>
      <c r="AC22" s="1645">
        <f>AC23</f>
        <v>5</v>
      </c>
      <c r="AD22" s="1646" t="str">
        <f t="shared" si="18"/>
        <v>MCL</v>
      </c>
      <c r="AE22" s="1645">
        <f>AE23</f>
        <v>0.04</v>
      </c>
      <c r="AF22" s="1646" t="str">
        <f t="shared" si="20"/>
        <v>Tapwater Noncancer</v>
      </c>
      <c r="AG22" s="1645">
        <f>AG23</f>
        <v>0.04</v>
      </c>
      <c r="AH22" s="1646" t="str">
        <f t="shared" si="22"/>
        <v>Tapwater Noncancer</v>
      </c>
      <c r="AI22" s="1645">
        <f>AI23</f>
        <v>0.04</v>
      </c>
      <c r="AJ22" s="1646" t="str">
        <f t="shared" si="24"/>
        <v>Tapwater Noncancer</v>
      </c>
      <c r="AK22" s="1645">
        <f>AK23</f>
        <v>0.04</v>
      </c>
      <c r="AL22" s="1646" t="str">
        <f t="shared" si="26"/>
        <v>Tapwater Noncancer</v>
      </c>
      <c r="AM22" s="1645">
        <f>AM23</f>
        <v>1</v>
      </c>
      <c r="AN22" s="1646" t="str">
        <f t="shared" si="28"/>
        <v>Saltwater EcoTox</v>
      </c>
      <c r="AO22" s="1645">
        <f>AO23</f>
        <v>0.25</v>
      </c>
      <c r="AP22" s="1646" t="str">
        <f t="shared" si="30"/>
        <v>FW EcoTox</v>
      </c>
      <c r="AQ22" s="1645">
        <f>AQ23</f>
        <v>0.25</v>
      </c>
      <c r="AR22" s="1646" t="str">
        <f t="shared" si="32"/>
        <v>FW EcoTox</v>
      </c>
      <c r="AS22" s="1645">
        <f>AS23</f>
        <v>50000</v>
      </c>
      <c r="AT22" s="1891" t="str">
        <f t="shared" si="34"/>
        <v>Outdoor Odor</v>
      </c>
      <c r="AU22" s="1773" t="str">
        <f t="shared" si="55"/>
        <v>--</v>
      </c>
      <c r="AV22" s="1773" t="str">
        <f t="shared" si="35"/>
        <v>--</v>
      </c>
      <c r="AW22" s="1773" t="str">
        <f t="shared" si="36"/>
        <v>--</v>
      </c>
      <c r="AX22" s="1773" t="str">
        <f t="shared" si="37"/>
        <v>--</v>
      </c>
      <c r="AY22" s="1773" t="str">
        <f t="shared" si="38"/>
        <v>--</v>
      </c>
      <c r="AZ22" s="1773" t="str">
        <f t="shared" si="39"/>
        <v>--</v>
      </c>
      <c r="BA22" s="1773" t="str">
        <f t="shared" si="40"/>
        <v>--</v>
      </c>
      <c r="BB22" s="1773" t="str">
        <f t="shared" si="41"/>
        <v>--</v>
      </c>
      <c r="BC22" s="1773" t="str">
        <f t="shared" si="42"/>
        <v>--</v>
      </c>
      <c r="BD22" s="1773" t="str">
        <f t="shared" si="43"/>
        <v>--</v>
      </c>
      <c r="BE22" s="1773" t="str">
        <f t="shared" si="44"/>
        <v>--</v>
      </c>
      <c r="BF22" s="1947" t="str">
        <f t="shared" si="45"/>
        <v>--</v>
      </c>
    </row>
    <row r="23" spans="1:58" hidden="1">
      <c r="A23" s="1316" t="s">
        <v>116</v>
      </c>
      <c r="B23" s="346" t="s">
        <v>114</v>
      </c>
      <c r="C23" s="389" t="s">
        <v>115</v>
      </c>
      <c r="D23" s="715" t="s">
        <v>115</v>
      </c>
      <c r="E23" s="1788"/>
      <c r="F23" s="359"/>
      <c r="G23" s="359"/>
      <c r="H23" s="358"/>
      <c r="I23" s="1162">
        <f>VLOOKUP($A23,Table_GW_Summary, MATCH("GW-ESL", heading_GW_Summary, 0), FALSE)</f>
        <v>0.25</v>
      </c>
      <c r="J23" s="360"/>
      <c r="K23" s="361"/>
      <c r="L23" s="271">
        <f>VLOOKUP($A23,Table_GW_Summary, MATCH("FW-EcoT", heading_GW_Summary, 0), FALSE)</f>
        <v>0.25</v>
      </c>
      <c r="M23" s="271">
        <f>VLOOKUP($A23,Table_GW_Summary, MATCH("SW-EcoT", heading_GW_Summary, 0), FALSE)</f>
        <v>1</v>
      </c>
      <c r="N23" s="271" t="str">
        <f>VLOOKUP($A23,Table_GW_Summary, MATCH("bioac", heading_GW_Summary, 0), FALSE)</f>
        <v>--</v>
      </c>
      <c r="O23" s="271">
        <f>VLOOKUP($A23,Table_GW_Summary, MATCH("W-GC", heading_GW_Summary, 0), FALSE)</f>
        <v>50000</v>
      </c>
      <c r="P23" s="1773" t="str">
        <f>IF(VLOOKUP($A23,Table_GW_Summary,MATCH("Res-VI-C-Min",heading_GW_Summary,0),FALSE)="--",VLOOKUP($A23,Table_GW_Summary,MATCH("Res-VI-NC-Min",heading_GW_Summary,0),FALSE),IF(VLOOKUP($A23,Table_GW_Summary,MATCH("Res-VI-NC-Min",heading_GW_Summary,0),FALSE)="--",VLOOKUP($A23,Table_GW_Summary,MATCH("Res-VI-C-Min",heading_GW_Summary,0),FALSE),MIN(VLOOKUP($A23,Table_GW_Summary,MATCH("Res-VI-C-Min",heading_GW_Summary,0),FALSE),VLOOKUP($A23,Table_GW_Summary,MATCH("Res-VI-NC-Min",heading_GW_Summary,0),FALSE))))</f>
        <v>--</v>
      </c>
      <c r="Q23" s="1777" t="str">
        <f>VLOOKUP($A23,Table_GW_Summary, MATCH("NDW-NO", heading_GW_Summary, 0), FALSE)</f>
        <v>--</v>
      </c>
      <c r="R23" s="1786">
        <f t="shared" ref="R23:R54" si="57">VLOOKUP($A23,Table_GW_Summary, MATCH("mcl", heading_GW_Summary, 0), FALSE)</f>
        <v>5</v>
      </c>
      <c r="S23" s="1786" t="str">
        <f t="shared" ref="S23:S54" si="58">VLOOKUP($A23,Table_GW_Summary, MATCH("DW-C", heading_GW_Summary, 0), FALSE)</f>
        <v>--</v>
      </c>
      <c r="T23" s="1786">
        <f t="shared" ref="T23:T54" si="59">VLOOKUP($A23,Table_GW_Summary, MATCH("DW-NC", heading_GW_Summary, 0), FALSE)</f>
        <v>0.04</v>
      </c>
      <c r="U23" s="1786">
        <f t="shared" ref="U23" si="60">IF(AND(R23="--", S23="--",T23="--"),"--", IF(R23="--", MIN(S23:T23),R23))</f>
        <v>5</v>
      </c>
      <c r="V23" s="1786" t="str">
        <f t="shared" si="14"/>
        <v>--</v>
      </c>
      <c r="W23" s="1890">
        <f t="shared" ref="W23:W54" si="61">IF(AND(U23="--",V23="--",P23="--",O23="--",N23="--",M23="--"), "--", MIN(U23,V23,P23,O23,N23,M23))</f>
        <v>1</v>
      </c>
      <c r="X23" s="1646" t="str">
        <f t="shared" si="15"/>
        <v>Saltwater EcoTox</v>
      </c>
      <c r="Y23" s="1642">
        <f t="shared" ref="Y23:Y54" si="62">IF(AND(U23="--",V23="--",P23="--",O23="--",N23="--",L23="--"),"--",MIN(U23,V23,P23,O23,N23,L23))</f>
        <v>0.25</v>
      </c>
      <c r="Z23" s="1646" t="str">
        <f t="shared" si="16"/>
        <v>FW EcoTox</v>
      </c>
      <c r="AA23" s="1642">
        <f t="shared" ref="AA23:AA54" si="63">IF(AND(U23="--",V23="--",P23="--",O23="--",N23="--",L23="--",M23="--"),"--",MIN(U23,V23,P23,O23,N23,M23,L23))</f>
        <v>0.25</v>
      </c>
      <c r="AB23" s="1646" t="str">
        <f t="shared" si="17"/>
        <v>FW EcoTox</v>
      </c>
      <c r="AC23" s="1641">
        <f t="shared" ref="AC23:AC54" si="64">IF(AND(U23="--",V23="--",P23="--",O23="--"), "--", MIN(U23,V23,P23,O23))</f>
        <v>5</v>
      </c>
      <c r="AD23" s="1646" t="str">
        <f t="shared" si="18"/>
        <v>MCL</v>
      </c>
      <c r="AE23" s="1642">
        <f t="shared" ref="AE23:AE54" si="65">IF(AND(T23="--",S23="--",V23="--",P23="--",O23="--",N23="--",M23="--"), "--", MIN(T23,S23,V23,P23,O23,N23,M23))</f>
        <v>0.04</v>
      </c>
      <c r="AF23" s="1646" t="str">
        <f t="shared" si="20"/>
        <v>Tapwater Noncancer</v>
      </c>
      <c r="AG23" s="1642">
        <f t="shared" ref="AG23:AG54" si="66">IF(AND(T23="--",S23="--",V23="--",P23="--",O23="--",N23="--",L23="--"), "--", MIN(T23,S23,V23,P23,O23,N23,L23))</f>
        <v>0.04</v>
      </c>
      <c r="AH23" s="1646" t="str">
        <f t="shared" si="22"/>
        <v>Tapwater Noncancer</v>
      </c>
      <c r="AI23" s="1642">
        <f t="shared" ref="AI23:AI54" si="67">IF(AND(T23="--",S23="--",V23="--",P23="--",O23="--",N23="--",M23="--",L23="--"), "--", MIN(T23,S23,V23,P23,O23,N23,M23,L23))</f>
        <v>0.04</v>
      </c>
      <c r="AJ23" s="1646" t="str">
        <f t="shared" si="24"/>
        <v>Tapwater Noncancer</v>
      </c>
      <c r="AK23" s="1641">
        <f t="shared" ref="AK23:AK54" si="68">IF(AND(T23="--",S23="--",V23="--",P23="--",O23="--"),"--",MIN(T23,S23,V23,P23,O23))</f>
        <v>0.04</v>
      </c>
      <c r="AL23" s="1646" t="str">
        <f t="shared" si="26"/>
        <v>Tapwater Noncancer</v>
      </c>
      <c r="AM23" s="1641">
        <f t="shared" ref="AM23:AM54" si="69">IF(AND(Q23="--",P23="--",O23="--",N23="--",M23="--"), "--", MIN(M23,N23,O23,P23,Q23))</f>
        <v>1</v>
      </c>
      <c r="AN23" s="1646" t="str">
        <f t="shared" si="28"/>
        <v>Saltwater EcoTox</v>
      </c>
      <c r="AO23" s="1643">
        <f t="shared" ref="AO23:AO54" si="70">IF(AND(Q23="--",P23="--",O23="--",N23="--",L23="--"),"--",MIN(Q23,P23,O23,N23,L23))</f>
        <v>0.25</v>
      </c>
      <c r="AP23" s="1646" t="str">
        <f t="shared" si="30"/>
        <v>FW EcoTox</v>
      </c>
      <c r="AQ23" s="1643">
        <f t="shared" ref="AQ23:AQ54" si="71">IF(AND(Q23="--",P23="--",O23="--",N23="--",M23="--",L23="--"),"--",MIN(Q23,P23,O23,N23,M23,L23))</f>
        <v>0.25</v>
      </c>
      <c r="AR23" s="1646" t="str">
        <f t="shared" si="32"/>
        <v>FW EcoTox</v>
      </c>
      <c r="AS23" s="1644">
        <f t="shared" ref="AS23:AS54" si="72">IF(AND(Q23="--",P23="--",O23="--"),"--",MIN(Q23,P23,O23))</f>
        <v>50000</v>
      </c>
      <c r="AT23" s="1891" t="str">
        <f t="shared" si="34"/>
        <v>Outdoor Odor</v>
      </c>
      <c r="AU23" s="1773"/>
      <c r="AV23" s="1773"/>
      <c r="AW23" s="1773"/>
      <c r="AX23" s="1773"/>
      <c r="AY23" s="1773"/>
      <c r="AZ23" s="1773"/>
      <c r="BA23" s="1773"/>
      <c r="BB23" s="1773"/>
      <c r="BC23" s="1773"/>
      <c r="BD23" s="1773"/>
      <c r="BE23" s="1773"/>
      <c r="BF23" s="1947"/>
    </row>
    <row r="24" spans="1:58">
      <c r="A24" s="184" t="s">
        <v>117</v>
      </c>
      <c r="B24" s="185" t="s">
        <v>118</v>
      </c>
      <c r="C24" s="388">
        <f t="shared" si="46"/>
        <v>7.4066958213768339E-2</v>
      </c>
      <c r="D24" s="1779">
        <f t="shared" si="47"/>
        <v>7.4066958213768339E-2</v>
      </c>
      <c r="E24" s="1785">
        <f t="shared" ref="E24:E55" si="73">VLOOKUP($A24,Table_IP_1, MATCH("Koc", heading_IP_1, 0), FALSE)</f>
        <v>43.89</v>
      </c>
      <c r="F24" s="271">
        <f t="shared" ref="F24:F55" si="74">VLOOKUP($A24,Table_IP_1, MATCH("h", heading_IP_1, 0), FALSE)</f>
        <v>2.76E-2</v>
      </c>
      <c r="G24" s="271">
        <f t="shared" ref="G24:G38" si="75">VLOOKUP($A24,Table_IP_1, MATCH("daf", heading_IP_1, 0), FALSE)</f>
        <v>178.59894</v>
      </c>
      <c r="H24" s="272">
        <f t="shared" ref="H24:H38" si="76">VLOOKUP($A24,Table_IP_1, MATCH("sat lim", heading_IP_1, 0), FALSE)</f>
        <v>457.52151405884018</v>
      </c>
      <c r="I24" s="1162">
        <f t="shared" ref="I24:I31" si="77">VLOOKUP($A24,Table_GW_Summary, MATCH("GW-ESL", heading_GW_Summary, 0), FALSE)</f>
        <v>0.41471107395020562</v>
      </c>
      <c r="J24" s="1163">
        <f>IF(MIN(L24,M24,N24,O24,P24,Q24)=0, "--",MIN(L24,M24,N24,O24,P24,Q24))</f>
        <v>0.41471107395020562</v>
      </c>
      <c r="K24" s="1164" t="str">
        <f t="shared" si="49"/>
        <v>GW VI</v>
      </c>
      <c r="L24" s="271">
        <f t="shared" ref="L24:L55" si="78">VLOOKUP($A24,Table_GW_Summary, MATCH("FW-EcoT", heading_GW_Summary, 0), FALSE)</f>
        <v>240</v>
      </c>
      <c r="M24" s="271">
        <f t="shared" ref="M24:M31" si="79">VLOOKUP($A24,Table_GW_Summary, MATCH("SW-EcoT", heading_GW_Summary, 0), FALSE)</f>
        <v>3200</v>
      </c>
      <c r="N24" s="271">
        <f t="shared" ref="N24:N55" si="80">VLOOKUP($A24,Table_GW_Summary, MATCH("bioac", heading_GW_Summary, 0), FALSE)</f>
        <v>0.9</v>
      </c>
      <c r="O24" s="271">
        <f t="shared" ref="O24:O38" si="81">VLOOKUP($A24,Table_GW_Summary, MATCH("W-GC", heading_GW_Summary, 0), FALSE)</f>
        <v>50000</v>
      </c>
      <c r="P24" s="1773">
        <f t="shared" ref="P24:P31" si="82">IF(VLOOKUP($A24,Table_GW_Summary,MATCH("Res-VI-C-Min",heading_GW_Summary,0),FALSE)="--",VLOOKUP($A24,Table_GW_Summary,MATCH("Res-VI-NC-Min",heading_GW_Summary,0),FALSE),IF(VLOOKUP($A24,Table_GW_Summary,MATCH("Res-VI-NC-Min",heading_GW_Summary,0),FALSE)="--",VLOOKUP($A24,Table_GW_Summary,MATCH("Res-VI-C-Min",heading_GW_Summary,0),FALSE),MIN(VLOOKUP($A24,Table_GW_Summary,MATCH("Res-VI-C-Min",heading_GW_Summary,0),FALSE),VLOOKUP($A24,Table_GW_Summary,MATCH("Res-VI-NC-Min",heading_GW_Summary,0),FALSE))))</f>
        <v>0.41471107395020562</v>
      </c>
      <c r="Q24" s="1777">
        <f t="shared" ref="Q24:Q38" si="83">VLOOKUP($A24,Table_GW_Summary, MATCH("NDW-NO", heading_GW_Summary, 0), FALSE)</f>
        <v>5200</v>
      </c>
      <c r="R24" s="1786">
        <f t="shared" si="57"/>
        <v>0.5</v>
      </c>
      <c r="S24" s="1786">
        <f t="shared" si="58"/>
        <v>0.1</v>
      </c>
      <c r="T24" s="1786">
        <f t="shared" si="59"/>
        <v>36.501424748469837</v>
      </c>
      <c r="U24" s="1786">
        <f t="shared" si="13"/>
        <v>0.5</v>
      </c>
      <c r="V24" s="1786">
        <f t="shared" si="14"/>
        <v>520</v>
      </c>
      <c r="W24" s="1890">
        <f t="shared" si="61"/>
        <v>0.41471107395020562</v>
      </c>
      <c r="X24" s="1646" t="str">
        <f t="shared" si="15"/>
        <v>VI</v>
      </c>
      <c r="Y24" s="1642">
        <f t="shared" si="62"/>
        <v>0.41471107395020562</v>
      </c>
      <c r="Z24" s="1646" t="str">
        <f t="shared" si="16"/>
        <v>VI</v>
      </c>
      <c r="AA24" s="1642">
        <f t="shared" si="63"/>
        <v>0.41471107395020562</v>
      </c>
      <c r="AB24" s="1646" t="str">
        <f t="shared" si="17"/>
        <v>VI</v>
      </c>
      <c r="AC24" s="1641">
        <f t="shared" si="64"/>
        <v>0.41471107395020562</v>
      </c>
      <c r="AD24" s="1646" t="str">
        <f t="shared" si="18"/>
        <v>VI</v>
      </c>
      <c r="AE24" s="1642">
        <f t="shared" si="65"/>
        <v>0.1</v>
      </c>
      <c r="AF24" s="1646" t="str">
        <f t="shared" si="20"/>
        <v>Tapwater Cancer</v>
      </c>
      <c r="AG24" s="1642">
        <f t="shared" si="66"/>
        <v>0.1</v>
      </c>
      <c r="AH24" s="1646" t="str">
        <f t="shared" si="22"/>
        <v>Tapwater Cancer</v>
      </c>
      <c r="AI24" s="1642">
        <f t="shared" si="67"/>
        <v>0.1</v>
      </c>
      <c r="AJ24" s="1646" t="str">
        <f t="shared" si="24"/>
        <v>Tapwater Cancer</v>
      </c>
      <c r="AK24" s="1641">
        <f t="shared" si="68"/>
        <v>0.1</v>
      </c>
      <c r="AL24" s="1646" t="str">
        <f t="shared" si="26"/>
        <v>Tapwater Cancer</v>
      </c>
      <c r="AM24" s="1641">
        <f t="shared" si="69"/>
        <v>0.41471107395020562</v>
      </c>
      <c r="AN24" s="1646" t="str">
        <f t="shared" si="28"/>
        <v>VI</v>
      </c>
      <c r="AO24" s="1643">
        <f t="shared" si="70"/>
        <v>0.41471107395020562</v>
      </c>
      <c r="AP24" s="1646" t="str">
        <f t="shared" si="30"/>
        <v>VI</v>
      </c>
      <c r="AQ24" s="1643">
        <f t="shared" si="71"/>
        <v>0.41471107395020562</v>
      </c>
      <c r="AR24" s="1646" t="str">
        <f t="shared" si="32"/>
        <v>VI</v>
      </c>
      <c r="AS24" s="1644">
        <f t="shared" si="72"/>
        <v>0.41471107395020562</v>
      </c>
      <c r="AT24" s="1891" t="str">
        <f t="shared" si="34"/>
        <v>VI</v>
      </c>
      <c r="AU24" s="1773">
        <f t="shared" ref="AU24:AU55" si="84">IF($G24="--","--",IF(W24="--", W24,IF(AND($G24*W24*0.001&lt;$H24,$E24&gt;30000),$H24,$G24*W24*0.001)))</f>
        <v>7.4066958213768339E-2</v>
      </c>
      <c r="AV24" s="1773">
        <f t="shared" ref="AV24:AV55" si="85">IF($G24="--","--",IF(Y24="--", Y24,IF(AND($G24*Y24*0.001&lt;$H24,$E24&gt;30000),$H24,$G24*Y24*0.001)))</f>
        <v>7.4066958213768339E-2</v>
      </c>
      <c r="AW24" s="1773">
        <f t="shared" ref="AW24:AW55" si="86">IF($G24="--","--",IF(AA24="--", AA24,IF(AND($G24*AA24*0.001&lt;$H24,$E24&gt;30000),$H24,$G24*AA24*0.001)))</f>
        <v>7.4066958213768339E-2</v>
      </c>
      <c r="AX24" s="1773">
        <f t="shared" ref="AX24:AX55" si="87">IF($G24="--","--",IF(AC24="--", AC24,IF(AND($G24*AC24*0.001&lt;$H24,$E24&gt;30000),$H24,$G24*AC24*0.001)))</f>
        <v>7.4066958213768339E-2</v>
      </c>
      <c r="AY24" s="1773">
        <f t="shared" ref="AY24:AY55" si="88">IF($G24="--","--",IF(AE24="--", AE24,IF(AND($G24*AE24*0.001&lt;$H24,$E24&gt;30000),$H24,$G24*AE24*0.001)))</f>
        <v>1.7859894000000001E-2</v>
      </c>
      <c r="AZ24" s="1773">
        <f t="shared" ref="AZ24:AZ55" si="89">IF($G24="--","--",IF(AG24="--", AG24,IF(AND($G24*AG24*0.001&lt;$H24,$E24&gt;30000),$H24,$G24*AG24*0.001)))</f>
        <v>1.7859894000000001E-2</v>
      </c>
      <c r="BA24" s="1773">
        <f t="shared" ref="BA24:BA55" si="90">IF($G24="--","--",IF(AI24="--", AI24,IF(AND($G24*AI24*0.001&lt;$H24,$E24&gt;30000),$H24,$G24*AI24*0.001)))</f>
        <v>1.7859894000000001E-2</v>
      </c>
      <c r="BB24" s="1773">
        <f t="shared" ref="BB24:BB55" si="91">IF($G24="--","--",IF(AK24="--", AK24,IF(AND($G24*AK24*0.001&lt;$H24,$E24&gt;30000),$H24,$G24*AK24*0.001)))</f>
        <v>1.7859894000000001E-2</v>
      </c>
      <c r="BC24" s="1773">
        <f t="shared" ref="BC24:BC55" si="92">IF($G24="--","--",IF(AM24="--", AM24,IF(AND($G24*AM24*0.001&lt;$H24,$E24&gt;30000),$H24,$G24*AM24*0.001)))</f>
        <v>7.4066958213768339E-2</v>
      </c>
      <c r="BD24" s="1773">
        <f t="shared" ref="BD24:BD55" si="93">IF($G24="--","--",IF(AO24="--", AO24,IF(AND($G24*AO24*0.001&lt;$H24,$E24&gt;30000),$H24,$G24*AO24*0.001)))</f>
        <v>7.4066958213768339E-2</v>
      </c>
      <c r="BE24" s="1773">
        <f t="shared" ref="BE24:BE55" si="94">IF($G24="--","--",IF(AQ24="--", AQ24,IF(AND($G24*AQ24*0.001&lt;$H24,$E24&gt;30000),$H24,$G24*AQ24*0.001)))</f>
        <v>7.4066958213768339E-2</v>
      </c>
      <c r="BF24" s="1947">
        <f t="shared" ref="BF24:BF55" si="95">IF($G24="--","--",IF(AS24="--", AS24,IF(AND($G24*AS24*0.001&lt;$H24,$E24&gt;30000),$H24,$G24*AS24*0.001)))</f>
        <v>7.4066958213768339E-2</v>
      </c>
    </row>
    <row r="25" spans="1:58">
      <c r="A25" s="184" t="s">
        <v>119</v>
      </c>
      <c r="B25" s="185" t="s">
        <v>120</v>
      </c>
      <c r="C25" s="388">
        <f t="shared" si="46"/>
        <v>22.69906106382388</v>
      </c>
      <c r="D25" s="1779">
        <f t="shared" si="47"/>
        <v>22.69906106382388</v>
      </c>
      <c r="E25" s="1785">
        <f t="shared" si="73"/>
        <v>67540</v>
      </c>
      <c r="F25" s="271">
        <f t="shared" si="74"/>
        <v>4.8600000000000002E-5</v>
      </c>
      <c r="G25" s="271">
        <f t="shared" si="75"/>
        <v>11211.941660200002</v>
      </c>
      <c r="H25" s="272">
        <f t="shared" si="76"/>
        <v>22.69906106382388</v>
      </c>
      <c r="I25" s="1162">
        <f t="shared" si="77"/>
        <v>2.3E-5</v>
      </c>
      <c r="J25" s="1163">
        <f t="shared" si="48"/>
        <v>2.3E-5</v>
      </c>
      <c r="K25" s="1164" t="str">
        <f t="shared" si="49"/>
        <v>Seafood Consumption</v>
      </c>
      <c r="L25" s="271">
        <f t="shared" si="78"/>
        <v>4.3E-3</v>
      </c>
      <c r="M25" s="271">
        <f t="shared" si="79"/>
        <v>4.0000000000000001E-3</v>
      </c>
      <c r="N25" s="271">
        <f t="shared" si="80"/>
        <v>2.3E-5</v>
      </c>
      <c r="O25" s="271">
        <f t="shared" si="81"/>
        <v>28</v>
      </c>
      <c r="P25" s="1773">
        <f t="shared" si="82"/>
        <v>14.130895853115922</v>
      </c>
      <c r="Q25" s="1777">
        <f t="shared" si="83"/>
        <v>25</v>
      </c>
      <c r="R25" s="1786">
        <f t="shared" si="57"/>
        <v>0.1</v>
      </c>
      <c r="S25" s="1786">
        <f t="shared" si="58"/>
        <v>2.0036636538101203E-2</v>
      </c>
      <c r="T25" s="1786">
        <f t="shared" si="59"/>
        <v>0.74165587167721603</v>
      </c>
      <c r="U25" s="1786">
        <f t="shared" si="13"/>
        <v>0.1</v>
      </c>
      <c r="V25" s="1786">
        <f t="shared" si="14"/>
        <v>2.5</v>
      </c>
      <c r="W25" s="1890">
        <f t="shared" si="61"/>
        <v>2.3E-5</v>
      </c>
      <c r="X25" s="1646" t="str">
        <f t="shared" si="15"/>
        <v>Seafood Ingestion</v>
      </c>
      <c r="Y25" s="1642">
        <f t="shared" si="62"/>
        <v>2.3E-5</v>
      </c>
      <c r="Z25" s="1646" t="str">
        <f t="shared" si="16"/>
        <v>Seafood Ingestion</v>
      </c>
      <c r="AA25" s="1642">
        <f t="shared" si="63"/>
        <v>2.3E-5</v>
      </c>
      <c r="AB25" s="1646" t="str">
        <f t="shared" si="17"/>
        <v>Seafood Ingestion</v>
      </c>
      <c r="AC25" s="1641">
        <f t="shared" si="64"/>
        <v>0.1</v>
      </c>
      <c r="AD25" s="1646" t="str">
        <f t="shared" si="18"/>
        <v>MCL</v>
      </c>
      <c r="AE25" s="1642">
        <f t="shared" si="65"/>
        <v>2.3E-5</v>
      </c>
      <c r="AF25" s="1646" t="str">
        <f t="shared" si="20"/>
        <v>Seafood Ingestion</v>
      </c>
      <c r="AG25" s="1642">
        <f t="shared" si="66"/>
        <v>2.3E-5</v>
      </c>
      <c r="AH25" s="1646" t="str">
        <f t="shared" si="22"/>
        <v>Seafood Ingestion</v>
      </c>
      <c r="AI25" s="1642">
        <f t="shared" si="67"/>
        <v>2.3E-5</v>
      </c>
      <c r="AJ25" s="1646" t="str">
        <f t="shared" si="24"/>
        <v>Seafood Ingestion</v>
      </c>
      <c r="AK25" s="1641">
        <f t="shared" si="68"/>
        <v>2.0036636538101203E-2</v>
      </c>
      <c r="AL25" s="1646" t="str">
        <f t="shared" si="26"/>
        <v>Tapwater Cancer</v>
      </c>
      <c r="AM25" s="1641">
        <f t="shared" si="69"/>
        <v>2.3E-5</v>
      </c>
      <c r="AN25" s="1646" t="str">
        <f t="shared" si="28"/>
        <v>Seafood Ingestion</v>
      </c>
      <c r="AO25" s="1643">
        <f t="shared" si="70"/>
        <v>2.3E-5</v>
      </c>
      <c r="AP25" s="1646" t="str">
        <f t="shared" si="30"/>
        <v>Seafood Ingestion</v>
      </c>
      <c r="AQ25" s="1643">
        <f t="shared" si="71"/>
        <v>2.3E-5</v>
      </c>
      <c r="AR25" s="1646" t="str">
        <f t="shared" si="32"/>
        <v>Seafood Ingestion</v>
      </c>
      <c r="AS25" s="1644">
        <f t="shared" si="72"/>
        <v>14.130895853115922</v>
      </c>
      <c r="AT25" s="1891" t="str">
        <f t="shared" si="34"/>
        <v>VI</v>
      </c>
      <c r="AU25" s="1773">
        <f t="shared" si="84"/>
        <v>22.69906106382388</v>
      </c>
      <c r="AV25" s="1773">
        <f t="shared" si="85"/>
        <v>22.69906106382388</v>
      </c>
      <c r="AW25" s="1773">
        <f t="shared" si="86"/>
        <v>22.69906106382388</v>
      </c>
      <c r="AX25" s="1773">
        <f t="shared" si="87"/>
        <v>22.69906106382388</v>
      </c>
      <c r="AY25" s="1773">
        <f t="shared" si="88"/>
        <v>22.69906106382388</v>
      </c>
      <c r="AZ25" s="1773">
        <f t="shared" si="89"/>
        <v>22.69906106382388</v>
      </c>
      <c r="BA25" s="1773">
        <f t="shared" si="90"/>
        <v>22.69906106382388</v>
      </c>
      <c r="BB25" s="1773">
        <f t="shared" si="91"/>
        <v>22.69906106382388</v>
      </c>
      <c r="BC25" s="1773">
        <f t="shared" si="92"/>
        <v>22.69906106382388</v>
      </c>
      <c r="BD25" s="1773">
        <f t="shared" si="93"/>
        <v>22.69906106382388</v>
      </c>
      <c r="BE25" s="1773">
        <f t="shared" si="94"/>
        <v>22.69906106382388</v>
      </c>
      <c r="BF25" s="1947">
        <f t="shared" si="95"/>
        <v>158.43477991149786</v>
      </c>
    </row>
    <row r="26" spans="1:58">
      <c r="A26" s="184" t="s">
        <v>121</v>
      </c>
      <c r="B26" s="185" t="s">
        <v>122</v>
      </c>
      <c r="C26" s="388">
        <f t="shared" si="46"/>
        <v>6.8392196435594268E-3</v>
      </c>
      <c r="D26" s="1779">
        <f t="shared" si="47"/>
        <v>9.3577000600000002E-2</v>
      </c>
      <c r="E26" s="1785">
        <f t="shared" si="73"/>
        <v>112.7</v>
      </c>
      <c r="F26" s="271">
        <f t="shared" si="74"/>
        <v>1.1599999999999999E-6</v>
      </c>
      <c r="G26" s="271">
        <f t="shared" si="75"/>
        <v>18.715400120000002</v>
      </c>
      <c r="H26" s="272">
        <f t="shared" si="76"/>
        <v>3027.2150134991261</v>
      </c>
      <c r="I26" s="1162">
        <f t="shared" si="77"/>
        <v>0.36543272383745468</v>
      </c>
      <c r="J26" s="1163">
        <f t="shared" si="48"/>
        <v>5</v>
      </c>
      <c r="K26" s="1164" t="str">
        <f t="shared" si="49"/>
        <v>FW EcoTox Goal</v>
      </c>
      <c r="L26" s="271">
        <f t="shared" si="78"/>
        <v>5</v>
      </c>
      <c r="M26" s="271" t="str">
        <f t="shared" si="79"/>
        <v>--</v>
      </c>
      <c r="N26" s="271" t="str">
        <f t="shared" si="80"/>
        <v>--</v>
      </c>
      <c r="O26" s="271">
        <f t="shared" si="81"/>
        <v>50000</v>
      </c>
      <c r="P26" s="1773" t="str">
        <f t="shared" si="82"/>
        <v>--</v>
      </c>
      <c r="Q26" s="1777" t="str">
        <f t="shared" si="83"/>
        <v>--</v>
      </c>
      <c r="R26" s="1786" t="str">
        <f t="shared" si="57"/>
        <v>--</v>
      </c>
      <c r="S26" s="1786">
        <f t="shared" si="58"/>
        <v>0.36543272383745468</v>
      </c>
      <c r="T26" s="1786">
        <f t="shared" si="59"/>
        <v>9.4538301632907622</v>
      </c>
      <c r="U26" s="1786">
        <f t="shared" si="13"/>
        <v>0.36543272383745468</v>
      </c>
      <c r="V26" s="1786" t="str">
        <f t="shared" si="14"/>
        <v>--</v>
      </c>
      <c r="W26" s="1890">
        <f t="shared" si="61"/>
        <v>0.36543272383745468</v>
      </c>
      <c r="X26" s="1646" t="str">
        <f t="shared" si="15"/>
        <v>Tapwater Cancer</v>
      </c>
      <c r="Y26" s="1642">
        <f t="shared" si="62"/>
        <v>0.36543272383745468</v>
      </c>
      <c r="Z26" s="1646" t="str">
        <f t="shared" si="16"/>
        <v>Tapwater Cancer</v>
      </c>
      <c r="AA26" s="1642">
        <f t="shared" si="63"/>
        <v>0.36543272383745468</v>
      </c>
      <c r="AB26" s="1646" t="str">
        <f t="shared" si="17"/>
        <v>Tapwater Cancer</v>
      </c>
      <c r="AC26" s="1641">
        <f t="shared" si="64"/>
        <v>0.36543272383745468</v>
      </c>
      <c r="AD26" s="1646" t="str">
        <f t="shared" si="18"/>
        <v>Tapwater Cancer</v>
      </c>
      <c r="AE26" s="1642">
        <f t="shared" si="65"/>
        <v>0.36543272383745468</v>
      </c>
      <c r="AF26" s="1646" t="str">
        <f t="shared" si="20"/>
        <v>Tapwater Cancer</v>
      </c>
      <c r="AG26" s="1642">
        <f t="shared" si="66"/>
        <v>0.36543272383745468</v>
      </c>
      <c r="AH26" s="1646" t="str">
        <f t="shared" si="22"/>
        <v>Tapwater Cancer</v>
      </c>
      <c r="AI26" s="1642">
        <f t="shared" si="67"/>
        <v>0.36543272383745468</v>
      </c>
      <c r="AJ26" s="1646" t="str">
        <f t="shared" si="24"/>
        <v>Tapwater Cancer</v>
      </c>
      <c r="AK26" s="1641">
        <f t="shared" si="68"/>
        <v>0.36543272383745468</v>
      </c>
      <c r="AL26" s="1646" t="str">
        <f t="shared" si="26"/>
        <v>Tapwater Cancer</v>
      </c>
      <c r="AM26" s="1641">
        <f t="shared" si="69"/>
        <v>50000</v>
      </c>
      <c r="AN26" s="1646" t="str">
        <f t="shared" si="28"/>
        <v>Outdoor Odor</v>
      </c>
      <c r="AO26" s="1643">
        <f t="shared" si="70"/>
        <v>5</v>
      </c>
      <c r="AP26" s="1646" t="str">
        <f t="shared" si="30"/>
        <v>FW EcoTox</v>
      </c>
      <c r="AQ26" s="1643">
        <f t="shared" si="71"/>
        <v>5</v>
      </c>
      <c r="AR26" s="1646" t="str">
        <f t="shared" si="32"/>
        <v>FW EcoTox</v>
      </c>
      <c r="AS26" s="1644">
        <f t="shared" si="72"/>
        <v>50000</v>
      </c>
      <c r="AT26" s="1891" t="str">
        <f t="shared" si="34"/>
        <v>Outdoor Odor</v>
      </c>
      <c r="AU26" s="1773">
        <f t="shared" si="84"/>
        <v>6.8392196435594268E-3</v>
      </c>
      <c r="AV26" s="1773">
        <f t="shared" si="85"/>
        <v>6.8392196435594268E-3</v>
      </c>
      <c r="AW26" s="1773">
        <f t="shared" si="86"/>
        <v>6.8392196435594268E-3</v>
      </c>
      <c r="AX26" s="1773">
        <f t="shared" si="87"/>
        <v>6.8392196435594268E-3</v>
      </c>
      <c r="AY26" s="1773">
        <f t="shared" si="88"/>
        <v>6.8392196435594268E-3</v>
      </c>
      <c r="AZ26" s="1773">
        <f t="shared" si="89"/>
        <v>6.8392196435594268E-3</v>
      </c>
      <c r="BA26" s="1773">
        <f t="shared" si="90"/>
        <v>6.8392196435594268E-3</v>
      </c>
      <c r="BB26" s="1773">
        <f t="shared" si="91"/>
        <v>6.8392196435594268E-3</v>
      </c>
      <c r="BC26" s="1773">
        <f t="shared" si="92"/>
        <v>935.77000600000008</v>
      </c>
      <c r="BD26" s="1773">
        <f t="shared" si="93"/>
        <v>9.3577000600000002E-2</v>
      </c>
      <c r="BE26" s="1773">
        <f t="shared" si="94"/>
        <v>9.3577000600000002E-2</v>
      </c>
      <c r="BF26" s="1947">
        <f t="shared" si="95"/>
        <v>935.77000600000008</v>
      </c>
    </row>
    <row r="27" spans="1:58">
      <c r="A27" s="184" t="s">
        <v>123</v>
      </c>
      <c r="B27" s="185" t="s">
        <v>124</v>
      </c>
      <c r="C27" s="388">
        <f t="shared" si="46"/>
        <v>1.45327925</v>
      </c>
      <c r="D27" s="1779">
        <f t="shared" si="47"/>
        <v>1.45327925</v>
      </c>
      <c r="E27" s="1785">
        <f t="shared" si="73"/>
        <v>233.9</v>
      </c>
      <c r="F27" s="271">
        <f t="shared" si="74"/>
        <v>3.1099999999999999E-3</v>
      </c>
      <c r="G27" s="271">
        <f t="shared" si="75"/>
        <v>58.131170000000004</v>
      </c>
      <c r="H27" s="272">
        <f t="shared" si="76"/>
        <v>760.67998319628521</v>
      </c>
      <c r="I27" s="1162">
        <f t="shared" si="77"/>
        <v>25</v>
      </c>
      <c r="J27" s="1163">
        <f t="shared" si="48"/>
        <v>25</v>
      </c>
      <c r="K27" s="1164" t="str">
        <f t="shared" si="49"/>
        <v>FW EcoTox Goal</v>
      </c>
      <c r="L27" s="271">
        <f t="shared" si="78"/>
        <v>25</v>
      </c>
      <c r="M27" s="271">
        <f t="shared" si="79"/>
        <v>64.5</v>
      </c>
      <c r="N27" s="271">
        <f t="shared" si="80"/>
        <v>570</v>
      </c>
      <c r="O27" s="271">
        <f t="shared" si="81"/>
        <v>50000</v>
      </c>
      <c r="P27" s="1773">
        <f t="shared" si="82"/>
        <v>410.1010564997631</v>
      </c>
      <c r="Q27" s="1777">
        <f t="shared" si="83"/>
        <v>500</v>
      </c>
      <c r="R27" s="1786">
        <f t="shared" si="57"/>
        <v>70</v>
      </c>
      <c r="S27" s="1786" t="str">
        <f t="shared" si="58"/>
        <v>--</v>
      </c>
      <c r="T27" s="1786">
        <f t="shared" si="59"/>
        <v>70</v>
      </c>
      <c r="U27" s="1786">
        <f t="shared" si="13"/>
        <v>70</v>
      </c>
      <c r="V27" s="1786">
        <f t="shared" si="14"/>
        <v>50</v>
      </c>
      <c r="W27" s="1890">
        <f t="shared" si="61"/>
        <v>50</v>
      </c>
      <c r="X27" s="1646" t="str">
        <f t="shared" si="15"/>
        <v>DW Taste &amp; Odor</v>
      </c>
      <c r="Y27" s="1642">
        <f t="shared" si="62"/>
        <v>25</v>
      </c>
      <c r="Z27" s="1646" t="str">
        <f t="shared" si="16"/>
        <v>FW EcoTox</v>
      </c>
      <c r="AA27" s="1642">
        <f t="shared" si="63"/>
        <v>25</v>
      </c>
      <c r="AB27" s="1646" t="str">
        <f t="shared" si="17"/>
        <v>FW EcoTox</v>
      </c>
      <c r="AC27" s="1641">
        <f t="shared" si="64"/>
        <v>50</v>
      </c>
      <c r="AD27" s="1646" t="str">
        <f t="shared" si="18"/>
        <v>DW Taste &amp; Odor</v>
      </c>
      <c r="AE27" s="1642">
        <f t="shared" si="65"/>
        <v>50</v>
      </c>
      <c r="AF27" s="1646" t="str">
        <f t="shared" si="20"/>
        <v>DW Taste &amp; Odor</v>
      </c>
      <c r="AG27" s="1642">
        <f t="shared" si="66"/>
        <v>25</v>
      </c>
      <c r="AH27" s="1646" t="str">
        <f t="shared" si="22"/>
        <v>FW EcoTox</v>
      </c>
      <c r="AI27" s="1642">
        <f t="shared" si="67"/>
        <v>25</v>
      </c>
      <c r="AJ27" s="1646" t="str">
        <f t="shared" si="24"/>
        <v>FW EcoTox</v>
      </c>
      <c r="AK27" s="1641">
        <f t="shared" si="68"/>
        <v>50</v>
      </c>
      <c r="AL27" s="1646" t="str">
        <f t="shared" si="26"/>
        <v>DW Taste &amp; Odor</v>
      </c>
      <c r="AM27" s="1641">
        <f t="shared" si="69"/>
        <v>64.5</v>
      </c>
      <c r="AN27" s="1646" t="str">
        <f t="shared" si="28"/>
        <v>Saltwater EcoTox</v>
      </c>
      <c r="AO27" s="1643">
        <f t="shared" si="70"/>
        <v>25</v>
      </c>
      <c r="AP27" s="1646" t="str">
        <f t="shared" si="30"/>
        <v>FW EcoTox</v>
      </c>
      <c r="AQ27" s="1643">
        <f t="shared" si="71"/>
        <v>25</v>
      </c>
      <c r="AR27" s="1646" t="str">
        <f t="shared" si="32"/>
        <v>FW EcoTox</v>
      </c>
      <c r="AS27" s="1644">
        <f t="shared" si="72"/>
        <v>410.1010564997631</v>
      </c>
      <c r="AT27" s="1891" t="str">
        <f t="shared" si="34"/>
        <v>VI</v>
      </c>
      <c r="AU27" s="1773">
        <f t="shared" si="84"/>
        <v>2.9065585</v>
      </c>
      <c r="AV27" s="1773">
        <f t="shared" si="85"/>
        <v>1.45327925</v>
      </c>
      <c r="AW27" s="1773">
        <f t="shared" si="86"/>
        <v>1.45327925</v>
      </c>
      <c r="AX27" s="1773">
        <f t="shared" si="87"/>
        <v>2.9065585</v>
      </c>
      <c r="AY27" s="1773">
        <f t="shared" si="88"/>
        <v>2.9065585</v>
      </c>
      <c r="AZ27" s="1773">
        <f t="shared" si="89"/>
        <v>1.45327925</v>
      </c>
      <c r="BA27" s="1773">
        <f t="shared" si="90"/>
        <v>1.45327925</v>
      </c>
      <c r="BB27" s="1773">
        <f t="shared" si="91"/>
        <v>2.9065585</v>
      </c>
      <c r="BC27" s="1773">
        <f t="shared" si="92"/>
        <v>3.7494604650000003</v>
      </c>
      <c r="BD27" s="1773">
        <f t="shared" si="93"/>
        <v>1.45327925</v>
      </c>
      <c r="BE27" s="1773">
        <f t="shared" si="94"/>
        <v>1.45327925</v>
      </c>
      <c r="BF27" s="1947">
        <f t="shared" si="95"/>
        <v>23.839654232567337</v>
      </c>
    </row>
    <row r="28" spans="1:58">
      <c r="A28" s="184" t="s">
        <v>125</v>
      </c>
      <c r="B28" s="185" t="s">
        <v>126</v>
      </c>
      <c r="C28" s="388">
        <f t="shared" si="46"/>
        <v>1.1600780800000001</v>
      </c>
      <c r="D28" s="1779">
        <f t="shared" si="47"/>
        <v>11.600780800000001</v>
      </c>
      <c r="E28" s="1785">
        <f t="shared" si="73"/>
        <v>21.73</v>
      </c>
      <c r="F28" s="271">
        <f t="shared" si="74"/>
        <v>1.11E-2</v>
      </c>
      <c r="G28" s="271">
        <f t="shared" si="75"/>
        <v>72.50488</v>
      </c>
      <c r="H28" s="272">
        <f t="shared" si="76"/>
        <v>2122.2955180764907</v>
      </c>
      <c r="I28" s="1162">
        <f t="shared" si="77"/>
        <v>16</v>
      </c>
      <c r="J28" s="1163">
        <f t="shared" si="48"/>
        <v>160</v>
      </c>
      <c r="K28" s="1164" t="str">
        <f t="shared" si="49"/>
        <v>Nuis-Odor</v>
      </c>
      <c r="L28" s="271" t="str">
        <f t="shared" si="78"/>
        <v>--</v>
      </c>
      <c r="M28" s="271" t="str">
        <f t="shared" si="79"/>
        <v>--</v>
      </c>
      <c r="N28" s="271" t="str">
        <f t="shared" si="80"/>
        <v>--</v>
      </c>
      <c r="O28" s="271">
        <f t="shared" si="81"/>
        <v>50000</v>
      </c>
      <c r="P28" s="1773">
        <f t="shared" si="82"/>
        <v>9192.1750321750151</v>
      </c>
      <c r="Q28" s="1777">
        <f t="shared" si="83"/>
        <v>160</v>
      </c>
      <c r="R28" s="1786" t="str">
        <f t="shared" si="57"/>
        <v>--</v>
      </c>
      <c r="S28" s="1786" t="str">
        <f t="shared" si="58"/>
        <v>--</v>
      </c>
      <c r="T28" s="1786">
        <f t="shared" si="59"/>
        <v>8342.8571428571431</v>
      </c>
      <c r="U28" s="1786">
        <f t="shared" si="13"/>
        <v>8342.8571428571431</v>
      </c>
      <c r="V28" s="1786">
        <f t="shared" si="14"/>
        <v>16</v>
      </c>
      <c r="W28" s="1890">
        <f t="shared" si="61"/>
        <v>16</v>
      </c>
      <c r="X28" s="1646" t="str">
        <f t="shared" si="15"/>
        <v>DW Taste &amp; Odor</v>
      </c>
      <c r="Y28" s="1642">
        <f t="shared" si="62"/>
        <v>16</v>
      </c>
      <c r="Z28" s="1646" t="str">
        <f t="shared" si="16"/>
        <v>DW Taste &amp; Odor</v>
      </c>
      <c r="AA28" s="1642">
        <f t="shared" si="63"/>
        <v>16</v>
      </c>
      <c r="AB28" s="1646" t="str">
        <f t="shared" si="17"/>
        <v>DW Taste &amp; Odor</v>
      </c>
      <c r="AC28" s="1641">
        <f t="shared" si="64"/>
        <v>16</v>
      </c>
      <c r="AD28" s="1646" t="str">
        <f t="shared" si="18"/>
        <v>DW Taste &amp; Odor</v>
      </c>
      <c r="AE28" s="1642">
        <f t="shared" si="65"/>
        <v>16</v>
      </c>
      <c r="AF28" s="1646" t="str">
        <f t="shared" si="20"/>
        <v>DW Taste &amp; Odor</v>
      </c>
      <c r="AG28" s="1642">
        <f t="shared" si="66"/>
        <v>16</v>
      </c>
      <c r="AH28" s="1646" t="str">
        <f t="shared" si="22"/>
        <v>DW Taste &amp; Odor</v>
      </c>
      <c r="AI28" s="1642">
        <f t="shared" si="67"/>
        <v>16</v>
      </c>
      <c r="AJ28" s="1646" t="str">
        <f t="shared" si="24"/>
        <v>DW Taste &amp; Odor</v>
      </c>
      <c r="AK28" s="1641">
        <f t="shared" si="68"/>
        <v>16</v>
      </c>
      <c r="AL28" s="1646" t="str">
        <f t="shared" si="26"/>
        <v>DW Taste &amp; Odor</v>
      </c>
      <c r="AM28" s="1641">
        <f t="shared" si="69"/>
        <v>160</v>
      </c>
      <c r="AN28" s="1646" t="str">
        <f t="shared" si="28"/>
        <v>Outdoor Odor</v>
      </c>
      <c r="AO28" s="1643">
        <f t="shared" si="70"/>
        <v>160</v>
      </c>
      <c r="AP28" s="1646" t="str">
        <f t="shared" si="30"/>
        <v>Outdoor Odor</v>
      </c>
      <c r="AQ28" s="1643">
        <f t="shared" si="71"/>
        <v>160</v>
      </c>
      <c r="AR28" s="1646" t="str">
        <f t="shared" si="32"/>
        <v>Outdoor Odor</v>
      </c>
      <c r="AS28" s="1644">
        <f t="shared" si="72"/>
        <v>160</v>
      </c>
      <c r="AT28" s="1891" t="str">
        <f t="shared" si="34"/>
        <v>Outdoor Odor</v>
      </c>
      <c r="AU28" s="1773">
        <f t="shared" si="84"/>
        <v>1.1600780800000001</v>
      </c>
      <c r="AV28" s="1773">
        <f t="shared" si="85"/>
        <v>1.1600780800000001</v>
      </c>
      <c r="AW28" s="1773">
        <f t="shared" si="86"/>
        <v>1.1600780800000001</v>
      </c>
      <c r="AX28" s="1773">
        <f t="shared" si="87"/>
        <v>1.1600780800000001</v>
      </c>
      <c r="AY28" s="1773">
        <f t="shared" si="88"/>
        <v>1.1600780800000001</v>
      </c>
      <c r="AZ28" s="1773">
        <f t="shared" si="89"/>
        <v>1.1600780800000001</v>
      </c>
      <c r="BA28" s="1773">
        <f t="shared" si="90"/>
        <v>1.1600780800000001</v>
      </c>
      <c r="BB28" s="1773">
        <f t="shared" si="91"/>
        <v>1.1600780800000001</v>
      </c>
      <c r="BC28" s="1773">
        <f t="shared" si="92"/>
        <v>11.600780800000001</v>
      </c>
      <c r="BD28" s="1773">
        <f t="shared" si="93"/>
        <v>11.600780800000001</v>
      </c>
      <c r="BE28" s="1773">
        <f t="shared" si="94"/>
        <v>11.600780800000001</v>
      </c>
      <c r="BF28" s="1947">
        <f t="shared" si="95"/>
        <v>11.600780800000001</v>
      </c>
    </row>
    <row r="29" spans="1:58">
      <c r="A29" s="184" t="s">
        <v>127</v>
      </c>
      <c r="B29" s="185" t="s">
        <v>128</v>
      </c>
      <c r="C29" s="388">
        <f t="shared" si="46"/>
        <v>2.2831147740332926E-2</v>
      </c>
      <c r="D29" s="1779">
        <f t="shared" si="47"/>
        <v>2.2831147740332926E-2</v>
      </c>
      <c r="E29" s="1785">
        <f t="shared" si="73"/>
        <v>31.82</v>
      </c>
      <c r="F29" s="271">
        <f t="shared" si="74"/>
        <v>3.6700000000000001E-3</v>
      </c>
      <c r="G29" s="271">
        <f t="shared" si="75"/>
        <v>28.061810000000001</v>
      </c>
      <c r="H29" s="272">
        <f t="shared" si="76"/>
        <v>2538.6255290269874</v>
      </c>
      <c r="I29" s="1162">
        <f t="shared" si="77"/>
        <v>0.81360210693226576</v>
      </c>
      <c r="J29" s="1163">
        <f t="shared" si="48"/>
        <v>0.81360210693226576</v>
      </c>
      <c r="K29" s="1164" t="str">
        <f t="shared" si="49"/>
        <v>GW VI</v>
      </c>
      <c r="L29" s="271">
        <f t="shared" si="78"/>
        <v>620</v>
      </c>
      <c r="M29" s="271">
        <f t="shared" si="79"/>
        <v>3200</v>
      </c>
      <c r="N29" s="271">
        <f t="shared" si="80"/>
        <v>130</v>
      </c>
      <c r="O29" s="271">
        <f t="shared" si="81"/>
        <v>50000</v>
      </c>
      <c r="P29" s="1773">
        <f t="shared" si="82"/>
        <v>0.81360210693226576</v>
      </c>
      <c r="Q29" s="1777">
        <f t="shared" si="83"/>
        <v>24000</v>
      </c>
      <c r="R29" s="1786">
        <f t="shared" si="57"/>
        <v>80</v>
      </c>
      <c r="S29" s="1786">
        <f t="shared" si="58"/>
        <v>0.22084401783876592</v>
      </c>
      <c r="T29" s="1786">
        <f t="shared" si="59"/>
        <v>3.9800305654275552</v>
      </c>
      <c r="U29" s="1786">
        <f t="shared" si="13"/>
        <v>80</v>
      </c>
      <c r="V29" s="1786">
        <f t="shared" si="14"/>
        <v>2400</v>
      </c>
      <c r="W29" s="1890">
        <f t="shared" si="61"/>
        <v>0.81360210693226576</v>
      </c>
      <c r="X29" s="1646" t="str">
        <f t="shared" si="15"/>
        <v>VI</v>
      </c>
      <c r="Y29" s="1642">
        <f t="shared" si="62"/>
        <v>0.81360210693226576</v>
      </c>
      <c r="Z29" s="1646" t="str">
        <f t="shared" si="16"/>
        <v>VI</v>
      </c>
      <c r="AA29" s="1642">
        <f t="shared" si="63"/>
        <v>0.81360210693226576</v>
      </c>
      <c r="AB29" s="1646" t="str">
        <f t="shared" si="17"/>
        <v>VI</v>
      </c>
      <c r="AC29" s="1641">
        <f t="shared" si="64"/>
        <v>0.81360210693226576</v>
      </c>
      <c r="AD29" s="1646" t="str">
        <f t="shared" si="18"/>
        <v>VI</v>
      </c>
      <c r="AE29" s="1642">
        <f t="shared" si="65"/>
        <v>0.22084401783876592</v>
      </c>
      <c r="AF29" s="1646" t="str">
        <f t="shared" si="20"/>
        <v>Tapwater Cancer</v>
      </c>
      <c r="AG29" s="1642">
        <f t="shared" si="66"/>
        <v>0.22084401783876592</v>
      </c>
      <c r="AH29" s="1646" t="str">
        <f t="shared" si="22"/>
        <v>Tapwater Cancer</v>
      </c>
      <c r="AI29" s="1642">
        <f t="shared" si="67"/>
        <v>0.22084401783876592</v>
      </c>
      <c r="AJ29" s="1646" t="str">
        <f t="shared" si="24"/>
        <v>Tapwater Cancer</v>
      </c>
      <c r="AK29" s="1641">
        <f t="shared" si="68"/>
        <v>0.22084401783876592</v>
      </c>
      <c r="AL29" s="1646" t="str">
        <f t="shared" si="26"/>
        <v>Tapwater Cancer</v>
      </c>
      <c r="AM29" s="1641">
        <f t="shared" si="69"/>
        <v>0.81360210693226576</v>
      </c>
      <c r="AN29" s="1646" t="str">
        <f t="shared" si="28"/>
        <v>VI</v>
      </c>
      <c r="AO29" s="1643">
        <f t="shared" si="70"/>
        <v>0.81360210693226576</v>
      </c>
      <c r="AP29" s="1646" t="str">
        <f t="shared" si="30"/>
        <v>VI</v>
      </c>
      <c r="AQ29" s="1643">
        <f t="shared" si="71"/>
        <v>0.81360210693226576</v>
      </c>
      <c r="AR29" s="1646" t="str">
        <f t="shared" si="32"/>
        <v>VI</v>
      </c>
      <c r="AS29" s="1644">
        <f t="shared" si="72"/>
        <v>0.81360210693226576</v>
      </c>
      <c r="AT29" s="1891" t="str">
        <f t="shared" si="34"/>
        <v>VI</v>
      </c>
      <c r="AU29" s="1773">
        <f t="shared" si="84"/>
        <v>2.2831147740332926E-2</v>
      </c>
      <c r="AV29" s="1773">
        <f t="shared" si="85"/>
        <v>2.2831147740332926E-2</v>
      </c>
      <c r="AW29" s="1773">
        <f t="shared" si="86"/>
        <v>2.2831147740332926E-2</v>
      </c>
      <c r="AX29" s="1773">
        <f t="shared" si="87"/>
        <v>2.2831147740332926E-2</v>
      </c>
      <c r="AY29" s="1773">
        <f t="shared" si="88"/>
        <v>6.1972828682280608E-3</v>
      </c>
      <c r="AZ29" s="1773">
        <f t="shared" si="89"/>
        <v>6.1972828682280608E-3</v>
      </c>
      <c r="BA29" s="1773">
        <f t="shared" si="90"/>
        <v>6.1972828682280608E-3</v>
      </c>
      <c r="BB29" s="1773">
        <f t="shared" si="91"/>
        <v>6.1972828682280608E-3</v>
      </c>
      <c r="BC29" s="1773">
        <f t="shared" si="92"/>
        <v>2.2831147740332926E-2</v>
      </c>
      <c r="BD29" s="1773">
        <f t="shared" si="93"/>
        <v>2.2831147740332926E-2</v>
      </c>
      <c r="BE29" s="1773">
        <f t="shared" si="94"/>
        <v>2.2831147740332926E-2</v>
      </c>
      <c r="BF29" s="1947">
        <f t="shared" si="95"/>
        <v>2.2831147740332926E-2</v>
      </c>
    </row>
    <row r="30" spans="1:58">
      <c r="A30" s="184" t="s">
        <v>129</v>
      </c>
      <c r="B30" s="185" t="s">
        <v>130</v>
      </c>
      <c r="C30" s="388">
        <f t="shared" ref="C30:C31" si="96">IF(G30="--","--",IF(I30="--", I30,IF(AND(G30*I30*0.001&lt;H30,E30&gt;30000),H30,G30*I30*0.001)))</f>
        <v>10.688500234285714</v>
      </c>
      <c r="D30" s="1779">
        <f t="shared" ref="D30:D31" si="97">IF(G30="--","--",IF(J30="--","--",IF(AND(G30*J30*0.001&lt;H30,E30&gt;30000),H30,G30*J30*0.001)))</f>
        <v>14.820902252303354</v>
      </c>
      <c r="E30" s="1785">
        <f t="shared" si="73"/>
        <v>13.22</v>
      </c>
      <c r="F30" s="271">
        <f t="shared" si="74"/>
        <v>8.8199999999999997E-3</v>
      </c>
      <c r="G30" s="271">
        <f t="shared" si="75"/>
        <v>56.940259999999995</v>
      </c>
      <c r="H30" s="272">
        <f t="shared" si="76"/>
        <v>1317.1383265030277</v>
      </c>
      <c r="I30" s="1162">
        <f t="shared" si="77"/>
        <v>187.71428571428572</v>
      </c>
      <c r="J30" s="1163">
        <f t="shared" si="48"/>
        <v>260.28862973761193</v>
      </c>
      <c r="K30" s="1164" t="str">
        <f t="shared" si="49"/>
        <v>GW VI</v>
      </c>
      <c r="L30" s="271">
        <f t="shared" si="78"/>
        <v>1100</v>
      </c>
      <c r="M30" s="271">
        <f t="shared" si="79"/>
        <v>3200</v>
      </c>
      <c r="N30" s="271" t="str">
        <f t="shared" si="80"/>
        <v>--</v>
      </c>
      <c r="O30" s="271">
        <f t="shared" si="81"/>
        <v>50000</v>
      </c>
      <c r="P30" s="1773">
        <f t="shared" si="82"/>
        <v>260.28862973761193</v>
      </c>
      <c r="Q30" s="1777" t="str">
        <f t="shared" si="83"/>
        <v>--</v>
      </c>
      <c r="R30" s="1786" t="str">
        <f t="shared" si="57"/>
        <v>--</v>
      </c>
      <c r="S30" s="1786" t="str">
        <f t="shared" si="58"/>
        <v>--</v>
      </c>
      <c r="T30" s="1786">
        <f t="shared" si="59"/>
        <v>187.71428571428572</v>
      </c>
      <c r="U30" s="1786">
        <f t="shared" si="13"/>
        <v>187.71428571428572</v>
      </c>
      <c r="V30" s="1786" t="str">
        <f t="shared" si="14"/>
        <v>--</v>
      </c>
      <c r="W30" s="1890">
        <f t="shared" si="61"/>
        <v>187.71428571428572</v>
      </c>
      <c r="X30" s="1646" t="str">
        <f t="shared" si="15"/>
        <v>Tapwater Noncancer</v>
      </c>
      <c r="Y30" s="1642">
        <f t="shared" si="62"/>
        <v>187.71428571428572</v>
      </c>
      <c r="Z30" s="1646" t="str">
        <f t="shared" si="16"/>
        <v>Tapwater Noncancer</v>
      </c>
      <c r="AA30" s="1642">
        <f t="shared" si="63"/>
        <v>187.71428571428572</v>
      </c>
      <c r="AB30" s="1646" t="str">
        <f t="shared" si="17"/>
        <v>Tapwater Noncancer</v>
      </c>
      <c r="AC30" s="1641">
        <f t="shared" si="64"/>
        <v>187.71428571428572</v>
      </c>
      <c r="AD30" s="1646" t="str">
        <f t="shared" si="18"/>
        <v>Tapwater Noncancer</v>
      </c>
      <c r="AE30" s="1642">
        <f t="shared" si="65"/>
        <v>187.71428571428572</v>
      </c>
      <c r="AF30" s="1646" t="str">
        <f t="shared" si="20"/>
        <v>Tapwater Noncancer</v>
      </c>
      <c r="AG30" s="1642">
        <f t="shared" si="66"/>
        <v>187.71428571428572</v>
      </c>
      <c r="AH30" s="1646" t="str">
        <f t="shared" si="22"/>
        <v>Tapwater Noncancer</v>
      </c>
      <c r="AI30" s="1642">
        <f t="shared" si="67"/>
        <v>187.71428571428572</v>
      </c>
      <c r="AJ30" s="1646" t="str">
        <f t="shared" si="24"/>
        <v>Tapwater Noncancer</v>
      </c>
      <c r="AK30" s="1641">
        <f t="shared" si="68"/>
        <v>187.71428571428572</v>
      </c>
      <c r="AL30" s="1646" t="str">
        <f t="shared" si="26"/>
        <v>Tapwater Noncancer</v>
      </c>
      <c r="AM30" s="1641">
        <f t="shared" si="69"/>
        <v>260.28862973761193</v>
      </c>
      <c r="AN30" s="1646" t="str">
        <f t="shared" si="28"/>
        <v>VI</v>
      </c>
      <c r="AO30" s="1643">
        <f t="shared" si="70"/>
        <v>260.28862973761193</v>
      </c>
      <c r="AP30" s="1646" t="str">
        <f t="shared" si="30"/>
        <v>VI</v>
      </c>
      <c r="AQ30" s="1643">
        <f t="shared" si="71"/>
        <v>260.28862973761193</v>
      </c>
      <c r="AR30" s="1646" t="str">
        <f t="shared" si="32"/>
        <v>VI</v>
      </c>
      <c r="AS30" s="1644">
        <f t="shared" si="72"/>
        <v>260.28862973761193</v>
      </c>
      <c r="AT30" s="1891" t="str">
        <f t="shared" si="34"/>
        <v>VI</v>
      </c>
      <c r="AU30" s="1773">
        <f t="shared" si="84"/>
        <v>10.688500234285714</v>
      </c>
      <c r="AV30" s="1773">
        <f t="shared" si="85"/>
        <v>10.688500234285714</v>
      </c>
      <c r="AW30" s="1773">
        <f t="shared" si="86"/>
        <v>10.688500234285714</v>
      </c>
      <c r="AX30" s="1773">
        <f t="shared" si="87"/>
        <v>10.688500234285714</v>
      </c>
      <c r="AY30" s="1773">
        <f t="shared" si="88"/>
        <v>10.688500234285714</v>
      </c>
      <c r="AZ30" s="1773">
        <f t="shared" si="89"/>
        <v>10.688500234285714</v>
      </c>
      <c r="BA30" s="1773">
        <f t="shared" si="90"/>
        <v>10.688500234285714</v>
      </c>
      <c r="BB30" s="1773">
        <f t="shared" si="91"/>
        <v>10.688500234285714</v>
      </c>
      <c r="BC30" s="1773">
        <f t="shared" si="92"/>
        <v>14.820902252303354</v>
      </c>
      <c r="BD30" s="1773">
        <f t="shared" si="93"/>
        <v>14.820902252303354</v>
      </c>
      <c r="BE30" s="1773">
        <f t="shared" si="94"/>
        <v>14.820902252303354</v>
      </c>
      <c r="BF30" s="1947">
        <f t="shared" si="95"/>
        <v>14.820902252303354</v>
      </c>
    </row>
    <row r="31" spans="1:58">
      <c r="A31" s="184" t="s">
        <v>131</v>
      </c>
      <c r="B31" s="185" t="s">
        <v>132</v>
      </c>
      <c r="C31" s="388">
        <f t="shared" si="96"/>
        <v>1.1605953312000001E-2</v>
      </c>
      <c r="D31" s="1779">
        <f t="shared" si="97"/>
        <v>6.4477518400000003E-2</v>
      </c>
      <c r="E31" s="1785">
        <f t="shared" si="73"/>
        <v>388</v>
      </c>
      <c r="F31" s="271">
        <f t="shared" si="74"/>
        <v>1.1199999999999999E-5</v>
      </c>
      <c r="G31" s="271">
        <f t="shared" si="75"/>
        <v>64.477518400000008</v>
      </c>
      <c r="H31" s="272">
        <f t="shared" si="76"/>
        <v>27437.379511151565</v>
      </c>
      <c r="I31" s="1162">
        <f t="shared" si="77"/>
        <v>0.18</v>
      </c>
      <c r="J31" s="1163">
        <f t="shared" si="48"/>
        <v>1</v>
      </c>
      <c r="K31" s="1164" t="str">
        <f t="shared" si="49"/>
        <v>SW EcoTox Goal</v>
      </c>
      <c r="L31" s="271">
        <f t="shared" si="78"/>
        <v>438</v>
      </c>
      <c r="M31" s="271">
        <f t="shared" si="79"/>
        <v>1</v>
      </c>
      <c r="N31" s="271">
        <f t="shared" si="80"/>
        <v>400</v>
      </c>
      <c r="O31" s="271">
        <f t="shared" si="81"/>
        <v>50000</v>
      </c>
      <c r="P31" s="1773" t="str">
        <f t="shared" si="82"/>
        <v>--</v>
      </c>
      <c r="Q31" s="1777">
        <f t="shared" si="83"/>
        <v>1.8</v>
      </c>
      <c r="R31" s="1786" t="str">
        <f t="shared" si="57"/>
        <v>--</v>
      </c>
      <c r="S31" s="1786" t="str">
        <f t="shared" si="58"/>
        <v>--</v>
      </c>
      <c r="T31" s="1786">
        <f t="shared" si="59"/>
        <v>91.293974613088139</v>
      </c>
      <c r="U31" s="1786">
        <f t="shared" si="13"/>
        <v>91.293974613088139</v>
      </c>
      <c r="V31" s="1786">
        <f t="shared" si="14"/>
        <v>0.18</v>
      </c>
      <c r="W31" s="1890">
        <f t="shared" si="61"/>
        <v>0.18</v>
      </c>
      <c r="X31" s="1646" t="str">
        <f t="shared" si="15"/>
        <v>DW Taste &amp; Odor</v>
      </c>
      <c r="Y31" s="1642">
        <f t="shared" si="62"/>
        <v>0.18</v>
      </c>
      <c r="Z31" s="1646" t="str">
        <f t="shared" si="16"/>
        <v>DW Taste &amp; Odor</v>
      </c>
      <c r="AA31" s="1642">
        <f t="shared" si="63"/>
        <v>0.18</v>
      </c>
      <c r="AB31" s="1646" t="str">
        <f t="shared" si="17"/>
        <v>DW Taste &amp; Odor</v>
      </c>
      <c r="AC31" s="1641">
        <f t="shared" si="64"/>
        <v>0.18</v>
      </c>
      <c r="AD31" s="1646" t="str">
        <f t="shared" si="18"/>
        <v>DW Taste &amp; Odor</v>
      </c>
      <c r="AE31" s="1642">
        <f t="shared" si="65"/>
        <v>0.18</v>
      </c>
      <c r="AF31" s="1646" t="str">
        <f t="shared" si="20"/>
        <v>DW Taste &amp; Odor</v>
      </c>
      <c r="AG31" s="1642">
        <f t="shared" si="66"/>
        <v>0.18</v>
      </c>
      <c r="AH31" s="1646" t="str">
        <f t="shared" si="22"/>
        <v>DW Taste &amp; Odor</v>
      </c>
      <c r="AI31" s="1642">
        <f t="shared" si="67"/>
        <v>0.18</v>
      </c>
      <c r="AJ31" s="1646" t="str">
        <f t="shared" si="24"/>
        <v>DW Taste &amp; Odor</v>
      </c>
      <c r="AK31" s="1641">
        <f t="shared" si="68"/>
        <v>0.18</v>
      </c>
      <c r="AL31" s="1646" t="str">
        <f t="shared" si="26"/>
        <v>DW Taste &amp; Odor</v>
      </c>
      <c r="AM31" s="1641">
        <f t="shared" si="69"/>
        <v>1</v>
      </c>
      <c r="AN31" s="1646" t="str">
        <f t="shared" si="28"/>
        <v>Saltwater EcoTox</v>
      </c>
      <c r="AO31" s="1643">
        <f t="shared" si="70"/>
        <v>1.8</v>
      </c>
      <c r="AP31" s="1646" t="str">
        <f t="shared" si="30"/>
        <v>Outdoor Odor</v>
      </c>
      <c r="AQ31" s="1643">
        <f t="shared" si="71"/>
        <v>1</v>
      </c>
      <c r="AR31" s="1646" t="str">
        <f t="shared" si="32"/>
        <v>Saltwater EcoTox</v>
      </c>
      <c r="AS31" s="1644">
        <f t="shared" si="72"/>
        <v>1.8</v>
      </c>
      <c r="AT31" s="1891" t="str">
        <f t="shared" si="34"/>
        <v>Outdoor Odor</v>
      </c>
      <c r="AU31" s="1773">
        <f t="shared" si="84"/>
        <v>1.1605953312000001E-2</v>
      </c>
      <c r="AV31" s="1773">
        <f t="shared" si="85"/>
        <v>1.1605953312000001E-2</v>
      </c>
      <c r="AW31" s="1773">
        <f t="shared" si="86"/>
        <v>1.1605953312000001E-2</v>
      </c>
      <c r="AX31" s="1773">
        <f t="shared" si="87"/>
        <v>1.1605953312000001E-2</v>
      </c>
      <c r="AY31" s="1773">
        <f t="shared" si="88"/>
        <v>1.1605953312000001E-2</v>
      </c>
      <c r="AZ31" s="1773">
        <f t="shared" si="89"/>
        <v>1.1605953312000001E-2</v>
      </c>
      <c r="BA31" s="1773">
        <f t="shared" si="90"/>
        <v>1.1605953312000001E-2</v>
      </c>
      <c r="BB31" s="1773">
        <f t="shared" si="91"/>
        <v>1.1605953312000001E-2</v>
      </c>
      <c r="BC31" s="1773">
        <f t="shared" si="92"/>
        <v>6.4477518400000003E-2</v>
      </c>
      <c r="BD31" s="1773">
        <f t="shared" si="93"/>
        <v>0.11605953312000002</v>
      </c>
      <c r="BE31" s="1773">
        <f t="shared" si="94"/>
        <v>6.4477518400000003E-2</v>
      </c>
      <c r="BF31" s="1947">
        <f t="shared" si="95"/>
        <v>0.11605953312000002</v>
      </c>
    </row>
    <row r="32" spans="1:58">
      <c r="A32" s="184" t="s">
        <v>133</v>
      </c>
      <c r="B32" s="185" t="s">
        <v>134</v>
      </c>
      <c r="C32" s="388" t="str">
        <f t="shared" si="46"/>
        <v>--</v>
      </c>
      <c r="D32" s="1779" t="str">
        <f t="shared" si="47"/>
        <v>--</v>
      </c>
      <c r="E32" s="1785" t="str">
        <f t="shared" si="73"/>
        <v>--</v>
      </c>
      <c r="F32" s="271" t="str">
        <f t="shared" si="74"/>
        <v>--</v>
      </c>
      <c r="G32" s="271" t="str">
        <f t="shared" si="75"/>
        <v>--</v>
      </c>
      <c r="H32" s="272" t="str">
        <f t="shared" si="76"/>
        <v>--</v>
      </c>
      <c r="I32" s="1162">
        <f t="shared" ref="I32:I63" si="98">VLOOKUP($A32,Table_GW_Summary, MATCH("GW-ESL", heading_GW_Summary, 0), FALSE)</f>
        <v>50</v>
      </c>
      <c r="J32" s="1163">
        <f t="shared" si="48"/>
        <v>180</v>
      </c>
      <c r="K32" s="1164" t="str">
        <f t="shared" si="49"/>
        <v>FW EcoTox Goal</v>
      </c>
      <c r="L32" s="271">
        <f t="shared" si="78"/>
        <v>180</v>
      </c>
      <c r="M32" s="271" t="str">
        <f t="shared" ref="M32:M63" si="99">VLOOKUP($A32,Table_GW_Summary, MATCH("SW-EcoT", heading_GW_Summary, 0), FALSE)</f>
        <v>--</v>
      </c>
      <c r="N32" s="271" t="str">
        <f t="shared" si="80"/>
        <v>--</v>
      </c>
      <c r="O32" s="271">
        <f t="shared" si="81"/>
        <v>50000</v>
      </c>
      <c r="P32" s="1773" t="str">
        <f t="shared" ref="P32:P63" si="100">IF(VLOOKUP($A32,Table_GW_Summary,MATCH("Res-VI-C-Min",heading_GW_Summary,0),FALSE)="--",VLOOKUP($A32,Table_GW_Summary,MATCH("Res-VI-NC-Min",heading_GW_Summary,0),FALSE),IF(VLOOKUP($A32,Table_GW_Summary,MATCH("Res-VI-NC-Min",heading_GW_Summary,0),FALSE)="--",VLOOKUP($A32,Table_GW_Summary,MATCH("Res-VI-C-Min",heading_GW_Summary,0),FALSE),MIN(VLOOKUP($A32,Table_GW_Summary,MATCH("Res-VI-C-Min",heading_GW_Summary,0),FALSE),VLOOKUP($A32,Table_GW_Summary,MATCH("Res-VI-NC-Min",heading_GW_Summary,0),FALSE))))</f>
        <v>--</v>
      </c>
      <c r="Q32" s="1777" t="str">
        <f t="shared" si="83"/>
        <v>--</v>
      </c>
      <c r="R32" s="1786">
        <f t="shared" si="57"/>
        <v>50</v>
      </c>
      <c r="S32" s="1786" t="str">
        <f t="shared" si="58"/>
        <v>--</v>
      </c>
      <c r="T32" s="1786" t="str">
        <f t="shared" si="59"/>
        <v>--</v>
      </c>
      <c r="U32" s="1786">
        <f t="shared" si="13"/>
        <v>50</v>
      </c>
      <c r="V32" s="1786" t="str">
        <f t="shared" si="14"/>
        <v>--</v>
      </c>
      <c r="W32" s="1890">
        <f t="shared" si="61"/>
        <v>50</v>
      </c>
      <c r="X32" s="1646" t="str">
        <f t="shared" si="15"/>
        <v>MCL</v>
      </c>
      <c r="Y32" s="1642">
        <f t="shared" si="62"/>
        <v>50</v>
      </c>
      <c r="Z32" s="1646" t="str">
        <f t="shared" si="16"/>
        <v>MCL</v>
      </c>
      <c r="AA32" s="1642">
        <f t="shared" si="63"/>
        <v>50</v>
      </c>
      <c r="AB32" s="1646" t="str">
        <f t="shared" si="17"/>
        <v>MCL</v>
      </c>
      <c r="AC32" s="1641">
        <f t="shared" si="64"/>
        <v>50</v>
      </c>
      <c r="AD32" s="1646" t="str">
        <f t="shared" si="18"/>
        <v>MCL</v>
      </c>
      <c r="AE32" s="1642">
        <f t="shared" si="65"/>
        <v>50000</v>
      </c>
      <c r="AF32" s="1646" t="str">
        <f t="shared" si="20"/>
        <v>Outdoor Odor</v>
      </c>
      <c r="AG32" s="1642">
        <f t="shared" si="66"/>
        <v>180</v>
      </c>
      <c r="AH32" s="1646" t="str">
        <f t="shared" si="22"/>
        <v>FW EcoTox</v>
      </c>
      <c r="AI32" s="1642">
        <f t="shared" si="67"/>
        <v>180</v>
      </c>
      <c r="AJ32" s="1646" t="str">
        <f t="shared" si="24"/>
        <v>FW EcoTox</v>
      </c>
      <c r="AK32" s="1641">
        <f t="shared" si="68"/>
        <v>50000</v>
      </c>
      <c r="AL32" s="1646" t="str">
        <f t="shared" si="26"/>
        <v>Outdoor Odor</v>
      </c>
      <c r="AM32" s="1641">
        <f t="shared" si="69"/>
        <v>50000</v>
      </c>
      <c r="AN32" s="1646" t="str">
        <f t="shared" si="28"/>
        <v>Outdoor Odor</v>
      </c>
      <c r="AO32" s="1643">
        <f t="shared" si="70"/>
        <v>180</v>
      </c>
      <c r="AP32" s="1646" t="str">
        <f t="shared" si="30"/>
        <v>FW EcoTox</v>
      </c>
      <c r="AQ32" s="1643">
        <f t="shared" si="71"/>
        <v>180</v>
      </c>
      <c r="AR32" s="1646" t="str">
        <f t="shared" si="32"/>
        <v>FW EcoTox</v>
      </c>
      <c r="AS32" s="1644">
        <f t="shared" si="72"/>
        <v>50000</v>
      </c>
      <c r="AT32" s="1891" t="str">
        <f t="shared" si="34"/>
        <v>Outdoor Odor</v>
      </c>
      <c r="AU32" s="1773" t="str">
        <f t="shared" si="84"/>
        <v>--</v>
      </c>
      <c r="AV32" s="1773" t="str">
        <f t="shared" si="85"/>
        <v>--</v>
      </c>
      <c r="AW32" s="1773" t="str">
        <f t="shared" si="86"/>
        <v>--</v>
      </c>
      <c r="AX32" s="1773" t="str">
        <f t="shared" si="87"/>
        <v>--</v>
      </c>
      <c r="AY32" s="1773" t="str">
        <f t="shared" si="88"/>
        <v>--</v>
      </c>
      <c r="AZ32" s="1773" t="str">
        <f t="shared" si="89"/>
        <v>--</v>
      </c>
      <c r="BA32" s="1773" t="str">
        <f t="shared" si="90"/>
        <v>--</v>
      </c>
      <c r="BB32" s="1773" t="str">
        <f t="shared" si="91"/>
        <v>--</v>
      </c>
      <c r="BC32" s="1773" t="str">
        <f t="shared" si="92"/>
        <v>--</v>
      </c>
      <c r="BD32" s="1773" t="str">
        <f t="shared" si="93"/>
        <v>--</v>
      </c>
      <c r="BE32" s="1773" t="str">
        <f t="shared" si="94"/>
        <v>--</v>
      </c>
      <c r="BF32" s="1947" t="str">
        <f t="shared" si="95"/>
        <v>--</v>
      </c>
    </row>
    <row r="33" spans="1:58">
      <c r="A33" s="184" t="s">
        <v>135</v>
      </c>
      <c r="B33" s="185" t="s">
        <v>136</v>
      </c>
      <c r="C33" s="388" t="str">
        <f t="shared" si="46"/>
        <v>--</v>
      </c>
      <c r="D33" s="1779" t="str">
        <f t="shared" si="47"/>
        <v>--</v>
      </c>
      <c r="E33" s="1785" t="str">
        <f t="shared" si="73"/>
        <v>--</v>
      </c>
      <c r="F33" s="271" t="str">
        <f t="shared" si="74"/>
        <v>--</v>
      </c>
      <c r="G33" s="271" t="str">
        <f t="shared" si="75"/>
        <v>--</v>
      </c>
      <c r="H33" s="272" t="str">
        <f t="shared" si="76"/>
        <v>--</v>
      </c>
      <c r="I33" s="1162">
        <f t="shared" si="98"/>
        <v>180</v>
      </c>
      <c r="J33" s="1163">
        <f t="shared" si="48"/>
        <v>180</v>
      </c>
      <c r="K33" s="1164" t="str">
        <f t="shared" si="49"/>
        <v>FW EcoTox Goal</v>
      </c>
      <c r="L33" s="271">
        <f t="shared" si="78"/>
        <v>180</v>
      </c>
      <c r="M33" s="271">
        <f t="shared" si="99"/>
        <v>1030</v>
      </c>
      <c r="N33" s="271">
        <f t="shared" si="80"/>
        <v>190000</v>
      </c>
      <c r="O33" s="271">
        <f t="shared" si="81"/>
        <v>50000</v>
      </c>
      <c r="P33" s="1773" t="str">
        <f t="shared" si="100"/>
        <v>--</v>
      </c>
      <c r="Q33" s="1777" t="str">
        <f t="shared" si="83"/>
        <v>--</v>
      </c>
      <c r="R33" s="1786" t="str">
        <f t="shared" si="57"/>
        <v>--</v>
      </c>
      <c r="S33" s="1786" t="str">
        <f t="shared" si="58"/>
        <v>--</v>
      </c>
      <c r="T33" s="1786">
        <f t="shared" si="59"/>
        <v>22466.926978936172</v>
      </c>
      <c r="U33" s="1786">
        <f t="shared" si="13"/>
        <v>22466.926978936172</v>
      </c>
      <c r="V33" s="1786" t="str">
        <f t="shared" si="14"/>
        <v>--</v>
      </c>
      <c r="W33" s="1890">
        <f t="shared" si="61"/>
        <v>1030</v>
      </c>
      <c r="X33" s="1646" t="str">
        <f t="shared" si="15"/>
        <v>Saltwater EcoTox</v>
      </c>
      <c r="Y33" s="1642">
        <f t="shared" si="62"/>
        <v>180</v>
      </c>
      <c r="Z33" s="1646" t="str">
        <f t="shared" si="16"/>
        <v>FW EcoTox</v>
      </c>
      <c r="AA33" s="1642">
        <f t="shared" si="63"/>
        <v>180</v>
      </c>
      <c r="AB33" s="1646" t="str">
        <f t="shared" si="17"/>
        <v>FW EcoTox</v>
      </c>
      <c r="AC33" s="1641">
        <f t="shared" si="64"/>
        <v>22466.926978936172</v>
      </c>
      <c r="AD33" s="1646" t="str">
        <f t="shared" si="18"/>
        <v>Tapwater Noncancer</v>
      </c>
      <c r="AE33" s="1642">
        <f t="shared" si="65"/>
        <v>1030</v>
      </c>
      <c r="AF33" s="1646" t="str">
        <f t="shared" si="20"/>
        <v>Saltwater EcoTox</v>
      </c>
      <c r="AG33" s="1642">
        <f t="shared" si="66"/>
        <v>180</v>
      </c>
      <c r="AH33" s="1646" t="str">
        <f t="shared" si="22"/>
        <v>FW EcoTox</v>
      </c>
      <c r="AI33" s="1642">
        <f t="shared" si="67"/>
        <v>180</v>
      </c>
      <c r="AJ33" s="1646" t="str">
        <f t="shared" si="24"/>
        <v>FW EcoTox</v>
      </c>
      <c r="AK33" s="1641">
        <f t="shared" si="68"/>
        <v>22466.926978936172</v>
      </c>
      <c r="AL33" s="1646" t="str">
        <f t="shared" si="26"/>
        <v>Tapwater Noncancer</v>
      </c>
      <c r="AM33" s="1641">
        <f t="shared" si="69"/>
        <v>1030</v>
      </c>
      <c r="AN33" s="1646" t="str">
        <f t="shared" si="28"/>
        <v>Saltwater EcoTox</v>
      </c>
      <c r="AO33" s="1643">
        <f t="shared" si="70"/>
        <v>180</v>
      </c>
      <c r="AP33" s="1646" t="str">
        <f t="shared" si="30"/>
        <v>FW EcoTox</v>
      </c>
      <c r="AQ33" s="1643">
        <f t="shared" si="71"/>
        <v>180</v>
      </c>
      <c r="AR33" s="1646" t="str">
        <f t="shared" si="32"/>
        <v>FW EcoTox</v>
      </c>
      <c r="AS33" s="1644">
        <f t="shared" si="72"/>
        <v>50000</v>
      </c>
      <c r="AT33" s="1891" t="str">
        <f t="shared" si="34"/>
        <v>Outdoor Odor</v>
      </c>
      <c r="AU33" s="1773" t="str">
        <f t="shared" si="84"/>
        <v>--</v>
      </c>
      <c r="AV33" s="1773" t="str">
        <f t="shared" si="85"/>
        <v>--</v>
      </c>
      <c r="AW33" s="1773" t="str">
        <f t="shared" si="86"/>
        <v>--</v>
      </c>
      <c r="AX33" s="1773" t="str">
        <f t="shared" si="87"/>
        <v>--</v>
      </c>
      <c r="AY33" s="1773" t="str">
        <f t="shared" si="88"/>
        <v>--</v>
      </c>
      <c r="AZ33" s="1773" t="str">
        <f t="shared" si="89"/>
        <v>--</v>
      </c>
      <c r="BA33" s="1773" t="str">
        <f t="shared" si="90"/>
        <v>--</v>
      </c>
      <c r="BB33" s="1773" t="str">
        <f t="shared" si="91"/>
        <v>--</v>
      </c>
      <c r="BC33" s="1773" t="str">
        <f t="shared" si="92"/>
        <v>--</v>
      </c>
      <c r="BD33" s="1773" t="str">
        <f t="shared" si="93"/>
        <v>--</v>
      </c>
      <c r="BE33" s="1773" t="str">
        <f t="shared" si="94"/>
        <v>--</v>
      </c>
      <c r="BF33" s="1947" t="str">
        <f t="shared" si="95"/>
        <v>--</v>
      </c>
    </row>
    <row r="34" spans="1:58">
      <c r="A34" s="184" t="s">
        <v>137</v>
      </c>
      <c r="B34" s="185" t="s">
        <v>138</v>
      </c>
      <c r="C34" s="388" t="str">
        <f t="shared" si="46"/>
        <v>--</v>
      </c>
      <c r="D34" s="1779" t="str">
        <f t="shared" si="47"/>
        <v>--</v>
      </c>
      <c r="E34" s="1785" t="str">
        <f t="shared" si="73"/>
        <v>--</v>
      </c>
      <c r="F34" s="271" t="str">
        <f t="shared" si="74"/>
        <v>--</v>
      </c>
      <c r="G34" s="271" t="str">
        <f t="shared" si="75"/>
        <v>--</v>
      </c>
      <c r="H34" s="272" t="str">
        <f t="shared" si="76"/>
        <v>--</v>
      </c>
      <c r="I34" s="1162">
        <f t="shared" si="98"/>
        <v>2</v>
      </c>
      <c r="J34" s="1163">
        <f t="shared" si="48"/>
        <v>2</v>
      </c>
      <c r="K34" s="1164" t="str">
        <f t="shared" si="49"/>
        <v>SW EcoTox Goal</v>
      </c>
      <c r="L34" s="271">
        <f t="shared" si="78"/>
        <v>11</v>
      </c>
      <c r="M34" s="271">
        <f t="shared" si="99"/>
        <v>2</v>
      </c>
      <c r="N34" s="271" t="str">
        <f t="shared" si="80"/>
        <v>--</v>
      </c>
      <c r="O34" s="271">
        <f t="shared" si="81"/>
        <v>50000</v>
      </c>
      <c r="P34" s="1773" t="str">
        <f t="shared" si="100"/>
        <v>--</v>
      </c>
      <c r="Q34" s="1777" t="str">
        <f t="shared" si="83"/>
        <v>--</v>
      </c>
      <c r="R34" s="1786">
        <f t="shared" si="57"/>
        <v>10</v>
      </c>
      <c r="S34" s="1786">
        <f t="shared" si="58"/>
        <v>0.02</v>
      </c>
      <c r="T34" s="1786">
        <f t="shared" si="59"/>
        <v>13.345022245766152</v>
      </c>
      <c r="U34" s="1786">
        <f t="shared" si="13"/>
        <v>10</v>
      </c>
      <c r="V34" s="1786" t="str">
        <f t="shared" si="14"/>
        <v>--</v>
      </c>
      <c r="W34" s="1890">
        <f t="shared" si="61"/>
        <v>2</v>
      </c>
      <c r="X34" s="1646" t="str">
        <f t="shared" si="15"/>
        <v>Saltwater EcoTox</v>
      </c>
      <c r="Y34" s="1642">
        <f t="shared" si="62"/>
        <v>10</v>
      </c>
      <c r="Z34" s="1646" t="str">
        <f t="shared" si="16"/>
        <v>MCL</v>
      </c>
      <c r="AA34" s="1642">
        <f t="shared" si="63"/>
        <v>2</v>
      </c>
      <c r="AB34" s="1646" t="str">
        <f t="shared" si="17"/>
        <v>Saltwater EcoTox</v>
      </c>
      <c r="AC34" s="1641">
        <f t="shared" si="64"/>
        <v>10</v>
      </c>
      <c r="AD34" s="1646" t="str">
        <f t="shared" si="18"/>
        <v>MCL</v>
      </c>
      <c r="AE34" s="1642">
        <f t="shared" si="65"/>
        <v>0.02</v>
      </c>
      <c r="AF34" s="1646" t="str">
        <f t="shared" si="20"/>
        <v>Tapwater Cancer</v>
      </c>
      <c r="AG34" s="1642">
        <f t="shared" si="66"/>
        <v>0.02</v>
      </c>
      <c r="AH34" s="1646" t="str">
        <f t="shared" si="22"/>
        <v>Tapwater Cancer</v>
      </c>
      <c r="AI34" s="1642">
        <f t="shared" si="67"/>
        <v>0.02</v>
      </c>
      <c r="AJ34" s="1646" t="str">
        <f t="shared" si="24"/>
        <v>Tapwater Cancer</v>
      </c>
      <c r="AK34" s="1641">
        <f t="shared" si="68"/>
        <v>0.02</v>
      </c>
      <c r="AL34" s="1646" t="str">
        <f t="shared" si="26"/>
        <v>Tapwater Cancer</v>
      </c>
      <c r="AM34" s="1641">
        <f t="shared" si="69"/>
        <v>2</v>
      </c>
      <c r="AN34" s="1646" t="str">
        <f t="shared" si="28"/>
        <v>Saltwater EcoTox</v>
      </c>
      <c r="AO34" s="1643">
        <f t="shared" si="70"/>
        <v>11</v>
      </c>
      <c r="AP34" s="1646" t="str">
        <f t="shared" si="30"/>
        <v>FW EcoTox</v>
      </c>
      <c r="AQ34" s="1643">
        <f t="shared" si="71"/>
        <v>2</v>
      </c>
      <c r="AR34" s="1646" t="str">
        <f t="shared" si="32"/>
        <v>Saltwater EcoTox</v>
      </c>
      <c r="AS34" s="1644">
        <f t="shared" si="72"/>
        <v>50000</v>
      </c>
      <c r="AT34" s="1891" t="str">
        <f t="shared" si="34"/>
        <v>Outdoor Odor</v>
      </c>
      <c r="AU34" s="1773" t="str">
        <f t="shared" si="84"/>
        <v>--</v>
      </c>
      <c r="AV34" s="1773" t="str">
        <f t="shared" si="85"/>
        <v>--</v>
      </c>
      <c r="AW34" s="1773" t="str">
        <f t="shared" si="86"/>
        <v>--</v>
      </c>
      <c r="AX34" s="1773" t="str">
        <f t="shared" si="87"/>
        <v>--</v>
      </c>
      <c r="AY34" s="1773" t="str">
        <f t="shared" si="88"/>
        <v>--</v>
      </c>
      <c r="AZ34" s="1773" t="str">
        <f t="shared" si="89"/>
        <v>--</v>
      </c>
      <c r="BA34" s="1773" t="str">
        <f t="shared" si="90"/>
        <v>--</v>
      </c>
      <c r="BB34" s="1773" t="str">
        <f t="shared" si="91"/>
        <v>--</v>
      </c>
      <c r="BC34" s="1773" t="str">
        <f t="shared" si="92"/>
        <v>--</v>
      </c>
      <c r="BD34" s="1773" t="str">
        <f t="shared" si="93"/>
        <v>--</v>
      </c>
      <c r="BE34" s="1773" t="str">
        <f t="shared" si="94"/>
        <v>--</v>
      </c>
      <c r="BF34" s="1947" t="str">
        <f t="shared" si="95"/>
        <v>--</v>
      </c>
    </row>
    <row r="35" spans="1:58">
      <c r="A35" s="184" t="s">
        <v>139</v>
      </c>
      <c r="B35" s="185" t="s">
        <v>140</v>
      </c>
      <c r="C35" s="388" t="str">
        <f t="shared" si="46"/>
        <v>--</v>
      </c>
      <c r="D35" s="1779" t="str">
        <f t="shared" si="47"/>
        <v>--</v>
      </c>
      <c r="E35" s="1785" t="str">
        <f t="shared" si="73"/>
        <v>--</v>
      </c>
      <c r="F35" s="271" t="str">
        <f t="shared" si="74"/>
        <v>--</v>
      </c>
      <c r="G35" s="271" t="str">
        <f t="shared" si="75"/>
        <v>--</v>
      </c>
      <c r="H35" s="272" t="str">
        <f t="shared" si="76"/>
        <v>--</v>
      </c>
      <c r="I35" s="1162">
        <f t="shared" si="98"/>
        <v>3</v>
      </c>
      <c r="J35" s="1163">
        <f t="shared" si="48"/>
        <v>3</v>
      </c>
      <c r="K35" s="1164" t="str">
        <f t="shared" si="49"/>
        <v>FW EcoTox Goal</v>
      </c>
      <c r="L35" s="271">
        <f t="shared" si="78"/>
        <v>3</v>
      </c>
      <c r="M35" s="271" t="str">
        <f t="shared" si="99"/>
        <v>--</v>
      </c>
      <c r="N35" s="271" t="str">
        <f t="shared" si="80"/>
        <v>--</v>
      </c>
      <c r="O35" s="271">
        <f t="shared" si="81"/>
        <v>50000</v>
      </c>
      <c r="P35" s="1773" t="str">
        <f t="shared" si="100"/>
        <v>--</v>
      </c>
      <c r="Q35" s="1777" t="str">
        <f t="shared" si="83"/>
        <v>--</v>
      </c>
      <c r="R35" s="1786" t="str">
        <f t="shared" si="57"/>
        <v>--</v>
      </c>
      <c r="S35" s="1786" t="str">
        <f t="shared" si="58"/>
        <v>--</v>
      </c>
      <c r="T35" s="1786">
        <f t="shared" si="59"/>
        <v>6.0058974292762528</v>
      </c>
      <c r="U35" s="1786">
        <f t="shared" si="13"/>
        <v>6.0058974292762528</v>
      </c>
      <c r="V35" s="1786" t="str">
        <f t="shared" si="14"/>
        <v>--</v>
      </c>
      <c r="W35" s="1890">
        <f t="shared" si="61"/>
        <v>6.0058974292762528</v>
      </c>
      <c r="X35" s="1646" t="str">
        <f t="shared" si="15"/>
        <v>Tapwater Noncancer</v>
      </c>
      <c r="Y35" s="1642">
        <f t="shared" si="62"/>
        <v>3</v>
      </c>
      <c r="Z35" s="1646" t="str">
        <f t="shared" si="16"/>
        <v>FW EcoTox</v>
      </c>
      <c r="AA35" s="1642">
        <f t="shared" si="63"/>
        <v>3</v>
      </c>
      <c r="AB35" s="1646" t="str">
        <f t="shared" si="17"/>
        <v>FW EcoTox</v>
      </c>
      <c r="AC35" s="1641">
        <f t="shared" si="64"/>
        <v>6.0058974292762528</v>
      </c>
      <c r="AD35" s="1646" t="str">
        <f t="shared" si="18"/>
        <v>Tapwater Noncancer</v>
      </c>
      <c r="AE35" s="1642">
        <f t="shared" si="65"/>
        <v>6.0058974292762528</v>
      </c>
      <c r="AF35" s="1646" t="str">
        <f t="shared" si="20"/>
        <v>Tapwater Noncancer</v>
      </c>
      <c r="AG35" s="1642">
        <f t="shared" si="66"/>
        <v>3</v>
      </c>
      <c r="AH35" s="1646" t="str">
        <f t="shared" si="22"/>
        <v>FW EcoTox</v>
      </c>
      <c r="AI35" s="1642">
        <f t="shared" si="67"/>
        <v>3</v>
      </c>
      <c r="AJ35" s="1646" t="str">
        <f t="shared" si="24"/>
        <v>FW EcoTox</v>
      </c>
      <c r="AK35" s="1641">
        <f t="shared" si="68"/>
        <v>6.0058974292762528</v>
      </c>
      <c r="AL35" s="1646" t="str">
        <f t="shared" si="26"/>
        <v>Tapwater Noncancer</v>
      </c>
      <c r="AM35" s="1641">
        <f t="shared" si="69"/>
        <v>50000</v>
      </c>
      <c r="AN35" s="1646" t="str">
        <f t="shared" si="28"/>
        <v>Outdoor Odor</v>
      </c>
      <c r="AO35" s="1643">
        <f t="shared" si="70"/>
        <v>3</v>
      </c>
      <c r="AP35" s="1646" t="str">
        <f t="shared" si="30"/>
        <v>FW EcoTox</v>
      </c>
      <c r="AQ35" s="1643">
        <f t="shared" si="71"/>
        <v>3</v>
      </c>
      <c r="AR35" s="1646" t="str">
        <f t="shared" si="32"/>
        <v>FW EcoTox</v>
      </c>
      <c r="AS35" s="1644">
        <f t="shared" si="72"/>
        <v>50000</v>
      </c>
      <c r="AT35" s="1891" t="str">
        <f t="shared" si="34"/>
        <v>Outdoor Odor</v>
      </c>
      <c r="AU35" s="1773" t="str">
        <f t="shared" si="84"/>
        <v>--</v>
      </c>
      <c r="AV35" s="1773" t="str">
        <f t="shared" si="85"/>
        <v>--</v>
      </c>
      <c r="AW35" s="1773" t="str">
        <f t="shared" si="86"/>
        <v>--</v>
      </c>
      <c r="AX35" s="1773" t="str">
        <f t="shared" si="87"/>
        <v>--</v>
      </c>
      <c r="AY35" s="1773" t="str">
        <f t="shared" si="88"/>
        <v>--</v>
      </c>
      <c r="AZ35" s="1773" t="str">
        <f t="shared" si="89"/>
        <v>--</v>
      </c>
      <c r="BA35" s="1773" t="str">
        <f t="shared" si="90"/>
        <v>--</v>
      </c>
      <c r="BB35" s="1773" t="str">
        <f t="shared" si="91"/>
        <v>--</v>
      </c>
      <c r="BC35" s="1773" t="str">
        <f t="shared" si="92"/>
        <v>--</v>
      </c>
      <c r="BD35" s="1773" t="str">
        <f t="shared" si="93"/>
        <v>--</v>
      </c>
      <c r="BE35" s="1773" t="str">
        <f t="shared" si="94"/>
        <v>--</v>
      </c>
      <c r="BF35" s="1947" t="str">
        <f t="shared" si="95"/>
        <v>--</v>
      </c>
    </row>
    <row r="36" spans="1:58">
      <c r="A36" s="184" t="s">
        <v>141</v>
      </c>
      <c r="B36" s="185" t="s">
        <v>142</v>
      </c>
      <c r="C36" s="388" t="str">
        <f t="shared" si="46"/>
        <v>--</v>
      </c>
      <c r="D36" s="1779" t="str">
        <f t="shared" si="47"/>
        <v>--</v>
      </c>
      <c r="E36" s="1785" t="str">
        <f t="shared" si="73"/>
        <v>--</v>
      </c>
      <c r="F36" s="271" t="str">
        <f t="shared" si="74"/>
        <v>--</v>
      </c>
      <c r="G36" s="271" t="str">
        <f t="shared" si="75"/>
        <v>--</v>
      </c>
      <c r="H36" s="272" t="str">
        <f t="shared" si="76"/>
        <v>--</v>
      </c>
      <c r="I36" s="1162">
        <f t="shared" si="98"/>
        <v>3</v>
      </c>
      <c r="J36" s="1163">
        <f t="shared" si="48"/>
        <v>3</v>
      </c>
      <c r="K36" s="1164" t="str">
        <f t="shared" si="49"/>
        <v>SW EcoTox Goal</v>
      </c>
      <c r="L36" s="271">
        <f t="shared" si="78"/>
        <v>9</v>
      </c>
      <c r="M36" s="271">
        <f t="shared" si="99"/>
        <v>3</v>
      </c>
      <c r="N36" s="271" t="str">
        <f t="shared" si="80"/>
        <v>--</v>
      </c>
      <c r="O36" s="271">
        <f t="shared" si="81"/>
        <v>50000</v>
      </c>
      <c r="P36" s="1773" t="str">
        <f t="shared" si="100"/>
        <v>--</v>
      </c>
      <c r="Q36" s="1777" t="str">
        <f t="shared" si="83"/>
        <v>--</v>
      </c>
      <c r="R36" s="1786">
        <f t="shared" si="57"/>
        <v>1000</v>
      </c>
      <c r="S36" s="1786" t="str">
        <f t="shared" si="58"/>
        <v>--</v>
      </c>
      <c r="T36" s="1786">
        <f t="shared" si="59"/>
        <v>300</v>
      </c>
      <c r="U36" s="1786">
        <f t="shared" si="13"/>
        <v>1000</v>
      </c>
      <c r="V36" s="1786">
        <f t="shared" si="14"/>
        <v>1000</v>
      </c>
      <c r="W36" s="1890">
        <f t="shared" si="61"/>
        <v>3</v>
      </c>
      <c r="X36" s="1646" t="str">
        <f t="shared" si="15"/>
        <v>Saltwater EcoTox</v>
      </c>
      <c r="Y36" s="1642">
        <f t="shared" si="62"/>
        <v>9</v>
      </c>
      <c r="Z36" s="1646" t="str">
        <f t="shared" si="16"/>
        <v>FW EcoTox</v>
      </c>
      <c r="AA36" s="1642">
        <f t="shared" si="63"/>
        <v>3</v>
      </c>
      <c r="AB36" s="1646" t="str">
        <f t="shared" si="17"/>
        <v>Saltwater EcoTox</v>
      </c>
      <c r="AC36" s="1641">
        <f t="shared" si="64"/>
        <v>1000</v>
      </c>
      <c r="AD36" s="1646" t="str">
        <f t="shared" si="18"/>
        <v>MCL</v>
      </c>
      <c r="AE36" s="1642">
        <f t="shared" si="65"/>
        <v>3</v>
      </c>
      <c r="AF36" s="1646" t="str">
        <f t="shared" si="20"/>
        <v>Saltwater EcoTox</v>
      </c>
      <c r="AG36" s="1642">
        <f t="shared" si="66"/>
        <v>9</v>
      </c>
      <c r="AH36" s="1646" t="str">
        <f t="shared" si="22"/>
        <v>FW EcoTox</v>
      </c>
      <c r="AI36" s="1642">
        <f t="shared" si="67"/>
        <v>3</v>
      </c>
      <c r="AJ36" s="1646" t="str">
        <f t="shared" si="24"/>
        <v>Saltwater EcoTox</v>
      </c>
      <c r="AK36" s="1641">
        <f t="shared" si="68"/>
        <v>300</v>
      </c>
      <c r="AL36" s="1646" t="str">
        <f t="shared" si="26"/>
        <v>Tapwater Noncancer</v>
      </c>
      <c r="AM36" s="1641">
        <f t="shared" si="69"/>
        <v>3</v>
      </c>
      <c r="AN36" s="1646" t="str">
        <f t="shared" si="28"/>
        <v>Saltwater EcoTox</v>
      </c>
      <c r="AO36" s="1643">
        <f t="shared" si="70"/>
        <v>9</v>
      </c>
      <c r="AP36" s="1646" t="str">
        <f t="shared" si="30"/>
        <v>FW EcoTox</v>
      </c>
      <c r="AQ36" s="1643">
        <f t="shared" si="71"/>
        <v>3</v>
      </c>
      <c r="AR36" s="1646" t="str">
        <f t="shared" si="32"/>
        <v>Saltwater EcoTox</v>
      </c>
      <c r="AS36" s="1644">
        <f t="shared" si="72"/>
        <v>50000</v>
      </c>
      <c r="AT36" s="1891" t="str">
        <f t="shared" si="34"/>
        <v>Outdoor Odor</v>
      </c>
      <c r="AU36" s="1773" t="str">
        <f t="shared" si="84"/>
        <v>--</v>
      </c>
      <c r="AV36" s="1773" t="str">
        <f t="shared" si="85"/>
        <v>--</v>
      </c>
      <c r="AW36" s="1773" t="str">
        <f t="shared" si="86"/>
        <v>--</v>
      </c>
      <c r="AX36" s="1773" t="str">
        <f t="shared" si="87"/>
        <v>--</v>
      </c>
      <c r="AY36" s="1773" t="str">
        <f t="shared" si="88"/>
        <v>--</v>
      </c>
      <c r="AZ36" s="1773" t="str">
        <f t="shared" si="89"/>
        <v>--</v>
      </c>
      <c r="BA36" s="1773" t="str">
        <f t="shared" si="90"/>
        <v>--</v>
      </c>
      <c r="BB36" s="1773" t="str">
        <f t="shared" si="91"/>
        <v>--</v>
      </c>
      <c r="BC36" s="1773" t="str">
        <f t="shared" si="92"/>
        <v>--</v>
      </c>
      <c r="BD36" s="1773" t="str">
        <f t="shared" si="93"/>
        <v>--</v>
      </c>
      <c r="BE36" s="1773" t="str">
        <f t="shared" si="94"/>
        <v>--</v>
      </c>
      <c r="BF36" s="1947" t="str">
        <f t="shared" si="95"/>
        <v>--</v>
      </c>
    </row>
    <row r="37" spans="1:58">
      <c r="A37" s="184" t="s">
        <v>143</v>
      </c>
      <c r="B37" s="185" t="s">
        <v>144</v>
      </c>
      <c r="C37" s="388" t="str">
        <f t="shared" si="46"/>
        <v>--</v>
      </c>
      <c r="D37" s="1779" t="str">
        <f t="shared" si="47"/>
        <v>--</v>
      </c>
      <c r="E37" s="1785" t="str">
        <f t="shared" si="73"/>
        <v>--</v>
      </c>
      <c r="F37" s="271">
        <f t="shared" si="74"/>
        <v>1.01E-4</v>
      </c>
      <c r="G37" s="271" t="str">
        <f t="shared" si="75"/>
        <v>--</v>
      </c>
      <c r="H37" s="272">
        <f t="shared" si="76"/>
        <v>954074.94900000002</v>
      </c>
      <c r="I37" s="1162">
        <f t="shared" si="98"/>
        <v>1</v>
      </c>
      <c r="J37" s="1163">
        <f t="shared" si="48"/>
        <v>1</v>
      </c>
      <c r="K37" s="1164" t="str">
        <f t="shared" si="49"/>
        <v>SW EcoTox Goal</v>
      </c>
      <c r="L37" s="271">
        <f t="shared" si="78"/>
        <v>5.2</v>
      </c>
      <c r="M37" s="271">
        <f t="shared" si="99"/>
        <v>1</v>
      </c>
      <c r="N37" s="271">
        <f t="shared" si="80"/>
        <v>400</v>
      </c>
      <c r="O37" s="271">
        <f t="shared" si="81"/>
        <v>50000</v>
      </c>
      <c r="P37" s="1773">
        <f t="shared" si="100"/>
        <v>201.03270223752151</v>
      </c>
      <c r="Q37" s="1777">
        <f t="shared" si="83"/>
        <v>1700</v>
      </c>
      <c r="R37" s="1786">
        <f t="shared" si="57"/>
        <v>150</v>
      </c>
      <c r="S37" s="1786" t="str">
        <f t="shared" si="58"/>
        <v>--</v>
      </c>
      <c r="T37" s="1786">
        <f t="shared" si="59"/>
        <v>1.4645870965503094</v>
      </c>
      <c r="U37" s="1786">
        <f t="shared" si="13"/>
        <v>150</v>
      </c>
      <c r="V37" s="1786">
        <f t="shared" si="14"/>
        <v>170</v>
      </c>
      <c r="W37" s="1890">
        <f t="shared" si="61"/>
        <v>1</v>
      </c>
      <c r="X37" s="1646" t="str">
        <f t="shared" si="15"/>
        <v>Saltwater EcoTox</v>
      </c>
      <c r="Y37" s="1642">
        <f t="shared" si="62"/>
        <v>5.2</v>
      </c>
      <c r="Z37" s="1646" t="str">
        <f t="shared" si="16"/>
        <v>FW EcoTox</v>
      </c>
      <c r="AA37" s="1642">
        <f t="shared" si="63"/>
        <v>1</v>
      </c>
      <c r="AB37" s="1646" t="str">
        <f t="shared" si="17"/>
        <v>Saltwater EcoTox</v>
      </c>
      <c r="AC37" s="1641">
        <f t="shared" si="64"/>
        <v>150</v>
      </c>
      <c r="AD37" s="1646" t="str">
        <f t="shared" si="18"/>
        <v>MCL</v>
      </c>
      <c r="AE37" s="1642">
        <f t="shared" si="65"/>
        <v>1</v>
      </c>
      <c r="AF37" s="1646" t="str">
        <f t="shared" si="20"/>
        <v>Saltwater EcoTox</v>
      </c>
      <c r="AG37" s="1642">
        <f t="shared" si="66"/>
        <v>1.4645870965503094</v>
      </c>
      <c r="AH37" s="1646" t="str">
        <f t="shared" si="22"/>
        <v>Tapwater Noncancer</v>
      </c>
      <c r="AI37" s="1642">
        <f t="shared" si="67"/>
        <v>1</v>
      </c>
      <c r="AJ37" s="1646" t="str">
        <f t="shared" si="24"/>
        <v>Saltwater EcoTox</v>
      </c>
      <c r="AK37" s="1641">
        <f t="shared" si="68"/>
        <v>1.4645870965503094</v>
      </c>
      <c r="AL37" s="1646" t="str">
        <f t="shared" si="26"/>
        <v>Tapwater Noncancer</v>
      </c>
      <c r="AM37" s="1641">
        <f t="shared" si="69"/>
        <v>1</v>
      </c>
      <c r="AN37" s="1646" t="str">
        <f t="shared" si="28"/>
        <v>Saltwater EcoTox</v>
      </c>
      <c r="AO37" s="1643">
        <f t="shared" si="70"/>
        <v>5.2</v>
      </c>
      <c r="AP37" s="1646" t="str">
        <f t="shared" si="30"/>
        <v>FW EcoTox</v>
      </c>
      <c r="AQ37" s="1643">
        <f t="shared" si="71"/>
        <v>1</v>
      </c>
      <c r="AR37" s="1646" t="str">
        <f t="shared" si="32"/>
        <v>Saltwater EcoTox</v>
      </c>
      <c r="AS37" s="1644">
        <f t="shared" si="72"/>
        <v>201.03270223752151</v>
      </c>
      <c r="AT37" s="1891" t="str">
        <f t="shared" si="34"/>
        <v>VI</v>
      </c>
      <c r="AU37" s="1773" t="str">
        <f t="shared" si="84"/>
        <v>--</v>
      </c>
      <c r="AV37" s="1773" t="str">
        <f t="shared" si="85"/>
        <v>--</v>
      </c>
      <c r="AW37" s="1773" t="str">
        <f t="shared" si="86"/>
        <v>--</v>
      </c>
      <c r="AX37" s="1773" t="str">
        <f t="shared" si="87"/>
        <v>--</v>
      </c>
      <c r="AY37" s="1773" t="str">
        <f t="shared" si="88"/>
        <v>--</v>
      </c>
      <c r="AZ37" s="1773" t="str">
        <f t="shared" si="89"/>
        <v>--</v>
      </c>
      <c r="BA37" s="1773" t="str">
        <f t="shared" si="90"/>
        <v>--</v>
      </c>
      <c r="BB37" s="1773" t="str">
        <f t="shared" si="91"/>
        <v>--</v>
      </c>
      <c r="BC37" s="1773" t="str">
        <f t="shared" si="92"/>
        <v>--</v>
      </c>
      <c r="BD37" s="1773" t="str">
        <f t="shared" si="93"/>
        <v>--</v>
      </c>
      <c r="BE37" s="1773" t="str">
        <f t="shared" si="94"/>
        <v>--</v>
      </c>
      <c r="BF37" s="1947" t="str">
        <f t="shared" si="95"/>
        <v>--</v>
      </c>
    </row>
    <row r="38" spans="1:58">
      <c r="A38" s="184" t="s">
        <v>145</v>
      </c>
      <c r="B38" s="185" t="s">
        <v>146</v>
      </c>
      <c r="C38" s="388">
        <f>IF(G38="--","--",IF(I38="--", I38,IF(AND(G38*I38*0.001&lt;H38,E38&gt;30000),H38,G38*I38*0.001)))</f>
        <v>0.212986221</v>
      </c>
      <c r="D38" s="1779">
        <f t="shared" si="47"/>
        <v>0.212986221</v>
      </c>
      <c r="E38" s="1785">
        <f t="shared" si="73"/>
        <v>31.82</v>
      </c>
      <c r="F38" s="271">
        <f t="shared" si="74"/>
        <v>7.8299999999999995E-4</v>
      </c>
      <c r="G38" s="271">
        <f t="shared" si="75"/>
        <v>10.142201</v>
      </c>
      <c r="H38" s="272">
        <f t="shared" si="76"/>
        <v>801.84607747728091</v>
      </c>
      <c r="I38" s="1162">
        <f t="shared" si="98"/>
        <v>21</v>
      </c>
      <c r="J38" s="1163">
        <f t="shared" si="48"/>
        <v>21</v>
      </c>
      <c r="K38" s="1164" t="str">
        <f t="shared" si="49"/>
        <v>Seafood Consumption</v>
      </c>
      <c r="L38" s="271">
        <f t="shared" si="78"/>
        <v>1100</v>
      </c>
      <c r="M38" s="271">
        <f t="shared" si="99"/>
        <v>3200</v>
      </c>
      <c r="N38" s="271">
        <f t="shared" si="80"/>
        <v>21</v>
      </c>
      <c r="O38" s="271">
        <f t="shared" si="81"/>
        <v>50000</v>
      </c>
      <c r="P38" s="1773" t="str">
        <f t="shared" si="100"/>
        <v>--</v>
      </c>
      <c r="Q38" s="1777" t="str">
        <f t="shared" si="83"/>
        <v>--</v>
      </c>
      <c r="R38" s="1786">
        <f t="shared" si="57"/>
        <v>80</v>
      </c>
      <c r="S38" s="1786">
        <f t="shared" si="58"/>
        <v>0.1</v>
      </c>
      <c r="T38" s="1786">
        <f t="shared" si="59"/>
        <v>378.5776477689576</v>
      </c>
      <c r="U38" s="1786">
        <f t="shared" si="13"/>
        <v>80</v>
      </c>
      <c r="V38" s="1786" t="str">
        <f t="shared" si="14"/>
        <v>--</v>
      </c>
      <c r="W38" s="1890">
        <f t="shared" si="61"/>
        <v>21</v>
      </c>
      <c r="X38" s="1646" t="str">
        <f t="shared" si="15"/>
        <v>Seafood Ingestion</v>
      </c>
      <c r="Y38" s="1642">
        <f t="shared" si="62"/>
        <v>21</v>
      </c>
      <c r="Z38" s="1646" t="str">
        <f t="shared" si="16"/>
        <v>Seafood Ingestion</v>
      </c>
      <c r="AA38" s="1642">
        <f t="shared" si="63"/>
        <v>21</v>
      </c>
      <c r="AB38" s="1646" t="str">
        <f t="shared" si="17"/>
        <v>Seafood Ingestion</v>
      </c>
      <c r="AC38" s="1641">
        <f t="shared" si="64"/>
        <v>80</v>
      </c>
      <c r="AD38" s="1646" t="str">
        <f t="shared" si="18"/>
        <v>MCL</v>
      </c>
      <c r="AE38" s="1642">
        <f t="shared" si="65"/>
        <v>0.1</v>
      </c>
      <c r="AF38" s="1646" t="str">
        <f t="shared" si="20"/>
        <v>Tapwater Cancer</v>
      </c>
      <c r="AG38" s="1642">
        <f t="shared" si="66"/>
        <v>0.1</v>
      </c>
      <c r="AH38" s="1646" t="str">
        <f t="shared" si="22"/>
        <v>Tapwater Cancer</v>
      </c>
      <c r="AI38" s="1642">
        <f t="shared" si="67"/>
        <v>0.1</v>
      </c>
      <c r="AJ38" s="1646" t="str">
        <f t="shared" si="24"/>
        <v>Tapwater Cancer</v>
      </c>
      <c r="AK38" s="1641">
        <f t="shared" si="68"/>
        <v>0.1</v>
      </c>
      <c r="AL38" s="1646" t="str">
        <f t="shared" si="26"/>
        <v>Tapwater Cancer</v>
      </c>
      <c r="AM38" s="1641">
        <f t="shared" si="69"/>
        <v>21</v>
      </c>
      <c r="AN38" s="1646" t="str">
        <f t="shared" si="28"/>
        <v>Seafood Ingestion</v>
      </c>
      <c r="AO38" s="1643">
        <f t="shared" si="70"/>
        <v>21</v>
      </c>
      <c r="AP38" s="1646" t="str">
        <f t="shared" si="30"/>
        <v>Seafood Ingestion</v>
      </c>
      <c r="AQ38" s="1643">
        <f t="shared" si="71"/>
        <v>21</v>
      </c>
      <c r="AR38" s="1646" t="str">
        <f t="shared" si="32"/>
        <v>Seafood Ingestion</v>
      </c>
      <c r="AS38" s="1644">
        <f t="shared" si="72"/>
        <v>50000</v>
      </c>
      <c r="AT38" s="1891" t="str">
        <f t="shared" si="34"/>
        <v>Outdoor Odor</v>
      </c>
      <c r="AU38" s="1773">
        <f t="shared" si="84"/>
        <v>0.212986221</v>
      </c>
      <c r="AV38" s="1773">
        <f t="shared" si="85"/>
        <v>0.212986221</v>
      </c>
      <c r="AW38" s="1773">
        <f t="shared" si="86"/>
        <v>0.212986221</v>
      </c>
      <c r="AX38" s="1773">
        <f t="shared" si="87"/>
        <v>0.81137608000000006</v>
      </c>
      <c r="AY38" s="1773">
        <f t="shared" si="88"/>
        <v>1.0142201E-3</v>
      </c>
      <c r="AZ38" s="1773">
        <f t="shared" si="89"/>
        <v>1.0142201E-3</v>
      </c>
      <c r="BA38" s="1773">
        <f t="shared" si="90"/>
        <v>1.0142201E-3</v>
      </c>
      <c r="BB38" s="1773">
        <f t="shared" si="91"/>
        <v>1.0142201E-3</v>
      </c>
      <c r="BC38" s="1773">
        <f t="shared" si="92"/>
        <v>0.212986221</v>
      </c>
      <c r="BD38" s="1773">
        <f t="shared" si="93"/>
        <v>0.212986221</v>
      </c>
      <c r="BE38" s="1773">
        <f t="shared" si="94"/>
        <v>0.212986221</v>
      </c>
      <c r="BF38" s="1947">
        <f t="shared" si="95"/>
        <v>507.11005</v>
      </c>
    </row>
    <row r="39" spans="1:58">
      <c r="A39" s="184" t="s">
        <v>147</v>
      </c>
      <c r="B39" s="185" t="s">
        <v>148</v>
      </c>
      <c r="C39" s="388">
        <f t="shared" si="46"/>
        <v>5.6615429260844022E-4</v>
      </c>
      <c r="D39" s="1779">
        <f t="shared" si="47"/>
        <v>5.6615429260844022E-4</v>
      </c>
      <c r="E39" s="1785">
        <f t="shared" si="73"/>
        <v>115.8</v>
      </c>
      <c r="F39" s="271">
        <f t="shared" si="74"/>
        <v>1.47E-4</v>
      </c>
      <c r="G39" s="271">
        <f t="shared" ref="G39:G70" si="101">VLOOKUP($A39,Table_IP_1, MATCH("daf", heading_IP_1, 0), FALSE)</f>
        <v>20.135228999999999</v>
      </c>
      <c r="H39" s="272">
        <f t="shared" ref="H39:H70" si="102">VLOOKUP($A39,Table_IP_1, MATCH("sat lim", heading_IP_1, 0), FALSE)</f>
        <v>979.00337904009689</v>
      </c>
      <c r="I39" s="1162">
        <f t="shared" si="98"/>
        <v>2.8117598891397772E-2</v>
      </c>
      <c r="J39" s="1163">
        <f t="shared" si="48"/>
        <v>2.8117598891397772E-2</v>
      </c>
      <c r="K39" s="1164" t="str">
        <f t="shared" si="49"/>
        <v>GW VI</v>
      </c>
      <c r="L39" s="271" t="str">
        <f t="shared" si="78"/>
        <v>--</v>
      </c>
      <c r="M39" s="271" t="str">
        <f t="shared" si="99"/>
        <v>--</v>
      </c>
      <c r="N39" s="271" t="str">
        <f t="shared" si="80"/>
        <v>--</v>
      </c>
      <c r="O39" s="271">
        <f t="shared" ref="O39:O70" si="103">VLOOKUP($A39,Table_GW_Summary, MATCH("W-GC", heading_GW_Summary, 0), FALSE)</f>
        <v>50000</v>
      </c>
      <c r="P39" s="1773">
        <f t="shared" si="100"/>
        <v>2.8117598891397772E-2</v>
      </c>
      <c r="Q39" s="1777">
        <f t="shared" ref="Q39:Q70" si="104">VLOOKUP($A39,Table_GW_Summary, MATCH("NDW-NO", heading_GW_Summary, 0), FALSE)</f>
        <v>100</v>
      </c>
      <c r="R39" s="1786">
        <f t="shared" si="57"/>
        <v>0.2</v>
      </c>
      <c r="S39" s="1786">
        <f t="shared" si="58"/>
        <v>3.0394052871379507E-4</v>
      </c>
      <c r="T39" s="1786">
        <f t="shared" si="59"/>
        <v>0.37192718887264564</v>
      </c>
      <c r="U39" s="1786">
        <f t="shared" si="13"/>
        <v>0.2</v>
      </c>
      <c r="V39" s="1786">
        <f t="shared" ref="V39:V70" si="105">VLOOKUP($A39,Table_GW_Summary, MATCH("DW-NO", heading_GW_Summary, 0), FALSE)</f>
        <v>10</v>
      </c>
      <c r="W39" s="1890">
        <f t="shared" si="61"/>
        <v>2.8117598891397772E-2</v>
      </c>
      <c r="X39" s="1646" t="str">
        <f t="shared" ref="X39:X70" si="106">IF(W39=$R39,"MCL",IF(W39=$S39,"Tapwater Cancer", IF(W39=$T39,"Tapwater Noncancer",IF(W39=$V39,"DW Taste &amp; Odor",IF(W39=$P39,"VI",IF(W39=$N39,"Seafood Ingestion",IF(W39=$M39,"Saltwater EcoTox",IF(W39=$L39,"FW EcoTox","Outdoor Odor"))))))))</f>
        <v>VI</v>
      </c>
      <c r="Y39" s="1642">
        <f t="shared" si="62"/>
        <v>2.8117598891397772E-2</v>
      </c>
      <c r="Z39" s="1646" t="str">
        <f t="shared" ref="Z39:Z70" si="107">IF(Y39=$R39,"MCL",IF(Y39=$S39,"Tapwater Cancer", IF(Y39=$T39,"Tapwater Noncancer",IF(Y39=$V39,"DW Taste &amp; Odor",IF(Y39=$P39,"VI",IF(Y39=$N39,"Seafood Ingestion",IF(Y39=$M39,"Saltwater EcoTox",IF(Y39=$L39,"FW EcoTox","Outdoor Odor"))))))))</f>
        <v>VI</v>
      </c>
      <c r="AA39" s="1642">
        <f t="shared" si="63"/>
        <v>2.8117598891397772E-2</v>
      </c>
      <c r="AB39" s="1646" t="str">
        <f t="shared" ref="AB39:AB70" si="108">IF(AA39=$R39,"MCL",IF(AA39=$S39,"Tapwater Cancer", IF(AA39=$T39,"Tapwater Noncancer",IF(AA39=$V39,"DW Taste &amp; Odor",IF(AA39=$P39,"VI",IF(AA39=$N39,"Seafood Ingestion",IF(AA39=$M39,"Saltwater EcoTox",IF(AA39=$L39,"FW EcoTox","Outdoor Odor"))))))))</f>
        <v>VI</v>
      </c>
      <c r="AC39" s="1641">
        <f t="shared" si="64"/>
        <v>2.8117598891397772E-2</v>
      </c>
      <c r="AD39" s="1646" t="str">
        <f t="shared" ref="AD39:AD70" si="109">IF(AC39=$R39,"MCL",IF(AC39=$S39,"Tapwater Cancer", IF(AC39=$T39,"Tapwater Noncancer",IF(AC39=$V39,"DW Taste &amp; Odor",IF(AC39=$P39,"VI",IF(AC39=$N39,"Seafood Ingestion",IF(AC39=$M39,"Saltwater EcoTox",IF(AC39=$L39,"FW EcoTox","Outdoor Odor"))))))))</f>
        <v>VI</v>
      </c>
      <c r="AE39" s="1642">
        <f t="shared" si="65"/>
        <v>3.0394052871379507E-4</v>
      </c>
      <c r="AF39" s="1646" t="str">
        <f t="shared" ref="AF39:AF70" si="110">IF(AE39=$R39,"MCL",IF(AE39=$S39,"Tapwater Cancer", IF(AE39=$T39,"Tapwater Noncancer",IF(AE39=$V39,"DW Taste &amp; Odor",IF(AE39=$P39,"VI",IF(AE39=$N39,"Seafood Ingestion",IF(AE39=$M39,"Saltwater EcoTox",IF(AE39=$L39,"FW EcoTox","Outdoor Odor"))))))))</f>
        <v>Tapwater Cancer</v>
      </c>
      <c r="AG39" s="1642">
        <f t="shared" si="66"/>
        <v>3.0394052871379507E-4</v>
      </c>
      <c r="AH39" s="1646" t="str">
        <f t="shared" ref="AH39:AH70" si="111">IF(AG39=$R39,"MCL",IF(AG39=$S39,"Tapwater Cancer", IF(AG39=$T39,"Tapwater Noncancer",IF(AG39=$V39,"DW Taste &amp; Odor",IF(AG39=$P39,"VI",IF(AG39=$N39,"Seafood Ingestion",IF(AG39=$M39,"Saltwater EcoTox",IF(AG39=$L39,"FW EcoTox","Outdoor Odor"))))))))</f>
        <v>Tapwater Cancer</v>
      </c>
      <c r="AI39" s="1642">
        <f t="shared" si="67"/>
        <v>3.0394052871379507E-4</v>
      </c>
      <c r="AJ39" s="1646" t="str">
        <f t="shared" ref="AJ39:AJ70" si="112">IF(AI39=$R39,"MCL",IF(AI39=$S39,"Tapwater Cancer", IF(AI39=$T39,"Tapwater Noncancer",IF(AI39=$V39,"DW Taste &amp; Odor",IF(AI39=$P39,"VI",IF(AI39=$N39,"Seafood Ingestion",IF(AI39=$M39,"Saltwater EcoTox",IF(AI39=$L39,"FW EcoTox","Outdoor Odor"))))))))</f>
        <v>Tapwater Cancer</v>
      </c>
      <c r="AK39" s="1641">
        <f t="shared" si="68"/>
        <v>3.0394052871379507E-4</v>
      </c>
      <c r="AL39" s="1646" t="str">
        <f t="shared" ref="AL39:AL70" si="113">IF(AK39=$R39,"MCL",IF(AK39=$S39,"Tapwater Cancer", IF(AK39=$T39,"Tapwater Noncancer",IF(AK39=$V39,"DW Taste &amp; Odor",IF(AK39=$P39,"VI",IF(AK39=$N39,"Seafood Ingestion",IF(AK39=$M39,"Saltwater EcoTox",IF(AK39=$L39,"FW EcoTox","Outdoor Odor"))))))))</f>
        <v>Tapwater Cancer</v>
      </c>
      <c r="AM39" s="1641">
        <f t="shared" si="69"/>
        <v>2.8117598891397772E-2</v>
      </c>
      <c r="AN39" s="1646" t="str">
        <f t="shared" ref="AN39:AN70" si="114">IF(AM39=$R39,"MCL",IF(AM39=$S39,"Tapwater Cancer", IF(AM39=$T39,"Tapwater Noncancer",IF(AM39=$V39,"DW Taste &amp; Odor",IF(AM39=$P39,"VI",IF(AM39=$N39,"Seafood Ingestion",IF(AM39=$M39,"Saltwater EcoTox",IF(AM39=$L39,"FW EcoTox","Outdoor Odor"))))))))</f>
        <v>VI</v>
      </c>
      <c r="AO39" s="1643">
        <f t="shared" si="70"/>
        <v>2.8117598891397772E-2</v>
      </c>
      <c r="AP39" s="1646" t="str">
        <f t="shared" ref="AP39:AP70" si="115">IF(AO39=$R39,"MCL",IF(AO39=$S39,"Tapwater Cancer", IF(AO39=$T39,"Tapwater Noncancer",IF(AO39=$V39,"DW Taste &amp; Odor",IF(AO39=$P39,"VI",IF(AO39=$N39,"Seafood Ingestion",IF(AO39=$M39,"Saltwater EcoTox",IF(AO39=$L39,"FW EcoTox","Outdoor Odor"))))))))</f>
        <v>VI</v>
      </c>
      <c r="AQ39" s="1643">
        <f t="shared" si="71"/>
        <v>2.8117598891397772E-2</v>
      </c>
      <c r="AR39" s="1646" t="str">
        <f t="shared" ref="AR39:AR70" si="116">IF(AQ39=$R39,"MCL",IF(AQ39=$S39,"Tapwater Cancer", IF(AQ39=$T39,"Tapwater Noncancer",IF(AQ39=$V39,"DW Taste &amp; Odor",IF(AQ39=$P39,"VI",IF(AQ39=$N39,"Seafood Ingestion",IF(AQ39=$M39,"Saltwater EcoTox",IF(AQ39=$L39,"FW EcoTox","Outdoor Odor"))))))))</f>
        <v>VI</v>
      </c>
      <c r="AS39" s="1644">
        <f t="shared" si="72"/>
        <v>2.8117598891397772E-2</v>
      </c>
      <c r="AT39" s="1891" t="str">
        <f t="shared" ref="AT39:AT70" si="117">IF(AS39=$R39,"MCL",IF(AS39=$S39,"Tapwater Cancer", IF(AS39=$T39,"Tapwater Noncancer",IF(AS39=$V39,"DW Taste &amp; Odor",IF(AS39=$P39,"VI",IF(AS39=$N39,"Seafood Ingestion",IF(AS39=$M39,"Saltwater EcoTox",IF(AS39=$L39,"FW EcoTox","Outdoor Odor"))))))))</f>
        <v>VI</v>
      </c>
      <c r="AU39" s="1773">
        <f t="shared" si="84"/>
        <v>5.6615429260844022E-4</v>
      </c>
      <c r="AV39" s="1773">
        <f t="shared" si="85"/>
        <v>5.6615429260844022E-4</v>
      </c>
      <c r="AW39" s="1773">
        <f t="shared" si="86"/>
        <v>5.6615429260844022E-4</v>
      </c>
      <c r="AX39" s="1773">
        <f t="shared" si="87"/>
        <v>5.6615429260844022E-4</v>
      </c>
      <c r="AY39" s="1773">
        <f t="shared" si="88"/>
        <v>6.1199121480333393E-6</v>
      </c>
      <c r="AZ39" s="1773">
        <f t="shared" si="89"/>
        <v>6.1199121480333393E-6</v>
      </c>
      <c r="BA39" s="1773">
        <f t="shared" si="90"/>
        <v>6.1199121480333393E-6</v>
      </c>
      <c r="BB39" s="1773">
        <f t="shared" si="91"/>
        <v>6.1199121480333393E-6</v>
      </c>
      <c r="BC39" s="1773">
        <f t="shared" si="92"/>
        <v>5.6615429260844022E-4</v>
      </c>
      <c r="BD39" s="1773">
        <f t="shared" si="93"/>
        <v>5.6615429260844022E-4</v>
      </c>
      <c r="BE39" s="1773">
        <f t="shared" si="94"/>
        <v>5.6615429260844022E-4</v>
      </c>
      <c r="BF39" s="1947">
        <f t="shared" si="95"/>
        <v>5.6615429260844022E-4</v>
      </c>
    </row>
    <row r="40" spans="1:58">
      <c r="A40" s="184" t="s">
        <v>149</v>
      </c>
      <c r="B40" s="185" t="s">
        <v>150</v>
      </c>
      <c r="C40" s="388">
        <f t="shared" si="46"/>
        <v>5.3040750000000005E-4</v>
      </c>
      <c r="D40" s="1779">
        <f t="shared" si="47"/>
        <v>1.8680177985205008E-3</v>
      </c>
      <c r="E40" s="1785">
        <f t="shared" si="73"/>
        <v>39.6</v>
      </c>
      <c r="F40" s="271">
        <f t="shared" si="74"/>
        <v>6.4999999999999997E-4</v>
      </c>
      <c r="G40" s="271">
        <f t="shared" si="101"/>
        <v>10.60815</v>
      </c>
      <c r="H40" s="272">
        <f t="shared" si="102"/>
        <v>1339.6859398838837</v>
      </c>
      <c r="I40" s="1162">
        <f t="shared" si="98"/>
        <v>0.05</v>
      </c>
      <c r="J40" s="1163">
        <f t="shared" si="48"/>
        <v>0.17609270216960551</v>
      </c>
      <c r="K40" s="1164" t="str">
        <f t="shared" si="49"/>
        <v>GW VI</v>
      </c>
      <c r="L40" s="271">
        <f t="shared" si="78"/>
        <v>1400</v>
      </c>
      <c r="M40" s="271" t="str">
        <f t="shared" si="99"/>
        <v>--</v>
      </c>
      <c r="N40" s="271" t="str">
        <f t="shared" si="80"/>
        <v>--</v>
      </c>
      <c r="O40" s="271">
        <f t="shared" si="103"/>
        <v>50000</v>
      </c>
      <c r="P40" s="1773">
        <f t="shared" si="100"/>
        <v>0.17609270216960551</v>
      </c>
      <c r="Q40" s="1777" t="str">
        <f t="shared" si="104"/>
        <v>--</v>
      </c>
      <c r="R40" s="1786">
        <f t="shared" si="57"/>
        <v>0.05</v>
      </c>
      <c r="S40" s="1786">
        <f t="shared" si="58"/>
        <v>7.4671042818152374E-3</v>
      </c>
      <c r="T40" s="1786">
        <f t="shared" si="59"/>
        <v>1.6525283524111283</v>
      </c>
      <c r="U40" s="1786">
        <f t="shared" si="13"/>
        <v>0.05</v>
      </c>
      <c r="V40" s="1786" t="str">
        <f t="shared" si="105"/>
        <v>--</v>
      </c>
      <c r="W40" s="1890">
        <f t="shared" si="61"/>
        <v>0.05</v>
      </c>
      <c r="X40" s="1646" t="str">
        <f t="shared" si="106"/>
        <v>MCL</v>
      </c>
      <c r="Y40" s="1642">
        <f t="shared" si="62"/>
        <v>0.05</v>
      </c>
      <c r="Z40" s="1646" t="str">
        <f t="shared" si="107"/>
        <v>MCL</v>
      </c>
      <c r="AA40" s="1642">
        <f t="shared" si="63"/>
        <v>0.05</v>
      </c>
      <c r="AB40" s="1646" t="str">
        <f t="shared" si="108"/>
        <v>MCL</v>
      </c>
      <c r="AC40" s="1641">
        <f t="shared" si="64"/>
        <v>0.05</v>
      </c>
      <c r="AD40" s="1646" t="str">
        <f t="shared" si="109"/>
        <v>MCL</v>
      </c>
      <c r="AE40" s="1642">
        <f t="shared" si="65"/>
        <v>7.4671042818152374E-3</v>
      </c>
      <c r="AF40" s="1646" t="str">
        <f t="shared" si="110"/>
        <v>Tapwater Cancer</v>
      </c>
      <c r="AG40" s="1642">
        <f t="shared" si="66"/>
        <v>7.4671042818152374E-3</v>
      </c>
      <c r="AH40" s="1646" t="str">
        <f t="shared" si="111"/>
        <v>Tapwater Cancer</v>
      </c>
      <c r="AI40" s="1642">
        <f t="shared" si="67"/>
        <v>7.4671042818152374E-3</v>
      </c>
      <c r="AJ40" s="1646" t="str">
        <f t="shared" si="112"/>
        <v>Tapwater Cancer</v>
      </c>
      <c r="AK40" s="1641">
        <f t="shared" si="68"/>
        <v>7.4671042818152374E-3</v>
      </c>
      <c r="AL40" s="1646" t="str">
        <f t="shared" si="113"/>
        <v>Tapwater Cancer</v>
      </c>
      <c r="AM40" s="1641">
        <f t="shared" si="69"/>
        <v>0.17609270216960551</v>
      </c>
      <c r="AN40" s="1646" t="str">
        <f t="shared" si="114"/>
        <v>VI</v>
      </c>
      <c r="AO40" s="1643">
        <f t="shared" si="70"/>
        <v>0.17609270216960551</v>
      </c>
      <c r="AP40" s="1646" t="str">
        <f t="shared" si="115"/>
        <v>VI</v>
      </c>
      <c r="AQ40" s="1643">
        <f t="shared" si="71"/>
        <v>0.17609270216960551</v>
      </c>
      <c r="AR40" s="1646" t="str">
        <f t="shared" si="116"/>
        <v>VI</v>
      </c>
      <c r="AS40" s="1644">
        <f t="shared" si="72"/>
        <v>0.17609270216960551</v>
      </c>
      <c r="AT40" s="1891" t="str">
        <f t="shared" si="117"/>
        <v>VI</v>
      </c>
      <c r="AU40" s="1773">
        <f t="shared" si="84"/>
        <v>5.3040750000000005E-4</v>
      </c>
      <c r="AV40" s="1773">
        <f t="shared" si="85"/>
        <v>5.3040750000000005E-4</v>
      </c>
      <c r="AW40" s="1773">
        <f t="shared" si="86"/>
        <v>5.3040750000000005E-4</v>
      </c>
      <c r="AX40" s="1773">
        <f t="shared" si="87"/>
        <v>5.3040750000000005E-4</v>
      </c>
      <c r="AY40" s="1773">
        <f t="shared" si="88"/>
        <v>7.9212162287138317E-5</v>
      </c>
      <c r="AZ40" s="1773">
        <f t="shared" si="89"/>
        <v>7.9212162287138317E-5</v>
      </c>
      <c r="BA40" s="1773">
        <f t="shared" si="90"/>
        <v>7.9212162287138317E-5</v>
      </c>
      <c r="BB40" s="1773">
        <f t="shared" si="91"/>
        <v>7.9212162287138317E-5</v>
      </c>
      <c r="BC40" s="1773">
        <f t="shared" si="92"/>
        <v>1.8680177985205008E-3</v>
      </c>
      <c r="BD40" s="1773">
        <f t="shared" si="93"/>
        <v>1.8680177985205008E-3</v>
      </c>
      <c r="BE40" s="1773">
        <f t="shared" si="94"/>
        <v>1.8680177985205008E-3</v>
      </c>
      <c r="BF40" s="1947">
        <f t="shared" si="95"/>
        <v>1.8680177985205008E-3</v>
      </c>
    </row>
    <row r="41" spans="1:58">
      <c r="A41" s="184" t="s">
        <v>151</v>
      </c>
      <c r="B41" s="185" t="s">
        <v>152</v>
      </c>
      <c r="C41" s="388">
        <f t="shared" si="46"/>
        <v>1.0567037600000002</v>
      </c>
      <c r="D41" s="1779">
        <f t="shared" si="47"/>
        <v>1.0567037600000002</v>
      </c>
      <c r="E41" s="1785">
        <f t="shared" si="73"/>
        <v>382.9</v>
      </c>
      <c r="F41" s="271">
        <f t="shared" si="74"/>
        <v>1.92E-3</v>
      </c>
      <c r="G41" s="271">
        <f t="shared" si="101"/>
        <v>75.478840000000005</v>
      </c>
      <c r="H41" s="272">
        <f t="shared" si="102"/>
        <v>376.31253511470419</v>
      </c>
      <c r="I41" s="1162">
        <f t="shared" si="98"/>
        <v>14</v>
      </c>
      <c r="J41" s="1163">
        <f t="shared" si="48"/>
        <v>14</v>
      </c>
      <c r="K41" s="1164" t="str">
        <f t="shared" si="49"/>
        <v>FW EcoTox Goal</v>
      </c>
      <c r="L41" s="271">
        <f t="shared" si="78"/>
        <v>14</v>
      </c>
      <c r="M41" s="271">
        <f t="shared" si="99"/>
        <v>64.5</v>
      </c>
      <c r="N41" s="271">
        <f t="shared" si="80"/>
        <v>3000</v>
      </c>
      <c r="O41" s="271">
        <f t="shared" si="103"/>
        <v>50000</v>
      </c>
      <c r="P41" s="1773">
        <f t="shared" si="100"/>
        <v>2657.1130952379331</v>
      </c>
      <c r="Q41" s="1777">
        <f t="shared" si="104"/>
        <v>100</v>
      </c>
      <c r="R41" s="1786">
        <f t="shared" si="57"/>
        <v>600</v>
      </c>
      <c r="S41" s="1786" t="str">
        <f t="shared" si="58"/>
        <v>--</v>
      </c>
      <c r="T41" s="1786">
        <f t="shared" si="59"/>
        <v>303.58920793298864</v>
      </c>
      <c r="U41" s="1786">
        <f t="shared" si="13"/>
        <v>600</v>
      </c>
      <c r="V41" s="1786">
        <f t="shared" si="105"/>
        <v>100</v>
      </c>
      <c r="W41" s="1890">
        <f t="shared" si="61"/>
        <v>64.5</v>
      </c>
      <c r="X41" s="1646" t="str">
        <f t="shared" si="106"/>
        <v>Saltwater EcoTox</v>
      </c>
      <c r="Y41" s="1642">
        <f t="shared" si="62"/>
        <v>14</v>
      </c>
      <c r="Z41" s="1646" t="str">
        <f t="shared" si="107"/>
        <v>FW EcoTox</v>
      </c>
      <c r="AA41" s="1642">
        <f t="shared" si="63"/>
        <v>14</v>
      </c>
      <c r="AB41" s="1646" t="str">
        <f t="shared" si="108"/>
        <v>FW EcoTox</v>
      </c>
      <c r="AC41" s="1641">
        <f t="shared" si="64"/>
        <v>100</v>
      </c>
      <c r="AD41" s="1646" t="str">
        <f t="shared" si="109"/>
        <v>DW Taste &amp; Odor</v>
      </c>
      <c r="AE41" s="1642">
        <f t="shared" si="65"/>
        <v>64.5</v>
      </c>
      <c r="AF41" s="1646" t="str">
        <f t="shared" si="110"/>
        <v>Saltwater EcoTox</v>
      </c>
      <c r="AG41" s="1642">
        <f t="shared" si="66"/>
        <v>14</v>
      </c>
      <c r="AH41" s="1646" t="str">
        <f t="shared" si="111"/>
        <v>FW EcoTox</v>
      </c>
      <c r="AI41" s="1642">
        <f t="shared" si="67"/>
        <v>14</v>
      </c>
      <c r="AJ41" s="1646" t="str">
        <f t="shared" si="112"/>
        <v>FW EcoTox</v>
      </c>
      <c r="AK41" s="1641">
        <f t="shared" si="68"/>
        <v>100</v>
      </c>
      <c r="AL41" s="1646" t="str">
        <f t="shared" si="113"/>
        <v>DW Taste &amp; Odor</v>
      </c>
      <c r="AM41" s="1641">
        <f t="shared" si="69"/>
        <v>64.5</v>
      </c>
      <c r="AN41" s="1646" t="str">
        <f t="shared" si="114"/>
        <v>Saltwater EcoTox</v>
      </c>
      <c r="AO41" s="1643">
        <f t="shared" si="70"/>
        <v>14</v>
      </c>
      <c r="AP41" s="1646" t="str">
        <f t="shared" si="115"/>
        <v>FW EcoTox</v>
      </c>
      <c r="AQ41" s="1643">
        <f t="shared" si="71"/>
        <v>14</v>
      </c>
      <c r="AR41" s="1646" t="str">
        <f t="shared" si="116"/>
        <v>FW EcoTox</v>
      </c>
      <c r="AS41" s="1644">
        <f t="shared" si="72"/>
        <v>100</v>
      </c>
      <c r="AT41" s="1891" t="str">
        <f t="shared" si="117"/>
        <v>DW Taste &amp; Odor</v>
      </c>
      <c r="AU41" s="1773">
        <f t="shared" si="84"/>
        <v>4.8683851800000006</v>
      </c>
      <c r="AV41" s="1773">
        <f t="shared" si="85"/>
        <v>1.0567037600000002</v>
      </c>
      <c r="AW41" s="1773">
        <f t="shared" si="86"/>
        <v>1.0567037600000002</v>
      </c>
      <c r="AX41" s="1773">
        <f t="shared" si="87"/>
        <v>7.5478840000000007</v>
      </c>
      <c r="AY41" s="1773">
        <f t="shared" si="88"/>
        <v>4.8683851800000006</v>
      </c>
      <c r="AZ41" s="1773">
        <f t="shared" si="89"/>
        <v>1.0567037600000002</v>
      </c>
      <c r="BA41" s="1773">
        <f t="shared" si="90"/>
        <v>1.0567037600000002</v>
      </c>
      <c r="BB41" s="1773">
        <f t="shared" si="91"/>
        <v>7.5478840000000007</v>
      </c>
      <c r="BC41" s="1773">
        <f t="shared" si="92"/>
        <v>4.8683851800000006</v>
      </c>
      <c r="BD41" s="1773">
        <f t="shared" si="93"/>
        <v>1.0567037600000002</v>
      </c>
      <c r="BE41" s="1773">
        <f t="shared" si="94"/>
        <v>1.0567037600000002</v>
      </c>
      <c r="BF41" s="1947">
        <f t="shared" si="95"/>
        <v>7.5478840000000007</v>
      </c>
    </row>
    <row r="42" spans="1:58">
      <c r="A42" s="184" t="s">
        <v>153</v>
      </c>
      <c r="B42" s="185" t="s">
        <v>154</v>
      </c>
      <c r="C42" s="388">
        <f t="shared" si="46"/>
        <v>0.20014440991585375</v>
      </c>
      <c r="D42" s="1779">
        <f t="shared" si="47"/>
        <v>0.20014440991585375</v>
      </c>
      <c r="E42" s="1785">
        <f t="shared" si="73"/>
        <v>375.3</v>
      </c>
      <c r="F42" s="271">
        <f t="shared" si="74"/>
        <v>2.4099999999999998E-3</v>
      </c>
      <c r="G42" s="271">
        <f t="shared" si="101"/>
        <v>77.258670000000009</v>
      </c>
      <c r="H42" s="272">
        <f t="shared" si="102"/>
        <v>192.71776350236811</v>
      </c>
      <c r="I42" s="1162">
        <f t="shared" si="98"/>
        <v>2.5905753997040555</v>
      </c>
      <c r="J42" s="1163">
        <f t="shared" si="48"/>
        <v>2.5905753997040555</v>
      </c>
      <c r="K42" s="1164" t="str">
        <f t="shared" si="49"/>
        <v>GW VI</v>
      </c>
      <c r="L42" s="271">
        <f t="shared" si="78"/>
        <v>15</v>
      </c>
      <c r="M42" s="271">
        <f t="shared" si="99"/>
        <v>64.5</v>
      </c>
      <c r="N42" s="271">
        <f t="shared" si="80"/>
        <v>18</v>
      </c>
      <c r="O42" s="271">
        <f t="shared" si="103"/>
        <v>40650</v>
      </c>
      <c r="P42" s="1773">
        <f t="shared" si="100"/>
        <v>2.5905753997040555</v>
      </c>
      <c r="Q42" s="1777">
        <f t="shared" si="104"/>
        <v>110</v>
      </c>
      <c r="R42" s="1786">
        <f t="shared" si="57"/>
        <v>5</v>
      </c>
      <c r="S42" s="1786">
        <f t="shared" si="58"/>
        <v>0.48179944441109085</v>
      </c>
      <c r="T42" s="1786">
        <f t="shared" si="59"/>
        <v>568.47786337736659</v>
      </c>
      <c r="U42" s="1786">
        <f t="shared" si="13"/>
        <v>5</v>
      </c>
      <c r="V42" s="1786">
        <f t="shared" si="105"/>
        <v>5</v>
      </c>
      <c r="W42" s="1890">
        <f t="shared" si="61"/>
        <v>2.5905753997040555</v>
      </c>
      <c r="X42" s="1646" t="str">
        <f t="shared" si="106"/>
        <v>VI</v>
      </c>
      <c r="Y42" s="1642">
        <f t="shared" si="62"/>
        <v>2.5905753997040555</v>
      </c>
      <c r="Z42" s="1646" t="str">
        <f t="shared" si="107"/>
        <v>VI</v>
      </c>
      <c r="AA42" s="1642">
        <f t="shared" si="63"/>
        <v>2.5905753997040555</v>
      </c>
      <c r="AB42" s="1646" t="str">
        <f t="shared" si="108"/>
        <v>VI</v>
      </c>
      <c r="AC42" s="1641">
        <f t="shared" si="64"/>
        <v>2.5905753997040555</v>
      </c>
      <c r="AD42" s="1646" t="str">
        <f t="shared" si="109"/>
        <v>VI</v>
      </c>
      <c r="AE42" s="1642">
        <f t="shared" si="65"/>
        <v>0.48179944441109085</v>
      </c>
      <c r="AF42" s="1646" t="str">
        <f t="shared" si="110"/>
        <v>Tapwater Cancer</v>
      </c>
      <c r="AG42" s="1642">
        <f t="shared" si="66"/>
        <v>0.48179944441109085</v>
      </c>
      <c r="AH42" s="1646" t="str">
        <f t="shared" si="111"/>
        <v>Tapwater Cancer</v>
      </c>
      <c r="AI42" s="1642">
        <f t="shared" si="67"/>
        <v>0.48179944441109085</v>
      </c>
      <c r="AJ42" s="1646" t="str">
        <f t="shared" si="112"/>
        <v>Tapwater Cancer</v>
      </c>
      <c r="AK42" s="1641">
        <f t="shared" si="68"/>
        <v>0.48179944441109085</v>
      </c>
      <c r="AL42" s="1646" t="str">
        <f t="shared" si="113"/>
        <v>Tapwater Cancer</v>
      </c>
      <c r="AM42" s="1641">
        <f t="shared" si="69"/>
        <v>2.5905753997040555</v>
      </c>
      <c r="AN42" s="1646" t="str">
        <f t="shared" si="114"/>
        <v>VI</v>
      </c>
      <c r="AO42" s="1643">
        <f t="shared" si="70"/>
        <v>2.5905753997040555</v>
      </c>
      <c r="AP42" s="1646" t="str">
        <f t="shared" si="115"/>
        <v>VI</v>
      </c>
      <c r="AQ42" s="1643">
        <f t="shared" si="71"/>
        <v>2.5905753997040555</v>
      </c>
      <c r="AR42" s="1646" t="str">
        <f t="shared" si="116"/>
        <v>VI</v>
      </c>
      <c r="AS42" s="1644">
        <f t="shared" si="72"/>
        <v>2.5905753997040555</v>
      </c>
      <c r="AT42" s="1891" t="str">
        <f t="shared" si="117"/>
        <v>VI</v>
      </c>
      <c r="AU42" s="1773">
        <f t="shared" si="84"/>
        <v>0.20014440991585375</v>
      </c>
      <c r="AV42" s="1773">
        <f t="shared" si="85"/>
        <v>0.20014440991585375</v>
      </c>
      <c r="AW42" s="1773">
        <f t="shared" si="86"/>
        <v>0.20014440991585375</v>
      </c>
      <c r="AX42" s="1773">
        <f t="shared" si="87"/>
        <v>0.20014440991585375</v>
      </c>
      <c r="AY42" s="1773">
        <f t="shared" si="88"/>
        <v>3.7223184281939818E-2</v>
      </c>
      <c r="AZ42" s="1773">
        <f t="shared" si="89"/>
        <v>3.7223184281939818E-2</v>
      </c>
      <c r="BA42" s="1773">
        <f t="shared" si="90"/>
        <v>3.7223184281939818E-2</v>
      </c>
      <c r="BB42" s="1773">
        <f t="shared" si="91"/>
        <v>3.7223184281939818E-2</v>
      </c>
      <c r="BC42" s="1773">
        <f t="shared" si="92"/>
        <v>0.20014440991585375</v>
      </c>
      <c r="BD42" s="1773">
        <f t="shared" si="93"/>
        <v>0.20014440991585375</v>
      </c>
      <c r="BE42" s="1773">
        <f t="shared" si="94"/>
        <v>0.20014440991585375</v>
      </c>
      <c r="BF42" s="1947">
        <f t="shared" si="95"/>
        <v>0.20014440991585375</v>
      </c>
    </row>
    <row r="43" spans="1:58">
      <c r="A43" s="184" t="s">
        <v>155</v>
      </c>
      <c r="B43" s="185" t="s">
        <v>156</v>
      </c>
      <c r="C43" s="388">
        <f t="shared" si="46"/>
        <v>2.4867303215267669E-2</v>
      </c>
      <c r="D43" s="1779">
        <f t="shared" si="47"/>
        <v>4.077458001357348E-2</v>
      </c>
      <c r="E43" s="1785">
        <f t="shared" si="73"/>
        <v>3190</v>
      </c>
      <c r="F43" s="271">
        <f t="shared" si="74"/>
        <v>2.84E-11</v>
      </c>
      <c r="G43" s="271">
        <f t="shared" si="101"/>
        <v>529.54000017627891</v>
      </c>
      <c r="H43" s="272">
        <f t="shared" si="102"/>
        <v>59.644000000681388</v>
      </c>
      <c r="I43" s="1162">
        <f t="shared" si="98"/>
        <v>4.6960197920817265E-2</v>
      </c>
      <c r="J43" s="1163">
        <f t="shared" si="48"/>
        <v>7.6999999999999999E-2</v>
      </c>
      <c r="K43" s="1164" t="str">
        <f t="shared" si="49"/>
        <v>Seafood Consumption</v>
      </c>
      <c r="L43" s="271">
        <f t="shared" si="78"/>
        <v>250</v>
      </c>
      <c r="M43" s="271" t="str">
        <f t="shared" si="99"/>
        <v>--</v>
      </c>
      <c r="N43" s="271">
        <f t="shared" si="80"/>
        <v>7.6999999999999999E-2</v>
      </c>
      <c r="O43" s="271">
        <f t="shared" si="103"/>
        <v>1550</v>
      </c>
      <c r="P43" s="1773" t="str">
        <f t="shared" si="100"/>
        <v>--</v>
      </c>
      <c r="Q43" s="1777" t="str">
        <f t="shared" si="104"/>
        <v>--</v>
      </c>
      <c r="R43" s="1786" t="str">
        <f t="shared" si="57"/>
        <v>--</v>
      </c>
      <c r="S43" s="1786">
        <f t="shared" si="58"/>
        <v>4.6960197920817265E-2</v>
      </c>
      <c r="T43" s="1786" t="str">
        <f t="shared" si="59"/>
        <v>--</v>
      </c>
      <c r="U43" s="1786">
        <f t="shared" si="13"/>
        <v>4.6960197920817265E-2</v>
      </c>
      <c r="V43" s="1786" t="str">
        <f t="shared" si="105"/>
        <v>--</v>
      </c>
      <c r="W43" s="1890">
        <f t="shared" si="61"/>
        <v>4.6960197920817265E-2</v>
      </c>
      <c r="X43" s="1646" t="str">
        <f t="shared" si="106"/>
        <v>Tapwater Cancer</v>
      </c>
      <c r="Y43" s="1642">
        <f t="shared" si="62"/>
        <v>4.6960197920817265E-2</v>
      </c>
      <c r="Z43" s="1646" t="str">
        <f t="shared" si="107"/>
        <v>Tapwater Cancer</v>
      </c>
      <c r="AA43" s="1642">
        <f t="shared" si="63"/>
        <v>4.6960197920817265E-2</v>
      </c>
      <c r="AB43" s="1646" t="str">
        <f t="shared" si="108"/>
        <v>Tapwater Cancer</v>
      </c>
      <c r="AC43" s="1641">
        <f t="shared" si="64"/>
        <v>4.6960197920817265E-2</v>
      </c>
      <c r="AD43" s="1646" t="str">
        <f t="shared" si="109"/>
        <v>Tapwater Cancer</v>
      </c>
      <c r="AE43" s="1642">
        <f t="shared" si="65"/>
        <v>4.6960197920817265E-2</v>
      </c>
      <c r="AF43" s="1646" t="str">
        <f t="shared" si="110"/>
        <v>Tapwater Cancer</v>
      </c>
      <c r="AG43" s="1642">
        <f t="shared" si="66"/>
        <v>4.6960197920817265E-2</v>
      </c>
      <c r="AH43" s="1646" t="str">
        <f t="shared" si="111"/>
        <v>Tapwater Cancer</v>
      </c>
      <c r="AI43" s="1642">
        <f t="shared" si="67"/>
        <v>4.6960197920817265E-2</v>
      </c>
      <c r="AJ43" s="1646" t="str">
        <f t="shared" si="112"/>
        <v>Tapwater Cancer</v>
      </c>
      <c r="AK43" s="1641">
        <f t="shared" si="68"/>
        <v>4.6960197920817265E-2</v>
      </c>
      <c r="AL43" s="1646" t="str">
        <f t="shared" si="113"/>
        <v>Tapwater Cancer</v>
      </c>
      <c r="AM43" s="1641">
        <f t="shared" si="69"/>
        <v>7.6999999999999999E-2</v>
      </c>
      <c r="AN43" s="1646" t="str">
        <f t="shared" si="114"/>
        <v>Seafood Ingestion</v>
      </c>
      <c r="AO43" s="1643">
        <f t="shared" si="70"/>
        <v>7.6999999999999999E-2</v>
      </c>
      <c r="AP43" s="1646" t="str">
        <f t="shared" si="115"/>
        <v>Seafood Ingestion</v>
      </c>
      <c r="AQ43" s="1643">
        <f t="shared" si="71"/>
        <v>7.6999999999999999E-2</v>
      </c>
      <c r="AR43" s="1646" t="str">
        <f t="shared" si="116"/>
        <v>Seafood Ingestion</v>
      </c>
      <c r="AS43" s="1644">
        <f t="shared" si="72"/>
        <v>1550</v>
      </c>
      <c r="AT43" s="1891" t="str">
        <f t="shared" si="117"/>
        <v>Outdoor Odor</v>
      </c>
      <c r="AU43" s="1773">
        <f t="shared" si="84"/>
        <v>2.4867303215267669E-2</v>
      </c>
      <c r="AV43" s="1773">
        <f t="shared" si="85"/>
        <v>2.4867303215267669E-2</v>
      </c>
      <c r="AW43" s="1773">
        <f t="shared" si="86"/>
        <v>2.4867303215267669E-2</v>
      </c>
      <c r="AX43" s="1773">
        <f t="shared" si="87"/>
        <v>2.4867303215267669E-2</v>
      </c>
      <c r="AY43" s="1773">
        <f t="shared" si="88"/>
        <v>2.4867303215267669E-2</v>
      </c>
      <c r="AZ43" s="1773">
        <f t="shared" si="89"/>
        <v>2.4867303215267669E-2</v>
      </c>
      <c r="BA43" s="1773">
        <f t="shared" si="90"/>
        <v>2.4867303215267669E-2</v>
      </c>
      <c r="BB43" s="1773">
        <f t="shared" si="91"/>
        <v>2.4867303215267669E-2</v>
      </c>
      <c r="BC43" s="1773">
        <f t="shared" si="92"/>
        <v>4.077458001357348E-2</v>
      </c>
      <c r="BD43" s="1773">
        <f t="shared" si="93"/>
        <v>4.077458001357348E-2</v>
      </c>
      <c r="BE43" s="1773">
        <f t="shared" si="94"/>
        <v>4.077458001357348E-2</v>
      </c>
      <c r="BF43" s="1947">
        <f t="shared" si="95"/>
        <v>820.78700027323237</v>
      </c>
    </row>
    <row r="44" spans="1:58">
      <c r="A44" s="184" t="s">
        <v>157</v>
      </c>
      <c r="B44" s="185" t="s">
        <v>158</v>
      </c>
      <c r="C44" s="388">
        <f t="shared" si="46"/>
        <v>63.459004597263146</v>
      </c>
      <c r="D44" s="1779">
        <f t="shared" si="47"/>
        <v>63.459004597263146</v>
      </c>
      <c r="E44" s="1785">
        <f t="shared" si="73"/>
        <v>117500</v>
      </c>
      <c r="F44" s="271">
        <f t="shared" si="74"/>
        <v>6.6000000000000003E-6</v>
      </c>
      <c r="G44" s="271">
        <f t="shared" si="101"/>
        <v>19505.040966199998</v>
      </c>
      <c r="H44" s="272">
        <f t="shared" si="102"/>
        <v>63.459004597263146</v>
      </c>
      <c r="I44" s="1162">
        <f t="shared" si="98"/>
        <v>1.2E-4</v>
      </c>
      <c r="J44" s="1163">
        <f t="shared" si="48"/>
        <v>1.2E-4</v>
      </c>
      <c r="K44" s="1164" t="str">
        <f t="shared" si="49"/>
        <v>Seafood Consumption</v>
      </c>
      <c r="L44" s="271">
        <f t="shared" si="78"/>
        <v>1E-3</v>
      </c>
      <c r="M44" s="271">
        <f t="shared" si="99"/>
        <v>1E-3</v>
      </c>
      <c r="N44" s="271">
        <f t="shared" si="80"/>
        <v>1.2E-4</v>
      </c>
      <c r="O44" s="271">
        <f t="shared" si="103"/>
        <v>45</v>
      </c>
      <c r="P44" s="1773" t="str">
        <f t="shared" si="100"/>
        <v>--</v>
      </c>
      <c r="Q44" s="1777" t="str">
        <f t="shared" si="104"/>
        <v>--</v>
      </c>
      <c r="R44" s="1786" t="str">
        <f t="shared" si="57"/>
        <v>--</v>
      </c>
      <c r="S44" s="1786">
        <f t="shared" si="58"/>
        <v>3.1706574873866973E-2</v>
      </c>
      <c r="T44" s="1786">
        <f t="shared" si="59"/>
        <v>1.0558702631786985</v>
      </c>
      <c r="U44" s="1786">
        <f t="shared" si="13"/>
        <v>3.1706574873866973E-2</v>
      </c>
      <c r="V44" s="1786" t="str">
        <f t="shared" si="105"/>
        <v>--</v>
      </c>
      <c r="W44" s="1890">
        <f t="shared" si="61"/>
        <v>1.2E-4</v>
      </c>
      <c r="X44" s="1646" t="str">
        <f t="shared" si="106"/>
        <v>Seafood Ingestion</v>
      </c>
      <c r="Y44" s="1642">
        <f t="shared" si="62"/>
        <v>1.2E-4</v>
      </c>
      <c r="Z44" s="1646" t="str">
        <f t="shared" si="107"/>
        <v>Seafood Ingestion</v>
      </c>
      <c r="AA44" s="1642">
        <f t="shared" si="63"/>
        <v>1.2E-4</v>
      </c>
      <c r="AB44" s="1646" t="str">
        <f t="shared" si="108"/>
        <v>Seafood Ingestion</v>
      </c>
      <c r="AC44" s="1641">
        <f t="shared" si="64"/>
        <v>3.1706574873866973E-2</v>
      </c>
      <c r="AD44" s="1646" t="str">
        <f t="shared" si="109"/>
        <v>Tapwater Cancer</v>
      </c>
      <c r="AE44" s="1642">
        <f t="shared" si="65"/>
        <v>1.2E-4</v>
      </c>
      <c r="AF44" s="1646" t="str">
        <f t="shared" si="110"/>
        <v>Seafood Ingestion</v>
      </c>
      <c r="AG44" s="1642">
        <f t="shared" si="66"/>
        <v>1.2E-4</v>
      </c>
      <c r="AH44" s="1646" t="str">
        <f t="shared" si="111"/>
        <v>Seafood Ingestion</v>
      </c>
      <c r="AI44" s="1642">
        <f t="shared" si="67"/>
        <v>1.2E-4</v>
      </c>
      <c r="AJ44" s="1646" t="str">
        <f t="shared" si="112"/>
        <v>Seafood Ingestion</v>
      </c>
      <c r="AK44" s="1641">
        <f t="shared" si="68"/>
        <v>3.1706574873866973E-2</v>
      </c>
      <c r="AL44" s="1646" t="str">
        <f t="shared" si="113"/>
        <v>Tapwater Cancer</v>
      </c>
      <c r="AM44" s="1641">
        <f t="shared" si="69"/>
        <v>1.2E-4</v>
      </c>
      <c r="AN44" s="1646" t="str">
        <f t="shared" si="114"/>
        <v>Seafood Ingestion</v>
      </c>
      <c r="AO44" s="1643">
        <f t="shared" si="70"/>
        <v>1.2E-4</v>
      </c>
      <c r="AP44" s="1646" t="str">
        <f t="shared" si="115"/>
        <v>Seafood Ingestion</v>
      </c>
      <c r="AQ44" s="1643">
        <f t="shared" si="71"/>
        <v>1.2E-4</v>
      </c>
      <c r="AR44" s="1646" t="str">
        <f t="shared" si="116"/>
        <v>Seafood Ingestion</v>
      </c>
      <c r="AS44" s="1644">
        <f t="shared" si="72"/>
        <v>45</v>
      </c>
      <c r="AT44" s="1891" t="str">
        <f t="shared" si="117"/>
        <v>Outdoor Odor</v>
      </c>
      <c r="AU44" s="1773">
        <f t="shared" si="84"/>
        <v>63.459004597263146</v>
      </c>
      <c r="AV44" s="1773">
        <f t="shared" si="85"/>
        <v>63.459004597263146</v>
      </c>
      <c r="AW44" s="1773">
        <f t="shared" si="86"/>
        <v>63.459004597263146</v>
      </c>
      <c r="AX44" s="1773">
        <f t="shared" si="87"/>
        <v>63.459004597263146</v>
      </c>
      <c r="AY44" s="1773">
        <f t="shared" si="88"/>
        <v>63.459004597263146</v>
      </c>
      <c r="AZ44" s="1773">
        <f t="shared" si="89"/>
        <v>63.459004597263146</v>
      </c>
      <c r="BA44" s="1773">
        <f t="shared" si="90"/>
        <v>63.459004597263146</v>
      </c>
      <c r="BB44" s="1773">
        <f t="shared" si="91"/>
        <v>63.459004597263146</v>
      </c>
      <c r="BC44" s="1773">
        <f t="shared" si="92"/>
        <v>63.459004597263146</v>
      </c>
      <c r="BD44" s="1773">
        <f t="shared" si="93"/>
        <v>63.459004597263146</v>
      </c>
      <c r="BE44" s="1773">
        <f t="shared" si="94"/>
        <v>63.459004597263146</v>
      </c>
      <c r="BF44" s="1947">
        <f t="shared" si="95"/>
        <v>877.72684347899997</v>
      </c>
    </row>
    <row r="45" spans="1:58">
      <c r="A45" s="184" t="s">
        <v>159</v>
      </c>
      <c r="B45" s="185" t="s">
        <v>160</v>
      </c>
      <c r="C45" s="388">
        <f t="shared" si="46"/>
        <v>28.204012878528417</v>
      </c>
      <c r="D45" s="1779">
        <f t="shared" si="47"/>
        <v>28.204012878528417</v>
      </c>
      <c r="E45" s="1785">
        <f t="shared" si="73"/>
        <v>117500</v>
      </c>
      <c r="F45" s="271">
        <f t="shared" si="74"/>
        <v>4.1600000000000002E-5</v>
      </c>
      <c r="G45" s="271">
        <f t="shared" si="101"/>
        <v>19505.258211199998</v>
      </c>
      <c r="H45" s="272">
        <f t="shared" si="102"/>
        <v>28.204012878528417</v>
      </c>
      <c r="I45" s="1162">
        <f t="shared" si="98"/>
        <v>1.8E-5</v>
      </c>
      <c r="J45" s="1163">
        <f t="shared" si="48"/>
        <v>1.8E-5</v>
      </c>
      <c r="K45" s="1164" t="str">
        <f t="shared" si="49"/>
        <v>Seafood Consumption</v>
      </c>
      <c r="L45" s="271">
        <f t="shared" si="78"/>
        <v>1E-3</v>
      </c>
      <c r="M45" s="271">
        <f t="shared" si="99"/>
        <v>1E-3</v>
      </c>
      <c r="N45" s="271">
        <f t="shared" si="80"/>
        <v>1.8E-5</v>
      </c>
      <c r="O45" s="271">
        <f t="shared" si="103"/>
        <v>20</v>
      </c>
      <c r="P45" s="1773">
        <f t="shared" si="100"/>
        <v>17.019268895253461</v>
      </c>
      <c r="Q45" s="1777" t="str">
        <f t="shared" si="104"/>
        <v>--</v>
      </c>
      <c r="R45" s="1786" t="str">
        <f t="shared" si="57"/>
        <v>--</v>
      </c>
      <c r="S45" s="1786">
        <f t="shared" si="58"/>
        <v>4.6214816596816873E-2</v>
      </c>
      <c r="T45" s="1786">
        <f t="shared" si="59"/>
        <v>10.027472527472527</v>
      </c>
      <c r="U45" s="1786">
        <f t="shared" si="13"/>
        <v>4.6214816596816873E-2</v>
      </c>
      <c r="V45" s="1786" t="str">
        <f t="shared" si="105"/>
        <v>--</v>
      </c>
      <c r="W45" s="1890">
        <f t="shared" si="61"/>
        <v>1.8E-5</v>
      </c>
      <c r="X45" s="1646" t="str">
        <f t="shared" si="106"/>
        <v>Seafood Ingestion</v>
      </c>
      <c r="Y45" s="1642">
        <f t="shared" si="62"/>
        <v>1.8E-5</v>
      </c>
      <c r="Z45" s="1646" t="str">
        <f t="shared" si="107"/>
        <v>Seafood Ingestion</v>
      </c>
      <c r="AA45" s="1642">
        <f t="shared" si="63"/>
        <v>1.8E-5</v>
      </c>
      <c r="AB45" s="1646" t="str">
        <f t="shared" si="108"/>
        <v>Seafood Ingestion</v>
      </c>
      <c r="AC45" s="1641">
        <f t="shared" si="64"/>
        <v>4.6214816596816873E-2</v>
      </c>
      <c r="AD45" s="1646" t="str">
        <f t="shared" si="109"/>
        <v>Tapwater Cancer</v>
      </c>
      <c r="AE45" s="1642">
        <f t="shared" si="65"/>
        <v>1.8E-5</v>
      </c>
      <c r="AF45" s="1646" t="str">
        <f t="shared" si="110"/>
        <v>Seafood Ingestion</v>
      </c>
      <c r="AG45" s="1642">
        <f t="shared" si="66"/>
        <v>1.8E-5</v>
      </c>
      <c r="AH45" s="1646" t="str">
        <f t="shared" si="111"/>
        <v>Seafood Ingestion</v>
      </c>
      <c r="AI45" s="1642">
        <f t="shared" si="67"/>
        <v>1.8E-5</v>
      </c>
      <c r="AJ45" s="1646" t="str">
        <f t="shared" si="112"/>
        <v>Seafood Ingestion</v>
      </c>
      <c r="AK45" s="1641">
        <f t="shared" si="68"/>
        <v>4.6214816596816873E-2</v>
      </c>
      <c r="AL45" s="1646" t="str">
        <f t="shared" si="113"/>
        <v>Tapwater Cancer</v>
      </c>
      <c r="AM45" s="1641">
        <f t="shared" si="69"/>
        <v>1.8E-5</v>
      </c>
      <c r="AN45" s="1646" t="str">
        <f t="shared" si="114"/>
        <v>Seafood Ingestion</v>
      </c>
      <c r="AO45" s="1643">
        <f t="shared" si="70"/>
        <v>1.8E-5</v>
      </c>
      <c r="AP45" s="1646" t="str">
        <f t="shared" si="115"/>
        <v>Seafood Ingestion</v>
      </c>
      <c r="AQ45" s="1643">
        <f t="shared" si="71"/>
        <v>1.8E-5</v>
      </c>
      <c r="AR45" s="1646" t="str">
        <f t="shared" si="116"/>
        <v>Seafood Ingestion</v>
      </c>
      <c r="AS45" s="1644">
        <f t="shared" si="72"/>
        <v>17.019268895253461</v>
      </c>
      <c r="AT45" s="1891" t="str">
        <f t="shared" si="117"/>
        <v>VI</v>
      </c>
      <c r="AU45" s="1773">
        <f t="shared" si="84"/>
        <v>28.204012878528417</v>
      </c>
      <c r="AV45" s="1773">
        <f t="shared" si="85"/>
        <v>28.204012878528417</v>
      </c>
      <c r="AW45" s="1773">
        <f t="shared" si="86"/>
        <v>28.204012878528417</v>
      </c>
      <c r="AX45" s="1773">
        <f t="shared" si="87"/>
        <v>28.204012878528417</v>
      </c>
      <c r="AY45" s="1773">
        <f t="shared" si="88"/>
        <v>28.204012878528417</v>
      </c>
      <c r="AZ45" s="1773">
        <f t="shared" si="89"/>
        <v>28.204012878528417</v>
      </c>
      <c r="BA45" s="1773">
        <f t="shared" si="90"/>
        <v>28.204012878528417</v>
      </c>
      <c r="BB45" s="1773">
        <f t="shared" si="91"/>
        <v>28.204012878528417</v>
      </c>
      <c r="BC45" s="1773">
        <f t="shared" si="92"/>
        <v>28.204012878528417</v>
      </c>
      <c r="BD45" s="1773">
        <f t="shared" si="93"/>
        <v>28.204012878528417</v>
      </c>
      <c r="BE45" s="1773">
        <f t="shared" si="94"/>
        <v>28.204012878528417</v>
      </c>
      <c r="BF45" s="1947">
        <f t="shared" si="95"/>
        <v>331.96523436776329</v>
      </c>
    </row>
    <row r="46" spans="1:58">
      <c r="A46" s="184" t="s">
        <v>161</v>
      </c>
      <c r="B46" s="185" t="s">
        <v>162</v>
      </c>
      <c r="C46" s="388">
        <f t="shared" si="46"/>
        <v>5.5643503541595321</v>
      </c>
      <c r="D46" s="1779">
        <f t="shared" si="47"/>
        <v>5.5643503541595321</v>
      </c>
      <c r="E46" s="1785">
        <f t="shared" si="73"/>
        <v>168600</v>
      </c>
      <c r="F46" s="271">
        <f t="shared" si="74"/>
        <v>8.32E-6</v>
      </c>
      <c r="G46" s="271">
        <f t="shared" si="101"/>
        <v>27987.651642240002</v>
      </c>
      <c r="H46" s="272">
        <f t="shared" si="102"/>
        <v>5.5643503541595321</v>
      </c>
      <c r="I46" s="1162">
        <f t="shared" si="98"/>
        <v>3.0000000000000001E-5</v>
      </c>
      <c r="J46" s="1163">
        <f t="shared" si="48"/>
        <v>3.0000000000000001E-5</v>
      </c>
      <c r="K46" s="1164" t="str">
        <f t="shared" si="49"/>
        <v>Seafood Consumption</v>
      </c>
      <c r="L46" s="271">
        <f t="shared" si="78"/>
        <v>1E-3</v>
      </c>
      <c r="M46" s="271">
        <f t="shared" si="99"/>
        <v>1E-3</v>
      </c>
      <c r="N46" s="271">
        <f t="shared" si="80"/>
        <v>3.0000000000000001E-5</v>
      </c>
      <c r="O46" s="271">
        <f t="shared" si="103"/>
        <v>2.75</v>
      </c>
      <c r="P46" s="1773" t="str">
        <f t="shared" si="100"/>
        <v>--</v>
      </c>
      <c r="Q46" s="1777">
        <f t="shared" si="104"/>
        <v>3500</v>
      </c>
      <c r="R46" s="1786" t="str">
        <f t="shared" si="57"/>
        <v>--</v>
      </c>
      <c r="S46" s="1786">
        <f t="shared" si="58"/>
        <v>0.22914181681210372</v>
      </c>
      <c r="T46" s="1786">
        <f t="shared" si="59"/>
        <v>10.027472527472527</v>
      </c>
      <c r="U46" s="1786">
        <f t="shared" si="13"/>
        <v>0.22914181681210372</v>
      </c>
      <c r="V46" s="1786">
        <f t="shared" si="105"/>
        <v>350</v>
      </c>
      <c r="W46" s="1890">
        <f t="shared" si="61"/>
        <v>3.0000000000000001E-5</v>
      </c>
      <c r="X46" s="1646" t="str">
        <f t="shared" si="106"/>
        <v>Seafood Ingestion</v>
      </c>
      <c r="Y46" s="1642">
        <f t="shared" si="62"/>
        <v>3.0000000000000001E-5</v>
      </c>
      <c r="Z46" s="1646" t="str">
        <f t="shared" si="107"/>
        <v>Seafood Ingestion</v>
      </c>
      <c r="AA46" s="1642">
        <f t="shared" si="63"/>
        <v>3.0000000000000001E-5</v>
      </c>
      <c r="AB46" s="1646" t="str">
        <f t="shared" si="108"/>
        <v>Seafood Ingestion</v>
      </c>
      <c r="AC46" s="1641">
        <f t="shared" si="64"/>
        <v>0.22914181681210372</v>
      </c>
      <c r="AD46" s="1646" t="str">
        <f t="shared" si="109"/>
        <v>Tapwater Cancer</v>
      </c>
      <c r="AE46" s="1642">
        <f t="shared" si="65"/>
        <v>3.0000000000000001E-5</v>
      </c>
      <c r="AF46" s="1646" t="str">
        <f t="shared" si="110"/>
        <v>Seafood Ingestion</v>
      </c>
      <c r="AG46" s="1642">
        <f t="shared" si="66"/>
        <v>3.0000000000000001E-5</v>
      </c>
      <c r="AH46" s="1646" t="str">
        <f t="shared" si="111"/>
        <v>Seafood Ingestion</v>
      </c>
      <c r="AI46" s="1642">
        <f t="shared" si="67"/>
        <v>3.0000000000000001E-5</v>
      </c>
      <c r="AJ46" s="1646" t="str">
        <f t="shared" si="112"/>
        <v>Seafood Ingestion</v>
      </c>
      <c r="AK46" s="1641">
        <f t="shared" si="68"/>
        <v>0.22914181681210372</v>
      </c>
      <c r="AL46" s="1646" t="str">
        <f t="shared" si="113"/>
        <v>Tapwater Cancer</v>
      </c>
      <c r="AM46" s="1641">
        <f t="shared" si="69"/>
        <v>3.0000000000000001E-5</v>
      </c>
      <c r="AN46" s="1646" t="str">
        <f t="shared" si="114"/>
        <v>Seafood Ingestion</v>
      </c>
      <c r="AO46" s="1643">
        <f t="shared" si="70"/>
        <v>3.0000000000000001E-5</v>
      </c>
      <c r="AP46" s="1646" t="str">
        <f t="shared" si="115"/>
        <v>Seafood Ingestion</v>
      </c>
      <c r="AQ46" s="1643">
        <f t="shared" si="71"/>
        <v>3.0000000000000001E-5</v>
      </c>
      <c r="AR46" s="1646" t="str">
        <f t="shared" si="116"/>
        <v>Seafood Ingestion</v>
      </c>
      <c r="AS46" s="1644">
        <f t="shared" si="72"/>
        <v>2.75</v>
      </c>
      <c r="AT46" s="1891" t="str">
        <f t="shared" si="117"/>
        <v>Outdoor Odor</v>
      </c>
      <c r="AU46" s="1773">
        <f t="shared" si="84"/>
        <v>5.5643503541595321</v>
      </c>
      <c r="AV46" s="1773">
        <f t="shared" si="85"/>
        <v>5.5643503541595321</v>
      </c>
      <c r="AW46" s="1773">
        <f t="shared" si="86"/>
        <v>5.5643503541595321</v>
      </c>
      <c r="AX46" s="1773">
        <f t="shared" si="87"/>
        <v>6.4131413456071327</v>
      </c>
      <c r="AY46" s="1773">
        <f t="shared" si="88"/>
        <v>5.5643503541595321</v>
      </c>
      <c r="AZ46" s="1773">
        <f t="shared" si="89"/>
        <v>5.5643503541595321</v>
      </c>
      <c r="BA46" s="1773">
        <f t="shared" si="90"/>
        <v>5.5643503541595321</v>
      </c>
      <c r="BB46" s="1773">
        <f t="shared" si="91"/>
        <v>6.4131413456071327</v>
      </c>
      <c r="BC46" s="1773">
        <f t="shared" si="92"/>
        <v>5.5643503541595321</v>
      </c>
      <c r="BD46" s="1773">
        <f t="shared" si="93"/>
        <v>5.5643503541595321</v>
      </c>
      <c r="BE46" s="1773">
        <f t="shared" si="94"/>
        <v>5.5643503541595321</v>
      </c>
      <c r="BF46" s="1947">
        <f t="shared" si="95"/>
        <v>76.966042016160003</v>
      </c>
    </row>
    <row r="47" spans="1:58">
      <c r="A47" s="184" t="s">
        <v>163</v>
      </c>
      <c r="B47" s="185" t="s">
        <v>164</v>
      </c>
      <c r="C47" s="388">
        <f t="shared" si="46"/>
        <v>0.20082729999999999</v>
      </c>
      <c r="D47" s="1779">
        <f t="shared" si="47"/>
        <v>0.30676260123015092</v>
      </c>
      <c r="E47" s="1785">
        <f t="shared" si="73"/>
        <v>31.82</v>
      </c>
      <c r="F47" s="271">
        <f t="shared" si="74"/>
        <v>5.62E-3</v>
      </c>
      <c r="G47" s="271">
        <f t="shared" si="101"/>
        <v>40.165459999999996</v>
      </c>
      <c r="H47" s="272">
        <f t="shared" si="102"/>
        <v>1685.45659666456</v>
      </c>
      <c r="I47" s="1162">
        <f t="shared" si="98"/>
        <v>5</v>
      </c>
      <c r="J47" s="1163">
        <f t="shared" si="48"/>
        <v>7.6374726252394707</v>
      </c>
      <c r="K47" s="1164" t="str">
        <f t="shared" si="49"/>
        <v>GW VI</v>
      </c>
      <c r="L47" s="271">
        <f t="shared" si="78"/>
        <v>47</v>
      </c>
      <c r="M47" s="271" t="str">
        <f t="shared" si="99"/>
        <v>--</v>
      </c>
      <c r="N47" s="271" t="str">
        <f t="shared" si="80"/>
        <v>--</v>
      </c>
      <c r="O47" s="271">
        <f t="shared" si="103"/>
        <v>50000</v>
      </c>
      <c r="P47" s="1773">
        <f t="shared" si="100"/>
        <v>7.6374726252394707</v>
      </c>
      <c r="Q47" s="1777" t="str">
        <f t="shared" si="104"/>
        <v>--</v>
      </c>
      <c r="R47" s="1786">
        <f t="shared" si="57"/>
        <v>5</v>
      </c>
      <c r="S47" s="1786">
        <f t="shared" si="58"/>
        <v>2.7506025847406992</v>
      </c>
      <c r="T47" s="1786">
        <f t="shared" si="59"/>
        <v>3753.2639645857175</v>
      </c>
      <c r="U47" s="1786">
        <f t="shared" si="13"/>
        <v>5</v>
      </c>
      <c r="V47" s="1786" t="str">
        <f t="shared" si="105"/>
        <v>--</v>
      </c>
      <c r="W47" s="1890">
        <f t="shared" si="61"/>
        <v>5</v>
      </c>
      <c r="X47" s="1646" t="str">
        <f t="shared" si="106"/>
        <v>MCL</v>
      </c>
      <c r="Y47" s="1642">
        <f t="shared" si="62"/>
        <v>5</v>
      </c>
      <c r="Z47" s="1646" t="str">
        <f t="shared" si="107"/>
        <v>MCL</v>
      </c>
      <c r="AA47" s="1642">
        <f t="shared" si="63"/>
        <v>5</v>
      </c>
      <c r="AB47" s="1646" t="str">
        <f t="shared" si="108"/>
        <v>MCL</v>
      </c>
      <c r="AC47" s="1641">
        <f t="shared" si="64"/>
        <v>5</v>
      </c>
      <c r="AD47" s="1646" t="str">
        <f t="shared" si="109"/>
        <v>MCL</v>
      </c>
      <c r="AE47" s="1642">
        <f t="shared" si="65"/>
        <v>2.7506025847406992</v>
      </c>
      <c r="AF47" s="1646" t="str">
        <f t="shared" si="110"/>
        <v>Tapwater Cancer</v>
      </c>
      <c r="AG47" s="1642">
        <f t="shared" si="66"/>
        <v>2.7506025847406992</v>
      </c>
      <c r="AH47" s="1646" t="str">
        <f t="shared" si="111"/>
        <v>Tapwater Cancer</v>
      </c>
      <c r="AI47" s="1642">
        <f t="shared" si="67"/>
        <v>2.7506025847406992</v>
      </c>
      <c r="AJ47" s="1646" t="str">
        <f t="shared" si="112"/>
        <v>Tapwater Cancer</v>
      </c>
      <c r="AK47" s="1641">
        <f t="shared" si="68"/>
        <v>2.7506025847406992</v>
      </c>
      <c r="AL47" s="1646" t="str">
        <f t="shared" si="113"/>
        <v>Tapwater Cancer</v>
      </c>
      <c r="AM47" s="1641">
        <f t="shared" si="69"/>
        <v>7.6374726252394707</v>
      </c>
      <c r="AN47" s="1646" t="str">
        <f t="shared" si="114"/>
        <v>VI</v>
      </c>
      <c r="AO47" s="1643">
        <f t="shared" si="70"/>
        <v>7.6374726252394707</v>
      </c>
      <c r="AP47" s="1646" t="str">
        <f t="shared" si="115"/>
        <v>VI</v>
      </c>
      <c r="AQ47" s="1643">
        <f t="shared" si="71"/>
        <v>7.6374726252394707</v>
      </c>
      <c r="AR47" s="1646" t="str">
        <f t="shared" si="116"/>
        <v>VI</v>
      </c>
      <c r="AS47" s="1644">
        <f t="shared" si="72"/>
        <v>7.6374726252394707</v>
      </c>
      <c r="AT47" s="1891" t="str">
        <f t="shared" si="117"/>
        <v>VI</v>
      </c>
      <c r="AU47" s="1773">
        <f t="shared" si="84"/>
        <v>0.20082729999999999</v>
      </c>
      <c r="AV47" s="1773">
        <f t="shared" si="85"/>
        <v>0.20082729999999999</v>
      </c>
      <c r="AW47" s="1773">
        <f t="shared" si="86"/>
        <v>0.20082729999999999</v>
      </c>
      <c r="AX47" s="1773">
        <f t="shared" si="87"/>
        <v>0.20082729999999999</v>
      </c>
      <c r="AY47" s="1773">
        <f t="shared" si="88"/>
        <v>0.11047921809329915</v>
      </c>
      <c r="AZ47" s="1773">
        <f t="shared" si="89"/>
        <v>0.11047921809329915</v>
      </c>
      <c r="BA47" s="1773">
        <f t="shared" si="90"/>
        <v>0.11047921809329915</v>
      </c>
      <c r="BB47" s="1773">
        <f t="shared" si="91"/>
        <v>0.11047921809329915</v>
      </c>
      <c r="BC47" s="1773">
        <f t="shared" si="92"/>
        <v>0.30676260123015092</v>
      </c>
      <c r="BD47" s="1773">
        <f t="shared" si="93"/>
        <v>0.30676260123015092</v>
      </c>
      <c r="BE47" s="1773">
        <f t="shared" si="94"/>
        <v>0.30676260123015092</v>
      </c>
      <c r="BF47" s="1947">
        <f t="shared" si="95"/>
        <v>0.30676260123015092</v>
      </c>
    </row>
    <row r="48" spans="1:58">
      <c r="A48" s="184" t="s">
        <v>165</v>
      </c>
      <c r="B48" s="185" t="s">
        <v>166</v>
      </c>
      <c r="C48" s="388">
        <f t="shared" si="46"/>
        <v>6.9489300000000007E-3</v>
      </c>
      <c r="D48" s="1779">
        <f t="shared" si="47"/>
        <v>3.1109894768328539E-2</v>
      </c>
      <c r="E48" s="1785">
        <f t="shared" si="73"/>
        <v>39.6</v>
      </c>
      <c r="F48" s="271">
        <f t="shared" si="74"/>
        <v>1.1800000000000001E-3</v>
      </c>
      <c r="G48" s="271">
        <f t="shared" si="101"/>
        <v>13.897860000000001</v>
      </c>
      <c r="H48" s="272">
        <f t="shared" si="102"/>
        <v>2981.9004485310361</v>
      </c>
      <c r="I48" s="1162">
        <f t="shared" si="98"/>
        <v>0.5</v>
      </c>
      <c r="J48" s="1163">
        <f t="shared" si="48"/>
        <v>2.2384665530037382</v>
      </c>
      <c r="K48" s="1164" t="str">
        <f t="shared" si="49"/>
        <v>GW VI</v>
      </c>
      <c r="L48" s="271">
        <f t="shared" si="78"/>
        <v>10000</v>
      </c>
      <c r="M48" s="271">
        <f t="shared" si="99"/>
        <v>11300</v>
      </c>
      <c r="N48" s="271">
        <f t="shared" si="80"/>
        <v>28</v>
      </c>
      <c r="O48" s="271">
        <f t="shared" si="103"/>
        <v>50000</v>
      </c>
      <c r="P48" s="1773">
        <f t="shared" si="100"/>
        <v>2.2384665530037382</v>
      </c>
      <c r="Q48" s="1777">
        <f t="shared" si="104"/>
        <v>200000</v>
      </c>
      <c r="R48" s="1786">
        <f t="shared" si="57"/>
        <v>0.5</v>
      </c>
      <c r="S48" s="1786">
        <f t="shared" si="58"/>
        <v>0.17086896486121286</v>
      </c>
      <c r="T48" s="1786">
        <f t="shared" si="59"/>
        <v>12.960296574149602</v>
      </c>
      <c r="U48" s="1786">
        <f t="shared" si="13"/>
        <v>0.5</v>
      </c>
      <c r="V48" s="1786">
        <f t="shared" si="105"/>
        <v>7000</v>
      </c>
      <c r="W48" s="1890">
        <f t="shared" si="61"/>
        <v>0.5</v>
      </c>
      <c r="X48" s="1646" t="str">
        <f t="shared" si="106"/>
        <v>MCL</v>
      </c>
      <c r="Y48" s="1642">
        <f t="shared" si="62"/>
        <v>0.5</v>
      </c>
      <c r="Z48" s="1646" t="str">
        <f t="shared" si="107"/>
        <v>MCL</v>
      </c>
      <c r="AA48" s="1642">
        <f t="shared" si="63"/>
        <v>0.5</v>
      </c>
      <c r="AB48" s="1646" t="str">
        <f t="shared" si="108"/>
        <v>MCL</v>
      </c>
      <c r="AC48" s="1641">
        <f t="shared" si="64"/>
        <v>0.5</v>
      </c>
      <c r="AD48" s="1646" t="str">
        <f t="shared" si="109"/>
        <v>MCL</v>
      </c>
      <c r="AE48" s="1642">
        <f t="shared" si="65"/>
        <v>0.17086896486121286</v>
      </c>
      <c r="AF48" s="1646" t="str">
        <f t="shared" si="110"/>
        <v>Tapwater Cancer</v>
      </c>
      <c r="AG48" s="1642">
        <f t="shared" si="66"/>
        <v>0.17086896486121286</v>
      </c>
      <c r="AH48" s="1646" t="str">
        <f t="shared" si="111"/>
        <v>Tapwater Cancer</v>
      </c>
      <c r="AI48" s="1642">
        <f t="shared" si="67"/>
        <v>0.17086896486121286</v>
      </c>
      <c r="AJ48" s="1646" t="str">
        <f t="shared" si="112"/>
        <v>Tapwater Cancer</v>
      </c>
      <c r="AK48" s="1641">
        <f t="shared" si="68"/>
        <v>0.17086896486121286</v>
      </c>
      <c r="AL48" s="1646" t="str">
        <f t="shared" si="113"/>
        <v>Tapwater Cancer</v>
      </c>
      <c r="AM48" s="1641">
        <f t="shared" si="69"/>
        <v>2.2384665530037382</v>
      </c>
      <c r="AN48" s="1646" t="str">
        <f t="shared" si="114"/>
        <v>VI</v>
      </c>
      <c r="AO48" s="1643">
        <f t="shared" si="70"/>
        <v>2.2384665530037382</v>
      </c>
      <c r="AP48" s="1646" t="str">
        <f t="shared" si="115"/>
        <v>VI</v>
      </c>
      <c r="AQ48" s="1643">
        <f t="shared" si="71"/>
        <v>2.2384665530037382</v>
      </c>
      <c r="AR48" s="1646" t="str">
        <f t="shared" si="116"/>
        <v>VI</v>
      </c>
      <c r="AS48" s="1644">
        <f t="shared" si="72"/>
        <v>2.2384665530037382</v>
      </c>
      <c r="AT48" s="1891" t="str">
        <f t="shared" si="117"/>
        <v>VI</v>
      </c>
      <c r="AU48" s="1773">
        <f t="shared" si="84"/>
        <v>6.9489300000000007E-3</v>
      </c>
      <c r="AV48" s="1773">
        <f t="shared" si="85"/>
        <v>6.9489300000000007E-3</v>
      </c>
      <c r="AW48" s="1773">
        <f t="shared" si="86"/>
        <v>6.9489300000000007E-3</v>
      </c>
      <c r="AX48" s="1773">
        <f t="shared" si="87"/>
        <v>6.9489300000000007E-3</v>
      </c>
      <c r="AY48" s="1773">
        <f t="shared" si="88"/>
        <v>2.3747129519860561E-3</v>
      </c>
      <c r="AZ48" s="1773">
        <f t="shared" si="89"/>
        <v>2.3747129519860561E-3</v>
      </c>
      <c r="BA48" s="1773">
        <f t="shared" si="90"/>
        <v>2.3747129519860561E-3</v>
      </c>
      <c r="BB48" s="1773">
        <f t="shared" si="91"/>
        <v>2.3747129519860561E-3</v>
      </c>
      <c r="BC48" s="1773">
        <f t="shared" si="92"/>
        <v>3.1109894768328539E-2</v>
      </c>
      <c r="BD48" s="1773">
        <f t="shared" si="93"/>
        <v>3.1109894768328539E-2</v>
      </c>
      <c r="BE48" s="1773">
        <f t="shared" si="94"/>
        <v>3.1109894768328539E-2</v>
      </c>
      <c r="BF48" s="1947">
        <f t="shared" si="95"/>
        <v>3.1109894768328539E-2</v>
      </c>
    </row>
    <row r="49" spans="1:58">
      <c r="A49" s="184" t="s">
        <v>167</v>
      </c>
      <c r="B49" s="185" t="s">
        <v>168</v>
      </c>
      <c r="C49" s="388">
        <f t="shared" si="46"/>
        <v>0.15055633800000001</v>
      </c>
      <c r="D49" s="1779">
        <f t="shared" si="47"/>
        <v>0.15055633800000001</v>
      </c>
      <c r="E49" s="1785">
        <f t="shared" si="73"/>
        <v>31.82</v>
      </c>
      <c r="F49" s="271">
        <f t="shared" si="74"/>
        <v>2.6100000000000002E-2</v>
      </c>
      <c r="G49" s="271">
        <f t="shared" si="101"/>
        <v>167.28482</v>
      </c>
      <c r="H49" s="272">
        <f t="shared" si="102"/>
        <v>1192.8687147533901</v>
      </c>
      <c r="I49" s="1162">
        <f t="shared" si="98"/>
        <v>0.9</v>
      </c>
      <c r="J49" s="1163">
        <f t="shared" si="48"/>
        <v>0.9</v>
      </c>
      <c r="K49" s="1164" t="str">
        <f t="shared" si="49"/>
        <v>Seafood Consumption</v>
      </c>
      <c r="L49" s="271">
        <f t="shared" si="78"/>
        <v>25</v>
      </c>
      <c r="M49" s="271">
        <f t="shared" si="99"/>
        <v>22400</v>
      </c>
      <c r="N49" s="271">
        <f t="shared" si="80"/>
        <v>0.9</v>
      </c>
      <c r="O49" s="271">
        <f t="shared" si="103"/>
        <v>50000</v>
      </c>
      <c r="P49" s="1773">
        <f t="shared" si="100"/>
        <v>3.8702226600985239</v>
      </c>
      <c r="Q49" s="1777">
        <f t="shared" si="104"/>
        <v>15000</v>
      </c>
      <c r="R49" s="1786">
        <f t="shared" si="57"/>
        <v>6</v>
      </c>
      <c r="S49" s="1786" t="str">
        <f t="shared" si="58"/>
        <v>--</v>
      </c>
      <c r="T49" s="1786">
        <f t="shared" si="59"/>
        <v>8.1840979942799947</v>
      </c>
      <c r="U49" s="1786">
        <f t="shared" si="13"/>
        <v>6</v>
      </c>
      <c r="V49" s="1786">
        <f t="shared" si="105"/>
        <v>1500</v>
      </c>
      <c r="W49" s="1890">
        <f t="shared" si="61"/>
        <v>0.9</v>
      </c>
      <c r="X49" s="1646" t="str">
        <f t="shared" si="106"/>
        <v>Seafood Ingestion</v>
      </c>
      <c r="Y49" s="1642">
        <f t="shared" si="62"/>
        <v>0.9</v>
      </c>
      <c r="Z49" s="1646" t="str">
        <f t="shared" si="107"/>
        <v>Seafood Ingestion</v>
      </c>
      <c r="AA49" s="1642">
        <f t="shared" si="63"/>
        <v>0.9</v>
      </c>
      <c r="AB49" s="1646" t="str">
        <f t="shared" si="108"/>
        <v>Seafood Ingestion</v>
      </c>
      <c r="AC49" s="1641">
        <f t="shared" si="64"/>
        <v>3.8702226600985239</v>
      </c>
      <c r="AD49" s="1646" t="str">
        <f t="shared" si="109"/>
        <v>VI</v>
      </c>
      <c r="AE49" s="1642">
        <f t="shared" si="65"/>
        <v>0.9</v>
      </c>
      <c r="AF49" s="1646" t="str">
        <f t="shared" si="110"/>
        <v>Seafood Ingestion</v>
      </c>
      <c r="AG49" s="1642">
        <f t="shared" si="66"/>
        <v>0.9</v>
      </c>
      <c r="AH49" s="1646" t="str">
        <f t="shared" si="111"/>
        <v>Seafood Ingestion</v>
      </c>
      <c r="AI49" s="1642">
        <f t="shared" si="67"/>
        <v>0.9</v>
      </c>
      <c r="AJ49" s="1646" t="str">
        <f t="shared" si="112"/>
        <v>Seafood Ingestion</v>
      </c>
      <c r="AK49" s="1641">
        <f t="shared" si="68"/>
        <v>3.8702226600985239</v>
      </c>
      <c r="AL49" s="1646" t="str">
        <f t="shared" si="113"/>
        <v>VI</v>
      </c>
      <c r="AM49" s="1641">
        <f t="shared" si="69"/>
        <v>0.9</v>
      </c>
      <c r="AN49" s="1646" t="str">
        <f t="shared" si="114"/>
        <v>Seafood Ingestion</v>
      </c>
      <c r="AO49" s="1643">
        <f t="shared" si="70"/>
        <v>0.9</v>
      </c>
      <c r="AP49" s="1646" t="str">
        <f t="shared" si="115"/>
        <v>Seafood Ingestion</v>
      </c>
      <c r="AQ49" s="1643">
        <f t="shared" si="71"/>
        <v>0.9</v>
      </c>
      <c r="AR49" s="1646" t="str">
        <f t="shared" si="116"/>
        <v>Seafood Ingestion</v>
      </c>
      <c r="AS49" s="1644">
        <f t="shared" si="72"/>
        <v>3.8702226600985239</v>
      </c>
      <c r="AT49" s="1891" t="str">
        <f t="shared" si="117"/>
        <v>VI</v>
      </c>
      <c r="AU49" s="1773">
        <f t="shared" si="84"/>
        <v>0.15055633800000001</v>
      </c>
      <c r="AV49" s="1773">
        <f t="shared" si="85"/>
        <v>0.15055633800000001</v>
      </c>
      <c r="AW49" s="1773">
        <f t="shared" si="86"/>
        <v>0.15055633800000001</v>
      </c>
      <c r="AX49" s="1773">
        <f t="shared" si="87"/>
        <v>0.64742950105450281</v>
      </c>
      <c r="AY49" s="1773">
        <f t="shared" si="88"/>
        <v>0.15055633800000001</v>
      </c>
      <c r="AZ49" s="1773">
        <f t="shared" si="89"/>
        <v>0.15055633800000001</v>
      </c>
      <c r="BA49" s="1773">
        <f t="shared" si="90"/>
        <v>0.15055633800000001</v>
      </c>
      <c r="BB49" s="1773">
        <f t="shared" si="91"/>
        <v>0.64742950105450281</v>
      </c>
      <c r="BC49" s="1773">
        <f t="shared" si="92"/>
        <v>0.15055633800000001</v>
      </c>
      <c r="BD49" s="1773">
        <f t="shared" si="93"/>
        <v>0.15055633800000001</v>
      </c>
      <c r="BE49" s="1773">
        <f t="shared" si="94"/>
        <v>0.15055633800000001</v>
      </c>
      <c r="BF49" s="1947">
        <f t="shared" si="95"/>
        <v>0.64742950105450281</v>
      </c>
    </row>
    <row r="50" spans="1:58">
      <c r="A50" s="184" t="s">
        <v>169</v>
      </c>
      <c r="B50" s="185" t="s">
        <v>170</v>
      </c>
      <c r="C50" s="388">
        <f t="shared" si="46"/>
        <v>0.19138896000000002</v>
      </c>
      <c r="D50" s="1779">
        <f t="shared" si="47"/>
        <v>7.9771311670586948</v>
      </c>
      <c r="E50" s="1785">
        <f t="shared" si="73"/>
        <v>39.6</v>
      </c>
      <c r="F50" s="271">
        <f t="shared" si="74"/>
        <v>4.0800000000000003E-3</v>
      </c>
      <c r="G50" s="271">
        <f t="shared" si="101"/>
        <v>31.898160000000004</v>
      </c>
      <c r="H50" s="272">
        <f t="shared" si="102"/>
        <v>2366.4256021228371</v>
      </c>
      <c r="I50" s="1162">
        <f t="shared" si="98"/>
        <v>6</v>
      </c>
      <c r="J50" s="1163">
        <f t="shared" si="48"/>
        <v>250.08123249299314</v>
      </c>
      <c r="K50" s="1164" t="str">
        <f t="shared" si="49"/>
        <v>GW VI</v>
      </c>
      <c r="L50" s="271">
        <f t="shared" si="78"/>
        <v>590</v>
      </c>
      <c r="M50" s="271">
        <f t="shared" si="99"/>
        <v>22400</v>
      </c>
      <c r="N50" s="271" t="str">
        <f t="shared" si="80"/>
        <v>--</v>
      </c>
      <c r="O50" s="271">
        <f t="shared" si="103"/>
        <v>50000</v>
      </c>
      <c r="P50" s="1773">
        <f t="shared" si="100"/>
        <v>250.08123249299314</v>
      </c>
      <c r="Q50" s="1777" t="str">
        <f t="shared" si="104"/>
        <v>--</v>
      </c>
      <c r="R50" s="1786">
        <f t="shared" si="57"/>
        <v>6</v>
      </c>
      <c r="S50" s="1786" t="str">
        <f t="shared" si="58"/>
        <v>--</v>
      </c>
      <c r="T50" s="1786">
        <f t="shared" si="59"/>
        <v>13</v>
      </c>
      <c r="U50" s="1786">
        <f t="shared" si="13"/>
        <v>6</v>
      </c>
      <c r="V50" s="1786" t="str">
        <f t="shared" si="105"/>
        <v>--</v>
      </c>
      <c r="W50" s="1890">
        <f t="shared" si="61"/>
        <v>6</v>
      </c>
      <c r="X50" s="1646" t="str">
        <f t="shared" si="106"/>
        <v>MCL</v>
      </c>
      <c r="Y50" s="1642">
        <f t="shared" si="62"/>
        <v>6</v>
      </c>
      <c r="Z50" s="1646" t="str">
        <f t="shared" si="107"/>
        <v>MCL</v>
      </c>
      <c r="AA50" s="1642">
        <f t="shared" si="63"/>
        <v>6</v>
      </c>
      <c r="AB50" s="1646" t="str">
        <f t="shared" si="108"/>
        <v>MCL</v>
      </c>
      <c r="AC50" s="1641">
        <f t="shared" si="64"/>
        <v>6</v>
      </c>
      <c r="AD50" s="1646" t="str">
        <f t="shared" si="109"/>
        <v>MCL</v>
      </c>
      <c r="AE50" s="1642">
        <f t="shared" si="65"/>
        <v>13</v>
      </c>
      <c r="AF50" s="1646" t="str">
        <f t="shared" si="110"/>
        <v>Tapwater Noncancer</v>
      </c>
      <c r="AG50" s="1642">
        <f t="shared" si="66"/>
        <v>13</v>
      </c>
      <c r="AH50" s="1646" t="str">
        <f t="shared" si="111"/>
        <v>Tapwater Noncancer</v>
      </c>
      <c r="AI50" s="1642">
        <f t="shared" si="67"/>
        <v>13</v>
      </c>
      <c r="AJ50" s="1646" t="str">
        <f t="shared" si="112"/>
        <v>Tapwater Noncancer</v>
      </c>
      <c r="AK50" s="1641">
        <f t="shared" si="68"/>
        <v>13</v>
      </c>
      <c r="AL50" s="1646" t="str">
        <f t="shared" si="113"/>
        <v>Tapwater Noncancer</v>
      </c>
      <c r="AM50" s="1641">
        <f t="shared" si="69"/>
        <v>250.08123249299314</v>
      </c>
      <c r="AN50" s="1646" t="str">
        <f t="shared" si="114"/>
        <v>VI</v>
      </c>
      <c r="AO50" s="1643">
        <f t="shared" si="70"/>
        <v>250.08123249299314</v>
      </c>
      <c r="AP50" s="1646" t="str">
        <f t="shared" si="115"/>
        <v>VI</v>
      </c>
      <c r="AQ50" s="1643">
        <f t="shared" si="71"/>
        <v>250.08123249299314</v>
      </c>
      <c r="AR50" s="1646" t="str">
        <f t="shared" si="116"/>
        <v>VI</v>
      </c>
      <c r="AS50" s="1644">
        <f t="shared" si="72"/>
        <v>250.08123249299314</v>
      </c>
      <c r="AT50" s="1891" t="str">
        <f t="shared" si="117"/>
        <v>VI</v>
      </c>
      <c r="AU50" s="1773">
        <f t="shared" si="84"/>
        <v>0.19138896000000002</v>
      </c>
      <c r="AV50" s="1773">
        <f t="shared" si="85"/>
        <v>0.19138896000000002</v>
      </c>
      <c r="AW50" s="1773">
        <f t="shared" si="86"/>
        <v>0.19138896000000002</v>
      </c>
      <c r="AX50" s="1773">
        <f t="shared" si="87"/>
        <v>0.19138896000000002</v>
      </c>
      <c r="AY50" s="1773">
        <f t="shared" si="88"/>
        <v>0.41467608000000006</v>
      </c>
      <c r="AZ50" s="1773">
        <f t="shared" si="89"/>
        <v>0.41467608000000006</v>
      </c>
      <c r="BA50" s="1773">
        <f t="shared" si="90"/>
        <v>0.41467608000000006</v>
      </c>
      <c r="BB50" s="1773">
        <f t="shared" si="91"/>
        <v>0.41467608000000006</v>
      </c>
      <c r="BC50" s="1773">
        <f t="shared" si="92"/>
        <v>7.9771311670586948</v>
      </c>
      <c r="BD50" s="1773">
        <f t="shared" si="93"/>
        <v>7.9771311670586948</v>
      </c>
      <c r="BE50" s="1773">
        <f t="shared" si="94"/>
        <v>7.9771311670586948</v>
      </c>
      <c r="BF50" s="1947">
        <f t="shared" si="95"/>
        <v>7.9771311670586948</v>
      </c>
    </row>
    <row r="51" spans="1:58">
      <c r="A51" s="184" t="s">
        <v>171</v>
      </c>
      <c r="B51" s="185" t="s">
        <v>172</v>
      </c>
      <c r="C51" s="388">
        <f t="shared" si="46"/>
        <v>0.64795259999999999</v>
      </c>
      <c r="D51" s="1779">
        <f t="shared" si="47"/>
        <v>7.0482558849101977</v>
      </c>
      <c r="E51" s="1785">
        <f t="shared" si="73"/>
        <v>39.6</v>
      </c>
      <c r="F51" s="271">
        <f t="shared" si="74"/>
        <v>9.3799999999999994E-3</v>
      </c>
      <c r="G51" s="271">
        <f t="shared" si="101"/>
        <v>64.795259999999999</v>
      </c>
      <c r="H51" s="272">
        <f t="shared" si="102"/>
        <v>1854.0882357744872</v>
      </c>
      <c r="I51" s="1162">
        <f t="shared" si="98"/>
        <v>10</v>
      </c>
      <c r="J51" s="1163">
        <f t="shared" si="48"/>
        <v>108.77733780079281</v>
      </c>
      <c r="K51" s="1164" t="str">
        <f t="shared" si="49"/>
        <v>GW VI</v>
      </c>
      <c r="L51" s="271">
        <f t="shared" si="78"/>
        <v>590</v>
      </c>
      <c r="M51" s="271">
        <f t="shared" si="99"/>
        <v>22400</v>
      </c>
      <c r="N51" s="271">
        <f t="shared" si="80"/>
        <v>4000</v>
      </c>
      <c r="O51" s="271">
        <f t="shared" si="103"/>
        <v>50000</v>
      </c>
      <c r="P51" s="1773">
        <f t="shared" si="100"/>
        <v>108.77733780079281</v>
      </c>
      <c r="Q51" s="1777">
        <f t="shared" si="104"/>
        <v>2600</v>
      </c>
      <c r="R51" s="1786">
        <f t="shared" si="57"/>
        <v>10</v>
      </c>
      <c r="S51" s="1786" t="str">
        <f t="shared" si="58"/>
        <v>--</v>
      </c>
      <c r="T51" s="1786">
        <f t="shared" si="59"/>
        <v>50</v>
      </c>
      <c r="U51" s="1786">
        <f t="shared" si="13"/>
        <v>10</v>
      </c>
      <c r="V51" s="1786">
        <f t="shared" si="105"/>
        <v>260</v>
      </c>
      <c r="W51" s="1890">
        <f t="shared" si="61"/>
        <v>10</v>
      </c>
      <c r="X51" s="1646" t="str">
        <f t="shared" si="106"/>
        <v>MCL</v>
      </c>
      <c r="Y51" s="1642">
        <f t="shared" si="62"/>
        <v>10</v>
      </c>
      <c r="Z51" s="1646" t="str">
        <f t="shared" si="107"/>
        <v>MCL</v>
      </c>
      <c r="AA51" s="1642">
        <f t="shared" si="63"/>
        <v>10</v>
      </c>
      <c r="AB51" s="1646" t="str">
        <f t="shared" si="108"/>
        <v>MCL</v>
      </c>
      <c r="AC51" s="1641">
        <f t="shared" si="64"/>
        <v>10</v>
      </c>
      <c r="AD51" s="1646" t="str">
        <f t="shared" si="109"/>
        <v>MCL</v>
      </c>
      <c r="AE51" s="1642">
        <f t="shared" si="65"/>
        <v>50</v>
      </c>
      <c r="AF51" s="1646" t="str">
        <f t="shared" si="110"/>
        <v>Tapwater Noncancer</v>
      </c>
      <c r="AG51" s="1642">
        <f t="shared" si="66"/>
        <v>50</v>
      </c>
      <c r="AH51" s="1646" t="str">
        <f t="shared" si="111"/>
        <v>Tapwater Noncancer</v>
      </c>
      <c r="AI51" s="1642">
        <f t="shared" si="67"/>
        <v>50</v>
      </c>
      <c r="AJ51" s="1646" t="str">
        <f t="shared" si="112"/>
        <v>Tapwater Noncancer</v>
      </c>
      <c r="AK51" s="1641">
        <f t="shared" si="68"/>
        <v>50</v>
      </c>
      <c r="AL51" s="1646" t="str">
        <f t="shared" si="113"/>
        <v>Tapwater Noncancer</v>
      </c>
      <c r="AM51" s="1641">
        <f t="shared" si="69"/>
        <v>108.77733780079281</v>
      </c>
      <c r="AN51" s="1646" t="str">
        <f t="shared" si="114"/>
        <v>VI</v>
      </c>
      <c r="AO51" s="1643">
        <f t="shared" si="70"/>
        <v>108.77733780079281</v>
      </c>
      <c r="AP51" s="1646" t="str">
        <f t="shared" si="115"/>
        <v>VI</v>
      </c>
      <c r="AQ51" s="1643">
        <f t="shared" si="71"/>
        <v>108.77733780079281</v>
      </c>
      <c r="AR51" s="1646" t="str">
        <f t="shared" si="116"/>
        <v>VI</v>
      </c>
      <c r="AS51" s="1644">
        <f t="shared" si="72"/>
        <v>108.77733780079281</v>
      </c>
      <c r="AT51" s="1891" t="str">
        <f t="shared" si="117"/>
        <v>VI</v>
      </c>
      <c r="AU51" s="1773">
        <f t="shared" si="84"/>
        <v>0.64795259999999999</v>
      </c>
      <c r="AV51" s="1773">
        <f t="shared" si="85"/>
        <v>0.64795259999999999</v>
      </c>
      <c r="AW51" s="1773">
        <f t="shared" si="86"/>
        <v>0.64795259999999999</v>
      </c>
      <c r="AX51" s="1773">
        <f t="shared" si="87"/>
        <v>0.64795259999999999</v>
      </c>
      <c r="AY51" s="1773">
        <f t="shared" si="88"/>
        <v>3.2397629999999999</v>
      </c>
      <c r="AZ51" s="1773">
        <f t="shared" si="89"/>
        <v>3.2397629999999999</v>
      </c>
      <c r="BA51" s="1773">
        <f t="shared" si="90"/>
        <v>3.2397629999999999</v>
      </c>
      <c r="BB51" s="1773">
        <f t="shared" si="91"/>
        <v>3.2397629999999999</v>
      </c>
      <c r="BC51" s="1773">
        <f t="shared" si="92"/>
        <v>7.0482558849101977</v>
      </c>
      <c r="BD51" s="1773">
        <f t="shared" si="93"/>
        <v>7.0482558849101977</v>
      </c>
      <c r="BE51" s="1773">
        <f t="shared" si="94"/>
        <v>7.0482558849101977</v>
      </c>
      <c r="BF51" s="1947">
        <f t="shared" si="95"/>
        <v>7.0482558849101977</v>
      </c>
    </row>
    <row r="52" spans="1:58">
      <c r="A52" s="184" t="s">
        <v>173</v>
      </c>
      <c r="B52" s="185" t="s">
        <v>174</v>
      </c>
      <c r="C52" s="388">
        <f t="shared" si="46"/>
        <v>7.3285884090000001E-3</v>
      </c>
      <c r="D52" s="1779">
        <f t="shared" si="47"/>
        <v>2.4428628030000003E-2</v>
      </c>
      <c r="E52" s="1785">
        <f t="shared" si="73"/>
        <v>147</v>
      </c>
      <c r="F52" s="271">
        <f t="shared" si="74"/>
        <v>4.2899999999999996E-6</v>
      </c>
      <c r="G52" s="271">
        <f t="shared" si="101"/>
        <v>24.428628030000002</v>
      </c>
      <c r="H52" s="272">
        <f t="shared" si="102"/>
        <v>5450.2842736311914</v>
      </c>
      <c r="I52" s="1162">
        <f t="shared" si="98"/>
        <v>0.3</v>
      </c>
      <c r="J52" s="1163">
        <f t="shared" si="48"/>
        <v>1</v>
      </c>
      <c r="K52" s="1164" t="str">
        <f t="shared" si="49"/>
        <v>SW EcoTox Goal</v>
      </c>
      <c r="L52" s="271">
        <f t="shared" si="78"/>
        <v>182.5</v>
      </c>
      <c r="M52" s="271">
        <f t="shared" si="99"/>
        <v>1</v>
      </c>
      <c r="N52" s="271">
        <f t="shared" si="80"/>
        <v>60</v>
      </c>
      <c r="O52" s="271">
        <f t="shared" si="103"/>
        <v>50000</v>
      </c>
      <c r="P52" s="1773" t="str">
        <f t="shared" si="100"/>
        <v>--</v>
      </c>
      <c r="Q52" s="1777">
        <f t="shared" si="104"/>
        <v>3</v>
      </c>
      <c r="R52" s="1786" t="str">
        <f t="shared" si="57"/>
        <v>--</v>
      </c>
      <c r="S52" s="1786" t="str">
        <f t="shared" si="58"/>
        <v>--</v>
      </c>
      <c r="T52" s="1786">
        <f t="shared" si="59"/>
        <v>45.694289862312644</v>
      </c>
      <c r="U52" s="1786">
        <f t="shared" si="13"/>
        <v>45.694289862312644</v>
      </c>
      <c r="V52" s="1786">
        <f t="shared" si="105"/>
        <v>0.3</v>
      </c>
      <c r="W52" s="1890">
        <f t="shared" si="61"/>
        <v>0.3</v>
      </c>
      <c r="X52" s="1646" t="str">
        <f t="shared" si="106"/>
        <v>DW Taste &amp; Odor</v>
      </c>
      <c r="Y52" s="1642">
        <f t="shared" si="62"/>
        <v>0.3</v>
      </c>
      <c r="Z52" s="1646" t="str">
        <f t="shared" si="107"/>
        <v>DW Taste &amp; Odor</v>
      </c>
      <c r="AA52" s="1642">
        <f t="shared" si="63"/>
        <v>0.3</v>
      </c>
      <c r="AB52" s="1646" t="str">
        <f t="shared" si="108"/>
        <v>DW Taste &amp; Odor</v>
      </c>
      <c r="AC52" s="1641">
        <f t="shared" si="64"/>
        <v>0.3</v>
      </c>
      <c r="AD52" s="1646" t="str">
        <f t="shared" si="109"/>
        <v>DW Taste &amp; Odor</v>
      </c>
      <c r="AE52" s="1642">
        <f t="shared" si="65"/>
        <v>0.3</v>
      </c>
      <c r="AF52" s="1646" t="str">
        <f t="shared" si="110"/>
        <v>DW Taste &amp; Odor</v>
      </c>
      <c r="AG52" s="1642">
        <f t="shared" si="66"/>
        <v>0.3</v>
      </c>
      <c r="AH52" s="1646" t="str">
        <f t="shared" si="111"/>
        <v>DW Taste &amp; Odor</v>
      </c>
      <c r="AI52" s="1642">
        <f t="shared" si="67"/>
        <v>0.3</v>
      </c>
      <c r="AJ52" s="1646" t="str">
        <f t="shared" si="112"/>
        <v>DW Taste &amp; Odor</v>
      </c>
      <c r="AK52" s="1641">
        <f t="shared" si="68"/>
        <v>0.3</v>
      </c>
      <c r="AL52" s="1646" t="str">
        <f t="shared" si="113"/>
        <v>DW Taste &amp; Odor</v>
      </c>
      <c r="AM52" s="1641">
        <f t="shared" si="69"/>
        <v>1</v>
      </c>
      <c r="AN52" s="1646" t="str">
        <f t="shared" si="114"/>
        <v>Saltwater EcoTox</v>
      </c>
      <c r="AO52" s="1643">
        <f t="shared" si="70"/>
        <v>3</v>
      </c>
      <c r="AP52" s="1646" t="str">
        <f t="shared" si="115"/>
        <v>Outdoor Odor</v>
      </c>
      <c r="AQ52" s="1643">
        <f t="shared" si="71"/>
        <v>1</v>
      </c>
      <c r="AR52" s="1646" t="str">
        <f t="shared" si="116"/>
        <v>Saltwater EcoTox</v>
      </c>
      <c r="AS52" s="1644">
        <f t="shared" si="72"/>
        <v>3</v>
      </c>
      <c r="AT52" s="1891" t="str">
        <f t="shared" si="117"/>
        <v>Outdoor Odor</v>
      </c>
      <c r="AU52" s="1773">
        <f t="shared" si="84"/>
        <v>7.3285884090000001E-3</v>
      </c>
      <c r="AV52" s="1773">
        <f t="shared" si="85"/>
        <v>7.3285884090000001E-3</v>
      </c>
      <c r="AW52" s="1773">
        <f t="shared" si="86"/>
        <v>7.3285884090000001E-3</v>
      </c>
      <c r="AX52" s="1773">
        <f t="shared" si="87"/>
        <v>7.3285884090000001E-3</v>
      </c>
      <c r="AY52" s="1773">
        <f t="shared" si="88"/>
        <v>7.3285884090000001E-3</v>
      </c>
      <c r="AZ52" s="1773">
        <f t="shared" si="89"/>
        <v>7.3285884090000001E-3</v>
      </c>
      <c r="BA52" s="1773">
        <f t="shared" si="90"/>
        <v>7.3285884090000001E-3</v>
      </c>
      <c r="BB52" s="1773">
        <f t="shared" si="91"/>
        <v>7.3285884090000001E-3</v>
      </c>
      <c r="BC52" s="1773">
        <f t="shared" si="92"/>
        <v>2.4428628030000003E-2</v>
      </c>
      <c r="BD52" s="1773">
        <f t="shared" si="93"/>
        <v>7.3285884090000017E-2</v>
      </c>
      <c r="BE52" s="1773">
        <f t="shared" si="94"/>
        <v>2.4428628030000003E-2</v>
      </c>
      <c r="BF52" s="1947">
        <f t="shared" si="95"/>
        <v>7.3285884090000017E-2</v>
      </c>
    </row>
    <row r="53" spans="1:58">
      <c r="A53" s="184" t="s">
        <v>175</v>
      </c>
      <c r="B53" s="185" t="s">
        <v>176</v>
      </c>
      <c r="C53" s="388">
        <f t="shared" si="46"/>
        <v>0.13789969999999999</v>
      </c>
      <c r="D53" s="1779">
        <f t="shared" si="47"/>
        <v>0.18153001749163405</v>
      </c>
      <c r="E53" s="1785">
        <f t="shared" si="73"/>
        <v>60.7</v>
      </c>
      <c r="F53" s="271">
        <f t="shared" si="74"/>
        <v>2.82E-3</v>
      </c>
      <c r="G53" s="271">
        <f t="shared" si="101"/>
        <v>27.579940000000001</v>
      </c>
      <c r="H53" s="272">
        <f t="shared" si="102"/>
        <v>1360.8710939693603</v>
      </c>
      <c r="I53" s="1162">
        <f t="shared" si="98"/>
        <v>5</v>
      </c>
      <c r="J53" s="1163">
        <f t="shared" si="48"/>
        <v>6.5819583904690893</v>
      </c>
      <c r="K53" s="1164" t="str">
        <f t="shared" si="49"/>
        <v>GW VI</v>
      </c>
      <c r="L53" s="271">
        <f t="shared" si="78"/>
        <v>2850</v>
      </c>
      <c r="M53" s="271">
        <f t="shared" si="99"/>
        <v>1520</v>
      </c>
      <c r="N53" s="271">
        <f t="shared" si="80"/>
        <v>31</v>
      </c>
      <c r="O53" s="271">
        <f t="shared" si="103"/>
        <v>50000</v>
      </c>
      <c r="P53" s="1773">
        <f t="shared" si="100"/>
        <v>6.5819583904690893</v>
      </c>
      <c r="Q53" s="1777">
        <f t="shared" si="104"/>
        <v>100</v>
      </c>
      <c r="R53" s="1786">
        <f t="shared" si="57"/>
        <v>5</v>
      </c>
      <c r="S53" s="1786">
        <f t="shared" si="58"/>
        <v>0.5</v>
      </c>
      <c r="T53" s="1786">
        <f t="shared" si="59"/>
        <v>8.249864020050655</v>
      </c>
      <c r="U53" s="1786">
        <f t="shared" si="13"/>
        <v>5</v>
      </c>
      <c r="V53" s="1786">
        <f t="shared" si="105"/>
        <v>10</v>
      </c>
      <c r="W53" s="1890">
        <f t="shared" si="61"/>
        <v>5</v>
      </c>
      <c r="X53" s="1646" t="str">
        <f t="shared" si="106"/>
        <v>MCL</v>
      </c>
      <c r="Y53" s="1642">
        <f t="shared" si="62"/>
        <v>5</v>
      </c>
      <c r="Z53" s="1646" t="str">
        <f t="shared" si="107"/>
        <v>MCL</v>
      </c>
      <c r="AA53" s="1642">
        <f t="shared" si="63"/>
        <v>5</v>
      </c>
      <c r="AB53" s="1646" t="str">
        <f t="shared" si="108"/>
        <v>MCL</v>
      </c>
      <c r="AC53" s="1641">
        <f t="shared" si="64"/>
        <v>5</v>
      </c>
      <c r="AD53" s="1646" t="str">
        <f t="shared" si="109"/>
        <v>MCL</v>
      </c>
      <c r="AE53" s="1642">
        <f t="shared" si="65"/>
        <v>0.5</v>
      </c>
      <c r="AF53" s="1646" t="str">
        <f t="shared" si="110"/>
        <v>Tapwater Cancer</v>
      </c>
      <c r="AG53" s="1642">
        <f t="shared" si="66"/>
        <v>0.5</v>
      </c>
      <c r="AH53" s="1646" t="str">
        <f t="shared" si="111"/>
        <v>Tapwater Cancer</v>
      </c>
      <c r="AI53" s="1642">
        <f t="shared" si="67"/>
        <v>0.5</v>
      </c>
      <c r="AJ53" s="1646" t="str">
        <f t="shared" si="112"/>
        <v>Tapwater Cancer</v>
      </c>
      <c r="AK53" s="1641">
        <f t="shared" si="68"/>
        <v>0.5</v>
      </c>
      <c r="AL53" s="1646" t="str">
        <f t="shared" si="113"/>
        <v>Tapwater Cancer</v>
      </c>
      <c r="AM53" s="1641">
        <f t="shared" si="69"/>
        <v>6.5819583904690893</v>
      </c>
      <c r="AN53" s="1646" t="str">
        <f t="shared" si="114"/>
        <v>VI</v>
      </c>
      <c r="AO53" s="1643">
        <f t="shared" si="70"/>
        <v>6.5819583904690893</v>
      </c>
      <c r="AP53" s="1646" t="str">
        <f t="shared" si="115"/>
        <v>VI</v>
      </c>
      <c r="AQ53" s="1643">
        <f t="shared" si="71"/>
        <v>6.5819583904690893</v>
      </c>
      <c r="AR53" s="1646" t="str">
        <f t="shared" si="116"/>
        <v>VI</v>
      </c>
      <c r="AS53" s="1644">
        <f t="shared" si="72"/>
        <v>6.5819583904690893</v>
      </c>
      <c r="AT53" s="1891" t="str">
        <f t="shared" si="117"/>
        <v>VI</v>
      </c>
      <c r="AU53" s="1773">
        <f t="shared" si="84"/>
        <v>0.13789969999999999</v>
      </c>
      <c r="AV53" s="1773">
        <f t="shared" si="85"/>
        <v>0.13789969999999999</v>
      </c>
      <c r="AW53" s="1773">
        <f t="shared" si="86"/>
        <v>0.13789969999999999</v>
      </c>
      <c r="AX53" s="1773">
        <f t="shared" si="87"/>
        <v>0.13789969999999999</v>
      </c>
      <c r="AY53" s="1773">
        <f t="shared" si="88"/>
        <v>1.378997E-2</v>
      </c>
      <c r="AZ53" s="1773">
        <f t="shared" si="89"/>
        <v>1.378997E-2</v>
      </c>
      <c r="BA53" s="1773">
        <f t="shared" si="90"/>
        <v>1.378997E-2</v>
      </c>
      <c r="BB53" s="1773">
        <f t="shared" si="91"/>
        <v>1.378997E-2</v>
      </c>
      <c r="BC53" s="1773">
        <f t="shared" si="92"/>
        <v>0.18153001749163405</v>
      </c>
      <c r="BD53" s="1773">
        <f t="shared" si="93"/>
        <v>0.18153001749163405</v>
      </c>
      <c r="BE53" s="1773">
        <f t="shared" si="94"/>
        <v>0.18153001749163405</v>
      </c>
      <c r="BF53" s="1947">
        <f t="shared" si="95"/>
        <v>0.18153001749163405</v>
      </c>
    </row>
    <row r="54" spans="1:58">
      <c r="A54" s="184" t="s">
        <v>177</v>
      </c>
      <c r="B54" s="185" t="s">
        <v>178</v>
      </c>
      <c r="C54" s="388">
        <f t="shared" si="46"/>
        <v>1.7007535000000001E-2</v>
      </c>
      <c r="D54" s="1779">
        <f t="shared" si="47"/>
        <v>0.16450874509913749</v>
      </c>
      <c r="E54" s="1785">
        <f t="shared" si="73"/>
        <v>72.17</v>
      </c>
      <c r="F54" s="271">
        <f t="shared" si="74"/>
        <v>3.5500000000000002E-3</v>
      </c>
      <c r="G54" s="271">
        <f t="shared" si="101"/>
        <v>34.015070000000001</v>
      </c>
      <c r="H54" s="272">
        <f t="shared" si="102"/>
        <v>1569.3866324791582</v>
      </c>
      <c r="I54" s="1162">
        <f t="shared" si="98"/>
        <v>0.5</v>
      </c>
      <c r="J54" s="1163">
        <f t="shared" si="48"/>
        <v>4.8363488624053241</v>
      </c>
      <c r="K54" s="1164" t="str">
        <f t="shared" si="49"/>
        <v>GW VI</v>
      </c>
      <c r="L54" s="271">
        <f t="shared" si="78"/>
        <v>122</v>
      </c>
      <c r="M54" s="271">
        <f t="shared" si="99"/>
        <v>79</v>
      </c>
      <c r="N54" s="271">
        <f t="shared" si="80"/>
        <v>12</v>
      </c>
      <c r="O54" s="271">
        <f t="shared" si="103"/>
        <v>50000</v>
      </c>
      <c r="P54" s="1773">
        <f t="shared" si="100"/>
        <v>4.8363488624053241</v>
      </c>
      <c r="Q54" s="1777" t="str">
        <f t="shared" si="104"/>
        <v>--</v>
      </c>
      <c r="R54" s="1786">
        <f t="shared" si="57"/>
        <v>0.5</v>
      </c>
      <c r="S54" s="1786">
        <f t="shared" si="58"/>
        <v>0.2</v>
      </c>
      <c r="T54" s="1786">
        <f t="shared" si="59"/>
        <v>38.779122093390228</v>
      </c>
      <c r="U54" s="1786">
        <f t="shared" si="13"/>
        <v>0.5</v>
      </c>
      <c r="V54" s="1786" t="str">
        <f t="shared" si="105"/>
        <v>--</v>
      </c>
      <c r="W54" s="1890">
        <f t="shared" si="61"/>
        <v>0.5</v>
      </c>
      <c r="X54" s="1646" t="str">
        <f t="shared" si="106"/>
        <v>MCL</v>
      </c>
      <c r="Y54" s="1642">
        <f t="shared" si="62"/>
        <v>0.5</v>
      </c>
      <c r="Z54" s="1646" t="str">
        <f t="shared" si="107"/>
        <v>MCL</v>
      </c>
      <c r="AA54" s="1642">
        <f t="shared" si="63"/>
        <v>0.5</v>
      </c>
      <c r="AB54" s="1646" t="str">
        <f t="shared" si="108"/>
        <v>MCL</v>
      </c>
      <c r="AC54" s="1641">
        <f t="shared" si="64"/>
        <v>0.5</v>
      </c>
      <c r="AD54" s="1646" t="str">
        <f t="shared" si="109"/>
        <v>MCL</v>
      </c>
      <c r="AE54" s="1642">
        <f t="shared" si="65"/>
        <v>0.2</v>
      </c>
      <c r="AF54" s="1646" t="str">
        <f t="shared" si="110"/>
        <v>Tapwater Cancer</v>
      </c>
      <c r="AG54" s="1642">
        <f t="shared" si="66"/>
        <v>0.2</v>
      </c>
      <c r="AH54" s="1646" t="str">
        <f t="shared" si="111"/>
        <v>Tapwater Cancer</v>
      </c>
      <c r="AI54" s="1642">
        <f t="shared" si="67"/>
        <v>0.2</v>
      </c>
      <c r="AJ54" s="1646" t="str">
        <f t="shared" si="112"/>
        <v>Tapwater Cancer</v>
      </c>
      <c r="AK54" s="1641">
        <f t="shared" si="68"/>
        <v>0.2</v>
      </c>
      <c r="AL54" s="1646" t="str">
        <f t="shared" si="113"/>
        <v>Tapwater Cancer</v>
      </c>
      <c r="AM54" s="1641">
        <f t="shared" si="69"/>
        <v>4.8363488624053241</v>
      </c>
      <c r="AN54" s="1646" t="str">
        <f t="shared" si="114"/>
        <v>VI</v>
      </c>
      <c r="AO54" s="1643">
        <f t="shared" si="70"/>
        <v>4.8363488624053241</v>
      </c>
      <c r="AP54" s="1646" t="str">
        <f t="shared" si="115"/>
        <v>VI</v>
      </c>
      <c r="AQ54" s="1643">
        <f t="shared" si="71"/>
        <v>4.8363488624053241</v>
      </c>
      <c r="AR54" s="1646" t="str">
        <f t="shared" si="116"/>
        <v>VI</v>
      </c>
      <c r="AS54" s="1644">
        <f t="shared" si="72"/>
        <v>4.8363488624053241</v>
      </c>
      <c r="AT54" s="1891" t="str">
        <f t="shared" si="117"/>
        <v>VI</v>
      </c>
      <c r="AU54" s="1773">
        <f t="shared" si="84"/>
        <v>1.7007535000000001E-2</v>
      </c>
      <c r="AV54" s="1773">
        <f t="shared" si="85"/>
        <v>1.7007535000000001E-2</v>
      </c>
      <c r="AW54" s="1773">
        <f t="shared" si="86"/>
        <v>1.7007535000000001E-2</v>
      </c>
      <c r="AX54" s="1773">
        <f t="shared" si="87"/>
        <v>1.7007535000000001E-2</v>
      </c>
      <c r="AY54" s="1773">
        <f t="shared" si="88"/>
        <v>6.8030140000000013E-3</v>
      </c>
      <c r="AZ54" s="1773">
        <f t="shared" si="89"/>
        <v>6.8030140000000013E-3</v>
      </c>
      <c r="BA54" s="1773">
        <f t="shared" si="90"/>
        <v>6.8030140000000013E-3</v>
      </c>
      <c r="BB54" s="1773">
        <f t="shared" si="91"/>
        <v>6.8030140000000013E-3</v>
      </c>
      <c r="BC54" s="1773">
        <f t="shared" si="92"/>
        <v>0.16450874509913749</v>
      </c>
      <c r="BD54" s="1773">
        <f t="shared" si="93"/>
        <v>0.16450874509913749</v>
      </c>
      <c r="BE54" s="1773">
        <f t="shared" si="94"/>
        <v>0.16450874509913749</v>
      </c>
      <c r="BF54" s="1947">
        <f t="shared" si="95"/>
        <v>0.16450874509913749</v>
      </c>
    </row>
    <row r="55" spans="1:58">
      <c r="A55" s="184" t="s">
        <v>179</v>
      </c>
      <c r="B55" s="185" t="s">
        <v>180</v>
      </c>
      <c r="C55" s="388">
        <f>IF(G55="--","--",IF(I55="--", I55,IF(AND(G55*I55*0.001&lt;H55,E55&gt;30000),H55,G55*I55*0.001)))</f>
        <v>4.0020024840000001E-6</v>
      </c>
      <c r="D55" s="1779">
        <f t="shared" si="47"/>
        <v>4.0020024840000001E-6</v>
      </c>
      <c r="E55" s="1785">
        <f t="shared" si="73"/>
        <v>20090</v>
      </c>
      <c r="F55" s="271">
        <f t="shared" si="74"/>
        <v>1.0000000000000001E-5</v>
      </c>
      <c r="G55" s="271">
        <f t="shared" si="101"/>
        <v>3335.00207</v>
      </c>
      <c r="H55" s="272">
        <f t="shared" si="102"/>
        <v>23.524815092025488</v>
      </c>
      <c r="I55" s="1162">
        <f t="shared" si="98"/>
        <v>1.1999999999999999E-6</v>
      </c>
      <c r="J55" s="1163">
        <f t="shared" si="48"/>
        <v>1.1999999999999999E-6</v>
      </c>
      <c r="K55" s="1164" t="str">
        <f t="shared" si="49"/>
        <v>Seafood Consumption</v>
      </c>
      <c r="L55" s="271">
        <f t="shared" si="78"/>
        <v>5.6000000000000001E-2</v>
      </c>
      <c r="M55" s="271">
        <f t="shared" si="99"/>
        <v>1.9E-3</v>
      </c>
      <c r="N55" s="271">
        <f t="shared" si="80"/>
        <v>1.1999999999999999E-6</v>
      </c>
      <c r="O55" s="271">
        <f t="shared" si="103"/>
        <v>97.5</v>
      </c>
      <c r="P55" s="1773" t="str">
        <f t="shared" si="100"/>
        <v>--</v>
      </c>
      <c r="Q55" s="1777">
        <f t="shared" si="104"/>
        <v>410</v>
      </c>
      <c r="R55" s="1786" t="str">
        <f t="shared" ref="R55:R86" si="118">VLOOKUP($A55,Table_GW_Summary, MATCH("mcl", heading_GW_Summary, 0), FALSE)</f>
        <v>--</v>
      </c>
      <c r="S55" s="1786">
        <f t="shared" ref="S55:S86" si="119">VLOOKUP($A55,Table_GW_Summary, MATCH("DW-C", heading_GW_Summary, 0), FALSE)</f>
        <v>1.7538113370915019E-3</v>
      </c>
      <c r="T55" s="1786">
        <f t="shared" ref="T55:T86" si="120">VLOOKUP($A55,Table_GW_Summary, MATCH("DW-NC", heading_GW_Summary, 0), FALSE)</f>
        <v>2E-3</v>
      </c>
      <c r="U55" s="1786">
        <f t="shared" si="13"/>
        <v>1.7538113370915019E-3</v>
      </c>
      <c r="V55" s="1786">
        <f t="shared" si="105"/>
        <v>41</v>
      </c>
      <c r="W55" s="1890">
        <f t="shared" ref="W55:W86" si="121">IF(AND(U55="--",V55="--",P55="--",O55="--",N55="--",M55="--"), "--", MIN(U55,V55,P55,O55,N55,M55))</f>
        <v>1.1999999999999999E-6</v>
      </c>
      <c r="X55" s="1646" t="str">
        <f t="shared" si="106"/>
        <v>Seafood Ingestion</v>
      </c>
      <c r="Y55" s="1642">
        <f t="shared" ref="Y55:Y86" si="122">IF(AND(U55="--",V55="--",P55="--",O55="--",N55="--",L55="--"),"--",MIN(U55,V55,P55,O55,N55,L55))</f>
        <v>1.1999999999999999E-6</v>
      </c>
      <c r="Z55" s="1646" t="str">
        <f t="shared" si="107"/>
        <v>Seafood Ingestion</v>
      </c>
      <c r="AA55" s="1642">
        <f t="shared" ref="AA55:AA86" si="123">IF(AND(U55="--",V55="--",P55="--",O55="--",N55="--",L55="--",M55="--"),"--",MIN(U55,V55,P55,O55,N55,M55,L55))</f>
        <v>1.1999999999999999E-6</v>
      </c>
      <c r="AB55" s="1646" t="str">
        <f t="shared" si="108"/>
        <v>Seafood Ingestion</v>
      </c>
      <c r="AC55" s="1641">
        <f t="shared" ref="AC55:AC86" si="124">IF(AND(U55="--",V55="--",P55="--",O55="--"), "--", MIN(U55,V55,P55,O55))</f>
        <v>1.7538113370915019E-3</v>
      </c>
      <c r="AD55" s="1646" t="str">
        <f t="shared" si="109"/>
        <v>Tapwater Cancer</v>
      </c>
      <c r="AE55" s="1642">
        <f t="shared" ref="AE55:AE86" si="125">IF(AND(T55="--",S55="--",V55="--",P55="--",O55="--",N55="--",M55="--"), "--", MIN(T55,S55,V55,P55,O55,N55,M55))</f>
        <v>1.1999999999999999E-6</v>
      </c>
      <c r="AF55" s="1646" t="str">
        <f t="shared" si="110"/>
        <v>Seafood Ingestion</v>
      </c>
      <c r="AG55" s="1642">
        <f t="shared" ref="AG55:AG86" si="126">IF(AND(T55="--",S55="--",V55="--",P55="--",O55="--",N55="--",L55="--"), "--", MIN(T55,S55,V55,P55,O55,N55,L55))</f>
        <v>1.1999999999999999E-6</v>
      </c>
      <c r="AH55" s="1646" t="str">
        <f t="shared" si="111"/>
        <v>Seafood Ingestion</v>
      </c>
      <c r="AI55" s="1642">
        <f t="shared" ref="AI55:AI86" si="127">IF(AND(T55="--",S55="--",V55="--",P55="--",O55="--",N55="--",M55="--",L55="--"), "--", MIN(T55,S55,V55,P55,O55,N55,M55,L55))</f>
        <v>1.1999999999999999E-6</v>
      </c>
      <c r="AJ55" s="1646" t="str">
        <f t="shared" si="112"/>
        <v>Seafood Ingestion</v>
      </c>
      <c r="AK55" s="1641">
        <f t="shared" ref="AK55:AK86" si="128">IF(AND(T55="--",S55="--",V55="--",P55="--",O55="--"),"--",MIN(T55,S55,V55,P55,O55))</f>
        <v>1.7538113370915019E-3</v>
      </c>
      <c r="AL55" s="1646" t="str">
        <f t="shared" si="113"/>
        <v>Tapwater Cancer</v>
      </c>
      <c r="AM55" s="1641">
        <f t="shared" ref="AM55:AM86" si="129">IF(AND(Q55="--",P55="--",O55="--",N55="--",M55="--"), "--", MIN(M55,N55,O55,P55,Q55))</f>
        <v>1.1999999999999999E-6</v>
      </c>
      <c r="AN55" s="1646" t="str">
        <f t="shared" si="114"/>
        <v>Seafood Ingestion</v>
      </c>
      <c r="AO55" s="1643">
        <f t="shared" ref="AO55:AO86" si="130">IF(AND(Q55="--",P55="--",O55="--",N55="--",L55="--"),"--",MIN(Q55,P55,O55,N55,L55))</f>
        <v>1.1999999999999999E-6</v>
      </c>
      <c r="AP55" s="1646" t="str">
        <f t="shared" si="115"/>
        <v>Seafood Ingestion</v>
      </c>
      <c r="AQ55" s="1643">
        <f t="shared" ref="AQ55:AQ86" si="131">IF(AND(Q55="--",P55="--",O55="--",N55="--",M55="--",L55="--"),"--",MIN(Q55,P55,O55,N55,M55,L55))</f>
        <v>1.1999999999999999E-6</v>
      </c>
      <c r="AR55" s="1646" t="str">
        <f t="shared" si="116"/>
        <v>Seafood Ingestion</v>
      </c>
      <c r="AS55" s="1644">
        <f t="shared" ref="AS55:AS86" si="132">IF(AND(Q55="--",P55="--",O55="--"),"--",MIN(Q55,P55,O55))</f>
        <v>97.5</v>
      </c>
      <c r="AT55" s="1891" t="str">
        <f t="shared" si="117"/>
        <v>Outdoor Odor</v>
      </c>
      <c r="AU55" s="1773">
        <f t="shared" si="84"/>
        <v>4.0020024840000001E-6</v>
      </c>
      <c r="AV55" s="1773">
        <f t="shared" si="85"/>
        <v>4.0020024840000001E-6</v>
      </c>
      <c r="AW55" s="1773">
        <f t="shared" si="86"/>
        <v>4.0020024840000001E-6</v>
      </c>
      <c r="AX55" s="1773">
        <f t="shared" si="87"/>
        <v>5.8489644395896268E-3</v>
      </c>
      <c r="AY55" s="1773">
        <f t="shared" si="88"/>
        <v>4.0020024840000001E-6</v>
      </c>
      <c r="AZ55" s="1773">
        <f t="shared" si="89"/>
        <v>4.0020024840000001E-6</v>
      </c>
      <c r="BA55" s="1773">
        <f t="shared" si="90"/>
        <v>4.0020024840000001E-6</v>
      </c>
      <c r="BB55" s="1773">
        <f t="shared" si="91"/>
        <v>5.8489644395896268E-3</v>
      </c>
      <c r="BC55" s="1773">
        <f t="shared" si="92"/>
        <v>4.0020024840000001E-6</v>
      </c>
      <c r="BD55" s="1773">
        <f t="shared" si="93"/>
        <v>4.0020024840000001E-6</v>
      </c>
      <c r="BE55" s="1773">
        <f t="shared" si="94"/>
        <v>4.0020024840000001E-6</v>
      </c>
      <c r="BF55" s="1947">
        <f t="shared" si="95"/>
        <v>325.162701825</v>
      </c>
    </row>
    <row r="56" spans="1:58">
      <c r="A56" s="184" t="s">
        <v>181</v>
      </c>
      <c r="B56" s="185" t="s">
        <v>182</v>
      </c>
      <c r="C56" s="388">
        <f t="shared" si="46"/>
        <v>2.6125779405000004E-2</v>
      </c>
      <c r="D56" s="1779">
        <f t="shared" si="47"/>
        <v>2.6125779405000004E-2</v>
      </c>
      <c r="E56" s="1785">
        <f t="shared" ref="E56:E87" si="133">VLOOKUP($A56,Table_IP_1, MATCH("Koc", heading_IP_1, 0), FALSE)</f>
        <v>104.9</v>
      </c>
      <c r="F56" s="271">
        <f t="shared" ref="F56:F87" si="134">VLOOKUP($A56,Table_IP_1, MATCH("h", heading_IP_1, 0), FALSE)</f>
        <v>6.0999999999999998E-7</v>
      </c>
      <c r="G56" s="271">
        <f t="shared" si="101"/>
        <v>17.417186270000002</v>
      </c>
      <c r="H56" s="272">
        <f t="shared" si="102"/>
        <v>787.75709878276473</v>
      </c>
      <c r="I56" s="1162">
        <f t="shared" si="98"/>
        <v>1.5</v>
      </c>
      <c r="J56" s="1163">
        <f t="shared" si="48"/>
        <v>1.5</v>
      </c>
      <c r="K56" s="1164" t="str">
        <f t="shared" si="49"/>
        <v>FW EcoTox Goal</v>
      </c>
      <c r="L56" s="271">
        <f t="shared" ref="L56:L87" si="135">VLOOKUP($A56,Table_GW_Summary, MATCH("FW-EcoT", heading_GW_Summary, 0), FALSE)</f>
        <v>1.5</v>
      </c>
      <c r="M56" s="271">
        <f t="shared" si="99"/>
        <v>1.7</v>
      </c>
      <c r="N56" s="271">
        <f t="shared" ref="N56:N87" si="136">VLOOKUP($A56,Table_GW_Summary, MATCH("bioac", heading_GW_Summary, 0), FALSE)</f>
        <v>600</v>
      </c>
      <c r="O56" s="271">
        <f t="shared" si="103"/>
        <v>50000</v>
      </c>
      <c r="P56" s="1773" t="str">
        <f t="shared" si="100"/>
        <v>--</v>
      </c>
      <c r="Q56" s="1777" t="str">
        <f t="shared" si="104"/>
        <v>--</v>
      </c>
      <c r="R56" s="1786" t="str">
        <f t="shared" si="118"/>
        <v>--</v>
      </c>
      <c r="S56" s="1786" t="str">
        <f t="shared" si="119"/>
        <v>--</v>
      </c>
      <c r="T56" s="1786">
        <f t="shared" si="120"/>
        <v>14840.631879910537</v>
      </c>
      <c r="U56" s="1786">
        <f t="shared" si="13"/>
        <v>14840.631879910537</v>
      </c>
      <c r="V56" s="1786" t="str">
        <f t="shared" si="105"/>
        <v>--</v>
      </c>
      <c r="W56" s="1890">
        <f t="shared" si="121"/>
        <v>1.7</v>
      </c>
      <c r="X56" s="1646" t="str">
        <f t="shared" si="106"/>
        <v>Saltwater EcoTox</v>
      </c>
      <c r="Y56" s="1642">
        <f t="shared" si="122"/>
        <v>1.5</v>
      </c>
      <c r="Z56" s="1646" t="str">
        <f t="shared" si="107"/>
        <v>FW EcoTox</v>
      </c>
      <c r="AA56" s="1642">
        <f t="shared" si="123"/>
        <v>1.5</v>
      </c>
      <c r="AB56" s="1646" t="str">
        <f t="shared" si="108"/>
        <v>FW EcoTox</v>
      </c>
      <c r="AC56" s="1641">
        <f t="shared" si="124"/>
        <v>14840.631879910537</v>
      </c>
      <c r="AD56" s="1646" t="str">
        <f t="shared" si="109"/>
        <v>Tapwater Noncancer</v>
      </c>
      <c r="AE56" s="1642">
        <f t="shared" si="125"/>
        <v>1.7</v>
      </c>
      <c r="AF56" s="1646" t="str">
        <f t="shared" si="110"/>
        <v>Saltwater EcoTox</v>
      </c>
      <c r="AG56" s="1642">
        <f t="shared" si="126"/>
        <v>1.5</v>
      </c>
      <c r="AH56" s="1646" t="str">
        <f t="shared" si="111"/>
        <v>FW EcoTox</v>
      </c>
      <c r="AI56" s="1642">
        <f t="shared" si="127"/>
        <v>1.5</v>
      </c>
      <c r="AJ56" s="1646" t="str">
        <f t="shared" si="112"/>
        <v>FW EcoTox</v>
      </c>
      <c r="AK56" s="1641">
        <f t="shared" si="128"/>
        <v>14840.631879910537</v>
      </c>
      <c r="AL56" s="1646" t="str">
        <f t="shared" si="113"/>
        <v>Tapwater Noncancer</v>
      </c>
      <c r="AM56" s="1641">
        <f t="shared" si="129"/>
        <v>1.7</v>
      </c>
      <c r="AN56" s="1646" t="str">
        <f t="shared" si="114"/>
        <v>Saltwater EcoTox</v>
      </c>
      <c r="AO56" s="1643">
        <f t="shared" si="130"/>
        <v>1.5</v>
      </c>
      <c r="AP56" s="1646" t="str">
        <f t="shared" si="115"/>
        <v>FW EcoTox</v>
      </c>
      <c r="AQ56" s="1643">
        <f t="shared" si="131"/>
        <v>1.5</v>
      </c>
      <c r="AR56" s="1646" t="str">
        <f t="shared" si="116"/>
        <v>FW EcoTox</v>
      </c>
      <c r="AS56" s="1644">
        <f t="shared" si="132"/>
        <v>50000</v>
      </c>
      <c r="AT56" s="1891" t="str">
        <f t="shared" si="117"/>
        <v>Outdoor Odor</v>
      </c>
      <c r="AU56" s="1773">
        <f t="shared" ref="AU56:AU87" si="137">IF($G56="--","--",IF(W56="--", W56,IF(AND($G56*W56*0.001&lt;$H56,$E56&gt;30000),$H56,$G56*W56*0.001)))</f>
        <v>2.9609216659000001E-2</v>
      </c>
      <c r="AV56" s="1773">
        <f t="shared" ref="AV56:AV87" si="138">IF($G56="--","--",IF(Y56="--", Y56,IF(AND($G56*Y56*0.001&lt;$H56,$E56&gt;30000),$H56,$G56*Y56*0.001)))</f>
        <v>2.6125779405000004E-2</v>
      </c>
      <c r="AW56" s="1773">
        <f t="shared" ref="AW56:AW87" si="139">IF($G56="--","--",IF(AA56="--", AA56,IF(AND($G56*AA56*0.001&lt;$H56,$E56&gt;30000),$H56,$G56*AA56*0.001)))</f>
        <v>2.6125779405000004E-2</v>
      </c>
      <c r="AX56" s="1773">
        <f t="shared" ref="AX56:AX87" si="140">IF($G56="--","--",IF(AC56="--", AC56,IF(AND($G56*AC56*0.001&lt;$H56,$E56&gt;30000),$H56,$G56*AC56*0.001)))</f>
        <v>258.48204981690213</v>
      </c>
      <c r="AY56" s="1773">
        <f t="shared" ref="AY56:AY87" si="141">IF($G56="--","--",IF(AE56="--", AE56,IF(AND($G56*AE56*0.001&lt;$H56,$E56&gt;30000),$H56,$G56*AE56*0.001)))</f>
        <v>2.9609216659000001E-2</v>
      </c>
      <c r="AZ56" s="1773">
        <f t="shared" ref="AZ56:AZ87" si="142">IF($G56="--","--",IF(AG56="--", AG56,IF(AND($G56*AG56*0.001&lt;$H56,$E56&gt;30000),$H56,$G56*AG56*0.001)))</f>
        <v>2.6125779405000004E-2</v>
      </c>
      <c r="BA56" s="1773">
        <f t="shared" ref="BA56:BA87" si="143">IF($G56="--","--",IF(AI56="--", AI56,IF(AND($G56*AI56*0.001&lt;$H56,$E56&gt;30000),$H56,$G56*AI56*0.001)))</f>
        <v>2.6125779405000004E-2</v>
      </c>
      <c r="BB56" s="1773">
        <f t="shared" ref="BB56:BB87" si="144">IF($G56="--","--",IF(AK56="--", AK56,IF(AND($G56*AK56*0.001&lt;$H56,$E56&gt;30000),$H56,$G56*AK56*0.001)))</f>
        <v>258.48204981690213</v>
      </c>
      <c r="BC56" s="1773">
        <f t="shared" ref="BC56:BC87" si="145">IF($G56="--","--",IF(AM56="--", AM56,IF(AND($G56*AM56*0.001&lt;$H56,$E56&gt;30000),$H56,$G56*AM56*0.001)))</f>
        <v>2.9609216659000001E-2</v>
      </c>
      <c r="BD56" s="1773">
        <f t="shared" ref="BD56:BD87" si="146">IF($G56="--","--",IF(AO56="--", AO56,IF(AND($G56*AO56*0.001&lt;$H56,$E56&gt;30000),$H56,$G56*AO56*0.001)))</f>
        <v>2.6125779405000004E-2</v>
      </c>
      <c r="BE56" s="1773">
        <f t="shared" ref="BE56:BE87" si="147">IF($G56="--","--",IF(AQ56="--", AQ56,IF(AND($G56*AQ56*0.001&lt;$H56,$E56&gt;30000),$H56,$G56*AQ56*0.001)))</f>
        <v>2.6125779405000004E-2</v>
      </c>
      <c r="BF56" s="1947">
        <f t="shared" ref="BF56:BF87" si="148">IF($G56="--","--",IF(AS56="--", AS56,IF(AND($G56*AS56*0.001&lt;$H56,$E56&gt;30000),$H56,$G56*AS56*0.001)))</f>
        <v>870.8593135000001</v>
      </c>
    </row>
    <row r="57" spans="1:58">
      <c r="A57" s="184" t="s">
        <v>183</v>
      </c>
      <c r="B57" s="185" t="s">
        <v>184</v>
      </c>
      <c r="C57" s="388">
        <f t="shared" si="46"/>
        <v>2.44934108571</v>
      </c>
      <c r="D57" s="1779">
        <f t="shared" si="47"/>
        <v>2.44934108571</v>
      </c>
      <c r="E57" s="1785">
        <f t="shared" si="133"/>
        <v>491.8</v>
      </c>
      <c r="F57" s="271">
        <f t="shared" si="134"/>
        <v>9.5099999999999998E-7</v>
      </c>
      <c r="G57" s="271">
        <f t="shared" si="101"/>
        <v>81.644702856999999</v>
      </c>
      <c r="H57" s="272">
        <f t="shared" si="102"/>
        <v>24009.853925283485</v>
      </c>
      <c r="I57" s="1162">
        <f t="shared" si="98"/>
        <v>30</v>
      </c>
      <c r="J57" s="1163">
        <f t="shared" si="48"/>
        <v>30</v>
      </c>
      <c r="K57" s="1164" t="str">
        <f t="shared" si="49"/>
        <v>SW EcoTox Goal</v>
      </c>
      <c r="L57" s="271">
        <f t="shared" si="135"/>
        <v>530</v>
      </c>
      <c r="M57" s="271">
        <f t="shared" si="99"/>
        <v>30</v>
      </c>
      <c r="N57" s="271">
        <f t="shared" si="136"/>
        <v>2300</v>
      </c>
      <c r="O57" s="271">
        <f t="shared" si="103"/>
        <v>50000</v>
      </c>
      <c r="P57" s="1773" t="str">
        <f t="shared" si="100"/>
        <v>--</v>
      </c>
      <c r="Q57" s="1777">
        <f t="shared" si="104"/>
        <v>4000</v>
      </c>
      <c r="R57" s="1786" t="str">
        <f t="shared" si="118"/>
        <v>--</v>
      </c>
      <c r="S57" s="1786" t="str">
        <f t="shared" si="119"/>
        <v>--</v>
      </c>
      <c r="T57" s="1786">
        <f t="shared" si="120"/>
        <v>100</v>
      </c>
      <c r="U57" s="1786">
        <f t="shared" si="13"/>
        <v>100</v>
      </c>
      <c r="V57" s="1786">
        <f t="shared" si="105"/>
        <v>400</v>
      </c>
      <c r="W57" s="1890">
        <f t="shared" si="121"/>
        <v>30</v>
      </c>
      <c r="X57" s="1646" t="str">
        <f t="shared" si="106"/>
        <v>Saltwater EcoTox</v>
      </c>
      <c r="Y57" s="1642">
        <f t="shared" si="122"/>
        <v>100</v>
      </c>
      <c r="Z57" s="1646" t="str">
        <f t="shared" si="107"/>
        <v>Tapwater Noncancer</v>
      </c>
      <c r="AA57" s="1642">
        <f t="shared" si="123"/>
        <v>30</v>
      </c>
      <c r="AB57" s="1646" t="str">
        <f t="shared" si="108"/>
        <v>Saltwater EcoTox</v>
      </c>
      <c r="AC57" s="1641">
        <f t="shared" si="124"/>
        <v>100</v>
      </c>
      <c r="AD57" s="1646" t="str">
        <f t="shared" si="109"/>
        <v>Tapwater Noncancer</v>
      </c>
      <c r="AE57" s="1642">
        <f t="shared" si="125"/>
        <v>30</v>
      </c>
      <c r="AF57" s="1646" t="str">
        <f t="shared" si="110"/>
        <v>Saltwater EcoTox</v>
      </c>
      <c r="AG57" s="1642">
        <f t="shared" si="126"/>
        <v>100</v>
      </c>
      <c r="AH57" s="1646" t="str">
        <f t="shared" si="111"/>
        <v>Tapwater Noncancer</v>
      </c>
      <c r="AI57" s="1642">
        <f t="shared" si="127"/>
        <v>30</v>
      </c>
      <c r="AJ57" s="1646" t="str">
        <f t="shared" si="112"/>
        <v>Saltwater EcoTox</v>
      </c>
      <c r="AK57" s="1641">
        <f t="shared" si="128"/>
        <v>100</v>
      </c>
      <c r="AL57" s="1646" t="str">
        <f t="shared" si="113"/>
        <v>Tapwater Noncancer</v>
      </c>
      <c r="AM57" s="1641">
        <f t="shared" si="129"/>
        <v>30</v>
      </c>
      <c r="AN57" s="1646" t="str">
        <f t="shared" si="114"/>
        <v>Saltwater EcoTox</v>
      </c>
      <c r="AO57" s="1643">
        <f t="shared" si="130"/>
        <v>530</v>
      </c>
      <c r="AP57" s="1646" t="str">
        <f t="shared" si="115"/>
        <v>FW EcoTox</v>
      </c>
      <c r="AQ57" s="1643">
        <f t="shared" si="131"/>
        <v>30</v>
      </c>
      <c r="AR57" s="1646" t="str">
        <f t="shared" si="116"/>
        <v>Saltwater EcoTox</v>
      </c>
      <c r="AS57" s="1644">
        <f t="shared" si="132"/>
        <v>4000</v>
      </c>
      <c r="AT57" s="1891" t="str">
        <f t="shared" si="117"/>
        <v>Outdoor Odor</v>
      </c>
      <c r="AU57" s="1773">
        <f t="shared" si="137"/>
        <v>2.44934108571</v>
      </c>
      <c r="AV57" s="1773">
        <f t="shared" si="138"/>
        <v>8.1644702857000002</v>
      </c>
      <c r="AW57" s="1773">
        <f t="shared" si="139"/>
        <v>2.44934108571</v>
      </c>
      <c r="AX57" s="1773">
        <f t="shared" si="140"/>
        <v>8.1644702857000002</v>
      </c>
      <c r="AY57" s="1773">
        <f t="shared" si="141"/>
        <v>2.44934108571</v>
      </c>
      <c r="AZ57" s="1773">
        <f t="shared" si="142"/>
        <v>8.1644702857000002</v>
      </c>
      <c r="BA57" s="1773">
        <f t="shared" si="143"/>
        <v>2.44934108571</v>
      </c>
      <c r="BB57" s="1773">
        <f t="shared" si="144"/>
        <v>8.1644702857000002</v>
      </c>
      <c r="BC57" s="1773">
        <f t="shared" si="145"/>
        <v>2.44934108571</v>
      </c>
      <c r="BD57" s="1773">
        <f t="shared" si="146"/>
        <v>43.271692514210002</v>
      </c>
      <c r="BE57" s="1773">
        <f t="shared" si="147"/>
        <v>2.44934108571</v>
      </c>
      <c r="BF57" s="1947">
        <f t="shared" si="148"/>
        <v>326.57881142799999</v>
      </c>
    </row>
    <row r="58" spans="1:58">
      <c r="A58" s="184" t="s">
        <v>185</v>
      </c>
      <c r="B58" s="185" t="s">
        <v>186</v>
      </c>
      <c r="C58" s="388">
        <f t="shared" si="46"/>
        <v>0.30597333520800002</v>
      </c>
      <c r="D58" s="1779">
        <f t="shared" si="47"/>
        <v>0.30597333520800002</v>
      </c>
      <c r="E58" s="1785">
        <f t="shared" si="133"/>
        <v>460.8</v>
      </c>
      <c r="F58" s="271">
        <f t="shared" si="134"/>
        <v>8.6000000000000002E-8</v>
      </c>
      <c r="G58" s="271">
        <f t="shared" si="101"/>
        <v>76.493333802000009</v>
      </c>
      <c r="H58" s="272">
        <f t="shared" si="102"/>
        <v>7992.7938570156903</v>
      </c>
      <c r="I58" s="1162">
        <f t="shared" si="98"/>
        <v>4</v>
      </c>
      <c r="J58" s="1163">
        <f t="shared" si="48"/>
        <v>4</v>
      </c>
      <c r="K58" s="1164" t="str">
        <f t="shared" si="49"/>
        <v>Seafood Consumption</v>
      </c>
      <c r="L58" s="271">
        <f t="shared" si="135"/>
        <v>75</v>
      </c>
      <c r="M58" s="271">
        <f t="shared" si="99"/>
        <v>30</v>
      </c>
      <c r="N58" s="271">
        <f t="shared" si="136"/>
        <v>4</v>
      </c>
      <c r="O58" s="271">
        <f t="shared" si="103"/>
        <v>50000</v>
      </c>
      <c r="P58" s="1773" t="str">
        <f t="shared" si="100"/>
        <v>--</v>
      </c>
      <c r="Q58" s="1777" t="str">
        <f t="shared" si="104"/>
        <v>--</v>
      </c>
      <c r="R58" s="1786" t="str">
        <f t="shared" si="118"/>
        <v>--</v>
      </c>
      <c r="S58" s="1786" t="str">
        <f t="shared" si="119"/>
        <v>--</v>
      </c>
      <c r="T58" s="1786">
        <f t="shared" si="120"/>
        <v>38.830855461586651</v>
      </c>
      <c r="U58" s="1786">
        <f t="shared" si="13"/>
        <v>38.830855461586651</v>
      </c>
      <c r="V58" s="1786" t="str">
        <f t="shared" si="105"/>
        <v>--</v>
      </c>
      <c r="W58" s="1890">
        <f t="shared" si="121"/>
        <v>4</v>
      </c>
      <c r="X58" s="1646" t="str">
        <f t="shared" si="106"/>
        <v>Seafood Ingestion</v>
      </c>
      <c r="Y58" s="1642">
        <f t="shared" si="122"/>
        <v>4</v>
      </c>
      <c r="Z58" s="1646" t="str">
        <f t="shared" si="107"/>
        <v>Seafood Ingestion</v>
      </c>
      <c r="AA58" s="1642">
        <f t="shared" si="123"/>
        <v>4</v>
      </c>
      <c r="AB58" s="1646" t="str">
        <f t="shared" si="108"/>
        <v>Seafood Ingestion</v>
      </c>
      <c r="AC58" s="1641">
        <f t="shared" si="124"/>
        <v>38.830855461586651</v>
      </c>
      <c r="AD58" s="1646" t="str">
        <f t="shared" si="109"/>
        <v>Tapwater Noncancer</v>
      </c>
      <c r="AE58" s="1642">
        <f t="shared" si="125"/>
        <v>4</v>
      </c>
      <c r="AF58" s="1646" t="str">
        <f t="shared" si="110"/>
        <v>Seafood Ingestion</v>
      </c>
      <c r="AG58" s="1642">
        <f t="shared" si="126"/>
        <v>4</v>
      </c>
      <c r="AH58" s="1646" t="str">
        <f t="shared" si="111"/>
        <v>Seafood Ingestion</v>
      </c>
      <c r="AI58" s="1642">
        <f t="shared" si="127"/>
        <v>4</v>
      </c>
      <c r="AJ58" s="1646" t="str">
        <f t="shared" si="112"/>
        <v>Seafood Ingestion</v>
      </c>
      <c r="AK58" s="1641">
        <f t="shared" si="128"/>
        <v>38.830855461586651</v>
      </c>
      <c r="AL58" s="1646" t="str">
        <f t="shared" si="113"/>
        <v>Tapwater Noncancer</v>
      </c>
      <c r="AM58" s="1641">
        <f t="shared" si="129"/>
        <v>4</v>
      </c>
      <c r="AN58" s="1646" t="str">
        <f t="shared" si="114"/>
        <v>Seafood Ingestion</v>
      </c>
      <c r="AO58" s="1643">
        <f t="shared" si="130"/>
        <v>4</v>
      </c>
      <c r="AP58" s="1646" t="str">
        <f t="shared" si="115"/>
        <v>Seafood Ingestion</v>
      </c>
      <c r="AQ58" s="1643">
        <f t="shared" si="131"/>
        <v>4</v>
      </c>
      <c r="AR58" s="1646" t="str">
        <f t="shared" si="116"/>
        <v>Seafood Ingestion</v>
      </c>
      <c r="AS58" s="1644">
        <f t="shared" si="132"/>
        <v>50000</v>
      </c>
      <c r="AT58" s="1891" t="str">
        <f t="shared" si="117"/>
        <v>Outdoor Odor</v>
      </c>
      <c r="AU58" s="1773">
        <f t="shared" si="137"/>
        <v>0.30597333520800002</v>
      </c>
      <c r="AV58" s="1773">
        <f t="shared" si="138"/>
        <v>0.30597333520800002</v>
      </c>
      <c r="AW58" s="1773">
        <f t="shared" si="139"/>
        <v>0.30597333520800002</v>
      </c>
      <c r="AX58" s="1773">
        <f t="shared" si="140"/>
        <v>2.9703015886403628</v>
      </c>
      <c r="AY58" s="1773">
        <f t="shared" si="141"/>
        <v>0.30597333520800002</v>
      </c>
      <c r="AZ58" s="1773">
        <f t="shared" si="142"/>
        <v>0.30597333520800002</v>
      </c>
      <c r="BA58" s="1773">
        <f t="shared" si="143"/>
        <v>0.30597333520800002</v>
      </c>
      <c r="BB58" s="1773">
        <f t="shared" si="144"/>
        <v>2.9703015886403628</v>
      </c>
      <c r="BC58" s="1773">
        <f t="shared" si="145"/>
        <v>0.30597333520800002</v>
      </c>
      <c r="BD58" s="1773">
        <f t="shared" si="146"/>
        <v>0.30597333520800002</v>
      </c>
      <c r="BE58" s="1773">
        <f t="shared" si="147"/>
        <v>0.30597333520800002</v>
      </c>
      <c r="BF58" s="1947">
        <f t="shared" si="148"/>
        <v>3824.6666901000003</v>
      </c>
    </row>
    <row r="59" spans="1:58">
      <c r="A59" s="184" t="s">
        <v>187</v>
      </c>
      <c r="B59" s="185" t="s">
        <v>188</v>
      </c>
      <c r="C59" s="388">
        <f t="shared" si="46"/>
        <v>2.2691728526458031E-2</v>
      </c>
      <c r="D59" s="1779">
        <f t="shared" si="47"/>
        <v>0.16243488980260004</v>
      </c>
      <c r="E59" s="1785">
        <f t="shared" si="133"/>
        <v>575.6</v>
      </c>
      <c r="F59" s="271">
        <f t="shared" si="134"/>
        <v>5.4E-8</v>
      </c>
      <c r="G59" s="271">
        <f t="shared" si="101"/>
        <v>95.549935178000013</v>
      </c>
      <c r="H59" s="272">
        <f t="shared" si="102"/>
        <v>710.72008358660287</v>
      </c>
      <c r="I59" s="1162">
        <f t="shared" si="98"/>
        <v>0.23748554600466867</v>
      </c>
      <c r="J59" s="1163">
        <f t="shared" si="48"/>
        <v>1.7</v>
      </c>
      <c r="K59" s="1164" t="str">
        <f t="shared" si="49"/>
        <v>Seafood Consumption</v>
      </c>
      <c r="L59" s="271">
        <f t="shared" si="135"/>
        <v>115</v>
      </c>
      <c r="M59" s="271">
        <f t="shared" si="99"/>
        <v>185</v>
      </c>
      <c r="N59" s="271">
        <f t="shared" si="136"/>
        <v>1.7</v>
      </c>
      <c r="O59" s="271">
        <f t="shared" si="103"/>
        <v>50000</v>
      </c>
      <c r="P59" s="1773" t="str">
        <f t="shared" si="100"/>
        <v>--</v>
      </c>
      <c r="Q59" s="1777" t="str">
        <f t="shared" si="104"/>
        <v>--</v>
      </c>
      <c r="R59" s="1786" t="str">
        <f t="shared" si="118"/>
        <v>--</v>
      </c>
      <c r="S59" s="1786">
        <f t="shared" si="119"/>
        <v>0.23748554600466867</v>
      </c>
      <c r="T59" s="1786">
        <f t="shared" si="120"/>
        <v>38.070559132271825</v>
      </c>
      <c r="U59" s="1786">
        <f t="shared" si="13"/>
        <v>0.23748554600466867</v>
      </c>
      <c r="V59" s="1786" t="str">
        <f t="shared" si="105"/>
        <v>--</v>
      </c>
      <c r="W59" s="1890">
        <f t="shared" si="121"/>
        <v>0.23748554600466867</v>
      </c>
      <c r="X59" s="1646" t="str">
        <f t="shared" si="106"/>
        <v>Tapwater Cancer</v>
      </c>
      <c r="Y59" s="1642">
        <f t="shared" si="122"/>
        <v>0.23748554600466867</v>
      </c>
      <c r="Z59" s="1646" t="str">
        <f t="shared" si="107"/>
        <v>Tapwater Cancer</v>
      </c>
      <c r="AA59" s="1642">
        <f t="shared" si="123"/>
        <v>0.23748554600466867</v>
      </c>
      <c r="AB59" s="1646" t="str">
        <f t="shared" si="108"/>
        <v>Tapwater Cancer</v>
      </c>
      <c r="AC59" s="1641">
        <f t="shared" si="124"/>
        <v>0.23748554600466867</v>
      </c>
      <c r="AD59" s="1646" t="str">
        <f t="shared" si="109"/>
        <v>Tapwater Cancer</v>
      </c>
      <c r="AE59" s="1642">
        <f t="shared" si="125"/>
        <v>0.23748554600466867</v>
      </c>
      <c r="AF59" s="1646" t="str">
        <f t="shared" si="110"/>
        <v>Tapwater Cancer</v>
      </c>
      <c r="AG59" s="1642">
        <f t="shared" si="126"/>
        <v>0.23748554600466867</v>
      </c>
      <c r="AH59" s="1646" t="str">
        <f t="shared" si="111"/>
        <v>Tapwater Cancer</v>
      </c>
      <c r="AI59" s="1642">
        <f t="shared" si="127"/>
        <v>0.23748554600466867</v>
      </c>
      <c r="AJ59" s="1646" t="str">
        <f t="shared" si="112"/>
        <v>Tapwater Cancer</v>
      </c>
      <c r="AK59" s="1641">
        <f t="shared" si="128"/>
        <v>0.23748554600466867</v>
      </c>
      <c r="AL59" s="1646" t="str">
        <f t="shared" si="113"/>
        <v>Tapwater Cancer</v>
      </c>
      <c r="AM59" s="1641">
        <f t="shared" si="129"/>
        <v>1.7</v>
      </c>
      <c r="AN59" s="1646" t="str">
        <f t="shared" si="114"/>
        <v>Seafood Ingestion</v>
      </c>
      <c r="AO59" s="1643">
        <f t="shared" si="130"/>
        <v>1.7</v>
      </c>
      <c r="AP59" s="1646" t="str">
        <f t="shared" si="115"/>
        <v>Seafood Ingestion</v>
      </c>
      <c r="AQ59" s="1643">
        <f t="shared" si="131"/>
        <v>1.7</v>
      </c>
      <c r="AR59" s="1646" t="str">
        <f t="shared" si="116"/>
        <v>Seafood Ingestion</v>
      </c>
      <c r="AS59" s="1644">
        <f t="shared" si="132"/>
        <v>50000</v>
      </c>
      <c r="AT59" s="1891" t="str">
        <f t="shared" si="117"/>
        <v>Outdoor Odor</v>
      </c>
      <c r="AU59" s="1773">
        <f t="shared" si="137"/>
        <v>2.2691728526458031E-2</v>
      </c>
      <c r="AV59" s="1773">
        <f t="shared" si="138"/>
        <v>2.2691728526458031E-2</v>
      </c>
      <c r="AW59" s="1773">
        <f t="shared" si="139"/>
        <v>2.2691728526458031E-2</v>
      </c>
      <c r="AX59" s="1773">
        <f t="shared" si="140"/>
        <v>2.2691728526458031E-2</v>
      </c>
      <c r="AY59" s="1773">
        <f t="shared" si="141"/>
        <v>2.2691728526458031E-2</v>
      </c>
      <c r="AZ59" s="1773">
        <f t="shared" si="142"/>
        <v>2.2691728526458031E-2</v>
      </c>
      <c r="BA59" s="1773">
        <f t="shared" si="143"/>
        <v>2.2691728526458031E-2</v>
      </c>
      <c r="BB59" s="1773">
        <f t="shared" si="144"/>
        <v>2.2691728526458031E-2</v>
      </c>
      <c r="BC59" s="1773">
        <f t="shared" si="145"/>
        <v>0.16243488980260004</v>
      </c>
      <c r="BD59" s="1773">
        <f t="shared" si="146"/>
        <v>0.16243488980260004</v>
      </c>
      <c r="BE59" s="1773">
        <f t="shared" si="147"/>
        <v>0.16243488980260004</v>
      </c>
      <c r="BF59" s="1947">
        <f t="shared" si="148"/>
        <v>4777.4967589000007</v>
      </c>
    </row>
    <row r="60" spans="1:58">
      <c r="A60" s="184" t="s">
        <v>189</v>
      </c>
      <c r="B60" s="185" t="s">
        <v>190</v>
      </c>
      <c r="C60" s="388">
        <f t="shared" si="46"/>
        <v>2.1432179157630622E-4</v>
      </c>
      <c r="D60" s="1779">
        <f t="shared" si="47"/>
        <v>1.3359560761975604</v>
      </c>
      <c r="E60" s="1785">
        <f t="shared" si="133"/>
        <v>2.633</v>
      </c>
      <c r="F60" s="271">
        <f t="shared" si="134"/>
        <v>4.7999999999999998E-6</v>
      </c>
      <c r="G60" s="271">
        <f t="shared" si="101"/>
        <v>0.4668716</v>
      </c>
      <c r="H60" s="272">
        <f t="shared" si="102"/>
        <v>115835.14960119633</v>
      </c>
      <c r="I60" s="1162">
        <f t="shared" si="98"/>
        <v>0.4590593892974133</v>
      </c>
      <c r="J60" s="1163">
        <f t="shared" si="48"/>
        <v>2861.5064103225818</v>
      </c>
      <c r="K60" s="1164" t="str">
        <f t="shared" si="49"/>
        <v>GW VI</v>
      </c>
      <c r="L60" s="271">
        <f t="shared" si="135"/>
        <v>335000</v>
      </c>
      <c r="M60" s="271">
        <f t="shared" si="99"/>
        <v>500000</v>
      </c>
      <c r="N60" s="271" t="str">
        <f t="shared" si="136"/>
        <v>--</v>
      </c>
      <c r="O60" s="271">
        <f t="shared" si="103"/>
        <v>50000</v>
      </c>
      <c r="P60" s="1773">
        <f t="shared" si="100"/>
        <v>2861.5064103225818</v>
      </c>
      <c r="Q60" s="1777" t="str">
        <f t="shared" si="104"/>
        <v>--</v>
      </c>
      <c r="R60" s="1786" t="str">
        <f t="shared" si="118"/>
        <v>--</v>
      </c>
      <c r="S60" s="1786">
        <f t="shared" si="119"/>
        <v>0.4590593892974133</v>
      </c>
      <c r="T60" s="1786">
        <f t="shared" si="120"/>
        <v>56.660209865928671</v>
      </c>
      <c r="U60" s="1786">
        <f t="shared" si="13"/>
        <v>0.4590593892974133</v>
      </c>
      <c r="V60" s="1786">
        <f t="shared" si="105"/>
        <v>230000</v>
      </c>
      <c r="W60" s="1890">
        <f t="shared" si="121"/>
        <v>0.4590593892974133</v>
      </c>
      <c r="X60" s="1646" t="str">
        <f t="shared" si="106"/>
        <v>Tapwater Cancer</v>
      </c>
      <c r="Y60" s="1642">
        <f t="shared" si="122"/>
        <v>0.4590593892974133</v>
      </c>
      <c r="Z60" s="1646" t="str">
        <f t="shared" si="107"/>
        <v>Tapwater Cancer</v>
      </c>
      <c r="AA60" s="1642">
        <f t="shared" si="123"/>
        <v>0.4590593892974133</v>
      </c>
      <c r="AB60" s="1646" t="str">
        <f t="shared" si="108"/>
        <v>Tapwater Cancer</v>
      </c>
      <c r="AC60" s="1641">
        <f t="shared" si="124"/>
        <v>0.4590593892974133</v>
      </c>
      <c r="AD60" s="1646" t="str">
        <f t="shared" si="109"/>
        <v>Tapwater Cancer</v>
      </c>
      <c r="AE60" s="1642">
        <f t="shared" si="125"/>
        <v>0.4590593892974133</v>
      </c>
      <c r="AF60" s="1646" t="str">
        <f t="shared" si="110"/>
        <v>Tapwater Cancer</v>
      </c>
      <c r="AG60" s="1642">
        <f t="shared" si="126"/>
        <v>0.4590593892974133</v>
      </c>
      <c r="AH60" s="1646" t="str">
        <f t="shared" si="111"/>
        <v>Tapwater Cancer</v>
      </c>
      <c r="AI60" s="1642">
        <f t="shared" si="127"/>
        <v>0.4590593892974133</v>
      </c>
      <c r="AJ60" s="1646" t="str">
        <f t="shared" si="112"/>
        <v>Tapwater Cancer</v>
      </c>
      <c r="AK60" s="1641">
        <f t="shared" si="128"/>
        <v>0.4590593892974133</v>
      </c>
      <c r="AL60" s="1646" t="str">
        <f t="shared" si="113"/>
        <v>Tapwater Cancer</v>
      </c>
      <c r="AM60" s="1641">
        <f t="shared" si="129"/>
        <v>2861.5064103225818</v>
      </c>
      <c r="AN60" s="1646" t="str">
        <f t="shared" si="114"/>
        <v>VI</v>
      </c>
      <c r="AO60" s="1643">
        <f t="shared" si="130"/>
        <v>2861.5064103225818</v>
      </c>
      <c r="AP60" s="1646" t="str">
        <f t="shared" si="115"/>
        <v>VI</v>
      </c>
      <c r="AQ60" s="1643">
        <f t="shared" si="131"/>
        <v>2861.5064103225818</v>
      </c>
      <c r="AR60" s="1646" t="str">
        <f t="shared" si="116"/>
        <v>VI</v>
      </c>
      <c r="AS60" s="1644">
        <f t="shared" si="132"/>
        <v>2861.5064103225818</v>
      </c>
      <c r="AT60" s="1891" t="str">
        <f t="shared" si="117"/>
        <v>VI</v>
      </c>
      <c r="AU60" s="1773">
        <f t="shared" si="137"/>
        <v>2.1432179157630622E-4</v>
      </c>
      <c r="AV60" s="1773">
        <f t="shared" si="138"/>
        <v>2.1432179157630622E-4</v>
      </c>
      <c r="AW60" s="1773">
        <f t="shared" si="139"/>
        <v>2.1432179157630622E-4</v>
      </c>
      <c r="AX60" s="1773">
        <f t="shared" si="140"/>
        <v>2.1432179157630622E-4</v>
      </c>
      <c r="AY60" s="1773">
        <f t="shared" si="141"/>
        <v>2.1432179157630622E-4</v>
      </c>
      <c r="AZ60" s="1773">
        <f t="shared" si="142"/>
        <v>2.1432179157630622E-4</v>
      </c>
      <c r="BA60" s="1773">
        <f t="shared" si="143"/>
        <v>2.1432179157630622E-4</v>
      </c>
      <c r="BB60" s="1773">
        <f t="shared" si="144"/>
        <v>2.1432179157630622E-4</v>
      </c>
      <c r="BC60" s="1773">
        <f t="shared" si="145"/>
        <v>1.3359560761975604</v>
      </c>
      <c r="BD60" s="1773">
        <f t="shared" si="146"/>
        <v>1.3359560761975604</v>
      </c>
      <c r="BE60" s="1773">
        <f t="shared" si="147"/>
        <v>1.3359560761975604</v>
      </c>
      <c r="BF60" s="1947">
        <f t="shared" si="148"/>
        <v>1.3359560761975604</v>
      </c>
    </row>
    <row r="61" spans="1:58">
      <c r="A61" s="184" t="s">
        <v>191</v>
      </c>
      <c r="B61" s="185" t="s">
        <v>192</v>
      </c>
      <c r="C61" s="388">
        <f t="shared" si="46"/>
        <v>0.29894007739500256</v>
      </c>
      <c r="D61" s="1779">
        <f t="shared" si="47"/>
        <v>0.29894007739500256</v>
      </c>
      <c r="E61" s="1785">
        <f t="shared" si="133"/>
        <v>249100</v>
      </c>
      <c r="F61" s="271">
        <f t="shared" si="134"/>
        <v>5.0000000000000002E-5</v>
      </c>
      <c r="G61" s="271">
        <f t="shared" si="101"/>
        <v>41350.910349999998</v>
      </c>
      <c r="H61" s="272">
        <f t="shared" si="102"/>
        <v>0.29894007739500256</v>
      </c>
      <c r="I61" s="1162">
        <f t="shared" si="98"/>
        <v>5.1000000000000002E-9</v>
      </c>
      <c r="J61" s="1163">
        <f t="shared" si="48"/>
        <v>5.1000000000000002E-9</v>
      </c>
      <c r="K61" s="1164" t="str">
        <f t="shared" si="49"/>
        <v>Seafood Consumption</v>
      </c>
      <c r="L61" s="271">
        <f t="shared" si="135"/>
        <v>5.0000000000000004E-6</v>
      </c>
      <c r="M61" s="271" t="str">
        <f t="shared" si="99"/>
        <v>--</v>
      </c>
      <c r="N61" s="271">
        <f t="shared" si="136"/>
        <v>5.1000000000000002E-9</v>
      </c>
      <c r="O61" s="271">
        <f t="shared" si="103"/>
        <v>0.1</v>
      </c>
      <c r="P61" s="1773">
        <f t="shared" si="100"/>
        <v>3.6145344129550594E-5</v>
      </c>
      <c r="Q61" s="1777" t="str">
        <f t="shared" si="104"/>
        <v>--</v>
      </c>
      <c r="R61" s="1786">
        <f t="shared" si="118"/>
        <v>3.0000000000000001E-5</v>
      </c>
      <c r="S61" s="1786">
        <f t="shared" si="119"/>
        <v>1.1854305711177148E-7</v>
      </c>
      <c r="T61" s="1786">
        <f t="shared" si="120"/>
        <v>1.2016460905349795E-5</v>
      </c>
      <c r="U61" s="1786">
        <f t="shared" si="13"/>
        <v>3.0000000000000001E-5</v>
      </c>
      <c r="V61" s="1786" t="str">
        <f t="shared" si="105"/>
        <v>--</v>
      </c>
      <c r="W61" s="1890">
        <f t="shared" si="121"/>
        <v>5.1000000000000002E-9</v>
      </c>
      <c r="X61" s="1646" t="str">
        <f t="shared" si="106"/>
        <v>Seafood Ingestion</v>
      </c>
      <c r="Y61" s="1642">
        <f t="shared" si="122"/>
        <v>5.1000000000000002E-9</v>
      </c>
      <c r="Z61" s="1646" t="str">
        <f t="shared" si="107"/>
        <v>Seafood Ingestion</v>
      </c>
      <c r="AA61" s="1642">
        <f t="shared" si="123"/>
        <v>5.1000000000000002E-9</v>
      </c>
      <c r="AB61" s="1646" t="str">
        <f t="shared" si="108"/>
        <v>Seafood Ingestion</v>
      </c>
      <c r="AC61" s="1641">
        <f t="shared" si="124"/>
        <v>3.0000000000000001E-5</v>
      </c>
      <c r="AD61" s="1646" t="str">
        <f t="shared" si="109"/>
        <v>MCL</v>
      </c>
      <c r="AE61" s="1642">
        <f t="shared" si="125"/>
        <v>5.1000000000000002E-9</v>
      </c>
      <c r="AF61" s="1646" t="str">
        <f t="shared" si="110"/>
        <v>Seafood Ingestion</v>
      </c>
      <c r="AG61" s="1642">
        <f t="shared" si="126"/>
        <v>5.1000000000000002E-9</v>
      </c>
      <c r="AH61" s="1646" t="str">
        <f t="shared" si="111"/>
        <v>Seafood Ingestion</v>
      </c>
      <c r="AI61" s="1642">
        <f t="shared" si="127"/>
        <v>5.1000000000000002E-9</v>
      </c>
      <c r="AJ61" s="1646" t="str">
        <f t="shared" si="112"/>
        <v>Seafood Ingestion</v>
      </c>
      <c r="AK61" s="1641">
        <f t="shared" si="128"/>
        <v>1.1854305711177148E-7</v>
      </c>
      <c r="AL61" s="1646" t="str">
        <f t="shared" si="113"/>
        <v>Tapwater Cancer</v>
      </c>
      <c r="AM61" s="1641">
        <f t="shared" si="129"/>
        <v>5.1000000000000002E-9</v>
      </c>
      <c r="AN61" s="1646" t="str">
        <f t="shared" si="114"/>
        <v>Seafood Ingestion</v>
      </c>
      <c r="AO61" s="1643">
        <f t="shared" si="130"/>
        <v>5.1000000000000002E-9</v>
      </c>
      <c r="AP61" s="1646" t="str">
        <f t="shared" si="115"/>
        <v>Seafood Ingestion</v>
      </c>
      <c r="AQ61" s="1643">
        <f t="shared" si="131"/>
        <v>5.1000000000000002E-9</v>
      </c>
      <c r="AR61" s="1646" t="str">
        <f t="shared" si="116"/>
        <v>Seafood Ingestion</v>
      </c>
      <c r="AS61" s="1644">
        <f t="shared" si="132"/>
        <v>3.6145344129550594E-5</v>
      </c>
      <c r="AT61" s="1891" t="str">
        <f t="shared" si="117"/>
        <v>VI</v>
      </c>
      <c r="AU61" s="1773">
        <f t="shared" si="137"/>
        <v>0.29894007739500256</v>
      </c>
      <c r="AV61" s="1773">
        <f t="shared" si="138"/>
        <v>0.29894007739500256</v>
      </c>
      <c r="AW61" s="1773">
        <f t="shared" si="139"/>
        <v>0.29894007739500256</v>
      </c>
      <c r="AX61" s="1773">
        <f t="shared" si="140"/>
        <v>0.29894007739500256</v>
      </c>
      <c r="AY61" s="1773">
        <f t="shared" si="141"/>
        <v>0.29894007739500256</v>
      </c>
      <c r="AZ61" s="1773">
        <f t="shared" si="142"/>
        <v>0.29894007739500256</v>
      </c>
      <c r="BA61" s="1773">
        <f t="shared" si="143"/>
        <v>0.29894007739500256</v>
      </c>
      <c r="BB61" s="1773">
        <f t="shared" si="144"/>
        <v>0.29894007739500256</v>
      </c>
      <c r="BC61" s="1773">
        <f t="shared" si="145"/>
        <v>0.29894007739500256</v>
      </c>
      <c r="BD61" s="1773">
        <f t="shared" si="146"/>
        <v>0.29894007739500256</v>
      </c>
      <c r="BE61" s="1773">
        <f t="shared" si="147"/>
        <v>0.29894007739500256</v>
      </c>
      <c r="BF61" s="1947">
        <f t="shared" si="148"/>
        <v>0.29894007739500256</v>
      </c>
    </row>
    <row r="62" spans="1:58">
      <c r="A62" s="184" t="s">
        <v>193</v>
      </c>
      <c r="B62" s="185" t="s">
        <v>194</v>
      </c>
      <c r="C62" s="388">
        <f t="shared" si="46"/>
        <v>9.7677462584999999E-3</v>
      </c>
      <c r="D62" s="1779">
        <f t="shared" si="47"/>
        <v>9.7677462584999999E-3</v>
      </c>
      <c r="E62" s="1785">
        <f t="shared" si="133"/>
        <v>6761</v>
      </c>
      <c r="F62" s="271">
        <f t="shared" si="134"/>
        <v>6.4999999999999994E-5</v>
      </c>
      <c r="G62" s="271">
        <f t="shared" si="101"/>
        <v>1122.7294549999999</v>
      </c>
      <c r="H62" s="272">
        <f t="shared" si="102"/>
        <v>13.21661349694277</v>
      </c>
      <c r="I62" s="1162">
        <f t="shared" si="98"/>
        <v>8.6999999999999994E-3</v>
      </c>
      <c r="J62" s="1163">
        <f t="shared" si="48"/>
        <v>8.6999999999999994E-3</v>
      </c>
      <c r="K62" s="1164" t="str">
        <f t="shared" si="49"/>
        <v>SW EcoTox Goal</v>
      </c>
      <c r="L62" s="271">
        <f t="shared" si="135"/>
        <v>5.6000000000000001E-2</v>
      </c>
      <c r="M62" s="271">
        <f t="shared" si="99"/>
        <v>8.6999999999999994E-3</v>
      </c>
      <c r="N62" s="271">
        <f t="shared" si="136"/>
        <v>240</v>
      </c>
      <c r="O62" s="271">
        <f t="shared" si="103"/>
        <v>162.5</v>
      </c>
      <c r="P62" s="1773" t="str">
        <f t="shared" si="100"/>
        <v>--</v>
      </c>
      <c r="Q62" s="1777" t="str">
        <f t="shared" si="104"/>
        <v>--</v>
      </c>
      <c r="R62" s="1786" t="str">
        <f t="shared" si="118"/>
        <v>--</v>
      </c>
      <c r="S62" s="1786" t="str">
        <f t="shared" si="119"/>
        <v>--</v>
      </c>
      <c r="T62" s="1786">
        <f t="shared" si="120"/>
        <v>101.05726848563953</v>
      </c>
      <c r="U62" s="1786">
        <f t="shared" si="13"/>
        <v>101.05726848563953</v>
      </c>
      <c r="V62" s="1786" t="str">
        <f t="shared" si="105"/>
        <v>--</v>
      </c>
      <c r="W62" s="1890">
        <f t="shared" si="121"/>
        <v>8.6999999999999994E-3</v>
      </c>
      <c r="X62" s="1646" t="str">
        <f t="shared" si="106"/>
        <v>Saltwater EcoTox</v>
      </c>
      <c r="Y62" s="1642">
        <f t="shared" si="122"/>
        <v>5.6000000000000001E-2</v>
      </c>
      <c r="Z62" s="1646" t="str">
        <f t="shared" si="107"/>
        <v>FW EcoTox</v>
      </c>
      <c r="AA62" s="1642">
        <f t="shared" si="123"/>
        <v>8.6999999999999994E-3</v>
      </c>
      <c r="AB62" s="1646" t="str">
        <f t="shared" si="108"/>
        <v>Saltwater EcoTox</v>
      </c>
      <c r="AC62" s="1641">
        <f t="shared" si="124"/>
        <v>101.05726848563953</v>
      </c>
      <c r="AD62" s="1646" t="str">
        <f t="shared" si="109"/>
        <v>Tapwater Noncancer</v>
      </c>
      <c r="AE62" s="1642">
        <f t="shared" si="125"/>
        <v>8.6999999999999994E-3</v>
      </c>
      <c r="AF62" s="1646" t="str">
        <f t="shared" si="110"/>
        <v>Saltwater EcoTox</v>
      </c>
      <c r="AG62" s="1642">
        <f t="shared" si="126"/>
        <v>5.6000000000000001E-2</v>
      </c>
      <c r="AH62" s="1646" t="str">
        <f t="shared" si="111"/>
        <v>FW EcoTox</v>
      </c>
      <c r="AI62" s="1642">
        <f t="shared" si="127"/>
        <v>8.6999999999999994E-3</v>
      </c>
      <c r="AJ62" s="1646" t="str">
        <f t="shared" si="112"/>
        <v>Saltwater EcoTox</v>
      </c>
      <c r="AK62" s="1641">
        <f t="shared" si="128"/>
        <v>101.05726848563953</v>
      </c>
      <c r="AL62" s="1646" t="str">
        <f t="shared" si="113"/>
        <v>Tapwater Noncancer</v>
      </c>
      <c r="AM62" s="1641">
        <f t="shared" si="129"/>
        <v>8.6999999999999994E-3</v>
      </c>
      <c r="AN62" s="1646" t="str">
        <f t="shared" si="114"/>
        <v>Saltwater EcoTox</v>
      </c>
      <c r="AO62" s="1643">
        <f t="shared" si="130"/>
        <v>5.6000000000000001E-2</v>
      </c>
      <c r="AP62" s="1646" t="str">
        <f t="shared" si="115"/>
        <v>FW EcoTox</v>
      </c>
      <c r="AQ62" s="1643">
        <f t="shared" si="131"/>
        <v>8.6999999999999994E-3</v>
      </c>
      <c r="AR62" s="1646" t="str">
        <f t="shared" si="116"/>
        <v>Saltwater EcoTox</v>
      </c>
      <c r="AS62" s="1644">
        <f t="shared" si="132"/>
        <v>162.5</v>
      </c>
      <c r="AT62" s="1891" t="str">
        <f t="shared" si="117"/>
        <v>Outdoor Odor</v>
      </c>
      <c r="AU62" s="1773">
        <f t="shared" si="137"/>
        <v>9.7677462584999999E-3</v>
      </c>
      <c r="AV62" s="1773">
        <f t="shared" si="138"/>
        <v>6.2872849480000007E-2</v>
      </c>
      <c r="AW62" s="1773">
        <f t="shared" si="139"/>
        <v>9.7677462584999999E-3</v>
      </c>
      <c r="AX62" s="1773">
        <f t="shared" si="140"/>
        <v>113.45997197067072</v>
      </c>
      <c r="AY62" s="1773">
        <f t="shared" si="141"/>
        <v>9.7677462584999999E-3</v>
      </c>
      <c r="AZ62" s="1773">
        <f t="shared" si="142"/>
        <v>6.2872849480000007E-2</v>
      </c>
      <c r="BA62" s="1773">
        <f t="shared" si="143"/>
        <v>9.7677462584999999E-3</v>
      </c>
      <c r="BB62" s="1773">
        <f t="shared" si="144"/>
        <v>113.45997197067072</v>
      </c>
      <c r="BC62" s="1773">
        <f t="shared" si="145"/>
        <v>9.7677462584999999E-3</v>
      </c>
      <c r="BD62" s="1773">
        <f t="shared" si="146"/>
        <v>6.2872849480000007E-2</v>
      </c>
      <c r="BE62" s="1773">
        <f t="shared" si="147"/>
        <v>9.7677462584999999E-3</v>
      </c>
      <c r="BF62" s="1947">
        <f t="shared" si="148"/>
        <v>182.44353643749997</v>
      </c>
    </row>
    <row r="63" spans="1:58">
      <c r="A63" s="184" t="s">
        <v>195</v>
      </c>
      <c r="B63" s="185" t="s">
        <v>196</v>
      </c>
      <c r="C63" s="388">
        <f t="shared" si="46"/>
        <v>6.6699589530400004E-3</v>
      </c>
      <c r="D63" s="1779">
        <f t="shared" si="47"/>
        <v>6.6699589530400004E-3</v>
      </c>
      <c r="E63" s="1785">
        <f t="shared" si="133"/>
        <v>20090</v>
      </c>
      <c r="F63" s="271">
        <f t="shared" si="134"/>
        <v>6.3600000000000001E-6</v>
      </c>
      <c r="G63" s="271">
        <f t="shared" si="101"/>
        <v>3334.9794765199999</v>
      </c>
      <c r="H63" s="272">
        <f t="shared" si="102"/>
        <v>30.160012305805399</v>
      </c>
      <c r="I63" s="1162">
        <f t="shared" si="98"/>
        <v>2E-3</v>
      </c>
      <c r="J63" s="1163">
        <f t="shared" si="48"/>
        <v>2E-3</v>
      </c>
      <c r="K63" s="1164" t="str">
        <f t="shared" si="49"/>
        <v>SW EcoTox Goal</v>
      </c>
      <c r="L63" s="271">
        <f t="shared" si="135"/>
        <v>3.5999999999999997E-2</v>
      </c>
      <c r="M63" s="271">
        <f t="shared" si="99"/>
        <v>2E-3</v>
      </c>
      <c r="N63" s="271">
        <f t="shared" si="136"/>
        <v>0.03</v>
      </c>
      <c r="O63" s="271">
        <f t="shared" si="103"/>
        <v>125</v>
      </c>
      <c r="P63" s="1773" t="str">
        <f t="shared" si="100"/>
        <v>--</v>
      </c>
      <c r="Q63" s="1777">
        <f t="shared" si="104"/>
        <v>410</v>
      </c>
      <c r="R63" s="1786">
        <f t="shared" si="118"/>
        <v>2</v>
      </c>
      <c r="S63" s="1786" t="str">
        <f t="shared" si="119"/>
        <v>--</v>
      </c>
      <c r="T63" s="1786">
        <f t="shared" si="120"/>
        <v>0.3</v>
      </c>
      <c r="U63" s="1786">
        <f t="shared" si="13"/>
        <v>2</v>
      </c>
      <c r="V63" s="1786">
        <f t="shared" si="105"/>
        <v>41</v>
      </c>
      <c r="W63" s="1890">
        <f t="shared" si="121"/>
        <v>2E-3</v>
      </c>
      <c r="X63" s="1646" t="str">
        <f t="shared" si="106"/>
        <v>Saltwater EcoTox</v>
      </c>
      <c r="Y63" s="1642">
        <f t="shared" si="122"/>
        <v>0.03</v>
      </c>
      <c r="Z63" s="1646" t="str">
        <f t="shared" si="107"/>
        <v>Seafood Ingestion</v>
      </c>
      <c r="AA63" s="1642">
        <f t="shared" si="123"/>
        <v>2E-3</v>
      </c>
      <c r="AB63" s="1646" t="str">
        <f t="shared" si="108"/>
        <v>Saltwater EcoTox</v>
      </c>
      <c r="AC63" s="1641">
        <f t="shared" si="124"/>
        <v>2</v>
      </c>
      <c r="AD63" s="1646" t="str">
        <f t="shared" si="109"/>
        <v>MCL</v>
      </c>
      <c r="AE63" s="1642">
        <f t="shared" si="125"/>
        <v>2E-3</v>
      </c>
      <c r="AF63" s="1646" t="str">
        <f t="shared" si="110"/>
        <v>Saltwater EcoTox</v>
      </c>
      <c r="AG63" s="1642">
        <f t="shared" si="126"/>
        <v>0.03</v>
      </c>
      <c r="AH63" s="1646" t="str">
        <f t="shared" si="111"/>
        <v>Seafood Ingestion</v>
      </c>
      <c r="AI63" s="1642">
        <f t="shared" si="127"/>
        <v>2E-3</v>
      </c>
      <c r="AJ63" s="1646" t="str">
        <f t="shared" si="112"/>
        <v>Saltwater EcoTox</v>
      </c>
      <c r="AK63" s="1641">
        <f t="shared" si="128"/>
        <v>0.3</v>
      </c>
      <c r="AL63" s="1646" t="str">
        <f t="shared" si="113"/>
        <v>Tapwater Noncancer</v>
      </c>
      <c r="AM63" s="1641">
        <f t="shared" si="129"/>
        <v>2E-3</v>
      </c>
      <c r="AN63" s="1646" t="str">
        <f t="shared" si="114"/>
        <v>Saltwater EcoTox</v>
      </c>
      <c r="AO63" s="1643">
        <f t="shared" si="130"/>
        <v>0.03</v>
      </c>
      <c r="AP63" s="1646" t="str">
        <f t="shared" si="115"/>
        <v>Seafood Ingestion</v>
      </c>
      <c r="AQ63" s="1643">
        <f t="shared" si="131"/>
        <v>2E-3</v>
      </c>
      <c r="AR63" s="1646" t="str">
        <f t="shared" si="116"/>
        <v>Saltwater EcoTox</v>
      </c>
      <c r="AS63" s="1644">
        <f t="shared" si="132"/>
        <v>125</v>
      </c>
      <c r="AT63" s="1891" t="str">
        <f t="shared" si="117"/>
        <v>Outdoor Odor</v>
      </c>
      <c r="AU63" s="1773">
        <f t="shared" si="137"/>
        <v>6.6699589530400004E-3</v>
      </c>
      <c r="AV63" s="1773">
        <f t="shared" si="138"/>
        <v>0.10004938429559999</v>
      </c>
      <c r="AW63" s="1773">
        <f t="shared" si="139"/>
        <v>6.6699589530400004E-3</v>
      </c>
      <c r="AX63" s="1773">
        <f t="shared" si="140"/>
        <v>6.6699589530400001</v>
      </c>
      <c r="AY63" s="1773">
        <f t="shared" si="141"/>
        <v>6.6699589530400004E-3</v>
      </c>
      <c r="AZ63" s="1773">
        <f t="shared" si="142"/>
        <v>0.10004938429559999</v>
      </c>
      <c r="BA63" s="1773">
        <f t="shared" si="143"/>
        <v>6.6699589530400004E-3</v>
      </c>
      <c r="BB63" s="1773">
        <f t="shared" si="144"/>
        <v>1.000493842956</v>
      </c>
      <c r="BC63" s="1773">
        <f t="shared" si="145"/>
        <v>6.6699589530400004E-3</v>
      </c>
      <c r="BD63" s="1773">
        <f t="shared" si="146"/>
        <v>0.10004938429559999</v>
      </c>
      <c r="BE63" s="1773">
        <f t="shared" si="147"/>
        <v>6.6699589530400004E-3</v>
      </c>
      <c r="BF63" s="1947">
        <f t="shared" si="148"/>
        <v>416.87243456499999</v>
      </c>
    </row>
    <row r="64" spans="1:58">
      <c r="A64" s="184" t="s">
        <v>197</v>
      </c>
      <c r="B64" s="185" t="s">
        <v>198</v>
      </c>
      <c r="C64" s="388">
        <f t="shared" si="46"/>
        <v>0.42866386290667685</v>
      </c>
      <c r="D64" s="1779">
        <f t="shared" si="47"/>
        <v>0.42866386290667685</v>
      </c>
      <c r="E64" s="1785">
        <f t="shared" si="133"/>
        <v>446.1</v>
      </c>
      <c r="F64" s="271">
        <f t="shared" si="134"/>
        <v>7.8799999999999999E-3</v>
      </c>
      <c r="G64" s="271">
        <f t="shared" si="101"/>
        <v>122.96376000000001</v>
      </c>
      <c r="H64" s="272">
        <f t="shared" si="102"/>
        <v>479.55224727214767</v>
      </c>
      <c r="I64" s="1162">
        <f t="shared" ref="I64:I95" si="149">VLOOKUP($A64,Table_GW_Summary, MATCH("GW-ESL", heading_GW_Summary, 0), FALSE)</f>
        <v>3.4860991800078076</v>
      </c>
      <c r="J64" s="1163">
        <f t="shared" si="48"/>
        <v>3.4860991800078076</v>
      </c>
      <c r="K64" s="1164" t="str">
        <f t="shared" si="49"/>
        <v>GW VI</v>
      </c>
      <c r="L64" s="271">
        <f t="shared" si="135"/>
        <v>290</v>
      </c>
      <c r="M64" s="271">
        <f t="shared" ref="M64:M95" si="150">VLOOKUP($A64,Table_GW_Summary, MATCH("SW-EcoT", heading_GW_Summary, 0), FALSE)</f>
        <v>43</v>
      </c>
      <c r="N64" s="271">
        <f t="shared" si="136"/>
        <v>130</v>
      </c>
      <c r="O64" s="271">
        <f t="shared" si="103"/>
        <v>50000</v>
      </c>
      <c r="P64" s="1773">
        <f t="shared" ref="P64:P95" si="151">IF(VLOOKUP($A64,Table_GW_Summary,MATCH("Res-VI-C-Min",heading_GW_Summary,0),FALSE)="--",VLOOKUP($A64,Table_GW_Summary,MATCH("Res-VI-NC-Min",heading_GW_Summary,0),FALSE),IF(VLOOKUP($A64,Table_GW_Summary,MATCH("Res-VI-NC-Min",heading_GW_Summary,0),FALSE)="--",VLOOKUP($A64,Table_GW_Summary,MATCH("Res-VI-C-Min",heading_GW_Summary,0),FALSE),MIN(VLOOKUP($A64,Table_GW_Summary,MATCH("Res-VI-C-Min",heading_GW_Summary,0),FALSE),VLOOKUP($A64,Table_GW_Summary,MATCH("Res-VI-NC-Min",heading_GW_Summary,0),FALSE))))</f>
        <v>3.4860991800078076</v>
      </c>
      <c r="Q64" s="1777">
        <f t="shared" si="104"/>
        <v>300</v>
      </c>
      <c r="R64" s="1786">
        <f t="shared" si="118"/>
        <v>300</v>
      </c>
      <c r="S64" s="1786">
        <f t="shared" si="119"/>
        <v>1.4991397267199893</v>
      </c>
      <c r="T64" s="1786">
        <f t="shared" si="120"/>
        <v>300</v>
      </c>
      <c r="U64" s="1786">
        <f t="shared" si="13"/>
        <v>300</v>
      </c>
      <c r="V64" s="1786">
        <f t="shared" si="105"/>
        <v>30</v>
      </c>
      <c r="W64" s="1890">
        <f t="shared" si="121"/>
        <v>3.4860991800078076</v>
      </c>
      <c r="X64" s="1646" t="str">
        <f t="shared" si="106"/>
        <v>VI</v>
      </c>
      <c r="Y64" s="1642">
        <f t="shared" si="122"/>
        <v>3.4860991800078076</v>
      </c>
      <c r="Z64" s="1646" t="str">
        <f t="shared" si="107"/>
        <v>VI</v>
      </c>
      <c r="AA64" s="1642">
        <f t="shared" si="123"/>
        <v>3.4860991800078076</v>
      </c>
      <c r="AB64" s="1646" t="str">
        <f t="shared" si="108"/>
        <v>VI</v>
      </c>
      <c r="AC64" s="1641">
        <f t="shared" si="124"/>
        <v>3.4860991800078076</v>
      </c>
      <c r="AD64" s="1646" t="str">
        <f t="shared" si="109"/>
        <v>VI</v>
      </c>
      <c r="AE64" s="1642">
        <f t="shared" si="125"/>
        <v>1.4991397267199893</v>
      </c>
      <c r="AF64" s="1646" t="str">
        <f t="shared" si="110"/>
        <v>Tapwater Cancer</v>
      </c>
      <c r="AG64" s="1642">
        <f t="shared" si="126"/>
        <v>1.4991397267199893</v>
      </c>
      <c r="AH64" s="1646" t="str">
        <f t="shared" si="111"/>
        <v>Tapwater Cancer</v>
      </c>
      <c r="AI64" s="1642">
        <f t="shared" si="127"/>
        <v>1.4991397267199893</v>
      </c>
      <c r="AJ64" s="1646" t="str">
        <f t="shared" si="112"/>
        <v>Tapwater Cancer</v>
      </c>
      <c r="AK64" s="1641">
        <f t="shared" si="128"/>
        <v>1.4991397267199893</v>
      </c>
      <c r="AL64" s="1646" t="str">
        <f t="shared" si="113"/>
        <v>Tapwater Cancer</v>
      </c>
      <c r="AM64" s="1641">
        <f t="shared" si="129"/>
        <v>3.4860991800078076</v>
      </c>
      <c r="AN64" s="1646" t="str">
        <f t="shared" si="114"/>
        <v>VI</v>
      </c>
      <c r="AO64" s="1643">
        <f t="shared" si="130"/>
        <v>3.4860991800078076</v>
      </c>
      <c r="AP64" s="1646" t="str">
        <f t="shared" si="115"/>
        <v>VI</v>
      </c>
      <c r="AQ64" s="1643">
        <f t="shared" si="131"/>
        <v>3.4860991800078076</v>
      </c>
      <c r="AR64" s="1646" t="str">
        <f t="shared" si="116"/>
        <v>VI</v>
      </c>
      <c r="AS64" s="1644">
        <f t="shared" si="132"/>
        <v>3.4860991800078076</v>
      </c>
      <c r="AT64" s="1891" t="str">
        <f t="shared" si="117"/>
        <v>VI</v>
      </c>
      <c r="AU64" s="1773">
        <f t="shared" si="137"/>
        <v>0.42866386290667685</v>
      </c>
      <c r="AV64" s="1773">
        <f t="shared" si="138"/>
        <v>0.42866386290667685</v>
      </c>
      <c r="AW64" s="1773">
        <f t="shared" si="139"/>
        <v>0.42866386290667685</v>
      </c>
      <c r="AX64" s="1773">
        <f t="shared" si="140"/>
        <v>0.42866386290667685</v>
      </c>
      <c r="AY64" s="1773">
        <f t="shared" si="141"/>
        <v>0.18433985756286236</v>
      </c>
      <c r="AZ64" s="1773">
        <f t="shared" si="142"/>
        <v>0.18433985756286236</v>
      </c>
      <c r="BA64" s="1773">
        <f t="shared" si="143"/>
        <v>0.18433985756286236</v>
      </c>
      <c r="BB64" s="1773">
        <f t="shared" si="144"/>
        <v>0.18433985756286236</v>
      </c>
      <c r="BC64" s="1773">
        <f t="shared" si="145"/>
        <v>0.42866386290667685</v>
      </c>
      <c r="BD64" s="1773">
        <f t="shared" si="146"/>
        <v>0.42866386290667685</v>
      </c>
      <c r="BE64" s="1773">
        <f t="shared" si="147"/>
        <v>0.42866386290667685</v>
      </c>
      <c r="BF64" s="1947">
        <f t="shared" si="148"/>
        <v>0.42866386290667685</v>
      </c>
    </row>
    <row r="65" spans="1:58">
      <c r="A65" s="184" t="s">
        <v>199</v>
      </c>
      <c r="B65" s="185" t="s">
        <v>200</v>
      </c>
      <c r="C65" s="388">
        <f t="shared" si="46"/>
        <v>44.5792095743532</v>
      </c>
      <c r="D65" s="1779">
        <f t="shared" si="47"/>
        <v>44.5792095743532</v>
      </c>
      <c r="E65" s="1785">
        <f t="shared" si="133"/>
        <v>41260</v>
      </c>
      <c r="F65" s="271">
        <f t="shared" si="134"/>
        <v>2.9399999999999999E-4</v>
      </c>
      <c r="G65" s="271">
        <f t="shared" si="101"/>
        <v>6850.9848580000007</v>
      </c>
      <c r="H65" s="272">
        <f t="shared" si="102"/>
        <v>44.5792095743532</v>
      </c>
      <c r="I65" s="1162">
        <f t="shared" si="149"/>
        <v>5.9000000000000003E-6</v>
      </c>
      <c r="J65" s="1163">
        <f t="shared" si="48"/>
        <v>5.9000000000000003E-6</v>
      </c>
      <c r="K65" s="1164" t="str">
        <f t="shared" si="49"/>
        <v>Seafood Consumption</v>
      </c>
      <c r="L65" s="271">
        <f t="shared" si="135"/>
        <v>3.8E-3</v>
      </c>
      <c r="M65" s="271">
        <f t="shared" si="150"/>
        <v>3.5999999999999999E-3</v>
      </c>
      <c r="N65" s="271">
        <f t="shared" si="136"/>
        <v>5.9000000000000003E-6</v>
      </c>
      <c r="O65" s="271">
        <f t="shared" si="103"/>
        <v>90</v>
      </c>
      <c r="P65" s="1773">
        <f t="shared" si="151"/>
        <v>0.17968643078526389</v>
      </c>
      <c r="Q65" s="1777">
        <f t="shared" si="104"/>
        <v>200</v>
      </c>
      <c r="R65" s="1786">
        <f t="shared" si="118"/>
        <v>0.01</v>
      </c>
      <c r="S65" s="1786">
        <f t="shared" si="119"/>
        <v>1.3930504195594853E-3</v>
      </c>
      <c r="T65" s="1786">
        <f t="shared" si="120"/>
        <v>0.25630603751169218</v>
      </c>
      <c r="U65" s="1786">
        <f t="shared" si="13"/>
        <v>0.01</v>
      </c>
      <c r="V65" s="1786">
        <f t="shared" si="105"/>
        <v>20</v>
      </c>
      <c r="W65" s="1890">
        <f t="shared" si="121"/>
        <v>5.9000000000000003E-6</v>
      </c>
      <c r="X65" s="1646" t="str">
        <f t="shared" si="106"/>
        <v>Seafood Ingestion</v>
      </c>
      <c r="Y65" s="1642">
        <f t="shared" si="122"/>
        <v>5.9000000000000003E-6</v>
      </c>
      <c r="Z65" s="1646" t="str">
        <f t="shared" si="107"/>
        <v>Seafood Ingestion</v>
      </c>
      <c r="AA65" s="1642">
        <f t="shared" si="123"/>
        <v>5.9000000000000003E-6</v>
      </c>
      <c r="AB65" s="1646" t="str">
        <f t="shared" si="108"/>
        <v>Seafood Ingestion</v>
      </c>
      <c r="AC65" s="1641">
        <f t="shared" si="124"/>
        <v>0.01</v>
      </c>
      <c r="AD65" s="1646" t="str">
        <f t="shared" si="109"/>
        <v>MCL</v>
      </c>
      <c r="AE65" s="1642">
        <f t="shared" si="125"/>
        <v>5.9000000000000003E-6</v>
      </c>
      <c r="AF65" s="1646" t="str">
        <f t="shared" si="110"/>
        <v>Seafood Ingestion</v>
      </c>
      <c r="AG65" s="1642">
        <f t="shared" si="126"/>
        <v>5.9000000000000003E-6</v>
      </c>
      <c r="AH65" s="1646" t="str">
        <f t="shared" si="111"/>
        <v>Seafood Ingestion</v>
      </c>
      <c r="AI65" s="1642">
        <f t="shared" si="127"/>
        <v>5.9000000000000003E-6</v>
      </c>
      <c r="AJ65" s="1646" t="str">
        <f t="shared" si="112"/>
        <v>Seafood Ingestion</v>
      </c>
      <c r="AK65" s="1641">
        <f t="shared" si="128"/>
        <v>1.3930504195594853E-3</v>
      </c>
      <c r="AL65" s="1646" t="str">
        <f t="shared" si="113"/>
        <v>Tapwater Cancer</v>
      </c>
      <c r="AM65" s="1641">
        <f t="shared" si="129"/>
        <v>5.9000000000000003E-6</v>
      </c>
      <c r="AN65" s="1646" t="str">
        <f t="shared" si="114"/>
        <v>Seafood Ingestion</v>
      </c>
      <c r="AO65" s="1643">
        <f t="shared" si="130"/>
        <v>5.9000000000000003E-6</v>
      </c>
      <c r="AP65" s="1646" t="str">
        <f t="shared" si="115"/>
        <v>Seafood Ingestion</v>
      </c>
      <c r="AQ65" s="1643">
        <f t="shared" si="131"/>
        <v>5.9000000000000003E-6</v>
      </c>
      <c r="AR65" s="1646" t="str">
        <f t="shared" si="116"/>
        <v>Seafood Ingestion</v>
      </c>
      <c r="AS65" s="1644">
        <f t="shared" si="132"/>
        <v>0.17968643078526389</v>
      </c>
      <c r="AT65" s="1891" t="str">
        <f t="shared" si="117"/>
        <v>VI</v>
      </c>
      <c r="AU65" s="1773">
        <f t="shared" si="137"/>
        <v>44.5792095743532</v>
      </c>
      <c r="AV65" s="1773">
        <f t="shared" si="138"/>
        <v>44.5792095743532</v>
      </c>
      <c r="AW65" s="1773">
        <f t="shared" si="139"/>
        <v>44.5792095743532</v>
      </c>
      <c r="AX65" s="1773">
        <f t="shared" si="140"/>
        <v>44.5792095743532</v>
      </c>
      <c r="AY65" s="1773">
        <f t="shared" si="141"/>
        <v>44.5792095743532</v>
      </c>
      <c r="AZ65" s="1773">
        <f t="shared" si="142"/>
        <v>44.5792095743532</v>
      </c>
      <c r="BA65" s="1773">
        <f t="shared" si="143"/>
        <v>44.5792095743532</v>
      </c>
      <c r="BB65" s="1773">
        <f t="shared" si="144"/>
        <v>44.5792095743532</v>
      </c>
      <c r="BC65" s="1773">
        <f t="shared" si="145"/>
        <v>44.5792095743532</v>
      </c>
      <c r="BD65" s="1773">
        <f t="shared" si="146"/>
        <v>44.5792095743532</v>
      </c>
      <c r="BE65" s="1773">
        <f t="shared" si="147"/>
        <v>44.5792095743532</v>
      </c>
      <c r="BF65" s="1947">
        <f t="shared" si="148"/>
        <v>44.5792095743532</v>
      </c>
    </row>
    <row r="66" spans="1:58">
      <c r="A66" s="184" t="s">
        <v>201</v>
      </c>
      <c r="B66" s="185" t="s">
        <v>202</v>
      </c>
      <c r="C66" s="388">
        <f t="shared" si="46"/>
        <v>3.3567806940000001E-5</v>
      </c>
      <c r="D66" s="1779">
        <f t="shared" si="47"/>
        <v>3.3567806940000001E-5</v>
      </c>
      <c r="E66" s="1785">
        <f t="shared" si="133"/>
        <v>10110</v>
      </c>
      <c r="F66" s="271">
        <f t="shared" si="134"/>
        <v>2.0999999999999999E-5</v>
      </c>
      <c r="G66" s="271">
        <f t="shared" si="101"/>
        <v>1678.390347</v>
      </c>
      <c r="H66" s="272">
        <f t="shared" si="102"/>
        <v>12.152032505901049</v>
      </c>
      <c r="I66" s="1162">
        <f t="shared" si="149"/>
        <v>2.0000000000000002E-5</v>
      </c>
      <c r="J66" s="1163">
        <f t="shared" si="48"/>
        <v>2.0000000000000002E-5</v>
      </c>
      <c r="K66" s="1164" t="str">
        <f t="shared" si="49"/>
        <v>Seafood Consumption</v>
      </c>
      <c r="L66" s="271">
        <f t="shared" si="135"/>
        <v>3.8E-3</v>
      </c>
      <c r="M66" s="271">
        <f t="shared" si="150"/>
        <v>3.5999999999999999E-3</v>
      </c>
      <c r="N66" s="271">
        <f t="shared" si="136"/>
        <v>2.0000000000000002E-5</v>
      </c>
      <c r="O66" s="271">
        <f t="shared" si="103"/>
        <v>100</v>
      </c>
      <c r="P66" s="1773">
        <f t="shared" si="151"/>
        <v>1.2578050154989402</v>
      </c>
      <c r="Q66" s="1777" t="str">
        <f t="shared" si="104"/>
        <v>--</v>
      </c>
      <c r="R66" s="1786">
        <f t="shared" si="118"/>
        <v>0.01</v>
      </c>
      <c r="S66" s="1786">
        <f t="shared" si="119"/>
        <v>1.3884028363364219E-3</v>
      </c>
      <c r="T66" s="1786">
        <f t="shared" si="120"/>
        <v>0.12380600336940729</v>
      </c>
      <c r="U66" s="1786">
        <f t="shared" si="13"/>
        <v>0.01</v>
      </c>
      <c r="V66" s="1786" t="str">
        <f t="shared" si="105"/>
        <v>--</v>
      </c>
      <c r="W66" s="1890">
        <f t="shared" si="121"/>
        <v>2.0000000000000002E-5</v>
      </c>
      <c r="X66" s="1646" t="str">
        <f t="shared" si="106"/>
        <v>Seafood Ingestion</v>
      </c>
      <c r="Y66" s="1642">
        <f t="shared" si="122"/>
        <v>2.0000000000000002E-5</v>
      </c>
      <c r="Z66" s="1646" t="str">
        <f t="shared" si="107"/>
        <v>Seafood Ingestion</v>
      </c>
      <c r="AA66" s="1642">
        <f t="shared" si="123"/>
        <v>2.0000000000000002E-5</v>
      </c>
      <c r="AB66" s="1646" t="str">
        <f t="shared" si="108"/>
        <v>Seafood Ingestion</v>
      </c>
      <c r="AC66" s="1641">
        <f t="shared" si="124"/>
        <v>0.01</v>
      </c>
      <c r="AD66" s="1646" t="str">
        <f t="shared" si="109"/>
        <v>MCL</v>
      </c>
      <c r="AE66" s="1642">
        <f t="shared" si="125"/>
        <v>2.0000000000000002E-5</v>
      </c>
      <c r="AF66" s="1646" t="str">
        <f t="shared" si="110"/>
        <v>Seafood Ingestion</v>
      </c>
      <c r="AG66" s="1642">
        <f t="shared" si="126"/>
        <v>2.0000000000000002E-5</v>
      </c>
      <c r="AH66" s="1646" t="str">
        <f t="shared" si="111"/>
        <v>Seafood Ingestion</v>
      </c>
      <c r="AI66" s="1642">
        <f t="shared" si="127"/>
        <v>2.0000000000000002E-5</v>
      </c>
      <c r="AJ66" s="1646" t="str">
        <f t="shared" si="112"/>
        <v>Seafood Ingestion</v>
      </c>
      <c r="AK66" s="1641">
        <f t="shared" si="128"/>
        <v>1.3884028363364219E-3</v>
      </c>
      <c r="AL66" s="1646" t="str">
        <f t="shared" si="113"/>
        <v>Tapwater Cancer</v>
      </c>
      <c r="AM66" s="1641">
        <f t="shared" si="129"/>
        <v>2.0000000000000002E-5</v>
      </c>
      <c r="AN66" s="1646" t="str">
        <f t="shared" si="114"/>
        <v>Seafood Ingestion</v>
      </c>
      <c r="AO66" s="1643">
        <f t="shared" si="130"/>
        <v>2.0000000000000002E-5</v>
      </c>
      <c r="AP66" s="1646" t="str">
        <f t="shared" si="115"/>
        <v>Seafood Ingestion</v>
      </c>
      <c r="AQ66" s="1643">
        <f t="shared" si="131"/>
        <v>2.0000000000000002E-5</v>
      </c>
      <c r="AR66" s="1646" t="str">
        <f t="shared" si="116"/>
        <v>Seafood Ingestion</v>
      </c>
      <c r="AS66" s="1644">
        <f t="shared" si="132"/>
        <v>1.2578050154989402</v>
      </c>
      <c r="AT66" s="1891" t="str">
        <f t="shared" si="117"/>
        <v>VI</v>
      </c>
      <c r="AU66" s="1773">
        <f t="shared" si="137"/>
        <v>3.3567806940000001E-5</v>
      </c>
      <c r="AV66" s="1773">
        <f t="shared" si="138"/>
        <v>3.3567806940000001E-5</v>
      </c>
      <c r="AW66" s="1773">
        <f t="shared" si="139"/>
        <v>3.3567806940000001E-5</v>
      </c>
      <c r="AX66" s="1773">
        <f t="shared" si="140"/>
        <v>1.6783903470000004E-2</v>
      </c>
      <c r="AY66" s="1773">
        <f t="shared" si="141"/>
        <v>3.3567806940000001E-5</v>
      </c>
      <c r="AZ66" s="1773">
        <f t="shared" si="142"/>
        <v>3.3567806940000001E-5</v>
      </c>
      <c r="BA66" s="1773">
        <f t="shared" si="143"/>
        <v>3.3567806940000001E-5</v>
      </c>
      <c r="BB66" s="1773">
        <f t="shared" si="144"/>
        <v>2.3302819182544716E-3</v>
      </c>
      <c r="BC66" s="1773">
        <f t="shared" si="145"/>
        <v>3.3567806940000001E-5</v>
      </c>
      <c r="BD66" s="1773">
        <f t="shared" si="146"/>
        <v>3.3567806940000001E-5</v>
      </c>
      <c r="BE66" s="1773">
        <f t="shared" si="147"/>
        <v>3.3567806940000001E-5</v>
      </c>
      <c r="BF66" s="1947">
        <f t="shared" si="148"/>
        <v>2.1110877964216064</v>
      </c>
    </row>
    <row r="67" spans="1:58">
      <c r="A67" s="184" t="s">
        <v>203</v>
      </c>
      <c r="B67" s="185" t="s">
        <v>204</v>
      </c>
      <c r="C67" s="388">
        <f t="shared" si="46"/>
        <v>8.2074830099999996E-5</v>
      </c>
      <c r="D67" s="1779">
        <f t="shared" si="47"/>
        <v>8.2074830099999996E-5</v>
      </c>
      <c r="E67" s="1785">
        <f t="shared" si="133"/>
        <v>6195</v>
      </c>
      <c r="F67" s="271">
        <f t="shared" si="134"/>
        <v>1.6999999999999999E-3</v>
      </c>
      <c r="G67" s="271">
        <f t="shared" si="101"/>
        <v>1038.9219000000001</v>
      </c>
      <c r="H67" s="272">
        <f t="shared" si="102"/>
        <v>0.23115557433262882</v>
      </c>
      <c r="I67" s="1162">
        <f t="shared" si="149"/>
        <v>7.8999999999999996E-5</v>
      </c>
      <c r="J67" s="1163">
        <f t="shared" si="48"/>
        <v>7.8999999999999996E-5</v>
      </c>
      <c r="K67" s="1164" t="str">
        <f t="shared" si="49"/>
        <v>Seafood Consumption</v>
      </c>
      <c r="L67" s="271">
        <f t="shared" si="135"/>
        <v>3.68</v>
      </c>
      <c r="M67" s="271">
        <f t="shared" si="150"/>
        <v>64.5</v>
      </c>
      <c r="N67" s="271">
        <f t="shared" si="136"/>
        <v>7.8999999999999996E-5</v>
      </c>
      <c r="O67" s="271">
        <f t="shared" si="103"/>
        <v>3.1</v>
      </c>
      <c r="P67" s="1773">
        <f t="shared" si="151"/>
        <v>7.92112501109066E-2</v>
      </c>
      <c r="Q67" s="1777">
        <f t="shared" si="104"/>
        <v>30000</v>
      </c>
      <c r="R67" s="1786">
        <f t="shared" si="118"/>
        <v>1</v>
      </c>
      <c r="S67" s="1786">
        <f t="shared" si="119"/>
        <v>8.7776254719476709E-3</v>
      </c>
      <c r="T67" s="1786">
        <f t="shared" si="120"/>
        <v>0.20054945054945059</v>
      </c>
      <c r="U67" s="1786">
        <f t="shared" si="13"/>
        <v>1</v>
      </c>
      <c r="V67" s="1786">
        <f t="shared" si="105"/>
        <v>3000</v>
      </c>
      <c r="W67" s="1890">
        <f t="shared" si="121"/>
        <v>7.8999999999999996E-5</v>
      </c>
      <c r="X67" s="1646" t="str">
        <f t="shared" si="106"/>
        <v>Seafood Ingestion</v>
      </c>
      <c r="Y67" s="1642">
        <f t="shared" si="122"/>
        <v>7.8999999999999996E-5</v>
      </c>
      <c r="Z67" s="1646" t="str">
        <f t="shared" si="107"/>
        <v>Seafood Ingestion</v>
      </c>
      <c r="AA67" s="1642">
        <f t="shared" si="123"/>
        <v>7.8999999999999996E-5</v>
      </c>
      <c r="AB67" s="1646" t="str">
        <f t="shared" si="108"/>
        <v>Seafood Ingestion</v>
      </c>
      <c r="AC67" s="1641">
        <f t="shared" si="124"/>
        <v>7.92112501109066E-2</v>
      </c>
      <c r="AD67" s="1646" t="str">
        <f t="shared" si="109"/>
        <v>VI</v>
      </c>
      <c r="AE67" s="1642">
        <f t="shared" si="125"/>
        <v>7.8999999999999996E-5</v>
      </c>
      <c r="AF67" s="1646" t="str">
        <f t="shared" si="110"/>
        <v>Seafood Ingestion</v>
      </c>
      <c r="AG67" s="1642">
        <f t="shared" si="126"/>
        <v>7.8999999999999996E-5</v>
      </c>
      <c r="AH67" s="1646" t="str">
        <f t="shared" si="111"/>
        <v>Seafood Ingestion</v>
      </c>
      <c r="AI67" s="1642">
        <f t="shared" si="127"/>
        <v>7.8999999999999996E-5</v>
      </c>
      <c r="AJ67" s="1646" t="str">
        <f t="shared" si="112"/>
        <v>Seafood Ingestion</v>
      </c>
      <c r="AK67" s="1641">
        <f t="shared" si="128"/>
        <v>8.7776254719476709E-3</v>
      </c>
      <c r="AL67" s="1646" t="str">
        <f t="shared" si="113"/>
        <v>Tapwater Cancer</v>
      </c>
      <c r="AM67" s="1641">
        <f t="shared" si="129"/>
        <v>7.8999999999999996E-5</v>
      </c>
      <c r="AN67" s="1646" t="str">
        <f t="shared" si="114"/>
        <v>Seafood Ingestion</v>
      </c>
      <c r="AO67" s="1643">
        <f t="shared" si="130"/>
        <v>7.8999999999999996E-5</v>
      </c>
      <c r="AP67" s="1646" t="str">
        <f t="shared" si="115"/>
        <v>Seafood Ingestion</v>
      </c>
      <c r="AQ67" s="1643">
        <f t="shared" si="131"/>
        <v>7.8999999999999996E-5</v>
      </c>
      <c r="AR67" s="1646" t="str">
        <f t="shared" si="116"/>
        <v>Seafood Ingestion</v>
      </c>
      <c r="AS67" s="1644">
        <f t="shared" si="132"/>
        <v>7.92112501109066E-2</v>
      </c>
      <c r="AT67" s="1891" t="str">
        <f t="shared" si="117"/>
        <v>VI</v>
      </c>
      <c r="AU67" s="1773">
        <f t="shared" si="137"/>
        <v>8.2074830099999996E-5</v>
      </c>
      <c r="AV67" s="1773">
        <f t="shared" si="138"/>
        <v>8.2074830099999996E-5</v>
      </c>
      <c r="AW67" s="1773">
        <f t="shared" si="139"/>
        <v>8.2074830099999996E-5</v>
      </c>
      <c r="AX67" s="1773">
        <f t="shared" si="140"/>
        <v>8.2294302466598301E-2</v>
      </c>
      <c r="AY67" s="1773">
        <f t="shared" si="141"/>
        <v>8.2074830099999996E-5</v>
      </c>
      <c r="AZ67" s="1773">
        <f t="shared" si="142"/>
        <v>8.2074830099999996E-5</v>
      </c>
      <c r="BA67" s="1773">
        <f t="shared" si="143"/>
        <v>8.2074830099999996E-5</v>
      </c>
      <c r="BB67" s="1773">
        <f t="shared" si="144"/>
        <v>9.1192673328042723E-3</v>
      </c>
      <c r="BC67" s="1773">
        <f t="shared" si="145"/>
        <v>8.2074830099999996E-5</v>
      </c>
      <c r="BD67" s="1773">
        <f t="shared" si="146"/>
        <v>8.2074830099999996E-5</v>
      </c>
      <c r="BE67" s="1773">
        <f t="shared" si="147"/>
        <v>8.2074830099999996E-5</v>
      </c>
      <c r="BF67" s="1947">
        <f t="shared" si="148"/>
        <v>8.2294302466598301E-2</v>
      </c>
    </row>
    <row r="68" spans="1:58">
      <c r="A68" s="184" t="s">
        <v>205</v>
      </c>
      <c r="B68" s="185" t="s">
        <v>206</v>
      </c>
      <c r="C68" s="388">
        <f t="shared" si="46"/>
        <v>2.0423529999999998E-3</v>
      </c>
      <c r="D68" s="1779">
        <f t="shared" si="47"/>
        <v>2.0423529999999998E-3</v>
      </c>
      <c r="E68" s="1785">
        <f t="shared" si="133"/>
        <v>845.2</v>
      </c>
      <c r="F68" s="271">
        <f t="shared" si="134"/>
        <v>1.03E-2</v>
      </c>
      <c r="G68" s="271">
        <f t="shared" si="101"/>
        <v>204.2353</v>
      </c>
      <c r="H68" s="272">
        <f t="shared" si="102"/>
        <v>16.802933928220632</v>
      </c>
      <c r="I68" s="1162">
        <f t="shared" si="149"/>
        <v>0.01</v>
      </c>
      <c r="J68" s="1163">
        <f t="shared" si="48"/>
        <v>0.01</v>
      </c>
      <c r="K68" s="1164" t="str">
        <f t="shared" si="49"/>
        <v>Seafood Consumption</v>
      </c>
      <c r="L68" s="271">
        <f t="shared" si="135"/>
        <v>4.6500000000000004</v>
      </c>
      <c r="M68" s="271">
        <f t="shared" si="150"/>
        <v>3.2</v>
      </c>
      <c r="N68" s="271">
        <f t="shared" si="136"/>
        <v>0.01</v>
      </c>
      <c r="O68" s="271">
        <f t="shared" si="103"/>
        <v>1600</v>
      </c>
      <c r="P68" s="1773">
        <f t="shared" si="151"/>
        <v>0.3030721705479007</v>
      </c>
      <c r="Q68" s="1777">
        <f t="shared" si="104"/>
        <v>60</v>
      </c>
      <c r="R68" s="1786" t="str">
        <f t="shared" si="118"/>
        <v>--</v>
      </c>
      <c r="S68" s="1786">
        <f t="shared" si="119"/>
        <v>0.13869404115936773</v>
      </c>
      <c r="T68" s="1786">
        <f t="shared" si="120"/>
        <v>6.4593311487380403</v>
      </c>
      <c r="U68" s="1786">
        <f t="shared" si="13"/>
        <v>0.13869404115936773</v>
      </c>
      <c r="V68" s="1786">
        <f t="shared" si="105"/>
        <v>6</v>
      </c>
      <c r="W68" s="1890">
        <f t="shared" si="121"/>
        <v>0.01</v>
      </c>
      <c r="X68" s="1646" t="str">
        <f t="shared" si="106"/>
        <v>Seafood Ingestion</v>
      </c>
      <c r="Y68" s="1642">
        <f t="shared" si="122"/>
        <v>0.01</v>
      </c>
      <c r="Z68" s="1646" t="str">
        <f t="shared" si="107"/>
        <v>Seafood Ingestion</v>
      </c>
      <c r="AA68" s="1642">
        <f t="shared" si="123"/>
        <v>0.01</v>
      </c>
      <c r="AB68" s="1646" t="str">
        <f t="shared" si="108"/>
        <v>Seafood Ingestion</v>
      </c>
      <c r="AC68" s="1641">
        <f t="shared" si="124"/>
        <v>0.13869404115936773</v>
      </c>
      <c r="AD68" s="1646" t="str">
        <f t="shared" si="109"/>
        <v>Tapwater Cancer</v>
      </c>
      <c r="AE68" s="1642">
        <f t="shared" si="125"/>
        <v>0.01</v>
      </c>
      <c r="AF68" s="1646" t="str">
        <f t="shared" si="110"/>
        <v>Seafood Ingestion</v>
      </c>
      <c r="AG68" s="1642">
        <f t="shared" si="126"/>
        <v>0.01</v>
      </c>
      <c r="AH68" s="1646" t="str">
        <f t="shared" si="111"/>
        <v>Seafood Ingestion</v>
      </c>
      <c r="AI68" s="1642">
        <f t="shared" si="127"/>
        <v>0.01</v>
      </c>
      <c r="AJ68" s="1646" t="str">
        <f t="shared" si="112"/>
        <v>Seafood Ingestion</v>
      </c>
      <c r="AK68" s="1641">
        <f t="shared" si="128"/>
        <v>0.13869404115936773</v>
      </c>
      <c r="AL68" s="1646" t="str">
        <f t="shared" si="113"/>
        <v>Tapwater Cancer</v>
      </c>
      <c r="AM68" s="1641">
        <f t="shared" si="129"/>
        <v>0.01</v>
      </c>
      <c r="AN68" s="1646" t="str">
        <f t="shared" si="114"/>
        <v>Seafood Ingestion</v>
      </c>
      <c r="AO68" s="1643">
        <f t="shared" si="130"/>
        <v>0.01</v>
      </c>
      <c r="AP68" s="1646" t="str">
        <f t="shared" si="115"/>
        <v>Seafood Ingestion</v>
      </c>
      <c r="AQ68" s="1643">
        <f t="shared" si="131"/>
        <v>0.01</v>
      </c>
      <c r="AR68" s="1646" t="str">
        <f t="shared" si="116"/>
        <v>Seafood Ingestion</v>
      </c>
      <c r="AS68" s="1644">
        <f t="shared" si="132"/>
        <v>0.3030721705479007</v>
      </c>
      <c r="AT68" s="1891" t="str">
        <f t="shared" si="117"/>
        <v>VI</v>
      </c>
      <c r="AU68" s="1773">
        <f t="shared" si="137"/>
        <v>2.0423529999999998E-3</v>
      </c>
      <c r="AV68" s="1773">
        <f t="shared" si="138"/>
        <v>2.0423529999999998E-3</v>
      </c>
      <c r="AW68" s="1773">
        <f t="shared" si="139"/>
        <v>2.0423529999999998E-3</v>
      </c>
      <c r="AX68" s="1773">
        <f t="shared" si="140"/>
        <v>2.8326219104395815E-2</v>
      </c>
      <c r="AY68" s="1773">
        <f t="shared" si="141"/>
        <v>2.0423529999999998E-3</v>
      </c>
      <c r="AZ68" s="1773">
        <f t="shared" si="142"/>
        <v>2.0423529999999998E-3</v>
      </c>
      <c r="BA68" s="1773">
        <f t="shared" si="143"/>
        <v>2.0423529999999998E-3</v>
      </c>
      <c r="BB68" s="1773">
        <f t="shared" si="144"/>
        <v>2.8326219104395815E-2</v>
      </c>
      <c r="BC68" s="1773">
        <f t="shared" si="145"/>
        <v>2.0423529999999998E-3</v>
      </c>
      <c r="BD68" s="1773">
        <f t="shared" si="146"/>
        <v>2.0423529999999998E-3</v>
      </c>
      <c r="BE68" s="1773">
        <f t="shared" si="147"/>
        <v>2.0423529999999998E-3</v>
      </c>
      <c r="BF68" s="1947">
        <f t="shared" si="148"/>
        <v>6.1898035673501661E-2</v>
      </c>
    </row>
    <row r="69" spans="1:58">
      <c r="A69" s="2109" t="s">
        <v>4279</v>
      </c>
      <c r="B69" s="185" t="s">
        <v>208</v>
      </c>
      <c r="C69" s="388">
        <f t="shared" si="46"/>
        <v>1.86397561592E-3</v>
      </c>
      <c r="D69" s="1779">
        <f t="shared" si="47"/>
        <v>1.86397561592E-3</v>
      </c>
      <c r="E69" s="1785">
        <f t="shared" si="133"/>
        <v>2807</v>
      </c>
      <c r="F69" s="271">
        <f t="shared" si="134"/>
        <v>5.1399999999999999E-6</v>
      </c>
      <c r="G69" s="271">
        <f t="shared" si="101"/>
        <v>465.99390398000003</v>
      </c>
      <c r="H69" s="272">
        <f t="shared" si="102"/>
        <v>123.67689040152833</v>
      </c>
      <c r="I69" s="1162">
        <f t="shared" si="149"/>
        <v>4.0000000000000001E-3</v>
      </c>
      <c r="J69" s="1163">
        <f t="shared" si="48"/>
        <v>4.0000000000000001E-3</v>
      </c>
      <c r="K69" s="1164" t="str">
        <f t="shared" si="49"/>
        <v>SW EcoTox Goal</v>
      </c>
      <c r="L69" s="271">
        <f t="shared" si="135"/>
        <v>0.08</v>
      </c>
      <c r="M69" s="271">
        <f t="shared" si="150"/>
        <v>4.0000000000000001E-3</v>
      </c>
      <c r="N69" s="271">
        <f t="shared" si="136"/>
        <v>6.3E-2</v>
      </c>
      <c r="O69" s="271">
        <f t="shared" si="103"/>
        <v>3650</v>
      </c>
      <c r="P69" s="1773" t="str">
        <f t="shared" si="151"/>
        <v>--</v>
      </c>
      <c r="Q69" s="1777">
        <f t="shared" si="104"/>
        <v>120000</v>
      </c>
      <c r="R69" s="1786">
        <f t="shared" si="118"/>
        <v>0.2</v>
      </c>
      <c r="S69" s="1786">
        <f t="shared" si="119"/>
        <v>3.2000000000000001E-2</v>
      </c>
      <c r="T69" s="1786">
        <f t="shared" si="120"/>
        <v>9.7247023426446713E-3</v>
      </c>
      <c r="U69" s="1786">
        <f t="shared" si="13"/>
        <v>0.2</v>
      </c>
      <c r="V69" s="1786">
        <f t="shared" si="105"/>
        <v>12000</v>
      </c>
      <c r="W69" s="1890">
        <f t="shared" si="121"/>
        <v>4.0000000000000001E-3</v>
      </c>
      <c r="X69" s="1646" t="str">
        <f t="shared" si="106"/>
        <v>Saltwater EcoTox</v>
      </c>
      <c r="Y69" s="1642">
        <f t="shared" si="122"/>
        <v>6.3E-2</v>
      </c>
      <c r="Z69" s="1646" t="str">
        <f t="shared" si="107"/>
        <v>Seafood Ingestion</v>
      </c>
      <c r="AA69" s="1642">
        <f t="shared" si="123"/>
        <v>4.0000000000000001E-3</v>
      </c>
      <c r="AB69" s="1646" t="str">
        <f t="shared" si="108"/>
        <v>Saltwater EcoTox</v>
      </c>
      <c r="AC69" s="1641">
        <f t="shared" si="124"/>
        <v>0.2</v>
      </c>
      <c r="AD69" s="1646" t="str">
        <f t="shared" si="109"/>
        <v>MCL</v>
      </c>
      <c r="AE69" s="1642">
        <f t="shared" si="125"/>
        <v>4.0000000000000001E-3</v>
      </c>
      <c r="AF69" s="1646" t="str">
        <f t="shared" si="110"/>
        <v>Saltwater EcoTox</v>
      </c>
      <c r="AG69" s="1642">
        <f t="shared" si="126"/>
        <v>9.7247023426446713E-3</v>
      </c>
      <c r="AH69" s="1646" t="str">
        <f t="shared" si="111"/>
        <v>Tapwater Noncancer</v>
      </c>
      <c r="AI69" s="1642">
        <f t="shared" si="127"/>
        <v>4.0000000000000001E-3</v>
      </c>
      <c r="AJ69" s="1646" t="str">
        <f t="shared" si="112"/>
        <v>Saltwater EcoTox</v>
      </c>
      <c r="AK69" s="1641">
        <f t="shared" si="128"/>
        <v>9.7247023426446713E-3</v>
      </c>
      <c r="AL69" s="1646" t="str">
        <f t="shared" si="113"/>
        <v>Tapwater Noncancer</v>
      </c>
      <c r="AM69" s="1641">
        <f t="shared" si="129"/>
        <v>4.0000000000000001E-3</v>
      </c>
      <c r="AN69" s="1646" t="str">
        <f t="shared" si="114"/>
        <v>Saltwater EcoTox</v>
      </c>
      <c r="AO69" s="1643">
        <f t="shared" si="130"/>
        <v>6.3E-2</v>
      </c>
      <c r="AP69" s="1646" t="str">
        <f t="shared" si="115"/>
        <v>Seafood Ingestion</v>
      </c>
      <c r="AQ69" s="1643">
        <f t="shared" si="131"/>
        <v>4.0000000000000001E-3</v>
      </c>
      <c r="AR69" s="1646" t="str">
        <f t="shared" si="116"/>
        <v>Saltwater EcoTox</v>
      </c>
      <c r="AS69" s="1644">
        <f t="shared" si="132"/>
        <v>3650</v>
      </c>
      <c r="AT69" s="1891" t="str">
        <f t="shared" si="117"/>
        <v>Outdoor Odor</v>
      </c>
      <c r="AU69" s="1773">
        <f t="shared" si="137"/>
        <v>1.86397561592E-3</v>
      </c>
      <c r="AV69" s="1773">
        <f t="shared" si="138"/>
        <v>2.9357615950740001E-2</v>
      </c>
      <c r="AW69" s="1773">
        <f t="shared" si="139"/>
        <v>1.86397561592E-3</v>
      </c>
      <c r="AX69" s="1773">
        <f t="shared" si="140"/>
        <v>9.3198780796000011E-2</v>
      </c>
      <c r="AY69" s="1773">
        <f t="shared" si="141"/>
        <v>1.86397561592E-3</v>
      </c>
      <c r="AZ69" s="1773">
        <f t="shared" si="142"/>
        <v>4.5316520096924428E-3</v>
      </c>
      <c r="BA69" s="1773">
        <f t="shared" si="143"/>
        <v>1.86397561592E-3</v>
      </c>
      <c r="BB69" s="1773">
        <f t="shared" si="144"/>
        <v>4.5316520096924428E-3</v>
      </c>
      <c r="BC69" s="1773">
        <f t="shared" si="145"/>
        <v>1.86397561592E-3</v>
      </c>
      <c r="BD69" s="1773">
        <f t="shared" si="146"/>
        <v>2.9357615950740001E-2</v>
      </c>
      <c r="BE69" s="1773">
        <f t="shared" si="147"/>
        <v>1.86397561592E-3</v>
      </c>
      <c r="BF69" s="1947">
        <f t="shared" si="148"/>
        <v>1700.8777495270001</v>
      </c>
    </row>
    <row r="70" spans="1:58">
      <c r="A70" s="184" t="s">
        <v>209</v>
      </c>
      <c r="B70" s="185" t="s">
        <v>210</v>
      </c>
      <c r="C70" s="388">
        <f t="shared" si="46"/>
        <v>5.6814030000000007E-3</v>
      </c>
      <c r="D70" s="1779">
        <f t="shared" si="47"/>
        <v>5.6814030000000007E-3</v>
      </c>
      <c r="E70" s="1785">
        <f t="shared" si="133"/>
        <v>196.8</v>
      </c>
      <c r="F70" s="271">
        <f t="shared" si="134"/>
        <v>3.8899999999999998E-3</v>
      </c>
      <c r="G70" s="271">
        <f t="shared" si="101"/>
        <v>56.814030000000002</v>
      </c>
      <c r="H70" s="272">
        <f t="shared" si="102"/>
        <v>65.545332798510728</v>
      </c>
      <c r="I70" s="1162">
        <f t="shared" si="149"/>
        <v>0.1</v>
      </c>
      <c r="J70" s="1163">
        <f t="shared" si="48"/>
        <v>0.1</v>
      </c>
      <c r="K70" s="1164" t="str">
        <f t="shared" si="49"/>
        <v>Seafood Consumption</v>
      </c>
      <c r="L70" s="271">
        <f t="shared" si="135"/>
        <v>12</v>
      </c>
      <c r="M70" s="271">
        <f t="shared" si="150"/>
        <v>94</v>
      </c>
      <c r="N70" s="271">
        <f t="shared" si="136"/>
        <v>0.1</v>
      </c>
      <c r="O70" s="271">
        <f t="shared" si="103"/>
        <v>25000</v>
      </c>
      <c r="P70" s="1773">
        <f t="shared" si="151"/>
        <v>1.6049580239811621</v>
      </c>
      <c r="Q70" s="1777">
        <f t="shared" si="104"/>
        <v>100</v>
      </c>
      <c r="R70" s="1786" t="str">
        <f t="shared" si="118"/>
        <v>--</v>
      </c>
      <c r="S70" s="1786">
        <f t="shared" si="119"/>
        <v>0.32838246315927444</v>
      </c>
      <c r="T70" s="1786">
        <f t="shared" si="120"/>
        <v>6.2374795144245558</v>
      </c>
      <c r="U70" s="1786">
        <f t="shared" si="13"/>
        <v>0.32838246315927444</v>
      </c>
      <c r="V70" s="1786">
        <f t="shared" si="105"/>
        <v>10</v>
      </c>
      <c r="W70" s="1890">
        <f t="shared" si="121"/>
        <v>0.1</v>
      </c>
      <c r="X70" s="1646" t="str">
        <f t="shared" si="106"/>
        <v>Seafood Ingestion</v>
      </c>
      <c r="Y70" s="1642">
        <f t="shared" si="122"/>
        <v>0.1</v>
      </c>
      <c r="Z70" s="1646" t="str">
        <f t="shared" si="107"/>
        <v>Seafood Ingestion</v>
      </c>
      <c r="AA70" s="1642">
        <f t="shared" si="123"/>
        <v>0.1</v>
      </c>
      <c r="AB70" s="1646" t="str">
        <f t="shared" si="108"/>
        <v>Seafood Ingestion</v>
      </c>
      <c r="AC70" s="1641">
        <f t="shared" si="124"/>
        <v>0.32838246315927444</v>
      </c>
      <c r="AD70" s="1646" t="str">
        <f t="shared" si="109"/>
        <v>Tapwater Cancer</v>
      </c>
      <c r="AE70" s="1642">
        <f t="shared" si="125"/>
        <v>0.1</v>
      </c>
      <c r="AF70" s="1646" t="str">
        <f t="shared" si="110"/>
        <v>Seafood Ingestion</v>
      </c>
      <c r="AG70" s="1642">
        <f t="shared" si="126"/>
        <v>0.1</v>
      </c>
      <c r="AH70" s="1646" t="str">
        <f t="shared" si="111"/>
        <v>Seafood Ingestion</v>
      </c>
      <c r="AI70" s="1642">
        <f t="shared" si="127"/>
        <v>0.1</v>
      </c>
      <c r="AJ70" s="1646" t="str">
        <f t="shared" si="112"/>
        <v>Seafood Ingestion</v>
      </c>
      <c r="AK70" s="1641">
        <f t="shared" si="128"/>
        <v>0.32838246315927444</v>
      </c>
      <c r="AL70" s="1646" t="str">
        <f t="shared" si="113"/>
        <v>Tapwater Cancer</v>
      </c>
      <c r="AM70" s="1641">
        <f t="shared" si="129"/>
        <v>0.1</v>
      </c>
      <c r="AN70" s="1646" t="str">
        <f t="shared" si="114"/>
        <v>Seafood Ingestion</v>
      </c>
      <c r="AO70" s="1643">
        <f t="shared" si="130"/>
        <v>0.1</v>
      </c>
      <c r="AP70" s="1646" t="str">
        <f t="shared" si="115"/>
        <v>Seafood Ingestion</v>
      </c>
      <c r="AQ70" s="1643">
        <f t="shared" si="131"/>
        <v>0.1</v>
      </c>
      <c r="AR70" s="1646" t="str">
        <f t="shared" si="116"/>
        <v>Seafood Ingestion</v>
      </c>
      <c r="AS70" s="1644">
        <f t="shared" si="132"/>
        <v>1.6049580239811621</v>
      </c>
      <c r="AT70" s="1891" t="str">
        <f t="shared" si="117"/>
        <v>VI</v>
      </c>
      <c r="AU70" s="1773">
        <f t="shared" si="137"/>
        <v>5.6814030000000007E-3</v>
      </c>
      <c r="AV70" s="1773">
        <f t="shared" si="138"/>
        <v>5.6814030000000007E-3</v>
      </c>
      <c r="AW70" s="1773">
        <f t="shared" si="139"/>
        <v>5.6814030000000007E-3</v>
      </c>
      <c r="AX70" s="1773">
        <f t="shared" si="140"/>
        <v>1.8656731113404913E-2</v>
      </c>
      <c r="AY70" s="1773">
        <f t="shared" si="141"/>
        <v>5.6814030000000007E-3</v>
      </c>
      <c r="AZ70" s="1773">
        <f t="shared" si="142"/>
        <v>5.6814030000000007E-3</v>
      </c>
      <c r="BA70" s="1773">
        <f t="shared" si="143"/>
        <v>5.6814030000000007E-3</v>
      </c>
      <c r="BB70" s="1773">
        <f t="shared" si="144"/>
        <v>1.8656731113404913E-2</v>
      </c>
      <c r="BC70" s="1773">
        <f t="shared" si="145"/>
        <v>5.6814030000000007E-3</v>
      </c>
      <c r="BD70" s="1773">
        <f t="shared" si="146"/>
        <v>5.6814030000000007E-3</v>
      </c>
      <c r="BE70" s="1773">
        <f t="shared" si="147"/>
        <v>5.6814030000000007E-3</v>
      </c>
      <c r="BF70" s="1947">
        <f t="shared" si="148"/>
        <v>9.1184133323206462E-2</v>
      </c>
    </row>
    <row r="71" spans="1:58">
      <c r="A71" s="184" t="s">
        <v>211</v>
      </c>
      <c r="B71" s="185" t="s">
        <v>212</v>
      </c>
      <c r="C71" s="388" t="str">
        <f t="shared" si="46"/>
        <v>--</v>
      </c>
      <c r="D71" s="1779" t="str">
        <f t="shared" si="47"/>
        <v>--</v>
      </c>
      <c r="E71" s="1785" t="str">
        <f t="shared" si="133"/>
        <v>--</v>
      </c>
      <c r="F71" s="271" t="str">
        <f t="shared" si="134"/>
        <v>--</v>
      </c>
      <c r="G71" s="271" t="str">
        <f t="shared" ref="G71:G100" si="152">VLOOKUP($A71,Table_IP_1, MATCH("daf", heading_IP_1, 0), FALSE)</f>
        <v>--</v>
      </c>
      <c r="H71" s="272" t="str">
        <f t="shared" ref="H71:H100" si="153">VLOOKUP($A71,Table_IP_1, MATCH("sat lim", heading_IP_1, 0), FALSE)</f>
        <v>--</v>
      </c>
      <c r="I71" s="1162">
        <f t="shared" si="149"/>
        <v>2</v>
      </c>
      <c r="J71" s="1163">
        <f t="shared" si="48"/>
        <v>2</v>
      </c>
      <c r="K71" s="1164" t="str">
        <f t="shared" si="49"/>
        <v>SW EcoTox Goal</v>
      </c>
      <c r="L71" s="271">
        <f t="shared" si="135"/>
        <v>2.5</v>
      </c>
      <c r="M71" s="271">
        <f t="shared" si="150"/>
        <v>2</v>
      </c>
      <c r="N71" s="271" t="str">
        <f t="shared" si="136"/>
        <v>--</v>
      </c>
      <c r="O71" s="271">
        <f t="shared" ref="O71:O100" si="154">VLOOKUP($A71,Table_GW_Summary, MATCH("W-GC", heading_GW_Summary, 0), FALSE)</f>
        <v>50000</v>
      </c>
      <c r="P71" s="1773" t="str">
        <f t="shared" si="151"/>
        <v>--</v>
      </c>
      <c r="Q71" s="1777" t="str">
        <f t="shared" ref="Q71:Q100" si="155">VLOOKUP($A71,Table_GW_Summary, MATCH("NDW-NO", heading_GW_Summary, 0), FALSE)</f>
        <v>--</v>
      </c>
      <c r="R71" s="1786">
        <f t="shared" si="118"/>
        <v>15</v>
      </c>
      <c r="S71" s="1786" t="str">
        <f t="shared" si="119"/>
        <v>--</v>
      </c>
      <c r="T71" s="1786">
        <f t="shared" si="120"/>
        <v>0.2</v>
      </c>
      <c r="U71" s="1786">
        <f t="shared" ref="U71:U134" si="156">IF(AND(R71="--", S71="--",T71="--"),"--", IF(R71="--", MIN(S71:T71),R71))</f>
        <v>15</v>
      </c>
      <c r="V71" s="1786" t="str">
        <f t="shared" ref="V71:V100" si="157">VLOOKUP($A71,Table_GW_Summary, MATCH("DW-NO", heading_GW_Summary, 0), FALSE)</f>
        <v>--</v>
      </c>
      <c r="W71" s="1890">
        <f t="shared" si="121"/>
        <v>2</v>
      </c>
      <c r="X71" s="1646" t="str">
        <f t="shared" ref="X71:X100" si="158">IF(W71=$R71,"MCL",IF(W71=$S71,"Tapwater Cancer", IF(W71=$T71,"Tapwater Noncancer",IF(W71=$V71,"DW Taste &amp; Odor",IF(W71=$P71,"VI",IF(W71=$N71,"Seafood Ingestion",IF(W71=$M71,"Saltwater EcoTox",IF(W71=$L71,"FW EcoTox","Outdoor Odor"))))))))</f>
        <v>Saltwater EcoTox</v>
      </c>
      <c r="Y71" s="1642">
        <f t="shared" si="122"/>
        <v>2.5</v>
      </c>
      <c r="Z71" s="1646" t="str">
        <f t="shared" ref="Z71:Z100" si="159">IF(Y71=$R71,"MCL",IF(Y71=$S71,"Tapwater Cancer", IF(Y71=$T71,"Tapwater Noncancer",IF(Y71=$V71,"DW Taste &amp; Odor",IF(Y71=$P71,"VI",IF(Y71=$N71,"Seafood Ingestion",IF(Y71=$M71,"Saltwater EcoTox",IF(Y71=$L71,"FW EcoTox","Outdoor Odor"))))))))</f>
        <v>FW EcoTox</v>
      </c>
      <c r="AA71" s="1642">
        <f t="shared" si="123"/>
        <v>2</v>
      </c>
      <c r="AB71" s="1646" t="str">
        <f t="shared" ref="AB71:AB100" si="160">IF(AA71=$R71,"MCL",IF(AA71=$S71,"Tapwater Cancer", IF(AA71=$T71,"Tapwater Noncancer",IF(AA71=$V71,"DW Taste &amp; Odor",IF(AA71=$P71,"VI",IF(AA71=$N71,"Seafood Ingestion",IF(AA71=$M71,"Saltwater EcoTox",IF(AA71=$L71,"FW EcoTox","Outdoor Odor"))))))))</f>
        <v>Saltwater EcoTox</v>
      </c>
      <c r="AC71" s="1641">
        <f t="shared" si="124"/>
        <v>15</v>
      </c>
      <c r="AD71" s="1646" t="str">
        <f t="shared" ref="AD71:AD100" si="161">IF(AC71=$R71,"MCL",IF(AC71=$S71,"Tapwater Cancer", IF(AC71=$T71,"Tapwater Noncancer",IF(AC71=$V71,"DW Taste &amp; Odor",IF(AC71=$P71,"VI",IF(AC71=$N71,"Seafood Ingestion",IF(AC71=$M71,"Saltwater EcoTox",IF(AC71=$L71,"FW EcoTox","Outdoor Odor"))))))))</f>
        <v>MCL</v>
      </c>
      <c r="AE71" s="1642">
        <f t="shared" si="125"/>
        <v>0.2</v>
      </c>
      <c r="AF71" s="1646" t="str">
        <f t="shared" ref="AF71:AF100" si="162">IF(AE71=$R71,"MCL",IF(AE71=$S71,"Tapwater Cancer", IF(AE71=$T71,"Tapwater Noncancer",IF(AE71=$V71,"DW Taste &amp; Odor",IF(AE71=$P71,"VI",IF(AE71=$N71,"Seafood Ingestion",IF(AE71=$M71,"Saltwater EcoTox",IF(AE71=$L71,"FW EcoTox","Outdoor Odor"))))))))</f>
        <v>Tapwater Noncancer</v>
      </c>
      <c r="AG71" s="1642">
        <f t="shared" si="126"/>
        <v>0.2</v>
      </c>
      <c r="AH71" s="1646" t="str">
        <f t="shared" ref="AH71:AH100" si="163">IF(AG71=$R71,"MCL",IF(AG71=$S71,"Tapwater Cancer", IF(AG71=$T71,"Tapwater Noncancer",IF(AG71=$V71,"DW Taste &amp; Odor",IF(AG71=$P71,"VI",IF(AG71=$N71,"Seafood Ingestion",IF(AG71=$M71,"Saltwater EcoTox",IF(AG71=$L71,"FW EcoTox","Outdoor Odor"))))))))</f>
        <v>Tapwater Noncancer</v>
      </c>
      <c r="AI71" s="1642">
        <f t="shared" si="127"/>
        <v>0.2</v>
      </c>
      <c r="AJ71" s="1646" t="str">
        <f t="shared" ref="AJ71:AJ100" si="164">IF(AI71=$R71,"MCL",IF(AI71=$S71,"Tapwater Cancer", IF(AI71=$T71,"Tapwater Noncancer",IF(AI71=$V71,"DW Taste &amp; Odor",IF(AI71=$P71,"VI",IF(AI71=$N71,"Seafood Ingestion",IF(AI71=$M71,"Saltwater EcoTox",IF(AI71=$L71,"FW EcoTox","Outdoor Odor"))))))))</f>
        <v>Tapwater Noncancer</v>
      </c>
      <c r="AK71" s="1641">
        <f t="shared" si="128"/>
        <v>0.2</v>
      </c>
      <c r="AL71" s="1646" t="str">
        <f t="shared" ref="AL71:AL100" si="165">IF(AK71=$R71,"MCL",IF(AK71=$S71,"Tapwater Cancer", IF(AK71=$T71,"Tapwater Noncancer",IF(AK71=$V71,"DW Taste &amp; Odor",IF(AK71=$P71,"VI",IF(AK71=$N71,"Seafood Ingestion",IF(AK71=$M71,"Saltwater EcoTox",IF(AK71=$L71,"FW EcoTox","Outdoor Odor"))))))))</f>
        <v>Tapwater Noncancer</v>
      </c>
      <c r="AM71" s="1641">
        <f t="shared" si="129"/>
        <v>2</v>
      </c>
      <c r="AN71" s="1646" t="str">
        <f t="shared" ref="AN71:AN100" si="166">IF(AM71=$R71,"MCL",IF(AM71=$S71,"Tapwater Cancer", IF(AM71=$T71,"Tapwater Noncancer",IF(AM71=$V71,"DW Taste &amp; Odor",IF(AM71=$P71,"VI",IF(AM71=$N71,"Seafood Ingestion",IF(AM71=$M71,"Saltwater EcoTox",IF(AM71=$L71,"FW EcoTox","Outdoor Odor"))))))))</f>
        <v>Saltwater EcoTox</v>
      </c>
      <c r="AO71" s="1643">
        <f t="shared" si="130"/>
        <v>2.5</v>
      </c>
      <c r="AP71" s="1646" t="str">
        <f t="shared" ref="AP71:AP100" si="167">IF(AO71=$R71,"MCL",IF(AO71=$S71,"Tapwater Cancer", IF(AO71=$T71,"Tapwater Noncancer",IF(AO71=$V71,"DW Taste &amp; Odor",IF(AO71=$P71,"VI",IF(AO71=$N71,"Seafood Ingestion",IF(AO71=$M71,"Saltwater EcoTox",IF(AO71=$L71,"FW EcoTox","Outdoor Odor"))))))))</f>
        <v>FW EcoTox</v>
      </c>
      <c r="AQ71" s="1643">
        <f t="shared" si="131"/>
        <v>2</v>
      </c>
      <c r="AR71" s="1646" t="str">
        <f t="shared" ref="AR71:AR100" si="168">IF(AQ71=$R71,"MCL",IF(AQ71=$S71,"Tapwater Cancer", IF(AQ71=$T71,"Tapwater Noncancer",IF(AQ71=$V71,"DW Taste &amp; Odor",IF(AQ71=$P71,"VI",IF(AQ71=$N71,"Seafood Ingestion",IF(AQ71=$M71,"Saltwater EcoTox",IF(AQ71=$L71,"FW EcoTox","Outdoor Odor"))))))))</f>
        <v>Saltwater EcoTox</v>
      </c>
      <c r="AS71" s="1644">
        <f t="shared" si="132"/>
        <v>50000</v>
      </c>
      <c r="AT71" s="1891" t="str">
        <f t="shared" ref="AT71:AT100" si="169">IF(AS71=$R71,"MCL",IF(AS71=$S71,"Tapwater Cancer", IF(AS71=$T71,"Tapwater Noncancer",IF(AS71=$V71,"DW Taste &amp; Odor",IF(AS71=$P71,"VI",IF(AS71=$N71,"Seafood Ingestion",IF(AS71=$M71,"Saltwater EcoTox",IF(AS71=$L71,"FW EcoTox","Outdoor Odor"))))))))</f>
        <v>Outdoor Odor</v>
      </c>
      <c r="AU71" s="1773" t="str">
        <f t="shared" si="137"/>
        <v>--</v>
      </c>
      <c r="AV71" s="1773" t="str">
        <f t="shared" si="138"/>
        <v>--</v>
      </c>
      <c r="AW71" s="1773" t="str">
        <f t="shared" si="139"/>
        <v>--</v>
      </c>
      <c r="AX71" s="1773" t="str">
        <f t="shared" si="140"/>
        <v>--</v>
      </c>
      <c r="AY71" s="1773" t="str">
        <f t="shared" si="141"/>
        <v>--</v>
      </c>
      <c r="AZ71" s="1773" t="str">
        <f t="shared" si="142"/>
        <v>--</v>
      </c>
      <c r="BA71" s="1773" t="str">
        <f t="shared" si="143"/>
        <v>--</v>
      </c>
      <c r="BB71" s="1773" t="str">
        <f t="shared" si="144"/>
        <v>--</v>
      </c>
      <c r="BC71" s="1773" t="str">
        <f t="shared" si="145"/>
        <v>--</v>
      </c>
      <c r="BD71" s="1773" t="str">
        <f t="shared" si="146"/>
        <v>--</v>
      </c>
      <c r="BE71" s="1773" t="str">
        <f t="shared" si="147"/>
        <v>--</v>
      </c>
      <c r="BF71" s="1947" t="str">
        <f t="shared" si="148"/>
        <v>--</v>
      </c>
    </row>
    <row r="72" spans="1:58">
      <c r="A72" s="184" t="s">
        <v>213</v>
      </c>
      <c r="B72" s="185" t="s">
        <v>214</v>
      </c>
      <c r="C72" s="388" t="str">
        <f t="shared" ref="C72:C125" si="170">IF(G72="--","--",IF(I72="--", I72,IF(AND(G72*I72*0.001&lt;H72,E72&gt;30000),H72,G72*I72*0.001)))</f>
        <v>--</v>
      </c>
      <c r="D72" s="1779" t="str">
        <f t="shared" ref="D72:D125" si="171">IF(G72="--","--",IF(J72="--","--",IF(AND(G72*J72*0.001&lt;H72,E72&gt;30000),H72,G72*J72*0.001)))</f>
        <v>--</v>
      </c>
      <c r="E72" s="1785" t="str">
        <f t="shared" si="133"/>
        <v>--</v>
      </c>
      <c r="F72" s="271">
        <f t="shared" si="134"/>
        <v>8.6219999999999995E-3</v>
      </c>
      <c r="G72" s="271" t="str">
        <f t="shared" si="152"/>
        <v>--</v>
      </c>
      <c r="H72" s="272">
        <f t="shared" si="153"/>
        <v>3.1299981886792456</v>
      </c>
      <c r="I72" s="1162">
        <f t="shared" si="149"/>
        <v>2.5000000000000001E-2</v>
      </c>
      <c r="J72" s="1163">
        <f t="shared" ref="J72:J135" si="172">IF(MIN(L72,M72,N72,O72,P72,Q72)=0, "--",MIN(L72,M72,N72,O72,P72,Q72))</f>
        <v>2.5000000000000001E-2</v>
      </c>
      <c r="K72" s="1164" t="str">
        <f t="shared" ref="K72:K135" si="173">IF(J72="--","--", IF(J72=L72,"FW EcoTox Goal", IF(J72=M72,"SW EcoTox Goal", IF(J72=N72, "Seafood Consumption", IF(J72=O72, "Gross Contam.",IF(J72=P72,"GW VI", "Nuis-Odor"))))))</f>
        <v>FW EcoTox Goal</v>
      </c>
      <c r="L72" s="271">
        <f t="shared" si="135"/>
        <v>2.5000000000000001E-2</v>
      </c>
      <c r="M72" s="271">
        <f t="shared" si="150"/>
        <v>2.5000000000000001E-2</v>
      </c>
      <c r="N72" s="271">
        <f t="shared" si="136"/>
        <v>5.0999999999999997E-2</v>
      </c>
      <c r="O72" s="271">
        <f t="shared" si="154"/>
        <v>30</v>
      </c>
      <c r="P72" s="1773">
        <f t="shared" si="151"/>
        <v>8.8879870129870128E-2</v>
      </c>
      <c r="Q72" s="1777" t="str">
        <f t="shared" si="155"/>
        <v>--</v>
      </c>
      <c r="R72" s="1786">
        <f t="shared" si="118"/>
        <v>2</v>
      </c>
      <c r="S72" s="1786" t="str">
        <f t="shared" si="119"/>
        <v>--</v>
      </c>
      <c r="T72" s="1786">
        <f t="shared" si="120"/>
        <v>6.1369450954322405E-2</v>
      </c>
      <c r="U72" s="1786">
        <f t="shared" si="156"/>
        <v>2</v>
      </c>
      <c r="V72" s="1786" t="str">
        <f t="shared" si="157"/>
        <v>--</v>
      </c>
      <c r="W72" s="1890">
        <f t="shared" si="121"/>
        <v>2.5000000000000001E-2</v>
      </c>
      <c r="X72" s="1646" t="str">
        <f t="shared" si="158"/>
        <v>Saltwater EcoTox</v>
      </c>
      <c r="Y72" s="1642">
        <f t="shared" si="122"/>
        <v>2.5000000000000001E-2</v>
      </c>
      <c r="Z72" s="1646" t="str">
        <f t="shared" si="159"/>
        <v>Saltwater EcoTox</v>
      </c>
      <c r="AA72" s="1642">
        <f t="shared" si="123"/>
        <v>2.5000000000000001E-2</v>
      </c>
      <c r="AB72" s="1646" t="str">
        <f t="shared" si="160"/>
        <v>Saltwater EcoTox</v>
      </c>
      <c r="AC72" s="1641">
        <f t="shared" si="124"/>
        <v>8.8879870129870128E-2</v>
      </c>
      <c r="AD72" s="1646" t="str">
        <f t="shared" si="161"/>
        <v>VI</v>
      </c>
      <c r="AE72" s="1642">
        <f t="shared" si="125"/>
        <v>2.5000000000000001E-2</v>
      </c>
      <c r="AF72" s="1646" t="str">
        <f t="shared" si="162"/>
        <v>Saltwater EcoTox</v>
      </c>
      <c r="AG72" s="1642">
        <f t="shared" si="126"/>
        <v>2.5000000000000001E-2</v>
      </c>
      <c r="AH72" s="1646" t="str">
        <f t="shared" si="163"/>
        <v>Saltwater EcoTox</v>
      </c>
      <c r="AI72" s="1642">
        <f t="shared" si="127"/>
        <v>2.5000000000000001E-2</v>
      </c>
      <c r="AJ72" s="1646" t="str">
        <f t="shared" si="164"/>
        <v>Saltwater EcoTox</v>
      </c>
      <c r="AK72" s="1641">
        <f t="shared" si="128"/>
        <v>6.1369450954322405E-2</v>
      </c>
      <c r="AL72" s="1646" t="str">
        <f t="shared" si="165"/>
        <v>Tapwater Noncancer</v>
      </c>
      <c r="AM72" s="1641">
        <f t="shared" si="129"/>
        <v>2.5000000000000001E-2</v>
      </c>
      <c r="AN72" s="1646" t="str">
        <f t="shared" si="166"/>
        <v>Saltwater EcoTox</v>
      </c>
      <c r="AO72" s="1643">
        <f t="shared" si="130"/>
        <v>2.5000000000000001E-2</v>
      </c>
      <c r="AP72" s="1646" t="str">
        <f t="shared" si="167"/>
        <v>Saltwater EcoTox</v>
      </c>
      <c r="AQ72" s="1643">
        <f t="shared" si="131"/>
        <v>2.5000000000000001E-2</v>
      </c>
      <c r="AR72" s="1646" t="str">
        <f t="shared" si="168"/>
        <v>Saltwater EcoTox</v>
      </c>
      <c r="AS72" s="1644">
        <f t="shared" si="132"/>
        <v>8.8879870129870128E-2</v>
      </c>
      <c r="AT72" s="1891" t="str">
        <f t="shared" si="169"/>
        <v>VI</v>
      </c>
      <c r="AU72" s="1773" t="str">
        <f t="shared" si="137"/>
        <v>--</v>
      </c>
      <c r="AV72" s="1773" t="str">
        <f t="shared" si="138"/>
        <v>--</v>
      </c>
      <c r="AW72" s="1773" t="str">
        <f t="shared" si="139"/>
        <v>--</v>
      </c>
      <c r="AX72" s="1773" t="str">
        <f t="shared" si="140"/>
        <v>--</v>
      </c>
      <c r="AY72" s="1773" t="str">
        <f t="shared" si="141"/>
        <v>--</v>
      </c>
      <c r="AZ72" s="1773" t="str">
        <f t="shared" si="142"/>
        <v>--</v>
      </c>
      <c r="BA72" s="1773" t="str">
        <f t="shared" si="143"/>
        <v>--</v>
      </c>
      <c r="BB72" s="1773" t="str">
        <f t="shared" si="144"/>
        <v>--</v>
      </c>
      <c r="BC72" s="1773" t="str">
        <f t="shared" si="145"/>
        <v>--</v>
      </c>
      <c r="BD72" s="1773" t="str">
        <f t="shared" si="146"/>
        <v>--</v>
      </c>
      <c r="BE72" s="1773" t="str">
        <f t="shared" si="147"/>
        <v>--</v>
      </c>
      <c r="BF72" s="1947" t="str">
        <f t="shared" si="148"/>
        <v>--</v>
      </c>
    </row>
    <row r="73" spans="1:58">
      <c r="A73" s="184" t="s">
        <v>215</v>
      </c>
      <c r="B73" s="185" t="s">
        <v>216</v>
      </c>
      <c r="C73" s="388">
        <f t="shared" si="170"/>
        <v>1.3391223780063001E-2</v>
      </c>
      <c r="D73" s="1779">
        <f t="shared" si="171"/>
        <v>1.3391223780063001E-2</v>
      </c>
      <c r="E73" s="1785">
        <f t="shared" si="133"/>
        <v>26890</v>
      </c>
      <c r="F73" s="271">
        <f t="shared" si="134"/>
        <v>2.03E-7</v>
      </c>
      <c r="G73" s="271">
        <f t="shared" si="152"/>
        <v>4463.741260021</v>
      </c>
      <c r="H73" s="272">
        <f t="shared" si="153"/>
        <v>16.144000157111854</v>
      </c>
      <c r="I73" s="1162">
        <f t="shared" si="149"/>
        <v>3.0000000000000001E-3</v>
      </c>
      <c r="J73" s="1163">
        <f t="shared" si="172"/>
        <v>3.0000000000000001E-3</v>
      </c>
      <c r="K73" s="1164" t="str">
        <f t="shared" si="173"/>
        <v>SW EcoTox Goal</v>
      </c>
      <c r="L73" s="271">
        <f t="shared" si="135"/>
        <v>1.9E-2</v>
      </c>
      <c r="M73" s="271">
        <f t="shared" si="150"/>
        <v>3.0000000000000001E-3</v>
      </c>
      <c r="N73" s="271">
        <f t="shared" si="136"/>
        <v>0.02</v>
      </c>
      <c r="O73" s="271">
        <f t="shared" si="154"/>
        <v>50</v>
      </c>
      <c r="P73" s="1773" t="str">
        <f t="shared" si="151"/>
        <v>--</v>
      </c>
      <c r="Q73" s="1777">
        <f t="shared" si="155"/>
        <v>47000</v>
      </c>
      <c r="R73" s="1786">
        <f t="shared" si="118"/>
        <v>30</v>
      </c>
      <c r="S73" s="1786" t="str">
        <f t="shared" si="119"/>
        <v>--</v>
      </c>
      <c r="T73" s="1786">
        <f t="shared" si="120"/>
        <v>0.09</v>
      </c>
      <c r="U73" s="1786">
        <f t="shared" si="156"/>
        <v>30</v>
      </c>
      <c r="V73" s="1786">
        <f t="shared" si="157"/>
        <v>4700</v>
      </c>
      <c r="W73" s="1890">
        <f t="shared" si="121"/>
        <v>3.0000000000000001E-3</v>
      </c>
      <c r="X73" s="1646" t="str">
        <f t="shared" si="158"/>
        <v>Saltwater EcoTox</v>
      </c>
      <c r="Y73" s="1642">
        <f t="shared" si="122"/>
        <v>1.9E-2</v>
      </c>
      <c r="Z73" s="1646" t="str">
        <f t="shared" si="159"/>
        <v>FW EcoTox</v>
      </c>
      <c r="AA73" s="1642">
        <f t="shared" si="123"/>
        <v>3.0000000000000001E-3</v>
      </c>
      <c r="AB73" s="1646" t="str">
        <f t="shared" si="160"/>
        <v>Saltwater EcoTox</v>
      </c>
      <c r="AC73" s="1641">
        <f t="shared" si="124"/>
        <v>30</v>
      </c>
      <c r="AD73" s="1646" t="str">
        <f t="shared" si="161"/>
        <v>MCL</v>
      </c>
      <c r="AE73" s="1642">
        <f t="shared" si="125"/>
        <v>3.0000000000000001E-3</v>
      </c>
      <c r="AF73" s="1646" t="str">
        <f t="shared" si="162"/>
        <v>Saltwater EcoTox</v>
      </c>
      <c r="AG73" s="1642">
        <f t="shared" si="126"/>
        <v>1.9E-2</v>
      </c>
      <c r="AH73" s="1646" t="str">
        <f t="shared" si="163"/>
        <v>FW EcoTox</v>
      </c>
      <c r="AI73" s="1642">
        <f t="shared" si="127"/>
        <v>3.0000000000000001E-3</v>
      </c>
      <c r="AJ73" s="1646" t="str">
        <f t="shared" si="164"/>
        <v>Saltwater EcoTox</v>
      </c>
      <c r="AK73" s="1641">
        <f t="shared" si="128"/>
        <v>0.09</v>
      </c>
      <c r="AL73" s="1646" t="str">
        <f t="shared" si="165"/>
        <v>Tapwater Noncancer</v>
      </c>
      <c r="AM73" s="1641">
        <f t="shared" si="129"/>
        <v>3.0000000000000001E-3</v>
      </c>
      <c r="AN73" s="1646" t="str">
        <f t="shared" si="166"/>
        <v>Saltwater EcoTox</v>
      </c>
      <c r="AO73" s="1643">
        <f t="shared" si="130"/>
        <v>1.9E-2</v>
      </c>
      <c r="AP73" s="1646" t="str">
        <f t="shared" si="167"/>
        <v>FW EcoTox</v>
      </c>
      <c r="AQ73" s="1643">
        <f t="shared" si="131"/>
        <v>3.0000000000000001E-3</v>
      </c>
      <c r="AR73" s="1646" t="str">
        <f t="shared" si="168"/>
        <v>Saltwater EcoTox</v>
      </c>
      <c r="AS73" s="1644">
        <f t="shared" si="132"/>
        <v>50</v>
      </c>
      <c r="AT73" s="1891" t="str">
        <f t="shared" si="169"/>
        <v>Outdoor Odor</v>
      </c>
      <c r="AU73" s="1773">
        <f t="shared" si="137"/>
        <v>1.3391223780063001E-2</v>
      </c>
      <c r="AV73" s="1773">
        <f t="shared" si="138"/>
        <v>8.4811083940399004E-2</v>
      </c>
      <c r="AW73" s="1773">
        <f t="shared" si="139"/>
        <v>1.3391223780063001E-2</v>
      </c>
      <c r="AX73" s="1773">
        <f t="shared" si="140"/>
        <v>133.91223780063001</v>
      </c>
      <c r="AY73" s="1773">
        <f t="shared" si="141"/>
        <v>1.3391223780063001E-2</v>
      </c>
      <c r="AZ73" s="1773">
        <f t="shared" si="142"/>
        <v>8.4811083940399004E-2</v>
      </c>
      <c r="BA73" s="1773">
        <f t="shared" si="143"/>
        <v>1.3391223780063001E-2</v>
      </c>
      <c r="BB73" s="1773">
        <f t="shared" si="144"/>
        <v>0.40173671340188999</v>
      </c>
      <c r="BC73" s="1773">
        <f t="shared" si="145"/>
        <v>1.3391223780063001E-2</v>
      </c>
      <c r="BD73" s="1773">
        <f t="shared" si="146"/>
        <v>8.4811083940399004E-2</v>
      </c>
      <c r="BE73" s="1773">
        <f t="shared" si="147"/>
        <v>1.3391223780063001E-2</v>
      </c>
      <c r="BF73" s="1947">
        <f t="shared" si="148"/>
        <v>223.18706300105001</v>
      </c>
    </row>
    <row r="74" spans="1:58">
      <c r="A74" s="184" t="s">
        <v>217</v>
      </c>
      <c r="B74" s="185" t="s">
        <v>218</v>
      </c>
      <c r="C74" s="388">
        <f t="shared" si="170"/>
        <v>0.11889965000000001</v>
      </c>
      <c r="D74" s="1779">
        <f t="shared" si="171"/>
        <v>0.18145712568118993</v>
      </c>
      <c r="E74" s="1785">
        <f t="shared" si="133"/>
        <v>21.73</v>
      </c>
      <c r="F74" s="271">
        <f t="shared" si="134"/>
        <v>3.2499999999999999E-3</v>
      </c>
      <c r="G74" s="271">
        <f t="shared" si="152"/>
        <v>23.77993</v>
      </c>
      <c r="H74" s="272">
        <f t="shared" si="153"/>
        <v>3321.9338855376891</v>
      </c>
      <c r="I74" s="1162">
        <f t="shared" si="149"/>
        <v>5</v>
      </c>
      <c r="J74" s="1163">
        <f t="shared" si="172"/>
        <v>7.630683760683481</v>
      </c>
      <c r="K74" s="1164" t="str">
        <f t="shared" si="173"/>
        <v>GW VI</v>
      </c>
      <c r="L74" s="271">
        <f t="shared" si="135"/>
        <v>2200</v>
      </c>
      <c r="M74" s="271">
        <f t="shared" si="150"/>
        <v>3200</v>
      </c>
      <c r="N74" s="271">
        <f t="shared" si="136"/>
        <v>1000</v>
      </c>
      <c r="O74" s="271">
        <f t="shared" si="154"/>
        <v>50000</v>
      </c>
      <c r="P74" s="1773">
        <f t="shared" si="151"/>
        <v>7.630683760683481</v>
      </c>
      <c r="Q74" s="1777">
        <f t="shared" si="155"/>
        <v>91000</v>
      </c>
      <c r="R74" s="1786">
        <f t="shared" si="118"/>
        <v>5</v>
      </c>
      <c r="S74" s="1786">
        <f t="shared" si="119"/>
        <v>1.7365106951938476</v>
      </c>
      <c r="T74" s="1786">
        <f t="shared" si="120"/>
        <v>102.22301814616738</v>
      </c>
      <c r="U74" s="1786">
        <f t="shared" si="156"/>
        <v>5</v>
      </c>
      <c r="V74" s="1786">
        <f t="shared" si="157"/>
        <v>9100</v>
      </c>
      <c r="W74" s="1890">
        <f t="shared" si="121"/>
        <v>5</v>
      </c>
      <c r="X74" s="1646" t="str">
        <f t="shared" si="158"/>
        <v>MCL</v>
      </c>
      <c r="Y74" s="1642">
        <f t="shared" si="122"/>
        <v>5</v>
      </c>
      <c r="Z74" s="1646" t="str">
        <f t="shared" si="159"/>
        <v>MCL</v>
      </c>
      <c r="AA74" s="1642">
        <f t="shared" si="123"/>
        <v>5</v>
      </c>
      <c r="AB74" s="1646" t="str">
        <f t="shared" si="160"/>
        <v>MCL</v>
      </c>
      <c r="AC74" s="1641">
        <f t="shared" si="124"/>
        <v>5</v>
      </c>
      <c r="AD74" s="1646" t="str">
        <f t="shared" si="161"/>
        <v>MCL</v>
      </c>
      <c r="AE74" s="1642">
        <f t="shared" si="125"/>
        <v>1.7365106951938476</v>
      </c>
      <c r="AF74" s="1646" t="str">
        <f t="shared" si="162"/>
        <v>Tapwater Cancer</v>
      </c>
      <c r="AG74" s="1642">
        <f t="shared" si="126"/>
        <v>1.7365106951938476</v>
      </c>
      <c r="AH74" s="1646" t="str">
        <f t="shared" si="163"/>
        <v>Tapwater Cancer</v>
      </c>
      <c r="AI74" s="1642">
        <f t="shared" si="127"/>
        <v>1.7365106951938476</v>
      </c>
      <c r="AJ74" s="1646" t="str">
        <f t="shared" si="164"/>
        <v>Tapwater Cancer</v>
      </c>
      <c r="AK74" s="1641">
        <f t="shared" si="128"/>
        <v>1.7365106951938476</v>
      </c>
      <c r="AL74" s="1646" t="str">
        <f t="shared" si="165"/>
        <v>Tapwater Cancer</v>
      </c>
      <c r="AM74" s="1641">
        <f t="shared" si="129"/>
        <v>7.630683760683481</v>
      </c>
      <c r="AN74" s="1646" t="str">
        <f t="shared" si="166"/>
        <v>VI</v>
      </c>
      <c r="AO74" s="1643">
        <f t="shared" si="130"/>
        <v>7.630683760683481</v>
      </c>
      <c r="AP74" s="1646" t="str">
        <f t="shared" si="167"/>
        <v>VI</v>
      </c>
      <c r="AQ74" s="1643">
        <f t="shared" si="131"/>
        <v>7.630683760683481</v>
      </c>
      <c r="AR74" s="1646" t="str">
        <f t="shared" si="168"/>
        <v>VI</v>
      </c>
      <c r="AS74" s="1644">
        <f t="shared" si="132"/>
        <v>7.630683760683481</v>
      </c>
      <c r="AT74" s="1891" t="str">
        <f t="shared" si="169"/>
        <v>VI</v>
      </c>
      <c r="AU74" s="1773">
        <f t="shared" si="137"/>
        <v>0.11889965000000001</v>
      </c>
      <c r="AV74" s="1773">
        <f t="shared" si="138"/>
        <v>0.11889965000000001</v>
      </c>
      <c r="AW74" s="1773">
        <f t="shared" si="139"/>
        <v>0.11889965000000001</v>
      </c>
      <c r="AX74" s="1773">
        <f t="shared" si="140"/>
        <v>0.11889965000000001</v>
      </c>
      <c r="AY74" s="1773">
        <f t="shared" si="141"/>
        <v>4.1294102775961031E-2</v>
      </c>
      <c r="AZ74" s="1773">
        <f t="shared" si="142"/>
        <v>4.1294102775961031E-2</v>
      </c>
      <c r="BA74" s="1773">
        <f t="shared" si="143"/>
        <v>4.1294102775961031E-2</v>
      </c>
      <c r="BB74" s="1773">
        <f t="shared" si="144"/>
        <v>4.1294102775961031E-2</v>
      </c>
      <c r="BC74" s="1773">
        <f t="shared" si="145"/>
        <v>0.18145712568118993</v>
      </c>
      <c r="BD74" s="1773">
        <f t="shared" si="146"/>
        <v>0.18145712568118993</v>
      </c>
      <c r="BE74" s="1773">
        <f t="shared" si="147"/>
        <v>0.18145712568118993</v>
      </c>
      <c r="BF74" s="1947">
        <f t="shared" si="148"/>
        <v>0.18145712568118993</v>
      </c>
    </row>
    <row r="75" spans="1:58">
      <c r="A75" s="184" t="s">
        <v>219</v>
      </c>
      <c r="B75" s="185" t="s">
        <v>220</v>
      </c>
      <c r="C75" s="388">
        <f t="shared" si="170"/>
        <v>6.1322447114800624</v>
      </c>
      <c r="D75" s="1779">
        <f t="shared" si="171"/>
        <v>15.425736200000001</v>
      </c>
      <c r="E75" s="1785">
        <f t="shared" si="133"/>
        <v>4.51</v>
      </c>
      <c r="F75" s="271">
        <f t="shared" si="134"/>
        <v>5.6900000000000001E-5</v>
      </c>
      <c r="G75" s="271">
        <f t="shared" si="152"/>
        <v>1.1018383</v>
      </c>
      <c r="H75" s="272">
        <f t="shared" si="153"/>
        <v>28432.584196814751</v>
      </c>
      <c r="I75" s="1162">
        <f t="shared" si="149"/>
        <v>5565.4670122467714</v>
      </c>
      <c r="J75" s="1163">
        <f t="shared" si="172"/>
        <v>14000</v>
      </c>
      <c r="K75" s="1164" t="str">
        <f t="shared" si="173"/>
        <v>FW EcoTox Goal</v>
      </c>
      <c r="L75" s="271">
        <f t="shared" si="135"/>
        <v>14000</v>
      </c>
      <c r="M75" s="271" t="str">
        <f t="shared" si="150"/>
        <v>--</v>
      </c>
      <c r="N75" s="271" t="str">
        <f t="shared" si="136"/>
        <v>--</v>
      </c>
      <c r="O75" s="271">
        <f t="shared" si="154"/>
        <v>50000</v>
      </c>
      <c r="P75" s="1773">
        <f t="shared" si="151"/>
        <v>2241501.3808681327</v>
      </c>
      <c r="Q75" s="1777">
        <f t="shared" si="155"/>
        <v>84000</v>
      </c>
      <c r="R75" s="1786" t="str">
        <f t="shared" si="118"/>
        <v>--</v>
      </c>
      <c r="S75" s="1786" t="str">
        <f t="shared" si="119"/>
        <v>--</v>
      </c>
      <c r="T75" s="1786">
        <f t="shared" si="120"/>
        <v>5565.4670122467714</v>
      </c>
      <c r="U75" s="1786">
        <f t="shared" si="156"/>
        <v>5565.4670122467714</v>
      </c>
      <c r="V75" s="1786">
        <f t="shared" si="157"/>
        <v>8400</v>
      </c>
      <c r="W75" s="1890">
        <f t="shared" si="121"/>
        <v>5565.4670122467714</v>
      </c>
      <c r="X75" s="1646" t="str">
        <f t="shared" si="158"/>
        <v>Tapwater Noncancer</v>
      </c>
      <c r="Y75" s="1642">
        <f t="shared" si="122"/>
        <v>5565.4670122467714</v>
      </c>
      <c r="Z75" s="1646" t="str">
        <f t="shared" si="159"/>
        <v>Tapwater Noncancer</v>
      </c>
      <c r="AA75" s="1642">
        <f t="shared" si="123"/>
        <v>5565.4670122467714</v>
      </c>
      <c r="AB75" s="1646" t="str">
        <f t="shared" si="160"/>
        <v>Tapwater Noncancer</v>
      </c>
      <c r="AC75" s="1641">
        <f t="shared" si="124"/>
        <v>5565.4670122467714</v>
      </c>
      <c r="AD75" s="1646" t="str">
        <f t="shared" si="161"/>
        <v>Tapwater Noncancer</v>
      </c>
      <c r="AE75" s="1642">
        <f t="shared" si="125"/>
        <v>5565.4670122467714</v>
      </c>
      <c r="AF75" s="1646" t="str">
        <f t="shared" si="162"/>
        <v>Tapwater Noncancer</v>
      </c>
      <c r="AG75" s="1642">
        <f t="shared" si="126"/>
        <v>5565.4670122467714</v>
      </c>
      <c r="AH75" s="1646" t="str">
        <f t="shared" si="163"/>
        <v>Tapwater Noncancer</v>
      </c>
      <c r="AI75" s="1642">
        <f t="shared" si="127"/>
        <v>5565.4670122467714</v>
      </c>
      <c r="AJ75" s="1646" t="str">
        <f t="shared" si="164"/>
        <v>Tapwater Noncancer</v>
      </c>
      <c r="AK75" s="1641">
        <f t="shared" si="128"/>
        <v>5565.4670122467714</v>
      </c>
      <c r="AL75" s="1646" t="str">
        <f t="shared" si="165"/>
        <v>Tapwater Noncancer</v>
      </c>
      <c r="AM75" s="1641">
        <f t="shared" si="129"/>
        <v>50000</v>
      </c>
      <c r="AN75" s="1646" t="str">
        <f t="shared" si="166"/>
        <v>Outdoor Odor</v>
      </c>
      <c r="AO75" s="1643">
        <f t="shared" si="130"/>
        <v>14000</v>
      </c>
      <c r="AP75" s="1646" t="str">
        <f t="shared" si="167"/>
        <v>FW EcoTox</v>
      </c>
      <c r="AQ75" s="1643">
        <f t="shared" si="131"/>
        <v>14000</v>
      </c>
      <c r="AR75" s="1646" t="str">
        <f t="shared" si="168"/>
        <v>FW EcoTox</v>
      </c>
      <c r="AS75" s="1644">
        <f t="shared" si="132"/>
        <v>50000</v>
      </c>
      <c r="AT75" s="1891" t="str">
        <f t="shared" si="169"/>
        <v>Outdoor Odor</v>
      </c>
      <c r="AU75" s="1773">
        <f t="shared" si="137"/>
        <v>6.1322447114800624</v>
      </c>
      <c r="AV75" s="1773">
        <f t="shared" si="138"/>
        <v>6.1322447114800624</v>
      </c>
      <c r="AW75" s="1773">
        <f t="shared" si="139"/>
        <v>6.1322447114800624</v>
      </c>
      <c r="AX75" s="1773">
        <f t="shared" si="140"/>
        <v>6.1322447114800624</v>
      </c>
      <c r="AY75" s="1773">
        <f t="shared" si="141"/>
        <v>6.1322447114800624</v>
      </c>
      <c r="AZ75" s="1773">
        <f t="shared" si="142"/>
        <v>6.1322447114800624</v>
      </c>
      <c r="BA75" s="1773">
        <f t="shared" si="143"/>
        <v>6.1322447114800624</v>
      </c>
      <c r="BB75" s="1773">
        <f t="shared" si="144"/>
        <v>6.1322447114800624</v>
      </c>
      <c r="BC75" s="1773">
        <f t="shared" si="145"/>
        <v>55.091915</v>
      </c>
      <c r="BD75" s="1773">
        <f t="shared" si="146"/>
        <v>15.425736200000001</v>
      </c>
      <c r="BE75" s="1773">
        <f t="shared" si="147"/>
        <v>15.425736200000001</v>
      </c>
      <c r="BF75" s="1947">
        <f t="shared" si="148"/>
        <v>55.091915</v>
      </c>
    </row>
    <row r="76" spans="1:58">
      <c r="A76" s="184" t="s">
        <v>221</v>
      </c>
      <c r="B76" s="185" t="s">
        <v>222</v>
      </c>
      <c r="C76" s="388">
        <f t="shared" si="170"/>
        <v>0.35377992000000003</v>
      </c>
      <c r="D76" s="1779">
        <f t="shared" si="171"/>
        <v>0.50118821999999996</v>
      </c>
      <c r="E76" s="1785">
        <f t="shared" si="133"/>
        <v>12.6</v>
      </c>
      <c r="F76" s="271">
        <f t="shared" si="134"/>
        <v>1.3799999999999999E-4</v>
      </c>
      <c r="G76" s="271">
        <f t="shared" si="152"/>
        <v>2.9481660000000001</v>
      </c>
      <c r="H76" s="272">
        <f t="shared" si="153"/>
        <v>3356.6929696539487</v>
      </c>
      <c r="I76" s="1162">
        <f t="shared" si="149"/>
        <v>120</v>
      </c>
      <c r="J76" s="1163">
        <f t="shared" si="172"/>
        <v>170</v>
      </c>
      <c r="K76" s="1164" t="str">
        <f t="shared" si="173"/>
        <v>FW EcoTox Goal</v>
      </c>
      <c r="L76" s="271">
        <f t="shared" si="135"/>
        <v>170</v>
      </c>
      <c r="M76" s="271" t="str">
        <f t="shared" si="150"/>
        <v>--</v>
      </c>
      <c r="N76" s="271" t="str">
        <f t="shared" si="136"/>
        <v>--</v>
      </c>
      <c r="O76" s="271">
        <f t="shared" si="154"/>
        <v>50000</v>
      </c>
      <c r="P76" s="1773">
        <f t="shared" si="151"/>
        <v>554527.95031085075</v>
      </c>
      <c r="Q76" s="1777">
        <f t="shared" si="155"/>
        <v>13000</v>
      </c>
      <c r="R76" s="1786" t="str">
        <f t="shared" si="118"/>
        <v>--</v>
      </c>
      <c r="S76" s="1786" t="str">
        <f t="shared" si="119"/>
        <v>--</v>
      </c>
      <c r="T76" s="1786">
        <f t="shared" si="120"/>
        <v>120</v>
      </c>
      <c r="U76" s="1786">
        <f t="shared" si="156"/>
        <v>120</v>
      </c>
      <c r="V76" s="1786">
        <f t="shared" si="157"/>
        <v>1300</v>
      </c>
      <c r="W76" s="1890">
        <f t="shared" si="121"/>
        <v>120</v>
      </c>
      <c r="X76" s="1646" t="str">
        <f t="shared" si="158"/>
        <v>Tapwater Noncancer</v>
      </c>
      <c r="Y76" s="1642">
        <f t="shared" si="122"/>
        <v>120</v>
      </c>
      <c r="Z76" s="1646" t="str">
        <f t="shared" si="159"/>
        <v>Tapwater Noncancer</v>
      </c>
      <c r="AA76" s="1642">
        <f t="shared" si="123"/>
        <v>120</v>
      </c>
      <c r="AB76" s="1646" t="str">
        <f t="shared" si="160"/>
        <v>Tapwater Noncancer</v>
      </c>
      <c r="AC76" s="1641">
        <f t="shared" si="124"/>
        <v>120</v>
      </c>
      <c r="AD76" s="1646" t="str">
        <f t="shared" si="161"/>
        <v>Tapwater Noncancer</v>
      </c>
      <c r="AE76" s="1642">
        <f t="shared" si="125"/>
        <v>120</v>
      </c>
      <c r="AF76" s="1646" t="str">
        <f t="shared" si="162"/>
        <v>Tapwater Noncancer</v>
      </c>
      <c r="AG76" s="1642">
        <f t="shared" si="126"/>
        <v>120</v>
      </c>
      <c r="AH76" s="1646" t="str">
        <f t="shared" si="163"/>
        <v>Tapwater Noncancer</v>
      </c>
      <c r="AI76" s="1642">
        <f t="shared" si="127"/>
        <v>120</v>
      </c>
      <c r="AJ76" s="1646" t="str">
        <f t="shared" si="164"/>
        <v>Tapwater Noncancer</v>
      </c>
      <c r="AK76" s="1641">
        <f t="shared" si="128"/>
        <v>120</v>
      </c>
      <c r="AL76" s="1646" t="str">
        <f t="shared" si="165"/>
        <v>Tapwater Noncancer</v>
      </c>
      <c r="AM76" s="1641">
        <f t="shared" si="129"/>
        <v>13000</v>
      </c>
      <c r="AN76" s="1646" t="str">
        <f t="shared" si="166"/>
        <v>Outdoor Odor</v>
      </c>
      <c r="AO76" s="1643">
        <f t="shared" si="130"/>
        <v>170</v>
      </c>
      <c r="AP76" s="1646" t="str">
        <f t="shared" si="167"/>
        <v>FW EcoTox</v>
      </c>
      <c r="AQ76" s="1643">
        <f t="shared" si="131"/>
        <v>170</v>
      </c>
      <c r="AR76" s="1646" t="str">
        <f t="shared" si="168"/>
        <v>FW EcoTox</v>
      </c>
      <c r="AS76" s="1644">
        <f t="shared" si="132"/>
        <v>13000</v>
      </c>
      <c r="AT76" s="1891" t="str">
        <f t="shared" si="169"/>
        <v>Outdoor Odor</v>
      </c>
      <c r="AU76" s="1773">
        <f t="shared" si="137"/>
        <v>0.35377992000000003</v>
      </c>
      <c r="AV76" s="1773">
        <f t="shared" si="138"/>
        <v>0.35377992000000003</v>
      </c>
      <c r="AW76" s="1773">
        <f t="shared" si="139"/>
        <v>0.35377992000000003</v>
      </c>
      <c r="AX76" s="1773">
        <f t="shared" si="140"/>
        <v>0.35377992000000003</v>
      </c>
      <c r="AY76" s="1773">
        <f t="shared" si="141"/>
        <v>0.35377992000000003</v>
      </c>
      <c r="AZ76" s="1773">
        <f t="shared" si="142"/>
        <v>0.35377992000000003</v>
      </c>
      <c r="BA76" s="1773">
        <f t="shared" si="143"/>
        <v>0.35377992000000003</v>
      </c>
      <c r="BB76" s="1773">
        <f t="shared" si="144"/>
        <v>0.35377992000000003</v>
      </c>
      <c r="BC76" s="1773">
        <f t="shared" si="145"/>
        <v>38.326158000000007</v>
      </c>
      <c r="BD76" s="1773">
        <f t="shared" si="146"/>
        <v>0.50118821999999996</v>
      </c>
      <c r="BE76" s="1773">
        <f t="shared" si="147"/>
        <v>0.50118821999999996</v>
      </c>
      <c r="BF76" s="1947">
        <f t="shared" si="148"/>
        <v>38.326158000000007</v>
      </c>
    </row>
    <row r="77" spans="1:58">
      <c r="A77" s="184" t="s">
        <v>223</v>
      </c>
      <c r="B77" s="185" t="s">
        <v>224</v>
      </c>
      <c r="C77" s="388" t="str">
        <f t="shared" si="170"/>
        <v>--</v>
      </c>
      <c r="D77" s="1779" t="str">
        <f t="shared" si="171"/>
        <v>--</v>
      </c>
      <c r="E77" s="1785" t="str">
        <f t="shared" si="133"/>
        <v>--</v>
      </c>
      <c r="F77" s="271" t="str">
        <f t="shared" si="134"/>
        <v>--</v>
      </c>
      <c r="G77" s="271" t="str">
        <f t="shared" si="152"/>
        <v>--</v>
      </c>
      <c r="H77" s="272" t="str">
        <f t="shared" si="153"/>
        <v>--</v>
      </c>
      <c r="I77" s="1162">
        <f t="shared" si="149"/>
        <v>3.0000000000000001E-3</v>
      </c>
      <c r="J77" s="1163">
        <f t="shared" si="172"/>
        <v>3.0000000000000001E-3</v>
      </c>
      <c r="K77" s="1164" t="str">
        <f t="shared" si="173"/>
        <v>FW EcoTox Goal</v>
      </c>
      <c r="L77" s="271">
        <f t="shared" si="135"/>
        <v>3.0000000000000001E-3</v>
      </c>
      <c r="M77" s="271" t="str">
        <f t="shared" si="150"/>
        <v>--</v>
      </c>
      <c r="N77" s="271" t="str">
        <f t="shared" si="136"/>
        <v>--</v>
      </c>
      <c r="O77" s="271">
        <f t="shared" si="154"/>
        <v>50000</v>
      </c>
      <c r="P77" s="1773" t="str">
        <f t="shared" si="151"/>
        <v>--</v>
      </c>
      <c r="Q77" s="1777" t="str">
        <f t="shared" si="155"/>
        <v>--</v>
      </c>
      <c r="R77" s="1786" t="str">
        <f t="shared" si="118"/>
        <v>--</v>
      </c>
      <c r="S77" s="1786" t="str">
        <f t="shared" si="119"/>
        <v>--</v>
      </c>
      <c r="T77" s="1786">
        <f t="shared" si="120"/>
        <v>1.9966959878281414</v>
      </c>
      <c r="U77" s="1786">
        <f t="shared" si="156"/>
        <v>1.9966959878281414</v>
      </c>
      <c r="V77" s="1786" t="str">
        <f t="shared" si="157"/>
        <v>--</v>
      </c>
      <c r="W77" s="1890">
        <f t="shared" si="121"/>
        <v>1.9966959878281414</v>
      </c>
      <c r="X77" s="1646" t="str">
        <f t="shared" si="158"/>
        <v>Tapwater Noncancer</v>
      </c>
      <c r="Y77" s="1642">
        <f t="shared" si="122"/>
        <v>3.0000000000000001E-3</v>
      </c>
      <c r="Z77" s="1646" t="str">
        <f t="shared" si="159"/>
        <v>FW EcoTox</v>
      </c>
      <c r="AA77" s="1642">
        <f t="shared" si="123"/>
        <v>3.0000000000000001E-3</v>
      </c>
      <c r="AB77" s="1646" t="str">
        <f t="shared" si="160"/>
        <v>FW EcoTox</v>
      </c>
      <c r="AC77" s="1641">
        <f t="shared" si="124"/>
        <v>1.9966959878281414</v>
      </c>
      <c r="AD77" s="1646" t="str">
        <f t="shared" si="161"/>
        <v>Tapwater Noncancer</v>
      </c>
      <c r="AE77" s="1642">
        <f t="shared" si="125"/>
        <v>1.9966959878281414</v>
      </c>
      <c r="AF77" s="1646" t="str">
        <f t="shared" si="162"/>
        <v>Tapwater Noncancer</v>
      </c>
      <c r="AG77" s="1642">
        <f t="shared" si="126"/>
        <v>3.0000000000000001E-3</v>
      </c>
      <c r="AH77" s="1646" t="str">
        <f t="shared" si="163"/>
        <v>FW EcoTox</v>
      </c>
      <c r="AI77" s="1642">
        <f t="shared" si="127"/>
        <v>3.0000000000000001E-3</v>
      </c>
      <c r="AJ77" s="1646" t="str">
        <f t="shared" si="164"/>
        <v>FW EcoTox</v>
      </c>
      <c r="AK77" s="1641">
        <f t="shared" si="128"/>
        <v>1.9966959878281414</v>
      </c>
      <c r="AL77" s="1646" t="str">
        <f t="shared" si="165"/>
        <v>Tapwater Noncancer</v>
      </c>
      <c r="AM77" s="1641">
        <f t="shared" si="129"/>
        <v>50000</v>
      </c>
      <c r="AN77" s="1646" t="str">
        <f t="shared" si="166"/>
        <v>Outdoor Odor</v>
      </c>
      <c r="AO77" s="1643">
        <f t="shared" si="130"/>
        <v>3.0000000000000001E-3</v>
      </c>
      <c r="AP77" s="1646" t="str">
        <f t="shared" si="167"/>
        <v>FW EcoTox</v>
      </c>
      <c r="AQ77" s="1643">
        <f t="shared" si="131"/>
        <v>3.0000000000000001E-3</v>
      </c>
      <c r="AR77" s="1646" t="str">
        <f t="shared" si="168"/>
        <v>FW EcoTox</v>
      </c>
      <c r="AS77" s="1644">
        <f t="shared" si="132"/>
        <v>50000</v>
      </c>
      <c r="AT77" s="1891" t="str">
        <f t="shared" si="169"/>
        <v>Outdoor Odor</v>
      </c>
      <c r="AU77" s="1773" t="str">
        <f t="shared" si="137"/>
        <v>--</v>
      </c>
      <c r="AV77" s="1773" t="str">
        <f t="shared" si="138"/>
        <v>--</v>
      </c>
      <c r="AW77" s="1773" t="str">
        <f t="shared" si="139"/>
        <v>--</v>
      </c>
      <c r="AX77" s="1773" t="str">
        <f t="shared" si="140"/>
        <v>--</v>
      </c>
      <c r="AY77" s="1773" t="str">
        <f t="shared" si="141"/>
        <v>--</v>
      </c>
      <c r="AZ77" s="1773" t="str">
        <f t="shared" si="142"/>
        <v>--</v>
      </c>
      <c r="BA77" s="1773" t="str">
        <f t="shared" si="143"/>
        <v>--</v>
      </c>
      <c r="BB77" s="1773" t="str">
        <f t="shared" si="144"/>
        <v>--</v>
      </c>
      <c r="BC77" s="1773" t="str">
        <f t="shared" si="145"/>
        <v>--</v>
      </c>
      <c r="BD77" s="1773" t="str">
        <f t="shared" si="146"/>
        <v>--</v>
      </c>
      <c r="BE77" s="1773" t="str">
        <f t="shared" si="147"/>
        <v>--</v>
      </c>
      <c r="BF77" s="1947" t="str">
        <f t="shared" si="148"/>
        <v>--</v>
      </c>
    </row>
    <row r="78" spans="1:58">
      <c r="A78" s="184" t="s">
        <v>225</v>
      </c>
      <c r="B78" s="185" t="s">
        <v>226</v>
      </c>
      <c r="C78" s="388">
        <f t="shared" si="170"/>
        <v>0.8705827746</v>
      </c>
      <c r="D78" s="1779">
        <f t="shared" si="171"/>
        <v>0.8705827746</v>
      </c>
      <c r="E78" s="1785">
        <f t="shared" si="133"/>
        <v>2478</v>
      </c>
      <c r="F78" s="271">
        <f t="shared" si="134"/>
        <v>5.1800000000000001E-4</v>
      </c>
      <c r="G78" s="271">
        <f t="shared" si="152"/>
        <v>414.56322599999999</v>
      </c>
      <c r="H78" s="272">
        <f t="shared" si="153"/>
        <v>368.31142290377824</v>
      </c>
      <c r="I78" s="1162">
        <f t="shared" si="149"/>
        <v>2.1</v>
      </c>
      <c r="J78" s="1163">
        <f t="shared" si="172"/>
        <v>2.1</v>
      </c>
      <c r="K78" s="1164" t="str">
        <f t="shared" si="173"/>
        <v>FW EcoTox Goal</v>
      </c>
      <c r="L78" s="271">
        <f t="shared" si="135"/>
        <v>2.1</v>
      </c>
      <c r="M78" s="271">
        <f t="shared" si="150"/>
        <v>30</v>
      </c>
      <c r="N78" s="271" t="str">
        <f t="shared" si="136"/>
        <v>--</v>
      </c>
      <c r="O78" s="271">
        <f t="shared" si="154"/>
        <v>12300</v>
      </c>
      <c r="P78" s="1773" t="str">
        <f t="shared" si="151"/>
        <v>--</v>
      </c>
      <c r="Q78" s="1777">
        <f t="shared" si="155"/>
        <v>100</v>
      </c>
      <c r="R78" s="1786" t="str">
        <f t="shared" si="118"/>
        <v>--</v>
      </c>
      <c r="S78" s="1786" t="str">
        <f t="shared" si="119"/>
        <v>--</v>
      </c>
      <c r="T78" s="1786">
        <f t="shared" si="120"/>
        <v>35.928229020099174</v>
      </c>
      <c r="U78" s="1786">
        <f t="shared" si="156"/>
        <v>35.928229020099174</v>
      </c>
      <c r="V78" s="1786">
        <f t="shared" si="157"/>
        <v>10</v>
      </c>
      <c r="W78" s="1890">
        <f t="shared" si="121"/>
        <v>10</v>
      </c>
      <c r="X78" s="1646" t="str">
        <f t="shared" si="158"/>
        <v>DW Taste &amp; Odor</v>
      </c>
      <c r="Y78" s="1642">
        <f t="shared" si="122"/>
        <v>2.1</v>
      </c>
      <c r="Z78" s="1646" t="str">
        <f t="shared" si="159"/>
        <v>FW EcoTox</v>
      </c>
      <c r="AA78" s="1642">
        <f t="shared" si="123"/>
        <v>2.1</v>
      </c>
      <c r="AB78" s="1646" t="str">
        <f t="shared" si="160"/>
        <v>FW EcoTox</v>
      </c>
      <c r="AC78" s="1641">
        <f t="shared" si="124"/>
        <v>10</v>
      </c>
      <c r="AD78" s="1646" t="str">
        <f t="shared" si="161"/>
        <v>DW Taste &amp; Odor</v>
      </c>
      <c r="AE78" s="1642">
        <f t="shared" si="125"/>
        <v>10</v>
      </c>
      <c r="AF78" s="1646" t="str">
        <f t="shared" si="162"/>
        <v>DW Taste &amp; Odor</v>
      </c>
      <c r="AG78" s="1642">
        <f t="shared" si="126"/>
        <v>2.1</v>
      </c>
      <c r="AH78" s="1646" t="str">
        <f t="shared" si="163"/>
        <v>FW EcoTox</v>
      </c>
      <c r="AI78" s="1642">
        <f t="shared" si="127"/>
        <v>2.1</v>
      </c>
      <c r="AJ78" s="1646" t="str">
        <f t="shared" si="164"/>
        <v>FW EcoTox</v>
      </c>
      <c r="AK78" s="1641">
        <f t="shared" si="128"/>
        <v>10</v>
      </c>
      <c r="AL78" s="1646" t="str">
        <f t="shared" si="165"/>
        <v>DW Taste &amp; Odor</v>
      </c>
      <c r="AM78" s="1641">
        <f t="shared" si="129"/>
        <v>30</v>
      </c>
      <c r="AN78" s="1646" t="str">
        <f t="shared" si="166"/>
        <v>Saltwater EcoTox</v>
      </c>
      <c r="AO78" s="1643">
        <f t="shared" si="130"/>
        <v>2.1</v>
      </c>
      <c r="AP78" s="1646" t="str">
        <f t="shared" si="167"/>
        <v>FW EcoTox</v>
      </c>
      <c r="AQ78" s="1643">
        <f t="shared" si="131"/>
        <v>2.1</v>
      </c>
      <c r="AR78" s="1646" t="str">
        <f t="shared" si="168"/>
        <v>FW EcoTox</v>
      </c>
      <c r="AS78" s="1644">
        <f t="shared" si="132"/>
        <v>100</v>
      </c>
      <c r="AT78" s="1891" t="str">
        <f t="shared" si="169"/>
        <v>Outdoor Odor</v>
      </c>
      <c r="AU78" s="1773">
        <f t="shared" si="137"/>
        <v>4.1456322600000002</v>
      </c>
      <c r="AV78" s="1773">
        <f t="shared" si="138"/>
        <v>0.8705827746</v>
      </c>
      <c r="AW78" s="1773">
        <f t="shared" si="139"/>
        <v>0.8705827746</v>
      </c>
      <c r="AX78" s="1773">
        <f t="shared" si="140"/>
        <v>4.1456322600000002</v>
      </c>
      <c r="AY78" s="1773">
        <f t="shared" si="141"/>
        <v>4.1456322600000002</v>
      </c>
      <c r="AZ78" s="1773">
        <f t="shared" si="142"/>
        <v>0.8705827746</v>
      </c>
      <c r="BA78" s="1773">
        <f t="shared" si="143"/>
        <v>0.8705827746</v>
      </c>
      <c r="BB78" s="1773">
        <f t="shared" si="144"/>
        <v>4.1456322600000002</v>
      </c>
      <c r="BC78" s="1773">
        <f t="shared" si="145"/>
        <v>12.43689678</v>
      </c>
      <c r="BD78" s="1773">
        <f t="shared" si="146"/>
        <v>0.8705827746</v>
      </c>
      <c r="BE78" s="1773">
        <f t="shared" si="147"/>
        <v>0.8705827746</v>
      </c>
      <c r="BF78" s="1947">
        <f t="shared" si="148"/>
        <v>41.4563226</v>
      </c>
    </row>
    <row r="79" spans="1:58">
      <c r="A79" s="184" t="s">
        <v>227</v>
      </c>
      <c r="B79" s="185" t="s">
        <v>228</v>
      </c>
      <c r="C79" s="388">
        <f t="shared" si="170"/>
        <v>2.7812345000000002E-2</v>
      </c>
      <c r="D79" s="1779">
        <f t="shared" si="171"/>
        <v>2.5030073175764684</v>
      </c>
      <c r="E79" s="1785">
        <f t="shared" si="133"/>
        <v>11.56</v>
      </c>
      <c r="F79" s="271">
        <f t="shared" si="134"/>
        <v>5.8699999999999996E-4</v>
      </c>
      <c r="G79" s="271">
        <f t="shared" si="152"/>
        <v>5.5624690000000001</v>
      </c>
      <c r="H79" s="272">
        <f t="shared" si="153"/>
        <v>8869.0574189666277</v>
      </c>
      <c r="I79" s="1162">
        <f t="shared" si="149"/>
        <v>5</v>
      </c>
      <c r="J79" s="1163">
        <f t="shared" si="172"/>
        <v>449.98135137049178</v>
      </c>
      <c r="K79" s="1164" t="str">
        <f t="shared" si="173"/>
        <v>GW VI</v>
      </c>
      <c r="L79" s="271">
        <f t="shared" si="135"/>
        <v>66000</v>
      </c>
      <c r="M79" s="271">
        <f t="shared" si="150"/>
        <v>8000</v>
      </c>
      <c r="N79" s="271" t="str">
        <f t="shared" si="136"/>
        <v>--</v>
      </c>
      <c r="O79" s="271">
        <f t="shared" si="154"/>
        <v>50000</v>
      </c>
      <c r="P79" s="1773">
        <f t="shared" si="151"/>
        <v>449.98135137049178</v>
      </c>
      <c r="Q79" s="1777">
        <f t="shared" si="155"/>
        <v>1800</v>
      </c>
      <c r="R79" s="1786">
        <f t="shared" si="118"/>
        <v>5</v>
      </c>
      <c r="S79" s="1786">
        <f t="shared" si="119"/>
        <v>13</v>
      </c>
      <c r="T79" s="1786">
        <f t="shared" si="120"/>
        <v>6257.1428571428569</v>
      </c>
      <c r="U79" s="1786">
        <f t="shared" si="156"/>
        <v>5</v>
      </c>
      <c r="V79" s="1786">
        <f t="shared" si="157"/>
        <v>5</v>
      </c>
      <c r="W79" s="1890">
        <f t="shared" si="121"/>
        <v>5</v>
      </c>
      <c r="X79" s="1646" t="str">
        <f t="shared" si="158"/>
        <v>MCL</v>
      </c>
      <c r="Y79" s="1642">
        <f t="shared" si="122"/>
        <v>5</v>
      </c>
      <c r="Z79" s="1646" t="str">
        <f t="shared" si="159"/>
        <v>MCL</v>
      </c>
      <c r="AA79" s="1642">
        <f t="shared" si="123"/>
        <v>5</v>
      </c>
      <c r="AB79" s="1646" t="str">
        <f t="shared" si="160"/>
        <v>MCL</v>
      </c>
      <c r="AC79" s="1641">
        <f t="shared" si="124"/>
        <v>5</v>
      </c>
      <c r="AD79" s="1646" t="str">
        <f t="shared" si="161"/>
        <v>MCL</v>
      </c>
      <c r="AE79" s="1642">
        <f t="shared" si="125"/>
        <v>5</v>
      </c>
      <c r="AF79" s="1646" t="str">
        <f t="shared" si="162"/>
        <v>MCL</v>
      </c>
      <c r="AG79" s="1642">
        <f t="shared" si="126"/>
        <v>5</v>
      </c>
      <c r="AH79" s="1646" t="str">
        <f t="shared" si="163"/>
        <v>MCL</v>
      </c>
      <c r="AI79" s="1642">
        <f t="shared" si="127"/>
        <v>5</v>
      </c>
      <c r="AJ79" s="1646" t="str">
        <f t="shared" si="164"/>
        <v>MCL</v>
      </c>
      <c r="AK79" s="1641">
        <f t="shared" si="128"/>
        <v>5</v>
      </c>
      <c r="AL79" s="1646" t="str">
        <f t="shared" si="165"/>
        <v>MCL</v>
      </c>
      <c r="AM79" s="1641">
        <f t="shared" si="129"/>
        <v>449.98135137049178</v>
      </c>
      <c r="AN79" s="1646" t="str">
        <f t="shared" si="166"/>
        <v>VI</v>
      </c>
      <c r="AO79" s="1643">
        <f t="shared" si="130"/>
        <v>449.98135137049178</v>
      </c>
      <c r="AP79" s="1646" t="str">
        <f t="shared" si="167"/>
        <v>VI</v>
      </c>
      <c r="AQ79" s="1643">
        <f t="shared" si="131"/>
        <v>449.98135137049178</v>
      </c>
      <c r="AR79" s="1646" t="str">
        <f t="shared" si="168"/>
        <v>VI</v>
      </c>
      <c r="AS79" s="1644">
        <f t="shared" si="132"/>
        <v>449.98135137049178</v>
      </c>
      <c r="AT79" s="1891" t="str">
        <f t="shared" si="169"/>
        <v>VI</v>
      </c>
      <c r="AU79" s="1773">
        <f t="shared" si="137"/>
        <v>2.7812345000000002E-2</v>
      </c>
      <c r="AV79" s="1773">
        <f t="shared" si="138"/>
        <v>2.7812345000000002E-2</v>
      </c>
      <c r="AW79" s="1773">
        <f t="shared" si="139"/>
        <v>2.7812345000000002E-2</v>
      </c>
      <c r="AX79" s="1773">
        <f t="shared" si="140"/>
        <v>2.7812345000000002E-2</v>
      </c>
      <c r="AY79" s="1773">
        <f t="shared" si="141"/>
        <v>2.7812345000000002E-2</v>
      </c>
      <c r="AZ79" s="1773">
        <f t="shared" si="142"/>
        <v>2.7812345000000002E-2</v>
      </c>
      <c r="BA79" s="1773">
        <f t="shared" si="143"/>
        <v>2.7812345000000002E-2</v>
      </c>
      <c r="BB79" s="1773">
        <f t="shared" si="144"/>
        <v>2.7812345000000002E-2</v>
      </c>
      <c r="BC79" s="1773">
        <f t="shared" si="145"/>
        <v>2.5030073175764684</v>
      </c>
      <c r="BD79" s="1773">
        <f t="shared" si="146"/>
        <v>2.5030073175764684</v>
      </c>
      <c r="BE79" s="1773">
        <f t="shared" si="147"/>
        <v>2.5030073175764684</v>
      </c>
      <c r="BF79" s="1947">
        <f t="shared" si="148"/>
        <v>2.5030073175764684</v>
      </c>
    </row>
    <row r="80" spans="1:58">
      <c r="A80" s="184" t="s">
        <v>229</v>
      </c>
      <c r="B80" s="185" t="s">
        <v>230</v>
      </c>
      <c r="C80" s="388" t="str">
        <f t="shared" si="170"/>
        <v>--</v>
      </c>
      <c r="D80" s="1779" t="str">
        <f t="shared" si="171"/>
        <v>--</v>
      </c>
      <c r="E80" s="1785" t="str">
        <f t="shared" si="133"/>
        <v>--</v>
      </c>
      <c r="F80" s="271" t="str">
        <f t="shared" si="134"/>
        <v>--</v>
      </c>
      <c r="G80" s="271" t="str">
        <f t="shared" si="152"/>
        <v>--</v>
      </c>
      <c r="H80" s="272" t="str">
        <f t="shared" si="153"/>
        <v>--</v>
      </c>
      <c r="I80" s="1162">
        <f t="shared" si="149"/>
        <v>99.83479939140706</v>
      </c>
      <c r="J80" s="1163">
        <f t="shared" si="172"/>
        <v>240</v>
      </c>
      <c r="K80" s="1164" t="str">
        <f t="shared" si="173"/>
        <v>FW EcoTox Goal</v>
      </c>
      <c r="L80" s="271">
        <f t="shared" si="135"/>
        <v>240</v>
      </c>
      <c r="M80" s="271" t="str">
        <f t="shared" si="150"/>
        <v>--</v>
      </c>
      <c r="N80" s="271" t="str">
        <f t="shared" si="136"/>
        <v>--</v>
      </c>
      <c r="O80" s="271">
        <f t="shared" si="154"/>
        <v>50000</v>
      </c>
      <c r="P80" s="1773" t="str">
        <f t="shared" si="151"/>
        <v>--</v>
      </c>
      <c r="Q80" s="1777" t="str">
        <f t="shared" si="155"/>
        <v>--</v>
      </c>
      <c r="R80" s="1786" t="str">
        <f t="shared" si="118"/>
        <v>--</v>
      </c>
      <c r="S80" s="1786" t="str">
        <f t="shared" si="119"/>
        <v>--</v>
      </c>
      <c r="T80" s="1786">
        <f t="shared" si="120"/>
        <v>99.83479939140706</v>
      </c>
      <c r="U80" s="1786">
        <f t="shared" si="156"/>
        <v>99.83479939140706</v>
      </c>
      <c r="V80" s="1786" t="str">
        <f t="shared" si="157"/>
        <v>--</v>
      </c>
      <c r="W80" s="1890">
        <f t="shared" si="121"/>
        <v>99.83479939140706</v>
      </c>
      <c r="X80" s="1646" t="str">
        <f t="shared" si="158"/>
        <v>Tapwater Noncancer</v>
      </c>
      <c r="Y80" s="1642">
        <f t="shared" si="122"/>
        <v>99.83479939140706</v>
      </c>
      <c r="Z80" s="1646" t="str">
        <f t="shared" si="159"/>
        <v>Tapwater Noncancer</v>
      </c>
      <c r="AA80" s="1642">
        <f t="shared" si="123"/>
        <v>99.83479939140706</v>
      </c>
      <c r="AB80" s="1646" t="str">
        <f t="shared" si="160"/>
        <v>Tapwater Noncancer</v>
      </c>
      <c r="AC80" s="1641">
        <f t="shared" si="124"/>
        <v>99.83479939140706</v>
      </c>
      <c r="AD80" s="1646" t="str">
        <f t="shared" si="161"/>
        <v>Tapwater Noncancer</v>
      </c>
      <c r="AE80" s="1642">
        <f t="shared" si="125"/>
        <v>99.83479939140706</v>
      </c>
      <c r="AF80" s="1646" t="str">
        <f t="shared" si="162"/>
        <v>Tapwater Noncancer</v>
      </c>
      <c r="AG80" s="1642">
        <f t="shared" si="126"/>
        <v>99.83479939140706</v>
      </c>
      <c r="AH80" s="1646" t="str">
        <f t="shared" si="163"/>
        <v>Tapwater Noncancer</v>
      </c>
      <c r="AI80" s="1642">
        <f t="shared" si="127"/>
        <v>99.83479939140706</v>
      </c>
      <c r="AJ80" s="1646" t="str">
        <f t="shared" si="164"/>
        <v>Tapwater Noncancer</v>
      </c>
      <c r="AK80" s="1641">
        <f t="shared" si="128"/>
        <v>99.83479939140706</v>
      </c>
      <c r="AL80" s="1646" t="str">
        <f t="shared" si="165"/>
        <v>Tapwater Noncancer</v>
      </c>
      <c r="AM80" s="1641">
        <f t="shared" si="129"/>
        <v>50000</v>
      </c>
      <c r="AN80" s="1646" t="str">
        <f t="shared" si="166"/>
        <v>Outdoor Odor</v>
      </c>
      <c r="AO80" s="1643">
        <f t="shared" si="130"/>
        <v>240</v>
      </c>
      <c r="AP80" s="1646" t="str">
        <f t="shared" si="167"/>
        <v>FW EcoTox</v>
      </c>
      <c r="AQ80" s="1643">
        <f t="shared" si="131"/>
        <v>240</v>
      </c>
      <c r="AR80" s="1646" t="str">
        <f t="shared" si="168"/>
        <v>FW EcoTox</v>
      </c>
      <c r="AS80" s="1644">
        <f t="shared" si="132"/>
        <v>50000</v>
      </c>
      <c r="AT80" s="1891" t="str">
        <f t="shared" si="169"/>
        <v>Outdoor Odor</v>
      </c>
      <c r="AU80" s="1773" t="str">
        <f t="shared" si="137"/>
        <v>--</v>
      </c>
      <c r="AV80" s="1773" t="str">
        <f t="shared" si="138"/>
        <v>--</v>
      </c>
      <c r="AW80" s="1773" t="str">
        <f t="shared" si="139"/>
        <v>--</v>
      </c>
      <c r="AX80" s="1773" t="str">
        <f t="shared" si="140"/>
        <v>--</v>
      </c>
      <c r="AY80" s="1773" t="str">
        <f t="shared" si="141"/>
        <v>--</v>
      </c>
      <c r="AZ80" s="1773" t="str">
        <f t="shared" si="142"/>
        <v>--</v>
      </c>
      <c r="BA80" s="1773" t="str">
        <f t="shared" si="143"/>
        <v>--</v>
      </c>
      <c r="BB80" s="1773" t="str">
        <f t="shared" si="144"/>
        <v>--</v>
      </c>
      <c r="BC80" s="1773" t="str">
        <f t="shared" si="145"/>
        <v>--</v>
      </c>
      <c r="BD80" s="1773" t="str">
        <f t="shared" si="146"/>
        <v>--</v>
      </c>
      <c r="BE80" s="1773" t="str">
        <f t="shared" si="147"/>
        <v>--</v>
      </c>
      <c r="BF80" s="1947" t="str">
        <f t="shared" si="148"/>
        <v>--</v>
      </c>
    </row>
    <row r="81" spans="1:58">
      <c r="A81" s="184" t="s">
        <v>231</v>
      </c>
      <c r="B81" s="185" t="s">
        <v>232</v>
      </c>
      <c r="C81" s="388" t="str">
        <f t="shared" si="170"/>
        <v>--</v>
      </c>
      <c r="D81" s="1779" t="str">
        <f t="shared" si="171"/>
        <v>--</v>
      </c>
      <c r="E81" s="1785" t="str">
        <f t="shared" si="133"/>
        <v>--</v>
      </c>
      <c r="F81" s="271" t="str">
        <f t="shared" si="134"/>
        <v>--</v>
      </c>
      <c r="G81" s="271" t="str">
        <f t="shared" si="152"/>
        <v>--</v>
      </c>
      <c r="H81" s="272" t="str">
        <f t="shared" si="153"/>
        <v>--</v>
      </c>
      <c r="I81" s="1162">
        <f t="shared" si="149"/>
        <v>5</v>
      </c>
      <c r="J81" s="1163">
        <f t="shared" si="172"/>
        <v>5</v>
      </c>
      <c r="K81" s="1164" t="str">
        <f t="shared" si="173"/>
        <v>SW EcoTox Goal</v>
      </c>
      <c r="L81" s="271">
        <f t="shared" si="135"/>
        <v>52</v>
      </c>
      <c r="M81" s="271">
        <f t="shared" si="150"/>
        <v>5</v>
      </c>
      <c r="N81" s="271">
        <f t="shared" si="136"/>
        <v>4600</v>
      </c>
      <c r="O81" s="271">
        <f t="shared" si="154"/>
        <v>50000</v>
      </c>
      <c r="P81" s="1773" t="str">
        <f t="shared" si="151"/>
        <v>--</v>
      </c>
      <c r="Q81" s="1777" t="str">
        <f t="shared" si="155"/>
        <v>--</v>
      </c>
      <c r="R81" s="1786">
        <f t="shared" si="118"/>
        <v>100</v>
      </c>
      <c r="S81" s="1786">
        <f t="shared" si="119"/>
        <v>12</v>
      </c>
      <c r="T81" s="1786">
        <f t="shared" si="120"/>
        <v>215.84866831048549</v>
      </c>
      <c r="U81" s="1786">
        <f t="shared" si="156"/>
        <v>100</v>
      </c>
      <c r="V81" s="1786" t="str">
        <f t="shared" si="157"/>
        <v>--</v>
      </c>
      <c r="W81" s="1890">
        <f t="shared" si="121"/>
        <v>5</v>
      </c>
      <c r="X81" s="1646" t="str">
        <f t="shared" si="158"/>
        <v>Saltwater EcoTox</v>
      </c>
      <c r="Y81" s="1642">
        <f t="shared" si="122"/>
        <v>52</v>
      </c>
      <c r="Z81" s="1646" t="str">
        <f t="shared" si="159"/>
        <v>FW EcoTox</v>
      </c>
      <c r="AA81" s="1642">
        <f t="shared" si="123"/>
        <v>5</v>
      </c>
      <c r="AB81" s="1646" t="str">
        <f t="shared" si="160"/>
        <v>Saltwater EcoTox</v>
      </c>
      <c r="AC81" s="1641">
        <f t="shared" si="124"/>
        <v>100</v>
      </c>
      <c r="AD81" s="1646" t="str">
        <f t="shared" si="161"/>
        <v>MCL</v>
      </c>
      <c r="AE81" s="1642">
        <f t="shared" si="125"/>
        <v>5</v>
      </c>
      <c r="AF81" s="1646" t="str">
        <f t="shared" si="162"/>
        <v>Saltwater EcoTox</v>
      </c>
      <c r="AG81" s="1642">
        <f t="shared" si="126"/>
        <v>12</v>
      </c>
      <c r="AH81" s="1646" t="str">
        <f t="shared" si="163"/>
        <v>Tapwater Cancer</v>
      </c>
      <c r="AI81" s="1642">
        <f t="shared" si="127"/>
        <v>5</v>
      </c>
      <c r="AJ81" s="1646" t="str">
        <f t="shared" si="164"/>
        <v>Saltwater EcoTox</v>
      </c>
      <c r="AK81" s="1641">
        <f t="shared" si="128"/>
        <v>12</v>
      </c>
      <c r="AL81" s="1646" t="str">
        <f t="shared" si="165"/>
        <v>Tapwater Cancer</v>
      </c>
      <c r="AM81" s="1641">
        <f t="shared" si="129"/>
        <v>5</v>
      </c>
      <c r="AN81" s="1646" t="str">
        <f t="shared" si="166"/>
        <v>Saltwater EcoTox</v>
      </c>
      <c r="AO81" s="1643">
        <f t="shared" si="130"/>
        <v>52</v>
      </c>
      <c r="AP81" s="1646" t="str">
        <f t="shared" si="167"/>
        <v>FW EcoTox</v>
      </c>
      <c r="AQ81" s="1643">
        <f t="shared" si="131"/>
        <v>5</v>
      </c>
      <c r="AR81" s="1646" t="str">
        <f t="shared" si="168"/>
        <v>Saltwater EcoTox</v>
      </c>
      <c r="AS81" s="1644">
        <f t="shared" si="132"/>
        <v>50000</v>
      </c>
      <c r="AT81" s="1891" t="str">
        <f t="shared" si="169"/>
        <v>Outdoor Odor</v>
      </c>
      <c r="AU81" s="1773" t="str">
        <f t="shared" si="137"/>
        <v>--</v>
      </c>
      <c r="AV81" s="1773" t="str">
        <f t="shared" si="138"/>
        <v>--</v>
      </c>
      <c r="AW81" s="1773" t="str">
        <f t="shared" si="139"/>
        <v>--</v>
      </c>
      <c r="AX81" s="1773" t="str">
        <f t="shared" si="140"/>
        <v>--</v>
      </c>
      <c r="AY81" s="1773" t="str">
        <f t="shared" si="141"/>
        <v>--</v>
      </c>
      <c r="AZ81" s="1773" t="str">
        <f t="shared" si="142"/>
        <v>--</v>
      </c>
      <c r="BA81" s="1773" t="str">
        <f t="shared" si="143"/>
        <v>--</v>
      </c>
      <c r="BB81" s="1773" t="str">
        <f t="shared" si="144"/>
        <v>--</v>
      </c>
      <c r="BC81" s="1773" t="str">
        <f t="shared" si="145"/>
        <v>--</v>
      </c>
      <c r="BD81" s="1773" t="str">
        <f t="shared" si="146"/>
        <v>--</v>
      </c>
      <c r="BE81" s="1773" t="str">
        <f t="shared" si="147"/>
        <v>--</v>
      </c>
      <c r="BF81" s="1947" t="str">
        <f t="shared" si="148"/>
        <v>--</v>
      </c>
    </row>
    <row r="82" spans="1:58">
      <c r="A82" s="184" t="s">
        <v>233</v>
      </c>
      <c r="B82" s="185" t="s">
        <v>234</v>
      </c>
      <c r="C82" s="388">
        <f t="shared" si="170"/>
        <v>12.53436132</v>
      </c>
      <c r="D82" s="1779">
        <f t="shared" si="171"/>
        <v>12.53436132</v>
      </c>
      <c r="E82" s="1785">
        <f t="shared" si="133"/>
        <v>5027</v>
      </c>
      <c r="F82" s="271">
        <f t="shared" si="134"/>
        <v>1.84E-4</v>
      </c>
      <c r="G82" s="271">
        <f t="shared" si="152"/>
        <v>835.62408800000003</v>
      </c>
      <c r="H82" s="272">
        <f t="shared" si="153"/>
        <v>118.02735386537897</v>
      </c>
      <c r="I82" s="1162">
        <f t="shared" si="149"/>
        <v>15</v>
      </c>
      <c r="J82" s="1163">
        <f t="shared" si="172"/>
        <v>15</v>
      </c>
      <c r="K82" s="1164" t="str">
        <f t="shared" si="173"/>
        <v>SW EcoTox Goal</v>
      </c>
      <c r="L82" s="271">
        <f t="shared" si="135"/>
        <v>23</v>
      </c>
      <c r="M82" s="271">
        <f t="shared" si="150"/>
        <v>15</v>
      </c>
      <c r="N82" s="271">
        <f t="shared" si="136"/>
        <v>90</v>
      </c>
      <c r="O82" s="271">
        <f t="shared" si="154"/>
        <v>1950</v>
      </c>
      <c r="P82" s="1773" t="str">
        <f t="shared" si="151"/>
        <v>--</v>
      </c>
      <c r="Q82" s="1777">
        <f t="shared" si="155"/>
        <v>200</v>
      </c>
      <c r="R82" s="1786" t="str">
        <f t="shared" si="118"/>
        <v>--</v>
      </c>
      <c r="S82" s="1786" t="str">
        <f t="shared" si="119"/>
        <v>--</v>
      </c>
      <c r="T82" s="1786">
        <f t="shared" si="120"/>
        <v>534.98176066436667</v>
      </c>
      <c r="U82" s="1786">
        <f t="shared" si="156"/>
        <v>534.98176066436667</v>
      </c>
      <c r="V82" s="1786">
        <f t="shared" si="157"/>
        <v>20</v>
      </c>
      <c r="W82" s="1890">
        <f t="shared" si="121"/>
        <v>15</v>
      </c>
      <c r="X82" s="1646" t="str">
        <f t="shared" si="158"/>
        <v>Saltwater EcoTox</v>
      </c>
      <c r="Y82" s="1642">
        <f t="shared" si="122"/>
        <v>20</v>
      </c>
      <c r="Z82" s="1646" t="str">
        <f t="shared" si="159"/>
        <v>DW Taste &amp; Odor</v>
      </c>
      <c r="AA82" s="1642">
        <f t="shared" si="123"/>
        <v>15</v>
      </c>
      <c r="AB82" s="1646" t="str">
        <f t="shared" si="160"/>
        <v>Saltwater EcoTox</v>
      </c>
      <c r="AC82" s="1641">
        <f t="shared" si="124"/>
        <v>20</v>
      </c>
      <c r="AD82" s="1646" t="str">
        <f t="shared" si="161"/>
        <v>DW Taste &amp; Odor</v>
      </c>
      <c r="AE82" s="1642">
        <f t="shared" si="125"/>
        <v>15</v>
      </c>
      <c r="AF82" s="1646" t="str">
        <f t="shared" si="162"/>
        <v>Saltwater EcoTox</v>
      </c>
      <c r="AG82" s="1642">
        <f t="shared" si="126"/>
        <v>20</v>
      </c>
      <c r="AH82" s="1646" t="str">
        <f t="shared" si="163"/>
        <v>DW Taste &amp; Odor</v>
      </c>
      <c r="AI82" s="1642">
        <f t="shared" si="127"/>
        <v>15</v>
      </c>
      <c r="AJ82" s="1646" t="str">
        <f t="shared" si="164"/>
        <v>Saltwater EcoTox</v>
      </c>
      <c r="AK82" s="1641">
        <f t="shared" si="128"/>
        <v>20</v>
      </c>
      <c r="AL82" s="1646" t="str">
        <f t="shared" si="165"/>
        <v>DW Taste &amp; Odor</v>
      </c>
      <c r="AM82" s="1641">
        <f t="shared" si="129"/>
        <v>15</v>
      </c>
      <c r="AN82" s="1646" t="str">
        <f t="shared" si="166"/>
        <v>Saltwater EcoTox</v>
      </c>
      <c r="AO82" s="1643">
        <f t="shared" si="130"/>
        <v>23</v>
      </c>
      <c r="AP82" s="1646" t="str">
        <f t="shared" si="167"/>
        <v>FW EcoTox</v>
      </c>
      <c r="AQ82" s="1643">
        <f t="shared" si="131"/>
        <v>15</v>
      </c>
      <c r="AR82" s="1646" t="str">
        <f t="shared" si="168"/>
        <v>Saltwater EcoTox</v>
      </c>
      <c r="AS82" s="1644">
        <f t="shared" si="132"/>
        <v>200</v>
      </c>
      <c r="AT82" s="1891" t="str">
        <f t="shared" si="169"/>
        <v>Outdoor Odor</v>
      </c>
      <c r="AU82" s="1773">
        <f t="shared" si="137"/>
        <v>12.53436132</v>
      </c>
      <c r="AV82" s="1773">
        <f t="shared" si="138"/>
        <v>16.712481760000003</v>
      </c>
      <c r="AW82" s="1773">
        <f t="shared" si="139"/>
        <v>12.53436132</v>
      </c>
      <c r="AX82" s="1773">
        <f t="shared" si="140"/>
        <v>16.712481760000003</v>
      </c>
      <c r="AY82" s="1773">
        <f t="shared" si="141"/>
        <v>12.53436132</v>
      </c>
      <c r="AZ82" s="1773">
        <f t="shared" si="142"/>
        <v>16.712481760000003</v>
      </c>
      <c r="BA82" s="1773">
        <f t="shared" si="143"/>
        <v>12.53436132</v>
      </c>
      <c r="BB82" s="1773">
        <f t="shared" si="144"/>
        <v>16.712481760000003</v>
      </c>
      <c r="BC82" s="1773">
        <f t="shared" si="145"/>
        <v>12.53436132</v>
      </c>
      <c r="BD82" s="1773">
        <f t="shared" si="146"/>
        <v>19.219354024000001</v>
      </c>
      <c r="BE82" s="1773">
        <f t="shared" si="147"/>
        <v>12.53436132</v>
      </c>
      <c r="BF82" s="1947">
        <f t="shared" si="148"/>
        <v>167.1248176</v>
      </c>
    </row>
    <row r="83" spans="1:58">
      <c r="A83" s="184" t="s">
        <v>235</v>
      </c>
      <c r="B83" s="185" t="s">
        <v>236</v>
      </c>
      <c r="C83" s="388">
        <f t="shared" si="170"/>
        <v>1.9827567297160003</v>
      </c>
      <c r="D83" s="1779">
        <f t="shared" si="171"/>
        <v>1.9827567297160003</v>
      </c>
      <c r="E83" s="1785">
        <f t="shared" si="133"/>
        <v>16360</v>
      </c>
      <c r="F83" s="271">
        <f t="shared" si="134"/>
        <v>5.5600000000000003E-5</v>
      </c>
      <c r="G83" s="271">
        <f t="shared" si="152"/>
        <v>2716.1051092000002</v>
      </c>
      <c r="H83" s="272">
        <f t="shared" si="153"/>
        <v>4.2645026757236826</v>
      </c>
      <c r="I83" s="1162">
        <f t="shared" si="149"/>
        <v>0.73</v>
      </c>
      <c r="J83" s="1163">
        <f t="shared" si="172"/>
        <v>0.73</v>
      </c>
      <c r="K83" s="1164" t="str">
        <f t="shared" si="173"/>
        <v>FW EcoTox Goal</v>
      </c>
      <c r="L83" s="271">
        <f t="shared" si="135"/>
        <v>0.73</v>
      </c>
      <c r="M83" s="271">
        <f t="shared" si="150"/>
        <v>15</v>
      </c>
      <c r="N83" s="271">
        <f t="shared" si="136"/>
        <v>400</v>
      </c>
      <c r="O83" s="271">
        <f t="shared" si="154"/>
        <v>21.7</v>
      </c>
      <c r="P83" s="1773" t="str">
        <f t="shared" si="151"/>
        <v>--</v>
      </c>
      <c r="Q83" s="1777" t="str">
        <f t="shared" si="155"/>
        <v>--</v>
      </c>
      <c r="R83" s="1786" t="str">
        <f t="shared" si="118"/>
        <v>--</v>
      </c>
      <c r="S83" s="1786" t="str">
        <f t="shared" si="119"/>
        <v>--</v>
      </c>
      <c r="T83" s="1786">
        <f t="shared" si="120"/>
        <v>1765.228896017758</v>
      </c>
      <c r="U83" s="1786">
        <f t="shared" si="156"/>
        <v>1765.228896017758</v>
      </c>
      <c r="V83" s="1786" t="str">
        <f t="shared" si="157"/>
        <v>--</v>
      </c>
      <c r="W83" s="1890">
        <f t="shared" si="121"/>
        <v>15</v>
      </c>
      <c r="X83" s="1646" t="str">
        <f t="shared" si="158"/>
        <v>Saltwater EcoTox</v>
      </c>
      <c r="Y83" s="1642">
        <f t="shared" si="122"/>
        <v>0.73</v>
      </c>
      <c r="Z83" s="1646" t="str">
        <f t="shared" si="159"/>
        <v>FW EcoTox</v>
      </c>
      <c r="AA83" s="1642">
        <f t="shared" si="123"/>
        <v>0.73</v>
      </c>
      <c r="AB83" s="1646" t="str">
        <f t="shared" si="160"/>
        <v>FW EcoTox</v>
      </c>
      <c r="AC83" s="1641">
        <f t="shared" si="124"/>
        <v>21.7</v>
      </c>
      <c r="AD83" s="1646" t="str">
        <f t="shared" si="161"/>
        <v>Outdoor Odor</v>
      </c>
      <c r="AE83" s="1642">
        <f t="shared" si="125"/>
        <v>15</v>
      </c>
      <c r="AF83" s="1646" t="str">
        <f t="shared" si="162"/>
        <v>Saltwater EcoTox</v>
      </c>
      <c r="AG83" s="1642">
        <f t="shared" si="126"/>
        <v>0.73</v>
      </c>
      <c r="AH83" s="1646" t="str">
        <f t="shared" si="163"/>
        <v>FW EcoTox</v>
      </c>
      <c r="AI83" s="1642">
        <f t="shared" si="127"/>
        <v>0.73</v>
      </c>
      <c r="AJ83" s="1646" t="str">
        <f t="shared" si="164"/>
        <v>FW EcoTox</v>
      </c>
      <c r="AK83" s="1641">
        <f t="shared" si="128"/>
        <v>21.7</v>
      </c>
      <c r="AL83" s="1646" t="str">
        <f t="shared" si="165"/>
        <v>Outdoor Odor</v>
      </c>
      <c r="AM83" s="1641">
        <f t="shared" si="129"/>
        <v>15</v>
      </c>
      <c r="AN83" s="1646" t="str">
        <f t="shared" si="166"/>
        <v>Saltwater EcoTox</v>
      </c>
      <c r="AO83" s="1643">
        <f t="shared" si="130"/>
        <v>0.73</v>
      </c>
      <c r="AP83" s="1646" t="str">
        <f t="shared" si="167"/>
        <v>FW EcoTox</v>
      </c>
      <c r="AQ83" s="1643">
        <f t="shared" si="131"/>
        <v>0.73</v>
      </c>
      <c r="AR83" s="1646" t="str">
        <f t="shared" si="168"/>
        <v>FW EcoTox</v>
      </c>
      <c r="AS83" s="1644">
        <f t="shared" si="132"/>
        <v>21.7</v>
      </c>
      <c r="AT83" s="1891" t="str">
        <f t="shared" si="169"/>
        <v>Outdoor Odor</v>
      </c>
      <c r="AU83" s="1773">
        <f t="shared" si="137"/>
        <v>40.741576638000005</v>
      </c>
      <c r="AV83" s="1773">
        <f t="shared" si="138"/>
        <v>1.9827567297160003</v>
      </c>
      <c r="AW83" s="1773">
        <f t="shared" si="139"/>
        <v>1.9827567297160003</v>
      </c>
      <c r="AX83" s="1773">
        <f t="shared" si="140"/>
        <v>58.939480869640008</v>
      </c>
      <c r="AY83" s="1773">
        <f t="shared" si="141"/>
        <v>40.741576638000005</v>
      </c>
      <c r="AZ83" s="1773">
        <f t="shared" si="142"/>
        <v>1.9827567297160003</v>
      </c>
      <c r="BA83" s="1773">
        <f t="shared" si="143"/>
        <v>1.9827567297160003</v>
      </c>
      <c r="BB83" s="1773">
        <f t="shared" si="144"/>
        <v>58.939480869640008</v>
      </c>
      <c r="BC83" s="1773">
        <f t="shared" si="145"/>
        <v>40.741576638000005</v>
      </c>
      <c r="BD83" s="1773">
        <f t="shared" si="146"/>
        <v>1.9827567297160003</v>
      </c>
      <c r="BE83" s="1773">
        <f t="shared" si="147"/>
        <v>1.9827567297160003</v>
      </c>
      <c r="BF83" s="1947">
        <f t="shared" si="148"/>
        <v>58.939480869640008</v>
      </c>
    </row>
    <row r="84" spans="1:58">
      <c r="A84" s="184" t="s">
        <v>237</v>
      </c>
      <c r="B84" s="185" t="s">
        <v>238</v>
      </c>
      <c r="C84" s="388">
        <f t="shared" si="170"/>
        <v>9.9781008730156291</v>
      </c>
      <c r="D84" s="1779">
        <f t="shared" si="171"/>
        <v>9.9781008730156291</v>
      </c>
      <c r="E84" s="1785">
        <f t="shared" si="133"/>
        <v>176900</v>
      </c>
      <c r="F84" s="271">
        <f t="shared" si="134"/>
        <v>1.2E-5</v>
      </c>
      <c r="G84" s="271">
        <f t="shared" si="152"/>
        <v>29365.474484000002</v>
      </c>
      <c r="H84" s="272">
        <f t="shared" si="153"/>
        <v>9.9781008730156291</v>
      </c>
      <c r="I84" s="1162">
        <f t="shared" si="149"/>
        <v>1.2999999999999999E-3</v>
      </c>
      <c r="J84" s="1163">
        <f t="shared" si="172"/>
        <v>1.2999999999999999E-3</v>
      </c>
      <c r="K84" s="1164" t="str">
        <f t="shared" si="173"/>
        <v>Seafood Consumption</v>
      </c>
      <c r="L84" s="271">
        <f t="shared" si="135"/>
        <v>2.7E-2</v>
      </c>
      <c r="M84" s="271">
        <f t="shared" si="150"/>
        <v>15</v>
      </c>
      <c r="N84" s="271">
        <f t="shared" si="136"/>
        <v>1.2999999999999999E-3</v>
      </c>
      <c r="O84" s="271">
        <f t="shared" si="154"/>
        <v>4.7</v>
      </c>
      <c r="P84" s="1773">
        <f t="shared" si="151"/>
        <v>18.787668350028376</v>
      </c>
      <c r="Q84" s="1777" t="str">
        <f t="shared" si="155"/>
        <v>--</v>
      </c>
      <c r="R84" s="1786" t="str">
        <f t="shared" si="118"/>
        <v>--</v>
      </c>
      <c r="S84" s="1786">
        <f t="shared" si="119"/>
        <v>1.7170814319988709E-2</v>
      </c>
      <c r="T84" s="1786" t="str">
        <f t="shared" si="120"/>
        <v>--</v>
      </c>
      <c r="U84" s="1786">
        <f t="shared" si="156"/>
        <v>1.7170814319988709E-2</v>
      </c>
      <c r="V84" s="1786" t="str">
        <f t="shared" si="157"/>
        <v>--</v>
      </c>
      <c r="W84" s="1890">
        <f t="shared" si="121"/>
        <v>1.2999999999999999E-3</v>
      </c>
      <c r="X84" s="1646" t="str">
        <f t="shared" si="158"/>
        <v>Seafood Ingestion</v>
      </c>
      <c r="Y84" s="1642">
        <f t="shared" si="122"/>
        <v>1.2999999999999999E-3</v>
      </c>
      <c r="Z84" s="1646" t="str">
        <f t="shared" si="159"/>
        <v>Seafood Ingestion</v>
      </c>
      <c r="AA84" s="1642">
        <f t="shared" si="123"/>
        <v>1.2999999999999999E-3</v>
      </c>
      <c r="AB84" s="1646" t="str">
        <f t="shared" si="160"/>
        <v>Seafood Ingestion</v>
      </c>
      <c r="AC84" s="1641">
        <f t="shared" si="124"/>
        <v>1.7170814319988709E-2</v>
      </c>
      <c r="AD84" s="1646" t="str">
        <f t="shared" si="161"/>
        <v>Tapwater Cancer</v>
      </c>
      <c r="AE84" s="1642">
        <f t="shared" si="125"/>
        <v>1.2999999999999999E-3</v>
      </c>
      <c r="AF84" s="1646" t="str">
        <f t="shared" si="162"/>
        <v>Seafood Ingestion</v>
      </c>
      <c r="AG84" s="1642">
        <f t="shared" si="126"/>
        <v>1.2999999999999999E-3</v>
      </c>
      <c r="AH84" s="1646" t="str">
        <f t="shared" si="163"/>
        <v>Seafood Ingestion</v>
      </c>
      <c r="AI84" s="1642">
        <f t="shared" si="127"/>
        <v>1.2999999999999999E-3</v>
      </c>
      <c r="AJ84" s="1646" t="str">
        <f t="shared" si="164"/>
        <v>Seafood Ingestion</v>
      </c>
      <c r="AK84" s="1641">
        <f t="shared" si="128"/>
        <v>1.7170814319988709E-2</v>
      </c>
      <c r="AL84" s="1646" t="str">
        <f t="shared" si="165"/>
        <v>Tapwater Cancer</v>
      </c>
      <c r="AM84" s="1641">
        <f t="shared" si="129"/>
        <v>1.2999999999999999E-3</v>
      </c>
      <c r="AN84" s="1646" t="str">
        <f t="shared" si="166"/>
        <v>Seafood Ingestion</v>
      </c>
      <c r="AO84" s="1643">
        <f t="shared" si="130"/>
        <v>1.2999999999999999E-3</v>
      </c>
      <c r="AP84" s="1646" t="str">
        <f t="shared" si="167"/>
        <v>Seafood Ingestion</v>
      </c>
      <c r="AQ84" s="1643">
        <f t="shared" si="131"/>
        <v>1.2999999999999999E-3</v>
      </c>
      <c r="AR84" s="1646" t="str">
        <f t="shared" si="168"/>
        <v>Seafood Ingestion</v>
      </c>
      <c r="AS84" s="1644">
        <f t="shared" si="132"/>
        <v>4.7</v>
      </c>
      <c r="AT84" s="1891" t="str">
        <f t="shared" si="169"/>
        <v>Outdoor Odor</v>
      </c>
      <c r="AU84" s="1773">
        <f t="shared" si="137"/>
        <v>9.9781008730156291</v>
      </c>
      <c r="AV84" s="1773">
        <f t="shared" si="138"/>
        <v>9.9781008730156291</v>
      </c>
      <c r="AW84" s="1773">
        <f t="shared" si="139"/>
        <v>9.9781008730156291</v>
      </c>
      <c r="AX84" s="1773">
        <f t="shared" si="140"/>
        <v>9.9781008730156291</v>
      </c>
      <c r="AY84" s="1773">
        <f t="shared" si="141"/>
        <v>9.9781008730156291</v>
      </c>
      <c r="AZ84" s="1773">
        <f t="shared" si="142"/>
        <v>9.9781008730156291</v>
      </c>
      <c r="BA84" s="1773">
        <f t="shared" si="143"/>
        <v>9.9781008730156291</v>
      </c>
      <c r="BB84" s="1773">
        <f t="shared" si="144"/>
        <v>9.9781008730156291</v>
      </c>
      <c r="BC84" s="1773">
        <f t="shared" si="145"/>
        <v>9.9781008730156291</v>
      </c>
      <c r="BD84" s="1773">
        <f t="shared" si="146"/>
        <v>9.9781008730156291</v>
      </c>
      <c r="BE84" s="1773">
        <f t="shared" si="147"/>
        <v>9.9781008730156291</v>
      </c>
      <c r="BF84" s="1947">
        <f t="shared" si="148"/>
        <v>138.01773007480003</v>
      </c>
    </row>
    <row r="85" spans="1:58">
      <c r="A85" s="184" t="s">
        <v>239</v>
      </c>
      <c r="B85" s="185" t="s">
        <v>240</v>
      </c>
      <c r="C85" s="388">
        <f t="shared" si="170"/>
        <v>5.7096900057298612</v>
      </c>
      <c r="D85" s="1779">
        <f t="shared" si="171"/>
        <v>5.7096900057298612</v>
      </c>
      <c r="E85" s="1785">
        <f t="shared" si="133"/>
        <v>587400</v>
      </c>
      <c r="F85" s="271">
        <f t="shared" si="134"/>
        <v>4.5699999999999998E-7</v>
      </c>
      <c r="G85" s="271">
        <f t="shared" si="152"/>
        <v>97508.402836599009</v>
      </c>
      <c r="H85" s="272">
        <f t="shared" si="153"/>
        <v>5.7096900057298612</v>
      </c>
      <c r="I85" s="1162">
        <f t="shared" si="149"/>
        <v>1.2999999999999999E-4</v>
      </c>
      <c r="J85" s="1163">
        <f t="shared" si="172"/>
        <v>1.2999999999999999E-4</v>
      </c>
      <c r="K85" s="1164" t="str">
        <f t="shared" si="173"/>
        <v>Seafood Consumption</v>
      </c>
      <c r="L85" s="271">
        <f t="shared" si="135"/>
        <v>1.4E-2</v>
      </c>
      <c r="M85" s="271">
        <f t="shared" si="150"/>
        <v>15</v>
      </c>
      <c r="N85" s="271">
        <f t="shared" si="136"/>
        <v>1.2999999999999999E-4</v>
      </c>
      <c r="O85" s="271">
        <f t="shared" si="154"/>
        <v>0.80999999999999994</v>
      </c>
      <c r="P85" s="1773" t="str">
        <f t="shared" si="151"/>
        <v>--</v>
      </c>
      <c r="Q85" s="1777" t="str">
        <f t="shared" si="155"/>
        <v>--</v>
      </c>
      <c r="R85" s="1786">
        <f t="shared" si="118"/>
        <v>0.2</v>
      </c>
      <c r="S85" s="1786">
        <f t="shared" si="119"/>
        <v>7.0000000000000001E-3</v>
      </c>
      <c r="T85" s="1786">
        <f t="shared" si="120"/>
        <v>6.0164835164835164</v>
      </c>
      <c r="U85" s="1786">
        <f t="shared" si="156"/>
        <v>0.2</v>
      </c>
      <c r="V85" s="1786" t="str">
        <f t="shared" si="157"/>
        <v>--</v>
      </c>
      <c r="W85" s="1890">
        <f t="shared" si="121"/>
        <v>1.2999999999999999E-4</v>
      </c>
      <c r="X85" s="1646" t="str">
        <f t="shared" si="158"/>
        <v>Seafood Ingestion</v>
      </c>
      <c r="Y85" s="1642">
        <f t="shared" si="122"/>
        <v>1.2999999999999999E-4</v>
      </c>
      <c r="Z85" s="1646" t="str">
        <f t="shared" si="159"/>
        <v>Seafood Ingestion</v>
      </c>
      <c r="AA85" s="1642">
        <f t="shared" si="123"/>
        <v>1.2999999999999999E-4</v>
      </c>
      <c r="AB85" s="1646" t="str">
        <f t="shared" si="160"/>
        <v>Seafood Ingestion</v>
      </c>
      <c r="AC85" s="1641">
        <f t="shared" si="124"/>
        <v>0.2</v>
      </c>
      <c r="AD85" s="1646" t="str">
        <f t="shared" si="161"/>
        <v>MCL</v>
      </c>
      <c r="AE85" s="1642">
        <f t="shared" si="125"/>
        <v>1.2999999999999999E-4</v>
      </c>
      <c r="AF85" s="1646" t="str">
        <f t="shared" si="162"/>
        <v>Seafood Ingestion</v>
      </c>
      <c r="AG85" s="1642">
        <f t="shared" si="126"/>
        <v>1.2999999999999999E-4</v>
      </c>
      <c r="AH85" s="1646" t="str">
        <f t="shared" si="163"/>
        <v>Seafood Ingestion</v>
      </c>
      <c r="AI85" s="1642">
        <f t="shared" si="127"/>
        <v>1.2999999999999999E-4</v>
      </c>
      <c r="AJ85" s="1646" t="str">
        <f t="shared" si="164"/>
        <v>Seafood Ingestion</v>
      </c>
      <c r="AK85" s="1641">
        <f t="shared" si="128"/>
        <v>7.0000000000000001E-3</v>
      </c>
      <c r="AL85" s="1646" t="str">
        <f t="shared" si="165"/>
        <v>Tapwater Cancer</v>
      </c>
      <c r="AM85" s="1641">
        <f t="shared" si="129"/>
        <v>1.2999999999999999E-4</v>
      </c>
      <c r="AN85" s="1646" t="str">
        <f t="shared" si="166"/>
        <v>Seafood Ingestion</v>
      </c>
      <c r="AO85" s="1643">
        <f t="shared" si="130"/>
        <v>1.2999999999999999E-4</v>
      </c>
      <c r="AP85" s="1646" t="str">
        <f t="shared" si="167"/>
        <v>Seafood Ingestion</v>
      </c>
      <c r="AQ85" s="1643">
        <f t="shared" si="131"/>
        <v>1.2999999999999999E-4</v>
      </c>
      <c r="AR85" s="1646" t="str">
        <f t="shared" si="168"/>
        <v>Seafood Ingestion</v>
      </c>
      <c r="AS85" s="1644">
        <f t="shared" si="132"/>
        <v>0.80999999999999994</v>
      </c>
      <c r="AT85" s="1891" t="str">
        <f t="shared" si="169"/>
        <v>Outdoor Odor</v>
      </c>
      <c r="AU85" s="1773">
        <f t="shared" si="137"/>
        <v>5.7096900057298612</v>
      </c>
      <c r="AV85" s="1773">
        <f t="shared" si="138"/>
        <v>5.7096900057298612</v>
      </c>
      <c r="AW85" s="1773">
        <f t="shared" si="139"/>
        <v>5.7096900057298612</v>
      </c>
      <c r="AX85" s="1773">
        <f t="shared" si="140"/>
        <v>19.501680567319802</v>
      </c>
      <c r="AY85" s="1773">
        <f t="shared" si="141"/>
        <v>5.7096900057298612</v>
      </c>
      <c r="AZ85" s="1773">
        <f t="shared" si="142"/>
        <v>5.7096900057298612</v>
      </c>
      <c r="BA85" s="1773">
        <f t="shared" si="143"/>
        <v>5.7096900057298612</v>
      </c>
      <c r="BB85" s="1773">
        <f t="shared" si="144"/>
        <v>5.7096900057298612</v>
      </c>
      <c r="BC85" s="1773">
        <f t="shared" si="145"/>
        <v>5.7096900057298612</v>
      </c>
      <c r="BD85" s="1773">
        <f t="shared" si="146"/>
        <v>5.7096900057298612</v>
      </c>
      <c r="BE85" s="1773">
        <f t="shared" si="147"/>
        <v>5.7096900057298612</v>
      </c>
      <c r="BF85" s="1947">
        <f t="shared" si="148"/>
        <v>78.981806297645193</v>
      </c>
    </row>
    <row r="86" spans="1:58">
      <c r="A86" s="184" t="s">
        <v>241</v>
      </c>
      <c r="B86" s="185" t="s">
        <v>242</v>
      </c>
      <c r="C86" s="388">
        <f t="shared" si="170"/>
        <v>5.3947500076272776</v>
      </c>
      <c r="D86" s="1779">
        <f t="shared" si="171"/>
        <v>5.3947500076272776</v>
      </c>
      <c r="E86" s="1785">
        <f t="shared" si="133"/>
        <v>599400</v>
      </c>
      <c r="F86" s="271">
        <f t="shared" si="134"/>
        <v>6.5700000000000002E-7</v>
      </c>
      <c r="G86" s="271">
        <f t="shared" si="152"/>
        <v>99500.404077999003</v>
      </c>
      <c r="H86" s="272">
        <f t="shared" si="153"/>
        <v>5.3947500076272776</v>
      </c>
      <c r="I86" s="1162">
        <f t="shared" si="149"/>
        <v>1.2999999999999999E-3</v>
      </c>
      <c r="J86" s="1163">
        <f t="shared" si="172"/>
        <v>1.2999999999999999E-3</v>
      </c>
      <c r="K86" s="1164" t="str">
        <f t="shared" si="173"/>
        <v>Seafood Consumption</v>
      </c>
      <c r="L86" s="271" t="str">
        <f t="shared" si="135"/>
        <v>--</v>
      </c>
      <c r="M86" s="271">
        <f t="shared" si="150"/>
        <v>15</v>
      </c>
      <c r="N86" s="271">
        <f t="shared" si="136"/>
        <v>1.2999999999999999E-3</v>
      </c>
      <c r="O86" s="271">
        <f t="shared" si="154"/>
        <v>0.75</v>
      </c>
      <c r="P86" s="1773" t="str">
        <f t="shared" si="151"/>
        <v>--</v>
      </c>
      <c r="Q86" s="1777" t="str">
        <f t="shared" si="155"/>
        <v>--</v>
      </c>
      <c r="R86" s="1786" t="str">
        <f t="shared" si="118"/>
        <v>--</v>
      </c>
      <c r="S86" s="1786">
        <f t="shared" si="119"/>
        <v>0.2505147563486616</v>
      </c>
      <c r="T86" s="1786" t="str">
        <f t="shared" si="120"/>
        <v>--</v>
      </c>
      <c r="U86" s="1786">
        <f t="shared" si="156"/>
        <v>0.2505147563486616</v>
      </c>
      <c r="V86" s="1786" t="str">
        <f t="shared" si="157"/>
        <v>--</v>
      </c>
      <c r="W86" s="1890">
        <f t="shared" si="121"/>
        <v>1.2999999999999999E-3</v>
      </c>
      <c r="X86" s="1646" t="str">
        <f t="shared" si="158"/>
        <v>Seafood Ingestion</v>
      </c>
      <c r="Y86" s="1642">
        <f t="shared" si="122"/>
        <v>1.2999999999999999E-3</v>
      </c>
      <c r="Z86" s="1646" t="str">
        <f t="shared" si="159"/>
        <v>Seafood Ingestion</v>
      </c>
      <c r="AA86" s="1642">
        <f t="shared" si="123"/>
        <v>1.2999999999999999E-3</v>
      </c>
      <c r="AB86" s="1646" t="str">
        <f t="shared" si="160"/>
        <v>Seafood Ingestion</v>
      </c>
      <c r="AC86" s="1641">
        <f t="shared" si="124"/>
        <v>0.2505147563486616</v>
      </c>
      <c r="AD86" s="1646" t="str">
        <f t="shared" si="161"/>
        <v>Tapwater Cancer</v>
      </c>
      <c r="AE86" s="1642">
        <f t="shared" si="125"/>
        <v>1.2999999999999999E-3</v>
      </c>
      <c r="AF86" s="1646" t="str">
        <f t="shared" si="162"/>
        <v>Seafood Ingestion</v>
      </c>
      <c r="AG86" s="1642">
        <f t="shared" si="126"/>
        <v>1.2999999999999999E-3</v>
      </c>
      <c r="AH86" s="1646" t="str">
        <f t="shared" si="163"/>
        <v>Seafood Ingestion</v>
      </c>
      <c r="AI86" s="1642">
        <f t="shared" si="127"/>
        <v>1.2999999999999999E-3</v>
      </c>
      <c r="AJ86" s="1646" t="str">
        <f t="shared" si="164"/>
        <v>Seafood Ingestion</v>
      </c>
      <c r="AK86" s="1641">
        <f t="shared" si="128"/>
        <v>0.2505147563486616</v>
      </c>
      <c r="AL86" s="1646" t="str">
        <f t="shared" si="165"/>
        <v>Tapwater Cancer</v>
      </c>
      <c r="AM86" s="1641">
        <f t="shared" si="129"/>
        <v>1.2999999999999999E-3</v>
      </c>
      <c r="AN86" s="1646" t="str">
        <f t="shared" si="166"/>
        <v>Seafood Ingestion</v>
      </c>
      <c r="AO86" s="1643">
        <f t="shared" si="130"/>
        <v>1.2999999999999999E-3</v>
      </c>
      <c r="AP86" s="1646" t="str">
        <f t="shared" si="167"/>
        <v>Seafood Ingestion</v>
      </c>
      <c r="AQ86" s="1643">
        <f t="shared" si="131"/>
        <v>1.2999999999999999E-3</v>
      </c>
      <c r="AR86" s="1646" t="str">
        <f t="shared" si="168"/>
        <v>Seafood Ingestion</v>
      </c>
      <c r="AS86" s="1644">
        <f t="shared" si="132"/>
        <v>0.75</v>
      </c>
      <c r="AT86" s="1891" t="str">
        <f t="shared" si="169"/>
        <v>Outdoor Odor</v>
      </c>
      <c r="AU86" s="1773">
        <f t="shared" si="137"/>
        <v>5.3947500076272776</v>
      </c>
      <c r="AV86" s="1773">
        <f t="shared" si="138"/>
        <v>5.3947500076272776</v>
      </c>
      <c r="AW86" s="1773">
        <f t="shared" si="139"/>
        <v>5.3947500076272776</v>
      </c>
      <c r="AX86" s="1773">
        <f t="shared" si="140"/>
        <v>24.926319484193296</v>
      </c>
      <c r="AY86" s="1773">
        <f t="shared" si="141"/>
        <v>5.3947500076272776</v>
      </c>
      <c r="AZ86" s="1773">
        <f t="shared" si="142"/>
        <v>5.3947500076272776</v>
      </c>
      <c r="BA86" s="1773">
        <f t="shared" si="143"/>
        <v>5.3947500076272776</v>
      </c>
      <c r="BB86" s="1773">
        <f t="shared" si="144"/>
        <v>24.926319484193296</v>
      </c>
      <c r="BC86" s="1773">
        <f t="shared" si="145"/>
        <v>5.3947500076272776</v>
      </c>
      <c r="BD86" s="1773">
        <f t="shared" si="146"/>
        <v>5.3947500076272776</v>
      </c>
      <c r="BE86" s="1773">
        <f t="shared" si="147"/>
        <v>5.3947500076272776</v>
      </c>
      <c r="BF86" s="1947">
        <f t="shared" si="148"/>
        <v>74.625303058499256</v>
      </c>
    </row>
    <row r="87" spans="1:58">
      <c r="A87" s="184" t="s">
        <v>243</v>
      </c>
      <c r="B87" s="185" t="s">
        <v>244</v>
      </c>
      <c r="C87" s="388">
        <f t="shared" si="170"/>
        <v>2.8196000036158946</v>
      </c>
      <c r="D87" s="1779">
        <f t="shared" si="171"/>
        <v>2.8196000036158946</v>
      </c>
      <c r="E87" s="1785">
        <f t="shared" si="133"/>
        <v>587400</v>
      </c>
      <c r="F87" s="271">
        <f t="shared" si="134"/>
        <v>5.8400000000000004E-7</v>
      </c>
      <c r="G87" s="271">
        <f t="shared" si="152"/>
        <v>97508.403624888015</v>
      </c>
      <c r="H87" s="272">
        <f t="shared" si="153"/>
        <v>2.8196000036158946</v>
      </c>
      <c r="I87" s="1162">
        <f t="shared" si="149"/>
        <v>1.2999999999999999E-2</v>
      </c>
      <c r="J87" s="1163">
        <f t="shared" si="172"/>
        <v>1.2999999999999999E-2</v>
      </c>
      <c r="K87" s="1164" t="str">
        <f t="shared" si="173"/>
        <v>Seafood Consumption</v>
      </c>
      <c r="L87" s="271">
        <f t="shared" si="135"/>
        <v>3.7</v>
      </c>
      <c r="M87" s="271">
        <f t="shared" si="150"/>
        <v>15</v>
      </c>
      <c r="N87" s="271">
        <f t="shared" si="136"/>
        <v>1.2999999999999999E-2</v>
      </c>
      <c r="O87" s="271">
        <f t="shared" si="154"/>
        <v>0.4</v>
      </c>
      <c r="P87" s="1773" t="str">
        <f t="shared" si="151"/>
        <v>--</v>
      </c>
      <c r="Q87" s="1777" t="str">
        <f t="shared" si="155"/>
        <v>--</v>
      </c>
      <c r="R87" s="1786" t="str">
        <f t="shared" ref="R87:R118" si="174">VLOOKUP($A87,Table_GW_Summary, MATCH("mcl", heading_GW_Summary, 0), FALSE)</f>
        <v>--</v>
      </c>
      <c r="S87" s="1786">
        <f t="shared" ref="S87:S100" si="175">VLOOKUP($A87,Table_GW_Summary, MATCH("DW-C", heading_GW_Summary, 0), FALSE)</f>
        <v>2.5051475634866165</v>
      </c>
      <c r="T87" s="1786" t="str">
        <f t="shared" ref="T87:T100" si="176">VLOOKUP($A87,Table_GW_Summary, MATCH("DW-NC", heading_GW_Summary, 0), FALSE)</f>
        <v>--</v>
      </c>
      <c r="U87" s="1786">
        <f t="shared" si="156"/>
        <v>2.5051475634866165</v>
      </c>
      <c r="V87" s="1786" t="str">
        <f t="shared" si="157"/>
        <v>--</v>
      </c>
      <c r="W87" s="1890">
        <f t="shared" ref="W87:W100" si="177">IF(AND(U87="--",V87="--",P87="--",O87="--",N87="--",M87="--"), "--", MIN(U87,V87,P87,O87,N87,M87))</f>
        <v>1.2999999999999999E-2</v>
      </c>
      <c r="X87" s="1646" t="str">
        <f t="shared" si="158"/>
        <v>Seafood Ingestion</v>
      </c>
      <c r="Y87" s="1642">
        <f t="shared" ref="Y87:Y100" si="178">IF(AND(U87="--",V87="--",P87="--",O87="--",N87="--",L87="--"),"--",MIN(U87,V87,P87,O87,N87,L87))</f>
        <v>1.2999999999999999E-2</v>
      </c>
      <c r="Z87" s="1646" t="str">
        <f t="shared" si="159"/>
        <v>Seafood Ingestion</v>
      </c>
      <c r="AA87" s="1642">
        <f t="shared" ref="AA87:AA100" si="179">IF(AND(U87="--",V87="--",P87="--",O87="--",N87="--",L87="--",M87="--"),"--",MIN(U87,V87,P87,O87,N87,M87,L87))</f>
        <v>1.2999999999999999E-2</v>
      </c>
      <c r="AB87" s="1646" t="str">
        <f t="shared" si="160"/>
        <v>Seafood Ingestion</v>
      </c>
      <c r="AC87" s="1641">
        <f t="shared" ref="AC87:AC100" si="180">IF(AND(U87="--",V87="--",P87="--",O87="--"), "--", MIN(U87,V87,P87,O87))</f>
        <v>0.4</v>
      </c>
      <c r="AD87" s="1646" t="str">
        <f t="shared" si="161"/>
        <v>Outdoor Odor</v>
      </c>
      <c r="AE87" s="1642">
        <f t="shared" ref="AE87:AE100" si="181">IF(AND(T87="--",S87="--",V87="--",P87="--",O87="--",N87="--",M87="--"), "--", MIN(T87,S87,V87,P87,O87,N87,M87))</f>
        <v>1.2999999999999999E-2</v>
      </c>
      <c r="AF87" s="1646" t="str">
        <f t="shared" si="162"/>
        <v>Seafood Ingestion</v>
      </c>
      <c r="AG87" s="1642">
        <f t="shared" ref="AG87:AG100" si="182">IF(AND(T87="--",S87="--",V87="--",P87="--",O87="--",N87="--",L87="--"), "--", MIN(T87,S87,V87,P87,O87,N87,L87))</f>
        <v>1.2999999999999999E-2</v>
      </c>
      <c r="AH87" s="1646" t="str">
        <f t="shared" si="163"/>
        <v>Seafood Ingestion</v>
      </c>
      <c r="AI87" s="1642">
        <f t="shared" ref="AI87:AI100" si="183">IF(AND(T87="--",S87="--",V87="--",P87="--",O87="--",N87="--",M87="--",L87="--"), "--", MIN(T87,S87,V87,P87,O87,N87,M87,L87))</f>
        <v>1.2999999999999999E-2</v>
      </c>
      <c r="AJ87" s="1646" t="str">
        <f t="shared" si="164"/>
        <v>Seafood Ingestion</v>
      </c>
      <c r="AK87" s="1641">
        <f t="shared" ref="AK87:AK100" si="184">IF(AND(T87="--",S87="--",V87="--",P87="--",O87="--"),"--",MIN(T87,S87,V87,P87,O87))</f>
        <v>0.4</v>
      </c>
      <c r="AL87" s="1646" t="str">
        <f t="shared" si="165"/>
        <v>Outdoor Odor</v>
      </c>
      <c r="AM87" s="1641">
        <f t="shared" ref="AM87:AM100" si="185">IF(AND(Q87="--",P87="--",O87="--",N87="--",M87="--"), "--", MIN(M87,N87,O87,P87,Q87))</f>
        <v>1.2999999999999999E-2</v>
      </c>
      <c r="AN87" s="1646" t="str">
        <f t="shared" si="166"/>
        <v>Seafood Ingestion</v>
      </c>
      <c r="AO87" s="1643">
        <f t="shared" ref="AO87:AO100" si="186">IF(AND(Q87="--",P87="--",O87="--",N87="--",L87="--"),"--",MIN(Q87,P87,O87,N87,L87))</f>
        <v>1.2999999999999999E-2</v>
      </c>
      <c r="AP87" s="1646" t="str">
        <f t="shared" si="167"/>
        <v>Seafood Ingestion</v>
      </c>
      <c r="AQ87" s="1643">
        <f t="shared" ref="AQ87:AQ100" si="187">IF(AND(Q87="--",P87="--",O87="--",N87="--",M87="--",L87="--"),"--",MIN(Q87,P87,O87,N87,M87,L87))</f>
        <v>1.2999999999999999E-2</v>
      </c>
      <c r="AR87" s="1646" t="str">
        <f t="shared" si="168"/>
        <v>Seafood Ingestion</v>
      </c>
      <c r="AS87" s="1644">
        <f t="shared" ref="AS87:AS100" si="188">IF(AND(Q87="--",P87="--",O87="--"),"--",MIN(Q87,P87,O87))</f>
        <v>0.4</v>
      </c>
      <c r="AT87" s="1891" t="str">
        <f t="shared" si="169"/>
        <v>Outdoor Odor</v>
      </c>
      <c r="AU87" s="1773">
        <f t="shared" si="137"/>
        <v>2.8196000036158946</v>
      </c>
      <c r="AV87" s="1773">
        <f t="shared" si="138"/>
        <v>2.8196000036158946</v>
      </c>
      <c r="AW87" s="1773">
        <f t="shared" si="139"/>
        <v>2.8196000036158946</v>
      </c>
      <c r="AX87" s="1773">
        <f t="shared" si="140"/>
        <v>39.003361449955207</v>
      </c>
      <c r="AY87" s="1773">
        <f t="shared" si="141"/>
        <v>2.8196000036158946</v>
      </c>
      <c r="AZ87" s="1773">
        <f t="shared" si="142"/>
        <v>2.8196000036158946</v>
      </c>
      <c r="BA87" s="1773">
        <f t="shared" si="143"/>
        <v>2.8196000036158946</v>
      </c>
      <c r="BB87" s="1773">
        <f t="shared" si="144"/>
        <v>39.003361449955207</v>
      </c>
      <c r="BC87" s="1773">
        <f t="shared" si="145"/>
        <v>2.8196000036158946</v>
      </c>
      <c r="BD87" s="1773">
        <f t="shared" si="146"/>
        <v>2.8196000036158946</v>
      </c>
      <c r="BE87" s="1773">
        <f t="shared" si="147"/>
        <v>2.8196000036158946</v>
      </c>
      <c r="BF87" s="1947">
        <f t="shared" si="148"/>
        <v>39.003361449955207</v>
      </c>
    </row>
    <row r="88" spans="1:58">
      <c r="A88" s="184" t="s">
        <v>245</v>
      </c>
      <c r="B88" s="185" t="s">
        <v>246</v>
      </c>
      <c r="C88" s="388">
        <f t="shared" si="170"/>
        <v>2.1662000809551727</v>
      </c>
      <c r="D88" s="1779">
        <f t="shared" si="171"/>
        <v>2.1662000809551727</v>
      </c>
      <c r="E88" s="1785">
        <f t="shared" ref="E88:E100" si="189">VLOOKUP($A88,Table_IP_1, MATCH("Koc", heading_IP_1, 0), FALSE)</f>
        <v>180500</v>
      </c>
      <c r="F88" s="271">
        <f t="shared" ref="F88:F100" si="190">VLOOKUP($A88,Table_IP_1, MATCH("h", heading_IP_1, 0), FALSE)</f>
        <v>5.2299999999999999E-6</v>
      </c>
      <c r="G88" s="271">
        <f t="shared" si="152"/>
        <v>29963.032462610001</v>
      </c>
      <c r="H88" s="272">
        <f t="shared" si="153"/>
        <v>2.1662000809551727</v>
      </c>
      <c r="I88" s="1162">
        <f t="shared" si="149"/>
        <v>4.9000000000000002E-2</v>
      </c>
      <c r="J88" s="1163">
        <f t="shared" si="172"/>
        <v>4.9000000000000002E-2</v>
      </c>
      <c r="K88" s="1164" t="str">
        <f t="shared" si="173"/>
        <v>Seafood Consumption</v>
      </c>
      <c r="L88" s="271">
        <f t="shared" ref="L88:L100" si="191">VLOOKUP($A88,Table_GW_Summary, MATCH("FW-EcoT", heading_GW_Summary, 0), FALSE)</f>
        <v>0.35</v>
      </c>
      <c r="M88" s="271">
        <f t="shared" si="150"/>
        <v>15</v>
      </c>
      <c r="N88" s="271">
        <f t="shared" ref="N88:N100" si="192">VLOOKUP($A88,Table_GW_Summary, MATCH("bioac", heading_GW_Summary, 0), FALSE)</f>
        <v>4.9000000000000002E-2</v>
      </c>
      <c r="O88" s="271">
        <f t="shared" si="154"/>
        <v>1</v>
      </c>
      <c r="P88" s="1773" t="str">
        <f t="shared" si="151"/>
        <v>--</v>
      </c>
      <c r="Q88" s="1777" t="str">
        <f t="shared" si="155"/>
        <v>--</v>
      </c>
      <c r="R88" s="1786" t="str">
        <f t="shared" si="174"/>
        <v>--</v>
      </c>
      <c r="S88" s="1786">
        <f t="shared" si="175"/>
        <v>25.051475634866165</v>
      </c>
      <c r="T88" s="1786" t="str">
        <f t="shared" si="176"/>
        <v>--</v>
      </c>
      <c r="U88" s="1786">
        <f t="shared" si="156"/>
        <v>25.051475634866165</v>
      </c>
      <c r="V88" s="1786" t="str">
        <f t="shared" si="157"/>
        <v>--</v>
      </c>
      <c r="W88" s="1890">
        <f t="shared" si="177"/>
        <v>4.9000000000000002E-2</v>
      </c>
      <c r="X88" s="1646" t="str">
        <f t="shared" si="158"/>
        <v>Seafood Ingestion</v>
      </c>
      <c r="Y88" s="1642">
        <f t="shared" si="178"/>
        <v>4.9000000000000002E-2</v>
      </c>
      <c r="Z88" s="1646" t="str">
        <f t="shared" si="159"/>
        <v>Seafood Ingestion</v>
      </c>
      <c r="AA88" s="1642">
        <f t="shared" si="179"/>
        <v>4.9000000000000002E-2</v>
      </c>
      <c r="AB88" s="1646" t="str">
        <f t="shared" si="160"/>
        <v>Seafood Ingestion</v>
      </c>
      <c r="AC88" s="1641">
        <f t="shared" si="180"/>
        <v>1</v>
      </c>
      <c r="AD88" s="1646" t="str">
        <f t="shared" si="161"/>
        <v>Outdoor Odor</v>
      </c>
      <c r="AE88" s="1642">
        <f t="shared" si="181"/>
        <v>4.9000000000000002E-2</v>
      </c>
      <c r="AF88" s="1646" t="str">
        <f t="shared" si="162"/>
        <v>Seafood Ingestion</v>
      </c>
      <c r="AG88" s="1642">
        <f t="shared" si="182"/>
        <v>4.9000000000000002E-2</v>
      </c>
      <c r="AH88" s="1646" t="str">
        <f t="shared" si="163"/>
        <v>Seafood Ingestion</v>
      </c>
      <c r="AI88" s="1642">
        <f t="shared" si="183"/>
        <v>4.9000000000000002E-2</v>
      </c>
      <c r="AJ88" s="1646" t="str">
        <f t="shared" si="164"/>
        <v>Seafood Ingestion</v>
      </c>
      <c r="AK88" s="1641">
        <f t="shared" si="184"/>
        <v>1</v>
      </c>
      <c r="AL88" s="1646" t="str">
        <f t="shared" si="165"/>
        <v>Outdoor Odor</v>
      </c>
      <c r="AM88" s="1641">
        <f t="shared" si="185"/>
        <v>4.9000000000000002E-2</v>
      </c>
      <c r="AN88" s="1646" t="str">
        <f t="shared" si="166"/>
        <v>Seafood Ingestion</v>
      </c>
      <c r="AO88" s="1643">
        <f t="shared" si="186"/>
        <v>4.9000000000000002E-2</v>
      </c>
      <c r="AP88" s="1646" t="str">
        <f t="shared" si="167"/>
        <v>Seafood Ingestion</v>
      </c>
      <c r="AQ88" s="1643">
        <f t="shared" si="187"/>
        <v>4.9000000000000002E-2</v>
      </c>
      <c r="AR88" s="1646" t="str">
        <f t="shared" si="168"/>
        <v>Seafood Ingestion</v>
      </c>
      <c r="AS88" s="1644">
        <f t="shared" si="188"/>
        <v>1</v>
      </c>
      <c r="AT88" s="1891" t="str">
        <f t="shared" si="169"/>
        <v>Outdoor Odor</v>
      </c>
      <c r="AU88" s="1773">
        <f t="shared" ref="AU88:AU100" si="193">IF($G88="--","--",IF(W88="--", W88,IF(AND($G88*W88*0.001&lt;$H88,$E88&gt;30000),$H88,$G88*W88*0.001)))</f>
        <v>2.1662000809551727</v>
      </c>
      <c r="AV88" s="1773">
        <f t="shared" ref="AV88:AV100" si="194">IF($G88="--","--",IF(Y88="--", Y88,IF(AND($G88*Y88*0.001&lt;$H88,$E88&gt;30000),$H88,$G88*Y88*0.001)))</f>
        <v>2.1662000809551727</v>
      </c>
      <c r="AW88" s="1773">
        <f t="shared" ref="AW88:AW100" si="195">IF($G88="--","--",IF(AA88="--", AA88,IF(AND($G88*AA88*0.001&lt;$H88,$E88&gt;30000),$H88,$G88*AA88*0.001)))</f>
        <v>2.1662000809551727</v>
      </c>
      <c r="AX88" s="1773">
        <f t="shared" ref="AX88:AX100" si="196">IF($G88="--","--",IF(AC88="--", AC88,IF(AND($G88*AC88*0.001&lt;$H88,$E88&gt;30000),$H88,$G88*AC88*0.001)))</f>
        <v>29.963032462610002</v>
      </c>
      <c r="AY88" s="1773">
        <f t="shared" ref="AY88:AY100" si="197">IF($G88="--","--",IF(AE88="--", AE88,IF(AND($G88*AE88*0.001&lt;$H88,$E88&gt;30000),$H88,$G88*AE88*0.001)))</f>
        <v>2.1662000809551727</v>
      </c>
      <c r="AZ88" s="1773">
        <f t="shared" ref="AZ88:AZ100" si="198">IF($G88="--","--",IF(AG88="--", AG88,IF(AND($G88*AG88*0.001&lt;$H88,$E88&gt;30000),$H88,$G88*AG88*0.001)))</f>
        <v>2.1662000809551727</v>
      </c>
      <c r="BA88" s="1773">
        <f t="shared" ref="BA88:BA100" si="199">IF($G88="--","--",IF(AI88="--", AI88,IF(AND($G88*AI88*0.001&lt;$H88,$E88&gt;30000),$H88,$G88*AI88*0.001)))</f>
        <v>2.1662000809551727</v>
      </c>
      <c r="BB88" s="1773">
        <f t="shared" ref="BB88:BB100" si="200">IF($G88="--","--",IF(AK88="--", AK88,IF(AND($G88*AK88*0.001&lt;$H88,$E88&gt;30000),$H88,$G88*AK88*0.001)))</f>
        <v>29.963032462610002</v>
      </c>
      <c r="BC88" s="1773">
        <f t="shared" ref="BC88:BC100" si="201">IF($G88="--","--",IF(AM88="--", AM88,IF(AND($G88*AM88*0.001&lt;$H88,$E88&gt;30000),$H88,$G88*AM88*0.001)))</f>
        <v>2.1662000809551727</v>
      </c>
      <c r="BD88" s="1773">
        <f t="shared" ref="BD88:BD100" si="202">IF($G88="--","--",IF(AO88="--", AO88,IF(AND($G88*AO88*0.001&lt;$H88,$E88&gt;30000),$H88,$G88*AO88*0.001)))</f>
        <v>2.1662000809551727</v>
      </c>
      <c r="BE88" s="1773">
        <f t="shared" ref="BE88:BE100" si="203">IF($G88="--","--",IF(AQ88="--", AQ88,IF(AND($G88*AQ88*0.001&lt;$H88,$E88&gt;30000),$H88,$G88*AQ88*0.001)))</f>
        <v>2.1662000809551727</v>
      </c>
      <c r="BF88" s="1947">
        <f t="shared" ref="BF88:BF100" si="204">IF($G88="--","--",IF(AS88="--", AS88,IF(AND($G88*AS88*0.001&lt;$H88,$E88&gt;30000),$H88,$G88*AS88*0.001)))</f>
        <v>29.963032462610002</v>
      </c>
    </row>
    <row r="89" spans="1:58">
      <c r="A89" s="184" t="s">
        <v>247</v>
      </c>
      <c r="B89" s="185" t="s">
        <v>248</v>
      </c>
      <c r="C89" s="388">
        <f>IF(G89="--","--",IF(I89="--", I89,IF(AND(G89*I89*0.001&lt;H89,E89&gt;30000),H89,G89*I89*0.001)))</f>
        <v>28.565529002717266</v>
      </c>
      <c r="D89" s="1779">
        <f t="shared" si="171"/>
        <v>28.565529002717266</v>
      </c>
      <c r="E89" s="1785">
        <f t="shared" si="189"/>
        <v>1912000</v>
      </c>
      <c r="F89" s="271">
        <f t="shared" si="190"/>
        <v>1.4100000000000001E-7</v>
      </c>
      <c r="G89" s="271">
        <f t="shared" si="152"/>
        <v>317392.00087518699</v>
      </c>
      <c r="H89" s="272">
        <f t="shared" si="153"/>
        <v>28.565529002717266</v>
      </c>
      <c r="I89" s="1162">
        <f t="shared" si="149"/>
        <v>1.2999999999999999E-4</v>
      </c>
      <c r="J89" s="1163">
        <f t="shared" si="172"/>
        <v>1.2999999999999999E-4</v>
      </c>
      <c r="K89" s="1164" t="str">
        <f t="shared" si="173"/>
        <v>Seafood Consumption</v>
      </c>
      <c r="L89" s="271">
        <f t="shared" si="191"/>
        <v>7.5</v>
      </c>
      <c r="M89" s="271">
        <f t="shared" si="150"/>
        <v>15</v>
      </c>
      <c r="N89" s="271">
        <f t="shared" si="192"/>
        <v>1.2999999999999999E-4</v>
      </c>
      <c r="O89" s="271">
        <f t="shared" si="154"/>
        <v>1.2450000000000001</v>
      </c>
      <c r="P89" s="1773" t="str">
        <f t="shared" si="151"/>
        <v>--</v>
      </c>
      <c r="Q89" s="1777" t="str">
        <f t="shared" si="155"/>
        <v>--</v>
      </c>
      <c r="R89" s="1786" t="str">
        <f t="shared" si="174"/>
        <v>--</v>
      </c>
      <c r="S89" s="1786">
        <f t="shared" si="175"/>
        <v>6.1101160085039437E-3</v>
      </c>
      <c r="T89" s="1786" t="str">
        <f t="shared" si="176"/>
        <v>--</v>
      </c>
      <c r="U89" s="1786">
        <f t="shared" si="156"/>
        <v>6.1101160085039437E-3</v>
      </c>
      <c r="V89" s="1786" t="str">
        <f t="shared" si="157"/>
        <v>--</v>
      </c>
      <c r="W89" s="1890">
        <f t="shared" si="177"/>
        <v>1.2999999999999999E-4</v>
      </c>
      <c r="X89" s="1646" t="str">
        <f t="shared" si="158"/>
        <v>Seafood Ingestion</v>
      </c>
      <c r="Y89" s="1642">
        <f t="shared" si="178"/>
        <v>1.2999999999999999E-4</v>
      </c>
      <c r="Z89" s="1646" t="str">
        <f t="shared" si="159"/>
        <v>Seafood Ingestion</v>
      </c>
      <c r="AA89" s="1642">
        <f t="shared" si="179"/>
        <v>1.2999999999999999E-4</v>
      </c>
      <c r="AB89" s="1646" t="str">
        <f t="shared" si="160"/>
        <v>Seafood Ingestion</v>
      </c>
      <c r="AC89" s="1641">
        <f t="shared" si="180"/>
        <v>6.1101160085039437E-3</v>
      </c>
      <c r="AD89" s="1646" t="str">
        <f t="shared" si="161"/>
        <v>Tapwater Cancer</v>
      </c>
      <c r="AE89" s="1642">
        <f t="shared" si="181"/>
        <v>1.2999999999999999E-4</v>
      </c>
      <c r="AF89" s="1646" t="str">
        <f t="shared" si="162"/>
        <v>Seafood Ingestion</v>
      </c>
      <c r="AG89" s="1642">
        <f t="shared" si="182"/>
        <v>1.2999999999999999E-4</v>
      </c>
      <c r="AH89" s="1646" t="str">
        <f t="shared" si="163"/>
        <v>Seafood Ingestion</v>
      </c>
      <c r="AI89" s="1642">
        <f t="shared" si="183"/>
        <v>1.2999999999999999E-4</v>
      </c>
      <c r="AJ89" s="1646" t="str">
        <f t="shared" si="164"/>
        <v>Seafood Ingestion</v>
      </c>
      <c r="AK89" s="1641">
        <f t="shared" si="184"/>
        <v>6.1101160085039437E-3</v>
      </c>
      <c r="AL89" s="1646" t="str">
        <f t="shared" si="165"/>
        <v>Tapwater Cancer</v>
      </c>
      <c r="AM89" s="1641">
        <f t="shared" si="185"/>
        <v>1.2999999999999999E-4</v>
      </c>
      <c r="AN89" s="1646" t="str">
        <f t="shared" si="166"/>
        <v>Seafood Ingestion</v>
      </c>
      <c r="AO89" s="1643">
        <f t="shared" si="186"/>
        <v>1.2999999999999999E-4</v>
      </c>
      <c r="AP89" s="1646" t="str">
        <f t="shared" si="167"/>
        <v>Seafood Ingestion</v>
      </c>
      <c r="AQ89" s="1643">
        <f t="shared" si="187"/>
        <v>1.2999999999999999E-4</v>
      </c>
      <c r="AR89" s="1646" t="str">
        <f t="shared" si="168"/>
        <v>Seafood Ingestion</v>
      </c>
      <c r="AS89" s="1644">
        <f t="shared" si="188"/>
        <v>1.2450000000000001</v>
      </c>
      <c r="AT89" s="1891" t="str">
        <f t="shared" si="169"/>
        <v>Outdoor Odor</v>
      </c>
      <c r="AU89" s="1773">
        <f t="shared" si="193"/>
        <v>28.565529002717266</v>
      </c>
      <c r="AV89" s="1773">
        <f t="shared" si="194"/>
        <v>28.565529002717266</v>
      </c>
      <c r="AW89" s="1773">
        <f t="shared" si="195"/>
        <v>28.565529002717266</v>
      </c>
      <c r="AX89" s="1773">
        <f t="shared" si="196"/>
        <v>28.565529002717266</v>
      </c>
      <c r="AY89" s="1773">
        <f t="shared" si="197"/>
        <v>28.565529002717266</v>
      </c>
      <c r="AZ89" s="1773">
        <f t="shared" si="198"/>
        <v>28.565529002717266</v>
      </c>
      <c r="BA89" s="1773">
        <f t="shared" si="199"/>
        <v>28.565529002717266</v>
      </c>
      <c r="BB89" s="1773">
        <f t="shared" si="200"/>
        <v>28.565529002717266</v>
      </c>
      <c r="BC89" s="1773">
        <f t="shared" si="201"/>
        <v>28.565529002717266</v>
      </c>
      <c r="BD89" s="1773">
        <f t="shared" si="202"/>
        <v>28.565529002717266</v>
      </c>
      <c r="BE89" s="1773">
        <f t="shared" si="203"/>
        <v>28.565529002717266</v>
      </c>
      <c r="BF89" s="1947">
        <f t="shared" si="204"/>
        <v>395.15304108960783</v>
      </c>
    </row>
    <row r="90" spans="1:58">
      <c r="A90" s="184" t="s">
        <v>249</v>
      </c>
      <c r="B90" s="185" t="s">
        <v>250</v>
      </c>
      <c r="C90" s="388">
        <f>IF(G90="--","--",IF(I90="--", I90,IF(AND(G90*I90*0.001&lt;H90,E90&gt;30000),H90,G90*I90*0.001)))</f>
        <v>86.528017828712763</v>
      </c>
      <c r="D90" s="1779">
        <f t="shared" si="171"/>
        <v>86.528017828712763</v>
      </c>
      <c r="E90" s="1785">
        <f t="shared" si="189"/>
        <v>55450</v>
      </c>
      <c r="F90" s="271">
        <f t="shared" si="190"/>
        <v>8.8599999999999999E-6</v>
      </c>
      <c r="G90" s="271">
        <f t="shared" si="152"/>
        <v>9204.7549940200006</v>
      </c>
      <c r="H90" s="272">
        <f t="shared" si="153"/>
        <v>86.528017828712763</v>
      </c>
      <c r="I90" s="1162">
        <f t="shared" si="149"/>
        <v>8</v>
      </c>
      <c r="J90" s="1163">
        <f t="shared" si="172"/>
        <v>8</v>
      </c>
      <c r="K90" s="1164" t="str">
        <f t="shared" si="173"/>
        <v>SW EcoTox Goal</v>
      </c>
      <c r="L90" s="271">
        <f t="shared" si="191"/>
        <v>8.1</v>
      </c>
      <c r="M90" s="271">
        <f t="shared" si="150"/>
        <v>8</v>
      </c>
      <c r="N90" s="271">
        <f t="shared" si="192"/>
        <v>20</v>
      </c>
      <c r="O90" s="271">
        <f t="shared" si="154"/>
        <v>130</v>
      </c>
      <c r="P90" s="1773" t="str">
        <f t="shared" si="151"/>
        <v>--</v>
      </c>
      <c r="Q90" s="1777" t="str">
        <f t="shared" si="155"/>
        <v>--</v>
      </c>
      <c r="R90" s="1786" t="str">
        <f t="shared" si="174"/>
        <v>--</v>
      </c>
      <c r="S90" s="1786" t="str">
        <f t="shared" si="175"/>
        <v>--</v>
      </c>
      <c r="T90" s="1786">
        <f t="shared" si="176"/>
        <v>802.19780219780216</v>
      </c>
      <c r="U90" s="1786">
        <f t="shared" si="156"/>
        <v>802.19780219780216</v>
      </c>
      <c r="V90" s="1786" t="str">
        <f t="shared" si="157"/>
        <v>--</v>
      </c>
      <c r="W90" s="1890">
        <f t="shared" si="177"/>
        <v>8</v>
      </c>
      <c r="X90" s="1646" t="str">
        <f t="shared" si="158"/>
        <v>Saltwater EcoTox</v>
      </c>
      <c r="Y90" s="1642">
        <f t="shared" si="178"/>
        <v>8.1</v>
      </c>
      <c r="Z90" s="1646" t="str">
        <f t="shared" si="159"/>
        <v>FW EcoTox</v>
      </c>
      <c r="AA90" s="1642">
        <f t="shared" si="179"/>
        <v>8</v>
      </c>
      <c r="AB90" s="1646" t="str">
        <f t="shared" si="160"/>
        <v>Saltwater EcoTox</v>
      </c>
      <c r="AC90" s="1641">
        <f t="shared" si="180"/>
        <v>130</v>
      </c>
      <c r="AD90" s="1646" t="str">
        <f t="shared" si="161"/>
        <v>Outdoor Odor</v>
      </c>
      <c r="AE90" s="1642">
        <f t="shared" si="181"/>
        <v>8</v>
      </c>
      <c r="AF90" s="1646" t="str">
        <f t="shared" si="162"/>
        <v>Saltwater EcoTox</v>
      </c>
      <c r="AG90" s="1642">
        <f t="shared" si="182"/>
        <v>8.1</v>
      </c>
      <c r="AH90" s="1646" t="str">
        <f t="shared" si="163"/>
        <v>FW EcoTox</v>
      </c>
      <c r="AI90" s="1642">
        <f t="shared" si="183"/>
        <v>8</v>
      </c>
      <c r="AJ90" s="1646" t="str">
        <f t="shared" si="164"/>
        <v>Saltwater EcoTox</v>
      </c>
      <c r="AK90" s="1641">
        <f t="shared" si="184"/>
        <v>130</v>
      </c>
      <c r="AL90" s="1646" t="str">
        <f t="shared" si="165"/>
        <v>Outdoor Odor</v>
      </c>
      <c r="AM90" s="1641">
        <f t="shared" si="185"/>
        <v>8</v>
      </c>
      <c r="AN90" s="1646" t="str">
        <f t="shared" si="166"/>
        <v>Saltwater EcoTox</v>
      </c>
      <c r="AO90" s="1643">
        <f t="shared" si="186"/>
        <v>8.1</v>
      </c>
      <c r="AP90" s="1646" t="str">
        <f t="shared" si="167"/>
        <v>FW EcoTox</v>
      </c>
      <c r="AQ90" s="1643">
        <f t="shared" si="187"/>
        <v>8</v>
      </c>
      <c r="AR90" s="1646" t="str">
        <f t="shared" si="168"/>
        <v>Saltwater EcoTox</v>
      </c>
      <c r="AS90" s="1644">
        <f t="shared" si="188"/>
        <v>130</v>
      </c>
      <c r="AT90" s="1891" t="str">
        <f t="shared" si="169"/>
        <v>Outdoor Odor</v>
      </c>
      <c r="AU90" s="1773">
        <f t="shared" si="193"/>
        <v>86.528017828712763</v>
      </c>
      <c r="AV90" s="1773">
        <f t="shared" si="194"/>
        <v>86.528017828712763</v>
      </c>
      <c r="AW90" s="1773">
        <f t="shared" si="195"/>
        <v>86.528017828712763</v>
      </c>
      <c r="AX90" s="1773">
        <f t="shared" si="196"/>
        <v>1196.6181492226001</v>
      </c>
      <c r="AY90" s="1773">
        <f t="shared" si="197"/>
        <v>86.528017828712763</v>
      </c>
      <c r="AZ90" s="1773">
        <f t="shared" si="198"/>
        <v>86.528017828712763</v>
      </c>
      <c r="BA90" s="1773">
        <f t="shared" si="199"/>
        <v>86.528017828712763</v>
      </c>
      <c r="BB90" s="1773">
        <f t="shared" si="200"/>
        <v>1196.6181492226001</v>
      </c>
      <c r="BC90" s="1773">
        <f t="shared" si="201"/>
        <v>86.528017828712763</v>
      </c>
      <c r="BD90" s="1773">
        <f t="shared" si="202"/>
        <v>86.528017828712763</v>
      </c>
      <c r="BE90" s="1773">
        <f t="shared" si="203"/>
        <v>86.528017828712763</v>
      </c>
      <c r="BF90" s="1947">
        <f t="shared" si="204"/>
        <v>1196.6181492226001</v>
      </c>
    </row>
    <row r="91" spans="1:58">
      <c r="A91" s="184" t="s">
        <v>251</v>
      </c>
      <c r="B91" s="185" t="s">
        <v>252</v>
      </c>
      <c r="C91" s="388">
        <f t="shared" si="170"/>
        <v>5.9325127422600001</v>
      </c>
      <c r="D91" s="1779">
        <f t="shared" si="171"/>
        <v>5.9325127422600001</v>
      </c>
      <c r="E91" s="1785">
        <f t="shared" si="189"/>
        <v>9160</v>
      </c>
      <c r="F91" s="271">
        <f t="shared" si="190"/>
        <v>9.6199999999999994E-5</v>
      </c>
      <c r="G91" s="271">
        <f t="shared" si="152"/>
        <v>1521.1571134000001</v>
      </c>
      <c r="H91" s="272">
        <f t="shared" si="153"/>
        <v>93.052658272471547</v>
      </c>
      <c r="I91" s="1162">
        <f t="shared" si="149"/>
        <v>3.9</v>
      </c>
      <c r="J91" s="1163">
        <f t="shared" si="172"/>
        <v>3.9</v>
      </c>
      <c r="K91" s="1164" t="str">
        <f t="shared" si="173"/>
        <v>FW EcoTox Goal</v>
      </c>
      <c r="L91" s="271">
        <f t="shared" si="191"/>
        <v>3.9</v>
      </c>
      <c r="M91" s="271">
        <f t="shared" si="150"/>
        <v>15</v>
      </c>
      <c r="N91" s="271">
        <f t="shared" si="192"/>
        <v>70</v>
      </c>
      <c r="O91" s="271">
        <f t="shared" si="154"/>
        <v>845</v>
      </c>
      <c r="P91" s="1773" t="str">
        <f t="shared" si="151"/>
        <v>--</v>
      </c>
      <c r="Q91" s="1777" t="str">
        <f t="shared" si="155"/>
        <v>--</v>
      </c>
      <c r="R91" s="1786" t="str">
        <f t="shared" si="174"/>
        <v>--</v>
      </c>
      <c r="S91" s="1786" t="str">
        <f t="shared" si="175"/>
        <v>--</v>
      </c>
      <c r="T91" s="1786">
        <f t="shared" si="176"/>
        <v>294.22348082483762</v>
      </c>
      <c r="U91" s="1786">
        <f t="shared" si="156"/>
        <v>294.22348082483762</v>
      </c>
      <c r="V91" s="1786" t="str">
        <f t="shared" si="157"/>
        <v>--</v>
      </c>
      <c r="W91" s="1890">
        <f t="shared" si="177"/>
        <v>15</v>
      </c>
      <c r="X91" s="1646" t="str">
        <f t="shared" si="158"/>
        <v>Saltwater EcoTox</v>
      </c>
      <c r="Y91" s="1642">
        <f t="shared" si="178"/>
        <v>3.9</v>
      </c>
      <c r="Z91" s="1646" t="str">
        <f t="shared" si="159"/>
        <v>FW EcoTox</v>
      </c>
      <c r="AA91" s="1642">
        <f t="shared" si="179"/>
        <v>3.9</v>
      </c>
      <c r="AB91" s="1646" t="str">
        <f t="shared" si="160"/>
        <v>FW EcoTox</v>
      </c>
      <c r="AC91" s="1641">
        <f t="shared" si="180"/>
        <v>294.22348082483762</v>
      </c>
      <c r="AD91" s="1646" t="str">
        <f t="shared" si="161"/>
        <v>Tapwater Noncancer</v>
      </c>
      <c r="AE91" s="1642">
        <f t="shared" si="181"/>
        <v>15</v>
      </c>
      <c r="AF91" s="1646" t="str">
        <f t="shared" si="162"/>
        <v>Saltwater EcoTox</v>
      </c>
      <c r="AG91" s="1642">
        <f t="shared" si="182"/>
        <v>3.9</v>
      </c>
      <c r="AH91" s="1646" t="str">
        <f t="shared" si="163"/>
        <v>FW EcoTox</v>
      </c>
      <c r="AI91" s="1642">
        <f t="shared" si="183"/>
        <v>3.9</v>
      </c>
      <c r="AJ91" s="1646" t="str">
        <f t="shared" si="164"/>
        <v>FW EcoTox</v>
      </c>
      <c r="AK91" s="1641">
        <f t="shared" si="184"/>
        <v>294.22348082483762</v>
      </c>
      <c r="AL91" s="1646" t="str">
        <f t="shared" si="165"/>
        <v>Tapwater Noncancer</v>
      </c>
      <c r="AM91" s="1641">
        <f t="shared" si="185"/>
        <v>15</v>
      </c>
      <c r="AN91" s="1646" t="str">
        <f t="shared" si="166"/>
        <v>Saltwater EcoTox</v>
      </c>
      <c r="AO91" s="1643">
        <f t="shared" si="186"/>
        <v>3.9</v>
      </c>
      <c r="AP91" s="1646" t="str">
        <f t="shared" si="167"/>
        <v>FW EcoTox</v>
      </c>
      <c r="AQ91" s="1643">
        <f t="shared" si="187"/>
        <v>3.9</v>
      </c>
      <c r="AR91" s="1646" t="str">
        <f t="shared" si="168"/>
        <v>FW EcoTox</v>
      </c>
      <c r="AS91" s="1644">
        <f t="shared" si="188"/>
        <v>845</v>
      </c>
      <c r="AT91" s="1891" t="str">
        <f t="shared" si="169"/>
        <v>Outdoor Odor</v>
      </c>
      <c r="AU91" s="1773">
        <f t="shared" si="193"/>
        <v>22.817356701000001</v>
      </c>
      <c r="AV91" s="1773">
        <f t="shared" si="194"/>
        <v>5.9325127422600001</v>
      </c>
      <c r="AW91" s="1773">
        <f t="shared" si="195"/>
        <v>5.9325127422600001</v>
      </c>
      <c r="AX91" s="1773">
        <f t="shared" si="196"/>
        <v>447.56014078601027</v>
      </c>
      <c r="AY91" s="1773">
        <f t="shared" si="197"/>
        <v>22.817356701000001</v>
      </c>
      <c r="AZ91" s="1773">
        <f t="shared" si="198"/>
        <v>5.9325127422600001</v>
      </c>
      <c r="BA91" s="1773">
        <f t="shared" si="199"/>
        <v>5.9325127422600001</v>
      </c>
      <c r="BB91" s="1773">
        <f t="shared" si="200"/>
        <v>447.56014078601027</v>
      </c>
      <c r="BC91" s="1773">
        <f t="shared" si="201"/>
        <v>22.817356701000001</v>
      </c>
      <c r="BD91" s="1773">
        <f t="shared" si="202"/>
        <v>5.9325127422600001</v>
      </c>
      <c r="BE91" s="1773">
        <f t="shared" si="203"/>
        <v>5.9325127422600001</v>
      </c>
      <c r="BF91" s="1947">
        <f t="shared" si="204"/>
        <v>1285.377760823</v>
      </c>
    </row>
    <row r="92" spans="1:58">
      <c r="A92" s="184" t="s">
        <v>253</v>
      </c>
      <c r="B92" s="185" t="s">
        <v>254</v>
      </c>
      <c r="C92" s="388">
        <f t="shared" si="170"/>
        <v>2.2241590005117358</v>
      </c>
      <c r="D92" s="1779">
        <f t="shared" si="171"/>
        <v>2.2241590005117358</v>
      </c>
      <c r="E92" s="1785">
        <f t="shared" si="189"/>
        <v>1951000</v>
      </c>
      <c r="F92" s="271">
        <f t="shared" si="190"/>
        <v>3.4799999999999999E-7</v>
      </c>
      <c r="G92" s="271">
        <f t="shared" si="152"/>
        <v>323866.00216003601</v>
      </c>
      <c r="H92" s="272">
        <f t="shared" si="153"/>
        <v>2.2241590005117358</v>
      </c>
      <c r="I92" s="1162">
        <f t="shared" si="149"/>
        <v>1.2999999999999999E-3</v>
      </c>
      <c r="J92" s="1163">
        <f t="shared" si="172"/>
        <v>1.2999999999999999E-3</v>
      </c>
      <c r="K92" s="1164" t="str">
        <f t="shared" si="173"/>
        <v>Seafood Consumption</v>
      </c>
      <c r="L92" s="271" t="str">
        <f t="shared" si="191"/>
        <v>--</v>
      </c>
      <c r="M92" s="271">
        <f t="shared" si="150"/>
        <v>15</v>
      </c>
      <c r="N92" s="271">
        <f t="shared" si="192"/>
        <v>1.2999999999999999E-3</v>
      </c>
      <c r="O92" s="271">
        <f t="shared" si="154"/>
        <v>9.5000000000000001E-2</v>
      </c>
      <c r="P92" s="1773" t="str">
        <f t="shared" si="151"/>
        <v>--</v>
      </c>
      <c r="Q92" s="1777" t="str">
        <f t="shared" si="155"/>
        <v>--</v>
      </c>
      <c r="R92" s="1786" t="str">
        <f t="shared" si="174"/>
        <v>--</v>
      </c>
      <c r="S92" s="1786">
        <f t="shared" si="175"/>
        <v>0.2505147563486616</v>
      </c>
      <c r="T92" s="1786" t="str">
        <f t="shared" si="176"/>
        <v>--</v>
      </c>
      <c r="U92" s="1786">
        <f t="shared" si="156"/>
        <v>0.2505147563486616</v>
      </c>
      <c r="V92" s="1786" t="str">
        <f t="shared" si="157"/>
        <v>--</v>
      </c>
      <c r="W92" s="1890">
        <f t="shared" si="177"/>
        <v>1.2999999999999999E-3</v>
      </c>
      <c r="X92" s="1646" t="str">
        <f t="shared" si="158"/>
        <v>Seafood Ingestion</v>
      </c>
      <c r="Y92" s="1642">
        <f t="shared" si="178"/>
        <v>1.2999999999999999E-3</v>
      </c>
      <c r="Z92" s="1646" t="str">
        <f t="shared" si="159"/>
        <v>Seafood Ingestion</v>
      </c>
      <c r="AA92" s="1642">
        <f t="shared" si="179"/>
        <v>1.2999999999999999E-3</v>
      </c>
      <c r="AB92" s="1646" t="str">
        <f t="shared" si="160"/>
        <v>Seafood Ingestion</v>
      </c>
      <c r="AC92" s="1641">
        <f t="shared" si="180"/>
        <v>9.5000000000000001E-2</v>
      </c>
      <c r="AD92" s="1646" t="str">
        <f t="shared" si="161"/>
        <v>Outdoor Odor</v>
      </c>
      <c r="AE92" s="1642">
        <f t="shared" si="181"/>
        <v>1.2999999999999999E-3</v>
      </c>
      <c r="AF92" s="1646" t="str">
        <f t="shared" si="162"/>
        <v>Seafood Ingestion</v>
      </c>
      <c r="AG92" s="1642">
        <f t="shared" si="182"/>
        <v>1.2999999999999999E-3</v>
      </c>
      <c r="AH92" s="1646" t="str">
        <f t="shared" si="163"/>
        <v>Seafood Ingestion</v>
      </c>
      <c r="AI92" s="1642">
        <f t="shared" si="183"/>
        <v>1.2999999999999999E-3</v>
      </c>
      <c r="AJ92" s="1646" t="str">
        <f t="shared" si="164"/>
        <v>Seafood Ingestion</v>
      </c>
      <c r="AK92" s="1641">
        <f t="shared" si="184"/>
        <v>9.5000000000000001E-2</v>
      </c>
      <c r="AL92" s="1646" t="str">
        <f t="shared" si="165"/>
        <v>Outdoor Odor</v>
      </c>
      <c r="AM92" s="1641">
        <f t="shared" si="185"/>
        <v>1.2999999999999999E-3</v>
      </c>
      <c r="AN92" s="1646" t="str">
        <f t="shared" si="166"/>
        <v>Seafood Ingestion</v>
      </c>
      <c r="AO92" s="1643">
        <f t="shared" si="186"/>
        <v>1.2999999999999999E-3</v>
      </c>
      <c r="AP92" s="1646" t="str">
        <f t="shared" si="167"/>
        <v>Seafood Ingestion</v>
      </c>
      <c r="AQ92" s="1643">
        <f t="shared" si="187"/>
        <v>1.2999999999999999E-3</v>
      </c>
      <c r="AR92" s="1646" t="str">
        <f t="shared" si="168"/>
        <v>Seafood Ingestion</v>
      </c>
      <c r="AS92" s="1644">
        <f t="shared" si="188"/>
        <v>9.5000000000000001E-2</v>
      </c>
      <c r="AT92" s="1891" t="str">
        <f t="shared" si="169"/>
        <v>Outdoor Odor</v>
      </c>
      <c r="AU92" s="1773">
        <f t="shared" si="193"/>
        <v>2.2241590005117358</v>
      </c>
      <c r="AV92" s="1773">
        <f t="shared" si="194"/>
        <v>2.2241590005117358</v>
      </c>
      <c r="AW92" s="1773">
        <f t="shared" si="195"/>
        <v>2.2241590005117358</v>
      </c>
      <c r="AX92" s="1773">
        <f t="shared" si="196"/>
        <v>30.767270205203424</v>
      </c>
      <c r="AY92" s="1773">
        <f t="shared" si="197"/>
        <v>2.2241590005117358</v>
      </c>
      <c r="AZ92" s="1773">
        <f t="shared" si="198"/>
        <v>2.2241590005117358</v>
      </c>
      <c r="BA92" s="1773">
        <f t="shared" si="199"/>
        <v>2.2241590005117358</v>
      </c>
      <c r="BB92" s="1773">
        <f t="shared" si="200"/>
        <v>30.767270205203424</v>
      </c>
      <c r="BC92" s="1773">
        <f t="shared" si="201"/>
        <v>2.2241590005117358</v>
      </c>
      <c r="BD92" s="1773">
        <f t="shared" si="202"/>
        <v>2.2241590005117358</v>
      </c>
      <c r="BE92" s="1773">
        <f t="shared" si="203"/>
        <v>2.2241590005117358</v>
      </c>
      <c r="BF92" s="1947">
        <f t="shared" si="204"/>
        <v>30.767270205203424</v>
      </c>
    </row>
    <row r="93" spans="1:58">
      <c r="A93" s="184" t="s">
        <v>255</v>
      </c>
      <c r="B93" s="185" t="s">
        <v>256</v>
      </c>
      <c r="C93" s="388">
        <f t="shared" si="170"/>
        <v>3.0284029718167856E-2</v>
      </c>
      <c r="D93" s="1779">
        <f t="shared" si="171"/>
        <v>1.1891399067932351</v>
      </c>
      <c r="E93" s="1785">
        <f t="shared" si="189"/>
        <v>1544</v>
      </c>
      <c r="F93" s="271">
        <f t="shared" si="190"/>
        <v>4.4000000000000002E-4</v>
      </c>
      <c r="G93" s="271">
        <f t="shared" si="152"/>
        <v>259.03508000000005</v>
      </c>
      <c r="H93" s="272">
        <f t="shared" si="153"/>
        <v>290.38956678340202</v>
      </c>
      <c r="I93" s="1162">
        <f t="shared" si="149"/>
        <v>0.11691092078404149</v>
      </c>
      <c r="J93" s="1163">
        <f t="shared" si="172"/>
        <v>4.5906519950627338</v>
      </c>
      <c r="K93" s="1164" t="str">
        <f t="shared" si="173"/>
        <v>GW VI</v>
      </c>
      <c r="L93" s="271">
        <f t="shared" si="191"/>
        <v>24</v>
      </c>
      <c r="M93" s="271">
        <f t="shared" si="150"/>
        <v>15</v>
      </c>
      <c r="N93" s="271" t="str">
        <f t="shared" si="192"/>
        <v>--</v>
      </c>
      <c r="O93" s="271">
        <f t="shared" si="154"/>
        <v>15500</v>
      </c>
      <c r="P93" s="1773">
        <f t="shared" si="151"/>
        <v>4.5906519950627338</v>
      </c>
      <c r="Q93" s="1777">
        <f t="shared" si="155"/>
        <v>210</v>
      </c>
      <c r="R93" s="1786" t="str">
        <f t="shared" si="174"/>
        <v>--</v>
      </c>
      <c r="S93" s="1786">
        <f t="shared" si="175"/>
        <v>0.11691092078404149</v>
      </c>
      <c r="T93" s="1786">
        <f t="shared" si="176"/>
        <v>6.1073400028997504</v>
      </c>
      <c r="U93" s="1786">
        <f t="shared" si="156"/>
        <v>0.11691092078404149</v>
      </c>
      <c r="V93" s="1786">
        <f t="shared" si="157"/>
        <v>21</v>
      </c>
      <c r="W93" s="1890">
        <f t="shared" si="177"/>
        <v>0.11691092078404149</v>
      </c>
      <c r="X93" s="1646" t="str">
        <f t="shared" si="158"/>
        <v>Tapwater Cancer</v>
      </c>
      <c r="Y93" s="1642">
        <f t="shared" si="178"/>
        <v>0.11691092078404149</v>
      </c>
      <c r="Z93" s="1646" t="str">
        <f t="shared" si="159"/>
        <v>Tapwater Cancer</v>
      </c>
      <c r="AA93" s="1642">
        <f t="shared" si="179"/>
        <v>0.11691092078404149</v>
      </c>
      <c r="AB93" s="1646" t="str">
        <f t="shared" si="160"/>
        <v>Tapwater Cancer</v>
      </c>
      <c r="AC93" s="1641">
        <f t="shared" si="180"/>
        <v>0.11691092078404149</v>
      </c>
      <c r="AD93" s="1646" t="str">
        <f t="shared" si="161"/>
        <v>Tapwater Cancer</v>
      </c>
      <c r="AE93" s="1642">
        <f t="shared" si="181"/>
        <v>0.11691092078404149</v>
      </c>
      <c r="AF93" s="1646" t="str">
        <f t="shared" si="162"/>
        <v>Tapwater Cancer</v>
      </c>
      <c r="AG93" s="1642">
        <f t="shared" si="182"/>
        <v>0.11691092078404149</v>
      </c>
      <c r="AH93" s="1646" t="str">
        <f t="shared" si="163"/>
        <v>Tapwater Cancer</v>
      </c>
      <c r="AI93" s="1642">
        <f t="shared" si="183"/>
        <v>0.11691092078404149</v>
      </c>
      <c r="AJ93" s="1646" t="str">
        <f t="shared" si="164"/>
        <v>Tapwater Cancer</v>
      </c>
      <c r="AK93" s="1641">
        <f t="shared" si="184"/>
        <v>0.11691092078404149</v>
      </c>
      <c r="AL93" s="1646" t="str">
        <f t="shared" si="165"/>
        <v>Tapwater Cancer</v>
      </c>
      <c r="AM93" s="1641">
        <f t="shared" si="185"/>
        <v>4.5906519950627338</v>
      </c>
      <c r="AN93" s="1646" t="str">
        <f t="shared" si="166"/>
        <v>VI</v>
      </c>
      <c r="AO93" s="1643">
        <f t="shared" si="186"/>
        <v>4.5906519950627338</v>
      </c>
      <c r="AP93" s="1646" t="str">
        <f t="shared" si="167"/>
        <v>VI</v>
      </c>
      <c r="AQ93" s="1643">
        <f t="shared" si="187"/>
        <v>4.5906519950627338</v>
      </c>
      <c r="AR93" s="1646" t="str">
        <f t="shared" si="168"/>
        <v>VI</v>
      </c>
      <c r="AS93" s="1644">
        <f t="shared" si="188"/>
        <v>4.5906519950627338</v>
      </c>
      <c r="AT93" s="1891" t="str">
        <f t="shared" si="169"/>
        <v>VI</v>
      </c>
      <c r="AU93" s="1773">
        <f t="shared" si="193"/>
        <v>3.0284029718167856E-2</v>
      </c>
      <c r="AV93" s="1773">
        <f t="shared" si="194"/>
        <v>3.0284029718167856E-2</v>
      </c>
      <c r="AW93" s="1773">
        <f t="shared" si="195"/>
        <v>3.0284029718167856E-2</v>
      </c>
      <c r="AX93" s="1773">
        <f t="shared" si="196"/>
        <v>3.0284029718167856E-2</v>
      </c>
      <c r="AY93" s="1773">
        <f t="shared" si="197"/>
        <v>3.0284029718167856E-2</v>
      </c>
      <c r="AZ93" s="1773">
        <f t="shared" si="198"/>
        <v>3.0284029718167856E-2</v>
      </c>
      <c r="BA93" s="1773">
        <f t="shared" si="199"/>
        <v>3.0284029718167856E-2</v>
      </c>
      <c r="BB93" s="1773">
        <f t="shared" si="200"/>
        <v>3.0284029718167856E-2</v>
      </c>
      <c r="BC93" s="1773">
        <f t="shared" si="201"/>
        <v>1.1891399067932351</v>
      </c>
      <c r="BD93" s="1773">
        <f t="shared" si="202"/>
        <v>1.1891399067932351</v>
      </c>
      <c r="BE93" s="1773">
        <f t="shared" si="203"/>
        <v>1.1891399067932351</v>
      </c>
      <c r="BF93" s="1947">
        <f t="shared" si="204"/>
        <v>1.1891399067932351</v>
      </c>
    </row>
    <row r="94" spans="1:58">
      <c r="A94" s="184" t="s">
        <v>257</v>
      </c>
      <c r="B94" s="185" t="s">
        <v>258</v>
      </c>
      <c r="C94" s="388">
        <f t="shared" si="170"/>
        <v>44.028912433507159</v>
      </c>
      <c r="D94" s="1779">
        <f t="shared" si="171"/>
        <v>44.028912433507159</v>
      </c>
      <c r="E94" s="1785">
        <f t="shared" si="189"/>
        <v>54340</v>
      </c>
      <c r="F94" s="271">
        <f t="shared" si="190"/>
        <v>1.19E-5</v>
      </c>
      <c r="G94" s="271">
        <f t="shared" si="152"/>
        <v>9020.5138633000006</v>
      </c>
      <c r="H94" s="272">
        <f t="shared" si="153"/>
        <v>44.028912433507159</v>
      </c>
      <c r="I94" s="1162">
        <f t="shared" si="149"/>
        <v>2</v>
      </c>
      <c r="J94" s="1163">
        <f t="shared" si="172"/>
        <v>2</v>
      </c>
      <c r="K94" s="1164" t="str">
        <f t="shared" si="173"/>
        <v>FW EcoTox Goal</v>
      </c>
      <c r="L94" s="271">
        <f t="shared" si="191"/>
        <v>2</v>
      </c>
      <c r="M94" s="271">
        <f t="shared" si="150"/>
        <v>15</v>
      </c>
      <c r="N94" s="271">
        <f t="shared" si="192"/>
        <v>30</v>
      </c>
      <c r="O94" s="271">
        <f t="shared" si="154"/>
        <v>67.5</v>
      </c>
      <c r="P94" s="1773" t="str">
        <f t="shared" si="151"/>
        <v>--</v>
      </c>
      <c r="Q94" s="1777" t="str">
        <f t="shared" si="155"/>
        <v>--</v>
      </c>
      <c r="R94" s="1786" t="str">
        <f t="shared" si="174"/>
        <v>--</v>
      </c>
      <c r="S94" s="1786" t="str">
        <f t="shared" si="175"/>
        <v>--</v>
      </c>
      <c r="T94" s="1786">
        <f t="shared" si="176"/>
        <v>120.81364904085669</v>
      </c>
      <c r="U94" s="1786">
        <f t="shared" si="156"/>
        <v>120.81364904085669</v>
      </c>
      <c r="V94" s="1786" t="str">
        <f t="shared" si="157"/>
        <v>--</v>
      </c>
      <c r="W94" s="1890">
        <f t="shared" si="177"/>
        <v>15</v>
      </c>
      <c r="X94" s="1646" t="str">
        <f t="shared" si="158"/>
        <v>Saltwater EcoTox</v>
      </c>
      <c r="Y94" s="1642">
        <f t="shared" si="178"/>
        <v>2</v>
      </c>
      <c r="Z94" s="1646" t="str">
        <f t="shared" si="159"/>
        <v>FW EcoTox</v>
      </c>
      <c r="AA94" s="1642">
        <f t="shared" si="179"/>
        <v>2</v>
      </c>
      <c r="AB94" s="1646" t="str">
        <f t="shared" si="160"/>
        <v>FW EcoTox</v>
      </c>
      <c r="AC94" s="1641">
        <f t="shared" si="180"/>
        <v>67.5</v>
      </c>
      <c r="AD94" s="1646" t="str">
        <f t="shared" si="161"/>
        <v>Outdoor Odor</v>
      </c>
      <c r="AE94" s="1642">
        <f t="shared" si="181"/>
        <v>15</v>
      </c>
      <c r="AF94" s="1646" t="str">
        <f t="shared" si="162"/>
        <v>Saltwater EcoTox</v>
      </c>
      <c r="AG94" s="1642">
        <f t="shared" si="182"/>
        <v>2</v>
      </c>
      <c r="AH94" s="1646" t="str">
        <f t="shared" si="163"/>
        <v>FW EcoTox</v>
      </c>
      <c r="AI94" s="1642">
        <f t="shared" si="183"/>
        <v>2</v>
      </c>
      <c r="AJ94" s="1646" t="str">
        <f t="shared" si="164"/>
        <v>FW EcoTox</v>
      </c>
      <c r="AK94" s="1641">
        <f t="shared" si="184"/>
        <v>67.5</v>
      </c>
      <c r="AL94" s="1646" t="str">
        <f t="shared" si="165"/>
        <v>Outdoor Odor</v>
      </c>
      <c r="AM94" s="1641">
        <f t="shared" si="185"/>
        <v>15</v>
      </c>
      <c r="AN94" s="1646" t="str">
        <f t="shared" si="166"/>
        <v>Saltwater EcoTox</v>
      </c>
      <c r="AO94" s="1643">
        <f t="shared" si="186"/>
        <v>2</v>
      </c>
      <c r="AP94" s="1646" t="str">
        <f t="shared" si="167"/>
        <v>FW EcoTox</v>
      </c>
      <c r="AQ94" s="1643">
        <f t="shared" si="187"/>
        <v>2</v>
      </c>
      <c r="AR94" s="1646" t="str">
        <f t="shared" si="168"/>
        <v>FW EcoTox</v>
      </c>
      <c r="AS94" s="1644">
        <f t="shared" si="188"/>
        <v>67.5</v>
      </c>
      <c r="AT94" s="1891" t="str">
        <f t="shared" si="169"/>
        <v>Outdoor Odor</v>
      </c>
      <c r="AU94" s="1773">
        <f t="shared" si="193"/>
        <v>135.30770794950001</v>
      </c>
      <c r="AV94" s="1773">
        <f t="shared" si="194"/>
        <v>44.028912433507159</v>
      </c>
      <c r="AW94" s="1773">
        <f t="shared" si="195"/>
        <v>44.028912433507159</v>
      </c>
      <c r="AX94" s="1773">
        <f t="shared" si="196"/>
        <v>608.88468577275012</v>
      </c>
      <c r="AY94" s="1773">
        <f t="shared" si="197"/>
        <v>135.30770794950001</v>
      </c>
      <c r="AZ94" s="1773">
        <f t="shared" si="198"/>
        <v>44.028912433507159</v>
      </c>
      <c r="BA94" s="1773">
        <f t="shared" si="199"/>
        <v>44.028912433507159</v>
      </c>
      <c r="BB94" s="1773">
        <f t="shared" si="200"/>
        <v>608.88468577275012</v>
      </c>
      <c r="BC94" s="1773">
        <f t="shared" si="201"/>
        <v>135.30770794950001</v>
      </c>
      <c r="BD94" s="1773">
        <f t="shared" si="202"/>
        <v>44.028912433507159</v>
      </c>
      <c r="BE94" s="1773">
        <f t="shared" si="203"/>
        <v>44.028912433507159</v>
      </c>
      <c r="BF94" s="1947">
        <f t="shared" si="204"/>
        <v>608.88468577275012</v>
      </c>
    </row>
    <row r="95" spans="1:58">
      <c r="A95" s="184" t="s">
        <v>259</v>
      </c>
      <c r="B95" s="185" t="s">
        <v>260</v>
      </c>
      <c r="C95" s="388">
        <f t="shared" si="170"/>
        <v>3.9308860828600007E-3</v>
      </c>
      <c r="D95" s="1779">
        <f t="shared" si="171"/>
        <v>3.9308860828600007E-3</v>
      </c>
      <c r="E95" s="1785">
        <f t="shared" si="189"/>
        <v>592</v>
      </c>
      <c r="F95" s="271">
        <f t="shared" si="190"/>
        <v>2.4500000000000001E-8</v>
      </c>
      <c r="G95" s="271">
        <f t="shared" si="152"/>
        <v>98.272152071500003</v>
      </c>
      <c r="H95" s="272">
        <f t="shared" si="153"/>
        <v>51.128002654648597</v>
      </c>
      <c r="I95" s="1162">
        <f t="shared" si="149"/>
        <v>0.04</v>
      </c>
      <c r="J95" s="1163">
        <f t="shared" si="172"/>
        <v>0.04</v>
      </c>
      <c r="K95" s="1164" t="str">
        <f t="shared" si="173"/>
        <v>Seafood Consumption</v>
      </c>
      <c r="L95" s="271">
        <f t="shared" si="191"/>
        <v>15</v>
      </c>
      <c r="M95" s="271">
        <f t="shared" si="150"/>
        <v>1</v>
      </c>
      <c r="N95" s="271">
        <f t="shared" si="192"/>
        <v>0.04</v>
      </c>
      <c r="O95" s="271">
        <f t="shared" si="154"/>
        <v>7000</v>
      </c>
      <c r="P95" s="1773" t="str">
        <f t="shared" si="151"/>
        <v>--</v>
      </c>
      <c r="Q95" s="1777">
        <f t="shared" si="155"/>
        <v>5900</v>
      </c>
      <c r="R95" s="1786">
        <f t="shared" si="174"/>
        <v>1</v>
      </c>
      <c r="S95" s="1786">
        <f t="shared" si="175"/>
        <v>4.1269593980201587E-2</v>
      </c>
      <c r="T95" s="1786">
        <f t="shared" si="176"/>
        <v>22.681421475775775</v>
      </c>
      <c r="U95" s="1786">
        <f t="shared" si="156"/>
        <v>1</v>
      </c>
      <c r="V95" s="1786">
        <f t="shared" si="157"/>
        <v>30</v>
      </c>
      <c r="W95" s="1890">
        <f t="shared" si="177"/>
        <v>0.04</v>
      </c>
      <c r="X95" s="1646" t="str">
        <f t="shared" si="158"/>
        <v>Seafood Ingestion</v>
      </c>
      <c r="Y95" s="1642">
        <f t="shared" si="178"/>
        <v>0.04</v>
      </c>
      <c r="Z95" s="1646" t="str">
        <f t="shared" si="159"/>
        <v>Seafood Ingestion</v>
      </c>
      <c r="AA95" s="1642">
        <f t="shared" si="179"/>
        <v>0.04</v>
      </c>
      <c r="AB95" s="1646" t="str">
        <f t="shared" si="160"/>
        <v>Seafood Ingestion</v>
      </c>
      <c r="AC95" s="1641">
        <f t="shared" si="180"/>
        <v>1</v>
      </c>
      <c r="AD95" s="1646" t="str">
        <f t="shared" si="161"/>
        <v>MCL</v>
      </c>
      <c r="AE95" s="1642">
        <f t="shared" si="181"/>
        <v>0.04</v>
      </c>
      <c r="AF95" s="1646" t="str">
        <f t="shared" si="162"/>
        <v>Seafood Ingestion</v>
      </c>
      <c r="AG95" s="1642">
        <f t="shared" si="182"/>
        <v>0.04</v>
      </c>
      <c r="AH95" s="1646" t="str">
        <f t="shared" si="163"/>
        <v>Seafood Ingestion</v>
      </c>
      <c r="AI95" s="1642">
        <f t="shared" si="183"/>
        <v>0.04</v>
      </c>
      <c r="AJ95" s="1646" t="str">
        <f t="shared" si="164"/>
        <v>Seafood Ingestion</v>
      </c>
      <c r="AK95" s="1641">
        <f t="shared" si="184"/>
        <v>4.1269593980201587E-2</v>
      </c>
      <c r="AL95" s="1646" t="str">
        <f t="shared" si="165"/>
        <v>Tapwater Cancer</v>
      </c>
      <c r="AM95" s="1641">
        <f t="shared" si="185"/>
        <v>0.04</v>
      </c>
      <c r="AN95" s="1646" t="str">
        <f t="shared" si="166"/>
        <v>Seafood Ingestion</v>
      </c>
      <c r="AO95" s="1643">
        <f t="shared" si="186"/>
        <v>0.04</v>
      </c>
      <c r="AP95" s="1646" t="str">
        <f t="shared" si="167"/>
        <v>Seafood Ingestion</v>
      </c>
      <c r="AQ95" s="1643">
        <f t="shared" si="187"/>
        <v>0.04</v>
      </c>
      <c r="AR95" s="1646" t="str">
        <f t="shared" si="168"/>
        <v>Seafood Ingestion</v>
      </c>
      <c r="AS95" s="1644">
        <f t="shared" si="188"/>
        <v>5900</v>
      </c>
      <c r="AT95" s="1891" t="str">
        <f t="shared" si="169"/>
        <v>Outdoor Odor</v>
      </c>
      <c r="AU95" s="1773">
        <f t="shared" si="193"/>
        <v>3.9308860828600007E-3</v>
      </c>
      <c r="AV95" s="1773">
        <f t="shared" si="194"/>
        <v>3.9308860828600007E-3</v>
      </c>
      <c r="AW95" s="1773">
        <f t="shared" si="195"/>
        <v>3.9308860828600007E-3</v>
      </c>
      <c r="AX95" s="1773">
        <f t="shared" si="196"/>
        <v>9.8272152071500002E-2</v>
      </c>
      <c r="AY95" s="1773">
        <f t="shared" si="197"/>
        <v>3.9308860828600007E-3</v>
      </c>
      <c r="AZ95" s="1773">
        <f t="shared" si="198"/>
        <v>3.9308860828600007E-3</v>
      </c>
      <c r="BA95" s="1773">
        <f t="shared" si="199"/>
        <v>3.9308860828600007E-3</v>
      </c>
      <c r="BB95" s="1773">
        <f t="shared" si="200"/>
        <v>4.0556518155514323E-3</v>
      </c>
      <c r="BC95" s="1773">
        <f t="shared" si="201"/>
        <v>3.9308860828600007E-3</v>
      </c>
      <c r="BD95" s="1773">
        <f t="shared" si="202"/>
        <v>3.9308860828600007E-3</v>
      </c>
      <c r="BE95" s="1773">
        <f t="shared" si="203"/>
        <v>3.9308860828600007E-3</v>
      </c>
      <c r="BF95" s="1947">
        <f t="shared" si="204"/>
        <v>579.8056972218501</v>
      </c>
    </row>
    <row r="96" spans="1:58">
      <c r="A96" s="1316" t="s">
        <v>261</v>
      </c>
      <c r="B96" s="346" t="s">
        <v>1261</v>
      </c>
      <c r="C96" s="358">
        <f>I96*0.001*(Pw/Ds)*$G$96</f>
        <v>1.2000000000000004E-2</v>
      </c>
      <c r="D96" s="1774">
        <f>J96*0.001*(Pw/Ds)*G96</f>
        <v>1.2000000000000002</v>
      </c>
      <c r="E96" s="1788" t="str">
        <f t="shared" si="189"/>
        <v>--</v>
      </c>
      <c r="F96" s="359" t="str">
        <f t="shared" si="190"/>
        <v>--</v>
      </c>
      <c r="G96" s="359">
        <f t="shared" si="152"/>
        <v>20</v>
      </c>
      <c r="H96" s="358" t="str">
        <f t="shared" si="153"/>
        <v>--</v>
      </c>
      <c r="I96" s="1162">
        <f>VLOOKUP($A96,Table_GW_Summary, MATCH("GW-ESL", heading_GW_Summary, 0), FALSE)</f>
        <v>6</v>
      </c>
      <c r="J96" s="1163">
        <f t="shared" si="172"/>
        <v>600</v>
      </c>
      <c r="K96" s="1164" t="str">
        <f t="shared" si="173"/>
        <v>FW EcoTox Goal</v>
      </c>
      <c r="L96" s="271">
        <f t="shared" si="191"/>
        <v>600</v>
      </c>
      <c r="M96" s="271" t="str">
        <f>VLOOKUP($A96,Table_GW_Summary, MATCH("SW-EcoT", heading_GW_Summary, 0), FALSE)</f>
        <v>--</v>
      </c>
      <c r="N96" s="271" t="str">
        <f t="shared" si="192"/>
        <v>--</v>
      </c>
      <c r="O96" s="271">
        <f t="shared" si="154"/>
        <v>50000</v>
      </c>
      <c r="P96" s="1773" t="str">
        <f>IF(VLOOKUP($A96,Table_GW_Summary,MATCH("Res-VI-C-Min",heading_GW_Summary,0),FALSE)="--",VLOOKUP($A96,Table_GW_Summary,MATCH("Res-VI-NC-Min",heading_GW_Summary,0),FALSE),IF(VLOOKUP($A96,Table_GW_Summary,MATCH("Res-VI-NC-Min",heading_GW_Summary,0),FALSE)="--",VLOOKUP($A96,Table_GW_Summary,MATCH("Res-VI-C-Min",heading_GW_Summary,0),FALSE),MIN(VLOOKUP($A96,Table_GW_Summary,MATCH("Res-VI-C-Min",heading_GW_Summary,0),FALSE),VLOOKUP($A96,Table_GW_Summary,MATCH("Res-VI-NC-Min",heading_GW_Summary,0),FALSE))))</f>
        <v>--</v>
      </c>
      <c r="Q96" s="1777" t="str">
        <f t="shared" si="155"/>
        <v>--</v>
      </c>
      <c r="R96" s="1786">
        <f t="shared" si="174"/>
        <v>6</v>
      </c>
      <c r="S96" s="1786" t="str">
        <f t="shared" si="175"/>
        <v>--</v>
      </c>
      <c r="T96" s="1786">
        <f t="shared" si="176"/>
        <v>1</v>
      </c>
      <c r="U96" s="1786">
        <f t="shared" si="156"/>
        <v>6</v>
      </c>
      <c r="V96" s="1786" t="str">
        <f t="shared" si="157"/>
        <v>--</v>
      </c>
      <c r="W96" s="1890">
        <f t="shared" si="177"/>
        <v>6</v>
      </c>
      <c r="X96" s="1646" t="str">
        <f t="shared" si="158"/>
        <v>MCL</v>
      </c>
      <c r="Y96" s="1642">
        <f t="shared" si="178"/>
        <v>6</v>
      </c>
      <c r="Z96" s="1646" t="str">
        <f t="shared" si="159"/>
        <v>MCL</v>
      </c>
      <c r="AA96" s="1642">
        <f t="shared" si="179"/>
        <v>6</v>
      </c>
      <c r="AB96" s="1646" t="str">
        <f t="shared" si="160"/>
        <v>MCL</v>
      </c>
      <c r="AC96" s="1641">
        <f t="shared" si="180"/>
        <v>6</v>
      </c>
      <c r="AD96" s="1646" t="str">
        <f t="shared" si="161"/>
        <v>MCL</v>
      </c>
      <c r="AE96" s="1642">
        <f t="shared" si="181"/>
        <v>1</v>
      </c>
      <c r="AF96" s="1646" t="str">
        <f t="shared" si="162"/>
        <v>Tapwater Noncancer</v>
      </c>
      <c r="AG96" s="1642">
        <f t="shared" si="182"/>
        <v>1</v>
      </c>
      <c r="AH96" s="1646" t="str">
        <f t="shared" si="163"/>
        <v>Tapwater Noncancer</v>
      </c>
      <c r="AI96" s="1642">
        <f t="shared" si="183"/>
        <v>1</v>
      </c>
      <c r="AJ96" s="1646" t="str">
        <f t="shared" si="164"/>
        <v>Tapwater Noncancer</v>
      </c>
      <c r="AK96" s="1641">
        <f t="shared" si="184"/>
        <v>1</v>
      </c>
      <c r="AL96" s="1646" t="str">
        <f t="shared" si="165"/>
        <v>Tapwater Noncancer</v>
      </c>
      <c r="AM96" s="1641">
        <f t="shared" si="185"/>
        <v>50000</v>
      </c>
      <c r="AN96" s="1646" t="str">
        <f t="shared" si="166"/>
        <v>Outdoor Odor</v>
      </c>
      <c r="AO96" s="1643">
        <f t="shared" si="186"/>
        <v>600</v>
      </c>
      <c r="AP96" s="1646" t="str">
        <f t="shared" si="167"/>
        <v>FW EcoTox</v>
      </c>
      <c r="AQ96" s="1643">
        <f t="shared" si="187"/>
        <v>600</v>
      </c>
      <c r="AR96" s="1646" t="str">
        <f t="shared" si="168"/>
        <v>FW EcoTox</v>
      </c>
      <c r="AS96" s="1644">
        <f t="shared" si="188"/>
        <v>50000</v>
      </c>
      <c r="AT96" s="1891" t="str">
        <f t="shared" si="169"/>
        <v>Outdoor Odor</v>
      </c>
      <c r="AU96" s="715">
        <f>IF($G96="--","--",IF(W96="--", W96,W96*0.001*(Pw/Ds)*$G$96))</f>
        <v>1.2000000000000004E-2</v>
      </c>
      <c r="AV96" s="715">
        <f>IF($G96="--","--",IF(Y96="--", Y96,Y96*0.001*(Pw/Ds)*$G$96))</f>
        <v>1.2000000000000004E-2</v>
      </c>
      <c r="AW96" s="715">
        <f>IF($G96="--","--",IF(AA96="--", AA96,AA96*0.001*(Pw/Ds)*$G$96))</f>
        <v>1.2000000000000004E-2</v>
      </c>
      <c r="AX96" s="715">
        <f>IF($G96="--","--",IF(AC96="--", AC96,AC96*0.001*(Pw/Ds)*$G$96))</f>
        <v>1.2000000000000004E-2</v>
      </c>
      <c r="AY96" s="715">
        <f>IF($G96="--","--",IF(AE96="--", AE96,AE96*0.001*(Pw/Ds)*$G$96))</f>
        <v>2.0000000000000005E-3</v>
      </c>
      <c r="AZ96" s="715">
        <f>IF($G96="--","--",IF(AG96="--", AG96,AG96*0.001*(Pw/Ds)*$G$96))</f>
        <v>2.0000000000000005E-3</v>
      </c>
      <c r="BA96" s="715">
        <f>IF($G96="--","--",IF(AI96="--", AI96,AI96*0.001*(Pw/Ds)*$G$96))</f>
        <v>2.0000000000000005E-3</v>
      </c>
      <c r="BB96" s="715">
        <f>IF($G96="--","--",IF(AK96="--", AK96,AK96*0.001*(Pw/Ds)*$G$96))</f>
        <v>2.0000000000000005E-3</v>
      </c>
      <c r="BC96" s="715">
        <f>IF($G96="--","--",IF(AM96="--", AM96,AM96*0.001*(Pw/Ds)*$G$96))</f>
        <v>100.00000000000001</v>
      </c>
      <c r="BD96" s="715">
        <f>IF($G96="--","--",IF(AO96="--", AO96,AO96*0.001*(Pw/Ds)*$G$96))</f>
        <v>1.2000000000000002</v>
      </c>
      <c r="BE96" s="715">
        <f>IF($G96="--","--",IF(AQ96="--", AQ96,AQ96*0.001*(Pw/Ds)*$G$96))</f>
        <v>1.2000000000000002</v>
      </c>
      <c r="BF96" s="2124">
        <f>IF($G96="--","--",IF(AS96="--", AS96,AS96*0.001*(Pw/Ds)*$G$96))</f>
        <v>100.00000000000001</v>
      </c>
    </row>
    <row r="97" spans="1:58">
      <c r="A97" s="184" t="s">
        <v>263</v>
      </c>
      <c r="B97" s="185" t="s">
        <v>115</v>
      </c>
      <c r="C97" s="388">
        <f t="shared" si="170"/>
        <v>1113.211</v>
      </c>
      <c r="D97" s="1779">
        <f t="shared" si="171"/>
        <v>4931.524730000001</v>
      </c>
      <c r="E97" s="1785">
        <f t="shared" si="189"/>
        <v>130</v>
      </c>
      <c r="F97" s="271">
        <f t="shared" si="190"/>
        <v>1.79</v>
      </c>
      <c r="G97" s="271">
        <f t="shared" si="152"/>
        <v>11132.11</v>
      </c>
      <c r="H97" s="272">
        <f t="shared" si="153"/>
        <v>1000</v>
      </c>
      <c r="I97" s="1162">
        <f>VLOOKUP($A97,Table_GW_Summary, MATCH("GW-ESL", heading_GW_Summary, 0), FALSE)</f>
        <v>100</v>
      </c>
      <c r="J97" s="1163">
        <f t="shared" si="172"/>
        <v>443</v>
      </c>
      <c r="K97" s="1164" t="str">
        <f t="shared" si="173"/>
        <v>FW EcoTox Goal</v>
      </c>
      <c r="L97" s="271">
        <f t="shared" si="191"/>
        <v>443</v>
      </c>
      <c r="M97" s="271">
        <f>VLOOKUP($A97,Table_GW_Summary, MATCH("SW-EcoT", heading_GW_Summary, 0), FALSE)</f>
        <v>3700</v>
      </c>
      <c r="N97" s="271" t="str">
        <f t="shared" si="192"/>
        <v>--</v>
      </c>
      <c r="O97" s="271">
        <f t="shared" si="154"/>
        <v>50000</v>
      </c>
      <c r="P97" s="1773" t="str">
        <f>IF(VLOOKUP($A97,Table_GW_Summary,MATCH("Res-VI-C-Min",heading_GW_Summary,0),FALSE)="--",VLOOKUP($A97,Table_GW_Summary,MATCH("Res-VI-NC-Min",heading_GW_Summary,0),FALSE),IF(VLOOKUP($A97,Table_GW_Summary,MATCH("Res-VI-NC-Min",heading_GW_Summary,0),FALSE)="--",VLOOKUP($A97,Table_GW_Summary,MATCH("Res-VI-C-Min",heading_GW_Summary,0),FALSE),MIN(VLOOKUP($A97,Table_GW_Summary,MATCH("Res-VI-C-Min",heading_GW_Summary,0),FALSE),VLOOKUP($A97,Table_GW_Summary,MATCH("Res-VI-NC-Min",heading_GW_Summary,0),FALSE))))</f>
        <v>--</v>
      </c>
      <c r="Q97" s="1777">
        <f t="shared" si="155"/>
        <v>5000</v>
      </c>
      <c r="R97" s="1786" t="str">
        <f t="shared" si="174"/>
        <v>--</v>
      </c>
      <c r="S97" s="1786" t="str">
        <f t="shared" si="175"/>
        <v>--</v>
      </c>
      <c r="T97" s="1786">
        <f t="shared" si="176"/>
        <v>798.81669063090976</v>
      </c>
      <c r="U97" s="1786">
        <f t="shared" si="156"/>
        <v>798.81669063090976</v>
      </c>
      <c r="V97" s="1786">
        <f t="shared" si="157"/>
        <v>100</v>
      </c>
      <c r="W97" s="1890">
        <f t="shared" si="177"/>
        <v>100</v>
      </c>
      <c r="X97" s="1646" t="str">
        <f t="shared" si="158"/>
        <v>DW Taste &amp; Odor</v>
      </c>
      <c r="Y97" s="1642">
        <f t="shared" si="178"/>
        <v>100</v>
      </c>
      <c r="Z97" s="1646" t="str">
        <f t="shared" si="159"/>
        <v>DW Taste &amp; Odor</v>
      </c>
      <c r="AA97" s="1642">
        <f t="shared" si="179"/>
        <v>100</v>
      </c>
      <c r="AB97" s="1646" t="str">
        <f t="shared" si="160"/>
        <v>DW Taste &amp; Odor</v>
      </c>
      <c r="AC97" s="1641">
        <f t="shared" si="180"/>
        <v>100</v>
      </c>
      <c r="AD97" s="1646" t="str">
        <f t="shared" si="161"/>
        <v>DW Taste &amp; Odor</v>
      </c>
      <c r="AE97" s="1642">
        <f t="shared" si="181"/>
        <v>100</v>
      </c>
      <c r="AF97" s="1646" t="str">
        <f t="shared" si="162"/>
        <v>DW Taste &amp; Odor</v>
      </c>
      <c r="AG97" s="1642">
        <f t="shared" si="182"/>
        <v>100</v>
      </c>
      <c r="AH97" s="1646" t="str">
        <f t="shared" si="163"/>
        <v>DW Taste &amp; Odor</v>
      </c>
      <c r="AI97" s="1642">
        <f t="shared" si="183"/>
        <v>100</v>
      </c>
      <c r="AJ97" s="1646" t="str">
        <f t="shared" si="164"/>
        <v>DW Taste &amp; Odor</v>
      </c>
      <c r="AK97" s="1641">
        <f t="shared" si="184"/>
        <v>100</v>
      </c>
      <c r="AL97" s="1646" t="str">
        <f t="shared" si="165"/>
        <v>DW Taste &amp; Odor</v>
      </c>
      <c r="AM97" s="1641">
        <f t="shared" si="185"/>
        <v>3700</v>
      </c>
      <c r="AN97" s="1646" t="str">
        <f t="shared" si="166"/>
        <v>Saltwater EcoTox</v>
      </c>
      <c r="AO97" s="1643">
        <f t="shared" si="186"/>
        <v>443</v>
      </c>
      <c r="AP97" s="1646" t="str">
        <f t="shared" si="167"/>
        <v>FW EcoTox</v>
      </c>
      <c r="AQ97" s="1643">
        <f t="shared" si="187"/>
        <v>443</v>
      </c>
      <c r="AR97" s="1646" t="str">
        <f t="shared" si="168"/>
        <v>FW EcoTox</v>
      </c>
      <c r="AS97" s="1644">
        <f t="shared" si="188"/>
        <v>5000</v>
      </c>
      <c r="AT97" s="1891" t="str">
        <f t="shared" si="169"/>
        <v>Outdoor Odor</v>
      </c>
      <c r="AU97" s="1773">
        <f t="shared" si="193"/>
        <v>1113.211</v>
      </c>
      <c r="AV97" s="1773">
        <f t="shared" si="194"/>
        <v>1113.211</v>
      </c>
      <c r="AW97" s="1773">
        <f t="shared" si="195"/>
        <v>1113.211</v>
      </c>
      <c r="AX97" s="1773">
        <f t="shared" si="196"/>
        <v>1113.211</v>
      </c>
      <c r="AY97" s="1773">
        <f t="shared" si="197"/>
        <v>1113.211</v>
      </c>
      <c r="AZ97" s="1773">
        <f t="shared" si="198"/>
        <v>1113.211</v>
      </c>
      <c r="BA97" s="1773">
        <f t="shared" si="199"/>
        <v>1113.211</v>
      </c>
      <c r="BB97" s="1773">
        <f t="shared" si="200"/>
        <v>1113.211</v>
      </c>
      <c r="BC97" s="1773">
        <f t="shared" si="201"/>
        <v>41188.807000000001</v>
      </c>
      <c r="BD97" s="1773">
        <f t="shared" si="202"/>
        <v>4931.524730000001</v>
      </c>
      <c r="BE97" s="1773">
        <f t="shared" si="203"/>
        <v>4931.524730000001</v>
      </c>
      <c r="BF97" s="1947">
        <f>IF($G97="--","--",IF(AS97="--", AS97,IF(AND($G97*AS97*0.001&lt;$H97,$E97&gt;30000),$H97,$G97*AS97*0.001)))</f>
        <v>55660.55</v>
      </c>
    </row>
    <row r="98" spans="1:58">
      <c r="A98" s="184" t="s">
        <v>264</v>
      </c>
      <c r="B98" s="185" t="s">
        <v>115</v>
      </c>
      <c r="C98" s="388">
        <f t="shared" ref="C98:C99" si="205">IF(G98="--","--",IF(I98="--", I98,IF(AND(G98*I98*0.001&lt;H98,E98&gt;30000),H98,G98*I98*0.001)))</f>
        <v>1229.8519999999999</v>
      </c>
      <c r="D98" s="1779">
        <f t="shared" ref="D98:D99" si="206">IF(G98="--","--",IF(J98="--","--",IF(AND(G98*J98*0.001&lt;H98,E98&gt;30000),H98,G98*J98*0.001)))</f>
        <v>7871.0527999999995</v>
      </c>
      <c r="E98" s="1785">
        <f t="shared" si="189"/>
        <v>800</v>
      </c>
      <c r="F98" s="271">
        <f t="shared" si="190"/>
        <v>1.96</v>
      </c>
      <c r="G98" s="271">
        <f t="shared" si="152"/>
        <v>12298.519999999999</v>
      </c>
      <c r="H98" s="272">
        <f t="shared" si="153"/>
        <v>2286</v>
      </c>
      <c r="I98" s="1162">
        <f>VLOOKUP($A98,Table_GW_Summary, MATCH("GW-ESL", heading_GW_Summary, 0), FALSE)</f>
        <v>100</v>
      </c>
      <c r="J98" s="1163">
        <f t="shared" si="172"/>
        <v>640</v>
      </c>
      <c r="K98" s="1164" t="str">
        <f t="shared" si="173"/>
        <v>FW EcoTox Goal</v>
      </c>
      <c r="L98" s="271">
        <f t="shared" si="191"/>
        <v>640</v>
      </c>
      <c r="M98" s="271">
        <f>VLOOKUP($A98,Table_GW_Summary, MATCH("SW-EcoT", heading_GW_Summary, 0), FALSE)</f>
        <v>640</v>
      </c>
      <c r="N98" s="271" t="str">
        <f t="shared" si="192"/>
        <v>--</v>
      </c>
      <c r="O98" s="271">
        <f t="shared" si="154"/>
        <v>2500</v>
      </c>
      <c r="P98" s="1773" t="str">
        <f>IF(VLOOKUP($A98,Table_GW_Summary,MATCH("Res-VI-C-Min",heading_GW_Summary,0),FALSE)="--",VLOOKUP($A98,Table_GW_Summary,MATCH("Res-VI-NC-Min",heading_GW_Summary,0),FALSE),IF(VLOOKUP($A98,Table_GW_Summary,MATCH("Res-VI-NC-Min",heading_GW_Summary,0),FALSE)="--",VLOOKUP($A98,Table_GW_Summary,MATCH("Res-VI-C-Min",heading_GW_Summary,0),FALSE),MIN(VLOOKUP($A98,Table_GW_Summary,MATCH("Res-VI-C-Min",heading_GW_Summary,0),FALSE),VLOOKUP($A98,Table_GW_Summary,MATCH("Res-VI-NC-Min",heading_GW_Summary,0),FALSE))))</f>
        <v>--</v>
      </c>
      <c r="Q98" s="1777">
        <f t="shared" si="155"/>
        <v>5000</v>
      </c>
      <c r="R98" s="1786" t="str">
        <f t="shared" si="174"/>
        <v>--</v>
      </c>
      <c r="S98" s="1786" t="str">
        <f t="shared" si="175"/>
        <v>--</v>
      </c>
      <c r="T98" s="1786">
        <f t="shared" si="176"/>
        <v>210.48658526371332</v>
      </c>
      <c r="U98" s="1786">
        <f t="shared" si="156"/>
        <v>210.48658526371332</v>
      </c>
      <c r="V98" s="1786">
        <f t="shared" si="157"/>
        <v>100</v>
      </c>
      <c r="W98" s="1890">
        <f t="shared" si="177"/>
        <v>100</v>
      </c>
      <c r="X98" s="1646" t="str">
        <f t="shared" si="158"/>
        <v>DW Taste &amp; Odor</v>
      </c>
      <c r="Y98" s="1642">
        <f t="shared" si="178"/>
        <v>100</v>
      </c>
      <c r="Z98" s="1646" t="str">
        <f t="shared" si="159"/>
        <v>DW Taste &amp; Odor</v>
      </c>
      <c r="AA98" s="1642">
        <f t="shared" si="179"/>
        <v>100</v>
      </c>
      <c r="AB98" s="1646" t="str">
        <f t="shared" si="160"/>
        <v>DW Taste &amp; Odor</v>
      </c>
      <c r="AC98" s="1641">
        <f t="shared" si="180"/>
        <v>100</v>
      </c>
      <c r="AD98" s="1646" t="str">
        <f t="shared" si="161"/>
        <v>DW Taste &amp; Odor</v>
      </c>
      <c r="AE98" s="1642">
        <f t="shared" si="181"/>
        <v>100</v>
      </c>
      <c r="AF98" s="1646" t="str">
        <f t="shared" si="162"/>
        <v>DW Taste &amp; Odor</v>
      </c>
      <c r="AG98" s="1642">
        <f t="shared" si="182"/>
        <v>100</v>
      </c>
      <c r="AH98" s="1646" t="str">
        <f t="shared" si="163"/>
        <v>DW Taste &amp; Odor</v>
      </c>
      <c r="AI98" s="1642">
        <f t="shared" si="183"/>
        <v>100</v>
      </c>
      <c r="AJ98" s="1646" t="str">
        <f t="shared" si="164"/>
        <v>DW Taste &amp; Odor</v>
      </c>
      <c r="AK98" s="1641">
        <f t="shared" si="184"/>
        <v>100</v>
      </c>
      <c r="AL98" s="1646" t="str">
        <f t="shared" si="165"/>
        <v>DW Taste &amp; Odor</v>
      </c>
      <c r="AM98" s="1641">
        <f t="shared" si="185"/>
        <v>640</v>
      </c>
      <c r="AN98" s="1646" t="str">
        <f t="shared" si="166"/>
        <v>Saltwater EcoTox</v>
      </c>
      <c r="AO98" s="1643">
        <f t="shared" si="186"/>
        <v>640</v>
      </c>
      <c r="AP98" s="1646" t="str">
        <f t="shared" si="167"/>
        <v>Saltwater EcoTox</v>
      </c>
      <c r="AQ98" s="1643">
        <f t="shared" si="187"/>
        <v>640</v>
      </c>
      <c r="AR98" s="1646" t="str">
        <f t="shared" si="168"/>
        <v>Saltwater EcoTox</v>
      </c>
      <c r="AS98" s="1644">
        <f t="shared" si="188"/>
        <v>2500</v>
      </c>
      <c r="AT98" s="1891" t="str">
        <f t="shared" si="169"/>
        <v>Outdoor Odor</v>
      </c>
      <c r="AU98" s="1773">
        <f t="shared" si="193"/>
        <v>1229.8519999999999</v>
      </c>
      <c r="AV98" s="1773">
        <f t="shared" si="194"/>
        <v>1229.8519999999999</v>
      </c>
      <c r="AW98" s="1773">
        <f t="shared" si="195"/>
        <v>1229.8519999999999</v>
      </c>
      <c r="AX98" s="1773">
        <f t="shared" si="196"/>
        <v>1229.8519999999999</v>
      </c>
      <c r="AY98" s="1773">
        <f t="shared" si="197"/>
        <v>1229.8519999999999</v>
      </c>
      <c r="AZ98" s="1773">
        <f t="shared" si="198"/>
        <v>1229.8519999999999</v>
      </c>
      <c r="BA98" s="1773">
        <f t="shared" si="199"/>
        <v>1229.8519999999999</v>
      </c>
      <c r="BB98" s="1773">
        <f t="shared" si="200"/>
        <v>1229.8519999999999</v>
      </c>
      <c r="BC98" s="1773">
        <f t="shared" si="201"/>
        <v>7871.0527999999995</v>
      </c>
      <c r="BD98" s="1773">
        <f t="shared" si="202"/>
        <v>7871.0527999999995</v>
      </c>
      <c r="BE98" s="1773">
        <f t="shared" si="203"/>
        <v>7871.0527999999995</v>
      </c>
      <c r="BF98" s="1947">
        <f t="shared" si="204"/>
        <v>30746.299999999996</v>
      </c>
    </row>
    <row r="99" spans="1:58">
      <c r="A99" s="184" t="s">
        <v>265</v>
      </c>
      <c r="B99" s="185" t="s">
        <v>115</v>
      </c>
      <c r="C99" s="388">
        <f t="shared" si="205"/>
        <v>1229.8519999999999</v>
      </c>
      <c r="D99" s="1779">
        <f t="shared" si="206"/>
        <v>7871.0527999999995</v>
      </c>
      <c r="E99" s="1785">
        <f t="shared" si="189"/>
        <v>800</v>
      </c>
      <c r="F99" s="271">
        <f t="shared" si="190"/>
        <v>1.96</v>
      </c>
      <c r="G99" s="271">
        <f t="shared" si="152"/>
        <v>12298.519999999999</v>
      </c>
      <c r="H99" s="272">
        <f t="shared" si="153"/>
        <v>2286</v>
      </c>
      <c r="I99" s="1162">
        <f>VLOOKUP($A99,Table_GW_Summary, MATCH("GW-ESL", heading_GW_Summary, 0), FALSE)</f>
        <v>100</v>
      </c>
      <c r="J99" s="1163">
        <f t="shared" si="172"/>
        <v>640</v>
      </c>
      <c r="K99" s="1164" t="str">
        <f t="shared" si="173"/>
        <v>FW EcoTox Goal</v>
      </c>
      <c r="L99" s="271">
        <f t="shared" si="191"/>
        <v>640</v>
      </c>
      <c r="M99" s="271">
        <f>VLOOKUP($A99,Table_GW_Summary, MATCH("SW-EcoT", heading_GW_Summary, 0), FALSE)</f>
        <v>640</v>
      </c>
      <c r="N99" s="271" t="str">
        <f t="shared" si="192"/>
        <v>--</v>
      </c>
      <c r="O99" s="271">
        <f t="shared" si="154"/>
        <v>2500</v>
      </c>
      <c r="P99" s="1773" t="str">
        <f>IF(VLOOKUP($A99,Table_GW_Summary,MATCH("Res-VI-C-Min",heading_GW_Summary,0),FALSE)="--",VLOOKUP($A99,Table_GW_Summary,MATCH("Res-VI-NC-Min",heading_GW_Summary,0),FALSE),IF(VLOOKUP($A99,Table_GW_Summary,MATCH("Res-VI-NC-Min",heading_GW_Summary,0),FALSE)="--",VLOOKUP($A99,Table_GW_Summary,MATCH("Res-VI-C-Min",heading_GW_Summary,0),FALSE),MIN(VLOOKUP($A99,Table_GW_Summary,MATCH("Res-VI-C-Min",heading_GW_Summary,0),FALSE),VLOOKUP($A99,Table_GW_Summary,MATCH("Res-VI-NC-Min",heading_GW_Summary,0),FALSE))))</f>
        <v>--</v>
      </c>
      <c r="Q99" s="1777">
        <f t="shared" si="155"/>
        <v>5000</v>
      </c>
      <c r="R99" s="1786" t="str">
        <f t="shared" si="174"/>
        <v>--</v>
      </c>
      <c r="S99" s="1786" t="str">
        <f t="shared" si="175"/>
        <v>--</v>
      </c>
      <c r="T99" s="1786">
        <f t="shared" si="176"/>
        <v>210.48658526371332</v>
      </c>
      <c r="U99" s="1786">
        <f t="shared" si="156"/>
        <v>210.48658526371332</v>
      </c>
      <c r="V99" s="1786">
        <f t="shared" si="157"/>
        <v>100</v>
      </c>
      <c r="W99" s="1890">
        <f t="shared" si="177"/>
        <v>100</v>
      </c>
      <c r="X99" s="1646" t="str">
        <f t="shared" si="158"/>
        <v>DW Taste &amp; Odor</v>
      </c>
      <c r="Y99" s="1642">
        <f t="shared" si="178"/>
        <v>100</v>
      </c>
      <c r="Z99" s="1646" t="str">
        <f t="shared" si="159"/>
        <v>DW Taste &amp; Odor</v>
      </c>
      <c r="AA99" s="1642">
        <f t="shared" si="179"/>
        <v>100</v>
      </c>
      <c r="AB99" s="1646" t="str">
        <f t="shared" si="160"/>
        <v>DW Taste &amp; Odor</v>
      </c>
      <c r="AC99" s="1641">
        <f t="shared" si="180"/>
        <v>100</v>
      </c>
      <c r="AD99" s="1646" t="str">
        <f t="shared" si="161"/>
        <v>DW Taste &amp; Odor</v>
      </c>
      <c r="AE99" s="1642">
        <f t="shared" si="181"/>
        <v>100</v>
      </c>
      <c r="AF99" s="1646" t="str">
        <f t="shared" si="162"/>
        <v>DW Taste &amp; Odor</v>
      </c>
      <c r="AG99" s="1642">
        <f t="shared" si="182"/>
        <v>100</v>
      </c>
      <c r="AH99" s="1646" t="str">
        <f t="shared" si="163"/>
        <v>DW Taste &amp; Odor</v>
      </c>
      <c r="AI99" s="1642">
        <f t="shared" si="183"/>
        <v>100</v>
      </c>
      <c r="AJ99" s="1646" t="str">
        <f t="shared" si="164"/>
        <v>DW Taste &amp; Odor</v>
      </c>
      <c r="AK99" s="1641">
        <f t="shared" si="184"/>
        <v>100</v>
      </c>
      <c r="AL99" s="1646" t="str">
        <f t="shared" si="165"/>
        <v>DW Taste &amp; Odor</v>
      </c>
      <c r="AM99" s="1641">
        <f t="shared" si="185"/>
        <v>640</v>
      </c>
      <c r="AN99" s="1646" t="str">
        <f t="shared" si="166"/>
        <v>Saltwater EcoTox</v>
      </c>
      <c r="AO99" s="1643">
        <f t="shared" si="186"/>
        <v>640</v>
      </c>
      <c r="AP99" s="1646" t="str">
        <f t="shared" si="167"/>
        <v>Saltwater EcoTox</v>
      </c>
      <c r="AQ99" s="1643">
        <f t="shared" si="187"/>
        <v>640</v>
      </c>
      <c r="AR99" s="1646" t="str">
        <f t="shared" si="168"/>
        <v>Saltwater EcoTox</v>
      </c>
      <c r="AS99" s="1644">
        <f t="shared" si="188"/>
        <v>2500</v>
      </c>
      <c r="AT99" s="1891" t="str">
        <f t="shared" si="169"/>
        <v>Outdoor Odor</v>
      </c>
      <c r="AU99" s="1773">
        <f t="shared" si="193"/>
        <v>1229.8519999999999</v>
      </c>
      <c r="AV99" s="1773">
        <f t="shared" si="194"/>
        <v>1229.8519999999999</v>
      </c>
      <c r="AW99" s="1773">
        <f t="shared" si="195"/>
        <v>1229.8519999999999</v>
      </c>
      <c r="AX99" s="1773">
        <f t="shared" si="196"/>
        <v>1229.8519999999999</v>
      </c>
      <c r="AY99" s="1773">
        <f t="shared" si="197"/>
        <v>1229.8519999999999</v>
      </c>
      <c r="AZ99" s="1773">
        <f t="shared" si="198"/>
        <v>1229.8519999999999</v>
      </c>
      <c r="BA99" s="1773">
        <f t="shared" si="199"/>
        <v>1229.8519999999999</v>
      </c>
      <c r="BB99" s="1773">
        <f t="shared" si="200"/>
        <v>1229.8519999999999</v>
      </c>
      <c r="BC99" s="1773">
        <f t="shared" si="201"/>
        <v>7871.0527999999995</v>
      </c>
      <c r="BD99" s="1773">
        <f t="shared" si="202"/>
        <v>7871.0527999999995</v>
      </c>
      <c r="BE99" s="1773">
        <f t="shared" si="203"/>
        <v>7871.0527999999995</v>
      </c>
      <c r="BF99" s="1947">
        <f t="shared" si="204"/>
        <v>30746.299999999996</v>
      </c>
    </row>
    <row r="100" spans="1:58">
      <c r="A100" s="184" t="s">
        <v>266</v>
      </c>
      <c r="B100" s="185" t="s">
        <v>115</v>
      </c>
      <c r="C100" s="388">
        <f t="shared" ref="C100:C102" si="207">IF(G100="--","--",IF(I100="--", I100,IF(AND(G100*I100*0.001&lt;H100,E100&gt;30000),H100,G100*I100*0.001)))</f>
        <v>1117.3320000000001</v>
      </c>
      <c r="D100" s="1779">
        <f t="shared" ref="D100:D102" si="208">IF(G100="--","--",IF(J100="--","--",IF(AND(G100*J100*0.001&lt;H100,E100&gt;30000),H100,G100*J100*0.001)))</f>
        <v>7150.9247999999998</v>
      </c>
      <c r="E100" s="1785">
        <f t="shared" si="189"/>
        <v>1500</v>
      </c>
      <c r="F100" s="271">
        <f t="shared" si="190"/>
        <v>1.76</v>
      </c>
      <c r="G100" s="271">
        <f t="shared" si="152"/>
        <v>11173.32</v>
      </c>
      <c r="H100" s="272">
        <f t="shared" si="153"/>
        <v>2286</v>
      </c>
      <c r="I100" s="1162">
        <f>VLOOKUP($A100,Table_GW_Summary, MATCH("GW-ESL", heading_GW_Summary, 0), FALSE)</f>
        <v>100</v>
      </c>
      <c r="J100" s="1163">
        <f t="shared" si="172"/>
        <v>640</v>
      </c>
      <c r="K100" s="1164" t="str">
        <f t="shared" si="173"/>
        <v>FW EcoTox Goal</v>
      </c>
      <c r="L100" s="271">
        <f t="shared" si="191"/>
        <v>640</v>
      </c>
      <c r="M100" s="271">
        <f>VLOOKUP($A100,Table_GW_Summary, MATCH("SW-EcoT", heading_GW_Summary, 0), FALSE)</f>
        <v>640</v>
      </c>
      <c r="N100" s="271" t="str">
        <f t="shared" si="192"/>
        <v>--</v>
      </c>
      <c r="O100" s="271">
        <f t="shared" si="154"/>
        <v>2500</v>
      </c>
      <c r="P100" s="1773" t="str">
        <f>IF(VLOOKUP($A100,Table_GW_Summary,MATCH("Res-VI-C-Min",heading_GW_Summary,0),FALSE)="--",VLOOKUP($A100,Table_GW_Summary,MATCH("Res-VI-NC-Min",heading_GW_Summary,0),FALSE),IF(VLOOKUP($A100,Table_GW_Summary,MATCH("Res-VI-NC-Min",heading_GW_Summary,0),FALSE)="--",VLOOKUP($A100,Table_GW_Summary,MATCH("Res-VI-C-Min",heading_GW_Summary,0),FALSE),MIN(VLOOKUP($A100,Table_GW_Summary,MATCH("Res-VI-C-Min",heading_GW_Summary,0),FALSE),VLOOKUP($A100,Table_GW_Summary,MATCH("Res-VI-NC-Min",heading_GW_Summary,0),FALSE))))</f>
        <v>--</v>
      </c>
      <c r="Q100" s="1777">
        <f t="shared" si="155"/>
        <v>5000</v>
      </c>
      <c r="R100" s="1786" t="str">
        <f t="shared" si="174"/>
        <v>--</v>
      </c>
      <c r="S100" s="1786" t="str">
        <f t="shared" si="175"/>
        <v>--</v>
      </c>
      <c r="T100" s="1786">
        <f t="shared" si="176"/>
        <v>178.56467953809269</v>
      </c>
      <c r="U100" s="1786">
        <f t="shared" si="156"/>
        <v>178.56467953809269</v>
      </c>
      <c r="V100" s="1786">
        <f t="shared" si="157"/>
        <v>100</v>
      </c>
      <c r="W100" s="1890">
        <f t="shared" si="177"/>
        <v>100</v>
      </c>
      <c r="X100" s="1646" t="str">
        <f t="shared" si="158"/>
        <v>DW Taste &amp; Odor</v>
      </c>
      <c r="Y100" s="1642">
        <f t="shared" si="178"/>
        <v>100</v>
      </c>
      <c r="Z100" s="1646" t="str">
        <f t="shared" si="159"/>
        <v>DW Taste &amp; Odor</v>
      </c>
      <c r="AA100" s="1642">
        <f t="shared" si="179"/>
        <v>100</v>
      </c>
      <c r="AB100" s="1646" t="str">
        <f t="shared" si="160"/>
        <v>DW Taste &amp; Odor</v>
      </c>
      <c r="AC100" s="1641">
        <f t="shared" si="180"/>
        <v>100</v>
      </c>
      <c r="AD100" s="1646" t="str">
        <f t="shared" si="161"/>
        <v>DW Taste &amp; Odor</v>
      </c>
      <c r="AE100" s="1642">
        <f t="shared" si="181"/>
        <v>100</v>
      </c>
      <c r="AF100" s="1646" t="str">
        <f t="shared" si="162"/>
        <v>DW Taste &amp; Odor</v>
      </c>
      <c r="AG100" s="1642">
        <f t="shared" si="182"/>
        <v>100</v>
      </c>
      <c r="AH100" s="1646" t="str">
        <f t="shared" si="163"/>
        <v>DW Taste &amp; Odor</v>
      </c>
      <c r="AI100" s="1642">
        <f t="shared" si="183"/>
        <v>100</v>
      </c>
      <c r="AJ100" s="1646" t="str">
        <f t="shared" si="164"/>
        <v>DW Taste &amp; Odor</v>
      </c>
      <c r="AK100" s="1641">
        <f t="shared" si="184"/>
        <v>100</v>
      </c>
      <c r="AL100" s="1646" t="str">
        <f t="shared" si="165"/>
        <v>DW Taste &amp; Odor</v>
      </c>
      <c r="AM100" s="1641">
        <f t="shared" si="185"/>
        <v>640</v>
      </c>
      <c r="AN100" s="1646" t="str">
        <f t="shared" si="166"/>
        <v>Saltwater EcoTox</v>
      </c>
      <c r="AO100" s="1643">
        <f t="shared" si="186"/>
        <v>640</v>
      </c>
      <c r="AP100" s="1646" t="str">
        <f t="shared" si="167"/>
        <v>Saltwater EcoTox</v>
      </c>
      <c r="AQ100" s="1643">
        <f t="shared" si="187"/>
        <v>640</v>
      </c>
      <c r="AR100" s="1646" t="str">
        <f t="shared" si="168"/>
        <v>Saltwater EcoTox</v>
      </c>
      <c r="AS100" s="1644">
        <f t="shared" si="188"/>
        <v>2500</v>
      </c>
      <c r="AT100" s="1891" t="str">
        <f t="shared" si="169"/>
        <v>Outdoor Odor</v>
      </c>
      <c r="AU100" s="1773">
        <f t="shared" si="193"/>
        <v>1117.3320000000001</v>
      </c>
      <c r="AV100" s="1773">
        <f t="shared" si="194"/>
        <v>1117.3320000000001</v>
      </c>
      <c r="AW100" s="1773">
        <f t="shared" si="195"/>
        <v>1117.3320000000001</v>
      </c>
      <c r="AX100" s="1773">
        <f t="shared" si="196"/>
        <v>1117.3320000000001</v>
      </c>
      <c r="AY100" s="1773">
        <f t="shared" si="197"/>
        <v>1117.3320000000001</v>
      </c>
      <c r="AZ100" s="1773">
        <f t="shared" si="198"/>
        <v>1117.3320000000001</v>
      </c>
      <c r="BA100" s="1773">
        <f t="shared" si="199"/>
        <v>1117.3320000000001</v>
      </c>
      <c r="BB100" s="1773">
        <f t="shared" si="200"/>
        <v>1117.3320000000001</v>
      </c>
      <c r="BC100" s="1773">
        <f t="shared" si="201"/>
        <v>7150.9247999999998</v>
      </c>
      <c r="BD100" s="1773">
        <f t="shared" si="202"/>
        <v>7150.9247999999998</v>
      </c>
      <c r="BE100" s="1773">
        <f t="shared" si="203"/>
        <v>7150.9247999999998</v>
      </c>
      <c r="BF100" s="1947">
        <f t="shared" si="204"/>
        <v>27933.3</v>
      </c>
    </row>
    <row r="101" spans="1:58">
      <c r="A101" s="1316" t="s">
        <v>267</v>
      </c>
      <c r="B101" s="346" t="s">
        <v>115</v>
      </c>
      <c r="C101" s="389" t="s">
        <v>115</v>
      </c>
      <c r="D101" s="715" t="s">
        <v>115</v>
      </c>
      <c r="E101" s="1788"/>
      <c r="F101" s="359"/>
      <c r="G101" s="359"/>
      <c r="H101" s="358"/>
      <c r="I101" s="348"/>
      <c r="J101" s="360"/>
      <c r="K101" s="885"/>
      <c r="L101" s="359"/>
      <c r="M101" s="359"/>
      <c r="N101" s="359"/>
      <c r="O101" s="359"/>
      <c r="P101" s="715"/>
      <c r="Q101" s="1281"/>
      <c r="R101" s="1786" t="str">
        <f t="shared" si="174"/>
        <v>--</v>
      </c>
      <c r="S101" s="1787"/>
      <c r="T101" s="1787"/>
      <c r="U101" s="1787"/>
      <c r="V101" s="1787"/>
      <c r="W101" s="2072" t="s">
        <v>115</v>
      </c>
      <c r="X101" s="2073"/>
      <c r="Y101" s="2075" t="s">
        <v>115</v>
      </c>
      <c r="Z101" s="2073"/>
      <c r="AA101" s="2075" t="s">
        <v>115</v>
      </c>
      <c r="AB101" s="2073"/>
      <c r="AC101" s="2075" t="s">
        <v>115</v>
      </c>
      <c r="AD101" s="2073"/>
      <c r="AE101" s="2075" t="s">
        <v>115</v>
      </c>
      <c r="AF101" s="2073"/>
      <c r="AG101" s="2075" t="s">
        <v>115</v>
      </c>
      <c r="AH101" s="2073"/>
      <c r="AI101" s="2075" t="s">
        <v>115</v>
      </c>
      <c r="AJ101" s="2073"/>
      <c r="AK101" s="2075" t="s">
        <v>115</v>
      </c>
      <c r="AL101" s="2073"/>
      <c r="AM101" s="2075" t="s">
        <v>115</v>
      </c>
      <c r="AN101" s="2073"/>
      <c r="AO101" s="2075" t="s">
        <v>115</v>
      </c>
      <c r="AP101" s="2073"/>
      <c r="AQ101" s="2075" t="s">
        <v>115</v>
      </c>
      <c r="AR101" s="2073"/>
      <c r="AS101" s="2075" t="s">
        <v>115</v>
      </c>
      <c r="AT101" s="2074"/>
      <c r="AU101" s="715" t="s">
        <v>115</v>
      </c>
      <c r="AV101" s="715" t="s">
        <v>115</v>
      </c>
      <c r="AW101" s="715" t="s">
        <v>115</v>
      </c>
      <c r="AX101" s="715" t="s">
        <v>115</v>
      </c>
      <c r="AY101" s="715" t="s">
        <v>115</v>
      </c>
      <c r="AZ101" s="715" t="s">
        <v>115</v>
      </c>
      <c r="BA101" s="715" t="s">
        <v>115</v>
      </c>
      <c r="BB101" s="715" t="s">
        <v>115</v>
      </c>
      <c r="BC101" s="715" t="s">
        <v>115</v>
      </c>
      <c r="BD101" s="715" t="s">
        <v>115</v>
      </c>
      <c r="BE101" s="715" t="s">
        <v>115</v>
      </c>
      <c r="BF101" s="2123" t="s">
        <v>115</v>
      </c>
    </row>
    <row r="102" spans="1:58">
      <c r="A102" s="184" t="s">
        <v>268</v>
      </c>
      <c r="B102" s="185" t="s">
        <v>115</v>
      </c>
      <c r="C102" s="388" t="str">
        <f t="shared" si="207"/>
        <v>--</v>
      </c>
      <c r="D102" s="1779" t="str">
        <f t="shared" si="208"/>
        <v>--</v>
      </c>
      <c r="E102" s="1785" t="str">
        <f t="shared" ref="E102:E141" si="209">VLOOKUP($A102,Table_IP_1, MATCH("Koc", heading_IP_1, 0), FALSE)</f>
        <v>--</v>
      </c>
      <c r="F102" s="271" t="str">
        <f>VLOOKUP($A102,Table_IP_1, MATCH("h", heading_IP_1, 0), FALSE)</f>
        <v>--</v>
      </c>
      <c r="G102" s="271" t="str">
        <f t="shared" ref="G102:G141" si="210">VLOOKUP($A102,Table_IP_1, MATCH("daf", heading_IP_1, 0), FALSE)</f>
        <v>--</v>
      </c>
      <c r="H102" s="272">
        <f t="shared" ref="H102:H141" si="211">VLOOKUP($A102,Table_IP_1, MATCH("sat lim", heading_IP_1, 0), FALSE)</f>
        <v>5143</v>
      </c>
      <c r="I102" s="1162" t="str">
        <f t="shared" ref="I102" si="212">VLOOKUP($A102,Table_GW_Summary, MATCH("GW-ESL", heading_GW_Summary, 0), FALSE)</f>
        <v>--</v>
      </c>
      <c r="J102" s="1163" t="str">
        <f t="shared" si="172"/>
        <v>--</v>
      </c>
      <c r="K102" s="1164" t="str">
        <f t="shared" si="173"/>
        <v>--</v>
      </c>
      <c r="L102" s="271" t="str">
        <f t="shared" ref="L102:L141" si="213">VLOOKUP($A102,Table_GW_Summary, MATCH("FW-EcoT", heading_GW_Summary, 0), FALSE)</f>
        <v>--</v>
      </c>
      <c r="M102" s="271" t="str">
        <f t="shared" ref="M102" si="214">VLOOKUP($A102,Table_GW_Summary, MATCH("SW-EcoT", heading_GW_Summary, 0), FALSE)</f>
        <v>--</v>
      </c>
      <c r="N102" s="271" t="str">
        <f t="shared" ref="N102:N141" si="215">VLOOKUP($A102,Table_GW_Summary, MATCH("bioac", heading_GW_Summary, 0), FALSE)</f>
        <v>--</v>
      </c>
      <c r="O102" s="271" t="str">
        <f t="shared" ref="O102:O141" si="216">VLOOKUP($A102,Table_GW_Summary, MATCH("W-GC", heading_GW_Summary, 0), FALSE)</f>
        <v>--</v>
      </c>
      <c r="P102" s="1773" t="str">
        <f t="shared" ref="P102:P141" si="217">IF(VLOOKUP($A102,Table_GW_Summary,MATCH("Res-VI-C-Min",heading_GW_Summary,0),FALSE)="--",VLOOKUP($A102,Table_GW_Summary,MATCH("Res-VI-NC-Min",heading_GW_Summary,0),FALSE),IF(VLOOKUP($A102,Table_GW_Summary,MATCH("Res-VI-NC-Min",heading_GW_Summary,0),FALSE)="--",VLOOKUP($A102,Table_GW_Summary,MATCH("Res-VI-C-Min",heading_GW_Summary,0),FALSE),MIN(VLOOKUP($A102,Table_GW_Summary,MATCH("Res-VI-C-Min",heading_GW_Summary,0),FALSE),VLOOKUP($A102,Table_GW_Summary,MATCH("Res-VI-NC-Min",heading_GW_Summary,0),FALSE))))</f>
        <v>--</v>
      </c>
      <c r="Q102" s="1777" t="str">
        <f t="shared" ref="Q102:Q141" si="218">VLOOKUP($A102,Table_GW_Summary, MATCH("NDW-NO", heading_GW_Summary, 0), FALSE)</f>
        <v>--</v>
      </c>
      <c r="R102" s="1786" t="str">
        <f t="shared" si="174"/>
        <v>--</v>
      </c>
      <c r="S102" s="1786" t="str">
        <f t="shared" ref="S102:S141" si="219">VLOOKUP($A102,Table_GW_Summary, MATCH("DW-C", heading_GW_Summary, 0), FALSE)</f>
        <v>--</v>
      </c>
      <c r="T102" s="1786" t="str">
        <f t="shared" ref="T102:T141" si="220">VLOOKUP($A102,Table_GW_Summary, MATCH("DW-NC", heading_GW_Summary, 0), FALSE)</f>
        <v>--</v>
      </c>
      <c r="U102" s="1786" t="str">
        <f t="shared" ref="U102" si="221">IF(AND(R102="--", S102="--",T102="--"),"--", IF(R102="--", MIN(S102:T102),R102))</f>
        <v>--</v>
      </c>
      <c r="V102" s="1786" t="str">
        <f t="shared" ref="V102:V141" si="222">VLOOKUP($A102,Table_GW_Summary, MATCH("DW-NO", heading_GW_Summary, 0), FALSE)</f>
        <v>--</v>
      </c>
      <c r="W102" s="1890" t="str">
        <f t="shared" ref="W102" si="223">IF(AND(U102="--",V102="--",P102="--",O102="--",N102="--",M102="--"), "--", MIN(U102,V102,P102,O102,N102,M102))</f>
        <v>--</v>
      </c>
      <c r="X102" s="1646" t="str">
        <f t="shared" ref="X102" si="224">IF(W102=$R102,"MCL",IF(W102=$S102,"Tapwater Cancer", IF(W102=$T102,"Tapwater Noncancer",IF(W102=$V102,"DW Taste &amp; Odor",IF(W102=$P102,"VI",IF(W102=$N102,"Seafood Ingestion",IF(W102=$M102,"Saltwater EcoTox",IF(W102=$L102,"FW EcoTox","Outdoor Odor"))))))))</f>
        <v>MCL</v>
      </c>
      <c r="Y102" s="1642" t="str">
        <f t="shared" ref="Y102" si="225">IF(AND(U102="--",V102="--",P102="--",O102="--",N102="--",L102="--"),"--",MIN(U102,V102,P102,O102,N102,L102))</f>
        <v>--</v>
      </c>
      <c r="Z102" s="1646" t="str">
        <f t="shared" ref="Z102" si="226">IF(Y102=$R102,"MCL",IF(Y102=$S102,"Tapwater Cancer", IF(Y102=$T102,"Tapwater Noncancer",IF(Y102=$V102,"DW Taste &amp; Odor",IF(Y102=$P102,"VI",IF(Y102=$N102,"Seafood Ingestion",IF(Y102=$M102,"Saltwater EcoTox",IF(Y102=$L102,"FW EcoTox","Outdoor Odor"))))))))</f>
        <v>MCL</v>
      </c>
      <c r="AA102" s="1642" t="str">
        <f t="shared" ref="AA102" si="227">IF(AND(U102="--",V102="--",P102="--",O102="--",N102="--",L102="--",M102="--"),"--",MIN(U102,V102,P102,O102,N102,M102,L102))</f>
        <v>--</v>
      </c>
      <c r="AB102" s="1646" t="str">
        <f t="shared" ref="AB102" si="228">IF(AA102=$R102,"MCL",IF(AA102=$S102,"Tapwater Cancer", IF(AA102=$T102,"Tapwater Noncancer",IF(AA102=$V102,"DW Taste &amp; Odor",IF(AA102=$P102,"VI",IF(AA102=$N102,"Seafood Ingestion",IF(AA102=$M102,"Saltwater EcoTox",IF(AA102=$L102,"FW EcoTox","Outdoor Odor"))))))))</f>
        <v>MCL</v>
      </c>
      <c r="AC102" s="1641" t="str">
        <f t="shared" ref="AC102" si="229">IF(AND(U102="--",V102="--",P102="--",O102="--"), "--", MIN(U102,V102,P102,O102))</f>
        <v>--</v>
      </c>
      <c r="AD102" s="1646" t="str">
        <f t="shared" ref="AD102" si="230">IF(AC102=$R102,"MCL",IF(AC102=$S102,"Tapwater Cancer", IF(AC102=$T102,"Tapwater Noncancer",IF(AC102=$V102,"DW Taste &amp; Odor",IF(AC102=$P102,"VI",IF(AC102=$N102,"Seafood Ingestion",IF(AC102=$M102,"Saltwater EcoTox",IF(AC102=$L102,"FW EcoTox","Outdoor Odor"))))))))</f>
        <v>MCL</v>
      </c>
      <c r="AE102" s="1642" t="str">
        <f t="shared" ref="AE102" si="231">IF(AND(T102="--",S102="--",V102="--",P102="--",O102="--",N102="--",M102="--"), "--", MIN(T102,S102,V102,P102,O102,N102,M102))</f>
        <v>--</v>
      </c>
      <c r="AF102" s="1646" t="str">
        <f t="shared" ref="AF102" si="232">IF(AE102=$R102,"MCL",IF(AE102=$S102,"Tapwater Cancer", IF(AE102=$T102,"Tapwater Noncancer",IF(AE102=$V102,"DW Taste &amp; Odor",IF(AE102=$P102,"VI",IF(AE102=$N102,"Seafood Ingestion",IF(AE102=$M102,"Saltwater EcoTox",IF(AE102=$L102,"FW EcoTox","Outdoor Odor"))))))))</f>
        <v>MCL</v>
      </c>
      <c r="AG102" s="1642" t="str">
        <f t="shared" ref="AG102" si="233">IF(AND(T102="--",S102="--",V102="--",P102="--",O102="--",N102="--",L102="--"), "--", MIN(T102,S102,V102,P102,O102,N102,L102))</f>
        <v>--</v>
      </c>
      <c r="AH102" s="1646" t="str">
        <f t="shared" ref="AH102" si="234">IF(AG102=$R102,"MCL",IF(AG102=$S102,"Tapwater Cancer", IF(AG102=$T102,"Tapwater Noncancer",IF(AG102=$V102,"DW Taste &amp; Odor",IF(AG102=$P102,"VI",IF(AG102=$N102,"Seafood Ingestion",IF(AG102=$M102,"Saltwater EcoTox",IF(AG102=$L102,"FW EcoTox","Outdoor Odor"))))))))</f>
        <v>MCL</v>
      </c>
      <c r="AI102" s="1642" t="str">
        <f t="shared" ref="AI102" si="235">IF(AND(T102="--",S102="--",V102="--",P102="--",O102="--",N102="--",M102="--",L102="--"), "--", MIN(T102,S102,V102,P102,O102,N102,M102,L102))</f>
        <v>--</v>
      </c>
      <c r="AJ102" s="1646" t="str">
        <f t="shared" ref="AJ102" si="236">IF(AI102=$R102,"MCL",IF(AI102=$S102,"Tapwater Cancer", IF(AI102=$T102,"Tapwater Noncancer",IF(AI102=$V102,"DW Taste &amp; Odor",IF(AI102=$P102,"VI",IF(AI102=$N102,"Seafood Ingestion",IF(AI102=$M102,"Saltwater EcoTox",IF(AI102=$L102,"FW EcoTox","Outdoor Odor"))))))))</f>
        <v>MCL</v>
      </c>
      <c r="AK102" s="1641" t="str">
        <f t="shared" ref="AK102" si="237">IF(AND(T102="--",S102="--",V102="--",P102="--",O102="--"),"--",MIN(T102,S102,V102,P102,O102))</f>
        <v>--</v>
      </c>
      <c r="AL102" s="1646" t="str">
        <f t="shared" ref="AL102" si="238">IF(AK102=$R102,"MCL",IF(AK102=$S102,"Tapwater Cancer", IF(AK102=$T102,"Tapwater Noncancer",IF(AK102=$V102,"DW Taste &amp; Odor",IF(AK102=$P102,"VI",IF(AK102=$N102,"Seafood Ingestion",IF(AK102=$M102,"Saltwater EcoTox",IF(AK102=$L102,"FW EcoTox","Outdoor Odor"))))))))</f>
        <v>MCL</v>
      </c>
      <c r="AM102" s="1641" t="str">
        <f t="shared" ref="AM102" si="239">IF(AND(Q102="--",P102="--",O102="--",N102="--",M102="--"), "--", MIN(M102,N102,O102,P102,Q102))</f>
        <v>--</v>
      </c>
      <c r="AN102" s="1646" t="str">
        <f t="shared" ref="AN102" si="240">IF(AM102=$R102,"MCL",IF(AM102=$S102,"Tapwater Cancer", IF(AM102=$T102,"Tapwater Noncancer",IF(AM102=$V102,"DW Taste &amp; Odor",IF(AM102=$P102,"VI",IF(AM102=$N102,"Seafood Ingestion",IF(AM102=$M102,"Saltwater EcoTox",IF(AM102=$L102,"FW EcoTox","Outdoor Odor"))))))))</f>
        <v>MCL</v>
      </c>
      <c r="AO102" s="1643" t="str">
        <f t="shared" ref="AO102" si="241">IF(AND(Q102="--",P102="--",O102="--",N102="--",L102="--"),"--",MIN(Q102,P102,O102,N102,L102))</f>
        <v>--</v>
      </c>
      <c r="AP102" s="1646" t="str">
        <f t="shared" ref="AP102" si="242">IF(AO102=$R102,"MCL",IF(AO102=$S102,"Tapwater Cancer", IF(AO102=$T102,"Tapwater Noncancer",IF(AO102=$V102,"DW Taste &amp; Odor",IF(AO102=$P102,"VI",IF(AO102=$N102,"Seafood Ingestion",IF(AO102=$M102,"Saltwater EcoTox",IF(AO102=$L102,"FW EcoTox","Outdoor Odor"))))))))</f>
        <v>MCL</v>
      </c>
      <c r="AQ102" s="1643" t="str">
        <f t="shared" ref="AQ102" si="243">IF(AND(Q102="--",P102="--",O102="--",N102="--",M102="--",L102="--"),"--",MIN(Q102,P102,O102,N102,M102,L102))</f>
        <v>--</v>
      </c>
      <c r="AR102" s="1646" t="str">
        <f t="shared" ref="AR102" si="244">IF(AQ102=$R102,"MCL",IF(AQ102=$S102,"Tapwater Cancer", IF(AQ102=$T102,"Tapwater Noncancer",IF(AQ102=$V102,"DW Taste &amp; Odor",IF(AQ102=$P102,"VI",IF(AQ102=$N102,"Seafood Ingestion",IF(AQ102=$M102,"Saltwater EcoTox",IF(AQ102=$L102,"FW EcoTox","Outdoor Odor"))))))))</f>
        <v>MCL</v>
      </c>
      <c r="AS102" s="1644" t="str">
        <f t="shared" ref="AS102" si="245">IF(AND(Q102="--",P102="--",O102="--"),"--",MIN(Q102,P102,O102))</f>
        <v>--</v>
      </c>
      <c r="AT102" s="1891" t="str">
        <f t="shared" ref="AT102" si="246">IF(AS102=$R102,"MCL",IF(AS102=$S102,"Tapwater Cancer", IF(AS102=$T102,"Tapwater Noncancer",IF(AS102=$V102,"DW Taste &amp; Odor",IF(AS102=$P102,"VI",IF(AS102=$N102,"Seafood Ingestion",IF(AS102=$M102,"Saltwater EcoTox",IF(AS102=$L102,"FW EcoTox","Outdoor Odor"))))))))</f>
        <v>MCL</v>
      </c>
      <c r="AU102" s="1773" t="str">
        <f>IF($G102="--","--",IF(W102="--", W102,IF(AND($G102*W102*0.001&lt;$H102,$E102&gt;30000),$H102,$G102*W102*0.001)))</f>
        <v>--</v>
      </c>
      <c r="AV102" s="1773" t="str">
        <f>IF($G102="--","--",IF(Y102="--", Y102,IF(AND($G102*Y102*0.001&lt;$H102,$E102&gt;30000),$H102,$G102*Y102*0.001)))</f>
        <v>--</v>
      </c>
      <c r="AW102" s="1773" t="str">
        <f>IF($G102="--","--",IF(AA102="--", AA102,IF(AND($G102*AA102*0.001&lt;$H102,$E102&gt;30000),$H102,$G102*AA102*0.001)))</f>
        <v>--</v>
      </c>
      <c r="AX102" s="1773" t="str">
        <f>IF($G102="--","--",IF(AC102="--", AC102,IF(AND($G102*AC102*0.001&lt;$H102,$E102&gt;30000),$H102,$G102*AC102*0.001)))</f>
        <v>--</v>
      </c>
      <c r="AY102" s="1773" t="str">
        <f>IF($G102="--","--",IF(AE102="--", AE102,IF(AND($G102*AE102*0.001&lt;$H102,$E102&gt;30000),$H102,$G102*AE102*0.001)))</f>
        <v>--</v>
      </c>
      <c r="AZ102" s="1773" t="str">
        <f>IF($G102="--","--",IF(AG102="--", AG102,IF(AND($G102*AG102*0.001&lt;$H102,$E102&gt;30000),$H102,$G102*AG102*0.001)))</f>
        <v>--</v>
      </c>
      <c r="BA102" s="1773" t="str">
        <f>IF($G102="--","--",IF(AI102="--", AI102,IF(AND($G102*AI102*0.001&lt;$H102,$E102&gt;30000),$H102,$G102*AI102*0.001)))</f>
        <v>--</v>
      </c>
      <c r="BB102" s="1773" t="str">
        <f>IF($G102="--","--",IF(AK102="--", AK102,IF(AND($G102*AK102*0.001&lt;$H102,$E102&gt;30000),$H102,$G102*AK102*0.001)))</f>
        <v>--</v>
      </c>
      <c r="BC102" s="1773" t="str">
        <f>IF($G102="--","--",IF(AM102="--", AM102,IF(AND($G102*AM102*0.001&lt;$H102,$E102&gt;30000),$H102,$G102*AM102*0.001)))</f>
        <v>--</v>
      </c>
      <c r="BD102" s="1773" t="str">
        <f>IF($G102="--","--",IF(AO102="--", AO102,IF(AND($G102*AO102*0.001&lt;$H102,$E102&gt;30000),$H102,$G102*AO102*0.001)))</f>
        <v>--</v>
      </c>
      <c r="BE102" s="1773" t="str">
        <f>IF($G102="--","--",IF(AQ102="--", AQ102,IF(AND($G102*AQ102*0.001&lt;$H102,$E102&gt;30000),$H102,$G102*AQ102*0.001)))</f>
        <v>--</v>
      </c>
      <c r="BF102" s="1947" t="str">
        <f>IF($G102="--","--",IF(AS102="--", AS102,IF(AND($G102*AS102*0.001&lt;$H102,$E102&gt;30000),$H102,$G102*AS102*0.001)))</f>
        <v>--</v>
      </c>
    </row>
    <row r="103" spans="1:58">
      <c r="A103" s="1316" t="s">
        <v>269</v>
      </c>
      <c r="B103" s="346" t="s">
        <v>270</v>
      </c>
      <c r="C103" s="389" t="s">
        <v>115</v>
      </c>
      <c r="D103" s="715" t="s">
        <v>115</v>
      </c>
      <c r="E103" s="1788"/>
      <c r="F103" s="359"/>
      <c r="G103" s="359"/>
      <c r="H103" s="358"/>
      <c r="I103" s="348"/>
      <c r="J103" s="360"/>
      <c r="K103" s="361"/>
      <c r="L103" s="359"/>
      <c r="M103" s="359"/>
      <c r="N103" s="359"/>
      <c r="O103" s="359"/>
      <c r="P103" s="715"/>
      <c r="Q103" s="1281"/>
      <c r="R103" s="1786" t="str">
        <f t="shared" si="174"/>
        <v>--</v>
      </c>
      <c r="S103" s="1786" t="str">
        <f t="shared" si="219"/>
        <v>--</v>
      </c>
      <c r="T103" s="1786">
        <f t="shared" si="220"/>
        <v>9.7587103357656151</v>
      </c>
      <c r="U103" s="1786">
        <f t="shared" si="156"/>
        <v>9.7587103357656151</v>
      </c>
      <c r="V103" s="1786" t="str">
        <f t="shared" si="222"/>
        <v>--</v>
      </c>
      <c r="W103" s="1890">
        <f t="shared" ref="W103:W141" si="247">IF(AND(U103="--",V103="--",P103="--",O103="--",N103="--",M103="--"), "--", MIN(U103,V103,P103,O103,N103,M103))</f>
        <v>9.7587103357656151</v>
      </c>
      <c r="X103" s="1646" t="str">
        <f t="shared" ref="X103:X134" si="248">IF(W103=$R103,"MCL",IF(W103=$S103,"Tapwater Cancer", IF(W103=$T103,"Tapwater Noncancer",IF(W103=$V103,"DW Taste &amp; Odor",IF(W103=$P103,"VI",IF(W103=$N103,"Seafood Ingestion",IF(W103=$M103,"Saltwater EcoTox",IF(W103=$L103,"FW EcoTox","Outdoor Odor"))))))))</f>
        <v>Tapwater Noncancer</v>
      </c>
      <c r="Y103" s="1642">
        <f t="shared" ref="Y103:Y141" si="249">IF(AND(U103="--",V103="--",P103="--",O103="--",N103="--",L103="--"),"--",MIN(U103,V103,P103,O103,N103,L103))</f>
        <v>9.7587103357656151</v>
      </c>
      <c r="Z103" s="1646" t="str">
        <f t="shared" ref="Z103:Z134" si="250">IF(Y103=$R103,"MCL",IF(Y103=$S103,"Tapwater Cancer", IF(Y103=$T103,"Tapwater Noncancer",IF(Y103=$V103,"DW Taste &amp; Odor",IF(Y103=$P103,"VI",IF(Y103=$N103,"Seafood Ingestion",IF(Y103=$M103,"Saltwater EcoTox",IF(Y103=$L103,"FW EcoTox","Outdoor Odor"))))))))</f>
        <v>Tapwater Noncancer</v>
      </c>
      <c r="AA103" s="1642">
        <f t="shared" ref="AA103:AA141" si="251">IF(AND(U103="--",V103="--",P103="--",O103="--",N103="--",L103="--",M103="--"),"--",MIN(U103,V103,P103,O103,N103,M103,L103))</f>
        <v>9.7587103357656151</v>
      </c>
      <c r="AB103" s="1646" t="str">
        <f t="shared" ref="AB103:AB134" si="252">IF(AA103=$R103,"MCL",IF(AA103=$S103,"Tapwater Cancer", IF(AA103=$T103,"Tapwater Noncancer",IF(AA103=$V103,"DW Taste &amp; Odor",IF(AA103=$P103,"VI",IF(AA103=$N103,"Seafood Ingestion",IF(AA103=$M103,"Saltwater EcoTox",IF(AA103=$L103,"FW EcoTox","Outdoor Odor"))))))))</f>
        <v>Tapwater Noncancer</v>
      </c>
      <c r="AC103" s="1641">
        <f t="shared" ref="AC103:AC141" si="253">IF(AND(U103="--",V103="--",P103="--",O103="--"), "--", MIN(U103,V103,P103,O103))</f>
        <v>9.7587103357656151</v>
      </c>
      <c r="AD103" s="1646" t="str">
        <f t="shared" ref="AD103:AD134" si="254">IF(AC103=$R103,"MCL",IF(AC103=$S103,"Tapwater Cancer", IF(AC103=$T103,"Tapwater Noncancer",IF(AC103=$V103,"DW Taste &amp; Odor",IF(AC103=$P103,"VI",IF(AC103=$N103,"Seafood Ingestion",IF(AC103=$M103,"Saltwater EcoTox",IF(AC103=$L103,"FW EcoTox","Outdoor Odor"))))))))</f>
        <v>Tapwater Noncancer</v>
      </c>
      <c r="AE103" s="1642">
        <f t="shared" ref="AE103:AE141" si="255">IF(AND(T103="--",S103="--",V103="--",P103="--",O103="--",N103="--",M103="--"), "--", MIN(T103,S103,V103,P103,O103,N103,M103))</f>
        <v>9.7587103357656151</v>
      </c>
      <c r="AF103" s="1646" t="str">
        <f t="shared" ref="AF103:AF134" si="256">IF(AE103=$R103,"MCL",IF(AE103=$S103,"Tapwater Cancer", IF(AE103=$T103,"Tapwater Noncancer",IF(AE103=$V103,"DW Taste &amp; Odor",IF(AE103=$P103,"VI",IF(AE103=$N103,"Seafood Ingestion",IF(AE103=$M103,"Saltwater EcoTox",IF(AE103=$L103,"FW EcoTox","Outdoor Odor"))))))))</f>
        <v>Tapwater Noncancer</v>
      </c>
      <c r="AG103" s="1642">
        <f t="shared" ref="AG103:AG141" si="257">IF(AND(T103="--",S103="--",V103="--",P103="--",O103="--",N103="--",L103="--"), "--", MIN(T103,S103,V103,P103,O103,N103,L103))</f>
        <v>9.7587103357656151</v>
      </c>
      <c r="AH103" s="1646" t="str">
        <f t="shared" ref="AH103:AH134" si="258">IF(AG103=$R103,"MCL",IF(AG103=$S103,"Tapwater Cancer", IF(AG103=$T103,"Tapwater Noncancer",IF(AG103=$V103,"DW Taste &amp; Odor",IF(AG103=$P103,"VI",IF(AG103=$N103,"Seafood Ingestion",IF(AG103=$M103,"Saltwater EcoTox",IF(AG103=$L103,"FW EcoTox","Outdoor Odor"))))))))</f>
        <v>Tapwater Noncancer</v>
      </c>
      <c r="AI103" s="1642">
        <f t="shared" ref="AI103:AI141" si="259">IF(AND(T103="--",S103="--",V103="--",P103="--",O103="--",N103="--",M103="--",L103="--"), "--", MIN(T103,S103,V103,P103,O103,N103,M103,L103))</f>
        <v>9.7587103357656151</v>
      </c>
      <c r="AJ103" s="1646" t="str">
        <f t="shared" ref="AJ103:AJ134" si="260">IF(AI103=$R103,"MCL",IF(AI103=$S103,"Tapwater Cancer", IF(AI103=$T103,"Tapwater Noncancer",IF(AI103=$V103,"DW Taste &amp; Odor",IF(AI103=$P103,"VI",IF(AI103=$N103,"Seafood Ingestion",IF(AI103=$M103,"Saltwater EcoTox",IF(AI103=$L103,"FW EcoTox","Outdoor Odor"))))))))</f>
        <v>Tapwater Noncancer</v>
      </c>
      <c r="AK103" s="1641">
        <f t="shared" ref="AK103:AK141" si="261">IF(AND(T103="--",S103="--",V103="--",P103="--",O103="--"),"--",MIN(T103,S103,V103,P103,O103))</f>
        <v>9.7587103357656151</v>
      </c>
      <c r="AL103" s="1646" t="str">
        <f t="shared" ref="AL103:AL134" si="262">IF(AK103=$R103,"MCL",IF(AK103=$S103,"Tapwater Cancer", IF(AK103=$T103,"Tapwater Noncancer",IF(AK103=$V103,"DW Taste &amp; Odor",IF(AK103=$P103,"VI",IF(AK103=$N103,"Seafood Ingestion",IF(AK103=$M103,"Saltwater EcoTox",IF(AK103=$L103,"FW EcoTox","Outdoor Odor"))))))))</f>
        <v>Tapwater Noncancer</v>
      </c>
      <c r="AM103" s="1641">
        <f t="shared" ref="AM103:AM141" si="263">IF(AND(Q103="--",P103="--",O103="--",N103="--",M103="--"), "--", MIN(M103,N103,O103,P103,Q103))</f>
        <v>0</v>
      </c>
      <c r="AN103" s="1646" t="str">
        <f t="shared" ref="AN103:AN134" si="264">IF(AM103=$R103,"MCL",IF(AM103=$S103,"Tapwater Cancer", IF(AM103=$T103,"Tapwater Noncancer",IF(AM103=$V103,"DW Taste &amp; Odor",IF(AM103=$P103,"VI",IF(AM103=$N103,"Seafood Ingestion",IF(AM103=$M103,"Saltwater EcoTox",IF(AM103=$L103,"FW EcoTox","Outdoor Odor"))))))))</f>
        <v>VI</v>
      </c>
      <c r="AO103" s="1643">
        <f t="shared" ref="AO103:AO141" si="265">IF(AND(Q103="--",P103="--",O103="--",N103="--",L103="--"),"--",MIN(Q103,P103,O103,N103,L103))</f>
        <v>0</v>
      </c>
      <c r="AP103" s="1646" t="str">
        <f t="shared" ref="AP103:AP134" si="266">IF(AO103=$R103,"MCL",IF(AO103=$S103,"Tapwater Cancer", IF(AO103=$T103,"Tapwater Noncancer",IF(AO103=$V103,"DW Taste &amp; Odor",IF(AO103=$P103,"VI",IF(AO103=$N103,"Seafood Ingestion",IF(AO103=$M103,"Saltwater EcoTox",IF(AO103=$L103,"FW EcoTox","Outdoor Odor"))))))))</f>
        <v>VI</v>
      </c>
      <c r="AQ103" s="1643">
        <f t="shared" ref="AQ103:AQ141" si="267">IF(AND(Q103="--",P103="--",O103="--",N103="--",M103="--",L103="--"),"--",MIN(Q103,P103,O103,N103,M103,L103))</f>
        <v>0</v>
      </c>
      <c r="AR103" s="1646" t="str">
        <f t="shared" ref="AR103:AR134" si="268">IF(AQ103=$R103,"MCL",IF(AQ103=$S103,"Tapwater Cancer", IF(AQ103=$T103,"Tapwater Noncancer",IF(AQ103=$V103,"DW Taste &amp; Odor",IF(AQ103=$P103,"VI",IF(AQ103=$N103,"Seafood Ingestion",IF(AQ103=$M103,"Saltwater EcoTox",IF(AQ103=$L103,"FW EcoTox","Outdoor Odor"))))))))</f>
        <v>VI</v>
      </c>
      <c r="AS103" s="1644">
        <f t="shared" ref="AS103:AS141" si="269">IF(AND(Q103="--",P103="--",O103="--"),"--",MIN(Q103,P103,O103))</f>
        <v>0</v>
      </c>
      <c r="AT103" s="1891" t="str">
        <f t="shared" ref="AT103:AT134" si="270">IF(AS103=$R103,"MCL",IF(AS103=$S103,"Tapwater Cancer", IF(AS103=$T103,"Tapwater Noncancer",IF(AS103=$V103,"DW Taste &amp; Odor",IF(AS103=$P103,"VI",IF(AS103=$N103,"Seafood Ingestion",IF(AS103=$M103,"Saltwater EcoTox",IF(AS103=$L103,"FW EcoTox","Outdoor Odor"))))))))</f>
        <v>VI</v>
      </c>
      <c r="AU103" s="715" t="s">
        <v>115</v>
      </c>
      <c r="AV103" s="715" t="s">
        <v>115</v>
      </c>
      <c r="AW103" s="715" t="s">
        <v>115</v>
      </c>
      <c r="AX103" s="715" t="s">
        <v>115</v>
      </c>
      <c r="AY103" s="715" t="s">
        <v>115</v>
      </c>
      <c r="AZ103" s="715" t="s">
        <v>115</v>
      </c>
      <c r="BA103" s="715" t="s">
        <v>115</v>
      </c>
      <c r="BB103" s="715" t="s">
        <v>115</v>
      </c>
      <c r="BC103" s="715" t="s">
        <v>115</v>
      </c>
      <c r="BD103" s="715" t="s">
        <v>115</v>
      </c>
      <c r="BE103" s="715" t="s">
        <v>115</v>
      </c>
      <c r="BF103" s="2124" t="s">
        <v>115</v>
      </c>
    </row>
    <row r="104" spans="1:58">
      <c r="A104" s="1316" t="s">
        <v>271</v>
      </c>
      <c r="B104" s="346" t="s">
        <v>272</v>
      </c>
      <c r="C104" s="389" t="s">
        <v>115</v>
      </c>
      <c r="D104" s="715" t="s">
        <v>115</v>
      </c>
      <c r="E104" s="1788"/>
      <c r="F104" s="359"/>
      <c r="G104" s="359"/>
      <c r="H104" s="358"/>
      <c r="I104" s="348"/>
      <c r="J104" s="360"/>
      <c r="K104" s="361"/>
      <c r="L104" s="359"/>
      <c r="M104" s="359"/>
      <c r="N104" s="359"/>
      <c r="O104" s="359"/>
      <c r="P104" s="715"/>
      <c r="Q104" s="1281"/>
      <c r="R104" s="1786" t="str">
        <f t="shared" si="174"/>
        <v>--</v>
      </c>
      <c r="S104" s="1786" t="str">
        <f t="shared" si="219"/>
        <v>--</v>
      </c>
      <c r="T104" s="1786">
        <f t="shared" si="220"/>
        <v>18.453992005678288</v>
      </c>
      <c r="U104" s="1786">
        <f t="shared" si="156"/>
        <v>18.453992005678288</v>
      </c>
      <c r="V104" s="1786" t="str">
        <f t="shared" si="222"/>
        <v>--</v>
      </c>
      <c r="W104" s="1890">
        <f t="shared" si="247"/>
        <v>18.453992005678288</v>
      </c>
      <c r="X104" s="1646" t="str">
        <f t="shared" si="248"/>
        <v>Tapwater Noncancer</v>
      </c>
      <c r="Y104" s="1642">
        <f t="shared" si="249"/>
        <v>18.453992005678288</v>
      </c>
      <c r="Z104" s="1646" t="str">
        <f t="shared" si="250"/>
        <v>Tapwater Noncancer</v>
      </c>
      <c r="AA104" s="1642">
        <f t="shared" si="251"/>
        <v>18.453992005678288</v>
      </c>
      <c r="AB104" s="1646" t="str">
        <f t="shared" si="252"/>
        <v>Tapwater Noncancer</v>
      </c>
      <c r="AC104" s="1641">
        <f t="shared" si="253"/>
        <v>18.453992005678288</v>
      </c>
      <c r="AD104" s="1646" t="str">
        <f t="shared" si="254"/>
        <v>Tapwater Noncancer</v>
      </c>
      <c r="AE104" s="1642">
        <f t="shared" si="255"/>
        <v>18.453992005678288</v>
      </c>
      <c r="AF104" s="1646" t="str">
        <f t="shared" si="256"/>
        <v>Tapwater Noncancer</v>
      </c>
      <c r="AG104" s="1642">
        <f t="shared" si="257"/>
        <v>18.453992005678288</v>
      </c>
      <c r="AH104" s="1646" t="str">
        <f t="shared" si="258"/>
        <v>Tapwater Noncancer</v>
      </c>
      <c r="AI104" s="1642">
        <f t="shared" si="259"/>
        <v>18.453992005678288</v>
      </c>
      <c r="AJ104" s="1646" t="str">
        <f t="shared" si="260"/>
        <v>Tapwater Noncancer</v>
      </c>
      <c r="AK104" s="1641">
        <f t="shared" si="261"/>
        <v>18.453992005678288</v>
      </c>
      <c r="AL104" s="1646" t="str">
        <f t="shared" si="262"/>
        <v>Tapwater Noncancer</v>
      </c>
      <c r="AM104" s="1641">
        <f t="shared" si="263"/>
        <v>0</v>
      </c>
      <c r="AN104" s="1646" t="str">
        <f t="shared" si="264"/>
        <v>VI</v>
      </c>
      <c r="AO104" s="1643">
        <f t="shared" si="265"/>
        <v>0</v>
      </c>
      <c r="AP104" s="1646" t="str">
        <f t="shared" si="266"/>
        <v>VI</v>
      </c>
      <c r="AQ104" s="1643">
        <f t="shared" si="267"/>
        <v>0</v>
      </c>
      <c r="AR104" s="1646" t="str">
        <f t="shared" si="268"/>
        <v>VI</v>
      </c>
      <c r="AS104" s="1644">
        <f t="shared" si="269"/>
        <v>0</v>
      </c>
      <c r="AT104" s="1891" t="str">
        <f t="shared" si="270"/>
        <v>VI</v>
      </c>
      <c r="AU104" s="715" t="s">
        <v>115</v>
      </c>
      <c r="AV104" s="715" t="s">
        <v>115</v>
      </c>
      <c r="AW104" s="715" t="s">
        <v>115</v>
      </c>
      <c r="AX104" s="715" t="s">
        <v>115</v>
      </c>
      <c r="AY104" s="715" t="s">
        <v>115</v>
      </c>
      <c r="AZ104" s="715" t="s">
        <v>115</v>
      </c>
      <c r="BA104" s="715" t="s">
        <v>115</v>
      </c>
      <c r="BB104" s="715" t="s">
        <v>115</v>
      </c>
      <c r="BC104" s="715" t="s">
        <v>115</v>
      </c>
      <c r="BD104" s="715" t="s">
        <v>115</v>
      </c>
      <c r="BE104" s="715" t="s">
        <v>115</v>
      </c>
      <c r="BF104" s="2124" t="s">
        <v>115</v>
      </c>
    </row>
    <row r="105" spans="1:58">
      <c r="A105" s="1316" t="s">
        <v>273</v>
      </c>
      <c r="B105" s="346" t="s">
        <v>274</v>
      </c>
      <c r="C105" s="389" t="s">
        <v>115</v>
      </c>
      <c r="D105" s="715" t="s">
        <v>115</v>
      </c>
      <c r="E105" s="1788"/>
      <c r="F105" s="359"/>
      <c r="G105" s="359"/>
      <c r="H105" s="358"/>
      <c r="I105" s="348"/>
      <c r="J105" s="360"/>
      <c r="K105" s="361"/>
      <c r="L105" s="359"/>
      <c r="M105" s="359"/>
      <c r="N105" s="359"/>
      <c r="O105" s="359"/>
      <c r="P105" s="715"/>
      <c r="Q105" s="1281"/>
      <c r="R105" s="1786" t="str">
        <f t="shared" si="174"/>
        <v>--</v>
      </c>
      <c r="S105" s="1786" t="str">
        <f t="shared" si="219"/>
        <v>--</v>
      </c>
      <c r="T105" s="1786" t="str">
        <f t="shared" si="220"/>
        <v>--</v>
      </c>
      <c r="U105" s="1786" t="str">
        <f t="shared" si="156"/>
        <v>--</v>
      </c>
      <c r="V105" s="1786" t="str">
        <f t="shared" si="222"/>
        <v>--</v>
      </c>
      <c r="W105" s="1890">
        <f t="shared" si="247"/>
        <v>0</v>
      </c>
      <c r="X105" s="1646" t="str">
        <f t="shared" si="248"/>
        <v>VI</v>
      </c>
      <c r="Y105" s="1642">
        <f t="shared" si="249"/>
        <v>0</v>
      </c>
      <c r="Z105" s="1646" t="str">
        <f t="shared" si="250"/>
        <v>VI</v>
      </c>
      <c r="AA105" s="1642">
        <f t="shared" si="251"/>
        <v>0</v>
      </c>
      <c r="AB105" s="1646" t="str">
        <f t="shared" si="252"/>
        <v>VI</v>
      </c>
      <c r="AC105" s="1641">
        <f t="shared" si="253"/>
        <v>0</v>
      </c>
      <c r="AD105" s="1646" t="str">
        <f t="shared" si="254"/>
        <v>VI</v>
      </c>
      <c r="AE105" s="1642">
        <f t="shared" si="255"/>
        <v>0</v>
      </c>
      <c r="AF105" s="1646" t="str">
        <f t="shared" si="256"/>
        <v>VI</v>
      </c>
      <c r="AG105" s="1642">
        <f t="shared" si="257"/>
        <v>0</v>
      </c>
      <c r="AH105" s="1646" t="str">
        <f t="shared" si="258"/>
        <v>VI</v>
      </c>
      <c r="AI105" s="1642">
        <f t="shared" si="259"/>
        <v>0</v>
      </c>
      <c r="AJ105" s="1646" t="str">
        <f t="shared" si="260"/>
        <v>VI</v>
      </c>
      <c r="AK105" s="1641">
        <f t="shared" si="261"/>
        <v>0</v>
      </c>
      <c r="AL105" s="1646" t="str">
        <f t="shared" si="262"/>
        <v>VI</v>
      </c>
      <c r="AM105" s="1641">
        <f t="shared" si="263"/>
        <v>0</v>
      </c>
      <c r="AN105" s="1646" t="str">
        <f t="shared" si="264"/>
        <v>VI</v>
      </c>
      <c r="AO105" s="1643">
        <f t="shared" si="265"/>
        <v>0</v>
      </c>
      <c r="AP105" s="1646" t="str">
        <f t="shared" si="266"/>
        <v>VI</v>
      </c>
      <c r="AQ105" s="1643">
        <f t="shared" si="267"/>
        <v>0</v>
      </c>
      <c r="AR105" s="1646" t="str">
        <f t="shared" si="268"/>
        <v>VI</v>
      </c>
      <c r="AS105" s="1644">
        <f t="shared" si="269"/>
        <v>0</v>
      </c>
      <c r="AT105" s="1891" t="str">
        <f t="shared" si="270"/>
        <v>VI</v>
      </c>
      <c r="AU105" s="715" t="s">
        <v>115</v>
      </c>
      <c r="AV105" s="715" t="s">
        <v>115</v>
      </c>
      <c r="AW105" s="715" t="s">
        <v>115</v>
      </c>
      <c r="AX105" s="715" t="s">
        <v>115</v>
      </c>
      <c r="AY105" s="715" t="s">
        <v>115</v>
      </c>
      <c r="AZ105" s="715" t="s">
        <v>115</v>
      </c>
      <c r="BA105" s="715" t="s">
        <v>115</v>
      </c>
      <c r="BB105" s="715" t="s">
        <v>115</v>
      </c>
      <c r="BC105" s="715" t="s">
        <v>115</v>
      </c>
      <c r="BD105" s="715" t="s">
        <v>115</v>
      </c>
      <c r="BE105" s="715" t="s">
        <v>115</v>
      </c>
      <c r="BF105" s="2124" t="s">
        <v>115</v>
      </c>
    </row>
    <row r="106" spans="1:58">
      <c r="A106" s="1316" t="s">
        <v>275</v>
      </c>
      <c r="B106" s="346" t="s">
        <v>276</v>
      </c>
      <c r="C106" s="389" t="s">
        <v>115</v>
      </c>
      <c r="D106" s="715" t="s">
        <v>115</v>
      </c>
      <c r="E106" s="1788"/>
      <c r="F106" s="359"/>
      <c r="G106" s="359"/>
      <c r="H106" s="358"/>
      <c r="I106" s="348"/>
      <c r="J106" s="360"/>
      <c r="K106" s="361"/>
      <c r="L106" s="359"/>
      <c r="M106" s="359"/>
      <c r="N106" s="359"/>
      <c r="O106" s="359"/>
      <c r="P106" s="715"/>
      <c r="Q106" s="1281"/>
      <c r="R106" s="1786" t="str">
        <f t="shared" si="174"/>
        <v>--</v>
      </c>
      <c r="S106" s="1786" t="str">
        <f t="shared" si="219"/>
        <v>--</v>
      </c>
      <c r="T106" s="1786">
        <f t="shared" si="220"/>
        <v>9.9189668276470293</v>
      </c>
      <c r="U106" s="1786">
        <f t="shared" si="156"/>
        <v>9.9189668276470293</v>
      </c>
      <c r="V106" s="1786" t="str">
        <f t="shared" si="222"/>
        <v>--</v>
      </c>
      <c r="W106" s="1890">
        <f t="shared" si="247"/>
        <v>9.9189668276470293</v>
      </c>
      <c r="X106" s="1646" t="str">
        <f t="shared" si="248"/>
        <v>Tapwater Noncancer</v>
      </c>
      <c r="Y106" s="1642">
        <f t="shared" si="249"/>
        <v>9.9189668276470293</v>
      </c>
      <c r="Z106" s="1646" t="str">
        <f t="shared" si="250"/>
        <v>Tapwater Noncancer</v>
      </c>
      <c r="AA106" s="1642">
        <f t="shared" si="251"/>
        <v>9.9189668276470293</v>
      </c>
      <c r="AB106" s="1646" t="str">
        <f t="shared" si="252"/>
        <v>Tapwater Noncancer</v>
      </c>
      <c r="AC106" s="1641">
        <f t="shared" si="253"/>
        <v>9.9189668276470293</v>
      </c>
      <c r="AD106" s="1646" t="str">
        <f t="shared" si="254"/>
        <v>Tapwater Noncancer</v>
      </c>
      <c r="AE106" s="1642">
        <f t="shared" si="255"/>
        <v>9.9189668276470293</v>
      </c>
      <c r="AF106" s="1646" t="str">
        <f t="shared" si="256"/>
        <v>Tapwater Noncancer</v>
      </c>
      <c r="AG106" s="1642">
        <f t="shared" si="257"/>
        <v>9.9189668276470293</v>
      </c>
      <c r="AH106" s="1646" t="str">
        <f t="shared" si="258"/>
        <v>Tapwater Noncancer</v>
      </c>
      <c r="AI106" s="1642">
        <f t="shared" si="259"/>
        <v>9.9189668276470293</v>
      </c>
      <c r="AJ106" s="1646" t="str">
        <f t="shared" si="260"/>
        <v>Tapwater Noncancer</v>
      </c>
      <c r="AK106" s="1641">
        <f t="shared" si="261"/>
        <v>9.9189668276470293</v>
      </c>
      <c r="AL106" s="1646" t="str">
        <f t="shared" si="262"/>
        <v>Tapwater Noncancer</v>
      </c>
      <c r="AM106" s="1641">
        <f t="shared" si="263"/>
        <v>0</v>
      </c>
      <c r="AN106" s="1646" t="str">
        <f t="shared" si="264"/>
        <v>VI</v>
      </c>
      <c r="AO106" s="1643">
        <f t="shared" si="265"/>
        <v>0</v>
      </c>
      <c r="AP106" s="1646" t="str">
        <f t="shared" si="266"/>
        <v>VI</v>
      </c>
      <c r="AQ106" s="1643">
        <f t="shared" si="267"/>
        <v>0</v>
      </c>
      <c r="AR106" s="1646" t="str">
        <f t="shared" si="268"/>
        <v>VI</v>
      </c>
      <c r="AS106" s="1644">
        <f t="shared" si="269"/>
        <v>0</v>
      </c>
      <c r="AT106" s="1891" t="str">
        <f t="shared" si="270"/>
        <v>VI</v>
      </c>
      <c r="AU106" s="715" t="s">
        <v>115</v>
      </c>
      <c r="AV106" s="715" t="s">
        <v>115</v>
      </c>
      <c r="AW106" s="715" t="s">
        <v>115</v>
      </c>
      <c r="AX106" s="715" t="s">
        <v>115</v>
      </c>
      <c r="AY106" s="715" t="s">
        <v>115</v>
      </c>
      <c r="AZ106" s="715" t="s">
        <v>115</v>
      </c>
      <c r="BA106" s="715" t="s">
        <v>115</v>
      </c>
      <c r="BB106" s="715" t="s">
        <v>115</v>
      </c>
      <c r="BC106" s="715" t="s">
        <v>115</v>
      </c>
      <c r="BD106" s="715" t="s">
        <v>115</v>
      </c>
      <c r="BE106" s="715" t="s">
        <v>115</v>
      </c>
      <c r="BF106" s="2124" t="s">
        <v>115</v>
      </c>
    </row>
    <row r="107" spans="1:58">
      <c r="A107" s="1316" t="s">
        <v>277</v>
      </c>
      <c r="B107" s="346" t="s">
        <v>278</v>
      </c>
      <c r="C107" s="389" t="s">
        <v>115</v>
      </c>
      <c r="D107" s="715" t="s">
        <v>115</v>
      </c>
      <c r="E107" s="1788"/>
      <c r="F107" s="359"/>
      <c r="G107" s="359"/>
      <c r="H107" s="358"/>
      <c r="I107" s="348"/>
      <c r="J107" s="360"/>
      <c r="K107" s="361"/>
      <c r="L107" s="359"/>
      <c r="M107" s="359"/>
      <c r="N107" s="359"/>
      <c r="O107" s="359"/>
      <c r="P107" s="715"/>
      <c r="Q107" s="1281"/>
      <c r="R107" s="1786" t="str">
        <f t="shared" si="174"/>
        <v>--</v>
      </c>
      <c r="S107" s="1786" t="str">
        <f t="shared" si="219"/>
        <v>--</v>
      </c>
      <c r="T107" s="1786" t="str">
        <f t="shared" si="220"/>
        <v>--</v>
      </c>
      <c r="U107" s="1786" t="str">
        <f t="shared" si="156"/>
        <v>--</v>
      </c>
      <c r="V107" s="1786" t="str">
        <f t="shared" si="222"/>
        <v>--</v>
      </c>
      <c r="W107" s="1890">
        <f t="shared" si="247"/>
        <v>0</v>
      </c>
      <c r="X107" s="1646" t="str">
        <f t="shared" si="248"/>
        <v>VI</v>
      </c>
      <c r="Y107" s="1642">
        <f t="shared" si="249"/>
        <v>0</v>
      </c>
      <c r="Z107" s="1646" t="str">
        <f t="shared" si="250"/>
        <v>VI</v>
      </c>
      <c r="AA107" s="1642">
        <f t="shared" si="251"/>
        <v>0</v>
      </c>
      <c r="AB107" s="1646" t="str">
        <f t="shared" si="252"/>
        <v>VI</v>
      </c>
      <c r="AC107" s="1641">
        <f t="shared" si="253"/>
        <v>0</v>
      </c>
      <c r="AD107" s="1646" t="str">
        <f t="shared" si="254"/>
        <v>VI</v>
      </c>
      <c r="AE107" s="1642">
        <f t="shared" si="255"/>
        <v>0</v>
      </c>
      <c r="AF107" s="1646" t="str">
        <f t="shared" si="256"/>
        <v>VI</v>
      </c>
      <c r="AG107" s="1642">
        <f t="shared" si="257"/>
        <v>0</v>
      </c>
      <c r="AH107" s="1646" t="str">
        <f t="shared" si="258"/>
        <v>VI</v>
      </c>
      <c r="AI107" s="1642">
        <f t="shared" si="259"/>
        <v>0</v>
      </c>
      <c r="AJ107" s="1646" t="str">
        <f t="shared" si="260"/>
        <v>VI</v>
      </c>
      <c r="AK107" s="1641">
        <f t="shared" si="261"/>
        <v>0</v>
      </c>
      <c r="AL107" s="1646" t="str">
        <f t="shared" si="262"/>
        <v>VI</v>
      </c>
      <c r="AM107" s="1641">
        <f t="shared" si="263"/>
        <v>0</v>
      </c>
      <c r="AN107" s="1646" t="str">
        <f t="shared" si="264"/>
        <v>VI</v>
      </c>
      <c r="AO107" s="1643">
        <f t="shared" si="265"/>
        <v>0</v>
      </c>
      <c r="AP107" s="1646" t="str">
        <f t="shared" si="266"/>
        <v>VI</v>
      </c>
      <c r="AQ107" s="1643">
        <f t="shared" si="267"/>
        <v>0</v>
      </c>
      <c r="AR107" s="1646" t="str">
        <f t="shared" si="268"/>
        <v>VI</v>
      </c>
      <c r="AS107" s="1644">
        <f t="shared" si="269"/>
        <v>0</v>
      </c>
      <c r="AT107" s="1891" t="str">
        <f t="shared" si="270"/>
        <v>VI</v>
      </c>
      <c r="AU107" s="715" t="s">
        <v>115</v>
      </c>
      <c r="AV107" s="715" t="s">
        <v>115</v>
      </c>
      <c r="AW107" s="715" t="s">
        <v>115</v>
      </c>
      <c r="AX107" s="715" t="s">
        <v>115</v>
      </c>
      <c r="AY107" s="715" t="s">
        <v>115</v>
      </c>
      <c r="AZ107" s="715" t="s">
        <v>115</v>
      </c>
      <c r="BA107" s="715" t="s">
        <v>115</v>
      </c>
      <c r="BB107" s="715" t="s">
        <v>115</v>
      </c>
      <c r="BC107" s="715" t="s">
        <v>115</v>
      </c>
      <c r="BD107" s="715" t="s">
        <v>115</v>
      </c>
      <c r="BE107" s="715" t="s">
        <v>115</v>
      </c>
      <c r="BF107" s="2124" t="s">
        <v>115</v>
      </c>
    </row>
    <row r="108" spans="1:58">
      <c r="A108" s="1316" t="s">
        <v>279</v>
      </c>
      <c r="B108" s="346" t="s">
        <v>280</v>
      </c>
      <c r="C108" s="389" t="s">
        <v>115</v>
      </c>
      <c r="D108" s="715" t="s">
        <v>115</v>
      </c>
      <c r="E108" s="1788"/>
      <c r="F108" s="359"/>
      <c r="G108" s="359"/>
      <c r="H108" s="358"/>
      <c r="I108" s="348"/>
      <c r="J108" s="360"/>
      <c r="K108" s="361"/>
      <c r="L108" s="359"/>
      <c r="M108" s="359"/>
      <c r="N108" s="359"/>
      <c r="O108" s="359"/>
      <c r="P108" s="715"/>
      <c r="Q108" s="1281"/>
      <c r="R108" s="1786">
        <f t="shared" si="174"/>
        <v>4.0000000000000001E-3</v>
      </c>
      <c r="S108" s="1786">
        <f t="shared" si="219"/>
        <v>2.6541431534365369E-6</v>
      </c>
      <c r="T108" s="1786">
        <f t="shared" si="220"/>
        <v>6.0064085489063045E-4</v>
      </c>
      <c r="U108" s="1786">
        <f t="shared" si="156"/>
        <v>4.0000000000000001E-3</v>
      </c>
      <c r="V108" s="1786" t="str">
        <f t="shared" si="222"/>
        <v>--</v>
      </c>
      <c r="W108" s="1890">
        <f t="shared" si="247"/>
        <v>4.0000000000000001E-3</v>
      </c>
      <c r="X108" s="1646" t="str">
        <f t="shared" si="248"/>
        <v>MCL</v>
      </c>
      <c r="Y108" s="1642">
        <f t="shared" si="249"/>
        <v>4.0000000000000001E-3</v>
      </c>
      <c r="Z108" s="1646" t="str">
        <f t="shared" si="250"/>
        <v>MCL</v>
      </c>
      <c r="AA108" s="1642">
        <f t="shared" si="251"/>
        <v>4.0000000000000001E-3</v>
      </c>
      <c r="AB108" s="1646" t="str">
        <f t="shared" si="252"/>
        <v>MCL</v>
      </c>
      <c r="AC108" s="1641">
        <f t="shared" si="253"/>
        <v>4.0000000000000001E-3</v>
      </c>
      <c r="AD108" s="1646" t="str">
        <f t="shared" si="254"/>
        <v>MCL</v>
      </c>
      <c r="AE108" s="1642">
        <f t="shared" si="255"/>
        <v>2.6541431534365369E-6</v>
      </c>
      <c r="AF108" s="1646" t="str">
        <f t="shared" si="256"/>
        <v>Tapwater Cancer</v>
      </c>
      <c r="AG108" s="1642">
        <f t="shared" si="257"/>
        <v>2.6541431534365369E-6</v>
      </c>
      <c r="AH108" s="1646" t="str">
        <f t="shared" si="258"/>
        <v>Tapwater Cancer</v>
      </c>
      <c r="AI108" s="1642">
        <f t="shared" si="259"/>
        <v>2.6541431534365369E-6</v>
      </c>
      <c r="AJ108" s="1646" t="str">
        <f t="shared" si="260"/>
        <v>Tapwater Cancer</v>
      </c>
      <c r="AK108" s="1641">
        <f t="shared" si="261"/>
        <v>2.6541431534365369E-6</v>
      </c>
      <c r="AL108" s="1646" t="str">
        <f t="shared" si="262"/>
        <v>Tapwater Cancer</v>
      </c>
      <c r="AM108" s="1641">
        <f t="shared" si="263"/>
        <v>0</v>
      </c>
      <c r="AN108" s="1646" t="str">
        <f t="shared" si="264"/>
        <v>VI</v>
      </c>
      <c r="AO108" s="1643">
        <f t="shared" si="265"/>
        <v>0</v>
      </c>
      <c r="AP108" s="1646" t="str">
        <f t="shared" si="266"/>
        <v>VI</v>
      </c>
      <c r="AQ108" s="1643">
        <f t="shared" si="267"/>
        <v>0</v>
      </c>
      <c r="AR108" s="1646" t="str">
        <f t="shared" si="268"/>
        <v>VI</v>
      </c>
      <c r="AS108" s="1644">
        <f t="shared" si="269"/>
        <v>0</v>
      </c>
      <c r="AT108" s="1891" t="str">
        <f t="shared" si="270"/>
        <v>VI</v>
      </c>
      <c r="AU108" s="715" t="s">
        <v>115</v>
      </c>
      <c r="AV108" s="715" t="s">
        <v>115</v>
      </c>
      <c r="AW108" s="715" t="s">
        <v>115</v>
      </c>
      <c r="AX108" s="715" t="s">
        <v>115</v>
      </c>
      <c r="AY108" s="715" t="s">
        <v>115</v>
      </c>
      <c r="AZ108" s="715" t="s">
        <v>115</v>
      </c>
      <c r="BA108" s="715" t="s">
        <v>115</v>
      </c>
      <c r="BB108" s="715" t="s">
        <v>115</v>
      </c>
      <c r="BC108" s="715" t="s">
        <v>115</v>
      </c>
      <c r="BD108" s="715" t="s">
        <v>115</v>
      </c>
      <c r="BE108" s="715" t="s">
        <v>115</v>
      </c>
      <c r="BF108" s="2124" t="s">
        <v>115</v>
      </c>
    </row>
    <row r="109" spans="1:58">
      <c r="A109" s="1316" t="s">
        <v>281</v>
      </c>
      <c r="B109" s="346" t="s">
        <v>282</v>
      </c>
      <c r="C109" s="389" t="s">
        <v>115</v>
      </c>
      <c r="D109" s="715" t="s">
        <v>115</v>
      </c>
      <c r="E109" s="1788"/>
      <c r="F109" s="359"/>
      <c r="G109" s="359"/>
      <c r="H109" s="358"/>
      <c r="I109" s="348"/>
      <c r="J109" s="360"/>
      <c r="K109" s="361"/>
      <c r="L109" s="359"/>
      <c r="M109" s="359"/>
      <c r="N109" s="359"/>
      <c r="O109" s="359"/>
      <c r="P109" s="715"/>
      <c r="Q109" s="1281"/>
      <c r="R109" s="1786" t="str">
        <f t="shared" si="174"/>
        <v>&lt; 0.01 (HI Calc)</v>
      </c>
      <c r="S109" s="1786" t="str">
        <f t="shared" si="219"/>
        <v>--</v>
      </c>
      <c r="T109" s="1786">
        <f t="shared" si="220"/>
        <v>5.8910209303611336E-2</v>
      </c>
      <c r="U109" s="1786" t="str">
        <f t="shared" si="156"/>
        <v>&lt; 0.01 (HI Calc)</v>
      </c>
      <c r="V109" s="1786" t="str">
        <f t="shared" si="222"/>
        <v>--</v>
      </c>
      <c r="W109" s="1890">
        <f t="shared" si="247"/>
        <v>0</v>
      </c>
      <c r="X109" s="1646" t="str">
        <f t="shared" si="248"/>
        <v>VI</v>
      </c>
      <c r="Y109" s="1642">
        <f t="shared" si="249"/>
        <v>0</v>
      </c>
      <c r="Z109" s="1646" t="str">
        <f t="shared" si="250"/>
        <v>VI</v>
      </c>
      <c r="AA109" s="1642">
        <f t="shared" si="251"/>
        <v>0</v>
      </c>
      <c r="AB109" s="1646" t="str">
        <f t="shared" si="252"/>
        <v>VI</v>
      </c>
      <c r="AC109" s="1641">
        <f t="shared" si="253"/>
        <v>0</v>
      </c>
      <c r="AD109" s="1646" t="str">
        <f t="shared" si="254"/>
        <v>VI</v>
      </c>
      <c r="AE109" s="1642">
        <f t="shared" si="255"/>
        <v>5.8910209303611336E-2</v>
      </c>
      <c r="AF109" s="1646" t="str">
        <f t="shared" si="256"/>
        <v>Tapwater Noncancer</v>
      </c>
      <c r="AG109" s="1642">
        <f t="shared" si="257"/>
        <v>5.8910209303611336E-2</v>
      </c>
      <c r="AH109" s="1646" t="str">
        <f t="shared" si="258"/>
        <v>Tapwater Noncancer</v>
      </c>
      <c r="AI109" s="1642">
        <f t="shared" si="259"/>
        <v>5.8910209303611336E-2</v>
      </c>
      <c r="AJ109" s="1646" t="str">
        <f t="shared" si="260"/>
        <v>Tapwater Noncancer</v>
      </c>
      <c r="AK109" s="1641">
        <f t="shared" si="261"/>
        <v>5.8910209303611336E-2</v>
      </c>
      <c r="AL109" s="1646" t="str">
        <f t="shared" si="262"/>
        <v>Tapwater Noncancer</v>
      </c>
      <c r="AM109" s="1641">
        <f t="shared" si="263"/>
        <v>0</v>
      </c>
      <c r="AN109" s="1646" t="str">
        <f t="shared" si="264"/>
        <v>VI</v>
      </c>
      <c r="AO109" s="1643">
        <f t="shared" si="265"/>
        <v>0</v>
      </c>
      <c r="AP109" s="1646" t="str">
        <f t="shared" si="266"/>
        <v>VI</v>
      </c>
      <c r="AQ109" s="1643">
        <f t="shared" si="267"/>
        <v>0</v>
      </c>
      <c r="AR109" s="1646" t="str">
        <f t="shared" si="268"/>
        <v>VI</v>
      </c>
      <c r="AS109" s="1644">
        <f t="shared" si="269"/>
        <v>0</v>
      </c>
      <c r="AT109" s="1891" t="str">
        <f t="shared" si="270"/>
        <v>VI</v>
      </c>
      <c r="AU109" s="715" t="s">
        <v>115</v>
      </c>
      <c r="AV109" s="715" t="s">
        <v>115</v>
      </c>
      <c r="AW109" s="715" t="s">
        <v>115</v>
      </c>
      <c r="AX109" s="715" t="s">
        <v>115</v>
      </c>
      <c r="AY109" s="715" t="s">
        <v>115</v>
      </c>
      <c r="AZ109" s="715" t="s">
        <v>115</v>
      </c>
      <c r="BA109" s="715" t="s">
        <v>115</v>
      </c>
      <c r="BB109" s="715" t="s">
        <v>115</v>
      </c>
      <c r="BC109" s="715" t="s">
        <v>115</v>
      </c>
      <c r="BD109" s="715" t="s">
        <v>115</v>
      </c>
      <c r="BE109" s="715" t="s">
        <v>115</v>
      </c>
      <c r="BF109" s="2124" t="s">
        <v>115</v>
      </c>
    </row>
    <row r="110" spans="1:58">
      <c r="A110" s="1316" t="s">
        <v>283</v>
      </c>
      <c r="B110" s="346" t="s">
        <v>284</v>
      </c>
      <c r="C110" s="389" t="s">
        <v>115</v>
      </c>
      <c r="D110" s="715" t="s">
        <v>115</v>
      </c>
      <c r="E110" s="1788"/>
      <c r="F110" s="359"/>
      <c r="G110" s="359"/>
      <c r="H110" s="358"/>
      <c r="I110" s="348"/>
      <c r="J110" s="360"/>
      <c r="K110" s="361"/>
      <c r="L110" s="359"/>
      <c r="M110" s="359"/>
      <c r="N110" s="359"/>
      <c r="O110" s="359"/>
      <c r="P110" s="715"/>
      <c r="Q110" s="1281"/>
      <c r="R110" s="1786" t="str">
        <f t="shared" si="174"/>
        <v>--</v>
      </c>
      <c r="S110" s="1786" t="str">
        <f t="shared" si="219"/>
        <v>--</v>
      </c>
      <c r="T110" s="1786">
        <f t="shared" si="220"/>
        <v>4.0109890109890117E-5</v>
      </c>
      <c r="U110" s="1786">
        <f t="shared" si="156"/>
        <v>4.0109890109890117E-5</v>
      </c>
      <c r="V110" s="1786" t="str">
        <f t="shared" si="222"/>
        <v>--</v>
      </c>
      <c r="W110" s="1890">
        <f t="shared" si="247"/>
        <v>4.0109890109890117E-5</v>
      </c>
      <c r="X110" s="1646" t="str">
        <f t="shared" si="248"/>
        <v>Tapwater Noncancer</v>
      </c>
      <c r="Y110" s="1642">
        <f t="shared" si="249"/>
        <v>4.0109890109890117E-5</v>
      </c>
      <c r="Z110" s="1646" t="str">
        <f t="shared" si="250"/>
        <v>Tapwater Noncancer</v>
      </c>
      <c r="AA110" s="1642">
        <f t="shared" si="251"/>
        <v>4.0109890109890117E-5</v>
      </c>
      <c r="AB110" s="1646" t="str">
        <f t="shared" si="252"/>
        <v>Tapwater Noncancer</v>
      </c>
      <c r="AC110" s="1641">
        <f t="shared" si="253"/>
        <v>4.0109890109890117E-5</v>
      </c>
      <c r="AD110" s="1646" t="str">
        <f t="shared" si="254"/>
        <v>Tapwater Noncancer</v>
      </c>
      <c r="AE110" s="1642">
        <f t="shared" si="255"/>
        <v>4.0109890109890117E-5</v>
      </c>
      <c r="AF110" s="1646" t="str">
        <f t="shared" si="256"/>
        <v>Tapwater Noncancer</v>
      </c>
      <c r="AG110" s="1642">
        <f t="shared" si="257"/>
        <v>4.0109890109890117E-5</v>
      </c>
      <c r="AH110" s="1646" t="str">
        <f t="shared" si="258"/>
        <v>Tapwater Noncancer</v>
      </c>
      <c r="AI110" s="1642">
        <f t="shared" si="259"/>
        <v>4.0109890109890117E-5</v>
      </c>
      <c r="AJ110" s="1646" t="str">
        <f t="shared" si="260"/>
        <v>Tapwater Noncancer</v>
      </c>
      <c r="AK110" s="1641">
        <f t="shared" si="261"/>
        <v>4.0109890109890117E-5</v>
      </c>
      <c r="AL110" s="1646" t="str">
        <f t="shared" si="262"/>
        <v>Tapwater Noncancer</v>
      </c>
      <c r="AM110" s="1641">
        <f t="shared" si="263"/>
        <v>0</v>
      </c>
      <c r="AN110" s="1646" t="str">
        <f t="shared" si="264"/>
        <v>VI</v>
      </c>
      <c r="AO110" s="1643">
        <f t="shared" si="265"/>
        <v>0</v>
      </c>
      <c r="AP110" s="1646" t="str">
        <f t="shared" si="266"/>
        <v>VI</v>
      </c>
      <c r="AQ110" s="1643">
        <f t="shared" si="267"/>
        <v>0</v>
      </c>
      <c r="AR110" s="1646" t="str">
        <f t="shared" si="268"/>
        <v>VI</v>
      </c>
      <c r="AS110" s="1644">
        <f t="shared" si="269"/>
        <v>0</v>
      </c>
      <c r="AT110" s="1891" t="str">
        <f t="shared" si="270"/>
        <v>VI</v>
      </c>
      <c r="AU110" s="715" t="s">
        <v>115</v>
      </c>
      <c r="AV110" s="715" t="s">
        <v>115</v>
      </c>
      <c r="AW110" s="715" t="s">
        <v>115</v>
      </c>
      <c r="AX110" s="715" t="s">
        <v>115</v>
      </c>
      <c r="AY110" s="715" t="s">
        <v>115</v>
      </c>
      <c r="AZ110" s="715" t="s">
        <v>115</v>
      </c>
      <c r="BA110" s="715" t="s">
        <v>115</v>
      </c>
      <c r="BB110" s="715" t="s">
        <v>115</v>
      </c>
      <c r="BC110" s="715" t="s">
        <v>115</v>
      </c>
      <c r="BD110" s="715" t="s">
        <v>115</v>
      </c>
      <c r="BE110" s="715" t="s">
        <v>115</v>
      </c>
      <c r="BF110" s="2124" t="s">
        <v>115</v>
      </c>
    </row>
    <row r="111" spans="1:58">
      <c r="A111" s="1316" t="s">
        <v>285</v>
      </c>
      <c r="B111" s="346" t="s">
        <v>286</v>
      </c>
      <c r="C111" s="389" t="s">
        <v>115</v>
      </c>
      <c r="D111" s="715" t="s">
        <v>115</v>
      </c>
      <c r="E111" s="1788"/>
      <c r="F111" s="359"/>
      <c r="G111" s="359"/>
      <c r="H111" s="358"/>
      <c r="I111" s="348"/>
      <c r="J111" s="360"/>
      <c r="K111" s="361"/>
      <c r="L111" s="359"/>
      <c r="M111" s="359"/>
      <c r="N111" s="359"/>
      <c r="O111" s="359"/>
      <c r="P111" s="715"/>
      <c r="Q111" s="1281"/>
      <c r="R111" s="1786" t="str">
        <f t="shared" si="174"/>
        <v>--</v>
      </c>
      <c r="S111" s="1786" t="str">
        <f t="shared" si="219"/>
        <v>--</v>
      </c>
      <c r="T111" s="1786">
        <f t="shared" si="220"/>
        <v>6.0164835164835164</v>
      </c>
      <c r="U111" s="1786">
        <f t="shared" si="156"/>
        <v>6.0164835164835164</v>
      </c>
      <c r="V111" s="1786" t="str">
        <f t="shared" si="222"/>
        <v>--</v>
      </c>
      <c r="W111" s="1890">
        <f t="shared" si="247"/>
        <v>6.0164835164835164</v>
      </c>
      <c r="X111" s="1646" t="str">
        <f t="shared" si="248"/>
        <v>Tapwater Noncancer</v>
      </c>
      <c r="Y111" s="1642">
        <f t="shared" si="249"/>
        <v>6.0164835164835164</v>
      </c>
      <c r="Z111" s="1646" t="str">
        <f t="shared" si="250"/>
        <v>Tapwater Noncancer</v>
      </c>
      <c r="AA111" s="1642">
        <f t="shared" si="251"/>
        <v>6.0164835164835164</v>
      </c>
      <c r="AB111" s="1646" t="str">
        <f t="shared" si="252"/>
        <v>Tapwater Noncancer</v>
      </c>
      <c r="AC111" s="1641">
        <f t="shared" si="253"/>
        <v>6.0164835164835164</v>
      </c>
      <c r="AD111" s="1646" t="str">
        <f t="shared" si="254"/>
        <v>Tapwater Noncancer</v>
      </c>
      <c r="AE111" s="1642">
        <f t="shared" si="255"/>
        <v>6.0164835164835164</v>
      </c>
      <c r="AF111" s="1646" t="str">
        <f t="shared" si="256"/>
        <v>Tapwater Noncancer</v>
      </c>
      <c r="AG111" s="1642">
        <f t="shared" si="257"/>
        <v>6.0164835164835164</v>
      </c>
      <c r="AH111" s="1646" t="str">
        <f t="shared" si="258"/>
        <v>Tapwater Noncancer</v>
      </c>
      <c r="AI111" s="1642">
        <f t="shared" si="259"/>
        <v>6.0164835164835164</v>
      </c>
      <c r="AJ111" s="1646" t="str">
        <f t="shared" si="260"/>
        <v>Tapwater Noncancer</v>
      </c>
      <c r="AK111" s="1641">
        <f t="shared" si="261"/>
        <v>6.0164835164835164</v>
      </c>
      <c r="AL111" s="1646" t="str">
        <f t="shared" si="262"/>
        <v>Tapwater Noncancer</v>
      </c>
      <c r="AM111" s="1641">
        <f t="shared" si="263"/>
        <v>0</v>
      </c>
      <c r="AN111" s="1646" t="str">
        <f t="shared" si="264"/>
        <v>VI</v>
      </c>
      <c r="AO111" s="1643">
        <f t="shared" si="265"/>
        <v>0</v>
      </c>
      <c r="AP111" s="1646" t="str">
        <f t="shared" si="266"/>
        <v>VI</v>
      </c>
      <c r="AQ111" s="1643">
        <f t="shared" si="267"/>
        <v>0</v>
      </c>
      <c r="AR111" s="1646" t="str">
        <f t="shared" si="268"/>
        <v>VI</v>
      </c>
      <c r="AS111" s="1644">
        <f t="shared" si="269"/>
        <v>0</v>
      </c>
      <c r="AT111" s="1891" t="str">
        <f t="shared" si="270"/>
        <v>VI</v>
      </c>
      <c r="AU111" s="715" t="s">
        <v>115</v>
      </c>
      <c r="AV111" s="715" t="s">
        <v>115</v>
      </c>
      <c r="AW111" s="715" t="s">
        <v>115</v>
      </c>
      <c r="AX111" s="715" t="s">
        <v>115</v>
      </c>
      <c r="AY111" s="715" t="s">
        <v>115</v>
      </c>
      <c r="AZ111" s="715" t="s">
        <v>115</v>
      </c>
      <c r="BA111" s="715" t="s">
        <v>115</v>
      </c>
      <c r="BB111" s="715" t="s">
        <v>115</v>
      </c>
      <c r="BC111" s="715" t="s">
        <v>115</v>
      </c>
      <c r="BD111" s="715" t="s">
        <v>115</v>
      </c>
      <c r="BE111" s="715" t="s">
        <v>115</v>
      </c>
      <c r="BF111" s="2124" t="s">
        <v>115</v>
      </c>
    </row>
    <row r="112" spans="1:58">
      <c r="A112" s="1316" t="s">
        <v>287</v>
      </c>
      <c r="B112" s="346" t="s">
        <v>288</v>
      </c>
      <c r="C112" s="389" t="s">
        <v>115</v>
      </c>
      <c r="D112" s="715" t="s">
        <v>115</v>
      </c>
      <c r="E112" s="1788"/>
      <c r="F112" s="359"/>
      <c r="G112" s="359"/>
      <c r="H112" s="358"/>
      <c r="I112" s="348"/>
      <c r="J112" s="360"/>
      <c r="K112" s="361"/>
      <c r="L112" s="359"/>
      <c r="M112" s="359"/>
      <c r="N112" s="359"/>
      <c r="O112" s="359"/>
      <c r="P112" s="715"/>
      <c r="Q112" s="1281"/>
      <c r="R112" s="1786" t="str">
        <f t="shared" si="174"/>
        <v>--</v>
      </c>
      <c r="S112" s="1786" t="str">
        <f t="shared" si="219"/>
        <v>--</v>
      </c>
      <c r="T112" s="1786">
        <f t="shared" si="220"/>
        <v>1.0027472527472527</v>
      </c>
      <c r="U112" s="1786">
        <f t="shared" si="156"/>
        <v>1.0027472527472527</v>
      </c>
      <c r="V112" s="1786" t="str">
        <f t="shared" si="222"/>
        <v>--</v>
      </c>
      <c r="W112" s="1890">
        <f t="shared" si="247"/>
        <v>1.0027472527472527</v>
      </c>
      <c r="X112" s="1646" t="str">
        <f t="shared" si="248"/>
        <v>Tapwater Noncancer</v>
      </c>
      <c r="Y112" s="1642">
        <f t="shared" si="249"/>
        <v>1.0027472527472527</v>
      </c>
      <c r="Z112" s="1646" t="str">
        <f t="shared" si="250"/>
        <v>Tapwater Noncancer</v>
      </c>
      <c r="AA112" s="1642">
        <f t="shared" si="251"/>
        <v>1.0027472527472527</v>
      </c>
      <c r="AB112" s="1646" t="str">
        <f t="shared" si="252"/>
        <v>Tapwater Noncancer</v>
      </c>
      <c r="AC112" s="1641">
        <f t="shared" si="253"/>
        <v>1.0027472527472527</v>
      </c>
      <c r="AD112" s="1646" t="str">
        <f t="shared" si="254"/>
        <v>Tapwater Noncancer</v>
      </c>
      <c r="AE112" s="1642">
        <f t="shared" si="255"/>
        <v>1.0027472527472527</v>
      </c>
      <c r="AF112" s="1646" t="str">
        <f t="shared" si="256"/>
        <v>Tapwater Noncancer</v>
      </c>
      <c r="AG112" s="1642">
        <f t="shared" si="257"/>
        <v>1.0027472527472527</v>
      </c>
      <c r="AH112" s="1646" t="str">
        <f t="shared" si="258"/>
        <v>Tapwater Noncancer</v>
      </c>
      <c r="AI112" s="1642">
        <f t="shared" si="259"/>
        <v>1.0027472527472527</v>
      </c>
      <c r="AJ112" s="1646" t="str">
        <f t="shared" si="260"/>
        <v>Tapwater Noncancer</v>
      </c>
      <c r="AK112" s="1641">
        <f t="shared" si="261"/>
        <v>1.0027472527472527</v>
      </c>
      <c r="AL112" s="1646" t="str">
        <f t="shared" si="262"/>
        <v>Tapwater Noncancer</v>
      </c>
      <c r="AM112" s="1641">
        <f t="shared" si="263"/>
        <v>0</v>
      </c>
      <c r="AN112" s="1646" t="str">
        <f t="shared" si="264"/>
        <v>VI</v>
      </c>
      <c r="AO112" s="1643">
        <f t="shared" si="265"/>
        <v>0</v>
      </c>
      <c r="AP112" s="1646" t="str">
        <f t="shared" si="266"/>
        <v>VI</v>
      </c>
      <c r="AQ112" s="1643">
        <f t="shared" si="267"/>
        <v>0</v>
      </c>
      <c r="AR112" s="1646" t="str">
        <f t="shared" si="268"/>
        <v>VI</v>
      </c>
      <c r="AS112" s="1644">
        <f t="shared" si="269"/>
        <v>0</v>
      </c>
      <c r="AT112" s="1891" t="str">
        <f t="shared" si="270"/>
        <v>VI</v>
      </c>
      <c r="AU112" s="715" t="s">
        <v>115</v>
      </c>
      <c r="AV112" s="715" t="s">
        <v>115</v>
      </c>
      <c r="AW112" s="715" t="s">
        <v>115</v>
      </c>
      <c r="AX112" s="715" t="s">
        <v>115</v>
      </c>
      <c r="AY112" s="715" t="s">
        <v>115</v>
      </c>
      <c r="AZ112" s="715" t="s">
        <v>115</v>
      </c>
      <c r="BA112" s="715" t="s">
        <v>115</v>
      </c>
      <c r="BB112" s="715" t="s">
        <v>115</v>
      </c>
      <c r="BC112" s="715" t="s">
        <v>115</v>
      </c>
      <c r="BD112" s="715" t="s">
        <v>115</v>
      </c>
      <c r="BE112" s="715" t="s">
        <v>115</v>
      </c>
      <c r="BF112" s="2124" t="s">
        <v>115</v>
      </c>
    </row>
    <row r="113" spans="1:58">
      <c r="A113" s="1316" t="s">
        <v>289</v>
      </c>
      <c r="B113" s="346" t="s">
        <v>290</v>
      </c>
      <c r="C113" s="389" t="s">
        <v>115</v>
      </c>
      <c r="D113" s="715" t="s">
        <v>115</v>
      </c>
      <c r="E113" s="1788"/>
      <c r="F113" s="359"/>
      <c r="G113" s="359"/>
      <c r="H113" s="358"/>
      <c r="I113" s="348"/>
      <c r="J113" s="360"/>
      <c r="K113" s="361"/>
      <c r="L113" s="359"/>
      <c r="M113" s="359"/>
      <c r="N113" s="359"/>
      <c r="O113" s="359"/>
      <c r="P113" s="715"/>
      <c r="Q113" s="1281"/>
      <c r="R113" s="1786" t="str">
        <f t="shared" si="174"/>
        <v>--</v>
      </c>
      <c r="S113" s="1786" t="str">
        <f t="shared" si="219"/>
        <v>--</v>
      </c>
      <c r="T113" s="1786">
        <f t="shared" si="220"/>
        <v>20.054945054945055</v>
      </c>
      <c r="U113" s="1786">
        <f t="shared" si="156"/>
        <v>20.054945054945055</v>
      </c>
      <c r="V113" s="1786" t="str">
        <f t="shared" si="222"/>
        <v>--</v>
      </c>
      <c r="W113" s="1890">
        <f t="shared" si="247"/>
        <v>20.054945054945055</v>
      </c>
      <c r="X113" s="1646" t="str">
        <f t="shared" si="248"/>
        <v>Tapwater Noncancer</v>
      </c>
      <c r="Y113" s="1642">
        <f t="shared" si="249"/>
        <v>20.054945054945055</v>
      </c>
      <c r="Z113" s="1646" t="str">
        <f t="shared" si="250"/>
        <v>Tapwater Noncancer</v>
      </c>
      <c r="AA113" s="1642">
        <f t="shared" si="251"/>
        <v>20.054945054945055</v>
      </c>
      <c r="AB113" s="1646" t="str">
        <f t="shared" si="252"/>
        <v>Tapwater Noncancer</v>
      </c>
      <c r="AC113" s="1641">
        <f t="shared" si="253"/>
        <v>20.054945054945055</v>
      </c>
      <c r="AD113" s="1646" t="str">
        <f t="shared" si="254"/>
        <v>Tapwater Noncancer</v>
      </c>
      <c r="AE113" s="1642">
        <f t="shared" si="255"/>
        <v>20.054945054945055</v>
      </c>
      <c r="AF113" s="1646" t="str">
        <f t="shared" si="256"/>
        <v>Tapwater Noncancer</v>
      </c>
      <c r="AG113" s="1642">
        <f t="shared" si="257"/>
        <v>20.054945054945055</v>
      </c>
      <c r="AH113" s="1646" t="str">
        <f t="shared" si="258"/>
        <v>Tapwater Noncancer</v>
      </c>
      <c r="AI113" s="1642">
        <f t="shared" si="259"/>
        <v>20.054945054945055</v>
      </c>
      <c r="AJ113" s="1646" t="str">
        <f t="shared" si="260"/>
        <v>Tapwater Noncancer</v>
      </c>
      <c r="AK113" s="1641">
        <f t="shared" si="261"/>
        <v>20.054945054945055</v>
      </c>
      <c r="AL113" s="1646" t="str">
        <f t="shared" si="262"/>
        <v>Tapwater Noncancer</v>
      </c>
      <c r="AM113" s="1641">
        <f t="shared" si="263"/>
        <v>0</v>
      </c>
      <c r="AN113" s="1646" t="str">
        <f t="shared" si="264"/>
        <v>VI</v>
      </c>
      <c r="AO113" s="1643">
        <f t="shared" si="265"/>
        <v>0</v>
      </c>
      <c r="AP113" s="1646" t="str">
        <f t="shared" si="266"/>
        <v>VI</v>
      </c>
      <c r="AQ113" s="1643">
        <f t="shared" si="267"/>
        <v>0</v>
      </c>
      <c r="AR113" s="1646" t="str">
        <f t="shared" si="268"/>
        <v>VI</v>
      </c>
      <c r="AS113" s="1644">
        <f t="shared" si="269"/>
        <v>0</v>
      </c>
      <c r="AT113" s="1891" t="str">
        <f t="shared" si="270"/>
        <v>VI</v>
      </c>
      <c r="AU113" s="715" t="s">
        <v>115</v>
      </c>
      <c r="AV113" s="715" t="s">
        <v>115</v>
      </c>
      <c r="AW113" s="715" t="s">
        <v>115</v>
      </c>
      <c r="AX113" s="715" t="s">
        <v>115</v>
      </c>
      <c r="AY113" s="715" t="s">
        <v>115</v>
      </c>
      <c r="AZ113" s="715" t="s">
        <v>115</v>
      </c>
      <c r="BA113" s="715" t="s">
        <v>115</v>
      </c>
      <c r="BB113" s="715" t="s">
        <v>115</v>
      </c>
      <c r="BC113" s="715" t="s">
        <v>115</v>
      </c>
      <c r="BD113" s="715" t="s">
        <v>115</v>
      </c>
      <c r="BE113" s="715" t="s">
        <v>115</v>
      </c>
      <c r="BF113" s="2124" t="s">
        <v>115</v>
      </c>
    </row>
    <row r="114" spans="1:58">
      <c r="A114" s="1316" t="s">
        <v>291</v>
      </c>
      <c r="B114" s="346" t="s">
        <v>292</v>
      </c>
      <c r="C114" s="389" t="s">
        <v>115</v>
      </c>
      <c r="D114" s="715" t="s">
        <v>115</v>
      </c>
      <c r="E114" s="1788"/>
      <c r="F114" s="359"/>
      <c r="G114" s="359"/>
      <c r="H114" s="358"/>
      <c r="I114" s="348"/>
      <c r="J114" s="360"/>
      <c r="K114" s="361"/>
      <c r="L114" s="359"/>
      <c r="M114" s="359"/>
      <c r="N114" s="359"/>
      <c r="O114" s="359"/>
      <c r="P114" s="715"/>
      <c r="Q114" s="1281"/>
      <c r="R114" s="1786" t="str">
        <f t="shared" si="174"/>
        <v>--</v>
      </c>
      <c r="S114" s="1786" t="str">
        <f t="shared" si="219"/>
        <v>--</v>
      </c>
      <c r="T114" s="1786">
        <f t="shared" si="220"/>
        <v>802.19780219780216</v>
      </c>
      <c r="U114" s="1786">
        <f t="shared" si="156"/>
        <v>802.19780219780216</v>
      </c>
      <c r="V114" s="1786" t="str">
        <f t="shared" si="222"/>
        <v>--</v>
      </c>
      <c r="W114" s="1890">
        <f t="shared" si="247"/>
        <v>802.19780219780216</v>
      </c>
      <c r="X114" s="1646" t="str">
        <f t="shared" si="248"/>
        <v>Tapwater Noncancer</v>
      </c>
      <c r="Y114" s="1642">
        <f t="shared" si="249"/>
        <v>802.19780219780216</v>
      </c>
      <c r="Z114" s="1646" t="str">
        <f t="shared" si="250"/>
        <v>Tapwater Noncancer</v>
      </c>
      <c r="AA114" s="1642">
        <f t="shared" si="251"/>
        <v>802.19780219780216</v>
      </c>
      <c r="AB114" s="1646" t="str">
        <f t="shared" si="252"/>
        <v>Tapwater Noncancer</v>
      </c>
      <c r="AC114" s="1641">
        <f t="shared" si="253"/>
        <v>802.19780219780216</v>
      </c>
      <c r="AD114" s="1646" t="str">
        <f t="shared" si="254"/>
        <v>Tapwater Noncancer</v>
      </c>
      <c r="AE114" s="1642">
        <f t="shared" si="255"/>
        <v>802.19780219780216</v>
      </c>
      <c r="AF114" s="1646" t="str">
        <f t="shared" si="256"/>
        <v>Tapwater Noncancer</v>
      </c>
      <c r="AG114" s="1642">
        <f t="shared" si="257"/>
        <v>802.19780219780216</v>
      </c>
      <c r="AH114" s="1646" t="str">
        <f t="shared" si="258"/>
        <v>Tapwater Noncancer</v>
      </c>
      <c r="AI114" s="1642">
        <f t="shared" si="259"/>
        <v>802.19780219780216</v>
      </c>
      <c r="AJ114" s="1646" t="str">
        <f t="shared" si="260"/>
        <v>Tapwater Noncancer</v>
      </c>
      <c r="AK114" s="1641">
        <f t="shared" si="261"/>
        <v>802.19780219780216</v>
      </c>
      <c r="AL114" s="1646" t="str">
        <f t="shared" si="262"/>
        <v>Tapwater Noncancer</v>
      </c>
      <c r="AM114" s="1641">
        <f t="shared" si="263"/>
        <v>0</v>
      </c>
      <c r="AN114" s="1646" t="str">
        <f t="shared" si="264"/>
        <v>VI</v>
      </c>
      <c r="AO114" s="1643">
        <f t="shared" si="265"/>
        <v>0</v>
      </c>
      <c r="AP114" s="1646" t="str">
        <f t="shared" si="266"/>
        <v>VI</v>
      </c>
      <c r="AQ114" s="1643">
        <f t="shared" si="267"/>
        <v>0</v>
      </c>
      <c r="AR114" s="1646" t="str">
        <f t="shared" si="268"/>
        <v>VI</v>
      </c>
      <c r="AS114" s="1644">
        <f t="shared" si="269"/>
        <v>0</v>
      </c>
      <c r="AT114" s="1891" t="str">
        <f t="shared" si="270"/>
        <v>VI</v>
      </c>
      <c r="AU114" s="715" t="s">
        <v>115</v>
      </c>
      <c r="AV114" s="715" t="s">
        <v>115</v>
      </c>
      <c r="AW114" s="715" t="s">
        <v>115</v>
      </c>
      <c r="AX114" s="715" t="s">
        <v>115</v>
      </c>
      <c r="AY114" s="715" t="s">
        <v>115</v>
      </c>
      <c r="AZ114" s="715" t="s">
        <v>115</v>
      </c>
      <c r="BA114" s="715" t="s">
        <v>115</v>
      </c>
      <c r="BB114" s="715" t="s">
        <v>115</v>
      </c>
      <c r="BC114" s="715" t="s">
        <v>115</v>
      </c>
      <c r="BD114" s="715" t="s">
        <v>115</v>
      </c>
      <c r="BE114" s="715" t="s">
        <v>115</v>
      </c>
      <c r="BF114" s="2124" t="s">
        <v>115</v>
      </c>
    </row>
    <row r="115" spans="1:58">
      <c r="A115" s="1316" t="s">
        <v>293</v>
      </c>
      <c r="B115" s="346" t="s">
        <v>294</v>
      </c>
      <c r="C115" s="389" t="s">
        <v>115</v>
      </c>
      <c r="D115" s="715" t="s">
        <v>115</v>
      </c>
      <c r="E115" s="1788"/>
      <c r="F115" s="359"/>
      <c r="G115" s="359"/>
      <c r="H115" s="358"/>
      <c r="I115" s="348"/>
      <c r="J115" s="360"/>
      <c r="K115" s="361"/>
      <c r="L115" s="359"/>
      <c r="M115" s="359"/>
      <c r="N115" s="359"/>
      <c r="O115" s="359"/>
      <c r="P115" s="715"/>
      <c r="Q115" s="1281"/>
      <c r="R115" s="1786" t="str">
        <f t="shared" si="174"/>
        <v>&lt; 2.0 (HI Calc)</v>
      </c>
      <c r="S115" s="1786" t="str">
        <f t="shared" si="219"/>
        <v>--</v>
      </c>
      <c r="T115" s="1786">
        <f t="shared" si="220"/>
        <v>0.5</v>
      </c>
      <c r="U115" s="1786" t="str">
        <f t="shared" si="156"/>
        <v>&lt; 2.0 (HI Calc)</v>
      </c>
      <c r="V115" s="1786" t="str">
        <f t="shared" si="222"/>
        <v>--</v>
      </c>
      <c r="W115" s="1890">
        <f t="shared" si="247"/>
        <v>0</v>
      </c>
      <c r="X115" s="1646" t="str">
        <f t="shared" si="248"/>
        <v>VI</v>
      </c>
      <c r="Y115" s="1642">
        <f t="shared" si="249"/>
        <v>0</v>
      </c>
      <c r="Z115" s="1646" t="str">
        <f t="shared" si="250"/>
        <v>VI</v>
      </c>
      <c r="AA115" s="1642">
        <f t="shared" si="251"/>
        <v>0</v>
      </c>
      <c r="AB115" s="1646" t="str">
        <f t="shared" si="252"/>
        <v>VI</v>
      </c>
      <c r="AC115" s="1641">
        <f t="shared" si="253"/>
        <v>0</v>
      </c>
      <c r="AD115" s="1646" t="str">
        <f t="shared" si="254"/>
        <v>VI</v>
      </c>
      <c r="AE115" s="1642">
        <f t="shared" si="255"/>
        <v>0.5</v>
      </c>
      <c r="AF115" s="1646" t="str">
        <f t="shared" si="256"/>
        <v>Tapwater Noncancer</v>
      </c>
      <c r="AG115" s="1642">
        <f t="shared" si="257"/>
        <v>0.5</v>
      </c>
      <c r="AH115" s="1646" t="str">
        <f t="shared" si="258"/>
        <v>Tapwater Noncancer</v>
      </c>
      <c r="AI115" s="1642">
        <f t="shared" si="259"/>
        <v>0.5</v>
      </c>
      <c r="AJ115" s="1646" t="str">
        <f t="shared" si="260"/>
        <v>Tapwater Noncancer</v>
      </c>
      <c r="AK115" s="1641">
        <f t="shared" si="261"/>
        <v>0.5</v>
      </c>
      <c r="AL115" s="1646" t="str">
        <f t="shared" si="262"/>
        <v>Tapwater Noncancer</v>
      </c>
      <c r="AM115" s="1641">
        <f t="shared" si="263"/>
        <v>0</v>
      </c>
      <c r="AN115" s="1646" t="str">
        <f t="shared" si="264"/>
        <v>VI</v>
      </c>
      <c r="AO115" s="1643">
        <f t="shared" si="265"/>
        <v>0</v>
      </c>
      <c r="AP115" s="1646" t="str">
        <f t="shared" si="266"/>
        <v>VI</v>
      </c>
      <c r="AQ115" s="1643">
        <f t="shared" si="267"/>
        <v>0</v>
      </c>
      <c r="AR115" s="1646" t="str">
        <f t="shared" si="268"/>
        <v>VI</v>
      </c>
      <c r="AS115" s="1644">
        <f t="shared" si="269"/>
        <v>0</v>
      </c>
      <c r="AT115" s="1891" t="str">
        <f t="shared" si="270"/>
        <v>VI</v>
      </c>
      <c r="AU115" s="715" t="s">
        <v>115</v>
      </c>
      <c r="AV115" s="715" t="s">
        <v>115</v>
      </c>
      <c r="AW115" s="715" t="s">
        <v>115</v>
      </c>
      <c r="AX115" s="715" t="s">
        <v>115</v>
      </c>
      <c r="AY115" s="715" t="s">
        <v>115</v>
      </c>
      <c r="AZ115" s="715" t="s">
        <v>115</v>
      </c>
      <c r="BA115" s="715" t="s">
        <v>115</v>
      </c>
      <c r="BB115" s="715" t="s">
        <v>115</v>
      </c>
      <c r="BC115" s="715" t="s">
        <v>115</v>
      </c>
      <c r="BD115" s="715" t="s">
        <v>115</v>
      </c>
      <c r="BE115" s="715" t="s">
        <v>115</v>
      </c>
      <c r="BF115" s="2124" t="s">
        <v>115</v>
      </c>
    </row>
    <row r="116" spans="1:58">
      <c r="A116" s="1316" t="s">
        <v>295</v>
      </c>
      <c r="B116" s="346" t="s">
        <v>296</v>
      </c>
      <c r="C116" s="389" t="s">
        <v>115</v>
      </c>
      <c r="D116" s="715" t="s">
        <v>115</v>
      </c>
      <c r="E116" s="1788"/>
      <c r="F116" s="359"/>
      <c r="G116" s="359"/>
      <c r="H116" s="358"/>
      <c r="I116" s="348"/>
      <c r="J116" s="360"/>
      <c r="K116" s="361"/>
      <c r="L116" s="359"/>
      <c r="M116" s="359"/>
      <c r="N116" s="359"/>
      <c r="O116" s="359"/>
      <c r="P116" s="715"/>
      <c r="Q116" s="1281"/>
      <c r="R116" s="1786" t="str">
        <f t="shared" si="174"/>
        <v>&lt; 0.01 (HI Calc)</v>
      </c>
      <c r="S116" s="1786" t="str">
        <f t="shared" si="219"/>
        <v>--</v>
      </c>
      <c r="T116" s="1786">
        <f t="shared" si="220"/>
        <v>3.0000000000000001E-3</v>
      </c>
      <c r="U116" s="1786" t="str">
        <f t="shared" si="156"/>
        <v>&lt; 0.01 (HI Calc)</v>
      </c>
      <c r="V116" s="1786" t="str">
        <f t="shared" si="222"/>
        <v>--</v>
      </c>
      <c r="W116" s="1890">
        <f t="shared" si="247"/>
        <v>0</v>
      </c>
      <c r="X116" s="1646" t="str">
        <f t="shared" si="248"/>
        <v>VI</v>
      </c>
      <c r="Y116" s="1642">
        <f t="shared" si="249"/>
        <v>0</v>
      </c>
      <c r="Z116" s="1646" t="str">
        <f t="shared" si="250"/>
        <v>VI</v>
      </c>
      <c r="AA116" s="1642">
        <f t="shared" si="251"/>
        <v>0</v>
      </c>
      <c r="AB116" s="1646" t="str">
        <f t="shared" si="252"/>
        <v>VI</v>
      </c>
      <c r="AC116" s="1641">
        <f t="shared" si="253"/>
        <v>0</v>
      </c>
      <c r="AD116" s="1646" t="str">
        <f t="shared" si="254"/>
        <v>VI</v>
      </c>
      <c r="AE116" s="1642">
        <f t="shared" si="255"/>
        <v>3.0000000000000001E-3</v>
      </c>
      <c r="AF116" s="1646" t="str">
        <f t="shared" si="256"/>
        <v>Tapwater Noncancer</v>
      </c>
      <c r="AG116" s="1642">
        <f t="shared" si="257"/>
        <v>3.0000000000000001E-3</v>
      </c>
      <c r="AH116" s="1646" t="str">
        <f t="shared" si="258"/>
        <v>Tapwater Noncancer</v>
      </c>
      <c r="AI116" s="1642">
        <f t="shared" si="259"/>
        <v>3.0000000000000001E-3</v>
      </c>
      <c r="AJ116" s="1646" t="str">
        <f t="shared" si="260"/>
        <v>Tapwater Noncancer</v>
      </c>
      <c r="AK116" s="1641">
        <f t="shared" si="261"/>
        <v>3.0000000000000001E-3</v>
      </c>
      <c r="AL116" s="1646" t="str">
        <f t="shared" si="262"/>
        <v>Tapwater Noncancer</v>
      </c>
      <c r="AM116" s="1641">
        <f t="shared" si="263"/>
        <v>0</v>
      </c>
      <c r="AN116" s="1646" t="str">
        <f t="shared" si="264"/>
        <v>VI</v>
      </c>
      <c r="AO116" s="1643">
        <f t="shared" si="265"/>
        <v>0</v>
      </c>
      <c r="AP116" s="1646" t="str">
        <f t="shared" si="266"/>
        <v>VI</v>
      </c>
      <c r="AQ116" s="1643">
        <f t="shared" si="267"/>
        <v>0</v>
      </c>
      <c r="AR116" s="1646" t="str">
        <f t="shared" si="268"/>
        <v>VI</v>
      </c>
      <c r="AS116" s="1644">
        <f t="shared" si="269"/>
        <v>0</v>
      </c>
      <c r="AT116" s="1891" t="str">
        <f t="shared" si="270"/>
        <v>VI</v>
      </c>
      <c r="AU116" s="715" t="s">
        <v>115</v>
      </c>
      <c r="AV116" s="715" t="s">
        <v>115</v>
      </c>
      <c r="AW116" s="715" t="s">
        <v>115</v>
      </c>
      <c r="AX116" s="715" t="s">
        <v>115</v>
      </c>
      <c r="AY116" s="715" t="s">
        <v>115</v>
      </c>
      <c r="AZ116" s="715" t="s">
        <v>115</v>
      </c>
      <c r="BA116" s="715" t="s">
        <v>115</v>
      </c>
      <c r="BB116" s="715" t="s">
        <v>115</v>
      </c>
      <c r="BC116" s="715" t="s">
        <v>115</v>
      </c>
      <c r="BD116" s="715" t="s">
        <v>115</v>
      </c>
      <c r="BE116" s="715" t="s">
        <v>115</v>
      </c>
      <c r="BF116" s="2124" t="s">
        <v>115</v>
      </c>
    </row>
    <row r="117" spans="1:58">
      <c r="A117" s="1316" t="s">
        <v>297</v>
      </c>
      <c r="B117" s="346" t="s">
        <v>298</v>
      </c>
      <c r="C117" s="389" t="s">
        <v>115</v>
      </c>
      <c r="D117" s="715" t="s">
        <v>115</v>
      </c>
      <c r="E117" s="1788"/>
      <c r="F117" s="359"/>
      <c r="G117" s="359"/>
      <c r="H117" s="358"/>
      <c r="I117" s="348"/>
      <c r="J117" s="360"/>
      <c r="K117" s="361"/>
      <c r="L117" s="359"/>
      <c r="M117" s="359"/>
      <c r="N117" s="359"/>
      <c r="O117" s="359"/>
      <c r="P117" s="715"/>
      <c r="Q117" s="1281"/>
      <c r="R117" s="1786">
        <f t="shared" si="174"/>
        <v>4.0000000000000001E-3</v>
      </c>
      <c r="S117" s="1786">
        <f t="shared" si="219"/>
        <v>1E-3</v>
      </c>
      <c r="T117" s="1786">
        <f t="shared" si="220"/>
        <v>2.0054945054945057E-3</v>
      </c>
      <c r="U117" s="1786">
        <f t="shared" si="156"/>
        <v>4.0000000000000001E-3</v>
      </c>
      <c r="V117" s="1786" t="str">
        <f t="shared" si="222"/>
        <v>--</v>
      </c>
      <c r="W117" s="1890">
        <f t="shared" si="247"/>
        <v>4.0000000000000001E-3</v>
      </c>
      <c r="X117" s="1646" t="str">
        <f t="shared" si="248"/>
        <v>MCL</v>
      </c>
      <c r="Y117" s="1642">
        <f t="shared" si="249"/>
        <v>4.0000000000000001E-3</v>
      </c>
      <c r="Z117" s="1646" t="str">
        <f t="shared" si="250"/>
        <v>MCL</v>
      </c>
      <c r="AA117" s="1642">
        <f t="shared" si="251"/>
        <v>4.0000000000000001E-3</v>
      </c>
      <c r="AB117" s="1646" t="str">
        <f t="shared" si="252"/>
        <v>MCL</v>
      </c>
      <c r="AC117" s="1641">
        <f t="shared" si="253"/>
        <v>4.0000000000000001E-3</v>
      </c>
      <c r="AD117" s="1646" t="str">
        <f t="shared" si="254"/>
        <v>MCL</v>
      </c>
      <c r="AE117" s="1642">
        <f t="shared" si="255"/>
        <v>1E-3</v>
      </c>
      <c r="AF117" s="1646" t="str">
        <f t="shared" si="256"/>
        <v>Tapwater Cancer</v>
      </c>
      <c r="AG117" s="1642">
        <f t="shared" si="257"/>
        <v>1E-3</v>
      </c>
      <c r="AH117" s="1646" t="str">
        <f t="shared" si="258"/>
        <v>Tapwater Cancer</v>
      </c>
      <c r="AI117" s="1642">
        <f t="shared" si="259"/>
        <v>1E-3</v>
      </c>
      <c r="AJ117" s="1646" t="str">
        <f t="shared" si="260"/>
        <v>Tapwater Cancer</v>
      </c>
      <c r="AK117" s="1641">
        <f t="shared" si="261"/>
        <v>1E-3</v>
      </c>
      <c r="AL117" s="1646" t="str">
        <f t="shared" si="262"/>
        <v>Tapwater Cancer</v>
      </c>
      <c r="AM117" s="1641">
        <f t="shared" si="263"/>
        <v>0</v>
      </c>
      <c r="AN117" s="1646" t="str">
        <f t="shared" si="264"/>
        <v>VI</v>
      </c>
      <c r="AO117" s="1643">
        <f t="shared" si="265"/>
        <v>0</v>
      </c>
      <c r="AP117" s="1646" t="str">
        <f t="shared" si="266"/>
        <v>VI</v>
      </c>
      <c r="AQ117" s="1643">
        <f t="shared" si="267"/>
        <v>0</v>
      </c>
      <c r="AR117" s="1646" t="str">
        <f t="shared" si="268"/>
        <v>VI</v>
      </c>
      <c r="AS117" s="1644">
        <f t="shared" si="269"/>
        <v>0</v>
      </c>
      <c r="AT117" s="1891" t="str">
        <f t="shared" si="270"/>
        <v>VI</v>
      </c>
      <c r="AU117" s="715" t="s">
        <v>115</v>
      </c>
      <c r="AV117" s="715" t="s">
        <v>115</v>
      </c>
      <c r="AW117" s="715" t="s">
        <v>115</v>
      </c>
      <c r="AX117" s="715" t="s">
        <v>115</v>
      </c>
      <c r="AY117" s="715" t="s">
        <v>115</v>
      </c>
      <c r="AZ117" s="715" t="s">
        <v>115</v>
      </c>
      <c r="BA117" s="715" t="s">
        <v>115</v>
      </c>
      <c r="BB117" s="715" t="s">
        <v>115</v>
      </c>
      <c r="BC117" s="715" t="s">
        <v>115</v>
      </c>
      <c r="BD117" s="715" t="s">
        <v>115</v>
      </c>
      <c r="BE117" s="715" t="s">
        <v>115</v>
      </c>
      <c r="BF117" s="2124" t="s">
        <v>115</v>
      </c>
    </row>
    <row r="118" spans="1:58">
      <c r="A118" s="1316" t="s">
        <v>299</v>
      </c>
      <c r="B118" s="346" t="s">
        <v>300</v>
      </c>
      <c r="C118" s="389" t="s">
        <v>115</v>
      </c>
      <c r="D118" s="715" t="s">
        <v>115</v>
      </c>
      <c r="E118" s="1788"/>
      <c r="F118" s="359"/>
      <c r="G118" s="359"/>
      <c r="H118" s="358"/>
      <c r="I118" s="348"/>
      <c r="J118" s="360"/>
      <c r="K118" s="361"/>
      <c r="L118" s="359"/>
      <c r="M118" s="359"/>
      <c r="N118" s="359"/>
      <c r="O118" s="359"/>
      <c r="P118" s="715"/>
      <c r="Q118" s="1281"/>
      <c r="R118" s="1786" t="str">
        <f t="shared" si="174"/>
        <v>&lt; 0.01 (HI Calc)</v>
      </c>
      <c r="S118" s="1786" t="str">
        <f t="shared" si="219"/>
        <v>--</v>
      </c>
      <c r="T118" s="1786">
        <f t="shared" si="220"/>
        <v>1.4565820195734285E-2</v>
      </c>
      <c r="U118" s="1786" t="str">
        <f t="shared" si="156"/>
        <v>&lt; 0.01 (HI Calc)</v>
      </c>
      <c r="V118" s="1786" t="str">
        <f t="shared" si="222"/>
        <v>--</v>
      </c>
      <c r="W118" s="1890">
        <f t="shared" si="247"/>
        <v>0</v>
      </c>
      <c r="X118" s="1646" t="str">
        <f t="shared" si="248"/>
        <v>VI</v>
      </c>
      <c r="Y118" s="1642">
        <f t="shared" si="249"/>
        <v>0</v>
      </c>
      <c r="Z118" s="1646" t="str">
        <f t="shared" si="250"/>
        <v>VI</v>
      </c>
      <c r="AA118" s="1642">
        <f t="shared" si="251"/>
        <v>0</v>
      </c>
      <c r="AB118" s="1646" t="str">
        <f t="shared" si="252"/>
        <v>VI</v>
      </c>
      <c r="AC118" s="1641">
        <f t="shared" si="253"/>
        <v>0</v>
      </c>
      <c r="AD118" s="1646" t="str">
        <f t="shared" si="254"/>
        <v>VI</v>
      </c>
      <c r="AE118" s="1642">
        <f t="shared" si="255"/>
        <v>1.4565820195734285E-2</v>
      </c>
      <c r="AF118" s="1646" t="str">
        <f t="shared" si="256"/>
        <v>Tapwater Noncancer</v>
      </c>
      <c r="AG118" s="1642">
        <f t="shared" si="257"/>
        <v>1.4565820195734285E-2</v>
      </c>
      <c r="AH118" s="1646" t="str">
        <f t="shared" si="258"/>
        <v>Tapwater Noncancer</v>
      </c>
      <c r="AI118" s="1642">
        <f t="shared" si="259"/>
        <v>1.4565820195734285E-2</v>
      </c>
      <c r="AJ118" s="1646" t="str">
        <f t="shared" si="260"/>
        <v>Tapwater Noncancer</v>
      </c>
      <c r="AK118" s="1641">
        <f t="shared" si="261"/>
        <v>1.4565820195734285E-2</v>
      </c>
      <c r="AL118" s="1646" t="str">
        <f t="shared" si="262"/>
        <v>Tapwater Noncancer</v>
      </c>
      <c r="AM118" s="1641">
        <f t="shared" si="263"/>
        <v>0</v>
      </c>
      <c r="AN118" s="1646" t="str">
        <f t="shared" si="264"/>
        <v>VI</v>
      </c>
      <c r="AO118" s="1643">
        <f t="shared" si="265"/>
        <v>0</v>
      </c>
      <c r="AP118" s="1646" t="str">
        <f t="shared" si="266"/>
        <v>VI</v>
      </c>
      <c r="AQ118" s="1643">
        <f t="shared" si="267"/>
        <v>0</v>
      </c>
      <c r="AR118" s="1646" t="str">
        <f t="shared" si="268"/>
        <v>VI</v>
      </c>
      <c r="AS118" s="1644">
        <f t="shared" si="269"/>
        <v>0</v>
      </c>
      <c r="AT118" s="1891" t="str">
        <f t="shared" si="270"/>
        <v>VI</v>
      </c>
      <c r="AU118" s="715" t="s">
        <v>115</v>
      </c>
      <c r="AV118" s="715" t="s">
        <v>115</v>
      </c>
      <c r="AW118" s="715" t="s">
        <v>115</v>
      </c>
      <c r="AX118" s="715" t="s">
        <v>115</v>
      </c>
      <c r="AY118" s="715" t="s">
        <v>115</v>
      </c>
      <c r="AZ118" s="715" t="s">
        <v>115</v>
      </c>
      <c r="BA118" s="715" t="s">
        <v>115</v>
      </c>
      <c r="BB118" s="715" t="s">
        <v>115</v>
      </c>
      <c r="BC118" s="715" t="s">
        <v>115</v>
      </c>
      <c r="BD118" s="715" t="s">
        <v>115</v>
      </c>
      <c r="BE118" s="715" t="s">
        <v>115</v>
      </c>
      <c r="BF118" s="2124" t="s">
        <v>115</v>
      </c>
    </row>
    <row r="119" spans="1:58">
      <c r="A119" s="184" t="s">
        <v>301</v>
      </c>
      <c r="B119" s="185" t="s">
        <v>302</v>
      </c>
      <c r="C119" s="388">
        <f t="shared" si="170"/>
        <v>0.93231800793000008</v>
      </c>
      <c r="D119" s="1779">
        <f t="shared" si="171"/>
        <v>0.93231800793000008</v>
      </c>
      <c r="E119" s="1785">
        <f t="shared" si="209"/>
        <v>187.2</v>
      </c>
      <c r="F119" s="271">
        <f t="shared" ref="F119:F141" si="271">VLOOKUP($A119,Table_IP_1, MATCH("h", heading_IP_1, 0), FALSE)</f>
        <v>3.3299999999999998E-7</v>
      </c>
      <c r="G119" s="271">
        <f t="shared" si="210"/>
        <v>31.077266931</v>
      </c>
      <c r="H119" s="272">
        <f t="shared" si="211"/>
        <v>101281.17339659671</v>
      </c>
      <c r="I119" s="1162">
        <f t="shared" ref="I119:I124" si="272">VLOOKUP($A119,Table_GW_Summary, MATCH("GW-ESL", heading_GW_Summary, 0), FALSE)</f>
        <v>30</v>
      </c>
      <c r="J119" s="1163">
        <f t="shared" si="172"/>
        <v>30</v>
      </c>
      <c r="K119" s="1164" t="str">
        <f t="shared" si="173"/>
        <v>SW EcoTox Goal</v>
      </c>
      <c r="L119" s="271">
        <f t="shared" si="213"/>
        <v>1280</v>
      </c>
      <c r="M119" s="271">
        <f t="shared" ref="M119:M141" si="273">VLOOKUP($A119,Table_GW_Summary, MATCH("SW-EcoT", heading_GW_Summary, 0), FALSE)</f>
        <v>30</v>
      </c>
      <c r="N119" s="271">
        <f t="shared" si="215"/>
        <v>300000</v>
      </c>
      <c r="O119" s="271">
        <f t="shared" si="216"/>
        <v>50000</v>
      </c>
      <c r="P119" s="1773" t="str">
        <f t="shared" si="217"/>
        <v>--</v>
      </c>
      <c r="Q119" s="1777">
        <f t="shared" si="218"/>
        <v>79000</v>
      </c>
      <c r="R119" s="1786" t="str">
        <f t="shared" ref="R119:R141" si="274">VLOOKUP($A119,Table_GW_Summary, MATCH("mcl", heading_GW_Summary, 0), FALSE)</f>
        <v>--</v>
      </c>
      <c r="S119" s="1786" t="str">
        <f t="shared" si="219"/>
        <v>--</v>
      </c>
      <c r="T119" s="1786">
        <f t="shared" si="220"/>
        <v>600</v>
      </c>
      <c r="U119" s="1786">
        <f t="shared" si="156"/>
        <v>600</v>
      </c>
      <c r="V119" s="1786">
        <f t="shared" si="222"/>
        <v>300</v>
      </c>
      <c r="W119" s="1890">
        <f t="shared" si="247"/>
        <v>30</v>
      </c>
      <c r="X119" s="1646" t="str">
        <f t="shared" si="248"/>
        <v>Saltwater EcoTox</v>
      </c>
      <c r="Y119" s="1642">
        <f t="shared" si="249"/>
        <v>300</v>
      </c>
      <c r="Z119" s="1646" t="str">
        <f t="shared" si="250"/>
        <v>DW Taste &amp; Odor</v>
      </c>
      <c r="AA119" s="1642">
        <f t="shared" si="251"/>
        <v>30</v>
      </c>
      <c r="AB119" s="1646" t="str">
        <f t="shared" si="252"/>
        <v>Saltwater EcoTox</v>
      </c>
      <c r="AC119" s="1641">
        <f t="shared" si="253"/>
        <v>300</v>
      </c>
      <c r="AD119" s="1646" t="str">
        <f t="shared" si="254"/>
        <v>DW Taste &amp; Odor</v>
      </c>
      <c r="AE119" s="1642">
        <f t="shared" si="255"/>
        <v>30</v>
      </c>
      <c r="AF119" s="1646" t="str">
        <f t="shared" si="256"/>
        <v>Saltwater EcoTox</v>
      </c>
      <c r="AG119" s="1642">
        <f t="shared" si="257"/>
        <v>300</v>
      </c>
      <c r="AH119" s="1646" t="str">
        <f t="shared" si="258"/>
        <v>DW Taste &amp; Odor</v>
      </c>
      <c r="AI119" s="1642">
        <f t="shared" si="259"/>
        <v>30</v>
      </c>
      <c r="AJ119" s="1646" t="str">
        <f t="shared" si="260"/>
        <v>Saltwater EcoTox</v>
      </c>
      <c r="AK119" s="1641">
        <f t="shared" si="261"/>
        <v>300</v>
      </c>
      <c r="AL119" s="1646" t="str">
        <f t="shared" si="262"/>
        <v>DW Taste &amp; Odor</v>
      </c>
      <c r="AM119" s="1641">
        <f t="shared" si="263"/>
        <v>30</v>
      </c>
      <c r="AN119" s="1646" t="str">
        <f t="shared" si="264"/>
        <v>Saltwater EcoTox</v>
      </c>
      <c r="AO119" s="1643">
        <f t="shared" si="265"/>
        <v>1280</v>
      </c>
      <c r="AP119" s="1646" t="str">
        <f t="shared" si="266"/>
        <v>FW EcoTox</v>
      </c>
      <c r="AQ119" s="1643">
        <f t="shared" si="267"/>
        <v>30</v>
      </c>
      <c r="AR119" s="1646" t="str">
        <f t="shared" si="268"/>
        <v>Saltwater EcoTox</v>
      </c>
      <c r="AS119" s="1644">
        <f t="shared" si="269"/>
        <v>50000</v>
      </c>
      <c r="AT119" s="1891" t="str">
        <f t="shared" si="270"/>
        <v>Outdoor Odor</v>
      </c>
      <c r="AU119" s="1773">
        <f t="shared" ref="AU119:AU141" si="275">IF($G119="--","--",IF(W119="--", W119,IF(AND($G119*W119*0.001&lt;$H119,$E119&gt;30000),$H119,$G119*W119*0.001)))</f>
        <v>0.93231800793000008</v>
      </c>
      <c r="AV119" s="1773">
        <f t="shared" ref="AV119:AV141" si="276">IF($G119="--","--",IF(Y119="--", Y119,IF(AND($G119*Y119*0.001&lt;$H119,$E119&gt;30000),$H119,$G119*Y119*0.001)))</f>
        <v>9.3231800793000001</v>
      </c>
      <c r="AW119" s="1773">
        <f t="shared" ref="AW119:AW141" si="277">IF($G119="--","--",IF(AA119="--", AA119,IF(AND($G119*AA119*0.001&lt;$H119,$E119&gt;30000),$H119,$G119*AA119*0.001)))</f>
        <v>0.93231800793000008</v>
      </c>
      <c r="AX119" s="1773">
        <f t="shared" ref="AX119:AX141" si="278">IF($G119="--","--",IF(AC119="--", AC119,IF(AND($G119*AC119*0.001&lt;$H119,$E119&gt;30000),$H119,$G119*AC119*0.001)))</f>
        <v>9.3231800793000001</v>
      </c>
      <c r="AY119" s="1773">
        <f t="shared" ref="AY119:AY141" si="279">IF($G119="--","--",IF(AE119="--", AE119,IF(AND($G119*AE119*0.001&lt;$H119,$E119&gt;30000),$H119,$G119*AE119*0.001)))</f>
        <v>0.93231800793000008</v>
      </c>
      <c r="AZ119" s="1773">
        <f t="shared" ref="AZ119:AZ141" si="280">IF($G119="--","--",IF(AG119="--", AG119,IF(AND($G119*AG119*0.001&lt;$H119,$E119&gt;30000),$H119,$G119*AG119*0.001)))</f>
        <v>9.3231800793000001</v>
      </c>
      <c r="BA119" s="1773">
        <f t="shared" ref="BA119:BA141" si="281">IF($G119="--","--",IF(AI119="--", AI119,IF(AND($G119*AI119*0.001&lt;$H119,$E119&gt;30000),$H119,$G119*AI119*0.001)))</f>
        <v>0.93231800793000008</v>
      </c>
      <c r="BB119" s="1773">
        <f t="shared" ref="BB119:BB141" si="282">IF($G119="--","--",IF(AK119="--", AK119,IF(AND($G119*AK119*0.001&lt;$H119,$E119&gt;30000),$H119,$G119*AK119*0.001)))</f>
        <v>9.3231800793000001</v>
      </c>
      <c r="BC119" s="1773">
        <f t="shared" ref="BC119:BC141" si="283">IF($G119="--","--",IF(AM119="--", AM119,IF(AND($G119*AM119*0.001&lt;$H119,$E119&gt;30000),$H119,$G119*AM119*0.001)))</f>
        <v>0.93231800793000008</v>
      </c>
      <c r="BD119" s="1773">
        <f t="shared" ref="BD119:BD141" si="284">IF($G119="--","--",IF(AO119="--", AO119,IF(AND($G119*AO119*0.001&lt;$H119,$E119&gt;30000),$H119,$G119*AO119*0.001)))</f>
        <v>39.778901671680003</v>
      </c>
      <c r="BE119" s="1773">
        <f t="shared" ref="BE119:BE141" si="285">IF($G119="--","--",IF(AQ119="--", AQ119,IF(AND($G119*AQ119*0.001&lt;$H119,$E119&gt;30000),$H119,$G119*AQ119*0.001)))</f>
        <v>0.93231800793000008</v>
      </c>
      <c r="BF119" s="1947">
        <f t="shared" ref="BF119:BF141" si="286">IF($G119="--","--",IF(AS119="--", AS119,IF(AND($G119*AS119*0.001&lt;$H119,$E119&gt;30000),$H119,$G119*AS119*0.001)))</f>
        <v>1553.8633465500002</v>
      </c>
    </row>
    <row r="120" spans="1:58">
      <c r="A120" s="184" t="s">
        <v>303</v>
      </c>
      <c r="B120" s="185" t="s">
        <v>304</v>
      </c>
      <c r="C120" s="388">
        <f>IF(G120="--","--",IF(I120="--", I120,IF(AND(G120*I120*0.001&lt;H120,E120&gt;30000),H120,G120*I120*0.001)))</f>
        <v>328.09224832482249</v>
      </c>
      <c r="D120" s="1779">
        <f t="shared" si="171"/>
        <v>328.09224832482249</v>
      </c>
      <c r="E120" s="1785">
        <f t="shared" si="209"/>
        <v>78100</v>
      </c>
      <c r="F120" s="271">
        <f t="shared" si="271"/>
        <v>4.15E-4</v>
      </c>
      <c r="G120" s="271">
        <f t="shared" si="210"/>
        <v>12967.175905</v>
      </c>
      <c r="H120" s="272">
        <f t="shared" si="211"/>
        <v>328.09224832482249</v>
      </c>
      <c r="I120" s="1162">
        <f t="shared" si="272"/>
        <v>1.9000000000000001E-5</v>
      </c>
      <c r="J120" s="1163">
        <f t="shared" si="172"/>
        <v>1.9000000000000001E-5</v>
      </c>
      <c r="K120" s="1164" t="str">
        <f t="shared" si="173"/>
        <v>Seafood Consumption</v>
      </c>
      <c r="L120" s="271">
        <f t="shared" si="213"/>
        <v>1.4E-2</v>
      </c>
      <c r="M120" s="271">
        <f t="shared" si="273"/>
        <v>0.03</v>
      </c>
      <c r="N120" s="271">
        <f t="shared" si="215"/>
        <v>1.9000000000000001E-5</v>
      </c>
      <c r="O120" s="271">
        <f t="shared" si="216"/>
        <v>350</v>
      </c>
      <c r="P120" s="1773">
        <f t="shared" si="217"/>
        <v>0.29032404923330402</v>
      </c>
      <c r="Q120" s="1777" t="str">
        <f t="shared" si="218"/>
        <v>--</v>
      </c>
      <c r="R120" s="1786">
        <f t="shared" si="274"/>
        <v>0.5</v>
      </c>
      <c r="S120" s="1786">
        <f t="shared" si="219"/>
        <v>7.8629900904782432E-3</v>
      </c>
      <c r="T120" s="1786" t="str">
        <f t="shared" si="220"/>
        <v>--</v>
      </c>
      <c r="U120" s="1786">
        <f t="shared" si="156"/>
        <v>0.5</v>
      </c>
      <c r="V120" s="1786" t="str">
        <f t="shared" si="222"/>
        <v>--</v>
      </c>
      <c r="W120" s="1890">
        <f t="shared" si="247"/>
        <v>1.9000000000000001E-5</v>
      </c>
      <c r="X120" s="1646" t="str">
        <f t="shared" si="248"/>
        <v>Seafood Ingestion</v>
      </c>
      <c r="Y120" s="1642">
        <f t="shared" si="249"/>
        <v>1.9000000000000001E-5</v>
      </c>
      <c r="Z120" s="1646" t="str">
        <f t="shared" si="250"/>
        <v>Seafood Ingestion</v>
      </c>
      <c r="AA120" s="1642">
        <f t="shared" si="251"/>
        <v>1.9000000000000001E-5</v>
      </c>
      <c r="AB120" s="1646" t="str">
        <f t="shared" si="252"/>
        <v>Seafood Ingestion</v>
      </c>
      <c r="AC120" s="1641">
        <f t="shared" si="253"/>
        <v>0.29032404923330402</v>
      </c>
      <c r="AD120" s="1646" t="str">
        <f t="shared" si="254"/>
        <v>VI</v>
      </c>
      <c r="AE120" s="1642">
        <f t="shared" si="255"/>
        <v>1.9000000000000001E-5</v>
      </c>
      <c r="AF120" s="1646" t="str">
        <f t="shared" si="256"/>
        <v>Seafood Ingestion</v>
      </c>
      <c r="AG120" s="1642">
        <f t="shared" si="257"/>
        <v>1.9000000000000001E-5</v>
      </c>
      <c r="AH120" s="1646" t="str">
        <f t="shared" si="258"/>
        <v>Seafood Ingestion</v>
      </c>
      <c r="AI120" s="1642">
        <f t="shared" si="259"/>
        <v>1.9000000000000001E-5</v>
      </c>
      <c r="AJ120" s="1646" t="str">
        <f t="shared" si="260"/>
        <v>Seafood Ingestion</v>
      </c>
      <c r="AK120" s="1641">
        <f t="shared" si="261"/>
        <v>7.8629900904782432E-3</v>
      </c>
      <c r="AL120" s="1646" t="str">
        <f t="shared" si="262"/>
        <v>Tapwater Cancer</v>
      </c>
      <c r="AM120" s="1641">
        <f t="shared" si="263"/>
        <v>1.9000000000000001E-5</v>
      </c>
      <c r="AN120" s="1646" t="str">
        <f t="shared" si="264"/>
        <v>Seafood Ingestion</v>
      </c>
      <c r="AO120" s="1643">
        <f t="shared" si="265"/>
        <v>1.9000000000000001E-5</v>
      </c>
      <c r="AP120" s="1646" t="str">
        <f t="shared" si="266"/>
        <v>Seafood Ingestion</v>
      </c>
      <c r="AQ120" s="1643">
        <f t="shared" si="267"/>
        <v>1.9000000000000001E-5</v>
      </c>
      <c r="AR120" s="1646" t="str">
        <f t="shared" si="268"/>
        <v>Seafood Ingestion</v>
      </c>
      <c r="AS120" s="1644">
        <f t="shared" si="269"/>
        <v>0.29032404923330402</v>
      </c>
      <c r="AT120" s="1891" t="str">
        <f t="shared" si="270"/>
        <v>VI</v>
      </c>
      <c r="AU120" s="1773">
        <f t="shared" si="275"/>
        <v>328.09224832482249</v>
      </c>
      <c r="AV120" s="1773">
        <f t="shared" si="276"/>
        <v>328.09224832482249</v>
      </c>
      <c r="AW120" s="1773">
        <f t="shared" si="277"/>
        <v>328.09224832482249</v>
      </c>
      <c r="AX120" s="1773">
        <f t="shared" si="278"/>
        <v>328.09224832482249</v>
      </c>
      <c r="AY120" s="1773">
        <f t="shared" si="279"/>
        <v>328.09224832482249</v>
      </c>
      <c r="AZ120" s="1773">
        <f t="shared" si="280"/>
        <v>328.09224832482249</v>
      </c>
      <c r="BA120" s="1773">
        <f t="shared" si="281"/>
        <v>328.09224832482249</v>
      </c>
      <c r="BB120" s="1773">
        <f t="shared" si="282"/>
        <v>328.09224832482249</v>
      </c>
      <c r="BC120" s="1773">
        <f t="shared" si="283"/>
        <v>328.09224832482249</v>
      </c>
      <c r="BD120" s="1773">
        <f t="shared" si="284"/>
        <v>328.09224832482249</v>
      </c>
      <c r="BE120" s="1773">
        <f t="shared" si="285"/>
        <v>328.09224832482249</v>
      </c>
      <c r="BF120" s="1947">
        <f t="shared" si="286"/>
        <v>328.09224832482249</v>
      </c>
    </row>
    <row r="121" spans="1:58">
      <c r="A121" s="184" t="s">
        <v>305</v>
      </c>
      <c r="B121" s="185" t="s">
        <v>306</v>
      </c>
      <c r="C121" s="388" t="str">
        <f t="shared" si="170"/>
        <v>--</v>
      </c>
      <c r="D121" s="1779" t="str">
        <f t="shared" si="171"/>
        <v>--</v>
      </c>
      <c r="E121" s="1785" t="str">
        <f t="shared" si="209"/>
        <v>--</v>
      </c>
      <c r="F121" s="271" t="str">
        <f t="shared" si="271"/>
        <v>--</v>
      </c>
      <c r="G121" s="271" t="str">
        <f t="shared" si="210"/>
        <v>--</v>
      </c>
      <c r="H121" s="272" t="str">
        <f t="shared" si="211"/>
        <v>--</v>
      </c>
      <c r="I121" s="1162">
        <f t="shared" si="272"/>
        <v>0.5</v>
      </c>
      <c r="J121" s="1163">
        <f t="shared" si="172"/>
        <v>0.5</v>
      </c>
      <c r="K121" s="1164" t="str">
        <f t="shared" si="173"/>
        <v>SW EcoTox Goal</v>
      </c>
      <c r="L121" s="271">
        <f t="shared" si="213"/>
        <v>5</v>
      </c>
      <c r="M121" s="271">
        <f t="shared" si="273"/>
        <v>0.5</v>
      </c>
      <c r="N121" s="271">
        <f t="shared" si="215"/>
        <v>4200</v>
      </c>
      <c r="O121" s="271">
        <f t="shared" si="216"/>
        <v>50000</v>
      </c>
      <c r="P121" s="1773" t="str">
        <f t="shared" si="217"/>
        <v>--</v>
      </c>
      <c r="Q121" s="1777" t="str">
        <f t="shared" si="218"/>
        <v>--</v>
      </c>
      <c r="R121" s="1786">
        <f t="shared" si="274"/>
        <v>50</v>
      </c>
      <c r="S121" s="1786" t="str">
        <f t="shared" si="219"/>
        <v>--</v>
      </c>
      <c r="T121" s="1786">
        <f t="shared" si="220"/>
        <v>30</v>
      </c>
      <c r="U121" s="1786">
        <f t="shared" si="156"/>
        <v>50</v>
      </c>
      <c r="V121" s="1786" t="str">
        <f t="shared" si="222"/>
        <v>--</v>
      </c>
      <c r="W121" s="1890">
        <f t="shared" si="247"/>
        <v>0.5</v>
      </c>
      <c r="X121" s="1646" t="str">
        <f t="shared" si="248"/>
        <v>Saltwater EcoTox</v>
      </c>
      <c r="Y121" s="1642">
        <f t="shared" si="249"/>
        <v>5</v>
      </c>
      <c r="Z121" s="1646" t="str">
        <f t="shared" si="250"/>
        <v>FW EcoTox</v>
      </c>
      <c r="AA121" s="1642">
        <f t="shared" si="251"/>
        <v>0.5</v>
      </c>
      <c r="AB121" s="1646" t="str">
        <f t="shared" si="252"/>
        <v>Saltwater EcoTox</v>
      </c>
      <c r="AC121" s="1641">
        <f t="shared" si="253"/>
        <v>50</v>
      </c>
      <c r="AD121" s="1646" t="str">
        <f t="shared" si="254"/>
        <v>MCL</v>
      </c>
      <c r="AE121" s="1642">
        <f t="shared" si="255"/>
        <v>0.5</v>
      </c>
      <c r="AF121" s="1646" t="str">
        <f t="shared" si="256"/>
        <v>Saltwater EcoTox</v>
      </c>
      <c r="AG121" s="1642">
        <f t="shared" si="257"/>
        <v>5</v>
      </c>
      <c r="AH121" s="1646" t="str">
        <f t="shared" si="258"/>
        <v>FW EcoTox</v>
      </c>
      <c r="AI121" s="1642">
        <f t="shared" si="259"/>
        <v>0.5</v>
      </c>
      <c r="AJ121" s="1646" t="str">
        <f t="shared" si="260"/>
        <v>Saltwater EcoTox</v>
      </c>
      <c r="AK121" s="1641">
        <f t="shared" si="261"/>
        <v>30</v>
      </c>
      <c r="AL121" s="1646" t="str">
        <f t="shared" si="262"/>
        <v>Tapwater Noncancer</v>
      </c>
      <c r="AM121" s="1641">
        <f t="shared" si="263"/>
        <v>0.5</v>
      </c>
      <c r="AN121" s="1646" t="str">
        <f t="shared" si="264"/>
        <v>Saltwater EcoTox</v>
      </c>
      <c r="AO121" s="1643">
        <f t="shared" si="265"/>
        <v>5</v>
      </c>
      <c r="AP121" s="1646" t="str">
        <f t="shared" si="266"/>
        <v>FW EcoTox</v>
      </c>
      <c r="AQ121" s="1643">
        <f t="shared" si="267"/>
        <v>0.5</v>
      </c>
      <c r="AR121" s="1646" t="str">
        <f t="shared" si="268"/>
        <v>Saltwater EcoTox</v>
      </c>
      <c r="AS121" s="1644">
        <f t="shared" si="269"/>
        <v>50000</v>
      </c>
      <c r="AT121" s="1891" t="str">
        <f t="shared" si="270"/>
        <v>Outdoor Odor</v>
      </c>
      <c r="AU121" s="1773" t="str">
        <f t="shared" si="275"/>
        <v>--</v>
      </c>
      <c r="AV121" s="1773" t="str">
        <f t="shared" si="276"/>
        <v>--</v>
      </c>
      <c r="AW121" s="1773" t="str">
        <f t="shared" si="277"/>
        <v>--</v>
      </c>
      <c r="AX121" s="1773" t="str">
        <f t="shared" si="278"/>
        <v>--</v>
      </c>
      <c r="AY121" s="1773" t="str">
        <f t="shared" si="279"/>
        <v>--</v>
      </c>
      <c r="AZ121" s="1773" t="str">
        <f t="shared" si="280"/>
        <v>--</v>
      </c>
      <c r="BA121" s="1773" t="str">
        <f t="shared" si="281"/>
        <v>--</v>
      </c>
      <c r="BB121" s="1773" t="str">
        <f t="shared" si="282"/>
        <v>--</v>
      </c>
      <c r="BC121" s="1773" t="str">
        <f t="shared" si="283"/>
        <v>--</v>
      </c>
      <c r="BD121" s="1773" t="str">
        <f t="shared" si="284"/>
        <v>--</v>
      </c>
      <c r="BE121" s="1773" t="str">
        <f t="shared" si="285"/>
        <v>--</v>
      </c>
      <c r="BF121" s="1947" t="str">
        <f t="shared" si="286"/>
        <v>--</v>
      </c>
    </row>
    <row r="122" spans="1:58">
      <c r="A122" s="184" t="s">
        <v>307</v>
      </c>
      <c r="B122" s="185" t="s">
        <v>308</v>
      </c>
      <c r="C122" s="388" t="str">
        <f t="shared" ref="C122" si="287">IF(G122="--","--",IF(I122="--", I122,IF(AND(G122*I122*0.001&lt;H122,E122&gt;30000),H122,G122*I122*0.001)))</f>
        <v>--</v>
      </c>
      <c r="D122" s="1779" t="str">
        <f>IF(G122="--","--",IF(J122="--","--",IF(AND(G122*J122*0.001&lt;H122,E122&gt;30000),H122,G122*J122*0.001)))</f>
        <v>--</v>
      </c>
      <c r="E122" s="1785" t="str">
        <f t="shared" si="209"/>
        <v>--</v>
      </c>
      <c r="F122" s="271" t="str">
        <f t="shared" si="271"/>
        <v>--</v>
      </c>
      <c r="G122" s="271" t="str">
        <f t="shared" si="210"/>
        <v>--</v>
      </c>
      <c r="H122" s="272" t="str">
        <f t="shared" si="211"/>
        <v>--</v>
      </c>
      <c r="I122" s="1162">
        <f t="shared" si="272"/>
        <v>0.7</v>
      </c>
      <c r="J122" s="1163">
        <f t="shared" si="172"/>
        <v>0.7</v>
      </c>
      <c r="K122" s="1164" t="str">
        <f t="shared" si="173"/>
        <v>SW EcoTox Goal</v>
      </c>
      <c r="L122" s="271">
        <f t="shared" si="213"/>
        <v>3.4</v>
      </c>
      <c r="M122" s="271">
        <f t="shared" si="273"/>
        <v>0.7</v>
      </c>
      <c r="N122" s="271" t="str">
        <f t="shared" si="215"/>
        <v>--</v>
      </c>
      <c r="O122" s="271">
        <f t="shared" si="216"/>
        <v>50000</v>
      </c>
      <c r="P122" s="1773" t="str">
        <f t="shared" si="217"/>
        <v>--</v>
      </c>
      <c r="Q122" s="1777" t="str">
        <f t="shared" si="218"/>
        <v>--</v>
      </c>
      <c r="R122" s="1786">
        <f t="shared" si="274"/>
        <v>100</v>
      </c>
      <c r="S122" s="1786" t="str">
        <f t="shared" si="219"/>
        <v>--</v>
      </c>
      <c r="T122" s="1786">
        <f t="shared" si="220"/>
        <v>94.057692669452663</v>
      </c>
      <c r="U122" s="1786">
        <f t="shared" si="156"/>
        <v>100</v>
      </c>
      <c r="V122" s="1786">
        <f t="shared" si="222"/>
        <v>100</v>
      </c>
      <c r="W122" s="1890">
        <f t="shared" si="247"/>
        <v>0.7</v>
      </c>
      <c r="X122" s="1646" t="str">
        <f t="shared" si="248"/>
        <v>Saltwater EcoTox</v>
      </c>
      <c r="Y122" s="1642">
        <f t="shared" si="249"/>
        <v>3.4</v>
      </c>
      <c r="Z122" s="1646" t="str">
        <f t="shared" si="250"/>
        <v>FW EcoTox</v>
      </c>
      <c r="AA122" s="1642">
        <f t="shared" si="251"/>
        <v>0.7</v>
      </c>
      <c r="AB122" s="1646" t="str">
        <f t="shared" si="252"/>
        <v>Saltwater EcoTox</v>
      </c>
      <c r="AC122" s="1641">
        <f t="shared" si="253"/>
        <v>100</v>
      </c>
      <c r="AD122" s="1646" t="str">
        <f t="shared" si="254"/>
        <v>MCL</v>
      </c>
      <c r="AE122" s="1642">
        <f t="shared" si="255"/>
        <v>0.7</v>
      </c>
      <c r="AF122" s="1646" t="str">
        <f t="shared" si="256"/>
        <v>Saltwater EcoTox</v>
      </c>
      <c r="AG122" s="1642">
        <f t="shared" si="257"/>
        <v>3.4</v>
      </c>
      <c r="AH122" s="1646" t="str">
        <f t="shared" si="258"/>
        <v>FW EcoTox</v>
      </c>
      <c r="AI122" s="1642">
        <f t="shared" si="259"/>
        <v>0.7</v>
      </c>
      <c r="AJ122" s="1646" t="str">
        <f t="shared" si="260"/>
        <v>Saltwater EcoTox</v>
      </c>
      <c r="AK122" s="1641">
        <f t="shared" si="261"/>
        <v>94.057692669452663</v>
      </c>
      <c r="AL122" s="1646" t="str">
        <f t="shared" si="262"/>
        <v>Tapwater Noncancer</v>
      </c>
      <c r="AM122" s="1641">
        <f t="shared" si="263"/>
        <v>0.7</v>
      </c>
      <c r="AN122" s="1646" t="str">
        <f t="shared" si="264"/>
        <v>Saltwater EcoTox</v>
      </c>
      <c r="AO122" s="1643">
        <f t="shared" si="265"/>
        <v>3.4</v>
      </c>
      <c r="AP122" s="1646" t="str">
        <f t="shared" si="266"/>
        <v>FW EcoTox</v>
      </c>
      <c r="AQ122" s="1643">
        <f t="shared" si="267"/>
        <v>0.7</v>
      </c>
      <c r="AR122" s="1646" t="str">
        <f t="shared" si="268"/>
        <v>Saltwater EcoTox</v>
      </c>
      <c r="AS122" s="1644">
        <f t="shared" si="269"/>
        <v>50000</v>
      </c>
      <c r="AT122" s="1891" t="str">
        <f t="shared" si="270"/>
        <v>Outdoor Odor</v>
      </c>
      <c r="AU122" s="1773" t="str">
        <f t="shared" si="275"/>
        <v>--</v>
      </c>
      <c r="AV122" s="1773" t="str">
        <f t="shared" si="276"/>
        <v>--</v>
      </c>
      <c r="AW122" s="1773" t="str">
        <f t="shared" si="277"/>
        <v>--</v>
      </c>
      <c r="AX122" s="1773" t="str">
        <f t="shared" si="278"/>
        <v>--</v>
      </c>
      <c r="AY122" s="1773" t="str">
        <f t="shared" si="279"/>
        <v>--</v>
      </c>
      <c r="AZ122" s="1773" t="str">
        <f t="shared" si="280"/>
        <v>--</v>
      </c>
      <c r="BA122" s="1773" t="str">
        <f t="shared" si="281"/>
        <v>--</v>
      </c>
      <c r="BB122" s="1773" t="str">
        <f t="shared" si="282"/>
        <v>--</v>
      </c>
      <c r="BC122" s="1773" t="str">
        <f t="shared" si="283"/>
        <v>--</v>
      </c>
      <c r="BD122" s="1773" t="str">
        <f t="shared" si="284"/>
        <v>--</v>
      </c>
      <c r="BE122" s="1773" t="str">
        <f t="shared" si="285"/>
        <v>--</v>
      </c>
      <c r="BF122" s="1947" t="str">
        <f t="shared" si="286"/>
        <v>--</v>
      </c>
    </row>
    <row r="123" spans="1:58">
      <c r="A123" s="184" t="s">
        <v>309</v>
      </c>
      <c r="B123" s="185" t="s">
        <v>310</v>
      </c>
      <c r="C123" s="388">
        <f t="shared" si="170"/>
        <v>0.91121850000000004</v>
      </c>
      <c r="D123" s="1779">
        <f t="shared" si="171"/>
        <v>10.023403500000001</v>
      </c>
      <c r="E123" s="1785">
        <f t="shared" si="209"/>
        <v>446.1</v>
      </c>
      <c r="F123" s="271">
        <f t="shared" si="271"/>
        <v>2.7499999999999998E-3</v>
      </c>
      <c r="G123" s="271">
        <f t="shared" si="210"/>
        <v>91.121850000000009</v>
      </c>
      <c r="H123" s="272">
        <f t="shared" si="211"/>
        <v>867.34392396262422</v>
      </c>
      <c r="I123" s="1162">
        <f t="shared" si="272"/>
        <v>10</v>
      </c>
      <c r="J123" s="1163">
        <f t="shared" si="172"/>
        <v>110</v>
      </c>
      <c r="K123" s="1164" t="str">
        <f t="shared" si="173"/>
        <v>Nuis-Odor</v>
      </c>
      <c r="L123" s="271" t="str">
        <f t="shared" si="213"/>
        <v>--</v>
      </c>
      <c r="M123" s="271" t="str">
        <f t="shared" si="273"/>
        <v>--</v>
      </c>
      <c r="N123" s="271" t="str">
        <f t="shared" si="215"/>
        <v>--</v>
      </c>
      <c r="O123" s="271">
        <f t="shared" si="216"/>
        <v>50000</v>
      </c>
      <c r="P123" s="1773">
        <f t="shared" si="217"/>
        <v>8348.16623376604</v>
      </c>
      <c r="Q123" s="1777">
        <f t="shared" si="218"/>
        <v>110</v>
      </c>
      <c r="R123" s="1786">
        <f t="shared" si="274"/>
        <v>100</v>
      </c>
      <c r="S123" s="1786">
        <f t="shared" si="219"/>
        <v>0.5</v>
      </c>
      <c r="T123" s="1786">
        <f t="shared" si="220"/>
        <v>1136.8822806185897</v>
      </c>
      <c r="U123" s="1786">
        <f t="shared" si="156"/>
        <v>100</v>
      </c>
      <c r="V123" s="1786">
        <f t="shared" si="222"/>
        <v>10</v>
      </c>
      <c r="W123" s="1890">
        <f t="shared" si="247"/>
        <v>10</v>
      </c>
      <c r="X123" s="1646" t="str">
        <f t="shared" si="248"/>
        <v>DW Taste &amp; Odor</v>
      </c>
      <c r="Y123" s="1642">
        <f t="shared" si="249"/>
        <v>10</v>
      </c>
      <c r="Z123" s="1646" t="str">
        <f t="shared" si="250"/>
        <v>DW Taste &amp; Odor</v>
      </c>
      <c r="AA123" s="1642">
        <f t="shared" si="251"/>
        <v>10</v>
      </c>
      <c r="AB123" s="1646" t="str">
        <f t="shared" si="252"/>
        <v>DW Taste &amp; Odor</v>
      </c>
      <c r="AC123" s="1641">
        <f t="shared" si="253"/>
        <v>10</v>
      </c>
      <c r="AD123" s="1646" t="str">
        <f t="shared" si="254"/>
        <v>DW Taste &amp; Odor</v>
      </c>
      <c r="AE123" s="1642">
        <f t="shared" si="255"/>
        <v>0.5</v>
      </c>
      <c r="AF123" s="1646" t="str">
        <f t="shared" si="256"/>
        <v>Tapwater Cancer</v>
      </c>
      <c r="AG123" s="1642">
        <f t="shared" si="257"/>
        <v>0.5</v>
      </c>
      <c r="AH123" s="1646" t="str">
        <f t="shared" si="258"/>
        <v>Tapwater Cancer</v>
      </c>
      <c r="AI123" s="1642">
        <f t="shared" si="259"/>
        <v>0.5</v>
      </c>
      <c r="AJ123" s="1646" t="str">
        <f t="shared" si="260"/>
        <v>Tapwater Cancer</v>
      </c>
      <c r="AK123" s="1641">
        <f t="shared" si="261"/>
        <v>0.5</v>
      </c>
      <c r="AL123" s="1646" t="str">
        <f t="shared" si="262"/>
        <v>Tapwater Cancer</v>
      </c>
      <c r="AM123" s="1641">
        <f t="shared" si="263"/>
        <v>110</v>
      </c>
      <c r="AN123" s="1646" t="str">
        <f t="shared" si="264"/>
        <v>Outdoor Odor</v>
      </c>
      <c r="AO123" s="1643">
        <f t="shared" si="265"/>
        <v>110</v>
      </c>
      <c r="AP123" s="1646" t="str">
        <f t="shared" si="266"/>
        <v>Outdoor Odor</v>
      </c>
      <c r="AQ123" s="1643">
        <f t="shared" si="267"/>
        <v>110</v>
      </c>
      <c r="AR123" s="1646" t="str">
        <f t="shared" si="268"/>
        <v>Outdoor Odor</v>
      </c>
      <c r="AS123" s="1644">
        <f t="shared" si="269"/>
        <v>110</v>
      </c>
      <c r="AT123" s="1891" t="str">
        <f t="shared" si="270"/>
        <v>Outdoor Odor</v>
      </c>
      <c r="AU123" s="1773">
        <f t="shared" si="275"/>
        <v>0.91121850000000004</v>
      </c>
      <c r="AV123" s="1773">
        <f t="shared" si="276"/>
        <v>0.91121850000000004</v>
      </c>
      <c r="AW123" s="1773">
        <f t="shared" si="277"/>
        <v>0.91121850000000004</v>
      </c>
      <c r="AX123" s="1773">
        <f t="shared" si="278"/>
        <v>0.91121850000000004</v>
      </c>
      <c r="AY123" s="1773">
        <f t="shared" si="279"/>
        <v>4.5560925000000002E-2</v>
      </c>
      <c r="AZ123" s="1773">
        <f t="shared" si="280"/>
        <v>4.5560925000000002E-2</v>
      </c>
      <c r="BA123" s="1773">
        <f t="shared" si="281"/>
        <v>4.5560925000000002E-2</v>
      </c>
      <c r="BB123" s="1773">
        <f t="shared" si="282"/>
        <v>4.5560925000000002E-2</v>
      </c>
      <c r="BC123" s="1773">
        <f t="shared" si="283"/>
        <v>10.023403500000001</v>
      </c>
      <c r="BD123" s="1773">
        <f t="shared" si="284"/>
        <v>10.023403500000001</v>
      </c>
      <c r="BE123" s="1773">
        <f t="shared" si="285"/>
        <v>10.023403500000001</v>
      </c>
      <c r="BF123" s="1947">
        <f t="shared" si="286"/>
        <v>10.023403500000001</v>
      </c>
    </row>
    <row r="124" spans="1:58">
      <c r="A124" s="184" t="s">
        <v>311</v>
      </c>
      <c r="B124" s="185" t="s">
        <v>312</v>
      </c>
      <c r="C124" s="388">
        <f t="shared" si="170"/>
        <v>4.879192200000001E-3</v>
      </c>
      <c r="D124" s="1779">
        <f t="shared" si="171"/>
        <v>7.3187883000000014</v>
      </c>
      <c r="E124" s="1785">
        <f t="shared" si="209"/>
        <v>2.1110000000000002</v>
      </c>
      <c r="F124" s="271">
        <f t="shared" si="271"/>
        <v>9.0499999999999997E-6</v>
      </c>
      <c r="G124" s="271">
        <f t="shared" si="210"/>
        <v>0.40659935000000008</v>
      </c>
      <c r="H124" s="272">
        <f t="shared" si="211"/>
        <v>112736.04247725812</v>
      </c>
      <c r="I124" s="1162">
        <f t="shared" si="272"/>
        <v>12</v>
      </c>
      <c r="J124" s="1163">
        <f t="shared" si="172"/>
        <v>18000</v>
      </c>
      <c r="K124" s="1164" t="str">
        <f t="shared" si="173"/>
        <v>FW EcoTox Goal</v>
      </c>
      <c r="L124" s="271">
        <f t="shared" si="213"/>
        <v>18000</v>
      </c>
      <c r="M124" s="271" t="str">
        <f t="shared" si="273"/>
        <v>--</v>
      </c>
      <c r="N124" s="271" t="str">
        <f t="shared" si="215"/>
        <v>--</v>
      </c>
      <c r="O124" s="271">
        <f t="shared" si="216"/>
        <v>50000</v>
      </c>
      <c r="P124" s="1773">
        <f t="shared" si="217"/>
        <v>14092975.532568602</v>
      </c>
      <c r="Q124" s="1777" t="str">
        <f t="shared" si="218"/>
        <v>--</v>
      </c>
      <c r="R124" s="1786" t="str">
        <f t="shared" si="274"/>
        <v>--</v>
      </c>
      <c r="S124" s="1786">
        <f t="shared" si="219"/>
        <v>12</v>
      </c>
      <c r="T124" s="1786">
        <f t="shared" si="220"/>
        <v>4511.3965413644892</v>
      </c>
      <c r="U124" s="1786">
        <f t="shared" si="156"/>
        <v>12</v>
      </c>
      <c r="V124" s="1786" t="str">
        <f t="shared" si="222"/>
        <v>--</v>
      </c>
      <c r="W124" s="1890">
        <f t="shared" si="247"/>
        <v>12</v>
      </c>
      <c r="X124" s="1646" t="str">
        <f t="shared" si="248"/>
        <v>Tapwater Cancer</v>
      </c>
      <c r="Y124" s="1642">
        <f t="shared" si="249"/>
        <v>12</v>
      </c>
      <c r="Z124" s="1646" t="str">
        <f t="shared" si="250"/>
        <v>Tapwater Cancer</v>
      </c>
      <c r="AA124" s="1642">
        <f t="shared" si="251"/>
        <v>12</v>
      </c>
      <c r="AB124" s="1646" t="str">
        <f t="shared" si="252"/>
        <v>Tapwater Cancer</v>
      </c>
      <c r="AC124" s="1641">
        <f t="shared" si="253"/>
        <v>12</v>
      </c>
      <c r="AD124" s="1646" t="str">
        <f t="shared" si="254"/>
        <v>Tapwater Cancer</v>
      </c>
      <c r="AE124" s="1642">
        <f t="shared" si="255"/>
        <v>12</v>
      </c>
      <c r="AF124" s="1646" t="str">
        <f t="shared" si="256"/>
        <v>Tapwater Cancer</v>
      </c>
      <c r="AG124" s="1642">
        <f t="shared" si="257"/>
        <v>12</v>
      </c>
      <c r="AH124" s="1646" t="str">
        <f t="shared" si="258"/>
        <v>Tapwater Cancer</v>
      </c>
      <c r="AI124" s="1642">
        <f t="shared" si="259"/>
        <v>12</v>
      </c>
      <c r="AJ124" s="1646" t="str">
        <f t="shared" si="260"/>
        <v>Tapwater Cancer</v>
      </c>
      <c r="AK124" s="1641">
        <f t="shared" si="261"/>
        <v>12</v>
      </c>
      <c r="AL124" s="1646" t="str">
        <f t="shared" si="262"/>
        <v>Tapwater Cancer</v>
      </c>
      <c r="AM124" s="1641">
        <f t="shared" si="263"/>
        <v>50000</v>
      </c>
      <c r="AN124" s="1646" t="str">
        <f t="shared" si="264"/>
        <v>Outdoor Odor</v>
      </c>
      <c r="AO124" s="1643">
        <f t="shared" si="265"/>
        <v>18000</v>
      </c>
      <c r="AP124" s="1646" t="str">
        <f t="shared" si="266"/>
        <v>FW EcoTox</v>
      </c>
      <c r="AQ124" s="1643">
        <f t="shared" si="267"/>
        <v>18000</v>
      </c>
      <c r="AR124" s="1646" t="str">
        <f t="shared" si="268"/>
        <v>FW EcoTox</v>
      </c>
      <c r="AS124" s="1644">
        <f t="shared" si="269"/>
        <v>50000</v>
      </c>
      <c r="AT124" s="1891" t="str">
        <f t="shared" si="270"/>
        <v>Outdoor Odor</v>
      </c>
      <c r="AU124" s="1773">
        <f t="shared" si="275"/>
        <v>4.879192200000001E-3</v>
      </c>
      <c r="AV124" s="1773">
        <f t="shared" si="276"/>
        <v>4.879192200000001E-3</v>
      </c>
      <c r="AW124" s="1773">
        <f t="shared" si="277"/>
        <v>4.879192200000001E-3</v>
      </c>
      <c r="AX124" s="1773">
        <f t="shared" si="278"/>
        <v>4.879192200000001E-3</v>
      </c>
      <c r="AY124" s="1773">
        <f t="shared" si="279"/>
        <v>4.879192200000001E-3</v>
      </c>
      <c r="AZ124" s="1773">
        <f t="shared" si="280"/>
        <v>4.879192200000001E-3</v>
      </c>
      <c r="BA124" s="1773">
        <f t="shared" si="281"/>
        <v>4.879192200000001E-3</v>
      </c>
      <c r="BB124" s="1773">
        <f t="shared" si="282"/>
        <v>4.879192200000001E-3</v>
      </c>
      <c r="BC124" s="1773">
        <f t="shared" si="283"/>
        <v>20.329967500000002</v>
      </c>
      <c r="BD124" s="1773">
        <f t="shared" si="284"/>
        <v>7.3187883000000014</v>
      </c>
      <c r="BE124" s="1773">
        <f t="shared" si="285"/>
        <v>7.3187883000000014</v>
      </c>
      <c r="BF124" s="1947">
        <f t="shared" si="286"/>
        <v>20.329967500000002</v>
      </c>
    </row>
    <row r="125" spans="1:58">
      <c r="A125" s="184" t="s">
        <v>313</v>
      </c>
      <c r="B125" s="185" t="s">
        <v>314</v>
      </c>
      <c r="C125" s="388">
        <f t="shared" si="170"/>
        <v>1.7095691894324229E-2</v>
      </c>
      <c r="D125" s="1779">
        <f t="shared" si="171"/>
        <v>0.11061864847900049</v>
      </c>
      <c r="E125" s="1785">
        <f t="shared" si="209"/>
        <v>86.03</v>
      </c>
      <c r="F125" s="271">
        <f t="shared" si="271"/>
        <v>2.5000000000000001E-3</v>
      </c>
      <c r="G125" s="271">
        <f t="shared" si="210"/>
        <v>29.798480000000001</v>
      </c>
      <c r="H125" s="272">
        <f t="shared" si="211"/>
        <v>680.01576316717876</v>
      </c>
      <c r="I125" s="1162">
        <f t="shared" ref="I125:I141" si="288">VLOOKUP($A125,Table_GW_Summary, MATCH("GW-ESL", heading_GW_Summary, 0), FALSE)</f>
        <v>0.57371019912170784</v>
      </c>
      <c r="J125" s="1163">
        <f t="shared" si="172"/>
        <v>3.7122245322244787</v>
      </c>
      <c r="K125" s="1164" t="str">
        <f t="shared" si="173"/>
        <v>GW VI</v>
      </c>
      <c r="L125" s="271">
        <f t="shared" si="213"/>
        <v>932</v>
      </c>
      <c r="M125" s="271" t="str">
        <f t="shared" si="273"/>
        <v>--</v>
      </c>
      <c r="N125" s="271" t="str">
        <f t="shared" si="215"/>
        <v>--</v>
      </c>
      <c r="O125" s="271">
        <f t="shared" si="216"/>
        <v>50000</v>
      </c>
      <c r="P125" s="1773">
        <f t="shared" si="217"/>
        <v>3.7122245322244787</v>
      </c>
      <c r="Q125" s="1777" t="str">
        <f t="shared" si="218"/>
        <v>--</v>
      </c>
      <c r="R125" s="1786" t="str">
        <f t="shared" si="274"/>
        <v>--</v>
      </c>
      <c r="S125" s="1786">
        <f t="shared" si="219"/>
        <v>0.57371019912170784</v>
      </c>
      <c r="T125" s="1786">
        <f t="shared" si="220"/>
        <v>480.47577012948005</v>
      </c>
      <c r="U125" s="1786">
        <f t="shared" si="156"/>
        <v>0.57371019912170784</v>
      </c>
      <c r="V125" s="1786" t="str">
        <f t="shared" si="222"/>
        <v>--</v>
      </c>
      <c r="W125" s="1890">
        <f t="shared" si="247"/>
        <v>0.57371019912170784</v>
      </c>
      <c r="X125" s="1646" t="str">
        <f t="shared" si="248"/>
        <v>Tapwater Cancer</v>
      </c>
      <c r="Y125" s="1642">
        <f t="shared" si="249"/>
        <v>0.57371019912170784</v>
      </c>
      <c r="Z125" s="1646" t="str">
        <f t="shared" si="250"/>
        <v>Tapwater Cancer</v>
      </c>
      <c r="AA125" s="1642">
        <f t="shared" si="251"/>
        <v>0.57371019912170784</v>
      </c>
      <c r="AB125" s="1646" t="str">
        <f t="shared" si="252"/>
        <v>Tapwater Cancer</v>
      </c>
      <c r="AC125" s="1641">
        <f t="shared" si="253"/>
        <v>0.57371019912170784</v>
      </c>
      <c r="AD125" s="1646" t="str">
        <f t="shared" si="254"/>
        <v>Tapwater Cancer</v>
      </c>
      <c r="AE125" s="1642">
        <f t="shared" si="255"/>
        <v>0.57371019912170784</v>
      </c>
      <c r="AF125" s="1646" t="str">
        <f t="shared" si="256"/>
        <v>Tapwater Cancer</v>
      </c>
      <c r="AG125" s="1642">
        <f t="shared" si="257"/>
        <v>0.57371019912170784</v>
      </c>
      <c r="AH125" s="1646" t="str">
        <f t="shared" si="258"/>
        <v>Tapwater Cancer</v>
      </c>
      <c r="AI125" s="1642">
        <f t="shared" si="259"/>
        <v>0.57371019912170784</v>
      </c>
      <c r="AJ125" s="1646" t="str">
        <f t="shared" si="260"/>
        <v>Tapwater Cancer</v>
      </c>
      <c r="AK125" s="1641">
        <f t="shared" si="261"/>
        <v>0.57371019912170784</v>
      </c>
      <c r="AL125" s="1646" t="str">
        <f t="shared" si="262"/>
        <v>Tapwater Cancer</v>
      </c>
      <c r="AM125" s="1641">
        <f t="shared" si="263"/>
        <v>3.7122245322244787</v>
      </c>
      <c r="AN125" s="1646" t="str">
        <f t="shared" si="264"/>
        <v>VI</v>
      </c>
      <c r="AO125" s="1643">
        <f t="shared" si="265"/>
        <v>3.7122245322244787</v>
      </c>
      <c r="AP125" s="1646" t="str">
        <f t="shared" si="266"/>
        <v>VI</v>
      </c>
      <c r="AQ125" s="1643">
        <f t="shared" si="267"/>
        <v>3.7122245322244787</v>
      </c>
      <c r="AR125" s="1646" t="str">
        <f t="shared" si="268"/>
        <v>VI</v>
      </c>
      <c r="AS125" s="1644">
        <f t="shared" si="269"/>
        <v>3.7122245322244787</v>
      </c>
      <c r="AT125" s="1891" t="str">
        <f t="shared" si="270"/>
        <v>VI</v>
      </c>
      <c r="AU125" s="1773">
        <f t="shared" si="275"/>
        <v>1.7095691894324229E-2</v>
      </c>
      <c r="AV125" s="1773">
        <f t="shared" si="276"/>
        <v>1.7095691894324229E-2</v>
      </c>
      <c r="AW125" s="1773">
        <f t="shared" si="277"/>
        <v>1.7095691894324229E-2</v>
      </c>
      <c r="AX125" s="1773">
        <f t="shared" si="278"/>
        <v>1.7095691894324229E-2</v>
      </c>
      <c r="AY125" s="1773">
        <f t="shared" si="279"/>
        <v>1.7095691894324229E-2</v>
      </c>
      <c r="AZ125" s="1773">
        <f t="shared" si="280"/>
        <v>1.7095691894324229E-2</v>
      </c>
      <c r="BA125" s="1773">
        <f t="shared" si="281"/>
        <v>1.7095691894324229E-2</v>
      </c>
      <c r="BB125" s="1773">
        <f t="shared" si="282"/>
        <v>1.7095691894324229E-2</v>
      </c>
      <c r="BC125" s="1773">
        <f t="shared" si="283"/>
        <v>0.11061864847900049</v>
      </c>
      <c r="BD125" s="1773">
        <f t="shared" si="284"/>
        <v>0.11061864847900049</v>
      </c>
      <c r="BE125" s="1773">
        <f t="shared" si="285"/>
        <v>0.11061864847900049</v>
      </c>
      <c r="BF125" s="1947">
        <f t="shared" si="286"/>
        <v>0.11061864847900049</v>
      </c>
    </row>
    <row r="126" spans="1:58">
      <c r="A126" s="184" t="s">
        <v>315</v>
      </c>
      <c r="B126" s="185" t="s">
        <v>316</v>
      </c>
      <c r="C126" s="388">
        <f t="shared" ref="C126:C141" si="289">IF(G126="--","--",IF(I126="--", I126,IF(AND(G126*I126*0.001&lt;H126,E126&gt;30000),H126,G126*I126*0.001)))</f>
        <v>1.8038009000000001E-2</v>
      </c>
      <c r="D126" s="1779">
        <f t="shared" ref="D126:D141" si="290">IF(G126="--","--",IF(J126="--","--",IF(AND(G126*J126*0.001&lt;H126,E126&gt;30000),H126,G126*J126*0.001)))</f>
        <v>4.1487420699999993E-2</v>
      </c>
      <c r="E126" s="1785">
        <f t="shared" si="209"/>
        <v>94.94</v>
      </c>
      <c r="F126" s="271">
        <f t="shared" si="271"/>
        <v>3.6699999999999998E-4</v>
      </c>
      <c r="G126" s="271">
        <f t="shared" si="210"/>
        <v>18.038008999999999</v>
      </c>
      <c r="H126" s="272">
        <f t="shared" si="211"/>
        <v>1903.1195223540417</v>
      </c>
      <c r="I126" s="1162">
        <f t="shared" si="288"/>
        <v>1</v>
      </c>
      <c r="J126" s="1163">
        <f t="shared" si="172"/>
        <v>2.2999999999999998</v>
      </c>
      <c r="K126" s="1164" t="str">
        <f t="shared" si="173"/>
        <v>Seafood Consumption</v>
      </c>
      <c r="L126" s="271">
        <f t="shared" si="213"/>
        <v>420</v>
      </c>
      <c r="M126" s="271">
        <f t="shared" si="273"/>
        <v>902</v>
      </c>
      <c r="N126" s="271">
        <f t="shared" si="215"/>
        <v>2.2999999999999998</v>
      </c>
      <c r="O126" s="271">
        <f t="shared" si="216"/>
        <v>50000</v>
      </c>
      <c r="P126" s="1773">
        <f t="shared" si="217"/>
        <v>3.2263531826626481</v>
      </c>
      <c r="Q126" s="1777">
        <f t="shared" si="218"/>
        <v>5000</v>
      </c>
      <c r="R126" s="1786">
        <f t="shared" si="274"/>
        <v>1</v>
      </c>
      <c r="S126" s="1786">
        <f t="shared" si="219"/>
        <v>7.5739650120297694E-2</v>
      </c>
      <c r="T126" s="1786">
        <f t="shared" si="220"/>
        <v>361.32540946494953</v>
      </c>
      <c r="U126" s="1786">
        <f t="shared" si="156"/>
        <v>1</v>
      </c>
      <c r="V126" s="1786">
        <f t="shared" si="222"/>
        <v>500</v>
      </c>
      <c r="W126" s="1890">
        <f t="shared" si="247"/>
        <v>1</v>
      </c>
      <c r="X126" s="1646" t="str">
        <f t="shared" si="248"/>
        <v>MCL</v>
      </c>
      <c r="Y126" s="1642">
        <f t="shared" si="249"/>
        <v>1</v>
      </c>
      <c r="Z126" s="1646" t="str">
        <f t="shared" si="250"/>
        <v>MCL</v>
      </c>
      <c r="AA126" s="1642">
        <f t="shared" si="251"/>
        <v>1</v>
      </c>
      <c r="AB126" s="1646" t="str">
        <f t="shared" si="252"/>
        <v>MCL</v>
      </c>
      <c r="AC126" s="1641">
        <f t="shared" si="253"/>
        <v>1</v>
      </c>
      <c r="AD126" s="1646" t="str">
        <f t="shared" si="254"/>
        <v>MCL</v>
      </c>
      <c r="AE126" s="1642">
        <f t="shared" si="255"/>
        <v>7.5739650120297694E-2</v>
      </c>
      <c r="AF126" s="1646" t="str">
        <f t="shared" si="256"/>
        <v>Tapwater Cancer</v>
      </c>
      <c r="AG126" s="1642">
        <f t="shared" si="257"/>
        <v>7.5739650120297694E-2</v>
      </c>
      <c r="AH126" s="1646" t="str">
        <f t="shared" si="258"/>
        <v>Tapwater Cancer</v>
      </c>
      <c r="AI126" s="1642">
        <f t="shared" si="259"/>
        <v>7.5739650120297694E-2</v>
      </c>
      <c r="AJ126" s="1646" t="str">
        <f t="shared" si="260"/>
        <v>Tapwater Cancer</v>
      </c>
      <c r="AK126" s="1641">
        <f t="shared" si="261"/>
        <v>7.5739650120297694E-2</v>
      </c>
      <c r="AL126" s="1646" t="str">
        <f t="shared" si="262"/>
        <v>Tapwater Cancer</v>
      </c>
      <c r="AM126" s="1641">
        <f t="shared" si="263"/>
        <v>2.2999999999999998</v>
      </c>
      <c r="AN126" s="1646" t="str">
        <f t="shared" si="264"/>
        <v>Seafood Ingestion</v>
      </c>
      <c r="AO126" s="1643">
        <f t="shared" si="265"/>
        <v>2.2999999999999998</v>
      </c>
      <c r="AP126" s="1646" t="str">
        <f t="shared" si="266"/>
        <v>Seafood Ingestion</v>
      </c>
      <c r="AQ126" s="1643">
        <f t="shared" si="267"/>
        <v>2.2999999999999998</v>
      </c>
      <c r="AR126" s="1646" t="str">
        <f t="shared" si="268"/>
        <v>Seafood Ingestion</v>
      </c>
      <c r="AS126" s="1644">
        <f t="shared" si="269"/>
        <v>3.2263531826626481</v>
      </c>
      <c r="AT126" s="1891" t="str">
        <f t="shared" si="270"/>
        <v>VI</v>
      </c>
      <c r="AU126" s="1773">
        <f t="shared" si="275"/>
        <v>1.8038009000000001E-2</v>
      </c>
      <c r="AV126" s="1773">
        <f t="shared" si="276"/>
        <v>1.8038009000000001E-2</v>
      </c>
      <c r="AW126" s="1773">
        <f t="shared" si="277"/>
        <v>1.8038009000000001E-2</v>
      </c>
      <c r="AX126" s="1773">
        <f t="shared" si="278"/>
        <v>1.8038009000000001E-2</v>
      </c>
      <c r="AY126" s="1773">
        <f t="shared" si="279"/>
        <v>1.3661924905267809E-3</v>
      </c>
      <c r="AZ126" s="1773">
        <f t="shared" si="280"/>
        <v>1.3661924905267809E-3</v>
      </c>
      <c r="BA126" s="1773">
        <f t="shared" si="281"/>
        <v>1.3661924905267809E-3</v>
      </c>
      <c r="BB126" s="1773">
        <f t="shared" si="282"/>
        <v>1.3661924905267809E-3</v>
      </c>
      <c r="BC126" s="1773">
        <f t="shared" si="283"/>
        <v>4.1487420699999993E-2</v>
      </c>
      <c r="BD126" s="1773">
        <f t="shared" si="284"/>
        <v>4.1487420699999993E-2</v>
      </c>
      <c r="BE126" s="1773">
        <f t="shared" si="285"/>
        <v>4.1487420699999993E-2</v>
      </c>
      <c r="BF126" s="1947">
        <f t="shared" si="286"/>
        <v>5.8196987746047493E-2</v>
      </c>
    </row>
    <row r="127" spans="1:58">
      <c r="A127" s="184" t="s">
        <v>317</v>
      </c>
      <c r="B127" s="185" t="s">
        <v>318</v>
      </c>
      <c r="C127" s="388">
        <f t="shared" si="289"/>
        <v>7.9905242476613736E-2</v>
      </c>
      <c r="D127" s="1779">
        <f t="shared" si="290"/>
        <v>7.9905242476613736E-2</v>
      </c>
      <c r="E127" s="1785">
        <f t="shared" si="209"/>
        <v>94.94</v>
      </c>
      <c r="F127" s="271">
        <f t="shared" si="271"/>
        <v>1.77E-2</v>
      </c>
      <c r="G127" s="271">
        <f t="shared" si="210"/>
        <v>125.62394</v>
      </c>
      <c r="H127" s="272">
        <f t="shared" si="211"/>
        <v>166.16560580940779</v>
      </c>
      <c r="I127" s="1162">
        <f t="shared" si="288"/>
        <v>0.63606699866771998</v>
      </c>
      <c r="J127" s="1163">
        <f t="shared" si="172"/>
        <v>0.63606699866771998</v>
      </c>
      <c r="K127" s="1164" t="str">
        <f t="shared" si="173"/>
        <v>GW VI</v>
      </c>
      <c r="L127" s="271">
        <f t="shared" si="213"/>
        <v>120</v>
      </c>
      <c r="M127" s="271">
        <f t="shared" si="273"/>
        <v>225</v>
      </c>
      <c r="N127" s="271">
        <f t="shared" si="215"/>
        <v>2</v>
      </c>
      <c r="O127" s="271">
        <f t="shared" si="216"/>
        <v>50000</v>
      </c>
      <c r="P127" s="1773">
        <f t="shared" si="217"/>
        <v>0.63606699866771998</v>
      </c>
      <c r="Q127" s="1777">
        <f t="shared" si="218"/>
        <v>3000</v>
      </c>
      <c r="R127" s="1786">
        <f t="shared" si="274"/>
        <v>5</v>
      </c>
      <c r="S127" s="1786">
        <f t="shared" si="219"/>
        <v>0.06</v>
      </c>
      <c r="T127" s="1786">
        <f t="shared" si="220"/>
        <v>40.580395361445987</v>
      </c>
      <c r="U127" s="1786">
        <f t="shared" si="156"/>
        <v>5</v>
      </c>
      <c r="V127" s="1786">
        <f t="shared" si="222"/>
        <v>170</v>
      </c>
      <c r="W127" s="1890">
        <f t="shared" si="247"/>
        <v>0.63606699866771998</v>
      </c>
      <c r="X127" s="1646" t="str">
        <f t="shared" si="248"/>
        <v>VI</v>
      </c>
      <c r="Y127" s="1642">
        <f t="shared" si="249"/>
        <v>0.63606699866771998</v>
      </c>
      <c r="Z127" s="1646" t="str">
        <f t="shared" si="250"/>
        <v>VI</v>
      </c>
      <c r="AA127" s="1642">
        <f t="shared" si="251"/>
        <v>0.63606699866771998</v>
      </c>
      <c r="AB127" s="1646" t="str">
        <f t="shared" si="252"/>
        <v>VI</v>
      </c>
      <c r="AC127" s="1641">
        <f t="shared" si="253"/>
        <v>0.63606699866771998</v>
      </c>
      <c r="AD127" s="1646" t="str">
        <f t="shared" si="254"/>
        <v>VI</v>
      </c>
      <c r="AE127" s="1642">
        <f t="shared" si="255"/>
        <v>0.06</v>
      </c>
      <c r="AF127" s="1646" t="str">
        <f t="shared" si="256"/>
        <v>Tapwater Cancer</v>
      </c>
      <c r="AG127" s="1642">
        <f t="shared" si="257"/>
        <v>0.06</v>
      </c>
      <c r="AH127" s="1646" t="str">
        <f t="shared" si="258"/>
        <v>Tapwater Cancer</v>
      </c>
      <c r="AI127" s="1642">
        <f t="shared" si="259"/>
        <v>0.06</v>
      </c>
      <c r="AJ127" s="1646" t="str">
        <f t="shared" si="260"/>
        <v>Tapwater Cancer</v>
      </c>
      <c r="AK127" s="1641">
        <f t="shared" si="261"/>
        <v>0.06</v>
      </c>
      <c r="AL127" s="1646" t="str">
        <f t="shared" si="262"/>
        <v>Tapwater Cancer</v>
      </c>
      <c r="AM127" s="1641">
        <f t="shared" si="263"/>
        <v>0.63606699866771998</v>
      </c>
      <c r="AN127" s="1646" t="str">
        <f t="shared" si="264"/>
        <v>VI</v>
      </c>
      <c r="AO127" s="1643">
        <f t="shared" si="265"/>
        <v>0.63606699866771998</v>
      </c>
      <c r="AP127" s="1646" t="str">
        <f t="shared" si="266"/>
        <v>VI</v>
      </c>
      <c r="AQ127" s="1643">
        <f t="shared" si="267"/>
        <v>0.63606699866771998</v>
      </c>
      <c r="AR127" s="1646" t="str">
        <f t="shared" si="268"/>
        <v>VI</v>
      </c>
      <c r="AS127" s="1644">
        <f t="shared" si="269"/>
        <v>0.63606699866771998</v>
      </c>
      <c r="AT127" s="1891" t="str">
        <f t="shared" si="270"/>
        <v>VI</v>
      </c>
      <c r="AU127" s="1773">
        <f t="shared" si="275"/>
        <v>7.9905242476613736E-2</v>
      </c>
      <c r="AV127" s="1773">
        <f t="shared" si="276"/>
        <v>7.9905242476613736E-2</v>
      </c>
      <c r="AW127" s="1773">
        <f t="shared" si="277"/>
        <v>7.9905242476613736E-2</v>
      </c>
      <c r="AX127" s="1773">
        <f t="shared" si="278"/>
        <v>7.9905242476613736E-2</v>
      </c>
      <c r="AY127" s="1773">
        <f t="shared" si="279"/>
        <v>7.5374363999999999E-3</v>
      </c>
      <c r="AZ127" s="1773">
        <f t="shared" si="280"/>
        <v>7.5374363999999999E-3</v>
      </c>
      <c r="BA127" s="1773">
        <f t="shared" si="281"/>
        <v>7.5374363999999999E-3</v>
      </c>
      <c r="BB127" s="1773">
        <f t="shared" si="282"/>
        <v>7.5374363999999999E-3</v>
      </c>
      <c r="BC127" s="1773">
        <f t="shared" si="283"/>
        <v>7.9905242476613736E-2</v>
      </c>
      <c r="BD127" s="1773">
        <f t="shared" si="284"/>
        <v>7.9905242476613736E-2</v>
      </c>
      <c r="BE127" s="1773">
        <f t="shared" si="285"/>
        <v>7.9905242476613736E-2</v>
      </c>
      <c r="BF127" s="1947">
        <f t="shared" si="286"/>
        <v>7.9905242476613736E-2</v>
      </c>
    </row>
    <row r="128" spans="1:58">
      <c r="A128" s="184" t="s">
        <v>319</v>
      </c>
      <c r="B128" s="185" t="s">
        <v>320</v>
      </c>
      <c r="C128" s="388" t="str">
        <f t="shared" si="289"/>
        <v>--</v>
      </c>
      <c r="D128" s="1779" t="str">
        <f t="shared" si="290"/>
        <v>--</v>
      </c>
      <c r="E128" s="1785" t="str">
        <f t="shared" si="209"/>
        <v>--</v>
      </c>
      <c r="F128" s="271" t="str">
        <f t="shared" si="271"/>
        <v>--</v>
      </c>
      <c r="G128" s="271" t="str">
        <f t="shared" si="210"/>
        <v>--</v>
      </c>
      <c r="H128" s="272" t="str">
        <f t="shared" si="211"/>
        <v>--</v>
      </c>
      <c r="I128" s="1162">
        <f t="shared" si="288"/>
        <v>0.47</v>
      </c>
      <c r="J128" s="1163">
        <f t="shared" si="172"/>
        <v>0.47</v>
      </c>
      <c r="K128" s="1164" t="str">
        <f t="shared" si="173"/>
        <v>Seafood Consumption</v>
      </c>
      <c r="L128" s="271">
        <f t="shared" si="213"/>
        <v>20</v>
      </c>
      <c r="M128" s="271">
        <f t="shared" si="273"/>
        <v>213</v>
      </c>
      <c r="N128" s="271">
        <f t="shared" si="215"/>
        <v>0.47</v>
      </c>
      <c r="O128" s="271">
        <f t="shared" si="216"/>
        <v>50000</v>
      </c>
      <c r="P128" s="1773" t="str">
        <f t="shared" si="217"/>
        <v>--</v>
      </c>
      <c r="Q128" s="1777" t="str">
        <f t="shared" si="218"/>
        <v>--</v>
      </c>
      <c r="R128" s="1786">
        <f t="shared" si="274"/>
        <v>2</v>
      </c>
      <c r="S128" s="1786" t="str">
        <f t="shared" si="219"/>
        <v>--</v>
      </c>
      <c r="T128" s="1786">
        <f t="shared" si="220"/>
        <v>0.1</v>
      </c>
      <c r="U128" s="1786">
        <f t="shared" si="156"/>
        <v>2</v>
      </c>
      <c r="V128" s="1786" t="str">
        <f t="shared" si="222"/>
        <v>--</v>
      </c>
      <c r="W128" s="1890">
        <f t="shared" si="247"/>
        <v>0.47</v>
      </c>
      <c r="X128" s="1646" t="str">
        <f t="shared" si="248"/>
        <v>Seafood Ingestion</v>
      </c>
      <c r="Y128" s="1642">
        <f t="shared" si="249"/>
        <v>0.47</v>
      </c>
      <c r="Z128" s="1646" t="str">
        <f t="shared" si="250"/>
        <v>Seafood Ingestion</v>
      </c>
      <c r="AA128" s="1642">
        <f t="shared" si="251"/>
        <v>0.47</v>
      </c>
      <c r="AB128" s="1646" t="str">
        <f t="shared" si="252"/>
        <v>Seafood Ingestion</v>
      </c>
      <c r="AC128" s="1641">
        <f t="shared" si="253"/>
        <v>2</v>
      </c>
      <c r="AD128" s="1646" t="str">
        <f t="shared" si="254"/>
        <v>MCL</v>
      </c>
      <c r="AE128" s="1642">
        <f t="shared" si="255"/>
        <v>0.1</v>
      </c>
      <c r="AF128" s="1646" t="str">
        <f t="shared" si="256"/>
        <v>Tapwater Noncancer</v>
      </c>
      <c r="AG128" s="1642">
        <f t="shared" si="257"/>
        <v>0.1</v>
      </c>
      <c r="AH128" s="1646" t="str">
        <f t="shared" si="258"/>
        <v>Tapwater Noncancer</v>
      </c>
      <c r="AI128" s="1642">
        <f t="shared" si="259"/>
        <v>0.1</v>
      </c>
      <c r="AJ128" s="1646" t="str">
        <f t="shared" si="260"/>
        <v>Tapwater Noncancer</v>
      </c>
      <c r="AK128" s="1641">
        <f t="shared" si="261"/>
        <v>0.1</v>
      </c>
      <c r="AL128" s="1646" t="str">
        <f t="shared" si="262"/>
        <v>Tapwater Noncancer</v>
      </c>
      <c r="AM128" s="1641">
        <f t="shared" si="263"/>
        <v>0.47</v>
      </c>
      <c r="AN128" s="1646" t="str">
        <f t="shared" si="264"/>
        <v>Seafood Ingestion</v>
      </c>
      <c r="AO128" s="1643">
        <f t="shared" si="265"/>
        <v>0.47</v>
      </c>
      <c r="AP128" s="1646" t="str">
        <f t="shared" si="266"/>
        <v>Seafood Ingestion</v>
      </c>
      <c r="AQ128" s="1643">
        <f t="shared" si="267"/>
        <v>0.47</v>
      </c>
      <c r="AR128" s="1646" t="str">
        <f t="shared" si="268"/>
        <v>Seafood Ingestion</v>
      </c>
      <c r="AS128" s="1644">
        <f t="shared" si="269"/>
        <v>50000</v>
      </c>
      <c r="AT128" s="1891" t="str">
        <f t="shared" si="270"/>
        <v>Outdoor Odor</v>
      </c>
      <c r="AU128" s="1773" t="str">
        <f t="shared" si="275"/>
        <v>--</v>
      </c>
      <c r="AV128" s="1773" t="str">
        <f t="shared" si="276"/>
        <v>--</v>
      </c>
      <c r="AW128" s="1773" t="str">
        <f t="shared" si="277"/>
        <v>--</v>
      </c>
      <c r="AX128" s="1773" t="str">
        <f t="shared" si="278"/>
        <v>--</v>
      </c>
      <c r="AY128" s="1773" t="str">
        <f t="shared" si="279"/>
        <v>--</v>
      </c>
      <c r="AZ128" s="1773" t="str">
        <f t="shared" si="280"/>
        <v>--</v>
      </c>
      <c r="BA128" s="1773" t="str">
        <f t="shared" si="281"/>
        <v>--</v>
      </c>
      <c r="BB128" s="1773" t="str">
        <f t="shared" si="282"/>
        <v>--</v>
      </c>
      <c r="BC128" s="1773" t="str">
        <f t="shared" si="283"/>
        <v>--</v>
      </c>
      <c r="BD128" s="1773" t="str">
        <f t="shared" si="284"/>
        <v>--</v>
      </c>
      <c r="BE128" s="1773" t="str">
        <f t="shared" si="285"/>
        <v>--</v>
      </c>
      <c r="BF128" s="1947" t="str">
        <f t="shared" si="286"/>
        <v>--</v>
      </c>
    </row>
    <row r="129" spans="1:58">
      <c r="A129" s="184" t="s">
        <v>321</v>
      </c>
      <c r="B129" s="185" t="s">
        <v>322</v>
      </c>
      <c r="C129" s="388">
        <f t="shared" si="289"/>
        <v>3.2016752000000004</v>
      </c>
      <c r="D129" s="1779">
        <f t="shared" si="290"/>
        <v>10.4054444</v>
      </c>
      <c r="E129" s="1785">
        <f t="shared" si="209"/>
        <v>233.9</v>
      </c>
      <c r="F129" s="271">
        <f t="shared" si="271"/>
        <v>6.6400000000000001E-3</v>
      </c>
      <c r="G129" s="271">
        <f t="shared" si="210"/>
        <v>80.041880000000006</v>
      </c>
      <c r="H129" s="272">
        <f t="shared" si="211"/>
        <v>817.81968815110827</v>
      </c>
      <c r="I129" s="1162">
        <f t="shared" si="288"/>
        <v>40</v>
      </c>
      <c r="J129" s="1163">
        <f t="shared" si="172"/>
        <v>130</v>
      </c>
      <c r="K129" s="1164" t="str">
        <f t="shared" si="173"/>
        <v>FW EcoTox Goal</v>
      </c>
      <c r="L129" s="271">
        <f t="shared" si="213"/>
        <v>130</v>
      </c>
      <c r="M129" s="271">
        <f t="shared" si="273"/>
        <v>2500</v>
      </c>
      <c r="N129" s="271">
        <f t="shared" si="215"/>
        <v>520</v>
      </c>
      <c r="O129" s="271">
        <f t="shared" si="216"/>
        <v>50000</v>
      </c>
      <c r="P129" s="1773">
        <f t="shared" si="217"/>
        <v>1613.4759036144435</v>
      </c>
      <c r="Q129" s="1777">
        <f t="shared" si="218"/>
        <v>400</v>
      </c>
      <c r="R129" s="1786">
        <f t="shared" si="274"/>
        <v>150</v>
      </c>
      <c r="S129" s="1786" t="str">
        <f t="shared" si="219"/>
        <v>--</v>
      </c>
      <c r="T129" s="1786">
        <f t="shared" si="220"/>
        <v>150</v>
      </c>
      <c r="U129" s="1786">
        <f t="shared" si="156"/>
        <v>150</v>
      </c>
      <c r="V129" s="1786">
        <f t="shared" si="222"/>
        <v>40</v>
      </c>
      <c r="W129" s="1890">
        <f t="shared" si="247"/>
        <v>40</v>
      </c>
      <c r="X129" s="1646" t="str">
        <f t="shared" si="248"/>
        <v>DW Taste &amp; Odor</v>
      </c>
      <c r="Y129" s="1642">
        <f t="shared" si="249"/>
        <v>40</v>
      </c>
      <c r="Z129" s="1646" t="str">
        <f t="shared" si="250"/>
        <v>DW Taste &amp; Odor</v>
      </c>
      <c r="AA129" s="1642">
        <f t="shared" si="251"/>
        <v>40</v>
      </c>
      <c r="AB129" s="1646" t="str">
        <f t="shared" si="252"/>
        <v>DW Taste &amp; Odor</v>
      </c>
      <c r="AC129" s="1641">
        <f t="shared" si="253"/>
        <v>40</v>
      </c>
      <c r="AD129" s="1646" t="str">
        <f t="shared" si="254"/>
        <v>DW Taste &amp; Odor</v>
      </c>
      <c r="AE129" s="1642">
        <f t="shared" si="255"/>
        <v>40</v>
      </c>
      <c r="AF129" s="1646" t="str">
        <f t="shared" si="256"/>
        <v>DW Taste &amp; Odor</v>
      </c>
      <c r="AG129" s="1642">
        <f t="shared" si="257"/>
        <v>40</v>
      </c>
      <c r="AH129" s="1646" t="str">
        <f t="shared" si="258"/>
        <v>DW Taste &amp; Odor</v>
      </c>
      <c r="AI129" s="1642">
        <f t="shared" si="259"/>
        <v>40</v>
      </c>
      <c r="AJ129" s="1646" t="str">
        <f t="shared" si="260"/>
        <v>DW Taste &amp; Odor</v>
      </c>
      <c r="AK129" s="1641">
        <f t="shared" si="261"/>
        <v>40</v>
      </c>
      <c r="AL129" s="1646" t="str">
        <f t="shared" si="262"/>
        <v>DW Taste &amp; Odor</v>
      </c>
      <c r="AM129" s="1641">
        <f t="shared" si="263"/>
        <v>400</v>
      </c>
      <c r="AN129" s="1646" t="str">
        <f t="shared" si="264"/>
        <v>Outdoor Odor</v>
      </c>
      <c r="AO129" s="1643">
        <f t="shared" si="265"/>
        <v>130</v>
      </c>
      <c r="AP129" s="1646" t="str">
        <f t="shared" si="266"/>
        <v>FW EcoTox</v>
      </c>
      <c r="AQ129" s="1643">
        <f t="shared" si="267"/>
        <v>130</v>
      </c>
      <c r="AR129" s="1646" t="str">
        <f t="shared" si="268"/>
        <v>FW EcoTox</v>
      </c>
      <c r="AS129" s="1644">
        <f t="shared" si="269"/>
        <v>400</v>
      </c>
      <c r="AT129" s="1891" t="str">
        <f t="shared" si="270"/>
        <v>Outdoor Odor</v>
      </c>
      <c r="AU129" s="1773">
        <f t="shared" si="275"/>
        <v>3.2016752000000004</v>
      </c>
      <c r="AV129" s="1773">
        <f t="shared" si="276"/>
        <v>3.2016752000000004</v>
      </c>
      <c r="AW129" s="1773">
        <f t="shared" si="277"/>
        <v>3.2016752000000004</v>
      </c>
      <c r="AX129" s="1773">
        <f t="shared" si="278"/>
        <v>3.2016752000000004</v>
      </c>
      <c r="AY129" s="1773">
        <f t="shared" si="279"/>
        <v>3.2016752000000004</v>
      </c>
      <c r="AZ129" s="1773">
        <f t="shared" si="280"/>
        <v>3.2016752000000004</v>
      </c>
      <c r="BA129" s="1773">
        <f t="shared" si="281"/>
        <v>3.2016752000000004</v>
      </c>
      <c r="BB129" s="1773">
        <f t="shared" si="282"/>
        <v>3.2016752000000004</v>
      </c>
      <c r="BC129" s="1773">
        <f t="shared" si="283"/>
        <v>32.016752000000004</v>
      </c>
      <c r="BD129" s="1773">
        <f t="shared" si="284"/>
        <v>10.4054444</v>
      </c>
      <c r="BE129" s="1773">
        <f t="shared" si="285"/>
        <v>10.4054444</v>
      </c>
      <c r="BF129" s="1947">
        <f t="shared" si="286"/>
        <v>32.016752000000004</v>
      </c>
    </row>
    <row r="130" spans="1:58">
      <c r="A130" s="184" t="s">
        <v>323</v>
      </c>
      <c r="B130" s="185" t="s">
        <v>324</v>
      </c>
      <c r="C130" s="388">
        <f t="shared" si="289"/>
        <v>254.8150255403508</v>
      </c>
      <c r="D130" s="1779">
        <f t="shared" si="290"/>
        <v>254.8150255403508</v>
      </c>
      <c r="E130" s="1785">
        <f t="shared" si="209"/>
        <v>77200</v>
      </c>
      <c r="F130" s="271">
        <f t="shared" si="271"/>
        <v>6.0000000000000002E-6</v>
      </c>
      <c r="G130" s="271">
        <f t="shared" si="210"/>
        <v>12815.237242000001</v>
      </c>
      <c r="H130" s="272">
        <f t="shared" si="211"/>
        <v>254.8150255403508</v>
      </c>
      <c r="I130" s="1162">
        <f t="shared" si="288"/>
        <v>2.0000000000000001E-4</v>
      </c>
      <c r="J130" s="1163">
        <f t="shared" si="172"/>
        <v>2.0000000000000001E-4</v>
      </c>
      <c r="K130" s="1164" t="str">
        <f t="shared" si="173"/>
        <v>FW EcoTox Goal</v>
      </c>
      <c r="L130" s="271">
        <f t="shared" si="213"/>
        <v>2.0000000000000001E-4</v>
      </c>
      <c r="M130" s="271">
        <f t="shared" si="273"/>
        <v>2.0000000000000001E-4</v>
      </c>
      <c r="N130" s="271">
        <f t="shared" si="215"/>
        <v>2.1000000000000001E-4</v>
      </c>
      <c r="O130" s="271">
        <f t="shared" si="216"/>
        <v>275</v>
      </c>
      <c r="P130" s="1773" t="str">
        <f t="shared" si="217"/>
        <v>--</v>
      </c>
      <c r="Q130" s="1777">
        <f t="shared" si="218"/>
        <v>140</v>
      </c>
      <c r="R130" s="1786">
        <f t="shared" si="274"/>
        <v>3</v>
      </c>
      <c r="S130" s="1786">
        <f t="shared" si="219"/>
        <v>0.03</v>
      </c>
      <c r="T130" s="1786">
        <f t="shared" si="220"/>
        <v>1.804945054945055</v>
      </c>
      <c r="U130" s="1786">
        <f t="shared" si="156"/>
        <v>3</v>
      </c>
      <c r="V130" s="1786">
        <f t="shared" si="222"/>
        <v>140</v>
      </c>
      <c r="W130" s="1890">
        <f t="shared" si="247"/>
        <v>2.0000000000000001E-4</v>
      </c>
      <c r="X130" s="1646" t="str">
        <f t="shared" si="248"/>
        <v>Saltwater EcoTox</v>
      </c>
      <c r="Y130" s="1642">
        <f t="shared" si="249"/>
        <v>2.0000000000000001E-4</v>
      </c>
      <c r="Z130" s="1646" t="str">
        <f t="shared" si="250"/>
        <v>Saltwater EcoTox</v>
      </c>
      <c r="AA130" s="1642">
        <f t="shared" si="251"/>
        <v>2.0000000000000001E-4</v>
      </c>
      <c r="AB130" s="1646" t="str">
        <f t="shared" si="252"/>
        <v>Saltwater EcoTox</v>
      </c>
      <c r="AC130" s="1641">
        <f t="shared" si="253"/>
        <v>3</v>
      </c>
      <c r="AD130" s="1646" t="str">
        <f t="shared" si="254"/>
        <v>MCL</v>
      </c>
      <c r="AE130" s="1642">
        <f t="shared" si="255"/>
        <v>2.0000000000000001E-4</v>
      </c>
      <c r="AF130" s="1646" t="str">
        <f t="shared" si="256"/>
        <v>Saltwater EcoTox</v>
      </c>
      <c r="AG130" s="1642">
        <f t="shared" si="257"/>
        <v>2.0000000000000001E-4</v>
      </c>
      <c r="AH130" s="1646" t="str">
        <f t="shared" si="258"/>
        <v>Saltwater EcoTox</v>
      </c>
      <c r="AI130" s="1642">
        <f t="shared" si="259"/>
        <v>2.0000000000000001E-4</v>
      </c>
      <c r="AJ130" s="1646" t="str">
        <f t="shared" si="260"/>
        <v>Saltwater EcoTox</v>
      </c>
      <c r="AK130" s="1641">
        <f t="shared" si="261"/>
        <v>0.03</v>
      </c>
      <c r="AL130" s="1646" t="str">
        <f t="shared" si="262"/>
        <v>Tapwater Cancer</v>
      </c>
      <c r="AM130" s="1641">
        <f t="shared" si="263"/>
        <v>2.0000000000000001E-4</v>
      </c>
      <c r="AN130" s="1646" t="str">
        <f t="shared" si="264"/>
        <v>Saltwater EcoTox</v>
      </c>
      <c r="AO130" s="1643">
        <f t="shared" si="265"/>
        <v>2.0000000000000001E-4</v>
      </c>
      <c r="AP130" s="1646" t="str">
        <f t="shared" si="266"/>
        <v>Saltwater EcoTox</v>
      </c>
      <c r="AQ130" s="1643">
        <f t="shared" si="267"/>
        <v>2.0000000000000001E-4</v>
      </c>
      <c r="AR130" s="1646" t="str">
        <f t="shared" si="268"/>
        <v>Saltwater EcoTox</v>
      </c>
      <c r="AS130" s="1644">
        <f t="shared" si="269"/>
        <v>140</v>
      </c>
      <c r="AT130" s="1891" t="str">
        <f t="shared" si="270"/>
        <v>DW Taste &amp; Odor</v>
      </c>
      <c r="AU130" s="1773">
        <f t="shared" si="275"/>
        <v>254.8150255403508</v>
      </c>
      <c r="AV130" s="1773">
        <f t="shared" si="276"/>
        <v>254.8150255403508</v>
      </c>
      <c r="AW130" s="1773">
        <f t="shared" si="277"/>
        <v>254.8150255403508</v>
      </c>
      <c r="AX130" s="1773">
        <f t="shared" si="278"/>
        <v>254.8150255403508</v>
      </c>
      <c r="AY130" s="1773">
        <f t="shared" si="279"/>
        <v>254.8150255403508</v>
      </c>
      <c r="AZ130" s="1773">
        <f t="shared" si="280"/>
        <v>254.8150255403508</v>
      </c>
      <c r="BA130" s="1773">
        <f t="shared" si="281"/>
        <v>254.8150255403508</v>
      </c>
      <c r="BB130" s="1773">
        <f t="shared" si="282"/>
        <v>254.8150255403508</v>
      </c>
      <c r="BC130" s="1773">
        <f t="shared" si="283"/>
        <v>254.8150255403508</v>
      </c>
      <c r="BD130" s="1773">
        <f t="shared" si="284"/>
        <v>254.8150255403508</v>
      </c>
      <c r="BE130" s="1773">
        <f t="shared" si="285"/>
        <v>254.8150255403508</v>
      </c>
      <c r="BF130" s="1947">
        <f t="shared" si="286"/>
        <v>1794.1332138800003</v>
      </c>
    </row>
    <row r="131" spans="1:58">
      <c r="A131" s="184" t="s">
        <v>325</v>
      </c>
      <c r="B131" s="185" t="s">
        <v>326</v>
      </c>
      <c r="C131" s="388">
        <f t="shared" si="289"/>
        <v>1.7777155440000001E-2</v>
      </c>
      <c r="D131" s="1779">
        <f>IF(G131="--","--",IF(J131="--","--",IF(AND(G131*J131*0.001&lt;H131,E131&gt;30000),H131,G131*J131*0.001)))</f>
        <v>1.7777155440000001E-2</v>
      </c>
      <c r="E131" s="1785">
        <f t="shared" si="209"/>
        <v>1356</v>
      </c>
      <c r="F131" s="271">
        <f t="shared" si="271"/>
        <v>1.42E-3</v>
      </c>
      <c r="G131" s="271">
        <f t="shared" si="210"/>
        <v>233.90994000000001</v>
      </c>
      <c r="H131" s="272">
        <f t="shared" si="211"/>
        <v>404.10251442735415</v>
      </c>
      <c r="I131" s="1162">
        <f>VLOOKUP($A131,Table_GW_Summary, MATCH("GW-ESL", heading_GW_Summary, 0), FALSE)</f>
        <v>7.5999999999999998E-2</v>
      </c>
      <c r="J131" s="1163">
        <f t="shared" si="172"/>
        <v>7.5999999999999998E-2</v>
      </c>
      <c r="K131" s="1164" t="str">
        <f t="shared" si="173"/>
        <v>Seafood Consumption</v>
      </c>
      <c r="L131" s="271">
        <f t="shared" si="213"/>
        <v>25</v>
      </c>
      <c r="M131" s="271">
        <f t="shared" si="273"/>
        <v>64.5</v>
      </c>
      <c r="N131" s="271">
        <f t="shared" si="215"/>
        <v>7.5999999999999998E-2</v>
      </c>
      <c r="O131" s="271">
        <f t="shared" si="216"/>
        <v>24500</v>
      </c>
      <c r="P131" s="1773">
        <f t="shared" si="217"/>
        <v>35.927162977865656</v>
      </c>
      <c r="Q131" s="1777">
        <f t="shared" si="218"/>
        <v>30000</v>
      </c>
      <c r="R131" s="1786">
        <f t="shared" si="274"/>
        <v>5</v>
      </c>
      <c r="S131" s="1786">
        <f t="shared" si="219"/>
        <v>1.1543943553643614</v>
      </c>
      <c r="T131" s="1786">
        <f t="shared" si="220"/>
        <v>3.9872559385618862</v>
      </c>
      <c r="U131" s="1786">
        <f t="shared" si="156"/>
        <v>5</v>
      </c>
      <c r="V131" s="1786">
        <f t="shared" si="222"/>
        <v>3000</v>
      </c>
      <c r="W131" s="1890">
        <f t="shared" si="247"/>
        <v>7.5999999999999998E-2</v>
      </c>
      <c r="X131" s="1646" t="str">
        <f t="shared" si="248"/>
        <v>Seafood Ingestion</v>
      </c>
      <c r="Y131" s="1642">
        <f t="shared" si="249"/>
        <v>7.5999999999999998E-2</v>
      </c>
      <c r="Z131" s="1646" t="str">
        <f t="shared" si="250"/>
        <v>Seafood Ingestion</v>
      </c>
      <c r="AA131" s="1642">
        <f t="shared" si="251"/>
        <v>7.5999999999999998E-2</v>
      </c>
      <c r="AB131" s="1646" t="str">
        <f t="shared" si="252"/>
        <v>Seafood Ingestion</v>
      </c>
      <c r="AC131" s="1641">
        <f t="shared" si="253"/>
        <v>5</v>
      </c>
      <c r="AD131" s="1646" t="str">
        <f t="shared" si="254"/>
        <v>MCL</v>
      </c>
      <c r="AE131" s="1642">
        <f t="shared" si="255"/>
        <v>7.5999999999999998E-2</v>
      </c>
      <c r="AF131" s="1646" t="str">
        <f t="shared" si="256"/>
        <v>Seafood Ingestion</v>
      </c>
      <c r="AG131" s="1642">
        <f t="shared" si="257"/>
        <v>7.5999999999999998E-2</v>
      </c>
      <c r="AH131" s="1646" t="str">
        <f t="shared" si="258"/>
        <v>Seafood Ingestion</v>
      </c>
      <c r="AI131" s="1642">
        <f t="shared" si="259"/>
        <v>7.5999999999999998E-2</v>
      </c>
      <c r="AJ131" s="1646" t="str">
        <f t="shared" si="260"/>
        <v>Seafood Ingestion</v>
      </c>
      <c r="AK131" s="1641">
        <f t="shared" si="261"/>
        <v>1.1543943553643614</v>
      </c>
      <c r="AL131" s="1646" t="str">
        <f t="shared" si="262"/>
        <v>Tapwater Cancer</v>
      </c>
      <c r="AM131" s="1641">
        <f t="shared" si="263"/>
        <v>7.5999999999999998E-2</v>
      </c>
      <c r="AN131" s="1646" t="str">
        <f t="shared" si="264"/>
        <v>Seafood Ingestion</v>
      </c>
      <c r="AO131" s="1643">
        <f t="shared" si="265"/>
        <v>7.5999999999999998E-2</v>
      </c>
      <c r="AP131" s="1646" t="str">
        <f t="shared" si="266"/>
        <v>Seafood Ingestion</v>
      </c>
      <c r="AQ131" s="1643">
        <f t="shared" si="267"/>
        <v>7.5999999999999998E-2</v>
      </c>
      <c r="AR131" s="1646" t="str">
        <f t="shared" si="268"/>
        <v>Seafood Ingestion</v>
      </c>
      <c r="AS131" s="1644">
        <f t="shared" si="269"/>
        <v>35.927162977865656</v>
      </c>
      <c r="AT131" s="1891" t="str">
        <f t="shared" si="270"/>
        <v>VI</v>
      </c>
      <c r="AU131" s="1773">
        <f t="shared" si="275"/>
        <v>1.7777155440000001E-2</v>
      </c>
      <c r="AV131" s="1773">
        <f t="shared" si="276"/>
        <v>1.7777155440000001E-2</v>
      </c>
      <c r="AW131" s="1773">
        <f t="shared" si="277"/>
        <v>1.7777155440000001E-2</v>
      </c>
      <c r="AX131" s="1773">
        <f t="shared" si="278"/>
        <v>1.1695497000000001</v>
      </c>
      <c r="AY131" s="1773">
        <f t="shared" si="279"/>
        <v>1.7777155440000001E-2</v>
      </c>
      <c r="AZ131" s="1773">
        <f t="shared" si="280"/>
        <v>1.7777155440000001E-2</v>
      </c>
      <c r="BA131" s="1773">
        <f t="shared" si="281"/>
        <v>1.7777155440000001E-2</v>
      </c>
      <c r="BB131" s="1773">
        <f t="shared" si="282"/>
        <v>0.27002431439961644</v>
      </c>
      <c r="BC131" s="1773">
        <f t="shared" si="283"/>
        <v>1.7777155440000001E-2</v>
      </c>
      <c r="BD131" s="1773">
        <f t="shared" si="284"/>
        <v>1.7777155440000001E-2</v>
      </c>
      <c r="BE131" s="1773">
        <f t="shared" si="285"/>
        <v>1.7777155440000001E-2</v>
      </c>
      <c r="BF131" s="1947">
        <f t="shared" si="286"/>
        <v>8.4037205365227763</v>
      </c>
    </row>
    <row r="132" spans="1:58">
      <c r="A132" s="184" t="s">
        <v>327</v>
      </c>
      <c r="B132" s="185" t="s">
        <v>328</v>
      </c>
      <c r="C132" s="388">
        <f t="shared" si="289"/>
        <v>7.0708606800000009</v>
      </c>
      <c r="D132" s="1779">
        <f t="shared" si="290"/>
        <v>7.0708606800000009</v>
      </c>
      <c r="E132" s="1785">
        <f t="shared" si="209"/>
        <v>43.89</v>
      </c>
      <c r="F132" s="271">
        <f t="shared" si="271"/>
        <v>1.72E-2</v>
      </c>
      <c r="G132" s="271">
        <f t="shared" si="210"/>
        <v>114.04614000000001</v>
      </c>
      <c r="H132" s="272">
        <f t="shared" si="211"/>
        <v>640.43263153396356</v>
      </c>
      <c r="I132" s="1162">
        <f t="shared" si="288"/>
        <v>62</v>
      </c>
      <c r="J132" s="1163">
        <f t="shared" si="172"/>
        <v>62</v>
      </c>
      <c r="K132" s="1164" t="str">
        <f t="shared" si="173"/>
        <v>FW EcoTox Goal</v>
      </c>
      <c r="L132" s="271">
        <f t="shared" si="213"/>
        <v>62</v>
      </c>
      <c r="M132" s="271">
        <f t="shared" si="273"/>
        <v>3120</v>
      </c>
      <c r="N132" s="271">
        <f t="shared" si="215"/>
        <v>200000</v>
      </c>
      <c r="O132" s="271">
        <f t="shared" si="216"/>
        <v>50000</v>
      </c>
      <c r="P132" s="1773">
        <f t="shared" si="217"/>
        <v>1483.0398671096373</v>
      </c>
      <c r="Q132" s="1777">
        <f t="shared" si="218"/>
        <v>500000</v>
      </c>
      <c r="R132" s="1786">
        <f t="shared" si="274"/>
        <v>200</v>
      </c>
      <c r="S132" s="1786" t="str">
        <f t="shared" si="219"/>
        <v>--</v>
      </c>
      <c r="T132" s="1786">
        <f t="shared" si="220"/>
        <v>1000</v>
      </c>
      <c r="U132" s="1786">
        <f t="shared" si="156"/>
        <v>200</v>
      </c>
      <c r="V132" s="1786">
        <f t="shared" si="222"/>
        <v>970</v>
      </c>
      <c r="W132" s="1890">
        <f t="shared" si="247"/>
        <v>200</v>
      </c>
      <c r="X132" s="1646" t="str">
        <f t="shared" si="248"/>
        <v>MCL</v>
      </c>
      <c r="Y132" s="1642">
        <f t="shared" si="249"/>
        <v>62</v>
      </c>
      <c r="Z132" s="1646" t="str">
        <f t="shared" si="250"/>
        <v>FW EcoTox</v>
      </c>
      <c r="AA132" s="1642">
        <f t="shared" si="251"/>
        <v>62</v>
      </c>
      <c r="AB132" s="1646" t="str">
        <f t="shared" si="252"/>
        <v>FW EcoTox</v>
      </c>
      <c r="AC132" s="1641">
        <f t="shared" si="253"/>
        <v>200</v>
      </c>
      <c r="AD132" s="1646" t="str">
        <f t="shared" si="254"/>
        <v>MCL</v>
      </c>
      <c r="AE132" s="1642">
        <f t="shared" si="255"/>
        <v>970</v>
      </c>
      <c r="AF132" s="1646" t="str">
        <f t="shared" si="256"/>
        <v>DW Taste &amp; Odor</v>
      </c>
      <c r="AG132" s="1642">
        <f t="shared" si="257"/>
        <v>62</v>
      </c>
      <c r="AH132" s="1646" t="str">
        <f t="shared" si="258"/>
        <v>FW EcoTox</v>
      </c>
      <c r="AI132" s="1642">
        <f t="shared" si="259"/>
        <v>62</v>
      </c>
      <c r="AJ132" s="1646" t="str">
        <f t="shared" si="260"/>
        <v>FW EcoTox</v>
      </c>
      <c r="AK132" s="1641">
        <f t="shared" si="261"/>
        <v>970</v>
      </c>
      <c r="AL132" s="1646" t="str">
        <f t="shared" si="262"/>
        <v>DW Taste &amp; Odor</v>
      </c>
      <c r="AM132" s="1641">
        <f t="shared" si="263"/>
        <v>1483.0398671096373</v>
      </c>
      <c r="AN132" s="1646" t="str">
        <f t="shared" si="264"/>
        <v>VI</v>
      </c>
      <c r="AO132" s="1643">
        <f t="shared" si="265"/>
        <v>62</v>
      </c>
      <c r="AP132" s="1646" t="str">
        <f t="shared" si="266"/>
        <v>FW EcoTox</v>
      </c>
      <c r="AQ132" s="1643">
        <f t="shared" si="267"/>
        <v>62</v>
      </c>
      <c r="AR132" s="1646" t="str">
        <f t="shared" si="268"/>
        <v>FW EcoTox</v>
      </c>
      <c r="AS132" s="1644">
        <f t="shared" si="269"/>
        <v>1483.0398671096373</v>
      </c>
      <c r="AT132" s="1891" t="str">
        <f t="shared" si="270"/>
        <v>VI</v>
      </c>
      <c r="AU132" s="1773">
        <f t="shared" si="275"/>
        <v>22.809228000000004</v>
      </c>
      <c r="AV132" s="1773">
        <f t="shared" si="276"/>
        <v>7.0708606800000009</v>
      </c>
      <c r="AW132" s="1773">
        <f t="shared" si="277"/>
        <v>7.0708606800000009</v>
      </c>
      <c r="AX132" s="1773">
        <f t="shared" si="278"/>
        <v>22.809228000000004</v>
      </c>
      <c r="AY132" s="1773">
        <f t="shared" si="279"/>
        <v>110.62475580000002</v>
      </c>
      <c r="AZ132" s="1773">
        <f t="shared" si="280"/>
        <v>7.0708606800000009</v>
      </c>
      <c r="BA132" s="1773">
        <f t="shared" si="281"/>
        <v>7.0708606800000009</v>
      </c>
      <c r="BB132" s="1773">
        <f t="shared" si="282"/>
        <v>110.62475580000002</v>
      </c>
      <c r="BC132" s="1773">
        <f t="shared" si="283"/>
        <v>169.13497230996711</v>
      </c>
      <c r="BD132" s="1773">
        <f t="shared" si="284"/>
        <v>7.0708606800000009</v>
      </c>
      <c r="BE132" s="1773">
        <f t="shared" si="285"/>
        <v>7.0708606800000009</v>
      </c>
      <c r="BF132" s="1947">
        <f t="shared" si="286"/>
        <v>169.13497230996711</v>
      </c>
    </row>
    <row r="133" spans="1:58">
      <c r="A133" s="184" t="s">
        <v>329</v>
      </c>
      <c r="B133" s="185" t="s">
        <v>330</v>
      </c>
      <c r="C133" s="388">
        <f t="shared" si="289"/>
        <v>7.5953840000000009E-2</v>
      </c>
      <c r="D133" s="1779">
        <f t="shared" si="290"/>
        <v>7.9129514578974547E-2</v>
      </c>
      <c r="E133" s="1785">
        <f t="shared" si="209"/>
        <v>60.7</v>
      </c>
      <c r="F133" s="271">
        <f t="shared" si="271"/>
        <v>8.2399999999999997E-4</v>
      </c>
      <c r="G133" s="271">
        <f t="shared" si="210"/>
        <v>15.190768000000002</v>
      </c>
      <c r="H133" s="272">
        <f t="shared" si="211"/>
        <v>2159.9500282633189</v>
      </c>
      <c r="I133" s="1162">
        <f t="shared" si="288"/>
        <v>5</v>
      </c>
      <c r="J133" s="1163">
        <f t="shared" si="172"/>
        <v>5.2090529312918568</v>
      </c>
      <c r="K133" s="1164" t="str">
        <f t="shared" si="173"/>
        <v>GW VI</v>
      </c>
      <c r="L133" s="271">
        <f t="shared" si="213"/>
        <v>4700</v>
      </c>
      <c r="M133" s="271" t="str">
        <f t="shared" si="273"/>
        <v>--</v>
      </c>
      <c r="N133" s="271">
        <f t="shared" si="215"/>
        <v>8.9</v>
      </c>
      <c r="O133" s="271">
        <f t="shared" si="216"/>
        <v>50000</v>
      </c>
      <c r="P133" s="1773">
        <f t="shared" si="217"/>
        <v>5.2090529312918568</v>
      </c>
      <c r="Q133" s="1777" t="str">
        <f t="shared" si="218"/>
        <v>--</v>
      </c>
      <c r="R133" s="1786">
        <f t="shared" si="274"/>
        <v>5</v>
      </c>
      <c r="S133" s="1786">
        <f t="shared" si="219"/>
        <v>0.2753400429864914</v>
      </c>
      <c r="T133" s="1786">
        <f t="shared" si="220"/>
        <v>0.41484753961311749</v>
      </c>
      <c r="U133" s="1786">
        <f t="shared" si="156"/>
        <v>5</v>
      </c>
      <c r="V133" s="1786" t="str">
        <f t="shared" si="222"/>
        <v>--</v>
      </c>
      <c r="W133" s="1890">
        <f t="shared" si="247"/>
        <v>5</v>
      </c>
      <c r="X133" s="1646" t="str">
        <f t="shared" si="248"/>
        <v>MCL</v>
      </c>
      <c r="Y133" s="1642">
        <f t="shared" si="249"/>
        <v>5</v>
      </c>
      <c r="Z133" s="1646" t="str">
        <f t="shared" si="250"/>
        <v>MCL</v>
      </c>
      <c r="AA133" s="1642">
        <f t="shared" si="251"/>
        <v>5</v>
      </c>
      <c r="AB133" s="1646" t="str">
        <f t="shared" si="252"/>
        <v>MCL</v>
      </c>
      <c r="AC133" s="1641">
        <f t="shared" si="253"/>
        <v>5</v>
      </c>
      <c r="AD133" s="1646" t="str">
        <f t="shared" si="254"/>
        <v>MCL</v>
      </c>
      <c r="AE133" s="1642">
        <f t="shared" si="255"/>
        <v>0.2753400429864914</v>
      </c>
      <c r="AF133" s="1646" t="str">
        <f t="shared" si="256"/>
        <v>Tapwater Cancer</v>
      </c>
      <c r="AG133" s="1642">
        <f t="shared" si="257"/>
        <v>0.2753400429864914</v>
      </c>
      <c r="AH133" s="1646" t="str">
        <f t="shared" si="258"/>
        <v>Tapwater Cancer</v>
      </c>
      <c r="AI133" s="1642">
        <f t="shared" si="259"/>
        <v>0.2753400429864914</v>
      </c>
      <c r="AJ133" s="1646" t="str">
        <f t="shared" si="260"/>
        <v>Tapwater Cancer</v>
      </c>
      <c r="AK133" s="1641">
        <f t="shared" si="261"/>
        <v>0.2753400429864914</v>
      </c>
      <c r="AL133" s="1646" t="str">
        <f t="shared" si="262"/>
        <v>Tapwater Cancer</v>
      </c>
      <c r="AM133" s="1641">
        <f t="shared" si="263"/>
        <v>5.2090529312918568</v>
      </c>
      <c r="AN133" s="1646" t="str">
        <f t="shared" si="264"/>
        <v>VI</v>
      </c>
      <c r="AO133" s="1643">
        <f t="shared" si="265"/>
        <v>5.2090529312918568</v>
      </c>
      <c r="AP133" s="1646" t="str">
        <f t="shared" si="266"/>
        <v>VI</v>
      </c>
      <c r="AQ133" s="1643">
        <f t="shared" si="267"/>
        <v>5.2090529312918568</v>
      </c>
      <c r="AR133" s="1646" t="str">
        <f t="shared" si="268"/>
        <v>VI</v>
      </c>
      <c r="AS133" s="1644">
        <f t="shared" si="269"/>
        <v>5.2090529312918568</v>
      </c>
      <c r="AT133" s="1891" t="str">
        <f t="shared" si="270"/>
        <v>VI</v>
      </c>
      <c r="AU133" s="1773">
        <f t="shared" si="275"/>
        <v>7.5953840000000009E-2</v>
      </c>
      <c r="AV133" s="1773">
        <f t="shared" si="276"/>
        <v>7.5953840000000009E-2</v>
      </c>
      <c r="AW133" s="1773">
        <f t="shared" si="277"/>
        <v>7.5953840000000009E-2</v>
      </c>
      <c r="AX133" s="1773">
        <f t="shared" si="278"/>
        <v>7.5953840000000009E-2</v>
      </c>
      <c r="AY133" s="1773">
        <f t="shared" si="279"/>
        <v>4.1826267141178179E-3</v>
      </c>
      <c r="AZ133" s="1773">
        <f t="shared" si="280"/>
        <v>4.1826267141178179E-3</v>
      </c>
      <c r="BA133" s="1773">
        <f t="shared" si="281"/>
        <v>4.1826267141178179E-3</v>
      </c>
      <c r="BB133" s="1773">
        <f t="shared" si="282"/>
        <v>4.1826267141178179E-3</v>
      </c>
      <c r="BC133" s="1773">
        <f t="shared" si="283"/>
        <v>7.9129514578974547E-2</v>
      </c>
      <c r="BD133" s="1773">
        <f t="shared" si="284"/>
        <v>7.9129514578974547E-2</v>
      </c>
      <c r="BE133" s="1773">
        <f t="shared" si="285"/>
        <v>7.9129514578974547E-2</v>
      </c>
      <c r="BF133" s="1947">
        <f t="shared" si="286"/>
        <v>7.9129514578974547E-2</v>
      </c>
    </row>
    <row r="134" spans="1:58">
      <c r="A134" s="184" t="s">
        <v>331</v>
      </c>
      <c r="B134" s="185" t="s">
        <v>332</v>
      </c>
      <c r="C134" s="388">
        <f t="shared" si="289"/>
        <v>8.4587965494296632E-2</v>
      </c>
      <c r="D134" s="1779">
        <f t="shared" si="290"/>
        <v>8.4587965494296632E-2</v>
      </c>
      <c r="E134" s="1785">
        <f t="shared" si="209"/>
        <v>60.7</v>
      </c>
      <c r="F134" s="271">
        <f t="shared" si="271"/>
        <v>9.8499999999999994E-3</v>
      </c>
      <c r="G134" s="271">
        <f t="shared" si="210"/>
        <v>71.215149999999994</v>
      </c>
      <c r="H134" s="272">
        <f t="shared" si="211"/>
        <v>691.75561914459365</v>
      </c>
      <c r="I134" s="1162">
        <f t="shared" si="288"/>
        <v>1.1877804862349743</v>
      </c>
      <c r="J134" s="1163">
        <f t="shared" si="172"/>
        <v>1.1877804862349743</v>
      </c>
      <c r="K134" s="1164" t="str">
        <f t="shared" si="173"/>
        <v>GW VI</v>
      </c>
      <c r="L134" s="271">
        <f t="shared" si="213"/>
        <v>360</v>
      </c>
      <c r="M134" s="271">
        <f t="shared" si="273"/>
        <v>200</v>
      </c>
      <c r="N134" s="271">
        <f t="shared" si="215"/>
        <v>7</v>
      </c>
      <c r="O134" s="271">
        <f t="shared" si="216"/>
        <v>50000</v>
      </c>
      <c r="P134" s="1773">
        <f t="shared" si="217"/>
        <v>1.1877804862349743</v>
      </c>
      <c r="Q134" s="1777">
        <f t="shared" si="218"/>
        <v>100000</v>
      </c>
      <c r="R134" s="1786">
        <f t="shared" si="274"/>
        <v>5</v>
      </c>
      <c r="S134" s="1786">
        <f t="shared" si="219"/>
        <v>0.49377585316143952</v>
      </c>
      <c r="T134" s="1786">
        <f t="shared" si="220"/>
        <v>2.8252024217071989</v>
      </c>
      <c r="U134" s="1786">
        <f t="shared" si="156"/>
        <v>5</v>
      </c>
      <c r="V134" s="1786">
        <f t="shared" si="222"/>
        <v>310</v>
      </c>
      <c r="W134" s="1890">
        <f t="shared" si="247"/>
        <v>1.1877804862349743</v>
      </c>
      <c r="X134" s="1646" t="str">
        <f t="shared" si="248"/>
        <v>VI</v>
      </c>
      <c r="Y134" s="1642">
        <f t="shared" si="249"/>
        <v>1.1877804862349743</v>
      </c>
      <c r="Z134" s="1646" t="str">
        <f t="shared" si="250"/>
        <v>VI</v>
      </c>
      <c r="AA134" s="1642">
        <f t="shared" si="251"/>
        <v>1.1877804862349743</v>
      </c>
      <c r="AB134" s="1646" t="str">
        <f t="shared" si="252"/>
        <v>VI</v>
      </c>
      <c r="AC134" s="1641">
        <f t="shared" si="253"/>
        <v>1.1877804862349743</v>
      </c>
      <c r="AD134" s="1646" t="str">
        <f t="shared" si="254"/>
        <v>VI</v>
      </c>
      <c r="AE134" s="1642">
        <f t="shared" si="255"/>
        <v>0.49377585316143952</v>
      </c>
      <c r="AF134" s="1646" t="str">
        <f t="shared" si="256"/>
        <v>Tapwater Cancer</v>
      </c>
      <c r="AG134" s="1642">
        <f t="shared" si="257"/>
        <v>0.49377585316143952</v>
      </c>
      <c r="AH134" s="1646" t="str">
        <f t="shared" si="258"/>
        <v>Tapwater Cancer</v>
      </c>
      <c r="AI134" s="1642">
        <f t="shared" si="259"/>
        <v>0.49377585316143952</v>
      </c>
      <c r="AJ134" s="1646" t="str">
        <f t="shared" si="260"/>
        <v>Tapwater Cancer</v>
      </c>
      <c r="AK134" s="1641">
        <f t="shared" si="261"/>
        <v>0.49377585316143952</v>
      </c>
      <c r="AL134" s="1646" t="str">
        <f t="shared" si="262"/>
        <v>Tapwater Cancer</v>
      </c>
      <c r="AM134" s="1641">
        <f t="shared" si="263"/>
        <v>1.1877804862349743</v>
      </c>
      <c r="AN134" s="1646" t="str">
        <f t="shared" si="264"/>
        <v>VI</v>
      </c>
      <c r="AO134" s="1643">
        <f t="shared" si="265"/>
        <v>1.1877804862349743</v>
      </c>
      <c r="AP134" s="1646" t="str">
        <f t="shared" si="266"/>
        <v>VI</v>
      </c>
      <c r="AQ134" s="1643">
        <f t="shared" si="267"/>
        <v>1.1877804862349743</v>
      </c>
      <c r="AR134" s="1646" t="str">
        <f t="shared" si="268"/>
        <v>VI</v>
      </c>
      <c r="AS134" s="1644">
        <f t="shared" si="269"/>
        <v>1.1877804862349743</v>
      </c>
      <c r="AT134" s="1891" t="str">
        <f t="shared" si="270"/>
        <v>VI</v>
      </c>
      <c r="AU134" s="1773">
        <f t="shared" si="275"/>
        <v>8.4587965494296632E-2</v>
      </c>
      <c r="AV134" s="1773">
        <f t="shared" si="276"/>
        <v>8.4587965494296632E-2</v>
      </c>
      <c r="AW134" s="1773">
        <f t="shared" si="277"/>
        <v>8.4587965494296632E-2</v>
      </c>
      <c r="AX134" s="1773">
        <f t="shared" si="278"/>
        <v>8.4587965494296632E-2</v>
      </c>
      <c r="AY134" s="1773">
        <f t="shared" si="279"/>
        <v>3.5164321449269884E-2</v>
      </c>
      <c r="AZ134" s="1773">
        <f t="shared" si="280"/>
        <v>3.5164321449269884E-2</v>
      </c>
      <c r="BA134" s="1773">
        <f t="shared" si="281"/>
        <v>3.5164321449269884E-2</v>
      </c>
      <c r="BB134" s="1773">
        <f t="shared" si="282"/>
        <v>3.5164321449269884E-2</v>
      </c>
      <c r="BC134" s="1773">
        <f t="shared" si="283"/>
        <v>8.4587965494296632E-2</v>
      </c>
      <c r="BD134" s="1773">
        <f t="shared" si="284"/>
        <v>8.4587965494296632E-2</v>
      </c>
      <c r="BE134" s="1773">
        <f t="shared" si="285"/>
        <v>8.4587965494296632E-2</v>
      </c>
      <c r="BF134" s="1947">
        <f t="shared" si="286"/>
        <v>8.4587965494296632E-2</v>
      </c>
    </row>
    <row r="135" spans="1:58">
      <c r="A135" s="184" t="s">
        <v>333</v>
      </c>
      <c r="B135" s="185" t="s">
        <v>334</v>
      </c>
      <c r="C135" s="388">
        <f t="shared" si="289"/>
        <v>0.26511205534000004</v>
      </c>
      <c r="D135" s="1779">
        <f t="shared" si="290"/>
        <v>0.26511205534000004</v>
      </c>
      <c r="E135" s="1785">
        <f t="shared" si="209"/>
        <v>1597</v>
      </c>
      <c r="F135" s="271">
        <f t="shared" si="271"/>
        <v>1.6199999999999999E-6</v>
      </c>
      <c r="G135" s="271">
        <f t="shared" si="210"/>
        <v>265.11205534000004</v>
      </c>
      <c r="H135" s="272">
        <f t="shared" si="211"/>
        <v>11618.415045588486</v>
      </c>
      <c r="I135" s="1162">
        <f t="shared" si="288"/>
        <v>1</v>
      </c>
      <c r="J135" s="1163">
        <f t="shared" si="172"/>
        <v>1</v>
      </c>
      <c r="K135" s="1164" t="str">
        <f t="shared" si="173"/>
        <v>SW EcoTox Goal</v>
      </c>
      <c r="L135" s="271">
        <f t="shared" si="213"/>
        <v>63</v>
      </c>
      <c r="M135" s="271">
        <f t="shared" si="273"/>
        <v>1</v>
      </c>
      <c r="N135" s="271">
        <f t="shared" si="215"/>
        <v>600</v>
      </c>
      <c r="O135" s="271">
        <f t="shared" si="216"/>
        <v>50000</v>
      </c>
      <c r="P135" s="1773" t="str">
        <f t="shared" si="217"/>
        <v>--</v>
      </c>
      <c r="Q135" s="1777">
        <f t="shared" si="218"/>
        <v>2000</v>
      </c>
      <c r="R135" s="1786" t="str">
        <f t="shared" si="274"/>
        <v>--</v>
      </c>
      <c r="S135" s="1786" t="str">
        <f t="shared" si="219"/>
        <v>--</v>
      </c>
      <c r="T135" s="1786">
        <f t="shared" si="220"/>
        <v>1183.2501696420836</v>
      </c>
      <c r="U135" s="1786">
        <f t="shared" ref="U135:U141" si="291">IF(AND(R135="--", S135="--",T135="--"),"--", IF(R135="--", MIN(S135:T135),R135))</f>
        <v>1183.2501696420836</v>
      </c>
      <c r="V135" s="1786">
        <f t="shared" si="222"/>
        <v>200</v>
      </c>
      <c r="W135" s="1890">
        <f t="shared" si="247"/>
        <v>1</v>
      </c>
      <c r="X135" s="1646" t="str">
        <f t="shared" ref="X135:X141" si="292">IF(W135=$R135,"MCL",IF(W135=$S135,"Tapwater Cancer", IF(W135=$T135,"Tapwater Noncancer",IF(W135=$V135,"DW Taste &amp; Odor",IF(W135=$P135,"VI",IF(W135=$N135,"Seafood Ingestion",IF(W135=$M135,"Saltwater EcoTox",IF(W135=$L135,"FW EcoTox","Outdoor Odor"))))))))</f>
        <v>Saltwater EcoTox</v>
      </c>
      <c r="Y135" s="1642">
        <f t="shared" si="249"/>
        <v>63</v>
      </c>
      <c r="Z135" s="1646" t="str">
        <f t="shared" ref="Z135:Z141" si="293">IF(Y135=$R135,"MCL",IF(Y135=$S135,"Tapwater Cancer", IF(Y135=$T135,"Tapwater Noncancer",IF(Y135=$V135,"DW Taste &amp; Odor",IF(Y135=$P135,"VI",IF(Y135=$N135,"Seafood Ingestion",IF(Y135=$M135,"Saltwater EcoTox",IF(Y135=$L135,"FW EcoTox","Outdoor Odor"))))))))</f>
        <v>FW EcoTox</v>
      </c>
      <c r="AA135" s="1642">
        <f t="shared" si="251"/>
        <v>1</v>
      </c>
      <c r="AB135" s="1646" t="str">
        <f t="shared" ref="AB135:AB141" si="294">IF(AA135=$R135,"MCL",IF(AA135=$S135,"Tapwater Cancer", IF(AA135=$T135,"Tapwater Noncancer",IF(AA135=$V135,"DW Taste &amp; Odor",IF(AA135=$P135,"VI",IF(AA135=$N135,"Seafood Ingestion",IF(AA135=$M135,"Saltwater EcoTox",IF(AA135=$L135,"FW EcoTox","Outdoor Odor"))))))))</f>
        <v>Saltwater EcoTox</v>
      </c>
      <c r="AC135" s="1641">
        <f t="shared" si="253"/>
        <v>200</v>
      </c>
      <c r="AD135" s="1646" t="str">
        <f t="shared" ref="AD135:AD141" si="295">IF(AC135=$R135,"MCL",IF(AC135=$S135,"Tapwater Cancer", IF(AC135=$T135,"Tapwater Noncancer",IF(AC135=$V135,"DW Taste &amp; Odor",IF(AC135=$P135,"VI",IF(AC135=$N135,"Seafood Ingestion",IF(AC135=$M135,"Saltwater EcoTox",IF(AC135=$L135,"FW EcoTox","Outdoor Odor"))))))))</f>
        <v>DW Taste &amp; Odor</v>
      </c>
      <c r="AE135" s="1642">
        <f t="shared" si="255"/>
        <v>1</v>
      </c>
      <c r="AF135" s="1646" t="str">
        <f t="shared" ref="AF135:AF141" si="296">IF(AE135=$R135,"MCL",IF(AE135=$S135,"Tapwater Cancer", IF(AE135=$T135,"Tapwater Noncancer",IF(AE135=$V135,"DW Taste &amp; Odor",IF(AE135=$P135,"VI",IF(AE135=$N135,"Seafood Ingestion",IF(AE135=$M135,"Saltwater EcoTox",IF(AE135=$L135,"FW EcoTox","Outdoor Odor"))))))))</f>
        <v>Saltwater EcoTox</v>
      </c>
      <c r="AG135" s="1642">
        <f t="shared" si="257"/>
        <v>63</v>
      </c>
      <c r="AH135" s="1646" t="str">
        <f t="shared" ref="AH135:AH141" si="297">IF(AG135=$R135,"MCL",IF(AG135=$S135,"Tapwater Cancer", IF(AG135=$T135,"Tapwater Noncancer",IF(AG135=$V135,"DW Taste &amp; Odor",IF(AG135=$P135,"VI",IF(AG135=$N135,"Seafood Ingestion",IF(AG135=$M135,"Saltwater EcoTox",IF(AG135=$L135,"FW EcoTox","Outdoor Odor"))))))))</f>
        <v>FW EcoTox</v>
      </c>
      <c r="AI135" s="1642">
        <f t="shared" si="259"/>
        <v>1</v>
      </c>
      <c r="AJ135" s="1646" t="str">
        <f t="shared" ref="AJ135:AJ141" si="298">IF(AI135=$R135,"MCL",IF(AI135=$S135,"Tapwater Cancer", IF(AI135=$T135,"Tapwater Noncancer",IF(AI135=$V135,"DW Taste &amp; Odor",IF(AI135=$P135,"VI",IF(AI135=$N135,"Seafood Ingestion",IF(AI135=$M135,"Saltwater EcoTox",IF(AI135=$L135,"FW EcoTox","Outdoor Odor"))))))))</f>
        <v>Saltwater EcoTox</v>
      </c>
      <c r="AK135" s="1641">
        <f t="shared" si="261"/>
        <v>200</v>
      </c>
      <c r="AL135" s="1646" t="str">
        <f t="shared" ref="AL135:AL141" si="299">IF(AK135=$R135,"MCL",IF(AK135=$S135,"Tapwater Cancer", IF(AK135=$T135,"Tapwater Noncancer",IF(AK135=$V135,"DW Taste &amp; Odor",IF(AK135=$P135,"VI",IF(AK135=$N135,"Seafood Ingestion",IF(AK135=$M135,"Saltwater EcoTox",IF(AK135=$L135,"FW EcoTox","Outdoor Odor"))))))))</f>
        <v>DW Taste &amp; Odor</v>
      </c>
      <c r="AM135" s="1641">
        <f t="shared" si="263"/>
        <v>1</v>
      </c>
      <c r="AN135" s="1646" t="str">
        <f t="shared" ref="AN135:AN141" si="300">IF(AM135=$R135,"MCL",IF(AM135=$S135,"Tapwater Cancer", IF(AM135=$T135,"Tapwater Noncancer",IF(AM135=$V135,"DW Taste &amp; Odor",IF(AM135=$P135,"VI",IF(AM135=$N135,"Seafood Ingestion",IF(AM135=$M135,"Saltwater EcoTox",IF(AM135=$L135,"FW EcoTox","Outdoor Odor"))))))))</f>
        <v>Saltwater EcoTox</v>
      </c>
      <c r="AO135" s="1643">
        <f t="shared" si="265"/>
        <v>63</v>
      </c>
      <c r="AP135" s="1646" t="str">
        <f t="shared" ref="AP135:AP141" si="301">IF(AO135=$R135,"MCL",IF(AO135=$S135,"Tapwater Cancer", IF(AO135=$T135,"Tapwater Noncancer",IF(AO135=$V135,"DW Taste &amp; Odor",IF(AO135=$P135,"VI",IF(AO135=$N135,"Seafood Ingestion",IF(AO135=$M135,"Saltwater EcoTox",IF(AO135=$L135,"FW EcoTox","Outdoor Odor"))))))))</f>
        <v>FW EcoTox</v>
      </c>
      <c r="AQ135" s="1643">
        <f t="shared" si="267"/>
        <v>1</v>
      </c>
      <c r="AR135" s="1646" t="str">
        <f t="shared" ref="AR135:AR141" si="302">IF(AQ135=$R135,"MCL",IF(AQ135=$S135,"Tapwater Cancer", IF(AQ135=$T135,"Tapwater Noncancer",IF(AQ135=$V135,"DW Taste &amp; Odor",IF(AQ135=$P135,"VI",IF(AQ135=$N135,"Seafood Ingestion",IF(AQ135=$M135,"Saltwater EcoTox",IF(AQ135=$L135,"FW EcoTox","Outdoor Odor"))))))))</f>
        <v>Saltwater EcoTox</v>
      </c>
      <c r="AS135" s="1644">
        <f t="shared" si="269"/>
        <v>2000</v>
      </c>
      <c r="AT135" s="1891" t="str">
        <f t="shared" ref="AT135:AT141" si="303">IF(AS135=$R135,"MCL",IF(AS135=$S135,"Tapwater Cancer", IF(AS135=$T135,"Tapwater Noncancer",IF(AS135=$V135,"DW Taste &amp; Odor",IF(AS135=$P135,"VI",IF(AS135=$N135,"Seafood Ingestion",IF(AS135=$M135,"Saltwater EcoTox",IF(AS135=$L135,"FW EcoTox","Outdoor Odor"))))))))</f>
        <v>Outdoor Odor</v>
      </c>
      <c r="AU135" s="1773">
        <f t="shared" si="275"/>
        <v>0.26511205534000004</v>
      </c>
      <c r="AV135" s="1773">
        <f t="shared" si="276"/>
        <v>16.702059486420005</v>
      </c>
      <c r="AW135" s="1773">
        <f t="shared" si="277"/>
        <v>0.26511205534000004</v>
      </c>
      <c r="AX135" s="1773">
        <f t="shared" si="278"/>
        <v>53.022411068000011</v>
      </c>
      <c r="AY135" s="1773">
        <f t="shared" si="279"/>
        <v>0.26511205534000004</v>
      </c>
      <c r="AZ135" s="1773">
        <f t="shared" si="280"/>
        <v>16.702059486420005</v>
      </c>
      <c r="BA135" s="1773">
        <f t="shared" si="281"/>
        <v>0.26511205534000004</v>
      </c>
      <c r="BB135" s="1773">
        <f t="shared" si="282"/>
        <v>53.022411068000011</v>
      </c>
      <c r="BC135" s="1773">
        <f t="shared" si="283"/>
        <v>0.26511205534000004</v>
      </c>
      <c r="BD135" s="1773">
        <f t="shared" si="284"/>
        <v>16.702059486420005</v>
      </c>
      <c r="BE135" s="1773">
        <f t="shared" si="285"/>
        <v>0.26511205534000004</v>
      </c>
      <c r="BF135" s="1947">
        <f t="shared" si="286"/>
        <v>530.22411068000008</v>
      </c>
    </row>
    <row r="136" spans="1:58">
      <c r="A136" s="184" t="s">
        <v>335</v>
      </c>
      <c r="B136" s="185" t="s">
        <v>336</v>
      </c>
      <c r="C136" s="388">
        <f t="shared" si="289"/>
        <v>1.8346020078E-2</v>
      </c>
      <c r="D136" s="1779">
        <f t="shared" si="290"/>
        <v>1.8346020078E-2</v>
      </c>
      <c r="E136" s="1785">
        <f t="shared" si="209"/>
        <v>381</v>
      </c>
      <c r="F136" s="271">
        <f t="shared" si="271"/>
        <v>2.6000000000000001E-6</v>
      </c>
      <c r="G136" s="271">
        <f t="shared" si="210"/>
        <v>63.262138200000003</v>
      </c>
      <c r="H136" s="272">
        <f t="shared" si="211"/>
        <v>1908.816098160519</v>
      </c>
      <c r="I136" s="1162">
        <f t="shared" si="288"/>
        <v>0.28999999999999998</v>
      </c>
      <c r="J136" s="1163">
        <f t="shared" ref="J136:J141" si="304">IF(MIN(L136,M136,N136,O136,P136,Q136)=0, "--",MIN(L136,M136,N136,O136,P136,Q136))</f>
        <v>0.28999999999999998</v>
      </c>
      <c r="K136" s="1164" t="str">
        <f t="shared" ref="K136:K141" si="305">IF(J136="--","--", IF(J136=L136,"FW EcoTox Goal", IF(J136=M136,"SW EcoTox Goal", IF(J136=N136, "Seafood Consumption", IF(J136=O136, "Gross Contam.",IF(J136=P136,"GW VI", "Nuis-Odor"))))))</f>
        <v>Seafood Consumption</v>
      </c>
      <c r="L136" s="271">
        <f t="shared" si="213"/>
        <v>485</v>
      </c>
      <c r="M136" s="271">
        <f t="shared" si="273"/>
        <v>1</v>
      </c>
      <c r="N136" s="271">
        <f t="shared" si="215"/>
        <v>0.28999999999999998</v>
      </c>
      <c r="O136" s="271">
        <f t="shared" si="216"/>
        <v>50000</v>
      </c>
      <c r="P136" s="1773" t="str">
        <f t="shared" si="217"/>
        <v>--</v>
      </c>
      <c r="Q136" s="1777">
        <f t="shared" si="218"/>
        <v>1000</v>
      </c>
      <c r="R136" s="1786" t="str">
        <f t="shared" si="274"/>
        <v>--</v>
      </c>
      <c r="S136" s="1786">
        <f t="shared" si="219"/>
        <v>0.64627579540504521</v>
      </c>
      <c r="T136" s="1786">
        <f t="shared" si="220"/>
        <v>12.050880051226159</v>
      </c>
      <c r="U136" s="1786">
        <f t="shared" si="291"/>
        <v>0.64627579540504521</v>
      </c>
      <c r="V136" s="1786">
        <f t="shared" si="222"/>
        <v>100</v>
      </c>
      <c r="W136" s="1890">
        <f t="shared" si="247"/>
        <v>0.28999999999999998</v>
      </c>
      <c r="X136" s="1646" t="str">
        <f t="shared" si="292"/>
        <v>Seafood Ingestion</v>
      </c>
      <c r="Y136" s="1642">
        <f t="shared" si="249"/>
        <v>0.28999999999999998</v>
      </c>
      <c r="Z136" s="1646" t="str">
        <f t="shared" si="293"/>
        <v>Seafood Ingestion</v>
      </c>
      <c r="AA136" s="1642">
        <f t="shared" si="251"/>
        <v>0.28999999999999998</v>
      </c>
      <c r="AB136" s="1646" t="str">
        <f t="shared" si="294"/>
        <v>Seafood Ingestion</v>
      </c>
      <c r="AC136" s="1641">
        <f t="shared" si="253"/>
        <v>0.64627579540504521</v>
      </c>
      <c r="AD136" s="1646" t="str">
        <f t="shared" si="295"/>
        <v>Tapwater Cancer</v>
      </c>
      <c r="AE136" s="1642">
        <f t="shared" si="255"/>
        <v>0.28999999999999998</v>
      </c>
      <c r="AF136" s="1646" t="str">
        <f t="shared" si="296"/>
        <v>Seafood Ingestion</v>
      </c>
      <c r="AG136" s="1642">
        <f t="shared" si="257"/>
        <v>0.28999999999999998</v>
      </c>
      <c r="AH136" s="1646" t="str">
        <f t="shared" si="297"/>
        <v>Seafood Ingestion</v>
      </c>
      <c r="AI136" s="1642">
        <f t="shared" si="259"/>
        <v>0.28999999999999998</v>
      </c>
      <c r="AJ136" s="1646" t="str">
        <f t="shared" si="298"/>
        <v>Seafood Ingestion</v>
      </c>
      <c r="AK136" s="1641">
        <f t="shared" si="261"/>
        <v>0.64627579540504521</v>
      </c>
      <c r="AL136" s="1646" t="str">
        <f t="shared" si="299"/>
        <v>Tapwater Cancer</v>
      </c>
      <c r="AM136" s="1641">
        <f t="shared" si="263"/>
        <v>0.28999999999999998</v>
      </c>
      <c r="AN136" s="1646" t="str">
        <f t="shared" si="300"/>
        <v>Seafood Ingestion</v>
      </c>
      <c r="AO136" s="1643">
        <f t="shared" si="265"/>
        <v>0.28999999999999998</v>
      </c>
      <c r="AP136" s="1646" t="str">
        <f t="shared" si="301"/>
        <v>Seafood Ingestion</v>
      </c>
      <c r="AQ136" s="1643">
        <f t="shared" si="267"/>
        <v>0.28999999999999998</v>
      </c>
      <c r="AR136" s="1646" t="str">
        <f t="shared" si="302"/>
        <v>Seafood Ingestion</v>
      </c>
      <c r="AS136" s="1644">
        <f t="shared" si="269"/>
        <v>1000</v>
      </c>
      <c r="AT136" s="1891" t="str">
        <f t="shared" si="303"/>
        <v>Outdoor Odor</v>
      </c>
      <c r="AU136" s="1773">
        <f t="shared" si="275"/>
        <v>1.8346020078E-2</v>
      </c>
      <c r="AV136" s="1773">
        <f t="shared" si="276"/>
        <v>1.8346020078E-2</v>
      </c>
      <c r="AW136" s="1773">
        <f t="shared" si="277"/>
        <v>1.8346020078E-2</v>
      </c>
      <c r="AX136" s="1773">
        <f t="shared" si="278"/>
        <v>4.0884788684228894E-2</v>
      </c>
      <c r="AY136" s="1773">
        <f t="shared" si="279"/>
        <v>1.8346020078E-2</v>
      </c>
      <c r="AZ136" s="1773">
        <f t="shared" si="280"/>
        <v>1.8346020078E-2</v>
      </c>
      <c r="BA136" s="1773">
        <f t="shared" si="281"/>
        <v>1.8346020078E-2</v>
      </c>
      <c r="BB136" s="1773">
        <f t="shared" si="282"/>
        <v>4.0884788684228894E-2</v>
      </c>
      <c r="BC136" s="1773">
        <f t="shared" si="283"/>
        <v>1.8346020078E-2</v>
      </c>
      <c r="BD136" s="1773">
        <f t="shared" si="284"/>
        <v>1.8346020078E-2</v>
      </c>
      <c r="BE136" s="1773">
        <f t="shared" si="285"/>
        <v>1.8346020078E-2</v>
      </c>
      <c r="BF136" s="1947">
        <f t="shared" si="286"/>
        <v>63.262138200000003</v>
      </c>
    </row>
    <row r="137" spans="1:58">
      <c r="A137" s="184" t="s">
        <v>337</v>
      </c>
      <c r="B137" s="185" t="s">
        <v>338</v>
      </c>
      <c r="C137" s="388">
        <f t="shared" si="289"/>
        <v>1.0675900499999999E-4</v>
      </c>
      <c r="D137" s="1779">
        <f t="shared" si="290"/>
        <v>1.28110806E-4</v>
      </c>
      <c r="E137" s="1785">
        <f t="shared" si="209"/>
        <v>115.8</v>
      </c>
      <c r="F137" s="271">
        <f t="shared" si="271"/>
        <v>3.4299999999999999E-4</v>
      </c>
      <c r="G137" s="271">
        <f t="shared" si="210"/>
        <v>21.351800999999998</v>
      </c>
      <c r="H137" s="272">
        <f t="shared" si="211"/>
        <v>1395.5456350247107</v>
      </c>
      <c r="I137" s="1162">
        <f t="shared" si="288"/>
        <v>5.0000000000000001E-3</v>
      </c>
      <c r="J137" s="1163">
        <f t="shared" si="304"/>
        <v>6.0000000000000001E-3</v>
      </c>
      <c r="K137" s="1164" t="str">
        <f t="shared" si="305"/>
        <v>SW EcoTox Goal</v>
      </c>
      <c r="L137" s="271">
        <f t="shared" si="213"/>
        <v>2700</v>
      </c>
      <c r="M137" s="271">
        <f t="shared" si="273"/>
        <v>6.0000000000000001E-3</v>
      </c>
      <c r="N137" s="271" t="str">
        <f t="shared" si="215"/>
        <v>--</v>
      </c>
      <c r="O137" s="271">
        <f t="shared" si="216"/>
        <v>50000</v>
      </c>
      <c r="P137" s="1773">
        <f t="shared" si="217"/>
        <v>22.310453977506235</v>
      </c>
      <c r="Q137" s="1777" t="str">
        <f t="shared" si="218"/>
        <v>--</v>
      </c>
      <c r="R137" s="1786">
        <f t="shared" si="274"/>
        <v>5.0000000000000001E-3</v>
      </c>
      <c r="S137" s="1786">
        <f t="shared" si="219"/>
        <v>6.9999999999999999E-4</v>
      </c>
      <c r="T137" s="1786">
        <f t="shared" si="220"/>
        <v>0.62036943665517019</v>
      </c>
      <c r="U137" s="1786">
        <f t="shared" si="291"/>
        <v>5.0000000000000001E-3</v>
      </c>
      <c r="V137" s="1786" t="str">
        <f t="shared" si="222"/>
        <v>--</v>
      </c>
      <c r="W137" s="1890">
        <f t="shared" si="247"/>
        <v>5.0000000000000001E-3</v>
      </c>
      <c r="X137" s="1646" t="str">
        <f t="shared" si="292"/>
        <v>MCL</v>
      </c>
      <c r="Y137" s="1642">
        <f t="shared" si="249"/>
        <v>5.0000000000000001E-3</v>
      </c>
      <c r="Z137" s="1646" t="str">
        <f t="shared" si="293"/>
        <v>MCL</v>
      </c>
      <c r="AA137" s="1642">
        <f t="shared" si="251"/>
        <v>5.0000000000000001E-3</v>
      </c>
      <c r="AB137" s="1646" t="str">
        <f t="shared" si="294"/>
        <v>MCL</v>
      </c>
      <c r="AC137" s="1641">
        <f t="shared" si="253"/>
        <v>5.0000000000000001E-3</v>
      </c>
      <c r="AD137" s="1646" t="str">
        <f t="shared" si="295"/>
        <v>MCL</v>
      </c>
      <c r="AE137" s="1642">
        <f t="shared" si="255"/>
        <v>6.9999999999999999E-4</v>
      </c>
      <c r="AF137" s="1646" t="str">
        <f t="shared" si="296"/>
        <v>Tapwater Cancer</v>
      </c>
      <c r="AG137" s="1642">
        <f t="shared" si="257"/>
        <v>6.9999999999999999E-4</v>
      </c>
      <c r="AH137" s="1646" t="str">
        <f t="shared" si="297"/>
        <v>Tapwater Cancer</v>
      </c>
      <c r="AI137" s="1642">
        <f t="shared" si="259"/>
        <v>6.9999999999999999E-4</v>
      </c>
      <c r="AJ137" s="1646" t="str">
        <f t="shared" si="298"/>
        <v>Tapwater Cancer</v>
      </c>
      <c r="AK137" s="1641">
        <f t="shared" si="261"/>
        <v>6.9999999999999999E-4</v>
      </c>
      <c r="AL137" s="1646" t="str">
        <f t="shared" si="299"/>
        <v>Tapwater Cancer</v>
      </c>
      <c r="AM137" s="1641">
        <f t="shared" si="263"/>
        <v>6.0000000000000001E-3</v>
      </c>
      <c r="AN137" s="1646" t="str">
        <f t="shared" si="300"/>
        <v>Saltwater EcoTox</v>
      </c>
      <c r="AO137" s="1643">
        <f t="shared" si="265"/>
        <v>22.310453977506235</v>
      </c>
      <c r="AP137" s="1646" t="str">
        <f t="shared" si="301"/>
        <v>VI</v>
      </c>
      <c r="AQ137" s="1643">
        <f t="shared" si="267"/>
        <v>6.0000000000000001E-3</v>
      </c>
      <c r="AR137" s="1646" t="str">
        <f t="shared" si="302"/>
        <v>Saltwater EcoTox</v>
      </c>
      <c r="AS137" s="1644">
        <f t="shared" si="269"/>
        <v>22.310453977506235</v>
      </c>
      <c r="AT137" s="1891" t="str">
        <f t="shared" si="303"/>
        <v>VI</v>
      </c>
      <c r="AU137" s="1773">
        <f t="shared" si="275"/>
        <v>1.0675900499999999E-4</v>
      </c>
      <c r="AV137" s="1773">
        <f t="shared" si="276"/>
        <v>1.0675900499999999E-4</v>
      </c>
      <c r="AW137" s="1773">
        <f t="shared" si="277"/>
        <v>1.0675900499999999E-4</v>
      </c>
      <c r="AX137" s="1773">
        <f t="shared" si="278"/>
        <v>1.0675900499999999E-4</v>
      </c>
      <c r="AY137" s="1773">
        <f t="shared" si="279"/>
        <v>1.4946260699999998E-5</v>
      </c>
      <c r="AZ137" s="1773">
        <f t="shared" si="280"/>
        <v>1.4946260699999998E-5</v>
      </c>
      <c r="BA137" s="1773">
        <f t="shared" si="281"/>
        <v>1.4946260699999998E-5</v>
      </c>
      <c r="BB137" s="1773">
        <f t="shared" si="282"/>
        <v>1.4946260699999998E-5</v>
      </c>
      <c r="BC137" s="1773">
        <f t="shared" si="283"/>
        <v>1.28110806E-4</v>
      </c>
      <c r="BD137" s="1773">
        <f t="shared" si="284"/>
        <v>0.47636837354737155</v>
      </c>
      <c r="BE137" s="1773">
        <f t="shared" si="285"/>
        <v>1.28110806E-4</v>
      </c>
      <c r="BF137" s="1947">
        <f t="shared" si="286"/>
        <v>0.47636837354737155</v>
      </c>
    </row>
    <row r="138" spans="1:58">
      <c r="A138" s="184" t="s">
        <v>339</v>
      </c>
      <c r="B138" s="185" t="s">
        <v>340</v>
      </c>
      <c r="C138" s="388" t="str">
        <f t="shared" si="289"/>
        <v>--</v>
      </c>
      <c r="D138" s="1779" t="str">
        <f t="shared" si="290"/>
        <v>--</v>
      </c>
      <c r="E138" s="1785" t="str">
        <f t="shared" si="209"/>
        <v>--</v>
      </c>
      <c r="F138" s="271" t="str">
        <f t="shared" si="271"/>
        <v>--</v>
      </c>
      <c r="G138" s="271" t="str">
        <f t="shared" si="210"/>
        <v>--</v>
      </c>
      <c r="H138" s="272" t="str">
        <f t="shared" si="211"/>
        <v>--</v>
      </c>
      <c r="I138" s="1162">
        <f t="shared" si="288"/>
        <v>19</v>
      </c>
      <c r="J138" s="1163">
        <f t="shared" si="304"/>
        <v>19</v>
      </c>
      <c r="K138" s="1164" t="str">
        <f t="shared" si="305"/>
        <v>FW EcoTox Goal</v>
      </c>
      <c r="L138" s="271">
        <f t="shared" si="213"/>
        <v>19</v>
      </c>
      <c r="M138" s="271" t="str">
        <f t="shared" si="273"/>
        <v>--</v>
      </c>
      <c r="N138" s="271" t="str">
        <f t="shared" si="215"/>
        <v>--</v>
      </c>
      <c r="O138" s="271">
        <f t="shared" si="216"/>
        <v>50000</v>
      </c>
      <c r="P138" s="1773" t="str">
        <f t="shared" si="217"/>
        <v>--</v>
      </c>
      <c r="Q138" s="1777" t="str">
        <f t="shared" si="218"/>
        <v>--</v>
      </c>
      <c r="R138" s="1786" t="str">
        <f t="shared" si="274"/>
        <v>--</v>
      </c>
      <c r="S138" s="1786" t="str">
        <f t="shared" si="219"/>
        <v>--</v>
      </c>
      <c r="T138" s="1786">
        <f t="shared" si="220"/>
        <v>50</v>
      </c>
      <c r="U138" s="1786">
        <f t="shared" si="291"/>
        <v>50</v>
      </c>
      <c r="V138" s="1786" t="str">
        <f t="shared" si="222"/>
        <v>--</v>
      </c>
      <c r="W138" s="1890">
        <f t="shared" si="247"/>
        <v>50</v>
      </c>
      <c r="X138" s="1646" t="str">
        <f t="shared" si="292"/>
        <v>Tapwater Noncancer</v>
      </c>
      <c r="Y138" s="1642">
        <f t="shared" si="249"/>
        <v>19</v>
      </c>
      <c r="Z138" s="1646" t="str">
        <f t="shared" si="293"/>
        <v>FW EcoTox</v>
      </c>
      <c r="AA138" s="1642">
        <f t="shared" si="251"/>
        <v>19</v>
      </c>
      <c r="AB138" s="1646" t="str">
        <f t="shared" si="294"/>
        <v>FW EcoTox</v>
      </c>
      <c r="AC138" s="1641">
        <f t="shared" si="253"/>
        <v>50</v>
      </c>
      <c r="AD138" s="1646" t="str">
        <f t="shared" si="295"/>
        <v>Tapwater Noncancer</v>
      </c>
      <c r="AE138" s="1642">
        <f t="shared" si="255"/>
        <v>50</v>
      </c>
      <c r="AF138" s="1646" t="str">
        <f t="shared" si="296"/>
        <v>Tapwater Noncancer</v>
      </c>
      <c r="AG138" s="1642">
        <f t="shared" si="257"/>
        <v>19</v>
      </c>
      <c r="AH138" s="1646" t="str">
        <f t="shared" si="297"/>
        <v>FW EcoTox</v>
      </c>
      <c r="AI138" s="1642">
        <f t="shared" si="259"/>
        <v>19</v>
      </c>
      <c r="AJ138" s="1646" t="str">
        <f t="shared" si="298"/>
        <v>FW EcoTox</v>
      </c>
      <c r="AK138" s="1641">
        <f t="shared" si="261"/>
        <v>50</v>
      </c>
      <c r="AL138" s="1646" t="str">
        <f t="shared" si="299"/>
        <v>Tapwater Noncancer</v>
      </c>
      <c r="AM138" s="1641">
        <f t="shared" si="263"/>
        <v>50000</v>
      </c>
      <c r="AN138" s="1646" t="str">
        <f t="shared" si="300"/>
        <v>Outdoor Odor</v>
      </c>
      <c r="AO138" s="1643">
        <f t="shared" si="265"/>
        <v>19</v>
      </c>
      <c r="AP138" s="1646" t="str">
        <f t="shared" si="301"/>
        <v>FW EcoTox</v>
      </c>
      <c r="AQ138" s="1643">
        <f t="shared" si="267"/>
        <v>19</v>
      </c>
      <c r="AR138" s="1646" t="str">
        <f t="shared" si="302"/>
        <v>FW EcoTox</v>
      </c>
      <c r="AS138" s="1644">
        <f t="shared" si="269"/>
        <v>50000</v>
      </c>
      <c r="AT138" s="1891" t="str">
        <f t="shared" si="303"/>
        <v>Outdoor Odor</v>
      </c>
      <c r="AU138" s="1773" t="str">
        <f t="shared" si="275"/>
        <v>--</v>
      </c>
      <c r="AV138" s="1773" t="str">
        <f t="shared" si="276"/>
        <v>--</v>
      </c>
      <c r="AW138" s="1773" t="str">
        <f t="shared" si="277"/>
        <v>--</v>
      </c>
      <c r="AX138" s="1773" t="str">
        <f t="shared" si="278"/>
        <v>--</v>
      </c>
      <c r="AY138" s="1773" t="str">
        <f t="shared" si="279"/>
        <v>--</v>
      </c>
      <c r="AZ138" s="1773" t="str">
        <f t="shared" si="280"/>
        <v>--</v>
      </c>
      <c r="BA138" s="1773" t="str">
        <f t="shared" si="281"/>
        <v>--</v>
      </c>
      <c r="BB138" s="1773" t="str">
        <f t="shared" si="282"/>
        <v>--</v>
      </c>
      <c r="BC138" s="1773" t="str">
        <f t="shared" si="283"/>
        <v>--</v>
      </c>
      <c r="BD138" s="1773" t="str">
        <f t="shared" si="284"/>
        <v>--</v>
      </c>
      <c r="BE138" s="1773" t="str">
        <f t="shared" si="285"/>
        <v>--</v>
      </c>
      <c r="BF138" s="1947" t="str">
        <f t="shared" si="286"/>
        <v>--</v>
      </c>
    </row>
    <row r="139" spans="1:58">
      <c r="A139" s="184" t="s">
        <v>341</v>
      </c>
      <c r="B139" s="185" t="s">
        <v>342</v>
      </c>
      <c r="C139" s="388">
        <f t="shared" si="289"/>
        <v>1.4652657879868631E-3</v>
      </c>
      <c r="D139" s="1779">
        <f t="shared" si="290"/>
        <v>1.4652657879868631E-3</v>
      </c>
      <c r="E139" s="1785">
        <f t="shared" si="209"/>
        <v>21.73</v>
      </c>
      <c r="F139" s="271">
        <f t="shared" si="271"/>
        <v>2.7799999999999998E-2</v>
      </c>
      <c r="G139" s="271">
        <f t="shared" si="210"/>
        <v>176.16177999999999</v>
      </c>
      <c r="H139" s="272">
        <f t="shared" si="211"/>
        <v>3920.7353410162614</v>
      </c>
      <c r="I139" s="1162">
        <f t="shared" si="288"/>
        <v>8.3177281019007829E-3</v>
      </c>
      <c r="J139" s="1163">
        <f t="shared" si="304"/>
        <v>8.3177281019007829E-3</v>
      </c>
      <c r="K139" s="1164" t="str">
        <f t="shared" si="305"/>
        <v>GW VI</v>
      </c>
      <c r="L139" s="271">
        <f t="shared" si="213"/>
        <v>782</v>
      </c>
      <c r="M139" s="271" t="str">
        <f t="shared" si="273"/>
        <v>--</v>
      </c>
      <c r="N139" s="271">
        <f t="shared" si="215"/>
        <v>1.6</v>
      </c>
      <c r="O139" s="271">
        <f t="shared" si="216"/>
        <v>50000</v>
      </c>
      <c r="P139" s="1773">
        <f t="shared" si="217"/>
        <v>8.3177281019007829E-3</v>
      </c>
      <c r="Q139" s="1777">
        <f t="shared" si="218"/>
        <v>34000</v>
      </c>
      <c r="R139" s="1786">
        <f t="shared" si="274"/>
        <v>0.5</v>
      </c>
      <c r="S139" s="1786">
        <f t="shared" si="219"/>
        <v>9.6914424945337835E-3</v>
      </c>
      <c r="T139" s="1786">
        <f t="shared" si="220"/>
        <v>36.843107700838594</v>
      </c>
      <c r="U139" s="1786">
        <f t="shared" si="291"/>
        <v>0.5</v>
      </c>
      <c r="V139" s="1786">
        <f t="shared" si="222"/>
        <v>3400</v>
      </c>
      <c r="W139" s="1890">
        <f t="shared" si="247"/>
        <v>8.3177281019007829E-3</v>
      </c>
      <c r="X139" s="1646" t="str">
        <f t="shared" si="292"/>
        <v>VI</v>
      </c>
      <c r="Y139" s="1642">
        <f t="shared" si="249"/>
        <v>8.3177281019007829E-3</v>
      </c>
      <c r="Z139" s="1646" t="str">
        <f t="shared" si="293"/>
        <v>VI</v>
      </c>
      <c r="AA139" s="1642">
        <f t="shared" si="251"/>
        <v>8.3177281019007829E-3</v>
      </c>
      <c r="AB139" s="1646" t="str">
        <f t="shared" si="294"/>
        <v>VI</v>
      </c>
      <c r="AC139" s="1641">
        <f t="shared" si="253"/>
        <v>8.3177281019007829E-3</v>
      </c>
      <c r="AD139" s="1646" t="str">
        <f t="shared" si="295"/>
        <v>VI</v>
      </c>
      <c r="AE139" s="1642">
        <f t="shared" si="255"/>
        <v>8.3177281019007829E-3</v>
      </c>
      <c r="AF139" s="1646" t="str">
        <f t="shared" si="296"/>
        <v>VI</v>
      </c>
      <c r="AG139" s="1642">
        <f t="shared" si="257"/>
        <v>8.3177281019007829E-3</v>
      </c>
      <c r="AH139" s="1646" t="str">
        <f t="shared" si="297"/>
        <v>VI</v>
      </c>
      <c r="AI139" s="1642">
        <f t="shared" si="259"/>
        <v>8.3177281019007829E-3</v>
      </c>
      <c r="AJ139" s="1646" t="str">
        <f t="shared" si="298"/>
        <v>VI</v>
      </c>
      <c r="AK139" s="1641">
        <f t="shared" si="261"/>
        <v>8.3177281019007829E-3</v>
      </c>
      <c r="AL139" s="1646" t="str">
        <f t="shared" si="299"/>
        <v>VI</v>
      </c>
      <c r="AM139" s="1641">
        <f t="shared" si="263"/>
        <v>8.3177281019007829E-3</v>
      </c>
      <c r="AN139" s="1646" t="str">
        <f t="shared" si="300"/>
        <v>VI</v>
      </c>
      <c r="AO139" s="1643">
        <f t="shared" si="265"/>
        <v>8.3177281019007829E-3</v>
      </c>
      <c r="AP139" s="1646" t="str">
        <f t="shared" si="301"/>
        <v>VI</v>
      </c>
      <c r="AQ139" s="1643">
        <f t="shared" si="267"/>
        <v>8.3177281019007829E-3</v>
      </c>
      <c r="AR139" s="1646" t="str">
        <f t="shared" si="302"/>
        <v>VI</v>
      </c>
      <c r="AS139" s="1644">
        <f t="shared" si="269"/>
        <v>8.3177281019007829E-3</v>
      </c>
      <c r="AT139" s="1891" t="str">
        <f t="shared" si="303"/>
        <v>VI</v>
      </c>
      <c r="AU139" s="1773">
        <f t="shared" si="275"/>
        <v>1.4652657879868631E-3</v>
      </c>
      <c r="AV139" s="1773">
        <f t="shared" si="276"/>
        <v>1.4652657879868631E-3</v>
      </c>
      <c r="AW139" s="1773">
        <f t="shared" si="277"/>
        <v>1.4652657879868631E-3</v>
      </c>
      <c r="AX139" s="1773">
        <f t="shared" si="278"/>
        <v>1.4652657879868631E-3</v>
      </c>
      <c r="AY139" s="1773">
        <f t="shared" si="279"/>
        <v>1.4652657879868631E-3</v>
      </c>
      <c r="AZ139" s="1773">
        <f t="shared" si="280"/>
        <v>1.4652657879868631E-3</v>
      </c>
      <c r="BA139" s="1773">
        <f t="shared" si="281"/>
        <v>1.4652657879868631E-3</v>
      </c>
      <c r="BB139" s="1773">
        <f t="shared" si="282"/>
        <v>1.4652657879868631E-3</v>
      </c>
      <c r="BC139" s="1773">
        <f t="shared" si="283"/>
        <v>1.4652657879868631E-3</v>
      </c>
      <c r="BD139" s="1773">
        <f t="shared" si="284"/>
        <v>1.4652657879868631E-3</v>
      </c>
      <c r="BE139" s="1773">
        <f t="shared" si="285"/>
        <v>1.4652657879868631E-3</v>
      </c>
      <c r="BF139" s="1947">
        <f t="shared" si="286"/>
        <v>1.4652657879868631E-3</v>
      </c>
    </row>
    <row r="140" spans="1:58">
      <c r="A140" s="184" t="s">
        <v>343</v>
      </c>
      <c r="B140" s="185" t="s">
        <v>344</v>
      </c>
      <c r="C140" s="388">
        <f t="shared" si="289"/>
        <v>2.0942761999999999</v>
      </c>
      <c r="D140" s="1779">
        <f t="shared" si="290"/>
        <v>10.471380999999999</v>
      </c>
      <c r="E140" s="1785">
        <f t="shared" si="209"/>
        <v>382.9</v>
      </c>
      <c r="F140" s="271">
        <f t="shared" si="271"/>
        <v>6.6299999999999996E-3</v>
      </c>
      <c r="G140" s="271">
        <f t="shared" si="210"/>
        <v>104.71381</v>
      </c>
      <c r="H140" s="272">
        <f t="shared" si="211"/>
        <v>259.56356598528225</v>
      </c>
      <c r="I140" s="1162">
        <f t="shared" si="288"/>
        <v>20</v>
      </c>
      <c r="J140" s="1163">
        <f t="shared" si="304"/>
        <v>100</v>
      </c>
      <c r="K140" s="1164" t="str">
        <f t="shared" si="305"/>
        <v>SW EcoTox Goal</v>
      </c>
      <c r="L140" s="271" t="str">
        <f t="shared" si="213"/>
        <v>--</v>
      </c>
      <c r="M140" s="271">
        <f t="shared" si="273"/>
        <v>100</v>
      </c>
      <c r="N140" s="271" t="str">
        <f t="shared" si="215"/>
        <v>--</v>
      </c>
      <c r="O140" s="271">
        <f t="shared" si="216"/>
        <v>50000</v>
      </c>
      <c r="P140" s="1773">
        <f t="shared" si="217"/>
        <v>384.740357681528</v>
      </c>
      <c r="Q140" s="1778">
        <f t="shared" si="218"/>
        <v>5300</v>
      </c>
      <c r="R140" s="1786">
        <f t="shared" si="274"/>
        <v>1750</v>
      </c>
      <c r="S140" s="1786" t="str">
        <f t="shared" si="219"/>
        <v>--</v>
      </c>
      <c r="T140" s="1786">
        <f t="shared" si="220"/>
        <v>193.17392261341371</v>
      </c>
      <c r="U140" s="1786">
        <f t="shared" si="291"/>
        <v>1750</v>
      </c>
      <c r="V140" s="1786">
        <f t="shared" si="222"/>
        <v>20</v>
      </c>
      <c r="W140" s="1890">
        <f t="shared" si="247"/>
        <v>20</v>
      </c>
      <c r="X140" s="1646" t="str">
        <f t="shared" si="292"/>
        <v>DW Taste &amp; Odor</v>
      </c>
      <c r="Y140" s="1642">
        <f t="shared" si="249"/>
        <v>20</v>
      </c>
      <c r="Z140" s="1646" t="str">
        <f t="shared" si="293"/>
        <v>DW Taste &amp; Odor</v>
      </c>
      <c r="AA140" s="1642">
        <f t="shared" si="251"/>
        <v>20</v>
      </c>
      <c r="AB140" s="1646" t="str">
        <f t="shared" si="294"/>
        <v>DW Taste &amp; Odor</v>
      </c>
      <c r="AC140" s="1641">
        <f t="shared" si="253"/>
        <v>20</v>
      </c>
      <c r="AD140" s="1646" t="str">
        <f t="shared" si="295"/>
        <v>DW Taste &amp; Odor</v>
      </c>
      <c r="AE140" s="1642">
        <f t="shared" si="255"/>
        <v>20</v>
      </c>
      <c r="AF140" s="1646" t="str">
        <f t="shared" si="296"/>
        <v>DW Taste &amp; Odor</v>
      </c>
      <c r="AG140" s="1642">
        <f t="shared" si="257"/>
        <v>20</v>
      </c>
      <c r="AH140" s="1646" t="str">
        <f t="shared" si="297"/>
        <v>DW Taste &amp; Odor</v>
      </c>
      <c r="AI140" s="1642">
        <f t="shared" si="259"/>
        <v>20</v>
      </c>
      <c r="AJ140" s="1646" t="str">
        <f t="shared" si="298"/>
        <v>DW Taste &amp; Odor</v>
      </c>
      <c r="AK140" s="1641">
        <f t="shared" si="261"/>
        <v>20</v>
      </c>
      <c r="AL140" s="1646" t="str">
        <f t="shared" si="299"/>
        <v>DW Taste &amp; Odor</v>
      </c>
      <c r="AM140" s="1641">
        <f t="shared" si="263"/>
        <v>100</v>
      </c>
      <c r="AN140" s="1646" t="str">
        <f t="shared" si="300"/>
        <v>Saltwater EcoTox</v>
      </c>
      <c r="AO140" s="1643">
        <f t="shared" si="265"/>
        <v>384.740357681528</v>
      </c>
      <c r="AP140" s="1646" t="str">
        <f t="shared" si="301"/>
        <v>VI</v>
      </c>
      <c r="AQ140" s="1643">
        <f t="shared" si="267"/>
        <v>100</v>
      </c>
      <c r="AR140" s="1646" t="str">
        <f t="shared" si="302"/>
        <v>Saltwater EcoTox</v>
      </c>
      <c r="AS140" s="1644">
        <f t="shared" si="269"/>
        <v>384.740357681528</v>
      </c>
      <c r="AT140" s="1891" t="str">
        <f t="shared" si="303"/>
        <v>VI</v>
      </c>
      <c r="AU140" s="1773">
        <f t="shared" si="275"/>
        <v>2.0942761999999999</v>
      </c>
      <c r="AV140" s="1773">
        <f t="shared" si="276"/>
        <v>2.0942761999999999</v>
      </c>
      <c r="AW140" s="1773">
        <f t="shared" si="277"/>
        <v>2.0942761999999999</v>
      </c>
      <c r="AX140" s="1773">
        <f t="shared" si="278"/>
        <v>2.0942761999999999</v>
      </c>
      <c r="AY140" s="1773">
        <f t="shared" si="279"/>
        <v>2.0942761999999999</v>
      </c>
      <c r="AZ140" s="1773">
        <f t="shared" si="280"/>
        <v>2.0942761999999999</v>
      </c>
      <c r="BA140" s="1773">
        <f t="shared" si="281"/>
        <v>2.0942761999999999</v>
      </c>
      <c r="BB140" s="1773">
        <f t="shared" si="282"/>
        <v>2.0942761999999999</v>
      </c>
      <c r="BC140" s="1773">
        <f t="shared" si="283"/>
        <v>10.471380999999999</v>
      </c>
      <c r="BD140" s="1773">
        <f t="shared" si="284"/>
        <v>40.287628713595566</v>
      </c>
      <c r="BE140" s="1773">
        <f t="shared" si="285"/>
        <v>10.471380999999999</v>
      </c>
      <c r="BF140" s="1947">
        <f t="shared" si="286"/>
        <v>40.287628713595566</v>
      </c>
    </row>
    <row r="141" spans="1:58" ht="12" thickBot="1">
      <c r="A141" s="995" t="s">
        <v>345</v>
      </c>
      <c r="B141" s="247" t="s">
        <v>346</v>
      </c>
      <c r="C141" s="1792" t="str">
        <f t="shared" si="289"/>
        <v>--</v>
      </c>
      <c r="D141" s="1793" t="str">
        <f t="shared" si="290"/>
        <v>--</v>
      </c>
      <c r="E141" s="1794" t="str">
        <f t="shared" si="209"/>
        <v>--</v>
      </c>
      <c r="F141" s="1795" t="str">
        <f t="shared" si="271"/>
        <v>--</v>
      </c>
      <c r="G141" s="1795" t="str">
        <f t="shared" si="210"/>
        <v>--</v>
      </c>
      <c r="H141" s="1786" t="str">
        <f t="shared" si="211"/>
        <v>--</v>
      </c>
      <c r="I141" s="1796">
        <f t="shared" si="288"/>
        <v>20</v>
      </c>
      <c r="J141" s="1163">
        <f t="shared" si="304"/>
        <v>20</v>
      </c>
      <c r="K141" s="1164" t="str">
        <f t="shared" si="305"/>
        <v>SW EcoTox Goal</v>
      </c>
      <c r="L141" s="1795">
        <f t="shared" si="213"/>
        <v>120</v>
      </c>
      <c r="M141" s="1795">
        <f t="shared" si="273"/>
        <v>20</v>
      </c>
      <c r="N141" s="1795">
        <f t="shared" si="215"/>
        <v>26000</v>
      </c>
      <c r="O141" s="1795">
        <f t="shared" si="216"/>
        <v>50000</v>
      </c>
      <c r="P141" s="1797" t="str">
        <f t="shared" si="217"/>
        <v>--</v>
      </c>
      <c r="Q141" s="1791" t="str">
        <f t="shared" si="218"/>
        <v>--</v>
      </c>
      <c r="R141" s="1786">
        <f t="shared" si="274"/>
        <v>5000</v>
      </c>
      <c r="S141" s="1786" t="str">
        <f t="shared" si="219"/>
        <v>--</v>
      </c>
      <c r="T141" s="1786">
        <f t="shared" si="220"/>
        <v>6000.6183431702011</v>
      </c>
      <c r="U141" s="1786">
        <f t="shared" si="291"/>
        <v>5000</v>
      </c>
      <c r="V141" s="1786">
        <f t="shared" si="222"/>
        <v>5000</v>
      </c>
      <c r="W141" s="1931">
        <f t="shared" si="247"/>
        <v>20</v>
      </c>
      <c r="X141" s="1932" t="str">
        <f t="shared" si="292"/>
        <v>Saltwater EcoTox</v>
      </c>
      <c r="Y141" s="1933">
        <f t="shared" si="249"/>
        <v>120</v>
      </c>
      <c r="Z141" s="1932" t="str">
        <f t="shared" si="293"/>
        <v>FW EcoTox</v>
      </c>
      <c r="AA141" s="1933">
        <f t="shared" si="251"/>
        <v>20</v>
      </c>
      <c r="AB141" s="1932" t="str">
        <f t="shared" si="294"/>
        <v>Saltwater EcoTox</v>
      </c>
      <c r="AC141" s="1893">
        <f t="shared" si="253"/>
        <v>5000</v>
      </c>
      <c r="AD141" s="1932" t="str">
        <f t="shared" si="295"/>
        <v>MCL</v>
      </c>
      <c r="AE141" s="1933">
        <f t="shared" si="255"/>
        <v>20</v>
      </c>
      <c r="AF141" s="1932" t="str">
        <f t="shared" si="296"/>
        <v>Saltwater EcoTox</v>
      </c>
      <c r="AG141" s="1933">
        <f t="shared" si="257"/>
        <v>120</v>
      </c>
      <c r="AH141" s="1932" t="str">
        <f t="shared" si="297"/>
        <v>FW EcoTox</v>
      </c>
      <c r="AI141" s="1933">
        <f t="shared" si="259"/>
        <v>20</v>
      </c>
      <c r="AJ141" s="1932" t="str">
        <f t="shared" si="298"/>
        <v>Saltwater EcoTox</v>
      </c>
      <c r="AK141" s="1893">
        <f t="shared" si="261"/>
        <v>5000</v>
      </c>
      <c r="AL141" s="1932" t="str">
        <f t="shared" si="299"/>
        <v>MCL</v>
      </c>
      <c r="AM141" s="1893">
        <f t="shared" si="263"/>
        <v>20</v>
      </c>
      <c r="AN141" s="1932" t="str">
        <f t="shared" si="300"/>
        <v>Saltwater EcoTox</v>
      </c>
      <c r="AO141" s="1934">
        <f t="shared" si="265"/>
        <v>120</v>
      </c>
      <c r="AP141" s="1932" t="str">
        <f t="shared" si="301"/>
        <v>FW EcoTox</v>
      </c>
      <c r="AQ141" s="1934">
        <f t="shared" si="267"/>
        <v>20</v>
      </c>
      <c r="AR141" s="1932" t="str">
        <f t="shared" si="302"/>
        <v>Saltwater EcoTox</v>
      </c>
      <c r="AS141" s="1935">
        <f t="shared" si="269"/>
        <v>50000</v>
      </c>
      <c r="AT141" s="1936" t="str">
        <f t="shared" si="303"/>
        <v>Outdoor Odor</v>
      </c>
      <c r="AU141" s="1773" t="str">
        <f t="shared" si="275"/>
        <v>--</v>
      </c>
      <c r="AV141" s="1773" t="str">
        <f t="shared" si="276"/>
        <v>--</v>
      </c>
      <c r="AW141" s="1773" t="str">
        <f t="shared" si="277"/>
        <v>--</v>
      </c>
      <c r="AX141" s="1773" t="str">
        <f t="shared" si="278"/>
        <v>--</v>
      </c>
      <c r="AY141" s="1773" t="str">
        <f t="shared" si="279"/>
        <v>--</v>
      </c>
      <c r="AZ141" s="1773" t="str">
        <f t="shared" si="280"/>
        <v>--</v>
      </c>
      <c r="BA141" s="1773" t="str">
        <f t="shared" si="281"/>
        <v>--</v>
      </c>
      <c r="BB141" s="1773" t="str">
        <f t="shared" si="282"/>
        <v>--</v>
      </c>
      <c r="BC141" s="1773" t="str">
        <f t="shared" si="283"/>
        <v>--</v>
      </c>
      <c r="BD141" s="1773" t="str">
        <f t="shared" si="284"/>
        <v>--</v>
      </c>
      <c r="BE141" s="1773" t="str">
        <f t="shared" si="285"/>
        <v>--</v>
      </c>
      <c r="BF141" s="1948" t="str">
        <f t="shared" si="286"/>
        <v>--</v>
      </c>
    </row>
    <row r="142" spans="1:58" ht="12" thickTop="1">
      <c r="A142" s="29" t="s">
        <v>347</v>
      </c>
      <c r="B142" s="113"/>
      <c r="C142" s="17"/>
      <c r="D142" s="32"/>
      <c r="E142" s="17"/>
      <c r="F142" s="17"/>
      <c r="G142" s="17"/>
      <c r="H142" s="17"/>
      <c r="I142" s="17"/>
      <c r="J142" s="17"/>
      <c r="K142" s="17"/>
      <c r="L142" s="19"/>
      <c r="M142" s="19"/>
      <c r="N142" s="19"/>
      <c r="O142" s="19"/>
      <c r="P142" s="17"/>
      <c r="Q142" s="17"/>
      <c r="R142" s="1798"/>
      <c r="S142" s="1798"/>
      <c r="T142" s="1798"/>
      <c r="U142" s="1798"/>
      <c r="V142" s="1798"/>
      <c r="W142" s="1799"/>
      <c r="X142" s="1799"/>
      <c r="Y142" s="1799"/>
      <c r="Z142" s="1799"/>
      <c r="AA142" s="1799"/>
      <c r="AB142" s="1799"/>
      <c r="AC142" s="1799"/>
      <c r="AD142" s="1799"/>
      <c r="AE142" s="1799"/>
      <c r="AF142" s="1799"/>
      <c r="AG142" s="1799"/>
      <c r="AH142" s="1799"/>
      <c r="AI142" s="1799"/>
      <c r="AJ142" s="1799"/>
      <c r="AK142" s="1799"/>
      <c r="AL142" s="1799"/>
      <c r="AM142" s="1799"/>
      <c r="AN142" s="1799"/>
      <c r="AO142" s="1799"/>
      <c r="AP142" s="1799"/>
      <c r="AQ142" s="1799"/>
      <c r="AR142" s="1799"/>
      <c r="AS142" s="1799"/>
      <c r="AT142" s="1800"/>
      <c r="AU142" s="1790"/>
      <c r="AV142" s="32"/>
      <c r="AW142" s="32"/>
      <c r="AX142" s="1790"/>
      <c r="AY142" s="1799"/>
      <c r="AZ142" s="1799"/>
      <c r="BA142" s="1799"/>
      <c r="BB142" s="1790"/>
      <c r="BC142" s="1790"/>
      <c r="BD142" s="32"/>
      <c r="BE142" s="32"/>
      <c r="BF142" s="1942"/>
    </row>
    <row r="143" spans="1:58">
      <c r="A143" s="2" t="s">
        <v>984</v>
      </c>
      <c r="R143" s="1786"/>
      <c r="S143" s="1786"/>
      <c r="T143" s="1786"/>
      <c r="U143" s="1786"/>
      <c r="V143" s="1786"/>
      <c r="AT143" s="1148"/>
      <c r="AU143" s="817"/>
      <c r="AV143" s="16"/>
      <c r="AW143" s="16"/>
      <c r="AX143" s="817"/>
      <c r="AY143" s="1"/>
      <c r="AZ143" s="1"/>
      <c r="BA143" s="1"/>
      <c r="BB143" s="817"/>
      <c r="BC143" s="817"/>
      <c r="BD143" s="16"/>
      <c r="BE143" s="16"/>
      <c r="BF143" s="1943"/>
    </row>
    <row r="144" spans="1:58">
      <c r="A144" s="261" t="s">
        <v>985</v>
      </c>
      <c r="B144" s="14"/>
      <c r="C144" s="14"/>
      <c r="D144" s="14"/>
      <c r="E144" s="14"/>
      <c r="F144" s="14"/>
      <c r="G144" s="14"/>
      <c r="H144" s="14"/>
      <c r="I144" s="14"/>
      <c r="J144" s="14"/>
      <c r="K144" s="14"/>
      <c r="L144" s="14"/>
      <c r="M144" s="14"/>
      <c r="N144" s="14"/>
      <c r="O144" s="14"/>
      <c r="P144" s="14"/>
      <c r="Q144" s="14"/>
      <c r="R144" s="1786"/>
      <c r="S144" s="1786"/>
      <c r="T144" s="1786"/>
      <c r="U144" s="1786"/>
      <c r="V144" s="1786"/>
      <c r="AT144" s="1148"/>
      <c r="AU144" s="817"/>
      <c r="AV144" s="16"/>
      <c r="AW144" s="16"/>
      <c r="AX144" s="817"/>
      <c r="AY144" s="1"/>
      <c r="AZ144" s="1"/>
      <c r="BA144" s="1"/>
      <c r="BB144" s="817"/>
      <c r="BC144" s="817"/>
      <c r="BD144" s="16"/>
      <c r="BE144" s="16"/>
      <c r="BF144" s="1943"/>
    </row>
    <row r="145" spans="1:58" ht="12.75">
      <c r="A145" s="1250" t="s">
        <v>441</v>
      </c>
      <c r="B145" s="1252"/>
      <c r="C145" s="1252"/>
      <c r="D145" s="1252"/>
      <c r="E145" s="1252"/>
      <c r="F145" s="1252"/>
      <c r="G145" s="1252"/>
      <c r="H145" s="1252"/>
      <c r="I145" s="1243"/>
      <c r="J145" s="1243"/>
      <c r="K145" s="1243"/>
      <c r="L145" s="1801"/>
      <c r="M145" s="1801"/>
      <c r="N145" s="1801"/>
      <c r="O145" s="1801"/>
      <c r="P145" s="1243"/>
      <c r="Q145" s="1243"/>
      <c r="R145" s="1786"/>
      <c r="S145" s="1786"/>
      <c r="T145" s="1786"/>
      <c r="U145" s="1786"/>
      <c r="V145" s="1786"/>
      <c r="W145" s="565"/>
      <c r="X145" s="565"/>
      <c r="Y145" s="565"/>
      <c r="Z145" s="565"/>
      <c r="AA145" s="565"/>
      <c r="AB145" s="565"/>
      <c r="AC145" s="565"/>
      <c r="AD145" s="565"/>
      <c r="AE145" s="565"/>
      <c r="AF145" s="565"/>
      <c r="AG145" s="565"/>
      <c r="AH145" s="565"/>
      <c r="AI145" s="565"/>
      <c r="AJ145" s="565"/>
      <c r="AK145" s="565"/>
      <c r="AL145" s="565"/>
      <c r="AM145" s="565"/>
      <c r="AN145" s="565"/>
      <c r="AO145" s="565"/>
      <c r="AP145" s="565"/>
      <c r="AQ145" s="565"/>
      <c r="AR145" s="565"/>
      <c r="AS145" s="565"/>
      <c r="AT145" s="1152"/>
      <c r="AU145" s="1804"/>
      <c r="AV145" s="1805"/>
      <c r="AW145" s="1805"/>
      <c r="AX145" s="1804"/>
      <c r="AY145" s="565"/>
      <c r="AZ145" s="565"/>
      <c r="BA145" s="565"/>
      <c r="BB145" s="1804"/>
      <c r="BC145" s="1804"/>
      <c r="BD145" s="1805"/>
      <c r="BE145" s="1805"/>
      <c r="BF145" s="1944"/>
    </row>
    <row r="146" spans="1:58" ht="12.75">
      <c r="A146" s="1250" t="s">
        <v>4292</v>
      </c>
      <c r="B146" s="1252"/>
      <c r="C146" s="1252"/>
      <c r="D146" s="1252"/>
      <c r="E146" s="1252"/>
      <c r="F146" s="1252"/>
      <c r="G146" s="1252"/>
      <c r="H146" s="1252"/>
      <c r="I146" s="1243"/>
      <c r="J146" s="1243"/>
      <c r="K146" s="1243"/>
      <c r="L146" s="1801"/>
      <c r="M146" s="1801"/>
      <c r="N146" s="1801"/>
      <c r="O146" s="1801"/>
      <c r="P146" s="1243"/>
      <c r="Q146" s="1243"/>
      <c r="R146" s="1786"/>
      <c r="S146" s="1786"/>
      <c r="T146" s="1786"/>
      <c r="U146" s="1786"/>
      <c r="V146" s="1786"/>
      <c r="W146" s="565"/>
      <c r="X146" s="565"/>
      <c r="Y146" s="565"/>
      <c r="Z146" s="565"/>
      <c r="AA146" s="565"/>
      <c r="AB146" s="565"/>
      <c r="AC146" s="565"/>
      <c r="AD146" s="565"/>
      <c r="AE146" s="565"/>
      <c r="AF146" s="565"/>
      <c r="AG146" s="565"/>
      <c r="AH146" s="565"/>
      <c r="AI146" s="565"/>
      <c r="AJ146" s="565"/>
      <c r="AK146" s="565"/>
      <c r="AL146" s="565"/>
      <c r="AM146" s="565"/>
      <c r="AN146" s="565"/>
      <c r="AO146" s="565"/>
      <c r="AP146" s="565"/>
      <c r="AQ146" s="565"/>
      <c r="AR146" s="565"/>
      <c r="AS146" s="565"/>
      <c r="AT146" s="1152"/>
      <c r="AU146" s="1804"/>
      <c r="AV146" s="1805"/>
      <c r="AW146" s="1805"/>
      <c r="AX146" s="1804"/>
      <c r="AY146" s="565"/>
      <c r="AZ146" s="565"/>
      <c r="BA146" s="565"/>
      <c r="BB146" s="1804"/>
      <c r="BC146" s="1804"/>
      <c r="BD146" s="1805"/>
      <c r="BE146" s="1805"/>
      <c r="BF146" s="1944"/>
    </row>
    <row r="147" spans="1:58" ht="12.75">
      <c r="A147" s="1250" t="s">
        <v>986</v>
      </c>
      <c r="B147" s="1252"/>
      <c r="C147" s="1252"/>
      <c r="D147" s="1252"/>
      <c r="E147" s="1252"/>
      <c r="F147" s="1252"/>
      <c r="G147" s="1252"/>
      <c r="H147" s="1252"/>
      <c r="I147" s="1243"/>
      <c r="J147" s="1243"/>
      <c r="K147" s="1243"/>
      <c r="L147" s="1801"/>
      <c r="M147" s="1801"/>
      <c r="N147" s="1801"/>
      <c r="O147" s="1801"/>
      <c r="P147" s="1243"/>
      <c r="Q147" s="1243"/>
      <c r="R147" s="1786"/>
      <c r="S147" s="1786"/>
      <c r="T147" s="1786"/>
      <c r="U147" s="1786"/>
      <c r="V147" s="1786"/>
      <c r="W147" s="565"/>
      <c r="X147" s="565"/>
      <c r="Y147" s="565"/>
      <c r="Z147" s="565"/>
      <c r="AA147" s="565"/>
      <c r="AB147" s="565"/>
      <c r="AC147" s="565"/>
      <c r="AD147" s="565"/>
      <c r="AE147" s="565"/>
      <c r="AF147" s="565"/>
      <c r="AG147" s="565"/>
      <c r="AH147" s="565"/>
      <c r="AI147" s="565"/>
      <c r="AJ147" s="565"/>
      <c r="AK147" s="565"/>
      <c r="AL147" s="565"/>
      <c r="AM147" s="565"/>
      <c r="AN147" s="565"/>
      <c r="AO147" s="565"/>
      <c r="AP147" s="565"/>
      <c r="AQ147" s="565"/>
      <c r="AR147" s="565"/>
      <c r="AS147" s="565"/>
      <c r="AT147" s="1152"/>
      <c r="AU147" s="1804"/>
      <c r="AV147" s="1805"/>
      <c r="AW147" s="1805"/>
      <c r="AX147" s="1804"/>
      <c r="AY147" s="565"/>
      <c r="AZ147" s="565"/>
      <c r="BA147" s="565"/>
      <c r="BB147" s="1804"/>
      <c r="BC147" s="1804"/>
      <c r="BD147" s="1805"/>
      <c r="BE147" s="1805"/>
      <c r="BF147" s="1944"/>
    </row>
    <row r="148" spans="1:58" s="6" customFormat="1" ht="12.75">
      <c r="A148" s="1132" t="s">
        <v>348</v>
      </c>
      <c r="B148"/>
      <c r="C148"/>
      <c r="D148"/>
      <c r="E148"/>
      <c r="F148"/>
      <c r="G148"/>
      <c r="H148"/>
      <c r="I148" s="1925"/>
      <c r="J148" s="1925"/>
      <c r="K148" s="1925"/>
      <c r="L148" s="55"/>
      <c r="M148" s="55"/>
      <c r="N148" s="55"/>
      <c r="O148" s="55"/>
      <c r="P148" s="1925"/>
      <c r="Q148" s="675"/>
      <c r="R148" s="1786"/>
      <c r="S148" s="1786"/>
      <c r="T148" s="1786"/>
      <c r="U148" s="1786"/>
      <c r="V148" s="1786"/>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608"/>
      <c r="AU148" s="817"/>
      <c r="AV148" s="16"/>
      <c r="AW148" s="16"/>
      <c r="AX148" s="817"/>
      <c r="AY148" s="1"/>
      <c r="AZ148" s="1"/>
      <c r="BA148" s="1"/>
      <c r="BB148" s="817"/>
      <c r="BC148" s="817"/>
      <c r="BD148" s="16"/>
      <c r="BE148" s="16"/>
      <c r="BF148" s="1943"/>
    </row>
    <row r="149" spans="1:58" s="6" customFormat="1" ht="12.75">
      <c r="A149" s="1133" t="s">
        <v>349</v>
      </c>
      <c r="B149"/>
      <c r="C149"/>
      <c r="D149"/>
      <c r="E149"/>
      <c r="F149"/>
      <c r="G149"/>
      <c r="H149"/>
      <c r="I149" s="1925"/>
      <c r="J149" s="1925"/>
      <c r="K149" s="1925"/>
      <c r="L149" s="55"/>
      <c r="M149" s="55"/>
      <c r="N149" s="55"/>
      <c r="O149" s="55"/>
      <c r="P149" s="1925"/>
      <c r="Q149" s="675"/>
      <c r="R149" s="1786"/>
      <c r="S149" s="1786"/>
      <c r="T149" s="1786"/>
      <c r="U149" s="1786"/>
      <c r="V149" s="1786"/>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608"/>
      <c r="AU149" s="817"/>
      <c r="AV149" s="16"/>
      <c r="AW149" s="16"/>
      <c r="AX149" s="817"/>
      <c r="AY149" s="1"/>
      <c r="AZ149" s="1"/>
      <c r="BA149" s="1"/>
      <c r="BB149" s="817"/>
      <c r="BC149" s="817"/>
      <c r="BD149" s="16"/>
      <c r="BE149" s="16"/>
      <c r="BF149" s="1943"/>
    </row>
    <row r="150" spans="1:58" s="6" customFormat="1" ht="12.75">
      <c r="A150" s="1133" t="s">
        <v>350</v>
      </c>
      <c r="B150"/>
      <c r="C150"/>
      <c r="D150"/>
      <c r="E150"/>
      <c r="F150"/>
      <c r="G150"/>
      <c r="H150"/>
      <c r="I150" s="1925"/>
      <c r="J150" s="1925"/>
      <c r="K150" s="1925"/>
      <c r="L150" s="55"/>
      <c r="M150" s="55"/>
      <c r="N150" s="55"/>
      <c r="O150" s="55"/>
      <c r="P150" s="1925"/>
      <c r="Q150" s="675"/>
      <c r="R150" s="1786"/>
      <c r="S150" s="1786"/>
      <c r="T150" s="1786"/>
      <c r="U150" s="1786"/>
      <c r="V150" s="1786"/>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608"/>
      <c r="AU150" s="817"/>
      <c r="AV150" s="16"/>
      <c r="AW150" s="16"/>
      <c r="AX150" s="817"/>
      <c r="AY150" s="1"/>
      <c r="AZ150" s="1"/>
      <c r="BA150" s="1"/>
      <c r="BB150" s="817"/>
      <c r="BC150" s="817"/>
      <c r="BD150" s="16"/>
      <c r="BE150" s="16"/>
      <c r="BF150" s="1943"/>
    </row>
    <row r="151" spans="1:58" s="6" customFormat="1" ht="12.75">
      <c r="A151" s="1133" t="s">
        <v>351</v>
      </c>
      <c r="B151"/>
      <c r="C151"/>
      <c r="D151"/>
      <c r="E151"/>
      <c r="F151"/>
      <c r="G151"/>
      <c r="H151"/>
      <c r="I151" s="1925"/>
      <c r="J151" s="1925"/>
      <c r="K151" s="1925"/>
      <c r="L151" s="55"/>
      <c r="M151" s="55"/>
      <c r="N151" s="55"/>
      <c r="O151" s="55"/>
      <c r="P151" s="1925"/>
      <c r="Q151" s="675"/>
      <c r="R151" s="1786"/>
      <c r="S151" s="1786"/>
      <c r="T151" s="1786"/>
      <c r="U151" s="1786"/>
      <c r="V151" s="1786"/>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608"/>
      <c r="AU151" s="817"/>
      <c r="AV151" s="16"/>
      <c r="AW151" s="16"/>
      <c r="AX151" s="817"/>
      <c r="AY151" s="1"/>
      <c r="AZ151" s="1"/>
      <c r="BA151" s="1"/>
      <c r="BB151" s="817"/>
      <c r="BC151" s="817"/>
      <c r="BD151" s="16"/>
      <c r="BE151" s="16"/>
      <c r="BF151" s="1943"/>
    </row>
    <row r="152" spans="1:58" s="6" customFormat="1" ht="12.75">
      <c r="A152" s="1133" t="s">
        <v>987</v>
      </c>
      <c r="B152"/>
      <c r="C152"/>
      <c r="D152"/>
      <c r="E152"/>
      <c r="F152"/>
      <c r="G152"/>
      <c r="H152"/>
      <c r="I152" s="1925"/>
      <c r="J152" s="1925"/>
      <c r="K152" s="1925"/>
      <c r="L152" s="55"/>
      <c r="M152" s="55"/>
      <c r="N152" s="55"/>
      <c r="O152" s="55"/>
      <c r="P152" s="1925"/>
      <c r="Q152" s="675"/>
      <c r="R152" s="1786"/>
      <c r="S152" s="1786"/>
      <c r="T152" s="1786"/>
      <c r="U152" s="1786"/>
      <c r="V152" s="1786"/>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608"/>
      <c r="AU152" s="817"/>
      <c r="AV152" s="16"/>
      <c r="AW152" s="16"/>
      <c r="AX152" s="817"/>
      <c r="AY152" s="1"/>
      <c r="AZ152" s="1"/>
      <c r="BA152" s="1"/>
      <c r="BB152" s="817"/>
      <c r="BC152" s="817"/>
      <c r="BD152" s="16"/>
      <c r="BE152" s="16"/>
      <c r="BF152" s="1943"/>
    </row>
    <row r="153" spans="1:58" s="6" customFormat="1" ht="12.75">
      <c r="A153" s="1133" t="s">
        <v>397</v>
      </c>
      <c r="B153"/>
      <c r="C153"/>
      <c r="D153"/>
      <c r="E153"/>
      <c r="F153"/>
      <c r="G153"/>
      <c r="H153"/>
      <c r="I153" s="1925"/>
      <c r="J153" s="1925"/>
      <c r="K153" s="1925"/>
      <c r="L153" s="55"/>
      <c r="M153" s="55"/>
      <c r="N153" s="55"/>
      <c r="O153" s="55"/>
      <c r="P153" s="1925"/>
      <c r="Q153" s="675"/>
      <c r="R153" s="1786"/>
      <c r="S153" s="1786"/>
      <c r="T153" s="1786"/>
      <c r="U153" s="1786"/>
      <c r="V153" s="1786"/>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608"/>
      <c r="AU153" s="817"/>
      <c r="AV153" s="16"/>
      <c r="AW153" s="16"/>
      <c r="AX153" s="817"/>
      <c r="AY153" s="1"/>
      <c r="AZ153" s="1"/>
      <c r="BA153" s="1"/>
      <c r="BB153" s="817"/>
      <c r="BC153" s="817"/>
      <c r="BD153" s="16"/>
      <c r="BE153" s="16"/>
      <c r="BF153" s="1943"/>
    </row>
    <row r="154" spans="1:58" s="6" customFormat="1" ht="12.75">
      <c r="A154" s="1133" t="s">
        <v>354</v>
      </c>
      <c r="B154"/>
      <c r="C154"/>
      <c r="D154"/>
      <c r="E154"/>
      <c r="F154"/>
      <c r="G154"/>
      <c r="H154"/>
      <c r="I154" s="1925"/>
      <c r="J154" s="1925"/>
      <c r="K154" s="1925"/>
      <c r="L154" s="55"/>
      <c r="M154" s="55"/>
      <c r="N154" s="55"/>
      <c r="O154" s="55"/>
      <c r="P154" s="55"/>
      <c r="Q154" s="55"/>
      <c r="R154" s="55"/>
      <c r="S154" s="55"/>
      <c r="T154" s="55"/>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608"/>
    </row>
    <row r="155" spans="1:58" s="6" customFormat="1" ht="12.75">
      <c r="A155" s="1133" t="s">
        <v>353</v>
      </c>
      <c r="B155"/>
      <c r="C155"/>
      <c r="D155"/>
      <c r="E155"/>
      <c r="F155"/>
      <c r="G155"/>
      <c r="H155"/>
      <c r="I155" s="1925"/>
      <c r="J155" s="1925"/>
      <c r="K155" s="1925"/>
      <c r="L155" s="55"/>
      <c r="M155" s="55"/>
      <c r="N155" s="55"/>
      <c r="O155" s="55"/>
      <c r="P155" s="1925"/>
      <c r="Q155" s="1925"/>
      <c r="R155" s="1925"/>
      <c r="S155" s="1925"/>
      <c r="T155" s="1925"/>
      <c r="U155" s="1925"/>
      <c r="V155" s="192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1925"/>
      <c r="AV155" s="1925"/>
      <c r="AW155" s="1925"/>
      <c r="AX155" s="1925"/>
      <c r="AY155" s="1925"/>
      <c r="AZ155" s="1925"/>
      <c r="BA155" s="1925"/>
      <c r="BB155" s="1925"/>
      <c r="BC155" s="1925"/>
      <c r="BD155" s="1925"/>
      <c r="BE155" s="1925"/>
      <c r="BF155" s="1945"/>
    </row>
    <row r="156" spans="1:58" s="6" customFormat="1" ht="12.75">
      <c r="A156" s="1133" t="s">
        <v>988</v>
      </c>
      <c r="B156"/>
      <c r="C156"/>
      <c r="D156"/>
      <c r="E156"/>
      <c r="F156"/>
      <c r="G156"/>
      <c r="H156"/>
      <c r="I156" s="1925"/>
      <c r="J156" s="1925"/>
      <c r="K156" s="1925"/>
      <c r="L156" s="55"/>
      <c r="M156" s="55"/>
      <c r="N156" s="55"/>
      <c r="O156" s="55"/>
      <c r="P156" s="1925"/>
      <c r="Q156" s="1925"/>
      <c r="R156" s="1925"/>
      <c r="S156" s="1925"/>
      <c r="T156" s="1925"/>
      <c r="U156" s="1925"/>
      <c r="V156" s="192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1925"/>
      <c r="AV156" s="1925"/>
      <c r="AW156" s="1925"/>
      <c r="AX156" s="1925"/>
      <c r="AY156" s="1925"/>
      <c r="AZ156" s="1925"/>
      <c r="BA156" s="1925"/>
      <c r="BB156" s="1925"/>
      <c r="BC156" s="1925"/>
      <c r="BD156" s="1925"/>
      <c r="BE156" s="1925"/>
      <c r="BF156" s="1945"/>
    </row>
    <row r="157" spans="1:58" s="6" customFormat="1" ht="13.5" thickBot="1">
      <c r="A157" s="9" t="s">
        <v>355</v>
      </c>
      <c r="B157" s="408"/>
      <c r="C157" s="408"/>
      <c r="D157" s="408"/>
      <c r="E157" s="408"/>
      <c r="F157" s="408"/>
      <c r="G157" s="408"/>
      <c r="H157" s="408"/>
      <c r="I157" s="1926"/>
      <c r="J157" s="1926"/>
      <c r="K157" s="1926"/>
      <c r="L157" s="1149"/>
      <c r="M157" s="1149"/>
      <c r="N157" s="1149"/>
      <c r="O157" s="1149"/>
      <c r="P157" s="1926"/>
      <c r="Q157" s="1802"/>
      <c r="R157" s="1789"/>
      <c r="S157" s="1789"/>
      <c r="T157" s="1789"/>
      <c r="U157" s="1789"/>
      <c r="V157" s="178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50"/>
      <c r="AU157" s="1803"/>
      <c r="AV157" s="18"/>
      <c r="AW157" s="18"/>
      <c r="AX157" s="1803"/>
      <c r="AY157" s="112"/>
      <c r="AZ157" s="112"/>
      <c r="BA157" s="112"/>
      <c r="BB157" s="1803"/>
      <c r="BC157" s="1803"/>
      <c r="BD157" s="18"/>
      <c r="BE157" s="18"/>
      <c r="BF157" s="1946"/>
    </row>
    <row r="158" spans="1:58" s="6" customFormat="1" ht="13.5" thickTop="1">
      <c r="A158" s="55"/>
      <c r="B158" s="55"/>
      <c r="C158" s="1925"/>
      <c r="D158" s="1925"/>
      <c r="E158" s="1925"/>
      <c r="F158" s="1925"/>
      <c r="G158" s="1925"/>
      <c r="H158" s="1925"/>
      <c r="I158" s="1925"/>
      <c r="J158" s="1925"/>
      <c r="K158" s="1925"/>
      <c r="L158" s="55"/>
      <c r="M158" s="55"/>
      <c r="N158" s="55"/>
      <c r="O158" s="55"/>
      <c r="P158" s="1925"/>
      <c r="Q158" s="1925"/>
      <c r="R158" s="1925"/>
      <c r="S158" s="1925"/>
      <c r="T158" s="1925"/>
      <c r="U158" s="1925"/>
      <c r="V158" s="192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1925"/>
      <c r="AV158" s="1925"/>
      <c r="AW158" s="1925"/>
      <c r="AX158" s="1925"/>
      <c r="AY158" s="1925"/>
      <c r="AZ158" s="1925"/>
      <c r="BA158" s="1925"/>
      <c r="BB158" s="1925"/>
      <c r="BC158" s="1925"/>
      <c r="BD158" s="1925"/>
      <c r="BE158" s="1925"/>
      <c r="BF158" s="1925"/>
    </row>
    <row r="159" spans="1:58" s="6" customFormat="1" ht="12.75">
      <c r="A159" s="55"/>
      <c r="B159"/>
      <c r="C159"/>
      <c r="D159"/>
      <c r="E159" s="1925"/>
      <c r="F159" s="1925"/>
      <c r="G159" s="1925"/>
      <c r="H159" s="1925"/>
      <c r="I159" s="1925"/>
      <c r="J159" s="1925"/>
      <c r="K159" s="1925"/>
      <c r="L159" s="55"/>
      <c r="M159" s="55"/>
      <c r="N159" s="55"/>
      <c r="O159" s="55"/>
      <c r="P159" s="1925"/>
      <c r="Q159" s="1925"/>
      <c r="R159" s="1925"/>
      <c r="S159" s="1925"/>
      <c r="T159" s="1925"/>
      <c r="U159" s="1925"/>
      <c r="V159" s="192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1925"/>
      <c r="AV159" s="1925"/>
      <c r="AW159" s="1925"/>
      <c r="AX159" s="1925"/>
      <c r="AY159" s="1925"/>
      <c r="AZ159" s="1925"/>
      <c r="BA159" s="1925"/>
      <c r="BB159" s="1925"/>
      <c r="BC159" s="1925"/>
      <c r="BD159" s="1925"/>
      <c r="BE159" s="1925"/>
      <c r="BF159" s="1925"/>
    </row>
    <row r="160" spans="1:58" s="6" customFormat="1" ht="12.75">
      <c r="A160" s="55"/>
      <c r="B160" s="55"/>
      <c r="C160" s="1925"/>
      <c r="D160" s="1925"/>
      <c r="E160" s="1925"/>
      <c r="F160" s="1925"/>
      <c r="G160" s="1925"/>
      <c r="H160" s="1925"/>
      <c r="I160" s="1925"/>
      <c r="J160" s="1925"/>
      <c r="K160" s="1925"/>
      <c r="L160" s="55"/>
      <c r="M160" s="55"/>
      <c r="N160" s="55"/>
      <c r="O160" s="55"/>
      <c r="P160" s="1925"/>
      <c r="Q160" s="1925"/>
      <c r="R160" s="1925"/>
      <c r="S160" s="1925"/>
      <c r="T160" s="1925"/>
      <c r="U160" s="1925"/>
      <c r="V160" s="192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1925"/>
      <c r="AV160" s="1925"/>
      <c r="AW160" s="1925"/>
      <c r="AX160" s="1925"/>
      <c r="AY160" s="1925"/>
      <c r="AZ160" s="1925"/>
      <c r="BA160" s="1925"/>
      <c r="BB160" s="1925"/>
      <c r="BC160" s="1925"/>
      <c r="BD160" s="1925"/>
      <c r="BE160" s="1925"/>
      <c r="BF160" s="1925"/>
    </row>
    <row r="161" spans="3:58" s="6" customFormat="1" ht="12.75">
      <c r="C161" s="1925"/>
      <c r="D161" s="1925"/>
      <c r="E161" s="1925"/>
      <c r="F161" s="1925"/>
      <c r="G161" s="1925"/>
      <c r="H161" s="1925"/>
      <c r="I161" s="1925"/>
      <c r="J161" s="1925"/>
      <c r="K161" s="1925"/>
      <c r="L161" s="55"/>
      <c r="M161" s="55"/>
      <c r="N161" s="55"/>
      <c r="O161" s="55"/>
      <c r="P161" s="1925"/>
      <c r="Q161" s="1925"/>
      <c r="R161" s="1925"/>
      <c r="S161" s="1925"/>
      <c r="T161" s="1925"/>
      <c r="U161" s="1925"/>
      <c r="V161" s="192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1925"/>
      <c r="AV161" s="1925"/>
      <c r="AW161" s="1925"/>
      <c r="AX161" s="1925"/>
      <c r="AY161" s="1925"/>
      <c r="AZ161" s="1925"/>
      <c r="BA161" s="1925"/>
      <c r="BB161" s="1925"/>
      <c r="BC161" s="1925"/>
      <c r="BD161" s="1925"/>
      <c r="BE161" s="1925"/>
      <c r="BF161" s="1925"/>
    </row>
    <row r="162" spans="3:58" s="6" customFormat="1" ht="12.75">
      <c r="C162" s="1925"/>
      <c r="D162" s="1925"/>
      <c r="E162" s="1925"/>
      <c r="F162" s="1925"/>
      <c r="G162" s="1925"/>
      <c r="H162" s="1925"/>
      <c r="I162" s="1925"/>
      <c r="J162" s="1925"/>
      <c r="K162" s="1925"/>
      <c r="L162" s="55"/>
      <c r="M162" s="55"/>
      <c r="N162" s="55"/>
      <c r="O162" s="55"/>
      <c r="P162" s="1925"/>
      <c r="Q162" s="1925"/>
      <c r="R162" s="1925"/>
      <c r="S162" s="1925"/>
      <c r="T162" s="1925"/>
      <c r="U162" s="1925"/>
      <c r="V162" s="192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1925"/>
      <c r="AV162" s="1925"/>
      <c r="AW162" s="1925"/>
      <c r="AX162" s="1925"/>
      <c r="AY162" s="1925"/>
      <c r="AZ162" s="1925"/>
      <c r="BA162" s="1925"/>
      <c r="BB162" s="1925"/>
      <c r="BC162" s="1925"/>
      <c r="BD162" s="1925"/>
      <c r="BE162" s="1925"/>
      <c r="BF162" s="1925"/>
    </row>
    <row r="163" spans="3:58" s="6" customFormat="1" ht="12.75">
      <c r="C163" s="1925"/>
      <c r="D163" s="1925"/>
      <c r="E163" s="1925"/>
      <c r="F163" s="1925"/>
      <c r="G163" s="1925"/>
      <c r="H163" s="1925"/>
      <c r="I163" s="1925"/>
      <c r="J163" s="1925"/>
      <c r="K163" s="1925"/>
      <c r="L163" s="55"/>
      <c r="M163" s="55"/>
      <c r="N163" s="55"/>
      <c r="O163" s="55"/>
      <c r="P163" s="1925"/>
      <c r="Q163" s="1925"/>
      <c r="R163" s="1925"/>
      <c r="S163" s="1925"/>
      <c r="T163" s="1925"/>
      <c r="U163" s="1925"/>
      <c r="V163" s="192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1925"/>
      <c r="AV163" s="1925"/>
      <c r="AW163" s="1925"/>
      <c r="AX163" s="1925"/>
      <c r="AY163" s="1925"/>
      <c r="AZ163" s="1925"/>
      <c r="BA163" s="1925"/>
      <c r="BB163" s="1925"/>
      <c r="BC163" s="1925"/>
      <c r="BD163" s="1925"/>
      <c r="BE163" s="1925"/>
      <c r="BF163" s="1925"/>
    </row>
    <row r="164" spans="3:58" s="6" customFormat="1" ht="12.75">
      <c r="C164" s="1925"/>
      <c r="D164" s="1925"/>
      <c r="E164" s="1925"/>
      <c r="F164" s="1925"/>
      <c r="G164" s="1925"/>
      <c r="H164" s="1925"/>
      <c r="I164" s="1925"/>
      <c r="J164" s="1925"/>
      <c r="K164" s="1925"/>
      <c r="L164" s="55"/>
      <c r="M164" s="55"/>
      <c r="N164" s="55"/>
      <c r="O164" s="55"/>
      <c r="P164" s="1925"/>
      <c r="Q164" s="1925"/>
      <c r="R164" s="1925"/>
      <c r="S164" s="1925"/>
      <c r="T164" s="1925"/>
      <c r="U164" s="1925"/>
      <c r="V164" s="192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1925"/>
      <c r="AV164" s="1925"/>
      <c r="AW164" s="1925"/>
      <c r="AX164" s="1925"/>
      <c r="AY164" s="1925"/>
      <c r="AZ164" s="1925"/>
      <c r="BA164" s="1925"/>
      <c r="BB164" s="1925"/>
      <c r="BC164" s="1925"/>
      <c r="BD164" s="1925"/>
      <c r="BE164" s="1925"/>
      <c r="BF164" s="1925"/>
    </row>
    <row r="165" spans="3:58" s="6" customFormat="1" ht="12.75">
      <c r="C165" s="1925"/>
      <c r="D165" s="1925"/>
      <c r="E165" s="1925"/>
      <c r="F165" s="1925"/>
      <c r="G165" s="1925"/>
      <c r="H165" s="1925"/>
      <c r="I165" s="1925"/>
      <c r="J165" s="1925"/>
      <c r="K165" s="1925"/>
      <c r="L165" s="55"/>
      <c r="M165" s="55"/>
      <c r="N165" s="55"/>
      <c r="O165" s="55"/>
      <c r="P165" s="1925"/>
      <c r="Q165" s="1925"/>
      <c r="R165" s="1925"/>
      <c r="S165" s="1925"/>
      <c r="T165" s="1925"/>
      <c r="U165" s="1925"/>
      <c r="V165" s="192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1925"/>
      <c r="AV165" s="1925"/>
      <c r="AW165" s="1925"/>
      <c r="AX165" s="1925"/>
      <c r="AY165" s="1925"/>
      <c r="AZ165" s="1925"/>
      <c r="BA165" s="1925"/>
      <c r="BB165" s="1925"/>
      <c r="BC165" s="1925"/>
      <c r="BD165" s="1925"/>
      <c r="BE165" s="1925"/>
      <c r="BF165" s="1925"/>
    </row>
    <row r="166" spans="3:58" s="6" customFormat="1" ht="12.75">
      <c r="C166" s="1925"/>
      <c r="D166" s="1925"/>
      <c r="E166" s="1925"/>
      <c r="F166" s="1925"/>
      <c r="G166" s="1925"/>
      <c r="H166" s="1925"/>
      <c r="I166" s="1925"/>
      <c r="J166" s="1925"/>
      <c r="K166" s="1925"/>
      <c r="L166" s="55"/>
      <c r="M166" s="55"/>
      <c r="N166" s="55"/>
      <c r="O166" s="55"/>
      <c r="P166" s="1925"/>
      <c r="Q166" s="1925"/>
      <c r="R166" s="1925"/>
      <c r="S166" s="1925"/>
      <c r="T166" s="1925"/>
      <c r="U166" s="1925"/>
      <c r="V166" s="192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1925"/>
      <c r="AV166" s="1925"/>
      <c r="AW166" s="1925"/>
      <c r="AX166" s="1925"/>
      <c r="AY166" s="1925"/>
      <c r="AZ166" s="1925"/>
      <c r="BA166" s="1925"/>
      <c r="BB166" s="1925"/>
      <c r="BC166" s="1925"/>
      <c r="BD166" s="1925"/>
      <c r="BE166" s="1925"/>
      <c r="BF166" s="1925"/>
    </row>
    <row r="167" spans="3:58" s="6" customFormat="1" ht="12.75">
      <c r="C167" s="1925"/>
      <c r="D167" s="1925"/>
      <c r="E167" s="1925"/>
      <c r="F167" s="1925"/>
      <c r="G167" s="1925"/>
      <c r="H167" s="1925"/>
      <c r="I167" s="1925"/>
      <c r="J167" s="1925"/>
      <c r="K167" s="1925"/>
      <c r="L167" s="55"/>
      <c r="M167" s="55"/>
      <c r="N167" s="55"/>
      <c r="O167" s="55"/>
      <c r="P167" s="1925"/>
      <c r="Q167" s="1925"/>
      <c r="R167" s="1925"/>
      <c r="S167" s="1925"/>
      <c r="T167" s="1925"/>
      <c r="U167" s="1925"/>
      <c r="V167" s="192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1925"/>
      <c r="AV167" s="1925"/>
      <c r="AW167" s="1925"/>
      <c r="AX167" s="1925"/>
      <c r="AY167" s="1925"/>
      <c r="AZ167" s="1925"/>
      <c r="BA167" s="1925"/>
      <c r="BB167" s="1925"/>
      <c r="BC167" s="1925"/>
      <c r="BD167" s="1925"/>
      <c r="BE167" s="1925"/>
      <c r="BF167" s="1925"/>
    </row>
    <row r="168" spans="3:58" s="6" customFormat="1" ht="12.75">
      <c r="C168" s="1925"/>
      <c r="D168" s="1925"/>
      <c r="E168" s="1925"/>
      <c r="F168" s="1925"/>
      <c r="G168" s="1925"/>
      <c r="H168" s="1925"/>
      <c r="I168" s="1925"/>
      <c r="J168" s="1925"/>
      <c r="K168" s="1925"/>
      <c r="L168" s="55"/>
      <c r="M168" s="55"/>
      <c r="N168" s="55"/>
      <c r="O168" s="55"/>
      <c r="P168" s="1925"/>
      <c r="Q168" s="1925"/>
      <c r="R168" s="1925"/>
      <c r="S168" s="1925"/>
      <c r="T168" s="1925"/>
      <c r="U168" s="1925"/>
      <c r="V168" s="192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1925"/>
      <c r="AV168" s="1925"/>
      <c r="AW168" s="1925"/>
      <c r="AX168" s="1925"/>
      <c r="AY168" s="1925"/>
      <c r="AZ168" s="1925"/>
      <c r="BA168" s="1925"/>
      <c r="BB168" s="1925"/>
      <c r="BC168" s="1925"/>
      <c r="BD168" s="1925"/>
      <c r="BE168" s="1925"/>
      <c r="BF168" s="1925"/>
    </row>
    <row r="169" spans="3:58" s="6" customFormat="1" ht="12.75">
      <c r="C169" s="1925"/>
      <c r="D169" s="1925"/>
      <c r="E169" s="1925"/>
      <c r="F169" s="1925"/>
      <c r="G169" s="1925"/>
      <c r="H169" s="1925"/>
      <c r="I169" s="1925"/>
      <c r="J169" s="1925"/>
      <c r="K169" s="1925"/>
      <c r="L169" s="55"/>
      <c r="M169" s="55"/>
      <c r="N169" s="55"/>
      <c r="O169" s="55"/>
      <c r="P169" s="1925"/>
      <c r="Q169" s="1925"/>
      <c r="R169" s="1925"/>
      <c r="S169" s="1925"/>
      <c r="T169" s="1925"/>
      <c r="U169" s="1925"/>
      <c r="V169" s="192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1925"/>
      <c r="AV169" s="1925"/>
      <c r="AW169" s="1925"/>
      <c r="AX169" s="1925"/>
      <c r="AY169" s="1925"/>
      <c r="AZ169" s="1925"/>
      <c r="BA169" s="1925"/>
      <c r="BB169" s="1925"/>
      <c r="BC169" s="1925"/>
      <c r="BD169" s="1925"/>
      <c r="BE169" s="1925"/>
      <c r="BF169" s="1925"/>
    </row>
    <row r="170" spans="3:58" s="6" customFormat="1" ht="12.75">
      <c r="C170" s="1925"/>
      <c r="D170" s="1925"/>
      <c r="E170" s="1925"/>
      <c r="F170" s="1925"/>
      <c r="G170" s="1925"/>
      <c r="H170" s="1925"/>
      <c r="I170" s="1925"/>
      <c r="J170" s="1925"/>
      <c r="K170" s="1925"/>
      <c r="L170" s="55"/>
      <c r="M170" s="55"/>
      <c r="N170" s="55"/>
      <c r="O170" s="55"/>
      <c r="P170" s="1925"/>
      <c r="Q170" s="1925"/>
      <c r="R170" s="1925"/>
      <c r="S170" s="1925"/>
      <c r="T170" s="1925"/>
      <c r="U170" s="1925"/>
      <c r="V170" s="192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1925"/>
      <c r="AV170" s="1925"/>
      <c r="AW170" s="1925"/>
      <c r="AX170" s="1925"/>
      <c r="AY170" s="1925"/>
      <c r="AZ170" s="1925"/>
      <c r="BA170" s="1925"/>
      <c r="BB170" s="1925"/>
      <c r="BC170" s="1925"/>
      <c r="BD170" s="1925"/>
      <c r="BE170" s="1925"/>
      <c r="BF170" s="1925"/>
    </row>
    <row r="171" spans="3:58" s="6" customFormat="1" ht="12.75">
      <c r="C171" s="1925"/>
      <c r="D171" s="1925"/>
      <c r="E171" s="1925"/>
      <c r="F171" s="1925"/>
      <c r="G171" s="1925"/>
      <c r="H171" s="1925"/>
      <c r="I171" s="1925"/>
      <c r="J171" s="1925"/>
      <c r="K171" s="1925"/>
      <c r="L171" s="55"/>
      <c r="M171" s="55"/>
      <c r="N171" s="55"/>
      <c r="O171" s="55"/>
      <c r="P171" s="1925"/>
      <c r="Q171" s="1925"/>
      <c r="R171" s="1925"/>
      <c r="S171" s="1925"/>
      <c r="T171" s="1925"/>
      <c r="U171" s="1925"/>
      <c r="V171" s="192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1925"/>
      <c r="AV171" s="1925"/>
      <c r="AW171" s="1925"/>
      <c r="AX171" s="1925"/>
      <c r="AY171" s="1925"/>
      <c r="AZ171" s="1925"/>
      <c r="BA171" s="1925"/>
      <c r="BB171" s="1925"/>
      <c r="BC171" s="1925"/>
      <c r="BD171" s="1925"/>
      <c r="BE171" s="1925"/>
      <c r="BF171" s="1925"/>
    </row>
    <row r="172" spans="3:58" s="6" customFormat="1" ht="12.75">
      <c r="C172" s="1925"/>
      <c r="D172" s="1925"/>
      <c r="E172" s="1925"/>
      <c r="F172" s="1925"/>
      <c r="G172" s="1925"/>
      <c r="H172" s="1925"/>
      <c r="I172" s="1925"/>
      <c r="J172" s="1925"/>
      <c r="K172" s="1925"/>
      <c r="L172" s="55"/>
      <c r="M172" s="55"/>
      <c r="N172" s="55"/>
      <c r="O172" s="55"/>
      <c r="P172" s="1925"/>
      <c r="Q172" s="1925"/>
      <c r="R172" s="1925"/>
      <c r="S172" s="1925"/>
      <c r="T172" s="1925"/>
      <c r="U172" s="1925"/>
      <c r="V172" s="192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1925"/>
      <c r="AV172" s="1925"/>
      <c r="AW172" s="1925"/>
      <c r="AX172" s="1925"/>
      <c r="AY172" s="1925"/>
      <c r="AZ172" s="1925"/>
      <c r="BA172" s="1925"/>
      <c r="BB172" s="1925"/>
      <c r="BC172" s="1925"/>
      <c r="BD172" s="1925"/>
      <c r="BE172" s="1925"/>
      <c r="BF172" s="1925"/>
    </row>
    <row r="173" spans="3:58" s="6" customFormat="1" ht="12.75">
      <c r="C173" s="1925"/>
      <c r="D173" s="1925"/>
      <c r="E173" s="1925"/>
      <c r="F173" s="1925"/>
      <c r="G173" s="1925"/>
      <c r="H173" s="1925"/>
      <c r="I173" s="1925"/>
      <c r="J173" s="1925"/>
      <c r="K173" s="1925"/>
      <c r="L173" s="55"/>
      <c r="M173" s="55"/>
      <c r="N173" s="55"/>
      <c r="O173" s="55"/>
      <c r="P173" s="1925"/>
      <c r="Q173" s="1925"/>
      <c r="R173" s="1925"/>
      <c r="S173" s="1925"/>
      <c r="T173" s="1925"/>
      <c r="U173" s="1925"/>
      <c r="V173" s="192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1925"/>
      <c r="AV173" s="1925"/>
      <c r="AW173" s="1925"/>
      <c r="AX173" s="1925"/>
      <c r="AY173" s="1925"/>
      <c r="AZ173" s="1925"/>
      <c r="BA173" s="1925"/>
      <c r="BB173" s="1925"/>
      <c r="BC173" s="1925"/>
      <c r="BD173" s="1925"/>
      <c r="BE173" s="1925"/>
      <c r="BF173" s="1925"/>
    </row>
    <row r="174" spans="3:58" s="6" customFormat="1" ht="12.75">
      <c r="C174" s="1925"/>
      <c r="D174" s="1925"/>
      <c r="E174" s="1925"/>
      <c r="F174" s="1925"/>
      <c r="G174" s="1925"/>
      <c r="H174" s="1925"/>
      <c r="I174" s="1925"/>
      <c r="J174" s="1925"/>
      <c r="K174" s="1925"/>
      <c r="L174" s="55"/>
      <c r="M174" s="55"/>
      <c r="N174" s="55"/>
      <c r="O174" s="55"/>
      <c r="P174" s="1925"/>
      <c r="Q174" s="1925"/>
      <c r="R174" s="1925"/>
      <c r="S174" s="1925"/>
      <c r="T174" s="1925"/>
      <c r="U174" s="1925"/>
      <c r="V174" s="192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1925"/>
      <c r="AV174" s="1925"/>
      <c r="AW174" s="1925"/>
      <c r="AX174" s="1925"/>
      <c r="AY174" s="1925"/>
      <c r="AZ174" s="1925"/>
      <c r="BA174" s="1925"/>
      <c r="BB174" s="1925"/>
      <c r="BC174" s="1925"/>
      <c r="BD174" s="1925"/>
      <c r="BE174" s="1925"/>
      <c r="BF174" s="1925"/>
    </row>
    <row r="175" spans="3:58" s="6" customFormat="1" ht="12.75">
      <c r="C175" s="1925"/>
      <c r="D175" s="1925"/>
      <c r="E175" s="1925"/>
      <c r="F175" s="1925"/>
      <c r="G175" s="1925"/>
      <c r="H175" s="1925"/>
      <c r="I175" s="1925"/>
      <c r="J175" s="1925"/>
      <c r="K175" s="1925"/>
      <c r="L175" s="55"/>
      <c r="M175" s="55"/>
      <c r="N175" s="55"/>
      <c r="O175" s="55"/>
      <c r="P175" s="1925"/>
      <c r="Q175" s="1925"/>
      <c r="R175" s="1925"/>
      <c r="S175" s="1925"/>
      <c r="T175" s="1925"/>
      <c r="U175" s="1925"/>
      <c r="V175" s="192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1925"/>
      <c r="AV175" s="1925"/>
      <c r="AW175" s="1925"/>
      <c r="AX175" s="1925"/>
      <c r="AY175" s="1925"/>
      <c r="AZ175" s="1925"/>
      <c r="BA175" s="1925"/>
      <c r="BB175" s="1925"/>
      <c r="BC175" s="1925"/>
      <c r="BD175" s="1925"/>
      <c r="BE175" s="1925"/>
      <c r="BF175" s="1925"/>
    </row>
    <row r="176" spans="3:58" s="6" customFormat="1" ht="12.75">
      <c r="C176" s="1925"/>
      <c r="D176" s="1925"/>
      <c r="E176" s="1925"/>
      <c r="F176" s="1925"/>
      <c r="G176" s="1925"/>
      <c r="H176" s="1925"/>
      <c r="I176" s="1925"/>
      <c r="J176" s="1925"/>
      <c r="K176" s="1925"/>
      <c r="L176" s="55"/>
      <c r="M176" s="55"/>
      <c r="N176" s="55"/>
      <c r="O176" s="55"/>
      <c r="P176" s="1925"/>
      <c r="Q176" s="1925"/>
      <c r="R176" s="1925"/>
      <c r="S176" s="1925"/>
      <c r="T176" s="1925"/>
      <c r="U176" s="1925"/>
      <c r="V176" s="192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1925"/>
      <c r="AV176" s="1925"/>
      <c r="AW176" s="1925"/>
      <c r="AX176" s="1925"/>
      <c r="AY176" s="1925"/>
      <c r="AZ176" s="1925"/>
      <c r="BA176" s="1925"/>
      <c r="BB176" s="1925"/>
      <c r="BC176" s="1925"/>
      <c r="BD176" s="1925"/>
      <c r="BE176" s="1925"/>
      <c r="BF176" s="1925"/>
    </row>
    <row r="177" spans="3:58" s="6" customFormat="1" ht="12.75">
      <c r="C177" s="1925"/>
      <c r="D177" s="1925"/>
      <c r="E177" s="1925"/>
      <c r="F177" s="1925"/>
      <c r="G177" s="1925"/>
      <c r="H177" s="1925"/>
      <c r="I177" s="1925"/>
      <c r="J177" s="1925"/>
      <c r="K177" s="1925"/>
      <c r="L177" s="55"/>
      <c r="M177" s="55"/>
      <c r="N177" s="55"/>
      <c r="O177" s="55"/>
      <c r="P177" s="1925"/>
      <c r="Q177" s="1925"/>
      <c r="R177" s="1925"/>
      <c r="S177" s="1925"/>
      <c r="T177" s="1925"/>
      <c r="U177" s="1925"/>
      <c r="V177" s="192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1925"/>
      <c r="AV177" s="1925"/>
      <c r="AW177" s="1925"/>
      <c r="AX177" s="1925"/>
      <c r="AY177" s="1925"/>
      <c r="AZ177" s="1925"/>
      <c r="BA177" s="1925"/>
      <c r="BB177" s="1925"/>
      <c r="BC177" s="1925"/>
      <c r="BD177" s="1925"/>
      <c r="BE177" s="1925"/>
      <c r="BF177" s="1925"/>
    </row>
    <row r="178" spans="3:58" s="6" customFormat="1" ht="12.75">
      <c r="C178" s="1925"/>
      <c r="D178" s="1925"/>
      <c r="E178" s="1925"/>
      <c r="F178" s="1925"/>
      <c r="G178" s="1925"/>
      <c r="H178" s="1925"/>
      <c r="I178" s="1925"/>
      <c r="J178" s="1925"/>
      <c r="K178" s="1925"/>
      <c r="L178" s="55"/>
      <c r="M178" s="55"/>
      <c r="N178" s="55"/>
      <c r="O178" s="55"/>
      <c r="P178" s="1925"/>
      <c r="Q178" s="1925"/>
      <c r="R178" s="1925"/>
      <c r="S178" s="1925"/>
      <c r="T178" s="1925"/>
      <c r="U178" s="1925"/>
      <c r="V178" s="192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1925"/>
      <c r="AV178" s="1925"/>
      <c r="AW178" s="1925"/>
      <c r="AX178" s="1925"/>
      <c r="AY178" s="1925"/>
      <c r="AZ178" s="1925"/>
      <c r="BA178" s="1925"/>
      <c r="BB178" s="1925"/>
      <c r="BC178" s="1925"/>
      <c r="BD178" s="1925"/>
      <c r="BE178" s="1925"/>
      <c r="BF178" s="1925"/>
    </row>
    <row r="179" spans="3:58" s="6" customFormat="1" ht="12.75">
      <c r="C179" s="1925"/>
      <c r="D179" s="1925"/>
      <c r="E179" s="1925"/>
      <c r="F179" s="1925"/>
      <c r="G179" s="1925"/>
      <c r="H179" s="1925"/>
      <c r="I179" s="1925"/>
      <c r="J179" s="1925"/>
      <c r="K179" s="1925"/>
      <c r="L179" s="55"/>
      <c r="M179" s="55"/>
      <c r="N179" s="55"/>
      <c r="O179" s="55"/>
      <c r="P179" s="1925"/>
      <c r="Q179" s="1925"/>
      <c r="R179" s="1925"/>
      <c r="S179" s="1925"/>
      <c r="T179" s="1925"/>
      <c r="U179" s="1925"/>
      <c r="V179" s="192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1925"/>
      <c r="AV179" s="1925"/>
      <c r="AW179" s="1925"/>
      <c r="AX179" s="1925"/>
      <c r="AY179" s="1925"/>
      <c r="AZ179" s="1925"/>
      <c r="BA179" s="1925"/>
      <c r="BB179" s="1925"/>
      <c r="BC179" s="1925"/>
      <c r="BD179" s="1925"/>
      <c r="BE179" s="1925"/>
      <c r="BF179" s="1925"/>
    </row>
    <row r="180" spans="3:58" s="6" customFormat="1" ht="12.75">
      <c r="C180" s="1925"/>
      <c r="D180" s="1925"/>
      <c r="E180" s="1925"/>
      <c r="F180" s="1925"/>
      <c r="G180" s="1925"/>
      <c r="H180" s="1925"/>
      <c r="I180" s="1925"/>
      <c r="J180" s="1925"/>
      <c r="K180" s="1925"/>
      <c r="L180" s="55"/>
      <c r="M180" s="55"/>
      <c r="N180" s="55"/>
      <c r="O180" s="55"/>
      <c r="P180" s="1925"/>
      <c r="Q180" s="1925"/>
      <c r="R180" s="1925"/>
      <c r="S180" s="1925"/>
      <c r="T180" s="1925"/>
      <c r="U180" s="1925"/>
      <c r="V180" s="192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1925"/>
      <c r="AV180" s="1925"/>
      <c r="AW180" s="1925"/>
      <c r="AX180" s="1925"/>
      <c r="AY180" s="1925"/>
      <c r="AZ180" s="1925"/>
      <c r="BA180" s="1925"/>
      <c r="BB180" s="1925"/>
      <c r="BC180" s="1925"/>
      <c r="BD180" s="1925"/>
      <c r="BE180" s="1925"/>
      <c r="BF180" s="1925"/>
    </row>
    <row r="181" spans="3:58" s="6" customFormat="1" ht="12.75">
      <c r="C181" s="1925"/>
      <c r="D181" s="1925"/>
      <c r="E181" s="1925"/>
      <c r="F181" s="1925"/>
      <c r="G181" s="1925"/>
      <c r="H181" s="1925"/>
      <c r="I181" s="1925"/>
      <c r="J181" s="1925"/>
      <c r="K181" s="1925"/>
      <c r="L181" s="55"/>
      <c r="M181" s="55"/>
      <c r="N181" s="55"/>
      <c r="O181" s="55"/>
      <c r="P181" s="1925"/>
      <c r="Q181" s="1925"/>
      <c r="R181" s="1925"/>
      <c r="S181" s="1925"/>
      <c r="T181" s="1925"/>
      <c r="U181" s="1925"/>
      <c r="V181" s="192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1925"/>
      <c r="AV181" s="1925"/>
      <c r="AW181" s="1925"/>
      <c r="AX181" s="1925"/>
      <c r="AY181" s="1925"/>
      <c r="AZ181" s="1925"/>
      <c r="BA181" s="1925"/>
      <c r="BB181" s="1925"/>
      <c r="BC181" s="1925"/>
      <c r="BD181" s="1925"/>
      <c r="BE181" s="1925"/>
      <c r="BF181" s="1925"/>
    </row>
    <row r="182" spans="3:58" s="6" customFormat="1" ht="12.75">
      <c r="C182" s="1925"/>
      <c r="D182" s="1925"/>
      <c r="E182" s="1925"/>
      <c r="F182" s="1925"/>
      <c r="G182" s="1925"/>
      <c r="H182" s="1925"/>
      <c r="I182" s="1925"/>
      <c r="J182" s="1925"/>
      <c r="K182" s="1925"/>
      <c r="L182" s="55"/>
      <c r="M182" s="55"/>
      <c r="N182" s="55"/>
      <c r="O182" s="55"/>
      <c r="P182" s="1925"/>
      <c r="Q182" s="1925"/>
      <c r="R182" s="1925"/>
      <c r="S182" s="1925"/>
      <c r="T182" s="1925"/>
      <c r="U182" s="1925"/>
      <c r="V182" s="192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1925"/>
      <c r="AV182" s="1925"/>
      <c r="AW182" s="1925"/>
      <c r="AX182" s="1925"/>
      <c r="AY182" s="1925"/>
      <c r="AZ182" s="1925"/>
      <c r="BA182" s="1925"/>
      <c r="BB182" s="1925"/>
      <c r="BC182" s="1925"/>
      <c r="BD182" s="1925"/>
      <c r="BE182" s="1925"/>
      <c r="BF182" s="1925"/>
    </row>
    <row r="183" spans="3:58" s="6" customFormat="1" ht="12.75">
      <c r="C183" s="1925"/>
      <c r="D183" s="1925"/>
      <c r="E183" s="1925"/>
      <c r="F183" s="1925"/>
      <c r="G183" s="1925"/>
      <c r="H183" s="1925"/>
      <c r="I183" s="1925"/>
      <c r="J183" s="1925"/>
      <c r="K183" s="1925"/>
      <c r="L183" s="55"/>
      <c r="M183" s="55"/>
      <c r="N183" s="55"/>
      <c r="O183" s="55"/>
      <c r="P183" s="1925"/>
      <c r="Q183" s="1925"/>
      <c r="R183" s="1925"/>
      <c r="S183" s="1925"/>
      <c r="T183" s="1925"/>
      <c r="U183" s="1925"/>
      <c r="V183" s="192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1925"/>
      <c r="AV183" s="1925"/>
      <c r="AW183" s="1925"/>
      <c r="AX183" s="1925"/>
      <c r="AY183" s="1925"/>
      <c r="AZ183" s="1925"/>
      <c r="BA183" s="1925"/>
      <c r="BB183" s="1925"/>
      <c r="BC183" s="1925"/>
      <c r="BD183" s="1925"/>
      <c r="BE183" s="1925"/>
      <c r="BF183" s="1925"/>
    </row>
    <row r="184" spans="3:58" s="6" customFormat="1" ht="12.75">
      <c r="C184" s="1925"/>
      <c r="D184" s="1925"/>
      <c r="E184" s="1925"/>
      <c r="F184" s="1925"/>
      <c r="G184" s="1925"/>
      <c r="H184" s="1925"/>
      <c r="I184" s="1925"/>
      <c r="J184" s="1925"/>
      <c r="K184" s="1925"/>
      <c r="L184" s="55"/>
      <c r="M184" s="55"/>
      <c r="N184" s="55"/>
      <c r="O184" s="55"/>
      <c r="P184" s="1925"/>
      <c r="Q184" s="1925"/>
      <c r="R184" s="1925"/>
      <c r="S184" s="1925"/>
      <c r="T184" s="1925"/>
      <c r="U184" s="1925"/>
      <c r="V184" s="192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1925"/>
      <c r="AV184" s="1925"/>
      <c r="AW184" s="1925"/>
      <c r="AX184" s="1925"/>
      <c r="AY184" s="1925"/>
      <c r="AZ184" s="1925"/>
      <c r="BA184" s="1925"/>
      <c r="BB184" s="1925"/>
      <c r="BC184" s="1925"/>
      <c r="BD184" s="1925"/>
      <c r="BE184" s="1925"/>
      <c r="BF184" s="1925"/>
    </row>
    <row r="185" spans="3:58" s="6" customFormat="1" ht="12.75">
      <c r="C185" s="1925"/>
      <c r="D185" s="1925"/>
      <c r="E185" s="1925"/>
      <c r="F185" s="1925"/>
      <c r="G185" s="1925"/>
      <c r="H185" s="1925"/>
      <c r="I185" s="1925"/>
      <c r="J185" s="1925"/>
      <c r="K185" s="1925"/>
      <c r="L185" s="55"/>
      <c r="M185" s="55"/>
      <c r="N185" s="55"/>
      <c r="O185" s="55"/>
      <c r="P185" s="1925"/>
      <c r="Q185" s="1925"/>
      <c r="R185" s="1925"/>
      <c r="S185" s="1925"/>
      <c r="T185" s="1925"/>
      <c r="U185" s="1925"/>
      <c r="V185" s="192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1925"/>
      <c r="AV185" s="1925"/>
      <c r="AW185" s="1925"/>
      <c r="AX185" s="1925"/>
      <c r="AY185" s="1925"/>
      <c r="AZ185" s="1925"/>
      <c r="BA185" s="1925"/>
      <c r="BB185" s="1925"/>
      <c r="BC185" s="1925"/>
      <c r="BD185" s="1925"/>
      <c r="BE185" s="1925"/>
      <c r="BF185" s="1925"/>
    </row>
    <row r="186" spans="3:58" s="6" customFormat="1" ht="12.75">
      <c r="C186" s="1925"/>
      <c r="D186" s="1925"/>
      <c r="E186" s="1925"/>
      <c r="F186" s="1925"/>
      <c r="G186" s="1925"/>
      <c r="H186" s="1925"/>
      <c r="I186" s="1925"/>
      <c r="J186" s="1925"/>
      <c r="K186" s="1925"/>
      <c r="L186" s="55"/>
      <c r="M186" s="55"/>
      <c r="N186" s="55"/>
      <c r="O186" s="55"/>
      <c r="P186" s="1925"/>
      <c r="Q186" s="1925"/>
      <c r="R186" s="1925"/>
      <c r="S186" s="1925"/>
      <c r="T186" s="1925"/>
      <c r="U186" s="1925"/>
      <c r="V186" s="192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1925"/>
      <c r="AV186" s="1925"/>
      <c r="AW186" s="1925"/>
      <c r="AX186" s="1925"/>
      <c r="AY186" s="1925"/>
      <c r="AZ186" s="1925"/>
      <c r="BA186" s="1925"/>
      <c r="BB186" s="1925"/>
      <c r="BC186" s="1925"/>
      <c r="BD186" s="1925"/>
      <c r="BE186" s="1925"/>
      <c r="BF186" s="1925"/>
    </row>
    <row r="187" spans="3:58" s="6" customFormat="1" ht="12.75">
      <c r="C187" s="1925"/>
      <c r="D187" s="1925"/>
      <c r="E187" s="1925"/>
      <c r="F187" s="1925"/>
      <c r="G187" s="1925"/>
      <c r="H187" s="1925"/>
      <c r="I187" s="1925"/>
      <c r="J187" s="1925"/>
      <c r="K187" s="1925"/>
      <c r="L187" s="55"/>
      <c r="M187" s="55"/>
      <c r="N187" s="55"/>
      <c r="O187" s="55"/>
      <c r="P187" s="1925"/>
      <c r="Q187" s="1925"/>
      <c r="R187" s="1925"/>
      <c r="S187" s="1925"/>
      <c r="T187" s="1925"/>
      <c r="U187" s="1925"/>
      <c r="V187" s="192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1925"/>
      <c r="AV187" s="1925"/>
      <c r="AW187" s="1925"/>
      <c r="AX187" s="1925"/>
      <c r="AY187" s="1925"/>
      <c r="AZ187" s="1925"/>
      <c r="BA187" s="1925"/>
      <c r="BB187" s="1925"/>
      <c r="BC187" s="1925"/>
      <c r="BD187" s="1925"/>
      <c r="BE187" s="1925"/>
      <c r="BF187" s="1925"/>
    </row>
    <row r="188" spans="3:58" s="6" customFormat="1" ht="12.75">
      <c r="C188" s="1925"/>
      <c r="D188" s="1925"/>
      <c r="E188" s="1925"/>
      <c r="F188" s="1925"/>
      <c r="G188" s="1925"/>
      <c r="H188" s="1925"/>
      <c r="I188" s="1925"/>
      <c r="J188" s="1925"/>
      <c r="K188" s="1925"/>
      <c r="L188" s="55"/>
      <c r="M188" s="55"/>
      <c r="N188" s="55"/>
      <c r="O188" s="55"/>
      <c r="P188" s="1925"/>
      <c r="Q188" s="1925"/>
      <c r="R188" s="1925"/>
      <c r="S188" s="1925"/>
      <c r="T188" s="1925"/>
      <c r="U188" s="1925"/>
      <c r="V188" s="192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1925"/>
      <c r="AV188" s="1925"/>
      <c r="AW188" s="1925"/>
      <c r="AX188" s="1925"/>
      <c r="AY188" s="1925"/>
      <c r="AZ188" s="1925"/>
      <c r="BA188" s="1925"/>
      <c r="BB188" s="1925"/>
      <c r="BC188" s="1925"/>
      <c r="BD188" s="1925"/>
      <c r="BE188" s="1925"/>
      <c r="BF188" s="1925"/>
    </row>
    <row r="189" spans="3:58" s="6" customFormat="1" ht="12.75">
      <c r="C189" s="1925"/>
      <c r="D189" s="1925"/>
      <c r="E189" s="1925"/>
      <c r="F189" s="1925"/>
      <c r="G189" s="1925"/>
      <c r="H189" s="1925"/>
      <c r="I189" s="1925"/>
      <c r="J189" s="1925"/>
      <c r="K189" s="1925"/>
      <c r="L189" s="55"/>
      <c r="M189" s="55"/>
      <c r="N189" s="55"/>
      <c r="O189" s="55"/>
      <c r="P189" s="1925"/>
      <c r="Q189" s="1925"/>
      <c r="R189" s="1925"/>
      <c r="S189" s="1925"/>
      <c r="T189" s="1925"/>
      <c r="U189" s="1925"/>
      <c r="V189" s="192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1925"/>
      <c r="AV189" s="1925"/>
      <c r="AW189" s="1925"/>
      <c r="AX189" s="1925"/>
      <c r="AY189" s="1925"/>
      <c r="AZ189" s="1925"/>
      <c r="BA189" s="1925"/>
      <c r="BB189" s="1925"/>
      <c r="BC189" s="1925"/>
      <c r="BD189" s="1925"/>
      <c r="BE189" s="1925"/>
      <c r="BF189" s="1925"/>
    </row>
    <row r="190" spans="3:58" s="6" customFormat="1" ht="12.75">
      <c r="C190" s="1925"/>
      <c r="D190" s="1925"/>
      <c r="E190" s="1925"/>
      <c r="F190" s="1925"/>
      <c r="G190" s="1925"/>
      <c r="H190" s="1925"/>
      <c r="I190" s="1925"/>
      <c r="J190" s="1925"/>
      <c r="K190" s="1925"/>
      <c r="L190" s="55"/>
      <c r="M190" s="55"/>
      <c r="N190" s="55"/>
      <c r="O190" s="55"/>
      <c r="P190" s="1925"/>
      <c r="Q190" s="1925"/>
      <c r="R190" s="1925"/>
      <c r="S190" s="1925"/>
      <c r="T190" s="1925"/>
      <c r="U190" s="1925"/>
      <c r="V190" s="192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1925"/>
      <c r="AV190" s="1925"/>
      <c r="AW190" s="1925"/>
      <c r="AX190" s="1925"/>
      <c r="AY190" s="1925"/>
      <c r="AZ190" s="1925"/>
      <c r="BA190" s="1925"/>
      <c r="BB190" s="1925"/>
      <c r="BC190" s="1925"/>
      <c r="BD190" s="1925"/>
      <c r="BE190" s="1925"/>
      <c r="BF190" s="1925"/>
    </row>
    <row r="191" spans="3:58" s="6" customFormat="1" ht="12.75">
      <c r="C191" s="1925"/>
      <c r="D191" s="1925"/>
      <c r="E191" s="1925"/>
      <c r="F191" s="1925"/>
      <c r="G191" s="1925"/>
      <c r="H191" s="1925"/>
      <c r="I191" s="1925"/>
      <c r="J191" s="1925"/>
      <c r="K191" s="1925"/>
      <c r="L191" s="55"/>
      <c r="M191" s="55"/>
      <c r="N191" s="55"/>
      <c r="O191" s="55"/>
      <c r="P191" s="1925"/>
      <c r="Q191" s="1925"/>
      <c r="R191" s="1925"/>
      <c r="S191" s="1925"/>
      <c r="T191" s="1925"/>
      <c r="U191" s="1925"/>
      <c r="V191" s="192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1925"/>
      <c r="AV191" s="1925"/>
      <c r="AW191" s="1925"/>
      <c r="AX191" s="1925"/>
      <c r="AY191" s="1925"/>
      <c r="AZ191" s="1925"/>
      <c r="BA191" s="1925"/>
      <c r="BB191" s="1925"/>
      <c r="BC191" s="1925"/>
      <c r="BD191" s="1925"/>
      <c r="BE191" s="1925"/>
      <c r="BF191" s="1925"/>
    </row>
    <row r="192" spans="3:58" s="6" customFormat="1" ht="12.75">
      <c r="C192" s="1925"/>
      <c r="D192" s="1925"/>
      <c r="E192" s="1925"/>
      <c r="F192" s="1925"/>
      <c r="G192" s="1925"/>
      <c r="H192" s="1925"/>
      <c r="I192" s="1925"/>
      <c r="J192" s="1925"/>
      <c r="K192" s="1925"/>
      <c r="L192" s="55"/>
      <c r="M192" s="55"/>
      <c r="N192" s="55"/>
      <c r="O192" s="55"/>
      <c r="P192" s="1925"/>
      <c r="Q192" s="1925"/>
      <c r="R192" s="1925"/>
      <c r="S192" s="1925"/>
      <c r="T192" s="1925"/>
      <c r="U192" s="1925"/>
      <c r="V192" s="192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1925"/>
      <c r="AV192" s="1925"/>
      <c r="AW192" s="1925"/>
      <c r="AX192" s="1925"/>
      <c r="AY192" s="1925"/>
      <c r="AZ192" s="1925"/>
      <c r="BA192" s="1925"/>
      <c r="BB192" s="1925"/>
      <c r="BC192" s="1925"/>
      <c r="BD192" s="1925"/>
      <c r="BE192" s="1925"/>
      <c r="BF192" s="1925"/>
    </row>
    <row r="193" spans="3:58" s="6" customFormat="1" ht="12.75">
      <c r="C193" s="1925"/>
      <c r="D193" s="1925"/>
      <c r="E193" s="1925"/>
      <c r="F193" s="1925"/>
      <c r="G193" s="1925"/>
      <c r="H193" s="1925"/>
      <c r="I193" s="1925"/>
      <c r="J193" s="1925"/>
      <c r="K193" s="1925"/>
      <c r="L193" s="55"/>
      <c r="M193" s="55"/>
      <c r="N193" s="55"/>
      <c r="O193" s="55"/>
      <c r="P193" s="1925"/>
      <c r="Q193" s="1925"/>
      <c r="R193" s="1925"/>
      <c r="S193" s="1925"/>
      <c r="T193" s="1925"/>
      <c r="U193" s="1925"/>
      <c r="V193" s="192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1925"/>
      <c r="AV193" s="1925"/>
      <c r="AW193" s="1925"/>
      <c r="AX193" s="1925"/>
      <c r="AY193" s="1925"/>
      <c r="AZ193" s="1925"/>
      <c r="BA193" s="1925"/>
      <c r="BB193" s="1925"/>
      <c r="BC193" s="1925"/>
      <c r="BD193" s="1925"/>
      <c r="BE193" s="1925"/>
      <c r="BF193" s="1925"/>
    </row>
    <row r="194" spans="3:58" s="6" customFormat="1" ht="12.75">
      <c r="C194" s="1925"/>
      <c r="D194" s="1925"/>
      <c r="E194" s="1925"/>
      <c r="F194" s="1925"/>
      <c r="G194" s="1925"/>
      <c r="H194" s="1925"/>
      <c r="I194" s="1925"/>
      <c r="J194" s="1925"/>
      <c r="K194" s="1925"/>
      <c r="L194" s="55"/>
      <c r="M194" s="55"/>
      <c r="N194" s="55"/>
      <c r="O194" s="55"/>
      <c r="P194" s="1925"/>
      <c r="Q194" s="1925"/>
      <c r="R194" s="1925"/>
      <c r="S194" s="1925"/>
      <c r="T194" s="1925"/>
      <c r="U194" s="1925"/>
      <c r="V194" s="192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1925"/>
      <c r="AV194" s="1925"/>
      <c r="AW194" s="1925"/>
      <c r="AX194" s="1925"/>
      <c r="AY194" s="1925"/>
      <c r="AZ194" s="1925"/>
      <c r="BA194" s="1925"/>
      <c r="BB194" s="1925"/>
      <c r="BC194" s="1925"/>
      <c r="BD194" s="1925"/>
      <c r="BE194" s="1925"/>
      <c r="BF194" s="1925"/>
    </row>
    <row r="195" spans="3:58" s="6" customFormat="1" ht="12.75">
      <c r="C195" s="1925"/>
      <c r="D195" s="1925"/>
      <c r="E195" s="1925"/>
      <c r="F195" s="1925"/>
      <c r="G195" s="1925"/>
      <c r="H195" s="1925"/>
      <c r="I195" s="1925"/>
      <c r="J195" s="1925"/>
      <c r="K195" s="1925"/>
      <c r="L195" s="55"/>
      <c r="M195" s="55"/>
      <c r="N195" s="55"/>
      <c r="O195" s="55"/>
      <c r="P195" s="1925"/>
      <c r="Q195" s="1925"/>
      <c r="R195" s="1925"/>
      <c r="S195" s="1925"/>
      <c r="T195" s="1925"/>
      <c r="U195" s="1925"/>
      <c r="V195" s="192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1925"/>
      <c r="AV195" s="1925"/>
      <c r="AW195" s="1925"/>
      <c r="AX195" s="1925"/>
      <c r="AY195" s="1925"/>
      <c r="AZ195" s="1925"/>
      <c r="BA195" s="1925"/>
      <c r="BB195" s="1925"/>
      <c r="BC195" s="1925"/>
      <c r="BD195" s="1925"/>
      <c r="BE195" s="1925"/>
      <c r="BF195" s="1925"/>
    </row>
    <row r="196" spans="3:58" s="6" customFormat="1" ht="12.75">
      <c r="C196" s="1925"/>
      <c r="D196" s="1925"/>
      <c r="E196" s="1925"/>
      <c r="F196" s="1925"/>
      <c r="G196" s="1925"/>
      <c r="H196" s="1925"/>
      <c r="I196" s="1925"/>
      <c r="J196" s="1925"/>
      <c r="K196" s="1925"/>
      <c r="L196" s="55"/>
      <c r="M196" s="55"/>
      <c r="N196" s="55"/>
      <c r="O196" s="55"/>
      <c r="P196" s="1925"/>
      <c r="Q196" s="1925"/>
      <c r="R196" s="1925"/>
      <c r="S196" s="1925"/>
      <c r="T196" s="1925"/>
      <c r="U196" s="1925"/>
      <c r="V196" s="192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1925"/>
      <c r="AV196" s="1925"/>
      <c r="AW196" s="1925"/>
      <c r="AX196" s="1925"/>
      <c r="AY196" s="1925"/>
      <c r="AZ196" s="1925"/>
      <c r="BA196" s="1925"/>
      <c r="BB196" s="1925"/>
      <c r="BC196" s="1925"/>
      <c r="BD196" s="1925"/>
      <c r="BE196" s="1925"/>
      <c r="BF196" s="1925"/>
    </row>
    <row r="197" spans="3:58" s="6" customFormat="1" ht="12.75">
      <c r="C197" s="1925"/>
      <c r="D197" s="1925"/>
      <c r="E197" s="1925"/>
      <c r="F197" s="1925"/>
      <c r="G197" s="1925"/>
      <c r="H197" s="1925"/>
      <c r="I197" s="1925"/>
      <c r="J197" s="1925"/>
      <c r="K197" s="1925"/>
      <c r="L197" s="55"/>
      <c r="M197" s="55"/>
      <c r="N197" s="55"/>
      <c r="O197" s="55"/>
      <c r="P197" s="1925"/>
      <c r="Q197" s="1925"/>
      <c r="R197" s="1925"/>
      <c r="S197" s="1925"/>
      <c r="T197" s="1925"/>
      <c r="U197" s="1925"/>
      <c r="V197" s="192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1925"/>
      <c r="AV197" s="1925"/>
      <c r="AW197" s="1925"/>
      <c r="AX197" s="1925"/>
      <c r="AY197" s="1925"/>
      <c r="AZ197" s="1925"/>
      <c r="BA197" s="1925"/>
      <c r="BB197" s="1925"/>
      <c r="BC197" s="1925"/>
      <c r="BD197" s="1925"/>
      <c r="BE197" s="1925"/>
      <c r="BF197" s="1925"/>
    </row>
    <row r="198" spans="3:58" s="6" customFormat="1" ht="12.75">
      <c r="C198" s="1925"/>
      <c r="D198" s="1925"/>
      <c r="E198" s="1925"/>
      <c r="F198" s="1925"/>
      <c r="G198" s="1925"/>
      <c r="H198" s="1925"/>
      <c r="I198" s="1925"/>
      <c r="J198" s="1925"/>
      <c r="K198" s="1925"/>
      <c r="L198" s="55"/>
      <c r="M198" s="55"/>
      <c r="N198" s="55"/>
      <c r="O198" s="55"/>
      <c r="P198" s="1925"/>
      <c r="Q198" s="1925"/>
      <c r="R198" s="1925"/>
      <c r="S198" s="1925"/>
      <c r="T198" s="1925"/>
      <c r="U198" s="1925"/>
      <c r="V198" s="192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1925"/>
      <c r="AV198" s="1925"/>
      <c r="AW198" s="1925"/>
      <c r="AX198" s="1925"/>
      <c r="AY198" s="1925"/>
      <c r="AZ198" s="1925"/>
      <c r="BA198" s="1925"/>
      <c r="BB198" s="1925"/>
      <c r="BC198" s="1925"/>
      <c r="BD198" s="1925"/>
      <c r="BE198" s="1925"/>
      <c r="BF198" s="1925"/>
    </row>
    <row r="199" spans="3:58" s="6" customFormat="1" ht="12.75">
      <c r="C199" s="1925"/>
      <c r="D199" s="1925"/>
      <c r="E199" s="1925"/>
      <c r="F199" s="1925"/>
      <c r="G199" s="1925"/>
      <c r="H199" s="1925"/>
      <c r="I199" s="1925"/>
      <c r="J199" s="1925"/>
      <c r="K199" s="1925"/>
      <c r="L199" s="55"/>
      <c r="M199" s="55"/>
      <c r="N199" s="55"/>
      <c r="O199" s="55"/>
      <c r="P199" s="1925"/>
      <c r="Q199" s="1925"/>
      <c r="R199" s="1925"/>
      <c r="S199" s="1925"/>
      <c r="T199" s="1925"/>
      <c r="U199" s="1925"/>
      <c r="V199" s="192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1925"/>
      <c r="AV199" s="1925"/>
      <c r="AW199" s="1925"/>
      <c r="AX199" s="1925"/>
      <c r="AY199" s="1925"/>
      <c r="AZ199" s="1925"/>
      <c r="BA199" s="1925"/>
      <c r="BB199" s="1925"/>
      <c r="BC199" s="1925"/>
      <c r="BD199" s="1925"/>
      <c r="BE199" s="1925"/>
      <c r="BF199" s="1925"/>
    </row>
    <row r="200" spans="3:58" s="6" customFormat="1" ht="12.75">
      <c r="C200" s="1925"/>
      <c r="D200" s="1925"/>
      <c r="E200" s="1925"/>
      <c r="F200" s="1925"/>
      <c r="G200" s="1925"/>
      <c r="H200" s="1925"/>
      <c r="I200" s="1925"/>
      <c r="J200" s="1925"/>
      <c r="K200" s="1925"/>
      <c r="L200" s="55"/>
      <c r="M200" s="55"/>
      <c r="N200" s="55"/>
      <c r="O200" s="55"/>
      <c r="P200" s="1925"/>
      <c r="Q200" s="1925"/>
      <c r="R200" s="1925"/>
      <c r="S200" s="1925"/>
      <c r="T200" s="1925"/>
      <c r="U200" s="1925"/>
      <c r="V200" s="192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1925"/>
      <c r="AV200" s="1925"/>
      <c r="AW200" s="1925"/>
      <c r="AX200" s="1925"/>
      <c r="AY200" s="1925"/>
      <c r="AZ200" s="1925"/>
      <c r="BA200" s="1925"/>
      <c r="BB200" s="1925"/>
      <c r="BC200" s="1925"/>
      <c r="BD200" s="1925"/>
      <c r="BE200" s="1925"/>
      <c r="BF200" s="1925"/>
    </row>
    <row r="201" spans="3:58" s="6" customFormat="1" ht="12.75">
      <c r="C201" s="1925"/>
      <c r="D201" s="1925"/>
      <c r="E201" s="1925"/>
      <c r="F201" s="1925"/>
      <c r="G201" s="1925"/>
      <c r="H201" s="1925"/>
      <c r="I201" s="1925"/>
      <c r="J201" s="1925"/>
      <c r="K201" s="1925"/>
      <c r="L201" s="55"/>
      <c r="M201" s="55"/>
      <c r="N201" s="55"/>
      <c r="O201" s="55"/>
      <c r="P201" s="1925"/>
      <c r="Q201" s="1925"/>
      <c r="R201" s="1925"/>
      <c r="S201" s="1925"/>
      <c r="T201" s="1925"/>
      <c r="U201" s="1925"/>
      <c r="V201" s="192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1925"/>
      <c r="AV201" s="1925"/>
      <c r="AW201" s="1925"/>
      <c r="AX201" s="1925"/>
      <c r="AY201" s="1925"/>
      <c r="AZ201" s="1925"/>
      <c r="BA201" s="1925"/>
      <c r="BB201" s="1925"/>
      <c r="BC201" s="1925"/>
      <c r="BD201" s="1925"/>
      <c r="BE201" s="1925"/>
      <c r="BF201" s="1925"/>
    </row>
    <row r="202" spans="3:58" s="6" customFormat="1" ht="12.75">
      <c r="C202" s="1925"/>
      <c r="D202" s="1925"/>
      <c r="E202" s="1925"/>
      <c r="F202" s="1925"/>
      <c r="G202" s="1925"/>
      <c r="H202" s="1925"/>
      <c r="I202" s="1925"/>
      <c r="J202" s="1925"/>
      <c r="K202" s="1925"/>
      <c r="L202" s="55"/>
      <c r="M202" s="55"/>
      <c r="N202" s="55"/>
      <c r="O202" s="55"/>
      <c r="P202" s="1925"/>
      <c r="Q202" s="1925"/>
      <c r="R202" s="1925"/>
      <c r="S202" s="1925"/>
      <c r="T202" s="1925"/>
      <c r="U202" s="1925"/>
      <c r="V202" s="192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1925"/>
      <c r="AV202" s="1925"/>
      <c r="AW202" s="1925"/>
      <c r="AX202" s="1925"/>
      <c r="AY202" s="1925"/>
      <c r="AZ202" s="1925"/>
      <c r="BA202" s="1925"/>
      <c r="BB202" s="1925"/>
      <c r="BC202" s="1925"/>
      <c r="BD202" s="1925"/>
      <c r="BE202" s="1925"/>
      <c r="BF202" s="1925"/>
    </row>
    <row r="203" spans="3:58" s="6" customFormat="1" ht="12.75">
      <c r="C203" s="1925"/>
      <c r="D203" s="1925"/>
      <c r="E203" s="1925"/>
      <c r="F203" s="1925"/>
      <c r="G203" s="1925"/>
      <c r="H203" s="1925"/>
      <c r="I203" s="1925"/>
      <c r="J203" s="1925"/>
      <c r="K203" s="1925"/>
      <c r="L203" s="55"/>
      <c r="M203" s="55"/>
      <c r="N203" s="55"/>
      <c r="O203" s="55"/>
      <c r="P203" s="1925"/>
      <c r="Q203" s="1925"/>
      <c r="R203" s="1925"/>
      <c r="S203" s="1925"/>
      <c r="T203" s="1925"/>
      <c r="U203" s="1925"/>
      <c r="V203" s="192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1925"/>
      <c r="AV203" s="1925"/>
      <c r="AW203" s="1925"/>
      <c r="AX203" s="1925"/>
      <c r="AY203" s="1925"/>
      <c r="AZ203" s="1925"/>
      <c r="BA203" s="1925"/>
      <c r="BB203" s="1925"/>
      <c r="BC203" s="1925"/>
      <c r="BD203" s="1925"/>
      <c r="BE203" s="1925"/>
      <c r="BF203" s="1925"/>
    </row>
    <row r="204" spans="3:58" s="6" customFormat="1" ht="12.75">
      <c r="C204" s="1925"/>
      <c r="D204" s="1925"/>
      <c r="E204" s="1925"/>
      <c r="F204" s="1925"/>
      <c r="G204" s="1925"/>
      <c r="H204" s="1925"/>
      <c r="I204" s="1925"/>
      <c r="J204" s="1925"/>
      <c r="K204" s="1925"/>
      <c r="L204" s="55"/>
      <c r="M204" s="55"/>
      <c r="N204" s="55"/>
      <c r="O204" s="55"/>
      <c r="P204" s="1925"/>
      <c r="Q204" s="1925"/>
      <c r="R204" s="1925"/>
      <c r="S204" s="1925"/>
      <c r="T204" s="1925"/>
      <c r="U204" s="1925"/>
      <c r="V204" s="192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1925"/>
      <c r="AV204" s="1925"/>
      <c r="AW204" s="1925"/>
      <c r="AX204" s="1925"/>
      <c r="AY204" s="1925"/>
      <c r="AZ204" s="1925"/>
      <c r="BA204" s="1925"/>
      <c r="BB204" s="1925"/>
      <c r="BC204" s="1925"/>
      <c r="BD204" s="1925"/>
      <c r="BE204" s="1925"/>
      <c r="BF204" s="1925"/>
    </row>
    <row r="205" spans="3:58" s="6" customFormat="1" ht="12.75">
      <c r="C205" s="1925"/>
      <c r="D205" s="1925"/>
      <c r="E205" s="1925"/>
      <c r="F205" s="1925"/>
      <c r="G205" s="1925"/>
      <c r="H205" s="1925"/>
      <c r="I205" s="1925"/>
      <c r="J205" s="1925"/>
      <c r="K205" s="1925"/>
      <c r="L205" s="55"/>
      <c r="M205" s="55"/>
      <c r="N205" s="55"/>
      <c r="O205" s="55"/>
      <c r="P205" s="1925"/>
      <c r="Q205" s="1925"/>
      <c r="R205" s="1925"/>
      <c r="S205" s="1925"/>
      <c r="T205" s="1925"/>
      <c r="U205" s="1925"/>
      <c r="V205" s="192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1925"/>
      <c r="AV205" s="1925"/>
      <c r="AW205" s="1925"/>
      <c r="AX205" s="1925"/>
      <c r="AY205" s="1925"/>
      <c r="AZ205" s="1925"/>
      <c r="BA205" s="1925"/>
      <c r="BB205" s="1925"/>
      <c r="BC205" s="1925"/>
      <c r="BD205" s="1925"/>
      <c r="BE205" s="1925"/>
      <c r="BF205" s="1925"/>
    </row>
    <row r="206" spans="3:58" s="6" customFormat="1" ht="12.75">
      <c r="C206" s="1925"/>
      <c r="D206" s="1925"/>
      <c r="E206" s="1925"/>
      <c r="F206" s="1925"/>
      <c r="G206" s="1925"/>
      <c r="H206" s="1925"/>
      <c r="I206" s="1925"/>
      <c r="J206" s="1925"/>
      <c r="K206" s="1925"/>
      <c r="L206" s="55"/>
      <c r="M206" s="55"/>
      <c r="N206" s="55"/>
      <c r="O206" s="55"/>
      <c r="P206" s="1925"/>
      <c r="Q206" s="1925"/>
      <c r="R206" s="1925"/>
      <c r="S206" s="1925"/>
      <c r="T206" s="1925"/>
      <c r="U206" s="1925"/>
      <c r="V206" s="192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1925"/>
      <c r="AV206" s="1925"/>
      <c r="AW206" s="1925"/>
      <c r="AX206" s="1925"/>
      <c r="AY206" s="1925"/>
      <c r="AZ206" s="1925"/>
      <c r="BA206" s="1925"/>
      <c r="BB206" s="1925"/>
      <c r="BC206" s="1925"/>
      <c r="BD206" s="1925"/>
      <c r="BE206" s="1925"/>
      <c r="BF206" s="1925"/>
    </row>
    <row r="207" spans="3:58" s="6" customFormat="1" ht="12.75">
      <c r="C207" s="1925"/>
      <c r="D207" s="1925"/>
      <c r="E207" s="1925"/>
      <c r="F207" s="1925"/>
      <c r="G207" s="1925"/>
      <c r="H207" s="1925"/>
      <c r="I207" s="1925"/>
      <c r="J207" s="1925"/>
      <c r="K207" s="1925"/>
      <c r="L207" s="55"/>
      <c r="M207" s="55"/>
      <c r="N207" s="55"/>
      <c r="O207" s="55"/>
      <c r="P207" s="1925"/>
      <c r="Q207" s="1925"/>
      <c r="R207" s="1925"/>
      <c r="S207" s="1925"/>
      <c r="T207" s="1925"/>
      <c r="U207" s="1925"/>
      <c r="V207" s="192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1925"/>
      <c r="AV207" s="1925"/>
      <c r="AW207" s="1925"/>
      <c r="AX207" s="1925"/>
      <c r="AY207" s="1925"/>
      <c r="AZ207" s="1925"/>
      <c r="BA207" s="1925"/>
      <c r="BB207" s="1925"/>
      <c r="BC207" s="1925"/>
      <c r="BD207" s="1925"/>
      <c r="BE207" s="1925"/>
      <c r="BF207" s="1925"/>
    </row>
    <row r="208" spans="3:58" s="6" customFormat="1" ht="12.75">
      <c r="C208" s="1925"/>
      <c r="D208" s="1925"/>
      <c r="E208" s="1925"/>
      <c r="F208" s="1925"/>
      <c r="G208" s="1925"/>
      <c r="H208" s="1925"/>
      <c r="I208" s="1925"/>
      <c r="J208" s="1925"/>
      <c r="K208" s="1925"/>
      <c r="L208" s="55"/>
      <c r="M208" s="55"/>
      <c r="N208" s="55"/>
      <c r="O208" s="55"/>
      <c r="P208" s="1925"/>
      <c r="Q208" s="1925"/>
      <c r="R208" s="1925"/>
      <c r="S208" s="1925"/>
      <c r="T208" s="1925"/>
      <c r="U208" s="1925"/>
      <c r="V208" s="192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1925"/>
      <c r="AV208" s="1925"/>
      <c r="AW208" s="1925"/>
      <c r="AX208" s="1925"/>
      <c r="AY208" s="1925"/>
      <c r="AZ208" s="1925"/>
      <c r="BA208" s="1925"/>
      <c r="BB208" s="1925"/>
      <c r="BC208" s="1925"/>
      <c r="BD208" s="1925"/>
      <c r="BE208" s="1925"/>
      <c r="BF208" s="1925"/>
    </row>
    <row r="209" spans="3:58" s="6" customFormat="1" ht="12.75">
      <c r="C209" s="1925"/>
      <c r="D209" s="1925"/>
      <c r="E209" s="1925"/>
      <c r="F209" s="1925"/>
      <c r="G209" s="1925"/>
      <c r="H209" s="1925"/>
      <c r="I209" s="1925"/>
      <c r="J209" s="1925"/>
      <c r="K209" s="1925"/>
      <c r="L209" s="55"/>
      <c r="M209" s="55"/>
      <c r="N209" s="55"/>
      <c r="O209" s="55"/>
      <c r="P209" s="1925"/>
      <c r="Q209" s="1925"/>
      <c r="R209" s="1925"/>
      <c r="S209" s="1925"/>
      <c r="T209" s="1925"/>
      <c r="U209" s="1925"/>
      <c r="V209" s="192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1925"/>
      <c r="AV209" s="1925"/>
      <c r="AW209" s="1925"/>
      <c r="AX209" s="1925"/>
      <c r="AY209" s="1925"/>
      <c r="AZ209" s="1925"/>
      <c r="BA209" s="1925"/>
      <c r="BB209" s="1925"/>
      <c r="BC209" s="1925"/>
      <c r="BD209" s="1925"/>
      <c r="BE209" s="1925"/>
      <c r="BF209" s="1925"/>
    </row>
    <row r="210" spans="3:58" s="6" customFormat="1" ht="12.75">
      <c r="C210" s="1925"/>
      <c r="D210" s="1925"/>
      <c r="E210" s="1925"/>
      <c r="F210" s="1925"/>
      <c r="G210" s="1925"/>
      <c r="H210" s="1925"/>
      <c r="I210" s="1925"/>
      <c r="J210" s="1925"/>
      <c r="K210" s="1925"/>
      <c r="L210" s="55"/>
      <c r="M210" s="55"/>
      <c r="N210" s="55"/>
      <c r="O210" s="55"/>
      <c r="P210" s="1925"/>
      <c r="Q210" s="1925"/>
      <c r="R210" s="1925"/>
      <c r="S210" s="1925"/>
      <c r="T210" s="1925"/>
      <c r="U210" s="1925"/>
      <c r="V210" s="192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1925"/>
      <c r="AV210" s="1925"/>
      <c r="AW210" s="1925"/>
      <c r="AX210" s="1925"/>
      <c r="AY210" s="1925"/>
      <c r="AZ210" s="1925"/>
      <c r="BA210" s="1925"/>
      <c r="BB210" s="1925"/>
      <c r="BC210" s="1925"/>
      <c r="BD210" s="1925"/>
      <c r="BE210" s="1925"/>
      <c r="BF210" s="1925"/>
    </row>
    <row r="211" spans="3:58" s="6" customFormat="1" ht="12.75">
      <c r="C211" s="1925"/>
      <c r="D211" s="1925"/>
      <c r="E211" s="1925"/>
      <c r="F211" s="1925"/>
      <c r="G211" s="1925"/>
      <c r="H211" s="1925"/>
      <c r="I211" s="1925"/>
      <c r="J211" s="1925"/>
      <c r="K211" s="1925"/>
      <c r="L211" s="55"/>
      <c r="M211" s="55"/>
      <c r="N211" s="55"/>
      <c r="O211" s="55"/>
      <c r="P211" s="1925"/>
      <c r="Q211" s="1925"/>
      <c r="R211" s="1925"/>
      <c r="S211" s="1925"/>
      <c r="T211" s="1925"/>
      <c r="U211" s="1925"/>
      <c r="V211" s="192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1925"/>
      <c r="AV211" s="1925"/>
      <c r="AW211" s="1925"/>
      <c r="AX211" s="1925"/>
      <c r="AY211" s="1925"/>
      <c r="AZ211" s="1925"/>
      <c r="BA211" s="1925"/>
      <c r="BB211" s="1925"/>
      <c r="BC211" s="1925"/>
      <c r="BD211" s="1925"/>
      <c r="BE211" s="1925"/>
      <c r="BF211" s="1925"/>
    </row>
    <row r="212" spans="3:58" s="6" customFormat="1" ht="12.75">
      <c r="C212" s="1925"/>
      <c r="D212" s="1925"/>
      <c r="E212" s="1925"/>
      <c r="F212" s="1925"/>
      <c r="G212" s="1925"/>
      <c r="H212" s="1925"/>
      <c r="I212" s="1925"/>
      <c r="J212" s="1925"/>
      <c r="K212" s="1925"/>
      <c r="L212" s="55"/>
      <c r="M212" s="55"/>
      <c r="N212" s="55"/>
      <c r="O212" s="55"/>
      <c r="P212" s="1925"/>
      <c r="Q212" s="1925"/>
      <c r="R212" s="1925"/>
      <c r="S212" s="1925"/>
      <c r="T212" s="1925"/>
      <c r="U212" s="1925"/>
      <c r="V212" s="192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1925"/>
      <c r="AV212" s="1925"/>
      <c r="AW212" s="1925"/>
      <c r="AX212" s="1925"/>
      <c r="AY212" s="1925"/>
      <c r="AZ212" s="1925"/>
      <c r="BA212" s="1925"/>
      <c r="BB212" s="1925"/>
      <c r="BC212" s="1925"/>
      <c r="BD212" s="1925"/>
      <c r="BE212" s="1925"/>
      <c r="BF212" s="1925"/>
    </row>
    <row r="213" spans="3:58" s="6" customFormat="1" ht="12.75">
      <c r="C213" s="1925"/>
      <c r="D213" s="1925"/>
      <c r="E213" s="1925"/>
      <c r="F213" s="1925"/>
      <c r="G213" s="1925"/>
      <c r="H213" s="1925"/>
      <c r="I213" s="1925"/>
      <c r="J213" s="1925"/>
      <c r="K213" s="1925"/>
      <c r="L213" s="55"/>
      <c r="M213" s="55"/>
      <c r="N213" s="55"/>
      <c r="O213" s="55"/>
      <c r="P213" s="1925"/>
      <c r="Q213" s="1925"/>
      <c r="R213" s="1925"/>
      <c r="S213" s="1925"/>
      <c r="T213" s="1925"/>
      <c r="U213" s="1925"/>
      <c r="V213" s="192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1925"/>
      <c r="AV213" s="1925"/>
      <c r="AW213" s="1925"/>
      <c r="AX213" s="1925"/>
      <c r="AY213" s="1925"/>
      <c r="AZ213" s="1925"/>
      <c r="BA213" s="1925"/>
      <c r="BB213" s="1925"/>
      <c r="BC213" s="1925"/>
      <c r="BD213" s="1925"/>
      <c r="BE213" s="1925"/>
      <c r="BF213" s="1925"/>
    </row>
    <row r="214" spans="3:58" s="6" customFormat="1" ht="12.75">
      <c r="C214" s="1925"/>
      <c r="D214" s="1925"/>
      <c r="E214" s="1925"/>
      <c r="F214" s="1925"/>
      <c r="G214" s="1925"/>
      <c r="H214" s="1925"/>
      <c r="I214" s="1925"/>
      <c r="J214" s="1925"/>
      <c r="K214" s="1925"/>
      <c r="L214" s="55"/>
      <c r="M214" s="55"/>
      <c r="N214" s="55"/>
      <c r="O214" s="55"/>
      <c r="P214" s="1925"/>
      <c r="Q214" s="1925"/>
      <c r="R214" s="1925"/>
      <c r="S214" s="1925"/>
      <c r="T214" s="1925"/>
      <c r="U214" s="1925"/>
      <c r="V214" s="192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1925"/>
      <c r="AV214" s="1925"/>
      <c r="AW214" s="1925"/>
      <c r="AX214" s="1925"/>
      <c r="AY214" s="1925"/>
      <c r="AZ214" s="1925"/>
      <c r="BA214" s="1925"/>
      <c r="BB214" s="1925"/>
      <c r="BC214" s="1925"/>
      <c r="BD214" s="1925"/>
      <c r="BE214" s="1925"/>
      <c r="BF214" s="1925"/>
    </row>
    <row r="215" spans="3:58" s="6" customFormat="1" ht="12.75">
      <c r="C215" s="1925"/>
      <c r="D215" s="1925"/>
      <c r="E215" s="1925"/>
      <c r="F215" s="1925"/>
      <c r="G215" s="1925"/>
      <c r="H215" s="1925"/>
      <c r="I215" s="1925"/>
      <c r="J215" s="1925"/>
      <c r="K215" s="1925"/>
      <c r="L215" s="55"/>
      <c r="M215" s="55"/>
      <c r="N215" s="55"/>
      <c r="O215" s="55"/>
      <c r="P215" s="1925"/>
      <c r="Q215" s="1925"/>
      <c r="R215" s="1925"/>
      <c r="S215" s="1925"/>
      <c r="T215" s="1925"/>
      <c r="U215" s="1925"/>
      <c r="V215" s="192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1925"/>
      <c r="AV215" s="1925"/>
      <c r="AW215" s="1925"/>
      <c r="AX215" s="1925"/>
      <c r="AY215" s="1925"/>
      <c r="AZ215" s="1925"/>
      <c r="BA215" s="1925"/>
      <c r="BB215" s="1925"/>
      <c r="BC215" s="1925"/>
      <c r="BD215" s="1925"/>
      <c r="BE215" s="1925"/>
      <c r="BF215" s="1925"/>
    </row>
    <row r="216" spans="3:58" s="6" customFormat="1" ht="12.75">
      <c r="C216" s="1925"/>
      <c r="D216" s="1925"/>
      <c r="E216" s="1925"/>
      <c r="F216" s="1925"/>
      <c r="G216" s="1925"/>
      <c r="H216" s="1925"/>
      <c r="I216" s="1925"/>
      <c r="J216" s="1925"/>
      <c r="K216" s="1925"/>
      <c r="L216" s="55"/>
      <c r="M216" s="55"/>
      <c r="N216" s="55"/>
      <c r="O216" s="55"/>
      <c r="P216" s="1925"/>
      <c r="Q216" s="1925"/>
      <c r="R216" s="1925"/>
      <c r="S216" s="1925"/>
      <c r="T216" s="1925"/>
      <c r="U216" s="1925"/>
      <c r="V216" s="192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1925"/>
      <c r="AV216" s="1925"/>
      <c r="AW216" s="1925"/>
      <c r="AX216" s="1925"/>
      <c r="AY216" s="1925"/>
      <c r="AZ216" s="1925"/>
      <c r="BA216" s="1925"/>
      <c r="BB216" s="1925"/>
      <c r="BC216" s="1925"/>
      <c r="BD216" s="1925"/>
      <c r="BE216" s="1925"/>
      <c r="BF216" s="1925"/>
    </row>
    <row r="217" spans="3:58" s="6" customFormat="1" ht="12.75">
      <c r="C217" s="1925"/>
      <c r="D217" s="1925"/>
      <c r="E217" s="1925"/>
      <c r="F217" s="1925"/>
      <c r="G217" s="1925"/>
      <c r="H217" s="1925"/>
      <c r="I217" s="1925"/>
      <c r="J217" s="1925"/>
      <c r="K217" s="1925"/>
      <c r="L217" s="55"/>
      <c r="M217" s="55"/>
      <c r="N217" s="55"/>
      <c r="O217" s="55"/>
      <c r="P217" s="1925"/>
      <c r="Q217" s="1925"/>
      <c r="R217" s="1925"/>
      <c r="S217" s="1925"/>
      <c r="T217" s="1925"/>
      <c r="U217" s="1925"/>
      <c r="V217" s="192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1925"/>
      <c r="AV217" s="1925"/>
      <c r="AW217" s="1925"/>
      <c r="AX217" s="1925"/>
      <c r="AY217" s="1925"/>
      <c r="AZ217" s="1925"/>
      <c r="BA217" s="1925"/>
      <c r="BB217" s="1925"/>
      <c r="BC217" s="1925"/>
      <c r="BD217" s="1925"/>
      <c r="BE217" s="1925"/>
      <c r="BF217" s="1925"/>
    </row>
    <row r="218" spans="3:58" s="6" customFormat="1" ht="12.75">
      <c r="C218" s="1925"/>
      <c r="D218" s="1925"/>
      <c r="E218" s="1925"/>
      <c r="F218" s="1925"/>
      <c r="G218" s="1925"/>
      <c r="H218" s="1925"/>
      <c r="I218" s="1925"/>
      <c r="J218" s="1925"/>
      <c r="K218" s="1925"/>
      <c r="L218" s="55"/>
      <c r="M218" s="55"/>
      <c r="N218" s="55"/>
      <c r="O218" s="55"/>
      <c r="P218" s="1925"/>
      <c r="Q218" s="1925"/>
      <c r="R218" s="1925"/>
      <c r="S218" s="1925"/>
      <c r="T218" s="1925"/>
      <c r="U218" s="1925"/>
      <c r="V218" s="192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1925"/>
      <c r="AV218" s="1925"/>
      <c r="AW218" s="1925"/>
      <c r="AX218" s="1925"/>
      <c r="AY218" s="1925"/>
      <c r="AZ218" s="1925"/>
      <c r="BA218" s="1925"/>
      <c r="BB218" s="1925"/>
      <c r="BC218" s="1925"/>
      <c r="BD218" s="1925"/>
      <c r="BE218" s="1925"/>
      <c r="BF218" s="1925"/>
    </row>
    <row r="219" spans="3:58" s="6" customFormat="1" ht="12.75">
      <c r="C219" s="1925"/>
      <c r="D219" s="1925"/>
      <c r="E219" s="1925"/>
      <c r="F219" s="1925"/>
      <c r="G219" s="1925"/>
      <c r="H219" s="1925"/>
      <c r="I219" s="1925"/>
      <c r="J219" s="1925"/>
      <c r="K219" s="1925"/>
      <c r="L219" s="55"/>
      <c r="M219" s="55"/>
      <c r="N219" s="55"/>
      <c r="O219" s="55"/>
      <c r="P219" s="1925"/>
      <c r="Q219" s="1925"/>
      <c r="R219" s="1925"/>
      <c r="S219" s="1925"/>
      <c r="T219" s="1925"/>
      <c r="U219" s="1925"/>
      <c r="V219" s="192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1925"/>
      <c r="AV219" s="1925"/>
      <c r="AW219" s="1925"/>
      <c r="AX219" s="1925"/>
      <c r="AY219" s="1925"/>
      <c r="AZ219" s="1925"/>
      <c r="BA219" s="1925"/>
      <c r="BB219" s="1925"/>
      <c r="BC219" s="1925"/>
      <c r="BD219" s="1925"/>
      <c r="BE219" s="1925"/>
      <c r="BF219" s="1925"/>
    </row>
    <row r="220" spans="3:58" s="6" customFormat="1" ht="12.75">
      <c r="C220" s="1925"/>
      <c r="D220" s="1925"/>
      <c r="E220" s="1925"/>
      <c r="F220" s="1925"/>
      <c r="G220" s="1925"/>
      <c r="H220" s="1925"/>
      <c r="I220" s="1925"/>
      <c r="J220" s="1925"/>
      <c r="K220" s="1925"/>
      <c r="L220" s="55"/>
      <c r="M220" s="55"/>
      <c r="N220" s="55"/>
      <c r="O220" s="55"/>
      <c r="P220" s="1925"/>
      <c r="Q220" s="1925"/>
      <c r="R220" s="1925"/>
      <c r="S220" s="1925"/>
      <c r="T220" s="1925"/>
      <c r="U220" s="1925"/>
      <c r="V220" s="192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1925"/>
      <c r="AV220" s="1925"/>
      <c r="AW220" s="1925"/>
      <c r="AX220" s="1925"/>
      <c r="AY220" s="1925"/>
      <c r="AZ220" s="1925"/>
      <c r="BA220" s="1925"/>
      <c r="BB220" s="1925"/>
      <c r="BC220" s="1925"/>
      <c r="BD220" s="1925"/>
      <c r="BE220" s="1925"/>
      <c r="BF220" s="1925"/>
    </row>
    <row r="221" spans="3:58" s="6" customFormat="1" ht="12.75">
      <c r="C221" s="1925"/>
      <c r="D221" s="1925"/>
      <c r="E221" s="1925"/>
      <c r="F221" s="1925"/>
      <c r="G221" s="1925"/>
      <c r="H221" s="1925"/>
      <c r="I221" s="1925"/>
      <c r="J221" s="1925"/>
      <c r="K221" s="1925"/>
      <c r="L221" s="55"/>
      <c r="M221" s="55"/>
      <c r="N221" s="55"/>
      <c r="O221" s="55"/>
      <c r="P221" s="1925"/>
      <c r="Q221" s="1925"/>
      <c r="R221" s="1925"/>
      <c r="S221" s="1925"/>
      <c r="T221" s="1925"/>
      <c r="U221" s="1925"/>
      <c r="V221" s="192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1925"/>
      <c r="AV221" s="1925"/>
      <c r="AW221" s="1925"/>
      <c r="AX221" s="1925"/>
      <c r="AY221" s="1925"/>
      <c r="AZ221" s="1925"/>
      <c r="BA221" s="1925"/>
      <c r="BB221" s="1925"/>
      <c r="BC221" s="1925"/>
      <c r="BD221" s="1925"/>
      <c r="BE221" s="1925"/>
      <c r="BF221" s="1925"/>
    </row>
    <row r="222" spans="3:58" s="6" customFormat="1" ht="12.75">
      <c r="C222" s="1925"/>
      <c r="D222" s="1925"/>
      <c r="E222" s="1925"/>
      <c r="F222" s="1925"/>
      <c r="G222" s="1925"/>
      <c r="H222" s="1925"/>
      <c r="I222" s="1925"/>
      <c r="J222" s="1925"/>
      <c r="K222" s="1925"/>
      <c r="L222" s="55"/>
      <c r="M222" s="55"/>
      <c r="N222" s="55"/>
      <c r="O222" s="55"/>
      <c r="P222" s="1925"/>
      <c r="Q222" s="1925"/>
      <c r="R222" s="1925"/>
      <c r="S222" s="1925"/>
      <c r="T222" s="1925"/>
      <c r="U222" s="1925"/>
      <c r="V222" s="192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1925"/>
      <c r="AV222" s="1925"/>
      <c r="AW222" s="1925"/>
      <c r="AX222" s="1925"/>
      <c r="AY222" s="1925"/>
      <c r="AZ222" s="1925"/>
      <c r="BA222" s="1925"/>
      <c r="BB222" s="1925"/>
      <c r="BC222" s="1925"/>
      <c r="BD222" s="1925"/>
      <c r="BE222" s="1925"/>
      <c r="BF222" s="1925"/>
    </row>
    <row r="223" spans="3:58" s="6" customFormat="1" ht="12.75">
      <c r="C223" s="1925"/>
      <c r="D223" s="1925"/>
      <c r="E223" s="1925"/>
      <c r="F223" s="1925"/>
      <c r="G223" s="1925"/>
      <c r="H223" s="1925"/>
      <c r="I223" s="1925"/>
      <c r="J223" s="1925"/>
      <c r="K223" s="1925"/>
      <c r="L223" s="55"/>
      <c r="M223" s="55"/>
      <c r="N223" s="55"/>
      <c r="O223" s="55"/>
      <c r="P223" s="1925"/>
      <c r="Q223" s="1925"/>
      <c r="R223" s="1925"/>
      <c r="S223" s="1925"/>
      <c r="T223" s="1925"/>
      <c r="U223" s="1925"/>
      <c r="V223" s="192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1925"/>
      <c r="AV223" s="1925"/>
      <c r="AW223" s="1925"/>
      <c r="AX223" s="1925"/>
      <c r="AY223" s="1925"/>
      <c r="AZ223" s="1925"/>
      <c r="BA223" s="1925"/>
      <c r="BB223" s="1925"/>
      <c r="BC223" s="1925"/>
      <c r="BD223" s="1925"/>
      <c r="BE223" s="1925"/>
      <c r="BF223" s="1925"/>
    </row>
    <row r="224" spans="3:58" s="6" customFormat="1" ht="12.75">
      <c r="C224" s="1925"/>
      <c r="D224" s="1925"/>
      <c r="E224" s="1925"/>
      <c r="F224" s="1925"/>
      <c r="G224" s="1925"/>
      <c r="H224" s="1925"/>
      <c r="I224" s="1925"/>
      <c r="J224" s="1925"/>
      <c r="K224" s="1925"/>
      <c r="L224" s="55"/>
      <c r="M224" s="55"/>
      <c r="N224" s="55"/>
      <c r="O224" s="55"/>
      <c r="P224" s="1925"/>
      <c r="Q224" s="1925"/>
      <c r="R224" s="1925"/>
      <c r="S224" s="1925"/>
      <c r="T224" s="1925"/>
      <c r="U224" s="1925"/>
      <c r="V224" s="192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1925"/>
      <c r="AV224" s="1925"/>
      <c r="AW224" s="1925"/>
      <c r="AX224" s="1925"/>
      <c r="AY224" s="1925"/>
      <c r="AZ224" s="1925"/>
      <c r="BA224" s="1925"/>
      <c r="BB224" s="1925"/>
      <c r="BC224" s="1925"/>
      <c r="BD224" s="1925"/>
      <c r="BE224" s="1925"/>
      <c r="BF224" s="1925"/>
    </row>
    <row r="225" spans="3:58" s="6" customFormat="1" ht="12.75">
      <c r="C225" s="1925"/>
      <c r="D225" s="1925"/>
      <c r="E225" s="1925"/>
      <c r="F225" s="1925"/>
      <c r="G225" s="1925"/>
      <c r="H225" s="1925"/>
      <c r="I225" s="1925"/>
      <c r="J225" s="1925"/>
      <c r="K225" s="1925"/>
      <c r="L225" s="55"/>
      <c r="M225" s="55"/>
      <c r="N225" s="55"/>
      <c r="O225" s="55"/>
      <c r="P225" s="1925"/>
      <c r="Q225" s="1925"/>
      <c r="R225" s="1925"/>
      <c r="S225" s="1925"/>
      <c r="T225" s="1925"/>
      <c r="U225" s="1925"/>
      <c r="V225" s="192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1925"/>
      <c r="AV225" s="1925"/>
      <c r="AW225" s="1925"/>
      <c r="AX225" s="1925"/>
      <c r="AY225" s="1925"/>
      <c r="AZ225" s="1925"/>
      <c r="BA225" s="1925"/>
      <c r="BB225" s="1925"/>
      <c r="BC225" s="1925"/>
      <c r="BD225" s="1925"/>
      <c r="BE225" s="1925"/>
      <c r="BF225" s="1925"/>
    </row>
    <row r="226" spans="3:58" s="6" customFormat="1" ht="12.75">
      <c r="C226" s="1925"/>
      <c r="D226" s="1925"/>
      <c r="E226" s="1925"/>
      <c r="F226" s="1925"/>
      <c r="G226" s="1925"/>
      <c r="H226" s="1925"/>
      <c r="I226" s="1925"/>
      <c r="J226" s="1925"/>
      <c r="K226" s="1925"/>
      <c r="L226" s="55"/>
      <c r="M226" s="55"/>
      <c r="N226" s="55"/>
      <c r="O226" s="55"/>
      <c r="P226" s="1925"/>
      <c r="Q226" s="1925"/>
      <c r="R226" s="1925"/>
      <c r="S226" s="1925"/>
      <c r="T226" s="1925"/>
      <c r="U226" s="1925"/>
      <c r="V226" s="192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1925"/>
      <c r="AV226" s="1925"/>
      <c r="AW226" s="1925"/>
      <c r="AX226" s="1925"/>
      <c r="AY226" s="1925"/>
      <c r="AZ226" s="1925"/>
      <c r="BA226" s="1925"/>
      <c r="BB226" s="1925"/>
      <c r="BC226" s="1925"/>
      <c r="BD226" s="1925"/>
      <c r="BE226" s="1925"/>
      <c r="BF226" s="1925"/>
    </row>
    <row r="227" spans="3:58" s="6" customFormat="1" ht="12.75">
      <c r="C227" s="1925"/>
      <c r="D227" s="1925"/>
      <c r="E227" s="1925"/>
      <c r="F227" s="1925"/>
      <c r="G227" s="1925"/>
      <c r="H227" s="1925"/>
      <c r="I227" s="1925"/>
      <c r="J227" s="1925"/>
      <c r="K227" s="1925"/>
      <c r="L227" s="55"/>
      <c r="M227" s="55"/>
      <c r="N227" s="55"/>
      <c r="O227" s="55"/>
      <c r="P227" s="1925"/>
      <c r="Q227" s="1925"/>
      <c r="R227" s="1925"/>
      <c r="S227" s="1925"/>
      <c r="T227" s="1925"/>
      <c r="U227" s="1925"/>
      <c r="V227" s="192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1925"/>
      <c r="AV227" s="1925"/>
      <c r="AW227" s="1925"/>
      <c r="AX227" s="1925"/>
      <c r="AY227" s="1925"/>
      <c r="AZ227" s="1925"/>
      <c r="BA227" s="1925"/>
      <c r="BB227" s="1925"/>
      <c r="BC227" s="1925"/>
      <c r="BD227" s="1925"/>
      <c r="BE227" s="1925"/>
      <c r="BF227" s="1925"/>
    </row>
    <row r="228" spans="3:58" s="6" customFormat="1" ht="12.75">
      <c r="C228" s="1925"/>
      <c r="D228" s="1925"/>
      <c r="E228" s="1925"/>
      <c r="F228" s="1925"/>
      <c r="G228" s="1925"/>
      <c r="H228" s="1925"/>
      <c r="I228" s="1925"/>
      <c r="J228" s="1925"/>
      <c r="K228" s="1925"/>
      <c r="L228" s="55"/>
      <c r="M228" s="55"/>
      <c r="N228" s="55"/>
      <c r="O228" s="55"/>
      <c r="P228" s="1925"/>
      <c r="Q228" s="1925"/>
      <c r="R228" s="1925"/>
      <c r="S228" s="1925"/>
      <c r="T228" s="1925"/>
      <c r="U228" s="1925"/>
      <c r="V228" s="192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1925"/>
      <c r="AV228" s="1925"/>
      <c r="AW228" s="1925"/>
      <c r="AX228" s="1925"/>
      <c r="AY228" s="1925"/>
      <c r="AZ228" s="1925"/>
      <c r="BA228" s="1925"/>
      <c r="BB228" s="1925"/>
      <c r="BC228" s="1925"/>
      <c r="BD228" s="1925"/>
      <c r="BE228" s="1925"/>
      <c r="BF228" s="1925"/>
    </row>
    <row r="229" spans="3:58" s="6" customFormat="1" ht="12.75">
      <c r="C229" s="1925"/>
      <c r="D229" s="1925"/>
      <c r="E229" s="1925"/>
      <c r="F229" s="1925"/>
      <c r="G229" s="1925"/>
      <c r="H229" s="1925"/>
      <c r="I229" s="1925"/>
      <c r="J229" s="1925"/>
      <c r="K229" s="1925"/>
      <c r="L229" s="55"/>
      <c r="M229" s="55"/>
      <c r="N229" s="55"/>
      <c r="O229" s="55"/>
      <c r="P229" s="1925"/>
      <c r="Q229" s="1925"/>
      <c r="R229" s="1925"/>
      <c r="S229" s="1925"/>
      <c r="T229" s="1925"/>
      <c r="U229" s="1925"/>
      <c r="V229" s="192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1925"/>
      <c r="AV229" s="1925"/>
      <c r="AW229" s="1925"/>
      <c r="AX229" s="1925"/>
      <c r="AY229" s="1925"/>
      <c r="AZ229" s="1925"/>
      <c r="BA229" s="1925"/>
      <c r="BB229" s="1925"/>
      <c r="BC229" s="1925"/>
      <c r="BD229" s="1925"/>
      <c r="BE229" s="1925"/>
      <c r="BF229" s="1925"/>
    </row>
    <row r="230" spans="3:58" s="6" customFormat="1" ht="12.75">
      <c r="C230" s="1925"/>
      <c r="D230" s="1925"/>
      <c r="E230" s="1925"/>
      <c r="F230" s="1925"/>
      <c r="G230" s="1925"/>
      <c r="H230" s="1925"/>
      <c r="I230" s="1925"/>
      <c r="J230" s="1925"/>
      <c r="K230" s="1925"/>
      <c r="L230" s="55"/>
      <c r="M230" s="55"/>
      <c r="N230" s="55"/>
      <c r="O230" s="55"/>
      <c r="P230" s="1925"/>
      <c r="Q230" s="1925"/>
      <c r="R230" s="1925"/>
      <c r="S230" s="1925"/>
      <c r="T230" s="1925"/>
      <c r="U230" s="1925"/>
      <c r="V230" s="192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1925"/>
      <c r="AV230" s="1925"/>
      <c r="AW230" s="1925"/>
      <c r="AX230" s="1925"/>
      <c r="AY230" s="1925"/>
      <c r="AZ230" s="1925"/>
      <c r="BA230" s="1925"/>
      <c r="BB230" s="1925"/>
      <c r="BC230" s="1925"/>
      <c r="BD230" s="1925"/>
      <c r="BE230" s="1925"/>
      <c r="BF230" s="1925"/>
    </row>
    <row r="231" spans="3:58" s="6" customFormat="1" ht="12.75">
      <c r="C231" s="1925"/>
      <c r="D231" s="1925"/>
      <c r="E231" s="1925"/>
      <c r="F231" s="1925"/>
      <c r="G231" s="1925"/>
      <c r="H231" s="1925"/>
      <c r="I231" s="1925"/>
      <c r="J231" s="1925"/>
      <c r="K231" s="1925"/>
      <c r="L231" s="55"/>
      <c r="M231" s="55"/>
      <c r="N231" s="55"/>
      <c r="O231" s="55"/>
      <c r="P231" s="1925"/>
      <c r="Q231" s="1925"/>
      <c r="R231" s="1925"/>
      <c r="S231" s="1925"/>
      <c r="T231" s="1925"/>
      <c r="U231" s="1925"/>
      <c r="V231" s="192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1925"/>
      <c r="AV231" s="1925"/>
      <c r="AW231" s="1925"/>
      <c r="AX231" s="1925"/>
      <c r="AY231" s="1925"/>
      <c r="AZ231" s="1925"/>
      <c r="BA231" s="1925"/>
      <c r="BB231" s="1925"/>
      <c r="BC231" s="1925"/>
      <c r="BD231" s="1925"/>
      <c r="BE231" s="1925"/>
      <c r="BF231" s="1925"/>
    </row>
    <row r="232" spans="3:58" s="6" customFormat="1" ht="12.75">
      <c r="C232" s="1925"/>
      <c r="D232" s="1925"/>
      <c r="E232" s="1925"/>
      <c r="F232" s="1925"/>
      <c r="G232" s="1925"/>
      <c r="H232" s="1925"/>
      <c r="I232" s="1925"/>
      <c r="J232" s="1925"/>
      <c r="K232" s="1925"/>
      <c r="L232" s="55"/>
      <c r="M232" s="55"/>
      <c r="N232" s="55"/>
      <c r="O232" s="55"/>
      <c r="P232" s="1925"/>
      <c r="Q232" s="1925"/>
      <c r="R232" s="1925"/>
      <c r="S232" s="1925"/>
      <c r="T232" s="1925"/>
      <c r="U232" s="1925"/>
      <c r="V232" s="192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1925"/>
      <c r="AV232" s="1925"/>
      <c r="AW232" s="1925"/>
      <c r="AX232" s="1925"/>
      <c r="AY232" s="1925"/>
      <c r="AZ232" s="1925"/>
      <c r="BA232" s="1925"/>
      <c r="BB232" s="1925"/>
      <c r="BC232" s="1925"/>
      <c r="BD232" s="1925"/>
      <c r="BE232" s="1925"/>
      <c r="BF232" s="1925"/>
    </row>
    <row r="233" spans="3:58" s="6" customFormat="1" ht="12.75">
      <c r="C233" s="1925"/>
      <c r="D233" s="1925"/>
      <c r="E233" s="1925"/>
      <c r="F233" s="1925"/>
      <c r="G233" s="1925"/>
      <c r="H233" s="1925"/>
      <c r="I233" s="1925"/>
      <c r="J233" s="1925"/>
      <c r="K233" s="1925"/>
      <c r="L233" s="55"/>
      <c r="M233" s="55"/>
      <c r="N233" s="55"/>
      <c r="O233" s="55"/>
      <c r="P233" s="1925"/>
      <c r="Q233" s="1925"/>
      <c r="R233" s="1925"/>
      <c r="S233" s="1925"/>
      <c r="T233" s="1925"/>
      <c r="U233" s="1925"/>
      <c r="V233" s="192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1925"/>
      <c r="AV233" s="1925"/>
      <c r="AW233" s="1925"/>
      <c r="AX233" s="1925"/>
      <c r="AY233" s="1925"/>
      <c r="AZ233" s="1925"/>
      <c r="BA233" s="1925"/>
      <c r="BB233" s="1925"/>
      <c r="BC233" s="1925"/>
      <c r="BD233" s="1925"/>
      <c r="BE233" s="1925"/>
      <c r="BF233" s="1925"/>
    </row>
    <row r="234" spans="3:58" s="6" customFormat="1" ht="12.75">
      <c r="C234" s="1925"/>
      <c r="D234" s="1925"/>
      <c r="E234" s="1925"/>
      <c r="F234" s="1925"/>
      <c r="G234" s="1925"/>
      <c r="H234" s="1925"/>
      <c r="I234" s="1925"/>
      <c r="J234" s="1925"/>
      <c r="K234" s="1925"/>
      <c r="L234" s="55"/>
      <c r="M234" s="55"/>
      <c r="N234" s="55"/>
      <c r="O234" s="55"/>
      <c r="P234" s="1925"/>
      <c r="Q234" s="1925"/>
      <c r="R234" s="1925"/>
      <c r="S234" s="1925"/>
      <c r="T234" s="1925"/>
      <c r="U234" s="1925"/>
      <c r="V234" s="192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1925"/>
      <c r="AV234" s="1925"/>
      <c r="AW234" s="1925"/>
      <c r="AX234" s="1925"/>
      <c r="AY234" s="1925"/>
      <c r="AZ234" s="1925"/>
      <c r="BA234" s="1925"/>
      <c r="BB234" s="1925"/>
      <c r="BC234" s="1925"/>
      <c r="BD234" s="1925"/>
      <c r="BE234" s="1925"/>
      <c r="BF234" s="1925"/>
    </row>
    <row r="235" spans="3:58" s="6" customFormat="1" ht="12.75">
      <c r="C235" s="1925"/>
      <c r="D235" s="1925"/>
      <c r="E235" s="1925"/>
      <c r="F235" s="1925"/>
      <c r="G235" s="1925"/>
      <c r="H235" s="1925"/>
      <c r="I235" s="1925"/>
      <c r="J235" s="1925"/>
      <c r="K235" s="1925"/>
      <c r="L235" s="55"/>
      <c r="M235" s="55"/>
      <c r="N235" s="55"/>
      <c r="O235" s="55"/>
      <c r="P235" s="1925"/>
      <c r="Q235" s="1925"/>
      <c r="R235" s="1925"/>
      <c r="S235" s="1925"/>
      <c r="T235" s="1925"/>
      <c r="U235" s="1925"/>
      <c r="V235" s="192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1925"/>
      <c r="AV235" s="1925"/>
      <c r="AW235" s="1925"/>
      <c r="AX235" s="1925"/>
      <c r="AY235" s="1925"/>
      <c r="AZ235" s="1925"/>
      <c r="BA235" s="1925"/>
      <c r="BB235" s="1925"/>
      <c r="BC235" s="1925"/>
      <c r="BD235" s="1925"/>
      <c r="BE235" s="1925"/>
      <c r="BF235" s="1925"/>
    </row>
    <row r="236" spans="3:58" s="6" customFormat="1" ht="12.75">
      <c r="C236" s="1925"/>
      <c r="D236" s="1925"/>
      <c r="E236" s="1925"/>
      <c r="F236" s="1925"/>
      <c r="G236" s="1925"/>
      <c r="H236" s="1925"/>
      <c r="I236" s="1925"/>
      <c r="J236" s="1925"/>
      <c r="K236" s="1925"/>
      <c r="L236" s="55"/>
      <c r="M236" s="55"/>
      <c r="N236" s="55"/>
      <c r="O236" s="55"/>
      <c r="P236" s="1925"/>
      <c r="Q236" s="1925"/>
      <c r="R236" s="1925"/>
      <c r="S236" s="1925"/>
      <c r="T236" s="1925"/>
      <c r="U236" s="1925"/>
      <c r="V236" s="192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1925"/>
      <c r="AV236" s="1925"/>
      <c r="AW236" s="1925"/>
      <c r="AX236" s="1925"/>
      <c r="AY236" s="1925"/>
      <c r="AZ236" s="1925"/>
      <c r="BA236" s="1925"/>
      <c r="BB236" s="1925"/>
      <c r="BC236" s="1925"/>
      <c r="BD236" s="1925"/>
      <c r="BE236" s="1925"/>
      <c r="BF236" s="1925"/>
    </row>
    <row r="237" spans="3:58" s="6" customFormat="1" ht="12.75">
      <c r="C237" s="1925"/>
      <c r="D237" s="1925"/>
      <c r="E237" s="1925"/>
      <c r="F237" s="1925"/>
      <c r="G237" s="1925"/>
      <c r="H237" s="1925"/>
      <c r="I237" s="1925"/>
      <c r="J237" s="1925"/>
      <c r="K237" s="1925"/>
      <c r="L237" s="55"/>
      <c r="M237" s="55"/>
      <c r="N237" s="55"/>
      <c r="O237" s="55"/>
      <c r="P237" s="1925"/>
      <c r="Q237" s="1925"/>
      <c r="R237" s="1925"/>
      <c r="S237" s="1925"/>
      <c r="T237" s="1925"/>
      <c r="U237" s="1925"/>
      <c r="V237" s="192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1925"/>
      <c r="AV237" s="1925"/>
      <c r="AW237" s="1925"/>
      <c r="AX237" s="1925"/>
      <c r="AY237" s="1925"/>
      <c r="AZ237" s="1925"/>
      <c r="BA237" s="1925"/>
      <c r="BB237" s="1925"/>
      <c r="BC237" s="1925"/>
      <c r="BD237" s="1925"/>
      <c r="BE237" s="1925"/>
      <c r="BF237" s="1925"/>
    </row>
    <row r="238" spans="3:58" s="6" customFormat="1" ht="12.75">
      <c r="C238" s="1925"/>
      <c r="D238" s="1925"/>
      <c r="E238" s="1925"/>
      <c r="F238" s="1925"/>
      <c r="G238" s="1925"/>
      <c r="H238" s="1925"/>
      <c r="I238" s="1925"/>
      <c r="J238" s="1925"/>
      <c r="K238" s="1925"/>
      <c r="L238" s="55"/>
      <c r="M238" s="55"/>
      <c r="N238" s="55"/>
      <c r="O238" s="55"/>
      <c r="P238" s="1925"/>
      <c r="Q238" s="1925"/>
      <c r="R238" s="1925"/>
      <c r="S238" s="1925"/>
      <c r="T238" s="1925"/>
      <c r="U238" s="1925"/>
      <c r="V238" s="192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1925"/>
      <c r="AV238" s="1925"/>
      <c r="AW238" s="1925"/>
      <c r="AX238" s="1925"/>
      <c r="AY238" s="1925"/>
      <c r="AZ238" s="1925"/>
      <c r="BA238" s="1925"/>
      <c r="BB238" s="1925"/>
      <c r="BC238" s="1925"/>
      <c r="BD238" s="1925"/>
      <c r="BE238" s="1925"/>
      <c r="BF238" s="1925"/>
    </row>
    <row r="239" spans="3:58" s="6" customFormat="1" ht="12.75">
      <c r="C239" s="1925"/>
      <c r="D239" s="1925"/>
      <c r="E239" s="1925"/>
      <c r="F239" s="1925"/>
      <c r="G239" s="1925"/>
      <c r="H239" s="1925"/>
      <c r="I239" s="1925"/>
      <c r="J239" s="1925"/>
      <c r="K239" s="1925"/>
      <c r="L239" s="55"/>
      <c r="M239" s="55"/>
      <c r="N239" s="55"/>
      <c r="O239" s="55"/>
      <c r="P239" s="1925"/>
      <c r="Q239" s="1925"/>
      <c r="R239" s="1925"/>
      <c r="S239" s="1925"/>
      <c r="T239" s="1925"/>
      <c r="U239" s="1925"/>
      <c r="V239" s="192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1925"/>
      <c r="AV239" s="1925"/>
      <c r="AW239" s="1925"/>
      <c r="AX239" s="1925"/>
      <c r="AY239" s="1925"/>
      <c r="AZ239" s="1925"/>
      <c r="BA239" s="1925"/>
      <c r="BB239" s="1925"/>
      <c r="BC239" s="1925"/>
      <c r="BD239" s="1925"/>
      <c r="BE239" s="1925"/>
      <c r="BF239" s="1925"/>
    </row>
    <row r="240" spans="3:58" s="6" customFormat="1" ht="12.75">
      <c r="C240" s="1925"/>
      <c r="D240" s="1925"/>
      <c r="E240" s="1925"/>
      <c r="F240" s="1925"/>
      <c r="G240" s="1925"/>
      <c r="H240" s="1925"/>
      <c r="I240" s="1925"/>
      <c r="J240" s="1925"/>
      <c r="K240" s="1925"/>
      <c r="L240" s="55"/>
      <c r="M240" s="55"/>
      <c r="N240" s="55"/>
      <c r="O240" s="55"/>
      <c r="P240" s="1925"/>
      <c r="Q240" s="1925"/>
      <c r="R240" s="1925"/>
      <c r="S240" s="1925"/>
      <c r="T240" s="1925"/>
      <c r="U240" s="1925"/>
      <c r="V240" s="192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1925"/>
      <c r="AV240" s="1925"/>
      <c r="AW240" s="1925"/>
      <c r="AX240" s="1925"/>
      <c r="AY240" s="1925"/>
      <c r="AZ240" s="1925"/>
      <c r="BA240" s="1925"/>
      <c r="BB240" s="1925"/>
      <c r="BC240" s="1925"/>
      <c r="BD240" s="1925"/>
      <c r="BE240" s="1925"/>
      <c r="BF240" s="1925"/>
    </row>
    <row r="241" spans="3:58" s="6" customFormat="1" ht="12.75">
      <c r="C241" s="1925"/>
      <c r="D241" s="1925"/>
      <c r="E241" s="1925"/>
      <c r="F241" s="1925"/>
      <c r="G241" s="1925"/>
      <c r="H241" s="1925"/>
      <c r="I241" s="1925"/>
      <c r="J241" s="1925"/>
      <c r="K241" s="1925"/>
      <c r="L241" s="55"/>
      <c r="M241" s="55"/>
      <c r="N241" s="55"/>
      <c r="O241" s="55"/>
      <c r="P241" s="1925"/>
      <c r="Q241" s="1925"/>
      <c r="R241" s="1925"/>
      <c r="S241" s="1925"/>
      <c r="T241" s="1925"/>
      <c r="U241" s="1925"/>
      <c r="V241" s="192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1925"/>
      <c r="AV241" s="1925"/>
      <c r="AW241" s="1925"/>
      <c r="AX241" s="1925"/>
      <c r="AY241" s="1925"/>
      <c r="AZ241" s="1925"/>
      <c r="BA241" s="1925"/>
      <c r="BB241" s="1925"/>
      <c r="BC241" s="1925"/>
      <c r="BD241" s="1925"/>
      <c r="BE241" s="1925"/>
      <c r="BF241" s="1925"/>
    </row>
    <row r="242" spans="3:58" s="6" customFormat="1" ht="12.75">
      <c r="C242" s="1925"/>
      <c r="D242" s="1925"/>
      <c r="E242" s="1925"/>
      <c r="F242" s="1925"/>
      <c r="G242" s="1925"/>
      <c r="H242" s="1925"/>
      <c r="I242" s="1925"/>
      <c r="J242" s="1925"/>
      <c r="K242" s="1925"/>
      <c r="L242" s="55"/>
      <c r="M242" s="55"/>
      <c r="N242" s="55"/>
      <c r="O242" s="55"/>
      <c r="P242" s="1925"/>
      <c r="Q242" s="1925"/>
      <c r="R242" s="1925"/>
      <c r="S242" s="1925"/>
      <c r="T242" s="1925"/>
      <c r="U242" s="1925"/>
      <c r="V242" s="192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1925"/>
      <c r="AV242" s="1925"/>
      <c r="AW242" s="1925"/>
      <c r="AX242" s="1925"/>
      <c r="AY242" s="1925"/>
      <c r="AZ242" s="1925"/>
      <c r="BA242" s="1925"/>
      <c r="BB242" s="1925"/>
      <c r="BC242" s="1925"/>
      <c r="BD242" s="1925"/>
      <c r="BE242" s="1925"/>
      <c r="BF242" s="1925"/>
    </row>
    <row r="243" spans="3:58" s="6" customFormat="1" ht="12.75">
      <c r="C243" s="1925"/>
      <c r="D243" s="1925"/>
      <c r="E243" s="1925"/>
      <c r="F243" s="1925"/>
      <c r="G243" s="1925"/>
      <c r="H243" s="1925"/>
      <c r="I243" s="1925"/>
      <c r="J243" s="1925"/>
      <c r="K243" s="1925"/>
      <c r="L243" s="55"/>
      <c r="M243" s="55"/>
      <c r="N243" s="55"/>
      <c r="O243" s="55"/>
      <c r="P243" s="1925"/>
      <c r="Q243" s="1925"/>
      <c r="R243" s="1925"/>
      <c r="S243" s="1925"/>
      <c r="T243" s="1925"/>
      <c r="U243" s="1925"/>
      <c r="V243" s="192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1925"/>
      <c r="AV243" s="1925"/>
      <c r="AW243" s="1925"/>
      <c r="AX243" s="1925"/>
      <c r="AY243" s="1925"/>
      <c r="AZ243" s="1925"/>
      <c r="BA243" s="1925"/>
      <c r="BB243" s="1925"/>
      <c r="BC243" s="1925"/>
      <c r="BD243" s="1925"/>
      <c r="BE243" s="1925"/>
      <c r="BF243" s="1925"/>
    </row>
    <row r="244" spans="3:58" s="6" customFormat="1" ht="12.75">
      <c r="C244" s="1925"/>
      <c r="D244" s="1925"/>
      <c r="E244" s="1925"/>
      <c r="F244" s="1925"/>
      <c r="G244" s="1925"/>
      <c r="H244" s="1925"/>
      <c r="I244" s="1925"/>
      <c r="J244" s="1925"/>
      <c r="K244" s="1925"/>
      <c r="L244" s="55"/>
      <c r="M244" s="55"/>
      <c r="N244" s="55"/>
      <c r="O244" s="55"/>
      <c r="P244" s="1925"/>
      <c r="Q244" s="1925"/>
      <c r="R244" s="1925"/>
      <c r="S244" s="1925"/>
      <c r="T244" s="1925"/>
      <c r="U244" s="1925"/>
      <c r="V244" s="192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1925"/>
      <c r="AV244" s="1925"/>
      <c r="AW244" s="1925"/>
      <c r="AX244" s="1925"/>
      <c r="AY244" s="1925"/>
      <c r="AZ244" s="1925"/>
      <c r="BA244" s="1925"/>
      <c r="BB244" s="1925"/>
      <c r="BC244" s="1925"/>
      <c r="BD244" s="1925"/>
      <c r="BE244" s="1925"/>
      <c r="BF244" s="1925"/>
    </row>
    <row r="245" spans="3:58" s="6" customFormat="1" ht="12.75">
      <c r="C245" s="1925"/>
      <c r="D245" s="1925"/>
      <c r="E245" s="1925"/>
      <c r="F245" s="1925"/>
      <c r="G245" s="1925"/>
      <c r="H245" s="1925"/>
      <c r="I245" s="1925"/>
      <c r="J245" s="1925"/>
      <c r="K245" s="1925"/>
      <c r="L245" s="55"/>
      <c r="M245" s="55"/>
      <c r="N245" s="55"/>
      <c r="O245" s="55"/>
      <c r="P245" s="1925"/>
      <c r="Q245" s="1925"/>
      <c r="R245" s="1925"/>
      <c r="S245" s="1925"/>
      <c r="T245" s="1925"/>
      <c r="U245" s="1925"/>
      <c r="V245" s="192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1925"/>
      <c r="AV245" s="1925"/>
      <c r="AW245" s="1925"/>
      <c r="AX245" s="1925"/>
      <c r="AY245" s="1925"/>
      <c r="AZ245" s="1925"/>
      <c r="BA245" s="1925"/>
      <c r="BB245" s="1925"/>
      <c r="BC245" s="1925"/>
      <c r="BD245" s="1925"/>
      <c r="BE245" s="1925"/>
      <c r="BF245" s="1925"/>
    </row>
    <row r="246" spans="3:58" s="6" customFormat="1" ht="12.75">
      <c r="C246" s="1925"/>
      <c r="D246" s="1925"/>
      <c r="E246" s="1925"/>
      <c r="F246" s="1925"/>
      <c r="G246" s="1925"/>
      <c r="H246" s="1925"/>
      <c r="I246" s="1925"/>
      <c r="J246" s="1925"/>
      <c r="K246" s="1925"/>
      <c r="L246" s="55"/>
      <c r="M246" s="55"/>
      <c r="N246" s="55"/>
      <c r="O246" s="55"/>
      <c r="P246" s="1925"/>
      <c r="Q246" s="1925"/>
      <c r="R246" s="1925"/>
      <c r="S246" s="1925"/>
      <c r="T246" s="1925"/>
      <c r="U246" s="1925"/>
      <c r="V246" s="192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1925"/>
      <c r="AV246" s="1925"/>
      <c r="AW246" s="1925"/>
      <c r="AX246" s="1925"/>
      <c r="AY246" s="1925"/>
      <c r="AZ246" s="1925"/>
      <c r="BA246" s="1925"/>
      <c r="BB246" s="1925"/>
      <c r="BC246" s="1925"/>
      <c r="BD246" s="1925"/>
      <c r="BE246" s="1925"/>
      <c r="BF246" s="1925"/>
    </row>
    <row r="247" spans="3:58" s="6" customFormat="1" ht="12.75">
      <c r="C247" s="1925"/>
      <c r="D247" s="1925"/>
      <c r="E247" s="1925"/>
      <c r="F247" s="1925"/>
      <c r="G247" s="1925"/>
      <c r="H247" s="1925"/>
      <c r="I247" s="1925"/>
      <c r="J247" s="1925"/>
      <c r="K247" s="1925"/>
      <c r="L247" s="55"/>
      <c r="M247" s="55"/>
      <c r="N247" s="55"/>
      <c r="O247" s="55"/>
      <c r="P247" s="1925"/>
      <c r="Q247" s="1925"/>
      <c r="R247" s="1925"/>
      <c r="S247" s="1925"/>
      <c r="T247" s="1925"/>
      <c r="U247" s="1925"/>
      <c r="V247" s="192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1925"/>
      <c r="AV247" s="1925"/>
      <c r="AW247" s="1925"/>
      <c r="AX247" s="1925"/>
      <c r="AY247" s="1925"/>
      <c r="AZ247" s="1925"/>
      <c r="BA247" s="1925"/>
      <c r="BB247" s="1925"/>
      <c r="BC247" s="1925"/>
      <c r="BD247" s="1925"/>
      <c r="BE247" s="1925"/>
      <c r="BF247" s="1925"/>
    </row>
    <row r="248" spans="3:58" s="6" customFormat="1" ht="12.75">
      <c r="C248" s="1925"/>
      <c r="D248" s="1925"/>
      <c r="E248" s="1925"/>
      <c r="F248" s="1925"/>
      <c r="G248" s="1925"/>
      <c r="H248" s="1925"/>
      <c r="I248" s="1925"/>
      <c r="J248" s="1925"/>
      <c r="K248" s="1925"/>
      <c r="L248" s="55"/>
      <c r="M248" s="55"/>
      <c r="N248" s="55"/>
      <c r="O248" s="55"/>
      <c r="P248" s="1925"/>
      <c r="Q248" s="1925"/>
      <c r="R248" s="1925"/>
      <c r="S248" s="1925"/>
      <c r="T248" s="1925"/>
      <c r="U248" s="1925"/>
      <c r="V248" s="192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1925"/>
      <c r="AV248" s="1925"/>
      <c r="AW248" s="1925"/>
      <c r="AX248" s="1925"/>
      <c r="AY248" s="1925"/>
      <c r="AZ248" s="1925"/>
      <c r="BA248" s="1925"/>
      <c r="BB248" s="1925"/>
      <c r="BC248" s="1925"/>
      <c r="BD248" s="1925"/>
      <c r="BE248" s="1925"/>
      <c r="BF248" s="1925"/>
    </row>
    <row r="249" spans="3:58" s="6" customFormat="1" ht="12.75">
      <c r="C249" s="1925"/>
      <c r="D249" s="1925"/>
      <c r="E249" s="1925"/>
      <c r="F249" s="1925"/>
      <c r="G249" s="1925"/>
      <c r="H249" s="1925"/>
      <c r="I249" s="1925"/>
      <c r="J249" s="1925"/>
      <c r="K249" s="1925"/>
      <c r="L249" s="55"/>
      <c r="M249" s="55"/>
      <c r="N249" s="55"/>
      <c r="O249" s="55"/>
      <c r="P249" s="1925"/>
      <c r="Q249" s="1925"/>
      <c r="R249" s="1925"/>
      <c r="S249" s="1925"/>
      <c r="T249" s="1925"/>
      <c r="U249" s="1925"/>
      <c r="V249" s="192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1925"/>
      <c r="AV249" s="1925"/>
      <c r="AW249" s="1925"/>
      <c r="AX249" s="1925"/>
      <c r="AY249" s="1925"/>
      <c r="AZ249" s="1925"/>
      <c r="BA249" s="1925"/>
      <c r="BB249" s="1925"/>
      <c r="BC249" s="1925"/>
      <c r="BD249" s="1925"/>
      <c r="BE249" s="1925"/>
      <c r="BF249" s="1925"/>
    </row>
    <row r="250" spans="3:58" s="6" customFormat="1" ht="12.75">
      <c r="C250" s="1925"/>
      <c r="D250" s="1925"/>
      <c r="E250" s="1925"/>
      <c r="F250" s="1925"/>
      <c r="G250" s="1925"/>
      <c r="H250" s="1925"/>
      <c r="I250" s="1925"/>
      <c r="J250" s="1925"/>
      <c r="K250" s="1925"/>
      <c r="L250" s="55"/>
      <c r="M250" s="55"/>
      <c r="N250" s="55"/>
      <c r="O250" s="55"/>
      <c r="P250" s="1925"/>
      <c r="Q250" s="1925"/>
      <c r="R250" s="1925"/>
      <c r="S250" s="1925"/>
      <c r="T250" s="1925"/>
      <c r="U250" s="1925"/>
      <c r="V250" s="192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1925"/>
      <c r="AV250" s="1925"/>
      <c r="AW250" s="1925"/>
      <c r="AX250" s="1925"/>
      <c r="AY250" s="1925"/>
      <c r="AZ250" s="1925"/>
      <c r="BA250" s="1925"/>
      <c r="BB250" s="1925"/>
      <c r="BC250" s="1925"/>
      <c r="BD250" s="1925"/>
      <c r="BE250" s="1925"/>
      <c r="BF250" s="1925"/>
    </row>
    <row r="251" spans="3:58" s="6" customFormat="1" ht="12.75">
      <c r="C251" s="1925"/>
      <c r="D251" s="1925"/>
      <c r="E251" s="1925"/>
      <c r="F251" s="1925"/>
      <c r="G251" s="1925"/>
      <c r="H251" s="1925"/>
      <c r="I251" s="1925"/>
      <c r="J251" s="1925"/>
      <c r="K251" s="1925"/>
      <c r="L251" s="55"/>
      <c r="M251" s="55"/>
      <c r="N251" s="55"/>
      <c r="O251" s="55"/>
      <c r="P251" s="1925"/>
      <c r="Q251" s="1925"/>
      <c r="R251" s="1925"/>
      <c r="S251" s="1925"/>
      <c r="T251" s="1925"/>
      <c r="U251" s="1925"/>
      <c r="V251" s="192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1925"/>
      <c r="AV251" s="1925"/>
      <c r="AW251" s="1925"/>
      <c r="AX251" s="1925"/>
      <c r="AY251" s="1925"/>
      <c r="AZ251" s="1925"/>
      <c r="BA251" s="1925"/>
      <c r="BB251" s="1925"/>
      <c r="BC251" s="1925"/>
      <c r="BD251" s="1925"/>
      <c r="BE251" s="1925"/>
      <c r="BF251" s="1925"/>
    </row>
    <row r="252" spans="3:58" s="6" customFormat="1" ht="12.75">
      <c r="C252" s="1925"/>
      <c r="D252" s="1925"/>
      <c r="E252" s="1925"/>
      <c r="F252" s="1925"/>
      <c r="G252" s="1925"/>
      <c r="H252" s="1925"/>
      <c r="I252" s="1925"/>
      <c r="J252" s="1925"/>
      <c r="K252" s="1925"/>
      <c r="L252" s="55"/>
      <c r="M252" s="55"/>
      <c r="N252" s="55"/>
      <c r="O252" s="55"/>
      <c r="P252" s="1925"/>
      <c r="Q252" s="1925"/>
      <c r="R252" s="1925"/>
      <c r="S252" s="1925"/>
      <c r="T252" s="1925"/>
      <c r="U252" s="1925"/>
      <c r="V252" s="192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1925"/>
      <c r="AV252" s="1925"/>
      <c r="AW252" s="1925"/>
      <c r="AX252" s="1925"/>
      <c r="AY252" s="1925"/>
      <c r="AZ252" s="1925"/>
      <c r="BA252" s="1925"/>
      <c r="BB252" s="1925"/>
      <c r="BC252" s="1925"/>
      <c r="BD252" s="1925"/>
      <c r="BE252" s="1925"/>
      <c r="BF252" s="1925"/>
    </row>
    <row r="253" spans="3:58" s="6" customFormat="1" ht="12.75">
      <c r="C253" s="1925"/>
      <c r="D253" s="1925"/>
      <c r="E253" s="1925"/>
      <c r="F253" s="1925"/>
      <c r="G253" s="1925"/>
      <c r="H253" s="1925"/>
      <c r="I253" s="1925"/>
      <c r="J253" s="1925"/>
      <c r="K253" s="1925"/>
      <c r="L253" s="55"/>
      <c r="M253" s="55"/>
      <c r="N253" s="55"/>
      <c r="O253" s="55"/>
      <c r="P253" s="1925"/>
      <c r="Q253" s="1925"/>
      <c r="R253" s="1925"/>
      <c r="S253" s="1925"/>
      <c r="T253" s="1925"/>
      <c r="U253" s="1925"/>
      <c r="V253" s="192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1925"/>
      <c r="AV253" s="1925"/>
      <c r="AW253" s="1925"/>
      <c r="AX253" s="1925"/>
      <c r="AY253" s="1925"/>
      <c r="AZ253" s="1925"/>
      <c r="BA253" s="1925"/>
      <c r="BB253" s="1925"/>
      <c r="BC253" s="1925"/>
      <c r="BD253" s="1925"/>
      <c r="BE253" s="1925"/>
      <c r="BF253" s="1925"/>
    </row>
    <row r="254" spans="3:58" s="6" customFormat="1" ht="12.75">
      <c r="C254" s="1925"/>
      <c r="D254" s="1925"/>
      <c r="E254" s="1925"/>
      <c r="F254" s="1925"/>
      <c r="G254" s="1925"/>
      <c r="H254" s="1925"/>
      <c r="I254" s="1925"/>
      <c r="J254" s="1925"/>
      <c r="K254" s="1925"/>
      <c r="L254" s="55"/>
      <c r="M254" s="55"/>
      <c r="N254" s="55"/>
      <c r="O254" s="55"/>
      <c r="P254" s="1925"/>
      <c r="Q254" s="1925"/>
      <c r="R254" s="1925"/>
      <c r="S254" s="1925"/>
      <c r="T254" s="1925"/>
      <c r="U254" s="1925"/>
      <c r="V254" s="192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1925"/>
      <c r="AV254" s="1925"/>
      <c r="AW254" s="1925"/>
      <c r="AX254" s="1925"/>
      <c r="AY254" s="1925"/>
      <c r="AZ254" s="1925"/>
      <c r="BA254" s="1925"/>
      <c r="BB254" s="1925"/>
      <c r="BC254" s="1925"/>
      <c r="BD254" s="1925"/>
      <c r="BE254" s="1925"/>
      <c r="BF254" s="1925"/>
    </row>
    <row r="255" spans="3:58" s="6" customFormat="1" ht="12.75">
      <c r="C255" s="1925"/>
      <c r="D255" s="1925"/>
      <c r="E255" s="1925"/>
      <c r="F255" s="1925"/>
      <c r="G255" s="1925"/>
      <c r="H255" s="1925"/>
      <c r="I255" s="1925"/>
      <c r="J255" s="1925"/>
      <c r="K255" s="1925"/>
      <c r="L255" s="55"/>
      <c r="M255" s="55"/>
      <c r="N255" s="55"/>
      <c r="O255" s="55"/>
      <c r="P255" s="1925"/>
      <c r="Q255" s="1925"/>
      <c r="R255" s="1925"/>
      <c r="S255" s="1925"/>
      <c r="T255" s="1925"/>
      <c r="U255" s="1925"/>
      <c r="V255" s="192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1925"/>
      <c r="AV255" s="1925"/>
      <c r="AW255" s="1925"/>
      <c r="AX255" s="1925"/>
      <c r="AY255" s="1925"/>
      <c r="AZ255" s="1925"/>
      <c r="BA255" s="1925"/>
      <c r="BB255" s="1925"/>
      <c r="BC255" s="1925"/>
      <c r="BD255" s="1925"/>
      <c r="BE255" s="1925"/>
      <c r="BF255" s="1925"/>
    </row>
    <row r="256" spans="3:58" s="6" customFormat="1" ht="12.75">
      <c r="C256" s="1925"/>
      <c r="D256" s="1925"/>
      <c r="E256" s="1925"/>
      <c r="F256" s="1925"/>
      <c r="G256" s="1925"/>
      <c r="H256" s="1925"/>
      <c r="I256" s="1925"/>
      <c r="J256" s="1925"/>
      <c r="K256" s="1925"/>
      <c r="L256" s="55"/>
      <c r="M256" s="55"/>
      <c r="N256" s="55"/>
      <c r="O256" s="55"/>
      <c r="P256" s="1925"/>
      <c r="Q256" s="1925"/>
      <c r="R256" s="1925"/>
      <c r="S256" s="1925"/>
      <c r="T256" s="1925"/>
      <c r="U256" s="1925"/>
      <c r="V256" s="192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1925"/>
      <c r="AV256" s="1925"/>
      <c r="AW256" s="1925"/>
      <c r="AX256" s="1925"/>
      <c r="AY256" s="1925"/>
      <c r="AZ256" s="1925"/>
      <c r="BA256" s="1925"/>
      <c r="BB256" s="1925"/>
      <c r="BC256" s="1925"/>
      <c r="BD256" s="1925"/>
      <c r="BE256" s="1925"/>
      <c r="BF256" s="1925"/>
    </row>
    <row r="257" spans="3:58" s="6" customFormat="1" ht="12.75">
      <c r="C257" s="1925"/>
      <c r="D257" s="1925"/>
      <c r="E257" s="1925"/>
      <c r="F257" s="1925"/>
      <c r="G257" s="1925"/>
      <c r="H257" s="1925"/>
      <c r="I257" s="1925"/>
      <c r="J257" s="1925"/>
      <c r="K257" s="1925"/>
      <c r="L257" s="55"/>
      <c r="M257" s="55"/>
      <c r="N257" s="55"/>
      <c r="O257" s="55"/>
      <c r="P257" s="1925"/>
      <c r="Q257" s="1925"/>
      <c r="R257" s="1925"/>
      <c r="S257" s="1925"/>
      <c r="T257" s="1925"/>
      <c r="U257" s="1925"/>
      <c r="V257" s="192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1925"/>
      <c r="AV257" s="1925"/>
      <c r="AW257" s="1925"/>
      <c r="AX257" s="1925"/>
      <c r="AY257" s="1925"/>
      <c r="AZ257" s="1925"/>
      <c r="BA257" s="1925"/>
      <c r="BB257" s="1925"/>
      <c r="BC257" s="1925"/>
      <c r="BD257" s="1925"/>
      <c r="BE257" s="1925"/>
      <c r="BF257" s="1925"/>
    </row>
    <row r="258" spans="3:58" s="6" customFormat="1" ht="12.75">
      <c r="C258" s="1925"/>
      <c r="D258" s="1925"/>
      <c r="E258" s="1925"/>
      <c r="F258" s="1925"/>
      <c r="G258" s="1925"/>
      <c r="H258" s="1925"/>
      <c r="I258" s="1925"/>
      <c r="J258" s="1925"/>
      <c r="K258" s="1925"/>
      <c r="L258" s="55"/>
      <c r="M258" s="55"/>
      <c r="N258" s="55"/>
      <c r="O258" s="55"/>
      <c r="P258" s="1925"/>
      <c r="Q258" s="1925"/>
      <c r="R258" s="1925"/>
      <c r="S258" s="1925"/>
      <c r="T258" s="1925"/>
      <c r="U258" s="1925"/>
      <c r="V258" s="192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1925"/>
      <c r="AV258" s="1925"/>
      <c r="AW258" s="1925"/>
      <c r="AX258" s="1925"/>
      <c r="AY258" s="1925"/>
      <c r="AZ258" s="1925"/>
      <c r="BA258" s="1925"/>
      <c r="BB258" s="1925"/>
      <c r="BC258" s="1925"/>
      <c r="BD258" s="1925"/>
      <c r="BE258" s="1925"/>
      <c r="BF258" s="1925"/>
    </row>
    <row r="259" spans="3:58" s="6" customFormat="1" ht="12.75">
      <c r="C259" s="1925"/>
      <c r="D259" s="1925"/>
      <c r="E259" s="1925"/>
      <c r="F259" s="1925"/>
      <c r="G259" s="1925"/>
      <c r="H259" s="1925"/>
      <c r="I259" s="1925"/>
      <c r="J259" s="1925"/>
      <c r="K259" s="1925"/>
      <c r="L259" s="55"/>
      <c r="M259" s="55"/>
      <c r="N259" s="55"/>
      <c r="O259" s="55"/>
      <c r="P259" s="1925"/>
      <c r="Q259" s="1925"/>
      <c r="R259" s="1925"/>
      <c r="S259" s="1925"/>
      <c r="T259" s="1925"/>
      <c r="U259" s="1925"/>
      <c r="V259" s="192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1925"/>
      <c r="AV259" s="1925"/>
      <c r="AW259" s="1925"/>
      <c r="AX259" s="1925"/>
      <c r="AY259" s="1925"/>
      <c r="AZ259" s="1925"/>
      <c r="BA259" s="1925"/>
      <c r="BB259" s="1925"/>
      <c r="BC259" s="1925"/>
      <c r="BD259" s="1925"/>
      <c r="BE259" s="1925"/>
      <c r="BF259" s="1925"/>
    </row>
    <row r="260" spans="3:58" s="6" customFormat="1" ht="12.75">
      <c r="C260" s="1925"/>
      <c r="D260" s="1925"/>
      <c r="E260" s="1925"/>
      <c r="F260" s="1925"/>
      <c r="G260" s="1925"/>
      <c r="H260" s="1925"/>
      <c r="I260" s="1925"/>
      <c r="J260" s="1925"/>
      <c r="K260" s="1925"/>
      <c r="L260" s="55"/>
      <c r="M260" s="55"/>
      <c r="N260" s="55"/>
      <c r="O260" s="55"/>
      <c r="P260" s="1925"/>
      <c r="Q260" s="1925"/>
      <c r="R260" s="1925"/>
      <c r="S260" s="1925"/>
      <c r="T260" s="1925"/>
      <c r="U260" s="1925"/>
      <c r="V260" s="192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1925"/>
      <c r="AV260" s="1925"/>
      <c r="AW260" s="1925"/>
      <c r="AX260" s="1925"/>
      <c r="AY260" s="1925"/>
      <c r="AZ260" s="1925"/>
      <c r="BA260" s="1925"/>
      <c r="BB260" s="1925"/>
      <c r="BC260" s="1925"/>
      <c r="BD260" s="1925"/>
      <c r="BE260" s="1925"/>
      <c r="BF260" s="1925"/>
    </row>
    <row r="261" spans="3:58" s="6" customFormat="1" ht="12.75">
      <c r="C261" s="1925"/>
      <c r="D261" s="1925"/>
      <c r="E261" s="1925"/>
      <c r="F261" s="1925"/>
      <c r="G261" s="1925"/>
      <c r="H261" s="1925"/>
      <c r="I261" s="1925"/>
      <c r="J261" s="1925"/>
      <c r="K261" s="1925"/>
      <c r="L261" s="55"/>
      <c r="M261" s="55"/>
      <c r="N261" s="55"/>
      <c r="O261" s="55"/>
      <c r="P261" s="1925"/>
      <c r="Q261" s="1925"/>
      <c r="R261" s="1925"/>
      <c r="S261" s="1925"/>
      <c r="T261" s="1925"/>
      <c r="U261" s="1925"/>
      <c r="V261" s="192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1925"/>
      <c r="AV261" s="1925"/>
      <c r="AW261" s="1925"/>
      <c r="AX261" s="1925"/>
      <c r="AY261" s="1925"/>
      <c r="AZ261" s="1925"/>
      <c r="BA261" s="1925"/>
      <c r="BB261" s="1925"/>
      <c r="BC261" s="1925"/>
      <c r="BD261" s="1925"/>
      <c r="BE261" s="1925"/>
      <c r="BF261" s="1925"/>
    </row>
    <row r="262" spans="3:58" s="6" customFormat="1" ht="12.75">
      <c r="C262" s="1925"/>
      <c r="D262" s="1925"/>
      <c r="E262" s="1925"/>
      <c r="F262" s="1925"/>
      <c r="G262" s="1925"/>
      <c r="H262" s="1925"/>
      <c r="I262" s="1925"/>
      <c r="J262" s="1925"/>
      <c r="K262" s="1925"/>
      <c r="L262" s="55"/>
      <c r="M262" s="55"/>
      <c r="N262" s="55"/>
      <c r="O262" s="55"/>
      <c r="P262" s="1925"/>
      <c r="Q262" s="1925"/>
      <c r="R262" s="1925"/>
      <c r="S262" s="1925"/>
      <c r="T262" s="1925"/>
      <c r="U262" s="1925"/>
      <c r="V262" s="192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1925"/>
      <c r="AV262" s="1925"/>
      <c r="AW262" s="1925"/>
      <c r="AX262" s="1925"/>
      <c r="AY262" s="1925"/>
      <c r="AZ262" s="1925"/>
      <c r="BA262" s="1925"/>
      <c r="BB262" s="1925"/>
      <c r="BC262" s="1925"/>
      <c r="BD262" s="1925"/>
      <c r="BE262" s="1925"/>
      <c r="BF262" s="1925"/>
    </row>
    <row r="263" spans="3:58" s="6" customFormat="1" ht="12.75">
      <c r="C263" s="1925"/>
      <c r="D263" s="1925"/>
      <c r="E263" s="1925"/>
      <c r="F263" s="1925"/>
      <c r="G263" s="1925"/>
      <c r="H263" s="1925"/>
      <c r="I263" s="1925"/>
      <c r="J263" s="1925"/>
      <c r="K263" s="1925"/>
      <c r="L263" s="55"/>
      <c r="M263" s="55"/>
      <c r="N263" s="55"/>
      <c r="O263" s="55"/>
      <c r="P263" s="1925"/>
      <c r="Q263" s="1925"/>
      <c r="R263" s="1925"/>
      <c r="S263" s="1925"/>
      <c r="T263" s="1925"/>
      <c r="U263" s="1925"/>
      <c r="V263" s="192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1925"/>
      <c r="AV263" s="1925"/>
      <c r="AW263" s="1925"/>
      <c r="AX263" s="1925"/>
      <c r="AY263" s="1925"/>
      <c r="AZ263" s="1925"/>
      <c r="BA263" s="1925"/>
      <c r="BB263" s="1925"/>
      <c r="BC263" s="1925"/>
      <c r="BD263" s="1925"/>
      <c r="BE263" s="1925"/>
      <c r="BF263" s="1925"/>
    </row>
    <row r="264" spans="3:58" s="6" customFormat="1" ht="12.75">
      <c r="C264" s="1925"/>
      <c r="D264" s="1925"/>
      <c r="E264" s="1925"/>
      <c r="F264" s="1925"/>
      <c r="G264" s="1925"/>
      <c r="H264" s="1925"/>
      <c r="I264" s="1925"/>
      <c r="J264" s="1925"/>
      <c r="K264" s="1925"/>
      <c r="L264" s="55"/>
      <c r="M264" s="55"/>
      <c r="N264" s="55"/>
      <c r="O264" s="55"/>
      <c r="P264" s="1925"/>
      <c r="Q264" s="1925"/>
      <c r="R264" s="1925"/>
      <c r="S264" s="1925"/>
      <c r="T264" s="1925"/>
      <c r="U264" s="1925"/>
      <c r="V264" s="192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1925"/>
      <c r="AV264" s="1925"/>
      <c r="AW264" s="1925"/>
      <c r="AX264" s="1925"/>
      <c r="AY264" s="1925"/>
      <c r="AZ264" s="1925"/>
      <c r="BA264" s="1925"/>
      <c r="BB264" s="1925"/>
      <c r="BC264" s="1925"/>
      <c r="BD264" s="1925"/>
      <c r="BE264" s="1925"/>
      <c r="BF264" s="1925"/>
    </row>
    <row r="265" spans="3:58" s="6" customFormat="1" ht="12.75">
      <c r="C265" s="1925"/>
      <c r="D265" s="1925"/>
      <c r="E265" s="1925"/>
      <c r="F265" s="1925"/>
      <c r="G265" s="1925"/>
      <c r="H265" s="1925"/>
      <c r="I265" s="1925"/>
      <c r="J265" s="1925"/>
      <c r="K265" s="1925"/>
      <c r="L265" s="55"/>
      <c r="M265" s="55"/>
      <c r="N265" s="55"/>
      <c r="O265" s="55"/>
      <c r="P265" s="1925"/>
      <c r="Q265" s="1925"/>
      <c r="R265" s="1925"/>
      <c r="S265" s="1925"/>
      <c r="T265" s="1925"/>
      <c r="U265" s="1925"/>
      <c r="V265" s="192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1925"/>
      <c r="AV265" s="1925"/>
      <c r="AW265" s="1925"/>
      <c r="AX265" s="1925"/>
      <c r="AY265" s="1925"/>
      <c r="AZ265" s="1925"/>
      <c r="BA265" s="1925"/>
      <c r="BB265" s="1925"/>
      <c r="BC265" s="1925"/>
      <c r="BD265" s="1925"/>
      <c r="BE265" s="1925"/>
      <c r="BF265" s="1925"/>
    </row>
    <row r="266" spans="3:58" s="6" customFormat="1" ht="12.75">
      <c r="C266" s="1925"/>
      <c r="D266" s="1925"/>
      <c r="E266" s="1925"/>
      <c r="F266" s="1925"/>
      <c r="G266" s="1925"/>
      <c r="H266" s="1925"/>
      <c r="I266" s="1925"/>
      <c r="J266" s="1925"/>
      <c r="K266" s="1925"/>
      <c r="L266" s="55"/>
      <c r="M266" s="55"/>
      <c r="N266" s="55"/>
      <c r="O266" s="55"/>
      <c r="P266" s="1925"/>
      <c r="Q266" s="1925"/>
      <c r="R266" s="1925"/>
      <c r="S266" s="1925"/>
      <c r="T266" s="1925"/>
      <c r="U266" s="1925"/>
      <c r="V266" s="192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1925"/>
      <c r="AV266" s="1925"/>
      <c r="AW266" s="1925"/>
      <c r="AX266" s="1925"/>
      <c r="AY266" s="1925"/>
      <c r="AZ266" s="1925"/>
      <c r="BA266" s="1925"/>
      <c r="BB266" s="1925"/>
      <c r="BC266" s="1925"/>
      <c r="BD266" s="1925"/>
      <c r="BE266" s="1925"/>
      <c r="BF266" s="1925"/>
    </row>
    <row r="267" spans="3:58" s="6" customFormat="1" ht="12.75">
      <c r="C267" s="1925"/>
      <c r="D267" s="1925"/>
      <c r="E267" s="1925"/>
      <c r="F267" s="1925"/>
      <c r="G267" s="1925"/>
      <c r="H267" s="1925"/>
      <c r="I267" s="1925"/>
      <c r="J267" s="1925"/>
      <c r="K267" s="1925"/>
      <c r="L267" s="55"/>
      <c r="M267" s="55"/>
      <c r="N267" s="55"/>
      <c r="O267" s="55"/>
      <c r="P267" s="1925"/>
      <c r="Q267" s="1925"/>
      <c r="R267" s="1925"/>
      <c r="S267" s="1925"/>
      <c r="T267" s="1925"/>
      <c r="U267" s="1925"/>
      <c r="V267" s="192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1925"/>
      <c r="AV267" s="1925"/>
      <c r="AW267" s="1925"/>
      <c r="AX267" s="1925"/>
      <c r="AY267" s="1925"/>
      <c r="AZ267" s="1925"/>
      <c r="BA267" s="1925"/>
      <c r="BB267" s="1925"/>
      <c r="BC267" s="1925"/>
      <c r="BD267" s="1925"/>
      <c r="BE267" s="1925"/>
      <c r="BF267" s="1925"/>
    </row>
    <row r="268" spans="3:58" s="6" customFormat="1" ht="12.75">
      <c r="C268" s="1925"/>
      <c r="D268" s="1925"/>
      <c r="E268" s="1925"/>
      <c r="F268" s="1925"/>
      <c r="G268" s="1925"/>
      <c r="H268" s="1925"/>
      <c r="I268" s="1925"/>
      <c r="J268" s="1925"/>
      <c r="K268" s="1925"/>
      <c r="L268" s="55"/>
      <c r="M268" s="55"/>
      <c r="N268" s="55"/>
      <c r="O268" s="55"/>
      <c r="P268" s="1925"/>
      <c r="Q268" s="1925"/>
      <c r="R268" s="1925"/>
      <c r="S268" s="1925"/>
      <c r="T268" s="1925"/>
      <c r="U268" s="1925"/>
      <c r="V268" s="192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1925"/>
      <c r="AV268" s="1925"/>
      <c r="AW268" s="1925"/>
      <c r="AX268" s="1925"/>
      <c r="AY268" s="1925"/>
      <c r="AZ268" s="1925"/>
      <c r="BA268" s="1925"/>
      <c r="BB268" s="1925"/>
      <c r="BC268" s="1925"/>
      <c r="BD268" s="1925"/>
      <c r="BE268" s="1925"/>
      <c r="BF268" s="1925"/>
    </row>
    <row r="269" spans="3:58" s="6" customFormat="1" ht="12.75">
      <c r="C269" s="1925"/>
      <c r="D269" s="1925"/>
      <c r="E269" s="1925"/>
      <c r="F269" s="1925"/>
      <c r="G269" s="1925"/>
      <c r="H269" s="1925"/>
      <c r="I269" s="1925"/>
      <c r="J269" s="1925"/>
      <c r="K269" s="1925"/>
      <c r="L269" s="55"/>
      <c r="M269" s="55"/>
      <c r="N269" s="55"/>
      <c r="O269" s="55"/>
      <c r="P269" s="1925"/>
      <c r="Q269" s="1925"/>
      <c r="R269" s="1925"/>
      <c r="S269" s="1925"/>
      <c r="T269" s="1925"/>
      <c r="U269" s="1925"/>
      <c r="V269" s="192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1925"/>
      <c r="AV269" s="1925"/>
      <c r="AW269" s="1925"/>
      <c r="AX269" s="1925"/>
      <c r="AY269" s="1925"/>
      <c r="AZ269" s="1925"/>
      <c r="BA269" s="1925"/>
      <c r="BB269" s="1925"/>
      <c r="BC269" s="1925"/>
      <c r="BD269" s="1925"/>
      <c r="BE269" s="1925"/>
      <c r="BF269" s="1925"/>
    </row>
    <row r="270" spans="3:58" s="6" customFormat="1" ht="12.75">
      <c r="C270" s="1925"/>
      <c r="D270" s="1925"/>
      <c r="E270" s="1925"/>
      <c r="F270" s="1925"/>
      <c r="G270" s="1925"/>
      <c r="H270" s="1925"/>
      <c r="I270" s="1925"/>
      <c r="J270" s="1925"/>
      <c r="K270" s="1925"/>
      <c r="L270" s="55"/>
      <c r="M270" s="55"/>
      <c r="N270" s="55"/>
      <c r="O270" s="55"/>
      <c r="P270" s="1925"/>
      <c r="Q270" s="1925"/>
      <c r="R270" s="1925"/>
      <c r="S270" s="1925"/>
      <c r="T270" s="1925"/>
      <c r="U270" s="1925"/>
      <c r="V270" s="192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1925"/>
      <c r="AV270" s="1925"/>
      <c r="AW270" s="1925"/>
      <c r="AX270" s="1925"/>
      <c r="AY270" s="1925"/>
      <c r="AZ270" s="1925"/>
      <c r="BA270" s="1925"/>
      <c r="BB270" s="1925"/>
      <c r="BC270" s="1925"/>
      <c r="BD270" s="1925"/>
      <c r="BE270" s="1925"/>
      <c r="BF270" s="1925"/>
    </row>
    <row r="271" spans="3:58" s="6" customFormat="1" ht="12.75">
      <c r="C271" s="1925"/>
      <c r="D271" s="1925"/>
      <c r="E271" s="1925"/>
      <c r="F271" s="1925"/>
      <c r="G271" s="1925"/>
      <c r="H271" s="1925"/>
      <c r="I271" s="1925"/>
      <c r="J271" s="1925"/>
      <c r="K271" s="1925"/>
      <c r="L271" s="55"/>
      <c r="M271" s="55"/>
      <c r="N271" s="55"/>
      <c r="O271" s="55"/>
      <c r="P271" s="1925"/>
      <c r="Q271" s="1925"/>
      <c r="R271" s="1925"/>
      <c r="S271" s="1925"/>
      <c r="T271" s="1925"/>
      <c r="U271" s="1925"/>
      <c r="V271" s="192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1925"/>
      <c r="AV271" s="1925"/>
      <c r="AW271" s="1925"/>
      <c r="AX271" s="1925"/>
      <c r="AY271" s="1925"/>
      <c r="AZ271" s="1925"/>
      <c r="BA271" s="1925"/>
      <c r="BB271" s="1925"/>
      <c r="BC271" s="1925"/>
      <c r="BD271" s="1925"/>
      <c r="BE271" s="1925"/>
      <c r="BF271" s="1925"/>
    </row>
    <row r="272" spans="3:58" s="6" customFormat="1" ht="12.75">
      <c r="C272" s="1925"/>
      <c r="D272" s="1925"/>
      <c r="E272" s="1925"/>
      <c r="F272" s="1925"/>
      <c r="G272" s="1925"/>
      <c r="H272" s="1925"/>
      <c r="I272" s="1925"/>
      <c r="J272" s="1925"/>
      <c r="K272" s="1925"/>
      <c r="L272" s="55"/>
      <c r="M272" s="55"/>
      <c r="N272" s="55"/>
      <c r="O272" s="55"/>
      <c r="P272" s="1925"/>
      <c r="Q272" s="1925"/>
      <c r="R272" s="1925"/>
      <c r="S272" s="1925"/>
      <c r="T272" s="1925"/>
      <c r="U272" s="1925"/>
      <c r="V272" s="192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1925"/>
      <c r="AV272" s="1925"/>
      <c r="AW272" s="1925"/>
      <c r="AX272" s="1925"/>
      <c r="AY272" s="1925"/>
      <c r="AZ272" s="1925"/>
      <c r="BA272" s="1925"/>
      <c r="BB272" s="1925"/>
      <c r="BC272" s="1925"/>
      <c r="BD272" s="1925"/>
      <c r="BE272" s="1925"/>
      <c r="BF272" s="1925"/>
    </row>
    <row r="273" spans="3:58" s="6" customFormat="1" ht="12.75">
      <c r="C273" s="1925"/>
      <c r="D273" s="1925"/>
      <c r="E273" s="1925"/>
      <c r="F273" s="1925"/>
      <c r="G273" s="1925"/>
      <c r="H273" s="1925"/>
      <c r="I273" s="1925"/>
      <c r="J273" s="1925"/>
      <c r="K273" s="1925"/>
      <c r="L273" s="55"/>
      <c r="M273" s="55"/>
      <c r="N273" s="55"/>
      <c r="O273" s="55"/>
      <c r="P273" s="1925"/>
      <c r="Q273" s="1925"/>
      <c r="R273" s="1925"/>
      <c r="S273" s="1925"/>
      <c r="T273" s="1925"/>
      <c r="U273" s="1925"/>
      <c r="V273" s="192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1925"/>
      <c r="AV273" s="1925"/>
      <c r="AW273" s="1925"/>
      <c r="AX273" s="1925"/>
      <c r="AY273" s="1925"/>
      <c r="AZ273" s="1925"/>
      <c r="BA273" s="1925"/>
      <c r="BB273" s="1925"/>
      <c r="BC273" s="1925"/>
      <c r="BD273" s="1925"/>
      <c r="BE273" s="1925"/>
      <c r="BF273" s="1925"/>
    </row>
    <row r="274" spans="3:58" s="6" customFormat="1" ht="12.75">
      <c r="C274" s="1925"/>
      <c r="D274" s="1925"/>
      <c r="E274" s="1925"/>
      <c r="F274" s="1925"/>
      <c r="G274" s="1925"/>
      <c r="H274" s="1925"/>
      <c r="I274" s="1925"/>
      <c r="J274" s="1925"/>
      <c r="K274" s="1925"/>
      <c r="L274" s="55"/>
      <c r="M274" s="55"/>
      <c r="N274" s="55"/>
      <c r="O274" s="55"/>
      <c r="P274" s="1925"/>
      <c r="Q274" s="1925"/>
      <c r="R274" s="1925"/>
      <c r="S274" s="1925"/>
      <c r="T274" s="1925"/>
      <c r="U274" s="1925"/>
      <c r="V274" s="192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1925"/>
      <c r="AV274" s="1925"/>
      <c r="AW274" s="1925"/>
      <c r="AX274" s="1925"/>
      <c r="AY274" s="1925"/>
      <c r="AZ274" s="1925"/>
      <c r="BA274" s="1925"/>
      <c r="BB274" s="1925"/>
      <c r="BC274" s="1925"/>
      <c r="BD274" s="1925"/>
      <c r="BE274" s="1925"/>
      <c r="BF274" s="1925"/>
    </row>
    <row r="275" spans="3:58" s="6" customFormat="1" ht="12.75">
      <c r="C275" s="1925"/>
      <c r="D275" s="1925"/>
      <c r="E275" s="1925"/>
      <c r="F275" s="1925"/>
      <c r="G275" s="1925"/>
      <c r="H275" s="1925"/>
      <c r="I275" s="1925"/>
      <c r="J275" s="1925"/>
      <c r="K275" s="1925"/>
      <c r="L275" s="55"/>
      <c r="M275" s="55"/>
      <c r="N275" s="55"/>
      <c r="O275" s="55"/>
      <c r="P275" s="1925"/>
      <c r="Q275" s="1925"/>
      <c r="R275" s="1925"/>
      <c r="S275" s="1925"/>
      <c r="T275" s="1925"/>
      <c r="U275" s="1925"/>
      <c r="V275" s="192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1925"/>
      <c r="AV275" s="1925"/>
      <c r="AW275" s="1925"/>
      <c r="AX275" s="1925"/>
      <c r="AY275" s="1925"/>
      <c r="AZ275" s="1925"/>
      <c r="BA275" s="1925"/>
      <c r="BB275" s="1925"/>
      <c r="BC275" s="1925"/>
      <c r="BD275" s="1925"/>
      <c r="BE275" s="1925"/>
      <c r="BF275" s="1925"/>
    </row>
    <row r="276" spans="3:58" s="6" customFormat="1" ht="12.75">
      <c r="C276" s="1925"/>
      <c r="D276" s="1925"/>
      <c r="E276" s="1925"/>
      <c r="F276" s="1925"/>
      <c r="G276" s="1925"/>
      <c r="H276" s="1925"/>
      <c r="I276" s="1925"/>
      <c r="J276" s="1925"/>
      <c r="K276" s="1925"/>
      <c r="L276" s="55"/>
      <c r="M276" s="55"/>
      <c r="N276" s="55"/>
      <c r="O276" s="55"/>
      <c r="P276" s="1925"/>
      <c r="Q276" s="1925"/>
      <c r="R276" s="1925"/>
      <c r="S276" s="1925"/>
      <c r="T276" s="1925"/>
      <c r="U276" s="1925"/>
      <c r="V276" s="192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1925"/>
      <c r="AV276" s="1925"/>
      <c r="AW276" s="1925"/>
      <c r="AX276" s="1925"/>
      <c r="AY276" s="1925"/>
      <c r="AZ276" s="1925"/>
      <c r="BA276" s="1925"/>
      <c r="BB276" s="1925"/>
      <c r="BC276" s="1925"/>
      <c r="BD276" s="1925"/>
      <c r="BE276" s="1925"/>
      <c r="BF276" s="1925"/>
    </row>
    <row r="277" spans="3:58" s="6" customFormat="1" ht="12.75">
      <c r="C277" s="1925"/>
      <c r="D277" s="1925"/>
      <c r="E277" s="1925"/>
      <c r="F277" s="1925"/>
      <c r="G277" s="1925"/>
      <c r="H277" s="1925"/>
      <c r="I277" s="1925"/>
      <c r="J277" s="1925"/>
      <c r="K277" s="1925"/>
      <c r="L277" s="55"/>
      <c r="M277" s="55"/>
      <c r="N277" s="55"/>
      <c r="O277" s="55"/>
      <c r="P277" s="1925"/>
      <c r="Q277" s="1925"/>
      <c r="R277" s="1925"/>
      <c r="S277" s="1925"/>
      <c r="T277" s="1925"/>
      <c r="U277" s="1925"/>
      <c r="V277" s="192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1925"/>
      <c r="AV277" s="1925"/>
      <c r="AW277" s="1925"/>
      <c r="AX277" s="1925"/>
      <c r="AY277" s="1925"/>
      <c r="AZ277" s="1925"/>
      <c r="BA277" s="1925"/>
      <c r="BB277" s="1925"/>
      <c r="BC277" s="1925"/>
      <c r="BD277" s="1925"/>
      <c r="BE277" s="1925"/>
      <c r="BF277" s="1925"/>
    </row>
    <row r="278" spans="3:58" s="6" customFormat="1" ht="12.75">
      <c r="C278" s="1925"/>
      <c r="D278" s="1925"/>
      <c r="E278" s="1925"/>
      <c r="F278" s="1925"/>
      <c r="G278" s="1925"/>
      <c r="H278" s="1925"/>
      <c r="I278" s="1925"/>
      <c r="J278" s="1925"/>
      <c r="K278" s="1925"/>
      <c r="L278" s="55"/>
      <c r="M278" s="55"/>
      <c r="N278" s="55"/>
      <c r="O278" s="55"/>
      <c r="P278" s="1925"/>
      <c r="Q278" s="1925"/>
      <c r="R278" s="1925"/>
      <c r="S278" s="1925"/>
      <c r="T278" s="1925"/>
      <c r="U278" s="1925"/>
      <c r="V278" s="192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1925"/>
      <c r="AV278" s="1925"/>
      <c r="AW278" s="1925"/>
      <c r="AX278" s="1925"/>
      <c r="AY278" s="1925"/>
      <c r="AZ278" s="1925"/>
      <c r="BA278" s="1925"/>
      <c r="BB278" s="1925"/>
      <c r="BC278" s="1925"/>
      <c r="BD278" s="1925"/>
      <c r="BE278" s="1925"/>
      <c r="BF278" s="1925"/>
    </row>
    <row r="279" spans="3:58" s="6" customFormat="1" ht="12.75">
      <c r="C279" s="1925"/>
      <c r="D279" s="1925"/>
      <c r="E279" s="1925"/>
      <c r="F279" s="1925"/>
      <c r="G279" s="1925"/>
      <c r="H279" s="1925"/>
      <c r="I279" s="1925"/>
      <c r="J279" s="1925"/>
      <c r="K279" s="1925"/>
      <c r="L279" s="55"/>
      <c r="M279" s="55"/>
      <c r="N279" s="55"/>
      <c r="O279" s="55"/>
      <c r="P279" s="1925"/>
      <c r="Q279" s="1925"/>
      <c r="R279" s="1925"/>
      <c r="S279" s="1925"/>
      <c r="T279" s="1925"/>
      <c r="U279" s="1925"/>
      <c r="V279" s="192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1925"/>
      <c r="AV279" s="1925"/>
      <c r="AW279" s="1925"/>
      <c r="AX279" s="1925"/>
      <c r="AY279" s="1925"/>
      <c r="AZ279" s="1925"/>
      <c r="BA279" s="1925"/>
      <c r="BB279" s="1925"/>
      <c r="BC279" s="1925"/>
      <c r="BD279" s="1925"/>
      <c r="BE279" s="1925"/>
      <c r="BF279" s="1925"/>
    </row>
    <row r="280" spans="3:58" s="6" customFormat="1" ht="12.75">
      <c r="C280" s="1925"/>
      <c r="D280" s="1925"/>
      <c r="E280" s="1925"/>
      <c r="F280" s="1925"/>
      <c r="G280" s="1925"/>
      <c r="H280" s="1925"/>
      <c r="I280" s="1925"/>
      <c r="J280" s="1925"/>
      <c r="K280" s="1925"/>
      <c r="L280" s="55"/>
      <c r="M280" s="55"/>
      <c r="N280" s="55"/>
      <c r="O280" s="55"/>
      <c r="P280" s="1925"/>
      <c r="Q280" s="1925"/>
      <c r="R280" s="1925"/>
      <c r="S280" s="1925"/>
      <c r="T280" s="1925"/>
      <c r="U280" s="1925"/>
      <c r="V280" s="192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1925"/>
      <c r="AV280" s="1925"/>
      <c r="AW280" s="1925"/>
      <c r="AX280" s="1925"/>
      <c r="AY280" s="1925"/>
      <c r="AZ280" s="1925"/>
      <c r="BA280" s="1925"/>
      <c r="BB280" s="1925"/>
      <c r="BC280" s="1925"/>
      <c r="BD280" s="1925"/>
      <c r="BE280" s="1925"/>
      <c r="BF280" s="1925"/>
    </row>
    <row r="281" spans="3:58" s="6" customFormat="1" ht="12.75">
      <c r="C281" s="1925"/>
      <c r="D281" s="1925"/>
      <c r="E281" s="1925"/>
      <c r="F281" s="1925"/>
      <c r="G281" s="1925"/>
      <c r="H281" s="1925"/>
      <c r="I281" s="1925"/>
      <c r="J281" s="1925"/>
      <c r="K281" s="1925"/>
      <c r="L281" s="55"/>
      <c r="M281" s="55"/>
      <c r="N281" s="55"/>
      <c r="O281" s="55"/>
      <c r="P281" s="1925"/>
      <c r="Q281" s="1925"/>
      <c r="R281" s="1925"/>
      <c r="S281" s="1925"/>
      <c r="T281" s="1925"/>
      <c r="U281" s="1925"/>
      <c r="V281" s="192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1925"/>
      <c r="AV281" s="1925"/>
      <c r="AW281" s="1925"/>
      <c r="AX281" s="1925"/>
      <c r="AY281" s="1925"/>
      <c r="AZ281" s="1925"/>
      <c r="BA281" s="1925"/>
      <c r="BB281" s="1925"/>
      <c r="BC281" s="1925"/>
      <c r="BD281" s="1925"/>
      <c r="BE281" s="1925"/>
      <c r="BF281" s="1925"/>
    </row>
    <row r="282" spans="3:58" s="6" customFormat="1" ht="12.75">
      <c r="C282" s="1925"/>
      <c r="D282" s="1925"/>
      <c r="E282" s="1925"/>
      <c r="F282" s="1925"/>
      <c r="G282" s="1925"/>
      <c r="H282" s="1925"/>
      <c r="I282" s="1925"/>
      <c r="J282" s="1925"/>
      <c r="K282" s="1925"/>
      <c r="L282" s="55"/>
      <c r="M282" s="55"/>
      <c r="N282" s="55"/>
      <c r="O282" s="55"/>
      <c r="P282" s="1925"/>
      <c r="Q282" s="1925"/>
      <c r="R282" s="1925"/>
      <c r="S282" s="1925"/>
      <c r="T282" s="1925"/>
      <c r="U282" s="1925"/>
      <c r="V282" s="192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1925"/>
      <c r="AV282" s="1925"/>
      <c r="AW282" s="1925"/>
      <c r="AX282" s="1925"/>
      <c r="AY282" s="1925"/>
      <c r="AZ282" s="1925"/>
      <c r="BA282" s="1925"/>
      <c r="BB282" s="1925"/>
      <c r="BC282" s="1925"/>
      <c r="BD282" s="1925"/>
      <c r="BE282" s="1925"/>
      <c r="BF282" s="1925"/>
    </row>
    <row r="283" spans="3:58" s="6" customFormat="1" ht="12.75">
      <c r="C283" s="1925"/>
      <c r="D283" s="1925"/>
      <c r="E283" s="1925"/>
      <c r="F283" s="1925"/>
      <c r="G283" s="1925"/>
      <c r="H283" s="1925"/>
      <c r="I283" s="1925"/>
      <c r="J283" s="1925"/>
      <c r="K283" s="1925"/>
      <c r="L283" s="55"/>
      <c r="M283" s="55"/>
      <c r="N283" s="55"/>
      <c r="O283" s="55"/>
      <c r="P283" s="1925"/>
      <c r="Q283" s="1925"/>
      <c r="R283" s="1925"/>
      <c r="S283" s="1925"/>
      <c r="T283" s="1925"/>
      <c r="U283" s="1925"/>
      <c r="V283" s="192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1925"/>
      <c r="AV283" s="1925"/>
      <c r="AW283" s="1925"/>
      <c r="AX283" s="1925"/>
      <c r="AY283" s="1925"/>
      <c r="AZ283" s="1925"/>
      <c r="BA283" s="1925"/>
      <c r="BB283" s="1925"/>
      <c r="BC283" s="1925"/>
      <c r="BD283" s="1925"/>
      <c r="BE283" s="1925"/>
      <c r="BF283" s="1925"/>
    </row>
    <row r="284" spans="3:58" s="6" customFormat="1" ht="12.75">
      <c r="C284" s="1925"/>
      <c r="D284" s="1925"/>
      <c r="E284" s="1925"/>
      <c r="F284" s="1925"/>
      <c r="G284" s="1925"/>
      <c r="H284" s="1925"/>
      <c r="I284" s="1925"/>
      <c r="J284" s="1925"/>
      <c r="K284" s="1925"/>
      <c r="L284" s="55"/>
      <c r="M284" s="55"/>
      <c r="N284" s="55"/>
      <c r="O284" s="55"/>
      <c r="P284" s="1925"/>
      <c r="Q284" s="1925"/>
      <c r="R284" s="1925"/>
      <c r="S284" s="1925"/>
      <c r="T284" s="1925"/>
      <c r="U284" s="1925"/>
      <c r="V284" s="192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1925"/>
      <c r="AV284" s="1925"/>
      <c r="AW284" s="1925"/>
      <c r="AX284" s="1925"/>
      <c r="AY284" s="1925"/>
      <c r="AZ284" s="1925"/>
      <c r="BA284" s="1925"/>
      <c r="BB284" s="1925"/>
      <c r="BC284" s="1925"/>
      <c r="BD284" s="1925"/>
      <c r="BE284" s="1925"/>
      <c r="BF284" s="1925"/>
    </row>
    <row r="285" spans="3:58" s="6" customFormat="1" ht="12.75">
      <c r="C285" s="1925"/>
      <c r="D285" s="1925"/>
      <c r="E285" s="1925"/>
      <c r="F285" s="1925"/>
      <c r="G285" s="1925"/>
      <c r="H285" s="1925"/>
      <c r="I285" s="1925"/>
      <c r="J285" s="1925"/>
      <c r="K285" s="1925"/>
      <c r="L285" s="55"/>
      <c r="M285" s="55"/>
      <c r="N285" s="55"/>
      <c r="O285" s="55"/>
      <c r="P285" s="1925"/>
      <c r="Q285" s="1925"/>
      <c r="R285" s="1925"/>
      <c r="S285" s="1925"/>
      <c r="T285" s="1925"/>
      <c r="U285" s="1925"/>
      <c r="V285" s="192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1925"/>
      <c r="AV285" s="1925"/>
      <c r="AW285" s="1925"/>
      <c r="AX285" s="1925"/>
      <c r="AY285" s="1925"/>
      <c r="AZ285" s="1925"/>
      <c r="BA285" s="1925"/>
      <c r="BB285" s="1925"/>
      <c r="BC285" s="1925"/>
      <c r="BD285" s="1925"/>
      <c r="BE285" s="1925"/>
      <c r="BF285" s="1925"/>
    </row>
    <row r="286" spans="3:58" s="6" customFormat="1" ht="12.75">
      <c r="C286" s="1925"/>
      <c r="D286" s="1925"/>
      <c r="E286" s="1925"/>
      <c r="F286" s="1925"/>
      <c r="G286" s="1925"/>
      <c r="H286" s="1925"/>
      <c r="I286" s="1925"/>
      <c r="J286" s="1925"/>
      <c r="K286" s="1925"/>
      <c r="L286" s="55"/>
      <c r="M286" s="55"/>
      <c r="N286" s="55"/>
      <c r="O286" s="55"/>
      <c r="P286" s="1925"/>
      <c r="Q286" s="1925"/>
      <c r="R286" s="1925"/>
      <c r="S286" s="1925"/>
      <c r="T286" s="1925"/>
      <c r="U286" s="1925"/>
      <c r="V286" s="192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1925"/>
      <c r="AV286" s="1925"/>
      <c r="AW286" s="1925"/>
      <c r="AX286" s="1925"/>
      <c r="AY286" s="1925"/>
      <c r="AZ286" s="1925"/>
      <c r="BA286" s="1925"/>
      <c r="BB286" s="1925"/>
      <c r="BC286" s="1925"/>
      <c r="BD286" s="1925"/>
      <c r="BE286" s="1925"/>
      <c r="BF286" s="1925"/>
    </row>
    <row r="287" spans="3:58" s="6" customFormat="1" ht="12.75">
      <c r="C287" s="1925"/>
      <c r="D287" s="1925"/>
      <c r="E287" s="1925"/>
      <c r="F287" s="1925"/>
      <c r="G287" s="1925"/>
      <c r="H287" s="1925"/>
      <c r="I287" s="1925"/>
      <c r="J287" s="1925"/>
      <c r="K287" s="1925"/>
      <c r="L287" s="55"/>
      <c r="M287" s="55"/>
      <c r="N287" s="55"/>
      <c r="O287" s="55"/>
      <c r="P287" s="1925"/>
      <c r="Q287" s="1925"/>
      <c r="R287" s="1925"/>
      <c r="S287" s="1925"/>
      <c r="T287" s="1925"/>
      <c r="U287" s="1925"/>
      <c r="V287" s="192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1925"/>
      <c r="AV287" s="1925"/>
      <c r="AW287" s="1925"/>
      <c r="AX287" s="1925"/>
      <c r="AY287" s="1925"/>
      <c r="AZ287" s="1925"/>
      <c r="BA287" s="1925"/>
      <c r="BB287" s="1925"/>
      <c r="BC287" s="1925"/>
      <c r="BD287" s="1925"/>
      <c r="BE287" s="1925"/>
      <c r="BF287" s="1925"/>
    </row>
    <row r="288" spans="3:58" s="6" customFormat="1" ht="12.75">
      <c r="C288" s="1925"/>
      <c r="D288" s="1925"/>
      <c r="E288" s="1925"/>
      <c r="F288" s="1925"/>
      <c r="G288" s="1925"/>
      <c r="H288" s="1925"/>
      <c r="I288" s="1925"/>
      <c r="J288" s="1925"/>
      <c r="K288" s="1925"/>
      <c r="L288" s="55"/>
      <c r="M288" s="55"/>
      <c r="N288" s="55"/>
      <c r="O288" s="55"/>
      <c r="P288" s="1925"/>
      <c r="Q288" s="1925"/>
      <c r="R288" s="1925"/>
      <c r="S288" s="1925"/>
      <c r="T288" s="1925"/>
      <c r="U288" s="1925"/>
      <c r="V288" s="192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1925"/>
      <c r="AV288" s="1925"/>
      <c r="AW288" s="1925"/>
      <c r="AX288" s="1925"/>
      <c r="AY288" s="1925"/>
      <c r="AZ288" s="1925"/>
      <c r="BA288" s="1925"/>
      <c r="BB288" s="1925"/>
      <c r="BC288" s="1925"/>
      <c r="BD288" s="1925"/>
      <c r="BE288" s="1925"/>
      <c r="BF288" s="1925"/>
    </row>
    <row r="289" spans="3:58" s="6" customFormat="1" ht="12.75">
      <c r="C289" s="1925"/>
      <c r="D289" s="1925"/>
      <c r="E289" s="1925"/>
      <c r="F289" s="1925"/>
      <c r="G289" s="1925"/>
      <c r="H289" s="1925"/>
      <c r="I289" s="1925"/>
      <c r="J289" s="1925"/>
      <c r="K289" s="1925"/>
      <c r="L289" s="55"/>
      <c r="M289" s="55"/>
      <c r="N289" s="55"/>
      <c r="O289" s="55"/>
      <c r="P289" s="1925"/>
      <c r="Q289" s="1925"/>
      <c r="R289" s="1925"/>
      <c r="S289" s="1925"/>
      <c r="T289" s="1925"/>
      <c r="U289" s="1925"/>
      <c r="V289" s="192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1925"/>
      <c r="AV289" s="1925"/>
      <c r="AW289" s="1925"/>
      <c r="AX289" s="1925"/>
      <c r="AY289" s="1925"/>
      <c r="AZ289" s="1925"/>
      <c r="BA289" s="1925"/>
      <c r="BB289" s="1925"/>
      <c r="BC289" s="1925"/>
      <c r="BD289" s="1925"/>
      <c r="BE289" s="1925"/>
      <c r="BF289" s="1925"/>
    </row>
    <row r="290" spans="3:58" s="6" customFormat="1" ht="12.75">
      <c r="C290" s="1925"/>
      <c r="D290" s="1925"/>
      <c r="E290" s="1925"/>
      <c r="F290" s="1925"/>
      <c r="G290" s="1925"/>
      <c r="H290" s="1925"/>
      <c r="I290" s="1925"/>
      <c r="J290" s="1925"/>
      <c r="K290" s="1925"/>
      <c r="L290" s="55"/>
      <c r="M290" s="55"/>
      <c r="N290" s="55"/>
      <c r="O290" s="55"/>
      <c r="P290" s="1925"/>
      <c r="Q290" s="1925"/>
      <c r="R290" s="1925"/>
      <c r="S290" s="1925"/>
      <c r="T290" s="1925"/>
      <c r="U290" s="1925"/>
      <c r="V290" s="192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1925"/>
      <c r="AV290" s="1925"/>
      <c r="AW290" s="1925"/>
      <c r="AX290" s="1925"/>
      <c r="AY290" s="1925"/>
      <c r="AZ290" s="1925"/>
      <c r="BA290" s="1925"/>
      <c r="BB290" s="1925"/>
      <c r="BC290" s="1925"/>
      <c r="BD290" s="1925"/>
      <c r="BE290" s="1925"/>
      <c r="BF290" s="1925"/>
    </row>
    <row r="291" spans="3:58" s="6" customFormat="1" ht="12.75">
      <c r="C291" s="1925"/>
      <c r="D291" s="1925"/>
      <c r="E291" s="1925"/>
      <c r="F291" s="1925"/>
      <c r="G291" s="1925"/>
      <c r="H291" s="1925"/>
      <c r="I291" s="1925"/>
      <c r="J291" s="1925"/>
      <c r="K291" s="1925"/>
      <c r="L291" s="55"/>
      <c r="M291" s="55"/>
      <c r="N291" s="55"/>
      <c r="O291" s="55"/>
      <c r="P291" s="1925"/>
      <c r="Q291" s="1925"/>
      <c r="R291" s="1925"/>
      <c r="S291" s="1925"/>
      <c r="T291" s="1925"/>
      <c r="U291" s="1925"/>
      <c r="V291" s="192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1925"/>
      <c r="AV291" s="1925"/>
      <c r="AW291" s="1925"/>
      <c r="AX291" s="1925"/>
      <c r="AY291" s="1925"/>
      <c r="AZ291" s="1925"/>
      <c r="BA291" s="1925"/>
      <c r="BB291" s="1925"/>
      <c r="BC291" s="1925"/>
      <c r="BD291" s="1925"/>
      <c r="BE291" s="1925"/>
      <c r="BF291" s="1925"/>
    </row>
    <row r="292" spans="3:58" s="6" customFormat="1" ht="12.75">
      <c r="C292" s="1925"/>
      <c r="D292" s="1925"/>
      <c r="E292" s="1925"/>
      <c r="F292" s="1925"/>
      <c r="G292" s="1925"/>
      <c r="H292" s="1925"/>
      <c r="I292" s="1925"/>
      <c r="J292" s="1925"/>
      <c r="K292" s="1925"/>
      <c r="L292" s="55"/>
      <c r="M292" s="55"/>
      <c r="N292" s="55"/>
      <c r="O292" s="55"/>
      <c r="P292" s="1925"/>
      <c r="Q292" s="1925"/>
      <c r="R292" s="1925"/>
      <c r="S292" s="1925"/>
      <c r="T292" s="1925"/>
      <c r="U292" s="1925"/>
      <c r="V292" s="192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1925"/>
      <c r="AV292" s="1925"/>
      <c r="AW292" s="1925"/>
      <c r="AX292" s="1925"/>
      <c r="AY292" s="1925"/>
      <c r="AZ292" s="1925"/>
      <c r="BA292" s="1925"/>
      <c r="BB292" s="1925"/>
      <c r="BC292" s="1925"/>
      <c r="BD292" s="1925"/>
      <c r="BE292" s="1925"/>
      <c r="BF292" s="1925"/>
    </row>
    <row r="293" spans="3:58" s="6" customFormat="1" ht="12.75">
      <c r="C293" s="1925"/>
      <c r="D293" s="1925"/>
      <c r="E293" s="1925"/>
      <c r="F293" s="1925"/>
      <c r="G293" s="1925"/>
      <c r="H293" s="1925"/>
      <c r="I293" s="1925"/>
      <c r="J293" s="1925"/>
      <c r="K293" s="1925"/>
      <c r="L293" s="55"/>
      <c r="M293" s="55"/>
      <c r="N293" s="55"/>
      <c r="O293" s="55"/>
      <c r="P293" s="1925"/>
      <c r="Q293" s="1925"/>
      <c r="R293" s="1925"/>
      <c r="S293" s="1925"/>
      <c r="T293" s="1925"/>
      <c r="U293" s="1925"/>
      <c r="V293" s="192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1925"/>
      <c r="AV293" s="1925"/>
      <c r="AW293" s="1925"/>
      <c r="AX293" s="1925"/>
      <c r="AY293" s="1925"/>
      <c r="AZ293" s="1925"/>
      <c r="BA293" s="1925"/>
      <c r="BB293" s="1925"/>
      <c r="BC293" s="1925"/>
      <c r="BD293" s="1925"/>
      <c r="BE293" s="1925"/>
      <c r="BF293" s="1925"/>
    </row>
    <row r="294" spans="3:58" s="6" customFormat="1" ht="12.75">
      <c r="C294" s="1925"/>
      <c r="D294" s="1925"/>
      <c r="E294" s="1925"/>
      <c r="F294" s="1925"/>
      <c r="G294" s="1925"/>
      <c r="H294" s="1925"/>
      <c r="I294" s="1925"/>
      <c r="J294" s="1925"/>
      <c r="K294" s="1925"/>
      <c r="L294" s="55"/>
      <c r="M294" s="55"/>
      <c r="N294" s="55"/>
      <c r="O294" s="55"/>
      <c r="P294" s="1925"/>
      <c r="Q294" s="1925"/>
      <c r="R294" s="1925"/>
      <c r="S294" s="1925"/>
      <c r="T294" s="1925"/>
      <c r="U294" s="1925"/>
      <c r="V294" s="192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1925"/>
      <c r="AV294" s="1925"/>
      <c r="AW294" s="1925"/>
      <c r="AX294" s="1925"/>
      <c r="AY294" s="1925"/>
      <c r="AZ294" s="1925"/>
      <c r="BA294" s="1925"/>
      <c r="BB294" s="1925"/>
      <c r="BC294" s="1925"/>
      <c r="BD294" s="1925"/>
      <c r="BE294" s="1925"/>
      <c r="BF294" s="1925"/>
    </row>
    <row r="295" spans="3:58" s="6" customFormat="1" ht="12.75">
      <c r="C295" s="1925"/>
      <c r="D295" s="1925"/>
      <c r="E295" s="1925"/>
      <c r="F295" s="1925"/>
      <c r="G295" s="1925"/>
      <c r="H295" s="1925"/>
      <c r="I295" s="1925"/>
      <c r="J295" s="1925"/>
      <c r="K295" s="1925"/>
      <c r="L295" s="55"/>
      <c r="M295" s="55"/>
      <c r="N295" s="55"/>
      <c r="O295" s="55"/>
      <c r="P295" s="1925"/>
      <c r="Q295" s="1925"/>
      <c r="R295" s="1925"/>
      <c r="S295" s="1925"/>
      <c r="T295" s="1925"/>
      <c r="U295" s="1925"/>
      <c r="V295" s="192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1925"/>
      <c r="AV295" s="1925"/>
      <c r="AW295" s="1925"/>
      <c r="AX295" s="1925"/>
      <c r="AY295" s="1925"/>
      <c r="AZ295" s="1925"/>
      <c r="BA295" s="1925"/>
      <c r="BB295" s="1925"/>
      <c r="BC295" s="1925"/>
      <c r="BD295" s="1925"/>
      <c r="BE295" s="1925"/>
      <c r="BF295" s="1925"/>
    </row>
    <row r="296" spans="3:58" s="6" customFormat="1" ht="12.75">
      <c r="C296" s="1925"/>
      <c r="D296" s="1925"/>
      <c r="E296" s="1925"/>
      <c r="F296" s="1925"/>
      <c r="G296" s="1925"/>
      <c r="H296" s="1925"/>
      <c r="I296" s="1925"/>
      <c r="J296" s="1925"/>
      <c r="K296" s="1925"/>
      <c r="L296" s="55"/>
      <c r="M296" s="55"/>
      <c r="N296" s="55"/>
      <c r="O296" s="55"/>
      <c r="P296" s="1925"/>
      <c r="Q296" s="1925"/>
      <c r="R296" s="1925"/>
      <c r="S296" s="1925"/>
      <c r="T296" s="1925"/>
      <c r="U296" s="1925"/>
      <c r="V296" s="192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1925"/>
      <c r="AV296" s="1925"/>
      <c r="AW296" s="1925"/>
      <c r="AX296" s="1925"/>
      <c r="AY296" s="1925"/>
      <c r="AZ296" s="1925"/>
      <c r="BA296" s="1925"/>
      <c r="BB296" s="1925"/>
      <c r="BC296" s="1925"/>
      <c r="BD296" s="1925"/>
      <c r="BE296" s="1925"/>
      <c r="BF296" s="1925"/>
    </row>
    <row r="297" spans="3:58" s="6" customFormat="1" ht="12.75">
      <c r="C297" s="1925"/>
      <c r="D297" s="1925"/>
      <c r="E297" s="1925"/>
      <c r="F297" s="1925"/>
      <c r="G297" s="1925"/>
      <c r="H297" s="1925"/>
      <c r="I297" s="1925"/>
      <c r="J297" s="1925"/>
      <c r="K297" s="1925"/>
      <c r="L297" s="55"/>
      <c r="M297" s="55"/>
      <c r="N297" s="55"/>
      <c r="O297" s="55"/>
      <c r="P297" s="1925"/>
      <c r="Q297" s="1925"/>
      <c r="R297" s="1925"/>
      <c r="S297" s="1925"/>
      <c r="T297" s="1925"/>
      <c r="U297" s="1925"/>
      <c r="V297" s="192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1925"/>
      <c r="AV297" s="1925"/>
      <c r="AW297" s="1925"/>
      <c r="AX297" s="1925"/>
      <c r="AY297" s="1925"/>
      <c r="AZ297" s="1925"/>
      <c r="BA297" s="1925"/>
      <c r="BB297" s="1925"/>
      <c r="BC297" s="1925"/>
      <c r="BD297" s="1925"/>
      <c r="BE297" s="1925"/>
      <c r="BF297" s="1925"/>
    </row>
    <row r="298" spans="3:58" s="6" customFormat="1" ht="12.75">
      <c r="C298" s="1925"/>
      <c r="D298" s="1925"/>
      <c r="E298" s="1925"/>
      <c r="F298" s="1925"/>
      <c r="G298" s="1925"/>
      <c r="H298" s="1925"/>
      <c r="I298" s="1925"/>
      <c r="J298" s="1925"/>
      <c r="K298" s="1925"/>
      <c r="L298" s="55"/>
      <c r="M298" s="55"/>
      <c r="N298" s="55"/>
      <c r="O298" s="55"/>
      <c r="P298" s="1925"/>
      <c r="Q298" s="1925"/>
      <c r="R298" s="1925"/>
      <c r="S298" s="1925"/>
      <c r="T298" s="1925"/>
      <c r="U298" s="1925"/>
      <c r="V298" s="192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1925"/>
      <c r="AV298" s="1925"/>
      <c r="AW298" s="1925"/>
      <c r="AX298" s="1925"/>
      <c r="AY298" s="1925"/>
      <c r="AZ298" s="1925"/>
      <c r="BA298" s="1925"/>
      <c r="BB298" s="1925"/>
      <c r="BC298" s="1925"/>
      <c r="BD298" s="1925"/>
      <c r="BE298" s="1925"/>
      <c r="BF298" s="1925"/>
    </row>
    <row r="299" spans="3:58" s="6" customFormat="1" ht="12.75">
      <c r="C299" s="1925"/>
      <c r="D299" s="1925"/>
      <c r="E299" s="1925"/>
      <c r="F299" s="1925"/>
      <c r="G299" s="1925"/>
      <c r="H299" s="1925"/>
      <c r="I299" s="1925"/>
      <c r="J299" s="1925"/>
      <c r="K299" s="1925"/>
      <c r="L299" s="55"/>
      <c r="M299" s="55"/>
      <c r="N299" s="55"/>
      <c r="O299" s="55"/>
      <c r="P299" s="1925"/>
      <c r="Q299" s="1925"/>
      <c r="R299" s="1925"/>
      <c r="S299" s="1925"/>
      <c r="T299" s="1925"/>
      <c r="U299" s="1925"/>
      <c r="V299" s="192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1925"/>
      <c r="AV299" s="1925"/>
      <c r="AW299" s="1925"/>
      <c r="AX299" s="1925"/>
      <c r="AY299" s="1925"/>
      <c r="AZ299" s="1925"/>
      <c r="BA299" s="1925"/>
      <c r="BB299" s="1925"/>
      <c r="BC299" s="1925"/>
      <c r="BD299" s="1925"/>
      <c r="BE299" s="1925"/>
      <c r="BF299" s="1925"/>
    </row>
    <row r="300" spans="3:58" s="6" customFormat="1" ht="12.75">
      <c r="C300" s="1925"/>
      <c r="D300" s="1925"/>
      <c r="E300" s="1925"/>
      <c r="F300" s="1925"/>
      <c r="G300" s="1925"/>
      <c r="H300" s="1925"/>
      <c r="I300" s="1925"/>
      <c r="J300" s="1925"/>
      <c r="K300" s="1925"/>
      <c r="L300" s="55"/>
      <c r="M300" s="55"/>
      <c r="N300" s="55"/>
      <c r="O300" s="55"/>
      <c r="P300" s="1925"/>
      <c r="Q300" s="1925"/>
      <c r="R300" s="1925"/>
      <c r="S300" s="1925"/>
      <c r="T300" s="1925"/>
      <c r="U300" s="1925"/>
      <c r="V300" s="192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1925"/>
      <c r="AV300" s="1925"/>
      <c r="AW300" s="1925"/>
      <c r="AX300" s="1925"/>
      <c r="AY300" s="1925"/>
      <c r="AZ300" s="1925"/>
      <c r="BA300" s="1925"/>
      <c r="BB300" s="1925"/>
      <c r="BC300" s="1925"/>
      <c r="BD300" s="1925"/>
      <c r="BE300" s="1925"/>
      <c r="BF300" s="1925"/>
    </row>
    <row r="301" spans="3:58" s="6" customFormat="1" ht="12.75">
      <c r="C301" s="1925"/>
      <c r="D301" s="1925"/>
      <c r="E301" s="1925"/>
      <c r="F301" s="1925"/>
      <c r="G301" s="1925"/>
      <c r="H301" s="1925"/>
      <c r="I301" s="1925"/>
      <c r="J301" s="1925"/>
      <c r="K301" s="1925"/>
      <c r="L301" s="55"/>
      <c r="M301" s="55"/>
      <c r="N301" s="55"/>
      <c r="O301" s="55"/>
      <c r="P301" s="1925"/>
      <c r="Q301" s="1925"/>
      <c r="R301" s="1925"/>
      <c r="S301" s="1925"/>
      <c r="T301" s="1925"/>
      <c r="U301" s="1925"/>
      <c r="V301" s="192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1925"/>
      <c r="AV301" s="1925"/>
      <c r="AW301" s="1925"/>
      <c r="AX301" s="1925"/>
      <c r="AY301" s="1925"/>
      <c r="AZ301" s="1925"/>
      <c r="BA301" s="1925"/>
      <c r="BB301" s="1925"/>
      <c r="BC301" s="1925"/>
      <c r="BD301" s="1925"/>
      <c r="BE301" s="1925"/>
      <c r="BF301" s="1925"/>
    </row>
    <row r="302" spans="3:58" s="6" customFormat="1" ht="12.75">
      <c r="C302" s="1925"/>
      <c r="D302" s="1925"/>
      <c r="E302" s="1925"/>
      <c r="F302" s="1925"/>
      <c r="G302" s="1925"/>
      <c r="H302" s="1925"/>
      <c r="I302" s="1925"/>
      <c r="J302" s="1925"/>
      <c r="K302" s="1925"/>
      <c r="L302" s="55"/>
      <c r="M302" s="55"/>
      <c r="N302" s="55"/>
      <c r="O302" s="55"/>
      <c r="P302" s="1925"/>
      <c r="Q302" s="1925"/>
      <c r="R302" s="1925"/>
      <c r="S302" s="1925"/>
      <c r="T302" s="1925"/>
      <c r="U302" s="1925"/>
      <c r="V302" s="192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1925"/>
      <c r="AV302" s="1925"/>
      <c r="AW302" s="1925"/>
      <c r="AX302" s="1925"/>
      <c r="AY302" s="1925"/>
      <c r="AZ302" s="1925"/>
      <c r="BA302" s="1925"/>
      <c r="BB302" s="1925"/>
      <c r="BC302" s="1925"/>
      <c r="BD302" s="1925"/>
      <c r="BE302" s="1925"/>
      <c r="BF302" s="1925"/>
    </row>
    <row r="303" spans="3:58" s="6" customFormat="1" ht="12.75">
      <c r="C303" s="1925"/>
      <c r="D303" s="1925"/>
      <c r="E303" s="1925"/>
      <c r="F303" s="1925"/>
      <c r="G303" s="1925"/>
      <c r="H303" s="1925"/>
      <c r="I303" s="1925"/>
      <c r="J303" s="1925"/>
      <c r="K303" s="1925"/>
      <c r="L303" s="55"/>
      <c r="M303" s="55"/>
      <c r="N303" s="55"/>
      <c r="O303" s="55"/>
      <c r="P303" s="1925"/>
      <c r="Q303" s="1925"/>
      <c r="R303" s="1925"/>
      <c r="S303" s="1925"/>
      <c r="T303" s="1925"/>
      <c r="U303" s="1925"/>
      <c r="V303" s="192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1925"/>
      <c r="AV303" s="1925"/>
      <c r="AW303" s="1925"/>
      <c r="AX303" s="1925"/>
      <c r="AY303" s="1925"/>
      <c r="AZ303" s="1925"/>
      <c r="BA303" s="1925"/>
      <c r="BB303" s="1925"/>
      <c r="BC303" s="1925"/>
      <c r="BD303" s="1925"/>
      <c r="BE303" s="1925"/>
      <c r="BF303" s="1925"/>
    </row>
    <row r="304" spans="3:58" s="6" customFormat="1" ht="12.75">
      <c r="C304" s="1925"/>
      <c r="D304" s="1925"/>
      <c r="E304" s="1925"/>
      <c r="F304" s="1925"/>
      <c r="G304" s="1925"/>
      <c r="H304" s="1925"/>
      <c r="I304" s="1925"/>
      <c r="J304" s="1925"/>
      <c r="K304" s="1925"/>
      <c r="L304" s="55"/>
      <c r="M304" s="55"/>
      <c r="N304" s="55"/>
      <c r="O304" s="55"/>
      <c r="P304" s="1925"/>
      <c r="Q304" s="1925"/>
      <c r="R304" s="1925"/>
      <c r="S304" s="1925"/>
      <c r="T304" s="1925"/>
      <c r="U304" s="1925"/>
      <c r="V304" s="192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1925"/>
      <c r="AV304" s="1925"/>
      <c r="AW304" s="1925"/>
      <c r="AX304" s="1925"/>
      <c r="AY304" s="1925"/>
      <c r="AZ304" s="1925"/>
      <c r="BA304" s="1925"/>
      <c r="BB304" s="1925"/>
      <c r="BC304" s="1925"/>
      <c r="BD304" s="1925"/>
      <c r="BE304" s="1925"/>
      <c r="BF304" s="1925"/>
    </row>
    <row r="305" spans="3:58" s="6" customFormat="1" ht="12.75">
      <c r="C305" s="1925"/>
      <c r="D305" s="1925"/>
      <c r="E305" s="1925"/>
      <c r="F305" s="1925"/>
      <c r="G305" s="1925"/>
      <c r="H305" s="1925"/>
      <c r="I305" s="1925"/>
      <c r="J305" s="1925"/>
      <c r="K305" s="1925"/>
      <c r="L305" s="55"/>
      <c r="M305" s="55"/>
      <c r="N305" s="55"/>
      <c r="O305" s="55"/>
      <c r="P305" s="1925"/>
      <c r="Q305" s="1925"/>
      <c r="R305" s="1925"/>
      <c r="S305" s="1925"/>
      <c r="T305" s="1925"/>
      <c r="U305" s="1925"/>
      <c r="V305" s="192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1925"/>
      <c r="AV305" s="1925"/>
      <c r="AW305" s="1925"/>
      <c r="AX305" s="1925"/>
      <c r="AY305" s="1925"/>
      <c r="AZ305" s="1925"/>
      <c r="BA305" s="1925"/>
      <c r="BB305" s="1925"/>
      <c r="BC305" s="1925"/>
      <c r="BD305" s="1925"/>
      <c r="BE305" s="1925"/>
      <c r="BF305" s="1925"/>
    </row>
    <row r="306" spans="3:58" s="6" customFormat="1" ht="12.75">
      <c r="C306" s="1925"/>
      <c r="D306" s="1925"/>
      <c r="E306" s="1925"/>
      <c r="F306" s="1925"/>
      <c r="G306" s="1925"/>
      <c r="H306" s="1925"/>
      <c r="I306" s="1925"/>
      <c r="J306" s="1925"/>
      <c r="K306" s="1925"/>
      <c r="L306" s="55"/>
      <c r="M306" s="55"/>
      <c r="N306" s="55"/>
      <c r="O306" s="55"/>
      <c r="P306" s="1925"/>
      <c r="Q306" s="1925"/>
      <c r="R306" s="1925"/>
      <c r="S306" s="1925"/>
      <c r="T306" s="1925"/>
      <c r="U306" s="1925"/>
      <c r="V306" s="192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1925"/>
      <c r="AV306" s="1925"/>
      <c r="AW306" s="1925"/>
      <c r="AX306" s="1925"/>
      <c r="AY306" s="1925"/>
      <c r="AZ306" s="1925"/>
      <c r="BA306" s="1925"/>
      <c r="BB306" s="1925"/>
      <c r="BC306" s="1925"/>
      <c r="BD306" s="1925"/>
      <c r="BE306" s="1925"/>
      <c r="BF306" s="1925"/>
    </row>
    <row r="307" spans="3:58" s="6" customFormat="1" ht="12.75">
      <c r="C307" s="1925"/>
      <c r="D307" s="1925"/>
      <c r="E307" s="1925"/>
      <c r="F307" s="1925"/>
      <c r="G307" s="1925"/>
      <c r="H307" s="1925"/>
      <c r="I307" s="1925"/>
      <c r="J307" s="1925"/>
      <c r="K307" s="1925"/>
      <c r="L307" s="55"/>
      <c r="M307" s="55"/>
      <c r="N307" s="55"/>
      <c r="O307" s="55"/>
      <c r="P307" s="1925"/>
      <c r="Q307" s="1925"/>
      <c r="R307" s="1925"/>
      <c r="S307" s="1925"/>
      <c r="T307" s="1925"/>
      <c r="U307" s="1925"/>
      <c r="V307" s="192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1925"/>
      <c r="AV307" s="1925"/>
      <c r="AW307" s="1925"/>
      <c r="AX307" s="1925"/>
      <c r="AY307" s="1925"/>
      <c r="AZ307" s="1925"/>
      <c r="BA307" s="1925"/>
      <c r="BB307" s="1925"/>
      <c r="BC307" s="1925"/>
      <c r="BD307" s="1925"/>
      <c r="BE307" s="1925"/>
      <c r="BF307" s="1925"/>
    </row>
    <row r="308" spans="3:58" s="6" customFormat="1" ht="12.75">
      <c r="C308" s="1925"/>
      <c r="D308" s="1925"/>
      <c r="E308" s="1925"/>
      <c r="F308" s="1925"/>
      <c r="G308" s="1925"/>
      <c r="H308" s="1925"/>
      <c r="I308" s="1925"/>
      <c r="J308" s="1925"/>
      <c r="K308" s="1925"/>
      <c r="L308" s="55"/>
      <c r="M308" s="55"/>
      <c r="N308" s="55"/>
      <c r="O308" s="55"/>
      <c r="P308" s="1925"/>
      <c r="Q308" s="1925"/>
      <c r="R308" s="1925"/>
      <c r="S308" s="1925"/>
      <c r="T308" s="1925"/>
      <c r="U308" s="1925"/>
      <c r="V308" s="192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1925"/>
      <c r="AV308" s="1925"/>
      <c r="AW308" s="1925"/>
      <c r="AX308" s="1925"/>
      <c r="AY308" s="1925"/>
      <c r="AZ308" s="1925"/>
      <c r="BA308" s="1925"/>
      <c r="BB308" s="1925"/>
      <c r="BC308" s="1925"/>
      <c r="BD308" s="1925"/>
      <c r="BE308" s="1925"/>
      <c r="BF308" s="1925"/>
    </row>
    <row r="309" spans="3:58" s="6" customFormat="1" ht="12.75">
      <c r="C309" s="1925"/>
      <c r="D309" s="1925"/>
      <c r="E309" s="1925"/>
      <c r="F309" s="1925"/>
      <c r="G309" s="1925"/>
      <c r="H309" s="1925"/>
      <c r="I309" s="1925"/>
      <c r="J309" s="1925"/>
      <c r="K309" s="1925"/>
      <c r="L309" s="55"/>
      <c r="M309" s="55"/>
      <c r="N309" s="55"/>
      <c r="O309" s="55"/>
      <c r="P309" s="1925"/>
      <c r="Q309" s="1925"/>
      <c r="R309" s="1925"/>
      <c r="S309" s="1925"/>
      <c r="T309" s="1925"/>
      <c r="U309" s="1925"/>
      <c r="V309" s="192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1925"/>
      <c r="AV309" s="1925"/>
      <c r="AW309" s="1925"/>
      <c r="AX309" s="1925"/>
      <c r="AY309" s="1925"/>
      <c r="AZ309" s="1925"/>
      <c r="BA309" s="1925"/>
      <c r="BB309" s="1925"/>
      <c r="BC309" s="1925"/>
      <c r="BD309" s="1925"/>
      <c r="BE309" s="1925"/>
      <c r="BF309" s="1925"/>
    </row>
    <row r="310" spans="3:58" s="6" customFormat="1" ht="12.75">
      <c r="C310" s="1925"/>
      <c r="D310" s="1925"/>
      <c r="E310" s="1925"/>
      <c r="F310" s="1925"/>
      <c r="G310" s="1925"/>
      <c r="H310" s="1925"/>
      <c r="I310" s="1925"/>
      <c r="J310" s="1925"/>
      <c r="K310" s="1925"/>
      <c r="L310" s="55"/>
      <c r="M310" s="55"/>
      <c r="N310" s="55"/>
      <c r="O310" s="55"/>
      <c r="P310" s="1925"/>
      <c r="Q310" s="1925"/>
      <c r="R310" s="1925"/>
      <c r="S310" s="1925"/>
      <c r="T310" s="1925"/>
      <c r="U310" s="1925"/>
      <c r="V310" s="192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1925"/>
      <c r="AV310" s="1925"/>
      <c r="AW310" s="1925"/>
      <c r="AX310" s="1925"/>
      <c r="AY310" s="1925"/>
      <c r="AZ310" s="1925"/>
      <c r="BA310" s="1925"/>
      <c r="BB310" s="1925"/>
      <c r="BC310" s="1925"/>
      <c r="BD310" s="1925"/>
      <c r="BE310" s="1925"/>
      <c r="BF310" s="1925"/>
    </row>
    <row r="311" spans="3:58" s="6" customFormat="1" ht="12.75">
      <c r="C311" s="1925"/>
      <c r="D311" s="1925"/>
      <c r="E311" s="1925"/>
      <c r="F311" s="1925"/>
      <c r="G311" s="1925"/>
      <c r="H311" s="1925"/>
      <c r="I311" s="1925"/>
      <c r="J311" s="1925"/>
      <c r="K311" s="1925"/>
      <c r="L311" s="55"/>
      <c r="M311" s="55"/>
      <c r="N311" s="55"/>
      <c r="O311" s="55"/>
      <c r="P311" s="1925"/>
      <c r="Q311" s="1925"/>
      <c r="R311" s="1925"/>
      <c r="S311" s="1925"/>
      <c r="T311" s="1925"/>
      <c r="U311" s="1925"/>
      <c r="V311" s="192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1925"/>
      <c r="AV311" s="1925"/>
      <c r="AW311" s="1925"/>
      <c r="AX311" s="1925"/>
      <c r="AY311" s="1925"/>
      <c r="AZ311" s="1925"/>
      <c r="BA311" s="1925"/>
      <c r="BB311" s="1925"/>
      <c r="BC311" s="1925"/>
      <c r="BD311" s="1925"/>
      <c r="BE311" s="1925"/>
      <c r="BF311" s="1925"/>
    </row>
    <row r="312" spans="3:58" s="6" customFormat="1" ht="12.75">
      <c r="C312" s="1925"/>
      <c r="D312" s="1925"/>
      <c r="E312" s="1925"/>
      <c r="F312" s="1925"/>
      <c r="G312" s="1925"/>
      <c r="H312" s="1925"/>
      <c r="I312" s="1925"/>
      <c r="J312" s="1925"/>
      <c r="K312" s="1925"/>
      <c r="L312" s="55"/>
      <c r="M312" s="55"/>
      <c r="N312" s="55"/>
      <c r="O312" s="55"/>
      <c r="P312" s="1925"/>
      <c r="Q312" s="1925"/>
      <c r="R312" s="1925"/>
      <c r="S312" s="1925"/>
      <c r="T312" s="1925"/>
      <c r="U312" s="1925"/>
      <c r="V312" s="192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1925"/>
      <c r="AV312" s="1925"/>
      <c r="AW312" s="1925"/>
      <c r="AX312" s="1925"/>
      <c r="AY312" s="1925"/>
      <c r="AZ312" s="1925"/>
      <c r="BA312" s="1925"/>
      <c r="BB312" s="1925"/>
      <c r="BC312" s="1925"/>
      <c r="BD312" s="1925"/>
      <c r="BE312" s="1925"/>
      <c r="BF312" s="1925"/>
    </row>
    <row r="313" spans="3:58" s="6" customFormat="1" ht="12.75">
      <c r="C313" s="1925"/>
      <c r="D313" s="1925"/>
      <c r="E313" s="1925"/>
      <c r="F313" s="1925"/>
      <c r="G313" s="1925"/>
      <c r="H313" s="1925"/>
      <c r="I313" s="1925"/>
      <c r="J313" s="1925"/>
      <c r="K313" s="1925"/>
      <c r="L313" s="55"/>
      <c r="M313" s="55"/>
      <c r="N313" s="55"/>
      <c r="O313" s="55"/>
      <c r="P313" s="1925"/>
      <c r="Q313" s="1925"/>
      <c r="R313" s="1925"/>
      <c r="S313" s="1925"/>
      <c r="T313" s="1925"/>
      <c r="U313" s="1925"/>
      <c r="V313" s="192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1925"/>
      <c r="AV313" s="1925"/>
      <c r="AW313" s="1925"/>
      <c r="AX313" s="1925"/>
      <c r="AY313" s="1925"/>
      <c r="AZ313" s="1925"/>
      <c r="BA313" s="1925"/>
      <c r="BB313" s="1925"/>
      <c r="BC313" s="1925"/>
      <c r="BD313" s="1925"/>
      <c r="BE313" s="1925"/>
      <c r="BF313" s="1925"/>
    </row>
    <row r="314" spans="3:58" s="6" customFormat="1" ht="12.75">
      <c r="C314" s="1925"/>
      <c r="D314" s="1925"/>
      <c r="E314" s="1925"/>
      <c r="F314" s="1925"/>
      <c r="G314" s="1925"/>
      <c r="H314" s="1925"/>
      <c r="I314" s="1925"/>
      <c r="J314" s="1925"/>
      <c r="K314" s="1925"/>
      <c r="L314" s="55"/>
      <c r="M314" s="55"/>
      <c r="N314" s="55"/>
      <c r="O314" s="55"/>
      <c r="P314" s="1925"/>
      <c r="Q314" s="1925"/>
      <c r="R314" s="1925"/>
      <c r="S314" s="1925"/>
      <c r="T314" s="1925"/>
      <c r="U314" s="1925"/>
      <c r="V314" s="192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1925"/>
      <c r="AV314" s="1925"/>
      <c r="AW314" s="1925"/>
      <c r="AX314" s="1925"/>
      <c r="AY314" s="1925"/>
      <c r="AZ314" s="1925"/>
      <c r="BA314" s="1925"/>
      <c r="BB314" s="1925"/>
      <c r="BC314" s="1925"/>
      <c r="BD314" s="1925"/>
      <c r="BE314" s="1925"/>
      <c r="BF314" s="1925"/>
    </row>
    <row r="315" spans="3:58" s="6" customFormat="1" ht="12.75">
      <c r="C315" s="1925"/>
      <c r="D315" s="1925"/>
      <c r="E315" s="1925"/>
      <c r="F315" s="1925"/>
      <c r="G315" s="1925"/>
      <c r="H315" s="1925"/>
      <c r="I315" s="1925"/>
      <c r="J315" s="1925"/>
      <c r="K315" s="1925"/>
      <c r="L315" s="55"/>
      <c r="M315" s="55"/>
      <c r="N315" s="55"/>
      <c r="O315" s="55"/>
      <c r="P315" s="1925"/>
      <c r="Q315" s="1925"/>
      <c r="R315" s="1925"/>
      <c r="S315" s="1925"/>
      <c r="T315" s="1925"/>
      <c r="U315" s="1925"/>
      <c r="V315" s="192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1925"/>
      <c r="AV315" s="1925"/>
      <c r="AW315" s="1925"/>
      <c r="AX315" s="1925"/>
      <c r="AY315" s="1925"/>
      <c r="AZ315" s="1925"/>
      <c r="BA315" s="1925"/>
      <c r="BB315" s="1925"/>
      <c r="BC315" s="1925"/>
      <c r="BD315" s="1925"/>
      <c r="BE315" s="1925"/>
      <c r="BF315" s="1925"/>
    </row>
    <row r="316" spans="3:58" s="6" customFormat="1" ht="12.75">
      <c r="C316" s="1925"/>
      <c r="D316" s="1925"/>
      <c r="E316" s="1925"/>
      <c r="F316" s="1925"/>
      <c r="G316" s="1925"/>
      <c r="H316" s="1925"/>
      <c r="I316" s="1925"/>
      <c r="J316" s="1925"/>
      <c r="K316" s="1925"/>
      <c r="L316" s="55"/>
      <c r="M316" s="55"/>
      <c r="N316" s="55"/>
      <c r="O316" s="55"/>
      <c r="P316" s="1925"/>
      <c r="Q316" s="1925"/>
      <c r="R316" s="1925"/>
      <c r="S316" s="1925"/>
      <c r="T316" s="1925"/>
      <c r="U316" s="1925"/>
      <c r="V316" s="192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1925"/>
      <c r="AV316" s="1925"/>
      <c r="AW316" s="1925"/>
      <c r="AX316" s="1925"/>
      <c r="AY316" s="1925"/>
      <c r="AZ316" s="1925"/>
      <c r="BA316" s="1925"/>
      <c r="BB316" s="1925"/>
      <c r="BC316" s="1925"/>
      <c r="BD316" s="1925"/>
      <c r="BE316" s="1925"/>
      <c r="BF316" s="1925"/>
    </row>
    <row r="317" spans="3:58" s="6" customFormat="1" ht="12.75">
      <c r="C317" s="1925"/>
      <c r="D317" s="1925"/>
      <c r="E317" s="1925"/>
      <c r="F317" s="1925"/>
      <c r="G317" s="1925"/>
      <c r="H317" s="1925"/>
      <c r="I317" s="1925"/>
      <c r="J317" s="1925"/>
      <c r="K317" s="1925"/>
      <c r="L317" s="55"/>
      <c r="M317" s="55"/>
      <c r="N317" s="55"/>
      <c r="O317" s="55"/>
      <c r="P317" s="1925"/>
      <c r="Q317" s="1925"/>
      <c r="R317" s="1925"/>
      <c r="S317" s="1925"/>
      <c r="T317" s="1925"/>
      <c r="U317" s="1925"/>
      <c r="V317" s="192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1925"/>
      <c r="AV317" s="1925"/>
      <c r="AW317" s="1925"/>
      <c r="AX317" s="1925"/>
      <c r="AY317" s="1925"/>
      <c r="AZ317" s="1925"/>
      <c r="BA317" s="1925"/>
      <c r="BB317" s="1925"/>
      <c r="BC317" s="1925"/>
      <c r="BD317" s="1925"/>
      <c r="BE317" s="1925"/>
      <c r="BF317" s="1925"/>
    </row>
    <row r="318" spans="3:58" s="6" customFormat="1" ht="12.75">
      <c r="C318" s="1925"/>
      <c r="D318" s="1925"/>
      <c r="E318" s="1925"/>
      <c r="F318" s="1925"/>
      <c r="G318" s="1925"/>
      <c r="H318" s="1925"/>
      <c r="I318" s="1925"/>
      <c r="J318" s="1925"/>
      <c r="K318" s="1925"/>
      <c r="L318" s="55"/>
      <c r="M318" s="55"/>
      <c r="N318" s="55"/>
      <c r="O318" s="55"/>
      <c r="P318" s="1925"/>
      <c r="Q318" s="1925"/>
      <c r="R318" s="1925"/>
      <c r="S318" s="1925"/>
      <c r="T318" s="1925"/>
      <c r="U318" s="1925"/>
      <c r="V318" s="192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1925"/>
      <c r="AV318" s="1925"/>
      <c r="AW318" s="1925"/>
      <c r="AX318" s="1925"/>
      <c r="AY318" s="1925"/>
      <c r="AZ318" s="1925"/>
      <c r="BA318" s="1925"/>
      <c r="BB318" s="1925"/>
      <c r="BC318" s="1925"/>
      <c r="BD318" s="1925"/>
      <c r="BE318" s="1925"/>
      <c r="BF318" s="1925"/>
    </row>
    <row r="319" spans="3:58" s="6" customFormat="1" ht="12.75">
      <c r="C319" s="1925"/>
      <c r="D319" s="1925"/>
      <c r="E319" s="1925"/>
      <c r="F319" s="1925"/>
      <c r="G319" s="1925"/>
      <c r="H319" s="1925"/>
      <c r="I319" s="1925"/>
      <c r="J319" s="1925"/>
      <c r="K319" s="1925"/>
      <c r="L319" s="55"/>
      <c r="M319" s="55"/>
      <c r="N319" s="55"/>
      <c r="O319" s="55"/>
      <c r="P319" s="1925"/>
      <c r="Q319" s="1925"/>
      <c r="R319" s="1925"/>
      <c r="S319" s="1925"/>
      <c r="T319" s="1925"/>
      <c r="U319" s="1925"/>
      <c r="V319" s="192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1925"/>
      <c r="AV319" s="1925"/>
      <c r="AW319" s="1925"/>
      <c r="AX319" s="1925"/>
      <c r="AY319" s="1925"/>
      <c r="AZ319" s="1925"/>
      <c r="BA319" s="1925"/>
      <c r="BB319" s="1925"/>
      <c r="BC319" s="1925"/>
      <c r="BD319" s="1925"/>
      <c r="BE319" s="1925"/>
      <c r="BF319" s="1925"/>
    </row>
    <row r="320" spans="3:58" s="6" customFormat="1" ht="12.75">
      <c r="C320" s="1925"/>
      <c r="D320" s="1925"/>
      <c r="E320" s="1925"/>
      <c r="F320" s="1925"/>
      <c r="G320" s="1925"/>
      <c r="H320" s="1925"/>
      <c r="I320" s="1925"/>
      <c r="J320" s="1925"/>
      <c r="K320" s="1925"/>
      <c r="L320" s="55"/>
      <c r="M320" s="55"/>
      <c r="N320" s="55"/>
      <c r="O320" s="55"/>
      <c r="P320" s="1925"/>
      <c r="Q320" s="1925"/>
      <c r="R320" s="1925"/>
      <c r="S320" s="1925"/>
      <c r="T320" s="1925"/>
      <c r="U320" s="1925"/>
      <c r="V320" s="192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1925"/>
      <c r="AV320" s="1925"/>
      <c r="AW320" s="1925"/>
      <c r="AX320" s="1925"/>
      <c r="AY320" s="1925"/>
      <c r="AZ320" s="1925"/>
      <c r="BA320" s="1925"/>
      <c r="BB320" s="1925"/>
      <c r="BC320" s="1925"/>
      <c r="BD320" s="1925"/>
      <c r="BE320" s="1925"/>
      <c r="BF320" s="1925"/>
    </row>
    <row r="321" spans="3:58" s="6" customFormat="1" ht="12.75">
      <c r="C321" s="1925"/>
      <c r="D321" s="1925"/>
      <c r="E321" s="1925"/>
      <c r="F321" s="1925"/>
      <c r="G321" s="1925"/>
      <c r="H321" s="1925"/>
      <c r="I321" s="1925"/>
      <c r="J321" s="1925"/>
      <c r="K321" s="1925"/>
      <c r="L321" s="55"/>
      <c r="M321" s="55"/>
      <c r="N321" s="55"/>
      <c r="O321" s="55"/>
      <c r="P321" s="1925"/>
      <c r="Q321" s="1925"/>
      <c r="R321" s="1925"/>
      <c r="S321" s="1925"/>
      <c r="T321" s="1925"/>
      <c r="U321" s="1925"/>
      <c r="V321" s="192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1925"/>
      <c r="AV321" s="1925"/>
      <c r="AW321" s="1925"/>
      <c r="AX321" s="1925"/>
      <c r="AY321" s="1925"/>
      <c r="AZ321" s="1925"/>
      <c r="BA321" s="1925"/>
      <c r="BB321" s="1925"/>
      <c r="BC321" s="1925"/>
      <c r="BD321" s="1925"/>
      <c r="BE321" s="1925"/>
      <c r="BF321" s="1925"/>
    </row>
    <row r="322" spans="3:58" s="6" customFormat="1" ht="12.75">
      <c r="C322" s="1925"/>
      <c r="D322" s="1925"/>
      <c r="E322" s="1925"/>
      <c r="F322" s="1925"/>
      <c r="G322" s="1925"/>
      <c r="H322" s="1925"/>
      <c r="I322" s="1925"/>
      <c r="J322" s="1925"/>
      <c r="K322" s="1925"/>
      <c r="L322" s="55"/>
      <c r="M322" s="55"/>
      <c r="N322" s="55"/>
      <c r="O322" s="55"/>
      <c r="P322" s="1925"/>
      <c r="Q322" s="1925"/>
      <c r="R322" s="1925"/>
      <c r="S322" s="1925"/>
      <c r="T322" s="1925"/>
      <c r="U322" s="1925"/>
      <c r="V322" s="192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1925"/>
      <c r="AV322" s="1925"/>
      <c r="AW322" s="1925"/>
      <c r="AX322" s="1925"/>
      <c r="AY322" s="1925"/>
      <c r="AZ322" s="1925"/>
      <c r="BA322" s="1925"/>
      <c r="BB322" s="1925"/>
      <c r="BC322" s="1925"/>
      <c r="BD322" s="1925"/>
      <c r="BE322" s="1925"/>
      <c r="BF322" s="1925"/>
    </row>
    <row r="323" spans="3:58" s="6" customFormat="1" ht="12.75">
      <c r="C323" s="1925"/>
      <c r="D323" s="1925"/>
      <c r="E323" s="1925"/>
      <c r="F323" s="1925"/>
      <c r="G323" s="1925"/>
      <c r="H323" s="1925"/>
      <c r="I323" s="1925"/>
      <c r="J323" s="1925"/>
      <c r="K323" s="1925"/>
      <c r="L323" s="55"/>
      <c r="M323" s="55"/>
      <c r="N323" s="55"/>
      <c r="O323" s="55"/>
      <c r="P323" s="1925"/>
      <c r="Q323" s="1925"/>
      <c r="R323" s="1925"/>
      <c r="S323" s="1925"/>
      <c r="T323" s="1925"/>
      <c r="U323" s="1925"/>
      <c r="V323" s="192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1925"/>
      <c r="AV323" s="1925"/>
      <c r="AW323" s="1925"/>
      <c r="AX323" s="1925"/>
      <c r="AY323" s="1925"/>
      <c r="AZ323" s="1925"/>
      <c r="BA323" s="1925"/>
      <c r="BB323" s="1925"/>
      <c r="BC323" s="1925"/>
      <c r="BD323" s="1925"/>
      <c r="BE323" s="1925"/>
      <c r="BF323" s="1925"/>
    </row>
    <row r="324" spans="3:58" s="6" customFormat="1" ht="12.75">
      <c r="C324" s="1925"/>
      <c r="D324" s="1925"/>
      <c r="E324" s="1925"/>
      <c r="F324" s="1925"/>
      <c r="G324" s="1925"/>
      <c r="H324" s="1925"/>
      <c r="I324" s="1925"/>
      <c r="J324" s="1925"/>
      <c r="K324" s="1925"/>
      <c r="L324" s="55"/>
      <c r="M324" s="55"/>
      <c r="N324" s="55"/>
      <c r="O324" s="55"/>
      <c r="P324" s="1925"/>
      <c r="Q324" s="1925"/>
      <c r="R324" s="1925"/>
      <c r="S324" s="1925"/>
      <c r="T324" s="1925"/>
      <c r="U324" s="1925"/>
      <c r="V324" s="192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1925"/>
      <c r="AV324" s="1925"/>
      <c r="AW324" s="1925"/>
      <c r="AX324" s="1925"/>
      <c r="AY324" s="1925"/>
      <c r="AZ324" s="1925"/>
      <c r="BA324" s="1925"/>
      <c r="BB324" s="1925"/>
      <c r="BC324" s="1925"/>
      <c r="BD324" s="1925"/>
      <c r="BE324" s="1925"/>
      <c r="BF324" s="1925"/>
    </row>
    <row r="325" spans="3:58" s="6" customFormat="1" ht="12.75">
      <c r="C325" s="1925"/>
      <c r="D325" s="1925"/>
      <c r="E325" s="1925"/>
      <c r="F325" s="1925"/>
      <c r="G325" s="1925"/>
      <c r="H325" s="1925"/>
      <c r="I325" s="1925"/>
      <c r="J325" s="1925"/>
      <c r="K325" s="1925"/>
      <c r="L325" s="55"/>
      <c r="M325" s="55"/>
      <c r="N325" s="55"/>
      <c r="O325" s="55"/>
      <c r="P325" s="1925"/>
      <c r="Q325" s="1925"/>
      <c r="R325" s="1925"/>
      <c r="S325" s="1925"/>
      <c r="T325" s="1925"/>
      <c r="U325" s="1925"/>
      <c r="V325" s="192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1925"/>
      <c r="AV325" s="1925"/>
      <c r="AW325" s="1925"/>
      <c r="AX325" s="1925"/>
      <c r="AY325" s="1925"/>
      <c r="AZ325" s="1925"/>
      <c r="BA325" s="1925"/>
      <c r="BB325" s="1925"/>
      <c r="BC325" s="1925"/>
      <c r="BD325" s="1925"/>
      <c r="BE325" s="1925"/>
      <c r="BF325" s="1925"/>
    </row>
    <row r="326" spans="3:58" s="6" customFormat="1" ht="12.75">
      <c r="C326" s="1925"/>
      <c r="D326" s="1925"/>
      <c r="E326" s="1925"/>
      <c r="F326" s="1925"/>
      <c r="G326" s="1925"/>
      <c r="H326" s="1925"/>
      <c r="I326" s="1925"/>
      <c r="J326" s="1925"/>
      <c r="K326" s="1925"/>
      <c r="L326" s="55"/>
      <c r="M326" s="55"/>
      <c r="N326" s="55"/>
      <c r="O326" s="55"/>
      <c r="P326" s="1925"/>
      <c r="Q326" s="1925"/>
      <c r="R326" s="1925"/>
      <c r="S326" s="1925"/>
      <c r="T326" s="1925"/>
      <c r="U326" s="1925"/>
      <c r="V326" s="192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1925"/>
      <c r="AV326" s="1925"/>
      <c r="AW326" s="1925"/>
      <c r="AX326" s="1925"/>
      <c r="AY326" s="1925"/>
      <c r="AZ326" s="1925"/>
      <c r="BA326" s="1925"/>
      <c r="BB326" s="1925"/>
      <c r="BC326" s="1925"/>
      <c r="BD326" s="1925"/>
      <c r="BE326" s="1925"/>
      <c r="BF326" s="1925"/>
    </row>
    <row r="327" spans="3:58" s="6" customFormat="1" ht="12.75">
      <c r="C327" s="1925"/>
      <c r="D327" s="1925"/>
      <c r="E327" s="1925"/>
      <c r="F327" s="1925"/>
      <c r="G327" s="1925"/>
      <c r="H327" s="1925"/>
      <c r="I327" s="1925"/>
      <c r="J327" s="1925"/>
      <c r="K327" s="1925"/>
      <c r="L327" s="55"/>
      <c r="M327" s="55"/>
      <c r="N327" s="55"/>
      <c r="O327" s="55"/>
      <c r="P327" s="1925"/>
      <c r="Q327" s="1925"/>
      <c r="R327" s="1925"/>
      <c r="S327" s="1925"/>
      <c r="T327" s="1925"/>
      <c r="U327" s="1925"/>
      <c r="V327" s="192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1925"/>
      <c r="AV327" s="1925"/>
      <c r="AW327" s="1925"/>
      <c r="AX327" s="1925"/>
      <c r="AY327" s="1925"/>
      <c r="AZ327" s="1925"/>
      <c r="BA327" s="1925"/>
      <c r="BB327" s="1925"/>
      <c r="BC327" s="1925"/>
      <c r="BD327" s="1925"/>
      <c r="BE327" s="1925"/>
      <c r="BF327" s="1925"/>
    </row>
    <row r="328" spans="3:58" s="6" customFormat="1" ht="12.75">
      <c r="C328" s="1925"/>
      <c r="D328" s="1925"/>
      <c r="E328" s="1925"/>
      <c r="F328" s="1925"/>
      <c r="G328" s="1925"/>
      <c r="H328" s="1925"/>
      <c r="I328" s="1925"/>
      <c r="J328" s="1925"/>
      <c r="K328" s="1925"/>
      <c r="L328" s="55"/>
      <c r="M328" s="55"/>
      <c r="N328" s="55"/>
      <c r="O328" s="55"/>
      <c r="P328" s="1925"/>
      <c r="Q328" s="1925"/>
      <c r="R328" s="1925"/>
      <c r="S328" s="1925"/>
      <c r="T328" s="1925"/>
      <c r="U328" s="1925"/>
      <c r="V328" s="192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1925"/>
      <c r="AV328" s="1925"/>
      <c r="AW328" s="1925"/>
      <c r="AX328" s="1925"/>
      <c r="AY328" s="1925"/>
      <c r="AZ328" s="1925"/>
      <c r="BA328" s="1925"/>
      <c r="BB328" s="1925"/>
      <c r="BC328" s="1925"/>
      <c r="BD328" s="1925"/>
      <c r="BE328" s="1925"/>
      <c r="BF328" s="1925"/>
    </row>
    <row r="329" spans="3:58" s="6" customFormat="1" ht="12.75">
      <c r="C329" s="1925"/>
      <c r="D329" s="1925"/>
      <c r="E329" s="1925"/>
      <c r="F329" s="1925"/>
      <c r="G329" s="1925"/>
      <c r="H329" s="1925"/>
      <c r="I329" s="1925"/>
      <c r="J329" s="1925"/>
      <c r="K329" s="1925"/>
      <c r="L329" s="55"/>
      <c r="M329" s="55"/>
      <c r="N329" s="55"/>
      <c r="O329" s="55"/>
      <c r="P329" s="1925"/>
      <c r="Q329" s="1925"/>
      <c r="R329" s="1925"/>
      <c r="S329" s="1925"/>
      <c r="T329" s="1925"/>
      <c r="U329" s="1925"/>
      <c r="V329" s="192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1925"/>
      <c r="AV329" s="1925"/>
      <c r="AW329" s="1925"/>
      <c r="AX329" s="1925"/>
      <c r="AY329" s="1925"/>
      <c r="AZ329" s="1925"/>
      <c r="BA329" s="1925"/>
      <c r="BB329" s="1925"/>
      <c r="BC329" s="1925"/>
      <c r="BD329" s="1925"/>
      <c r="BE329" s="1925"/>
      <c r="BF329" s="1925"/>
    </row>
    <row r="330" spans="3:58" s="6" customFormat="1" ht="12.75">
      <c r="C330" s="1925"/>
      <c r="D330" s="1925"/>
      <c r="E330" s="1925"/>
      <c r="F330" s="1925"/>
      <c r="G330" s="1925"/>
      <c r="H330" s="1925"/>
      <c r="I330" s="1925"/>
      <c r="J330" s="1925"/>
      <c r="K330" s="1925"/>
      <c r="L330" s="55"/>
      <c r="M330" s="55"/>
      <c r="N330" s="55"/>
      <c r="O330" s="55"/>
      <c r="P330" s="1925"/>
      <c r="Q330" s="1925"/>
      <c r="R330" s="1925"/>
      <c r="S330" s="1925"/>
      <c r="T330" s="1925"/>
      <c r="U330" s="1925"/>
      <c r="V330" s="192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1925"/>
      <c r="AV330" s="1925"/>
      <c r="AW330" s="1925"/>
      <c r="AX330" s="1925"/>
      <c r="AY330" s="1925"/>
      <c r="AZ330" s="1925"/>
      <c r="BA330" s="1925"/>
      <c r="BB330" s="1925"/>
      <c r="BC330" s="1925"/>
      <c r="BD330" s="1925"/>
      <c r="BE330" s="1925"/>
      <c r="BF330" s="1925"/>
    </row>
    <row r="331" spans="3:58" s="6" customFormat="1" ht="12.75">
      <c r="C331" s="1925"/>
      <c r="D331" s="1925"/>
      <c r="E331" s="1925"/>
      <c r="F331" s="1925"/>
      <c r="G331" s="1925"/>
      <c r="H331" s="1925"/>
      <c r="I331" s="1925"/>
      <c r="J331" s="1925"/>
      <c r="K331" s="1925"/>
      <c r="L331" s="55"/>
      <c r="M331" s="55"/>
      <c r="N331" s="55"/>
      <c r="O331" s="55"/>
      <c r="P331" s="1925"/>
      <c r="Q331" s="1925"/>
      <c r="R331" s="1925"/>
      <c r="S331" s="1925"/>
      <c r="T331" s="1925"/>
      <c r="U331" s="1925"/>
      <c r="V331" s="192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1925"/>
      <c r="AV331" s="1925"/>
      <c r="AW331" s="1925"/>
      <c r="AX331" s="1925"/>
      <c r="AY331" s="1925"/>
      <c r="AZ331" s="1925"/>
      <c r="BA331" s="1925"/>
      <c r="BB331" s="1925"/>
      <c r="BC331" s="1925"/>
      <c r="BD331" s="1925"/>
      <c r="BE331" s="1925"/>
      <c r="BF331" s="1925"/>
    </row>
    <row r="332" spans="3:58" s="6" customFormat="1" ht="12.75">
      <c r="C332" s="1925"/>
      <c r="D332" s="1925"/>
      <c r="E332" s="1925"/>
      <c r="F332" s="1925"/>
      <c r="G332" s="1925"/>
      <c r="H332" s="1925"/>
      <c r="I332" s="1925"/>
      <c r="J332" s="1925"/>
      <c r="K332" s="1925"/>
      <c r="L332" s="55"/>
      <c r="M332" s="55"/>
      <c r="N332" s="55"/>
      <c r="O332" s="55"/>
      <c r="P332" s="1925"/>
      <c r="Q332" s="1925"/>
      <c r="R332" s="1925"/>
      <c r="S332" s="1925"/>
      <c r="T332" s="1925"/>
      <c r="U332" s="1925"/>
      <c r="V332" s="192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1925"/>
      <c r="AV332" s="1925"/>
      <c r="AW332" s="1925"/>
      <c r="AX332" s="1925"/>
      <c r="AY332" s="1925"/>
      <c r="AZ332" s="1925"/>
      <c r="BA332" s="1925"/>
      <c r="BB332" s="1925"/>
      <c r="BC332" s="1925"/>
      <c r="BD332" s="1925"/>
      <c r="BE332" s="1925"/>
      <c r="BF332" s="1925"/>
    </row>
    <row r="333" spans="3:58" s="6" customFormat="1" ht="12.75">
      <c r="C333" s="1925"/>
      <c r="D333" s="1925"/>
      <c r="E333" s="1925"/>
      <c r="F333" s="1925"/>
      <c r="G333" s="1925"/>
      <c r="H333" s="1925"/>
      <c r="I333" s="1925"/>
      <c r="J333" s="1925"/>
      <c r="K333" s="1925"/>
      <c r="L333" s="55"/>
      <c r="M333" s="55"/>
      <c r="N333" s="55"/>
      <c r="O333" s="55"/>
      <c r="P333" s="1925"/>
      <c r="Q333" s="1925"/>
      <c r="R333" s="1925"/>
      <c r="S333" s="1925"/>
      <c r="T333" s="1925"/>
      <c r="U333" s="1925"/>
      <c r="V333" s="192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1925"/>
      <c r="AV333" s="1925"/>
      <c r="AW333" s="1925"/>
      <c r="AX333" s="1925"/>
      <c r="AY333" s="1925"/>
      <c r="AZ333" s="1925"/>
      <c r="BA333" s="1925"/>
      <c r="BB333" s="1925"/>
      <c r="BC333" s="1925"/>
      <c r="BD333" s="1925"/>
      <c r="BE333" s="1925"/>
      <c r="BF333" s="1925"/>
    </row>
    <row r="334" spans="3:58" s="6" customFormat="1" ht="12.75">
      <c r="C334" s="1925"/>
      <c r="D334" s="1925"/>
      <c r="E334" s="1925"/>
      <c r="F334" s="1925"/>
      <c r="G334" s="1925"/>
      <c r="H334" s="1925"/>
      <c r="I334" s="1925"/>
      <c r="J334" s="1925"/>
      <c r="K334" s="1925"/>
      <c r="L334" s="55"/>
      <c r="M334" s="55"/>
      <c r="N334" s="55"/>
      <c r="O334" s="55"/>
      <c r="P334" s="1925"/>
      <c r="Q334" s="1925"/>
      <c r="R334" s="1925"/>
      <c r="S334" s="1925"/>
      <c r="T334" s="1925"/>
      <c r="U334" s="1925"/>
      <c r="V334" s="192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1925"/>
      <c r="AV334" s="1925"/>
      <c r="AW334" s="1925"/>
      <c r="AX334" s="1925"/>
      <c r="AY334" s="1925"/>
      <c r="AZ334" s="1925"/>
      <c r="BA334" s="1925"/>
      <c r="BB334" s="1925"/>
      <c r="BC334" s="1925"/>
      <c r="BD334" s="1925"/>
      <c r="BE334" s="1925"/>
      <c r="BF334" s="1925"/>
    </row>
    <row r="335" spans="3:58" s="6" customFormat="1" ht="12.75">
      <c r="C335" s="1925"/>
      <c r="D335" s="1925"/>
      <c r="E335" s="1925"/>
      <c r="F335" s="1925"/>
      <c r="G335" s="1925"/>
      <c r="H335" s="1925"/>
      <c r="I335" s="1925"/>
      <c r="J335" s="1925"/>
      <c r="K335" s="1925"/>
      <c r="L335" s="55"/>
      <c r="M335" s="55"/>
      <c r="N335" s="55"/>
      <c r="O335" s="55"/>
      <c r="P335" s="1925"/>
      <c r="Q335" s="1925"/>
      <c r="R335" s="1925"/>
      <c r="S335" s="1925"/>
      <c r="T335" s="1925"/>
      <c r="U335" s="1925"/>
      <c r="V335" s="192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1925"/>
      <c r="AV335" s="1925"/>
      <c r="AW335" s="1925"/>
      <c r="AX335" s="1925"/>
      <c r="AY335" s="1925"/>
      <c r="AZ335" s="1925"/>
      <c r="BA335" s="1925"/>
      <c r="BB335" s="1925"/>
      <c r="BC335" s="1925"/>
      <c r="BD335" s="1925"/>
      <c r="BE335" s="1925"/>
      <c r="BF335" s="1925"/>
    </row>
    <row r="336" spans="3:58" s="6" customFormat="1" ht="12.75">
      <c r="C336" s="1925"/>
      <c r="D336" s="1925"/>
      <c r="E336" s="1925"/>
      <c r="F336" s="1925"/>
      <c r="G336" s="1925"/>
      <c r="H336" s="1925"/>
      <c r="I336" s="1925"/>
      <c r="J336" s="1925"/>
      <c r="K336" s="1925"/>
      <c r="L336" s="55"/>
      <c r="M336" s="55"/>
      <c r="N336" s="55"/>
      <c r="O336" s="55"/>
      <c r="P336" s="1925"/>
      <c r="Q336" s="1925"/>
      <c r="R336" s="1925"/>
      <c r="S336" s="1925"/>
      <c r="T336" s="1925"/>
      <c r="U336" s="1925"/>
      <c r="V336" s="192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1925"/>
      <c r="AV336" s="1925"/>
      <c r="AW336" s="1925"/>
      <c r="AX336" s="1925"/>
      <c r="AY336" s="1925"/>
      <c r="AZ336" s="1925"/>
      <c r="BA336" s="1925"/>
      <c r="BB336" s="1925"/>
      <c r="BC336" s="1925"/>
      <c r="BD336" s="1925"/>
      <c r="BE336" s="1925"/>
      <c r="BF336" s="1925"/>
    </row>
    <row r="337" spans="3:58" s="6" customFormat="1" ht="12.75">
      <c r="C337" s="1925"/>
      <c r="D337" s="1925"/>
      <c r="E337" s="1925"/>
      <c r="F337" s="1925"/>
      <c r="G337" s="1925"/>
      <c r="H337" s="1925"/>
      <c r="I337" s="1925"/>
      <c r="J337" s="1925"/>
      <c r="K337" s="1925"/>
      <c r="L337" s="55"/>
      <c r="M337" s="55"/>
      <c r="N337" s="55"/>
      <c r="O337" s="55"/>
      <c r="P337" s="1925"/>
      <c r="Q337" s="1925"/>
      <c r="R337" s="1925"/>
      <c r="S337" s="1925"/>
      <c r="T337" s="1925"/>
      <c r="U337" s="1925"/>
      <c r="V337" s="192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1925"/>
      <c r="AV337" s="1925"/>
      <c r="AW337" s="1925"/>
      <c r="AX337" s="1925"/>
      <c r="AY337" s="1925"/>
      <c r="AZ337" s="1925"/>
      <c r="BA337" s="1925"/>
      <c r="BB337" s="1925"/>
      <c r="BC337" s="1925"/>
      <c r="BD337" s="1925"/>
      <c r="BE337" s="1925"/>
      <c r="BF337" s="1925"/>
    </row>
    <row r="338" spans="3:58" s="6" customFormat="1" ht="12.75">
      <c r="C338" s="1925"/>
      <c r="D338" s="1925"/>
      <c r="E338" s="1925"/>
      <c r="F338" s="1925"/>
      <c r="G338" s="1925"/>
      <c r="H338" s="1925"/>
      <c r="I338" s="1925"/>
      <c r="J338" s="1925"/>
      <c r="K338" s="1925"/>
      <c r="L338" s="55"/>
      <c r="M338" s="55"/>
      <c r="N338" s="55"/>
      <c r="O338" s="55"/>
      <c r="P338" s="1925"/>
      <c r="Q338" s="1925"/>
      <c r="R338" s="1925"/>
      <c r="S338" s="1925"/>
      <c r="T338" s="1925"/>
      <c r="U338" s="1925"/>
      <c r="V338" s="192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1925"/>
      <c r="AV338" s="1925"/>
      <c r="AW338" s="1925"/>
      <c r="AX338" s="1925"/>
      <c r="AY338" s="1925"/>
      <c r="AZ338" s="1925"/>
      <c r="BA338" s="1925"/>
      <c r="BB338" s="1925"/>
      <c r="BC338" s="1925"/>
      <c r="BD338" s="1925"/>
      <c r="BE338" s="1925"/>
      <c r="BF338" s="1925"/>
    </row>
    <row r="339" spans="3:58" s="6" customFormat="1" ht="12.75">
      <c r="C339" s="1925"/>
      <c r="D339" s="1925"/>
      <c r="E339" s="1925"/>
      <c r="F339" s="1925"/>
      <c r="G339" s="1925"/>
      <c r="H339" s="1925"/>
      <c r="I339" s="1925"/>
      <c r="J339" s="1925"/>
      <c r="K339" s="1925"/>
      <c r="L339" s="55"/>
      <c r="M339" s="55"/>
      <c r="N339" s="55"/>
      <c r="O339" s="55"/>
      <c r="P339" s="1925"/>
      <c r="Q339" s="1925"/>
      <c r="R339" s="1925"/>
      <c r="S339" s="1925"/>
      <c r="T339" s="1925"/>
      <c r="U339" s="1925"/>
      <c r="V339" s="192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1925"/>
      <c r="AV339" s="1925"/>
      <c r="AW339" s="1925"/>
      <c r="AX339" s="1925"/>
      <c r="AY339" s="1925"/>
      <c r="AZ339" s="1925"/>
      <c r="BA339" s="1925"/>
      <c r="BB339" s="1925"/>
      <c r="BC339" s="1925"/>
      <c r="BD339" s="1925"/>
      <c r="BE339" s="1925"/>
      <c r="BF339" s="1925"/>
    </row>
    <row r="340" spans="3:58" s="6" customFormat="1" ht="12.75">
      <c r="C340" s="1925"/>
      <c r="D340" s="1925"/>
      <c r="E340" s="1925"/>
      <c r="F340" s="1925"/>
      <c r="G340" s="1925"/>
      <c r="H340" s="1925"/>
      <c r="I340" s="1925"/>
      <c r="J340" s="1925"/>
      <c r="K340" s="1925"/>
      <c r="L340" s="55"/>
      <c r="M340" s="55"/>
      <c r="N340" s="55"/>
      <c r="O340" s="55"/>
      <c r="P340" s="1925"/>
      <c r="Q340" s="1925"/>
      <c r="R340" s="1925"/>
      <c r="S340" s="1925"/>
      <c r="T340" s="1925"/>
      <c r="U340" s="1925"/>
      <c r="V340" s="192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1925"/>
      <c r="AV340" s="1925"/>
      <c r="AW340" s="1925"/>
      <c r="AX340" s="1925"/>
      <c r="AY340" s="1925"/>
      <c r="AZ340" s="1925"/>
      <c r="BA340" s="1925"/>
      <c r="BB340" s="1925"/>
      <c r="BC340" s="1925"/>
      <c r="BD340" s="1925"/>
      <c r="BE340" s="1925"/>
      <c r="BF340" s="1925"/>
    </row>
    <row r="341" spans="3:58" s="6" customFormat="1" ht="12.75">
      <c r="C341" s="1925"/>
      <c r="D341" s="1925"/>
      <c r="E341" s="1925"/>
      <c r="F341" s="1925"/>
      <c r="G341" s="1925"/>
      <c r="H341" s="1925"/>
      <c r="I341" s="1925"/>
      <c r="J341" s="1925"/>
      <c r="K341" s="1925"/>
      <c r="L341" s="55"/>
      <c r="M341" s="55"/>
      <c r="N341" s="55"/>
      <c r="O341" s="55"/>
      <c r="P341" s="1925"/>
      <c r="Q341" s="1925"/>
      <c r="R341" s="1925"/>
      <c r="S341" s="1925"/>
      <c r="T341" s="1925"/>
      <c r="U341" s="1925"/>
      <c r="V341" s="192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1925"/>
      <c r="AV341" s="1925"/>
      <c r="AW341" s="1925"/>
      <c r="AX341" s="1925"/>
      <c r="AY341" s="1925"/>
      <c r="AZ341" s="1925"/>
      <c r="BA341" s="1925"/>
      <c r="BB341" s="1925"/>
      <c r="BC341" s="1925"/>
      <c r="BD341" s="1925"/>
      <c r="BE341" s="1925"/>
      <c r="BF341" s="1925"/>
    </row>
    <row r="342" spans="3:58" s="6" customFormat="1" ht="12.75">
      <c r="C342" s="1925"/>
      <c r="D342" s="1925"/>
      <c r="E342" s="1925"/>
      <c r="F342" s="1925"/>
      <c r="G342" s="1925"/>
      <c r="H342" s="1925"/>
      <c r="I342" s="1925"/>
      <c r="J342" s="1925"/>
      <c r="K342" s="1925"/>
      <c r="L342" s="55"/>
      <c r="M342" s="55"/>
      <c r="N342" s="55"/>
      <c r="O342" s="55"/>
      <c r="P342" s="1925"/>
      <c r="Q342" s="1925"/>
      <c r="R342" s="1925"/>
      <c r="S342" s="1925"/>
      <c r="T342" s="1925"/>
      <c r="U342" s="1925"/>
      <c r="V342" s="192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1925"/>
      <c r="AV342" s="1925"/>
      <c r="AW342" s="1925"/>
      <c r="AX342" s="1925"/>
      <c r="AY342" s="1925"/>
      <c r="AZ342" s="1925"/>
      <c r="BA342" s="1925"/>
      <c r="BB342" s="1925"/>
      <c r="BC342" s="1925"/>
      <c r="BD342" s="1925"/>
      <c r="BE342" s="1925"/>
      <c r="BF342" s="1925"/>
    </row>
    <row r="343" spans="3:58" s="6" customFormat="1" ht="12.75">
      <c r="C343" s="1925"/>
      <c r="D343" s="1925"/>
      <c r="E343" s="1925"/>
      <c r="F343" s="1925"/>
      <c r="G343" s="1925"/>
      <c r="H343" s="1925"/>
      <c r="I343" s="1925"/>
      <c r="J343" s="1925"/>
      <c r="K343" s="1925"/>
      <c r="L343" s="55"/>
      <c r="M343" s="55"/>
      <c r="N343" s="55"/>
      <c r="O343" s="55"/>
      <c r="P343" s="1925"/>
      <c r="Q343" s="1925"/>
      <c r="R343" s="1925"/>
      <c r="S343" s="1925"/>
      <c r="T343" s="1925"/>
      <c r="U343" s="1925"/>
      <c r="V343" s="192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1925"/>
      <c r="AV343" s="1925"/>
      <c r="AW343" s="1925"/>
      <c r="AX343" s="1925"/>
      <c r="AY343" s="1925"/>
      <c r="AZ343" s="1925"/>
      <c r="BA343" s="1925"/>
      <c r="BB343" s="1925"/>
      <c r="BC343" s="1925"/>
      <c r="BD343" s="1925"/>
      <c r="BE343" s="1925"/>
      <c r="BF343" s="1925"/>
    </row>
    <row r="344" spans="3:58" s="6" customFormat="1" ht="12.75">
      <c r="C344" s="1925"/>
      <c r="D344" s="1925"/>
      <c r="E344" s="1925"/>
      <c r="F344" s="1925"/>
      <c r="G344" s="1925"/>
      <c r="H344" s="1925"/>
      <c r="I344" s="1925"/>
      <c r="J344" s="1925"/>
      <c r="K344" s="1925"/>
      <c r="L344" s="55"/>
      <c r="M344" s="55"/>
      <c r="N344" s="55"/>
      <c r="O344" s="55"/>
      <c r="P344" s="1925"/>
      <c r="Q344" s="1925"/>
      <c r="R344" s="1925"/>
      <c r="S344" s="1925"/>
      <c r="T344" s="1925"/>
      <c r="U344" s="1925"/>
      <c r="V344" s="192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1925"/>
      <c r="AV344" s="1925"/>
      <c r="AW344" s="1925"/>
      <c r="AX344" s="1925"/>
      <c r="AY344" s="1925"/>
      <c r="AZ344" s="1925"/>
      <c r="BA344" s="1925"/>
      <c r="BB344" s="1925"/>
      <c r="BC344" s="1925"/>
      <c r="BD344" s="1925"/>
      <c r="BE344" s="1925"/>
      <c r="BF344" s="1925"/>
    </row>
    <row r="345" spans="3:58" s="6" customFormat="1" ht="12.75">
      <c r="C345" s="1925"/>
      <c r="D345" s="1925"/>
      <c r="E345" s="1925"/>
      <c r="F345" s="1925"/>
      <c r="G345" s="1925"/>
      <c r="H345" s="1925"/>
      <c r="I345" s="1925"/>
      <c r="J345" s="1925"/>
      <c r="K345" s="1925"/>
      <c r="L345" s="55"/>
      <c r="M345" s="55"/>
      <c r="N345" s="55"/>
      <c r="O345" s="55"/>
      <c r="P345" s="1925"/>
      <c r="Q345" s="1925"/>
      <c r="R345" s="1925"/>
      <c r="S345" s="1925"/>
      <c r="T345" s="1925"/>
      <c r="U345" s="1925"/>
      <c r="V345" s="192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1925"/>
      <c r="AV345" s="1925"/>
      <c r="AW345" s="1925"/>
      <c r="AX345" s="1925"/>
      <c r="AY345" s="1925"/>
      <c r="AZ345" s="1925"/>
      <c r="BA345" s="1925"/>
      <c r="BB345" s="1925"/>
      <c r="BC345" s="1925"/>
      <c r="BD345" s="1925"/>
      <c r="BE345" s="1925"/>
      <c r="BF345" s="1925"/>
    </row>
    <row r="346" spans="3:58" s="6" customFormat="1" ht="12.75">
      <c r="C346" s="1925"/>
      <c r="D346" s="1925"/>
      <c r="E346" s="1925"/>
      <c r="F346" s="1925"/>
      <c r="G346" s="1925"/>
      <c r="H346" s="1925"/>
      <c r="I346" s="1925"/>
      <c r="J346" s="1925"/>
      <c r="K346" s="1925"/>
      <c r="L346" s="55"/>
      <c r="M346" s="55"/>
      <c r="N346" s="55"/>
      <c r="O346" s="55"/>
      <c r="P346" s="1925"/>
      <c r="Q346" s="1925"/>
      <c r="R346" s="1925"/>
      <c r="S346" s="1925"/>
      <c r="T346" s="1925"/>
      <c r="U346" s="1925"/>
      <c r="V346" s="192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1925"/>
      <c r="AV346" s="1925"/>
      <c r="AW346" s="1925"/>
      <c r="AX346" s="1925"/>
      <c r="AY346" s="1925"/>
      <c r="AZ346" s="1925"/>
      <c r="BA346" s="1925"/>
      <c r="BB346" s="1925"/>
      <c r="BC346" s="1925"/>
      <c r="BD346" s="1925"/>
      <c r="BE346" s="1925"/>
      <c r="BF346" s="1925"/>
    </row>
    <row r="347" spans="3:58" s="6" customFormat="1" ht="12.75">
      <c r="C347" s="1925"/>
      <c r="D347" s="1925"/>
      <c r="E347" s="1925"/>
      <c r="F347" s="1925"/>
      <c r="G347" s="1925"/>
      <c r="H347" s="1925"/>
      <c r="I347" s="1925"/>
      <c r="J347" s="1925"/>
      <c r="K347" s="1925"/>
      <c r="L347" s="55"/>
      <c r="M347" s="55"/>
      <c r="N347" s="55"/>
      <c r="O347" s="55"/>
      <c r="P347" s="1925"/>
      <c r="Q347" s="1925"/>
      <c r="R347" s="1925"/>
      <c r="S347" s="1925"/>
      <c r="T347" s="1925"/>
      <c r="U347" s="1925"/>
      <c r="V347" s="192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1925"/>
      <c r="AV347" s="1925"/>
      <c r="AW347" s="1925"/>
      <c r="AX347" s="1925"/>
      <c r="AY347" s="1925"/>
      <c r="AZ347" s="1925"/>
      <c r="BA347" s="1925"/>
      <c r="BB347" s="1925"/>
      <c r="BC347" s="1925"/>
      <c r="BD347" s="1925"/>
      <c r="BE347" s="1925"/>
      <c r="BF347" s="1925"/>
    </row>
    <row r="348" spans="3:58" s="6" customFormat="1" ht="12.75">
      <c r="C348" s="1925"/>
      <c r="D348" s="1925"/>
      <c r="E348" s="1925"/>
      <c r="F348" s="1925"/>
      <c r="G348" s="1925"/>
      <c r="H348" s="1925"/>
      <c r="I348" s="1925"/>
      <c r="J348" s="1925"/>
      <c r="K348" s="1925"/>
      <c r="L348" s="55"/>
      <c r="M348" s="55"/>
      <c r="N348" s="55"/>
      <c r="O348" s="55"/>
      <c r="P348" s="1925"/>
      <c r="Q348" s="1925"/>
      <c r="R348" s="1925"/>
      <c r="S348" s="1925"/>
      <c r="T348" s="1925"/>
      <c r="U348" s="1925"/>
      <c r="V348" s="192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1925"/>
      <c r="AV348" s="1925"/>
      <c r="AW348" s="1925"/>
      <c r="AX348" s="1925"/>
      <c r="AY348" s="1925"/>
      <c r="AZ348" s="1925"/>
      <c r="BA348" s="1925"/>
      <c r="BB348" s="1925"/>
      <c r="BC348" s="1925"/>
      <c r="BD348" s="1925"/>
      <c r="BE348" s="1925"/>
      <c r="BF348" s="1925"/>
    </row>
    <row r="349" spans="3:58" s="6" customFormat="1" ht="12.75">
      <c r="C349" s="1925"/>
      <c r="D349" s="1925"/>
      <c r="E349" s="1925"/>
      <c r="F349" s="1925"/>
      <c r="G349" s="1925"/>
      <c r="H349" s="1925"/>
      <c r="I349" s="1925"/>
      <c r="J349" s="1925"/>
      <c r="K349" s="1925"/>
      <c r="L349" s="55"/>
      <c r="M349" s="55"/>
      <c r="N349" s="55"/>
      <c r="O349" s="55"/>
      <c r="P349" s="1925"/>
      <c r="Q349" s="1925"/>
      <c r="R349" s="1925"/>
      <c r="S349" s="1925"/>
      <c r="T349" s="1925"/>
      <c r="U349" s="1925"/>
      <c r="V349" s="192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1925"/>
      <c r="AV349" s="1925"/>
      <c r="AW349" s="1925"/>
      <c r="AX349" s="1925"/>
      <c r="AY349" s="1925"/>
      <c r="AZ349" s="1925"/>
      <c r="BA349" s="1925"/>
      <c r="BB349" s="1925"/>
      <c r="BC349" s="1925"/>
      <c r="BD349" s="1925"/>
      <c r="BE349" s="1925"/>
      <c r="BF349" s="1925"/>
    </row>
    <row r="350" spans="3:58" s="6" customFormat="1" ht="12.75">
      <c r="C350" s="1925"/>
      <c r="D350" s="1925"/>
      <c r="E350" s="1925"/>
      <c r="F350" s="1925"/>
      <c r="G350" s="1925"/>
      <c r="H350" s="1925"/>
      <c r="I350" s="1925"/>
      <c r="J350" s="1925"/>
      <c r="K350" s="1925"/>
      <c r="L350" s="55"/>
      <c r="M350" s="55"/>
      <c r="N350" s="55"/>
      <c r="O350" s="55"/>
      <c r="P350" s="1925"/>
      <c r="Q350" s="1925"/>
      <c r="R350" s="1925"/>
      <c r="S350" s="1925"/>
      <c r="T350" s="1925"/>
      <c r="U350" s="1925"/>
      <c r="V350" s="192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1925"/>
      <c r="AV350" s="1925"/>
      <c r="AW350" s="1925"/>
      <c r="AX350" s="1925"/>
      <c r="AY350" s="1925"/>
      <c r="AZ350" s="1925"/>
      <c r="BA350" s="1925"/>
      <c r="BB350" s="1925"/>
      <c r="BC350" s="1925"/>
      <c r="BD350" s="1925"/>
      <c r="BE350" s="1925"/>
      <c r="BF350" s="1925"/>
    </row>
    <row r="351" spans="3:58" s="6" customFormat="1" ht="12.75">
      <c r="C351" s="1925"/>
      <c r="D351" s="1925"/>
      <c r="E351" s="1925"/>
      <c r="F351" s="1925"/>
      <c r="G351" s="1925"/>
      <c r="H351" s="1925"/>
      <c r="I351" s="1925"/>
      <c r="J351" s="1925"/>
      <c r="K351" s="1925"/>
      <c r="L351" s="55"/>
      <c r="M351" s="55"/>
      <c r="N351" s="55"/>
      <c r="O351" s="55"/>
      <c r="P351" s="1925"/>
      <c r="Q351" s="1925"/>
      <c r="R351" s="1925"/>
      <c r="S351" s="1925"/>
      <c r="T351" s="1925"/>
      <c r="U351" s="1925"/>
      <c r="V351" s="192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1925"/>
      <c r="AV351" s="1925"/>
      <c r="AW351" s="1925"/>
      <c r="AX351" s="1925"/>
      <c r="AY351" s="1925"/>
      <c r="AZ351" s="1925"/>
      <c r="BA351" s="1925"/>
      <c r="BB351" s="1925"/>
      <c r="BC351" s="1925"/>
      <c r="BD351" s="1925"/>
      <c r="BE351" s="1925"/>
      <c r="BF351" s="1925"/>
    </row>
    <row r="352" spans="3:58" s="6" customFormat="1" ht="12.75">
      <c r="C352" s="1925"/>
      <c r="D352" s="1925"/>
      <c r="E352" s="1925"/>
      <c r="F352" s="1925"/>
      <c r="G352" s="1925"/>
      <c r="H352" s="1925"/>
      <c r="I352" s="1925"/>
      <c r="J352" s="1925"/>
      <c r="K352" s="1925"/>
      <c r="L352" s="55"/>
      <c r="M352" s="55"/>
      <c r="N352" s="55"/>
      <c r="O352" s="55"/>
      <c r="P352" s="1925"/>
      <c r="Q352" s="1925"/>
      <c r="R352" s="1925"/>
      <c r="S352" s="1925"/>
      <c r="T352" s="1925"/>
      <c r="U352" s="1925"/>
      <c r="V352" s="192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1925"/>
      <c r="AV352" s="1925"/>
      <c r="AW352" s="1925"/>
      <c r="AX352" s="1925"/>
      <c r="AY352" s="1925"/>
      <c r="AZ352" s="1925"/>
      <c r="BA352" s="1925"/>
      <c r="BB352" s="1925"/>
      <c r="BC352" s="1925"/>
      <c r="BD352" s="1925"/>
      <c r="BE352" s="1925"/>
      <c r="BF352" s="1925"/>
    </row>
    <row r="353" spans="3:58" s="6" customFormat="1" ht="12.75">
      <c r="C353" s="1925"/>
      <c r="D353" s="1925"/>
      <c r="E353" s="1925"/>
      <c r="F353" s="1925"/>
      <c r="G353" s="1925"/>
      <c r="H353" s="1925"/>
      <c r="I353" s="1925"/>
      <c r="J353" s="1925"/>
      <c r="K353" s="1925"/>
      <c r="L353" s="55"/>
      <c r="M353" s="55"/>
      <c r="N353" s="55"/>
      <c r="O353" s="55"/>
      <c r="P353" s="1925"/>
      <c r="Q353" s="1925"/>
      <c r="R353" s="1925"/>
      <c r="S353" s="1925"/>
      <c r="T353" s="1925"/>
      <c r="U353" s="1925"/>
      <c r="V353" s="192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1925"/>
      <c r="AV353" s="1925"/>
      <c r="AW353" s="1925"/>
      <c r="AX353" s="1925"/>
      <c r="AY353" s="1925"/>
      <c r="AZ353" s="1925"/>
      <c r="BA353" s="1925"/>
      <c r="BB353" s="1925"/>
      <c r="BC353" s="1925"/>
      <c r="BD353" s="1925"/>
      <c r="BE353" s="1925"/>
      <c r="BF353" s="1925"/>
    </row>
    <row r="354" spans="3:58" s="6" customFormat="1" ht="12.75">
      <c r="C354" s="1925"/>
      <c r="D354" s="1925"/>
      <c r="E354" s="1925"/>
      <c r="F354" s="1925"/>
      <c r="G354" s="1925"/>
      <c r="H354" s="1925"/>
      <c r="I354" s="1925"/>
      <c r="J354" s="1925"/>
      <c r="K354" s="1925"/>
      <c r="L354" s="55"/>
      <c r="M354" s="55"/>
      <c r="N354" s="55"/>
      <c r="O354" s="55"/>
      <c r="P354" s="1925"/>
      <c r="Q354" s="1925"/>
      <c r="R354" s="1925"/>
      <c r="S354" s="1925"/>
      <c r="T354" s="1925"/>
      <c r="U354" s="1925"/>
      <c r="V354" s="192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1925"/>
      <c r="AV354" s="1925"/>
      <c r="AW354" s="1925"/>
      <c r="AX354" s="1925"/>
      <c r="AY354" s="1925"/>
      <c r="AZ354" s="1925"/>
      <c r="BA354" s="1925"/>
      <c r="BB354" s="1925"/>
      <c r="BC354" s="1925"/>
      <c r="BD354" s="1925"/>
      <c r="BE354" s="1925"/>
      <c r="BF354" s="1925"/>
    </row>
    <row r="355" spans="3:58" s="6" customFormat="1" ht="12.75">
      <c r="C355" s="1925"/>
      <c r="D355" s="1925"/>
      <c r="E355" s="1925"/>
      <c r="F355" s="1925"/>
      <c r="G355" s="1925"/>
      <c r="H355" s="1925"/>
      <c r="I355" s="1925"/>
      <c r="J355" s="1925"/>
      <c r="K355" s="1925"/>
      <c r="L355" s="55"/>
      <c r="M355" s="55"/>
      <c r="N355" s="55"/>
      <c r="O355" s="55"/>
      <c r="P355" s="1925"/>
      <c r="Q355" s="1925"/>
      <c r="R355" s="1925"/>
      <c r="S355" s="1925"/>
      <c r="T355" s="1925"/>
      <c r="U355" s="1925"/>
      <c r="V355" s="192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1925"/>
      <c r="AV355" s="1925"/>
      <c r="AW355" s="1925"/>
      <c r="AX355" s="1925"/>
      <c r="AY355" s="1925"/>
      <c r="AZ355" s="1925"/>
      <c r="BA355" s="1925"/>
      <c r="BB355" s="1925"/>
      <c r="BC355" s="1925"/>
      <c r="BD355" s="1925"/>
      <c r="BE355" s="1925"/>
      <c r="BF355" s="1925"/>
    </row>
    <row r="356" spans="3:58" s="6" customFormat="1" ht="12.75">
      <c r="C356" s="1925"/>
      <c r="D356" s="1925"/>
      <c r="E356" s="1925"/>
      <c r="F356" s="1925"/>
      <c r="G356" s="1925"/>
      <c r="H356" s="1925"/>
      <c r="I356" s="1925"/>
      <c r="J356" s="1925"/>
      <c r="K356" s="1925"/>
      <c r="L356" s="55"/>
      <c r="M356" s="55"/>
      <c r="N356" s="55"/>
      <c r="O356" s="55"/>
      <c r="P356" s="1925"/>
      <c r="Q356" s="1925"/>
      <c r="R356" s="1925"/>
      <c r="S356" s="1925"/>
      <c r="T356" s="1925"/>
      <c r="U356" s="1925"/>
      <c r="V356" s="192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1925"/>
      <c r="AV356" s="1925"/>
      <c r="AW356" s="1925"/>
      <c r="AX356" s="1925"/>
      <c r="AY356" s="1925"/>
      <c r="AZ356" s="1925"/>
      <c r="BA356" s="1925"/>
      <c r="BB356" s="1925"/>
      <c r="BC356" s="1925"/>
      <c r="BD356" s="1925"/>
      <c r="BE356" s="1925"/>
      <c r="BF356" s="1925"/>
    </row>
    <row r="357" spans="3:58" s="6" customFormat="1" ht="12.75">
      <c r="C357" s="1925"/>
      <c r="D357" s="1925"/>
      <c r="E357" s="1925"/>
      <c r="F357" s="1925"/>
      <c r="G357" s="1925"/>
      <c r="H357" s="1925"/>
      <c r="I357" s="1925"/>
      <c r="J357" s="1925"/>
      <c r="K357" s="1925"/>
      <c r="L357" s="55"/>
      <c r="M357" s="55"/>
      <c r="N357" s="55"/>
      <c r="O357" s="55"/>
      <c r="P357" s="1925"/>
      <c r="Q357" s="1925"/>
      <c r="R357" s="1925"/>
      <c r="S357" s="1925"/>
      <c r="T357" s="1925"/>
      <c r="U357" s="1925"/>
      <c r="V357" s="192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1925"/>
      <c r="AV357" s="1925"/>
      <c r="AW357" s="1925"/>
      <c r="AX357" s="1925"/>
      <c r="AY357" s="1925"/>
      <c r="AZ357" s="1925"/>
      <c r="BA357" s="1925"/>
      <c r="BB357" s="1925"/>
      <c r="BC357" s="1925"/>
      <c r="BD357" s="1925"/>
      <c r="BE357" s="1925"/>
      <c r="BF357" s="1925"/>
    </row>
    <row r="358" spans="3:58" s="6" customFormat="1" ht="12.75">
      <c r="C358" s="1925"/>
      <c r="D358" s="1925"/>
      <c r="E358" s="1925"/>
      <c r="F358" s="1925"/>
      <c r="G358" s="1925"/>
      <c r="H358" s="1925"/>
      <c r="I358" s="1925"/>
      <c r="J358" s="1925"/>
      <c r="K358" s="1925"/>
      <c r="L358" s="55"/>
      <c r="M358" s="55"/>
      <c r="N358" s="55"/>
      <c r="O358" s="55"/>
      <c r="P358" s="1925"/>
      <c r="Q358" s="1925"/>
      <c r="R358" s="1925"/>
      <c r="S358" s="1925"/>
      <c r="T358" s="1925"/>
      <c r="U358" s="1925"/>
      <c r="V358" s="192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1925"/>
      <c r="AV358" s="1925"/>
      <c r="AW358" s="1925"/>
      <c r="AX358" s="1925"/>
      <c r="AY358" s="1925"/>
      <c r="AZ358" s="1925"/>
      <c r="BA358" s="1925"/>
      <c r="BB358" s="1925"/>
      <c r="BC358" s="1925"/>
      <c r="BD358" s="1925"/>
      <c r="BE358" s="1925"/>
      <c r="BF358" s="1925"/>
    </row>
    <row r="359" spans="3:58" s="6" customFormat="1" ht="12.75">
      <c r="C359" s="1925"/>
      <c r="D359" s="1925"/>
      <c r="E359" s="1925"/>
      <c r="F359" s="1925"/>
      <c r="G359" s="1925"/>
      <c r="H359" s="1925"/>
      <c r="I359" s="1925"/>
      <c r="J359" s="1925"/>
      <c r="K359" s="1925"/>
      <c r="L359" s="55"/>
      <c r="M359" s="55"/>
      <c r="N359" s="55"/>
      <c r="O359" s="55"/>
      <c r="P359" s="1925"/>
      <c r="Q359" s="1925"/>
      <c r="R359" s="1925"/>
      <c r="S359" s="1925"/>
      <c r="T359" s="1925"/>
      <c r="U359" s="1925"/>
      <c r="V359" s="192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1925"/>
      <c r="AV359" s="1925"/>
      <c r="AW359" s="1925"/>
      <c r="AX359" s="1925"/>
      <c r="AY359" s="1925"/>
      <c r="AZ359" s="1925"/>
      <c r="BA359" s="1925"/>
      <c r="BB359" s="1925"/>
      <c r="BC359" s="1925"/>
      <c r="BD359" s="1925"/>
      <c r="BE359" s="1925"/>
      <c r="BF359" s="1925"/>
    </row>
    <row r="360" spans="3:58" s="6" customFormat="1" ht="12.75">
      <c r="C360" s="1925"/>
      <c r="D360" s="1925"/>
      <c r="E360" s="1925"/>
      <c r="F360" s="1925"/>
      <c r="G360" s="1925"/>
      <c r="H360" s="1925"/>
      <c r="I360" s="1925"/>
      <c r="J360" s="1925"/>
      <c r="K360" s="1925"/>
      <c r="L360" s="55"/>
      <c r="M360" s="55"/>
      <c r="N360" s="55"/>
      <c r="O360" s="55"/>
      <c r="P360" s="1925"/>
      <c r="Q360" s="1925"/>
      <c r="R360" s="1925"/>
      <c r="S360" s="1925"/>
      <c r="T360" s="1925"/>
      <c r="U360" s="1925"/>
      <c r="V360" s="192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1925"/>
      <c r="AV360" s="1925"/>
      <c r="AW360" s="1925"/>
      <c r="AX360" s="1925"/>
      <c r="AY360" s="1925"/>
      <c r="AZ360" s="1925"/>
      <c r="BA360" s="1925"/>
      <c r="BB360" s="1925"/>
      <c r="BC360" s="1925"/>
      <c r="BD360" s="1925"/>
      <c r="BE360" s="1925"/>
      <c r="BF360" s="1925"/>
    </row>
    <row r="361" spans="3:58" s="6" customFormat="1" ht="12.75">
      <c r="C361" s="1925"/>
      <c r="D361" s="1925"/>
      <c r="E361" s="1925"/>
      <c r="F361" s="1925"/>
      <c r="G361" s="1925"/>
      <c r="H361" s="1925"/>
      <c r="I361" s="1925"/>
      <c r="J361" s="1925"/>
      <c r="K361" s="1925"/>
      <c r="L361" s="55"/>
      <c r="M361" s="55"/>
      <c r="N361" s="55"/>
      <c r="O361" s="55"/>
      <c r="P361" s="1925"/>
      <c r="Q361" s="1925"/>
      <c r="R361" s="1925"/>
      <c r="S361" s="1925"/>
      <c r="T361" s="1925"/>
      <c r="U361" s="1925"/>
      <c r="V361" s="192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1925"/>
      <c r="AV361" s="1925"/>
      <c r="AW361" s="1925"/>
      <c r="AX361" s="1925"/>
      <c r="AY361" s="1925"/>
      <c r="AZ361" s="1925"/>
      <c r="BA361" s="1925"/>
      <c r="BB361" s="1925"/>
      <c r="BC361" s="1925"/>
      <c r="BD361" s="1925"/>
      <c r="BE361" s="1925"/>
      <c r="BF361" s="1925"/>
    </row>
    <row r="362" spans="3:58" s="6" customFormat="1" ht="12.75">
      <c r="C362" s="1925"/>
      <c r="D362" s="1925"/>
      <c r="E362" s="1925"/>
      <c r="F362" s="1925"/>
      <c r="G362" s="1925"/>
      <c r="H362" s="1925"/>
      <c r="I362" s="1925"/>
      <c r="J362" s="1925"/>
      <c r="K362" s="1925"/>
      <c r="L362" s="55"/>
      <c r="M362" s="55"/>
      <c r="N362" s="55"/>
      <c r="O362" s="55"/>
      <c r="P362" s="1925"/>
      <c r="Q362" s="1925"/>
      <c r="R362" s="1925"/>
      <c r="S362" s="1925"/>
      <c r="T362" s="1925"/>
      <c r="U362" s="1925"/>
      <c r="V362" s="192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1925"/>
      <c r="AV362" s="1925"/>
      <c r="AW362" s="1925"/>
      <c r="AX362" s="1925"/>
      <c r="AY362" s="1925"/>
      <c r="AZ362" s="1925"/>
      <c r="BA362" s="1925"/>
      <c r="BB362" s="1925"/>
      <c r="BC362" s="1925"/>
      <c r="BD362" s="1925"/>
      <c r="BE362" s="1925"/>
      <c r="BF362" s="1925"/>
    </row>
    <row r="363" spans="3:58" s="6" customFormat="1" ht="12.75">
      <c r="C363" s="1925"/>
      <c r="D363" s="1925"/>
      <c r="E363" s="1925"/>
      <c r="F363" s="1925"/>
      <c r="G363" s="1925"/>
      <c r="H363" s="1925"/>
      <c r="I363" s="1925"/>
      <c r="J363" s="1925"/>
      <c r="K363" s="1925"/>
      <c r="L363" s="55"/>
      <c r="M363" s="55"/>
      <c r="N363" s="55"/>
      <c r="O363" s="55"/>
      <c r="P363" s="1925"/>
      <c r="Q363" s="1925"/>
      <c r="R363" s="1925"/>
      <c r="S363" s="1925"/>
      <c r="T363" s="1925"/>
      <c r="U363" s="1925"/>
      <c r="V363" s="192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1925"/>
      <c r="AV363" s="1925"/>
      <c r="AW363" s="1925"/>
      <c r="AX363" s="1925"/>
      <c r="AY363" s="1925"/>
      <c r="AZ363" s="1925"/>
      <c r="BA363" s="1925"/>
      <c r="BB363" s="1925"/>
      <c r="BC363" s="1925"/>
      <c r="BD363" s="1925"/>
      <c r="BE363" s="1925"/>
      <c r="BF363" s="1925"/>
    </row>
    <row r="364" spans="3:58" s="6" customFormat="1" ht="12.75">
      <c r="C364" s="1925"/>
      <c r="D364" s="1925"/>
      <c r="E364" s="1925"/>
      <c r="F364" s="1925"/>
      <c r="G364" s="1925"/>
      <c r="H364" s="1925"/>
      <c r="I364" s="1925"/>
      <c r="J364" s="1925"/>
      <c r="K364" s="1925"/>
      <c r="L364" s="55"/>
      <c r="M364" s="55"/>
      <c r="N364" s="55"/>
      <c r="O364" s="55"/>
      <c r="P364" s="1925"/>
      <c r="Q364" s="1925"/>
      <c r="R364" s="1925"/>
      <c r="S364" s="1925"/>
      <c r="T364" s="1925"/>
      <c r="U364" s="1925"/>
      <c r="V364" s="192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1925"/>
      <c r="AV364" s="1925"/>
      <c r="AW364" s="1925"/>
      <c r="AX364" s="1925"/>
      <c r="AY364" s="1925"/>
      <c r="AZ364" s="1925"/>
      <c r="BA364" s="1925"/>
      <c r="BB364" s="1925"/>
      <c r="BC364" s="1925"/>
      <c r="BD364" s="1925"/>
      <c r="BE364" s="1925"/>
      <c r="BF364" s="1925"/>
    </row>
    <row r="365" spans="3:58" s="6" customFormat="1" ht="12.75">
      <c r="C365" s="1925"/>
      <c r="D365" s="1925"/>
      <c r="E365" s="1925"/>
      <c r="F365" s="1925"/>
      <c r="G365" s="1925"/>
      <c r="H365" s="1925"/>
      <c r="I365" s="1925"/>
      <c r="J365" s="1925"/>
      <c r="K365" s="1925"/>
      <c r="L365" s="55"/>
      <c r="M365" s="55"/>
      <c r="N365" s="55"/>
      <c r="O365" s="55"/>
      <c r="P365" s="1925"/>
      <c r="Q365" s="1925"/>
      <c r="R365" s="1925"/>
      <c r="S365" s="1925"/>
      <c r="T365" s="1925"/>
      <c r="U365" s="1925"/>
      <c r="V365" s="192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1925"/>
      <c r="AV365" s="1925"/>
      <c r="AW365" s="1925"/>
      <c r="AX365" s="1925"/>
      <c r="AY365" s="1925"/>
      <c r="AZ365" s="1925"/>
      <c r="BA365" s="1925"/>
      <c r="BB365" s="1925"/>
      <c r="BC365" s="1925"/>
      <c r="BD365" s="1925"/>
      <c r="BE365" s="1925"/>
      <c r="BF365" s="1925"/>
    </row>
    <row r="366" spans="3:58" s="6" customFormat="1" ht="12.75">
      <c r="C366" s="1925"/>
      <c r="D366" s="1925"/>
      <c r="E366" s="1925"/>
      <c r="F366" s="1925"/>
      <c r="G366" s="1925"/>
      <c r="H366" s="1925"/>
      <c r="I366" s="1925"/>
      <c r="J366" s="1925"/>
      <c r="K366" s="1925"/>
      <c r="L366" s="55"/>
      <c r="M366" s="55"/>
      <c r="N366" s="55"/>
      <c r="O366" s="55"/>
      <c r="P366" s="1925"/>
      <c r="Q366" s="1925"/>
      <c r="R366" s="1925"/>
      <c r="S366" s="1925"/>
      <c r="T366" s="1925"/>
      <c r="U366" s="1925"/>
      <c r="V366" s="192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1925"/>
      <c r="AV366" s="1925"/>
      <c r="AW366" s="1925"/>
      <c r="AX366" s="1925"/>
      <c r="AY366" s="1925"/>
      <c r="AZ366" s="1925"/>
      <c r="BA366" s="1925"/>
      <c r="BB366" s="1925"/>
      <c r="BC366" s="1925"/>
      <c r="BD366" s="1925"/>
      <c r="BE366" s="1925"/>
      <c r="BF366" s="1925"/>
    </row>
    <row r="367" spans="3:58" s="6" customFormat="1" ht="12.75">
      <c r="C367" s="1925"/>
      <c r="D367" s="1925"/>
      <c r="E367" s="1925"/>
      <c r="F367" s="1925"/>
      <c r="G367" s="1925"/>
      <c r="H367" s="1925"/>
      <c r="I367" s="1925"/>
      <c r="J367" s="1925"/>
      <c r="K367" s="1925"/>
      <c r="L367" s="55"/>
      <c r="M367" s="55"/>
      <c r="N367" s="55"/>
      <c r="O367" s="55"/>
      <c r="P367" s="1925"/>
      <c r="Q367" s="1925"/>
      <c r="R367" s="1925"/>
      <c r="S367" s="1925"/>
      <c r="T367" s="1925"/>
      <c r="U367" s="1925"/>
      <c r="V367" s="192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1925"/>
      <c r="AV367" s="1925"/>
      <c r="AW367" s="1925"/>
      <c r="AX367" s="1925"/>
      <c r="AY367" s="1925"/>
      <c r="AZ367" s="1925"/>
      <c r="BA367" s="1925"/>
      <c r="BB367" s="1925"/>
      <c r="BC367" s="1925"/>
      <c r="BD367" s="1925"/>
      <c r="BE367" s="1925"/>
      <c r="BF367" s="1925"/>
    </row>
    <row r="368" spans="3:58" s="6" customFormat="1" ht="12.75">
      <c r="C368" s="1925"/>
      <c r="D368" s="1925"/>
      <c r="E368" s="1925"/>
      <c r="F368" s="1925"/>
      <c r="G368" s="1925"/>
      <c r="H368" s="1925"/>
      <c r="I368" s="1925"/>
      <c r="J368" s="1925"/>
      <c r="K368" s="1925"/>
      <c r="L368" s="55"/>
      <c r="M368" s="55"/>
      <c r="N368" s="55"/>
      <c r="O368" s="55"/>
      <c r="P368" s="1925"/>
      <c r="Q368" s="1925"/>
      <c r="R368" s="1925"/>
      <c r="S368" s="1925"/>
      <c r="T368" s="1925"/>
      <c r="U368" s="1925"/>
      <c r="V368" s="192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1925"/>
      <c r="AV368" s="1925"/>
      <c r="AW368" s="1925"/>
      <c r="AX368" s="1925"/>
      <c r="AY368" s="1925"/>
      <c r="AZ368" s="1925"/>
      <c r="BA368" s="1925"/>
      <c r="BB368" s="1925"/>
      <c r="BC368" s="1925"/>
      <c r="BD368" s="1925"/>
      <c r="BE368" s="1925"/>
      <c r="BF368" s="1925"/>
    </row>
    <row r="369" spans="3:58" s="6" customFormat="1" ht="12.75">
      <c r="C369" s="1925"/>
      <c r="D369" s="1925"/>
      <c r="E369" s="1925"/>
      <c r="F369" s="1925"/>
      <c r="G369" s="1925"/>
      <c r="H369" s="1925"/>
      <c r="I369" s="1925"/>
      <c r="J369" s="1925"/>
      <c r="K369" s="1925"/>
      <c r="L369" s="55"/>
      <c r="M369" s="55"/>
      <c r="N369" s="55"/>
      <c r="O369" s="55"/>
      <c r="P369" s="1925"/>
      <c r="Q369" s="1925"/>
      <c r="R369" s="1925"/>
      <c r="S369" s="1925"/>
      <c r="T369" s="1925"/>
      <c r="U369" s="1925"/>
      <c r="V369" s="192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1925"/>
      <c r="AV369" s="1925"/>
      <c r="AW369" s="1925"/>
      <c r="AX369" s="1925"/>
      <c r="AY369" s="1925"/>
      <c r="AZ369" s="1925"/>
      <c r="BA369" s="1925"/>
      <c r="BB369" s="1925"/>
      <c r="BC369" s="1925"/>
      <c r="BD369" s="1925"/>
      <c r="BE369" s="1925"/>
      <c r="BF369" s="1925"/>
    </row>
    <row r="370" spans="3:58" s="6" customFormat="1" ht="12.75">
      <c r="C370" s="1925"/>
      <c r="D370" s="1925"/>
      <c r="E370" s="1925"/>
      <c r="F370" s="1925"/>
      <c r="G370" s="1925"/>
      <c r="H370" s="1925"/>
      <c r="I370" s="1925"/>
      <c r="J370" s="1925"/>
      <c r="K370" s="1925"/>
      <c r="L370" s="55"/>
      <c r="M370" s="55"/>
      <c r="N370" s="55"/>
      <c r="O370" s="55"/>
      <c r="P370" s="1925"/>
      <c r="Q370" s="1925"/>
      <c r="R370" s="1925"/>
      <c r="S370" s="1925"/>
      <c r="T370" s="1925"/>
      <c r="U370" s="1925"/>
      <c r="V370" s="192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1925"/>
      <c r="AV370" s="1925"/>
      <c r="AW370" s="1925"/>
      <c r="AX370" s="1925"/>
      <c r="AY370" s="1925"/>
      <c r="AZ370" s="1925"/>
      <c r="BA370" s="1925"/>
      <c r="BB370" s="1925"/>
      <c r="BC370" s="1925"/>
      <c r="BD370" s="1925"/>
      <c r="BE370" s="1925"/>
      <c r="BF370" s="1925"/>
    </row>
    <row r="371" spans="3:58" s="6" customFormat="1" ht="12.75">
      <c r="C371" s="1925"/>
      <c r="D371" s="1925"/>
      <c r="E371" s="1925"/>
      <c r="F371" s="1925"/>
      <c r="G371" s="1925"/>
      <c r="H371" s="1925"/>
      <c r="I371" s="1925"/>
      <c r="J371" s="1925"/>
      <c r="K371" s="1925"/>
      <c r="L371" s="55"/>
      <c r="M371" s="55"/>
      <c r="N371" s="55"/>
      <c r="O371" s="55"/>
      <c r="P371" s="1925"/>
      <c r="Q371" s="1925"/>
      <c r="R371" s="1925"/>
      <c r="S371" s="1925"/>
      <c r="T371" s="1925"/>
      <c r="U371" s="1925"/>
      <c r="V371" s="192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1925"/>
      <c r="AV371" s="1925"/>
      <c r="AW371" s="1925"/>
      <c r="AX371" s="1925"/>
      <c r="AY371" s="1925"/>
      <c r="AZ371" s="1925"/>
      <c r="BA371" s="1925"/>
      <c r="BB371" s="1925"/>
      <c r="BC371" s="1925"/>
      <c r="BD371" s="1925"/>
      <c r="BE371" s="1925"/>
      <c r="BF371" s="1925"/>
    </row>
    <row r="372" spans="3:58" s="6" customFormat="1" ht="12.75">
      <c r="C372" s="1925"/>
      <c r="D372" s="1925"/>
      <c r="E372" s="1925"/>
      <c r="F372" s="1925"/>
      <c r="G372" s="1925"/>
      <c r="H372" s="1925"/>
      <c r="I372" s="1925"/>
      <c r="J372" s="1925"/>
      <c r="K372" s="1925"/>
      <c r="L372" s="55"/>
      <c r="M372" s="55"/>
      <c r="N372" s="55"/>
      <c r="O372" s="55"/>
      <c r="P372" s="1925"/>
      <c r="Q372" s="1925"/>
      <c r="R372" s="1925"/>
      <c r="S372" s="1925"/>
      <c r="T372" s="1925"/>
      <c r="U372" s="1925"/>
      <c r="V372" s="192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1925"/>
      <c r="AV372" s="1925"/>
      <c r="AW372" s="1925"/>
      <c r="AX372" s="1925"/>
      <c r="AY372" s="1925"/>
      <c r="AZ372" s="1925"/>
      <c r="BA372" s="1925"/>
      <c r="BB372" s="1925"/>
      <c r="BC372" s="1925"/>
      <c r="BD372" s="1925"/>
      <c r="BE372" s="1925"/>
      <c r="BF372" s="1925"/>
    </row>
    <row r="373" spans="3:58" s="6" customFormat="1" ht="12.75">
      <c r="C373" s="1925"/>
      <c r="D373" s="1925"/>
      <c r="E373" s="1925"/>
      <c r="F373" s="1925"/>
      <c r="G373" s="1925"/>
      <c r="H373" s="1925"/>
      <c r="I373" s="1925"/>
      <c r="J373" s="1925"/>
      <c r="K373" s="1925"/>
      <c r="L373" s="55"/>
      <c r="M373" s="55"/>
      <c r="N373" s="55"/>
      <c r="O373" s="55"/>
      <c r="P373" s="1925"/>
      <c r="Q373" s="1925"/>
      <c r="R373" s="1925"/>
      <c r="S373" s="1925"/>
      <c r="T373" s="1925"/>
      <c r="U373" s="1925"/>
      <c r="V373" s="192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1925"/>
      <c r="AV373" s="1925"/>
      <c r="AW373" s="1925"/>
      <c r="AX373" s="1925"/>
      <c r="AY373" s="1925"/>
      <c r="AZ373" s="1925"/>
      <c r="BA373" s="1925"/>
      <c r="BB373" s="1925"/>
      <c r="BC373" s="1925"/>
      <c r="BD373" s="1925"/>
      <c r="BE373" s="1925"/>
      <c r="BF373" s="1925"/>
    </row>
    <row r="374" spans="3:58" s="6" customFormat="1" ht="12.75">
      <c r="C374" s="1925"/>
      <c r="D374" s="1925"/>
      <c r="E374" s="1925"/>
      <c r="F374" s="1925"/>
      <c r="G374" s="1925"/>
      <c r="H374" s="1925"/>
      <c r="I374" s="1925"/>
      <c r="J374" s="1925"/>
      <c r="K374" s="1925"/>
      <c r="L374" s="55"/>
      <c r="M374" s="55"/>
      <c r="N374" s="55"/>
      <c r="O374" s="55"/>
      <c r="P374" s="1925"/>
      <c r="Q374" s="1925"/>
      <c r="R374" s="1925"/>
      <c r="S374" s="1925"/>
      <c r="T374" s="1925"/>
      <c r="U374" s="1925"/>
      <c r="V374" s="192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1925"/>
      <c r="AV374" s="1925"/>
      <c r="AW374" s="1925"/>
      <c r="AX374" s="1925"/>
      <c r="AY374" s="1925"/>
      <c r="AZ374" s="1925"/>
      <c r="BA374" s="1925"/>
      <c r="BB374" s="1925"/>
      <c r="BC374" s="1925"/>
      <c r="BD374" s="1925"/>
      <c r="BE374" s="1925"/>
      <c r="BF374" s="1925"/>
    </row>
    <row r="375" spans="3:58" s="6" customFormat="1" ht="12.75">
      <c r="C375" s="1925"/>
      <c r="D375" s="1925"/>
      <c r="E375" s="1925"/>
      <c r="F375" s="1925"/>
      <c r="G375" s="1925"/>
      <c r="H375" s="1925"/>
      <c r="I375" s="1925"/>
      <c r="J375" s="1925"/>
      <c r="K375" s="1925"/>
      <c r="L375" s="55"/>
      <c r="M375" s="55"/>
      <c r="N375" s="55"/>
      <c r="O375" s="55"/>
      <c r="P375" s="1925"/>
      <c r="Q375" s="1925"/>
      <c r="R375" s="1925"/>
      <c r="S375" s="1925"/>
      <c r="T375" s="1925"/>
      <c r="U375" s="1925"/>
      <c r="V375" s="192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1925"/>
      <c r="AV375" s="1925"/>
      <c r="AW375" s="1925"/>
      <c r="AX375" s="1925"/>
      <c r="AY375" s="1925"/>
      <c r="AZ375" s="1925"/>
      <c r="BA375" s="1925"/>
      <c r="BB375" s="1925"/>
      <c r="BC375" s="1925"/>
      <c r="BD375" s="1925"/>
      <c r="BE375" s="1925"/>
      <c r="BF375" s="1925"/>
    </row>
    <row r="376" spans="3:58" s="6" customFormat="1" ht="12.75">
      <c r="C376" s="1925"/>
      <c r="D376" s="1925"/>
      <c r="E376" s="1925"/>
      <c r="F376" s="1925"/>
      <c r="G376" s="1925"/>
      <c r="H376" s="1925"/>
      <c r="I376" s="1925"/>
      <c r="J376" s="1925"/>
      <c r="K376" s="1925"/>
      <c r="L376" s="55"/>
      <c r="M376" s="55"/>
      <c r="N376" s="55"/>
      <c r="O376" s="55"/>
      <c r="P376" s="1925"/>
      <c r="Q376" s="1925"/>
      <c r="R376" s="1925"/>
      <c r="S376" s="1925"/>
      <c r="T376" s="1925"/>
      <c r="U376" s="1925"/>
      <c r="V376" s="192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1925"/>
      <c r="AV376" s="1925"/>
      <c r="AW376" s="1925"/>
      <c r="AX376" s="1925"/>
      <c r="AY376" s="1925"/>
      <c r="AZ376" s="1925"/>
      <c r="BA376" s="1925"/>
      <c r="BB376" s="1925"/>
      <c r="BC376" s="1925"/>
      <c r="BD376" s="1925"/>
      <c r="BE376" s="1925"/>
      <c r="BF376" s="1925"/>
    </row>
    <row r="377" spans="3:58" s="6" customFormat="1" ht="12.75">
      <c r="C377" s="1925"/>
      <c r="D377" s="1925"/>
      <c r="E377" s="1925"/>
      <c r="F377" s="1925"/>
      <c r="G377" s="1925"/>
      <c r="H377" s="1925"/>
      <c r="I377" s="1925"/>
      <c r="J377" s="1925"/>
      <c r="K377" s="1925"/>
      <c r="L377" s="55"/>
      <c r="M377" s="55"/>
      <c r="N377" s="55"/>
      <c r="O377" s="55"/>
      <c r="P377" s="1925"/>
      <c r="Q377" s="1925"/>
      <c r="R377" s="1925"/>
      <c r="S377" s="1925"/>
      <c r="T377" s="1925"/>
      <c r="U377" s="1925"/>
      <c r="V377" s="192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1925"/>
      <c r="AV377" s="1925"/>
      <c r="AW377" s="1925"/>
      <c r="AX377" s="1925"/>
      <c r="AY377" s="1925"/>
      <c r="AZ377" s="1925"/>
      <c r="BA377" s="1925"/>
      <c r="BB377" s="1925"/>
      <c r="BC377" s="1925"/>
      <c r="BD377" s="1925"/>
      <c r="BE377" s="1925"/>
      <c r="BF377" s="1925"/>
    </row>
    <row r="378" spans="3:58" s="6" customFormat="1" ht="12.75">
      <c r="C378" s="1925"/>
      <c r="D378" s="1925"/>
      <c r="E378" s="1925"/>
      <c r="F378" s="1925"/>
      <c r="G378" s="1925"/>
      <c r="H378" s="1925"/>
      <c r="I378" s="1925"/>
      <c r="J378" s="1925"/>
      <c r="K378" s="1925"/>
      <c r="L378" s="55"/>
      <c r="M378" s="55"/>
      <c r="N378" s="55"/>
      <c r="O378" s="55"/>
      <c r="P378" s="1925"/>
      <c r="Q378" s="1925"/>
      <c r="R378" s="1925"/>
      <c r="S378" s="1925"/>
      <c r="T378" s="1925"/>
      <c r="U378" s="1925"/>
      <c r="V378" s="192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1925"/>
      <c r="AV378" s="1925"/>
      <c r="AW378" s="1925"/>
      <c r="AX378" s="1925"/>
      <c r="AY378" s="1925"/>
      <c r="AZ378" s="1925"/>
      <c r="BA378" s="1925"/>
      <c r="BB378" s="1925"/>
      <c r="BC378" s="1925"/>
      <c r="BD378" s="1925"/>
      <c r="BE378" s="1925"/>
      <c r="BF378" s="1925"/>
    </row>
    <row r="379" spans="3:58" s="6" customFormat="1" ht="12.75">
      <c r="C379" s="1925"/>
      <c r="D379" s="1925"/>
      <c r="E379" s="1925"/>
      <c r="F379" s="1925"/>
      <c r="G379" s="1925"/>
      <c r="H379" s="1925"/>
      <c r="I379" s="1925"/>
      <c r="J379" s="1925"/>
      <c r="K379" s="1925"/>
      <c r="L379" s="55"/>
      <c r="M379" s="55"/>
      <c r="N379" s="55"/>
      <c r="O379" s="55"/>
      <c r="P379" s="1925"/>
      <c r="Q379" s="1925"/>
      <c r="R379" s="1925"/>
      <c r="S379" s="1925"/>
      <c r="T379" s="1925"/>
      <c r="U379" s="1925"/>
      <c r="V379" s="192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1925"/>
      <c r="AV379" s="1925"/>
      <c r="AW379" s="1925"/>
      <c r="AX379" s="1925"/>
      <c r="AY379" s="1925"/>
      <c r="AZ379" s="1925"/>
      <c r="BA379" s="1925"/>
      <c r="BB379" s="1925"/>
      <c r="BC379" s="1925"/>
      <c r="BD379" s="1925"/>
      <c r="BE379" s="1925"/>
      <c r="BF379" s="1925"/>
    </row>
    <row r="380" spans="3:58" s="6" customFormat="1" ht="12.75">
      <c r="C380" s="1925"/>
      <c r="D380" s="1925"/>
      <c r="E380" s="1925"/>
      <c r="F380" s="1925"/>
      <c r="G380" s="1925"/>
      <c r="H380" s="1925"/>
      <c r="I380" s="1925"/>
      <c r="J380" s="1925"/>
      <c r="K380" s="1925"/>
      <c r="L380" s="55"/>
      <c r="M380" s="55"/>
      <c r="N380" s="55"/>
      <c r="O380" s="55"/>
      <c r="P380" s="1925"/>
      <c r="Q380" s="1925"/>
      <c r="R380" s="1925"/>
      <c r="S380" s="1925"/>
      <c r="T380" s="1925"/>
      <c r="U380" s="1925"/>
      <c r="V380" s="192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1925"/>
      <c r="AV380" s="1925"/>
      <c r="AW380" s="1925"/>
      <c r="AX380" s="1925"/>
      <c r="AY380" s="1925"/>
      <c r="AZ380" s="1925"/>
      <c r="BA380" s="1925"/>
      <c r="BB380" s="1925"/>
      <c r="BC380" s="1925"/>
      <c r="BD380" s="1925"/>
      <c r="BE380" s="1925"/>
      <c r="BF380" s="1925"/>
    </row>
    <row r="381" spans="3:58" s="6" customFormat="1" ht="12.75">
      <c r="C381" s="1925"/>
      <c r="D381" s="1925"/>
      <c r="E381" s="1925"/>
      <c r="F381" s="1925"/>
      <c r="G381" s="1925"/>
      <c r="H381" s="1925"/>
      <c r="I381" s="1925"/>
      <c r="J381" s="1925"/>
      <c r="K381" s="1925"/>
      <c r="L381" s="55"/>
      <c r="M381" s="55"/>
      <c r="N381" s="55"/>
      <c r="O381" s="55"/>
      <c r="P381" s="1925"/>
      <c r="Q381" s="1925"/>
      <c r="R381" s="1925"/>
      <c r="S381" s="1925"/>
      <c r="T381" s="1925"/>
      <c r="U381" s="1925"/>
      <c r="V381" s="192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1925"/>
      <c r="AV381" s="1925"/>
      <c r="AW381" s="1925"/>
      <c r="AX381" s="1925"/>
      <c r="AY381" s="1925"/>
      <c r="AZ381" s="1925"/>
      <c r="BA381" s="1925"/>
      <c r="BB381" s="1925"/>
      <c r="BC381" s="1925"/>
      <c r="BD381" s="1925"/>
      <c r="BE381" s="1925"/>
      <c r="BF381" s="1925"/>
    </row>
    <row r="382" spans="3:58" s="6" customFormat="1" ht="12.75">
      <c r="C382" s="1925"/>
      <c r="D382" s="1925"/>
      <c r="E382" s="1925"/>
      <c r="F382" s="1925"/>
      <c r="G382" s="1925"/>
      <c r="H382" s="1925"/>
      <c r="I382" s="1925"/>
      <c r="J382" s="1925"/>
      <c r="K382" s="1925"/>
      <c r="L382" s="55"/>
      <c r="M382" s="55"/>
      <c r="N382" s="55"/>
      <c r="O382" s="55"/>
      <c r="P382" s="1925"/>
      <c r="Q382" s="1925"/>
      <c r="R382" s="1925"/>
      <c r="S382" s="1925"/>
      <c r="T382" s="1925"/>
      <c r="U382" s="1925"/>
      <c r="V382" s="192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1925"/>
      <c r="AV382" s="1925"/>
      <c r="AW382" s="1925"/>
      <c r="AX382" s="1925"/>
      <c r="AY382" s="1925"/>
      <c r="AZ382" s="1925"/>
      <c r="BA382" s="1925"/>
      <c r="BB382" s="1925"/>
      <c r="BC382" s="1925"/>
      <c r="BD382" s="1925"/>
      <c r="BE382" s="1925"/>
      <c r="BF382" s="1925"/>
    </row>
    <row r="383" spans="3:58" s="6" customFormat="1" ht="12.75">
      <c r="C383" s="1925"/>
      <c r="D383" s="1925"/>
      <c r="E383" s="1925"/>
      <c r="F383" s="1925"/>
      <c r="G383" s="1925"/>
      <c r="H383" s="1925"/>
      <c r="I383" s="1925"/>
      <c r="J383" s="1925"/>
      <c r="K383" s="1925"/>
      <c r="L383" s="55"/>
      <c r="M383" s="55"/>
      <c r="N383" s="55"/>
      <c r="O383" s="55"/>
      <c r="P383" s="1925"/>
      <c r="Q383" s="1925"/>
      <c r="R383" s="1925"/>
      <c r="S383" s="1925"/>
      <c r="T383" s="1925"/>
      <c r="U383" s="1925"/>
      <c r="V383" s="192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1925"/>
      <c r="AV383" s="1925"/>
      <c r="AW383" s="1925"/>
      <c r="AX383" s="1925"/>
      <c r="AY383" s="1925"/>
      <c r="AZ383" s="1925"/>
      <c r="BA383" s="1925"/>
      <c r="BB383" s="1925"/>
      <c r="BC383" s="1925"/>
      <c r="BD383" s="1925"/>
      <c r="BE383" s="1925"/>
      <c r="BF383" s="1925"/>
    </row>
    <row r="384" spans="3:58" s="6" customFormat="1" ht="12.75">
      <c r="C384" s="1925"/>
      <c r="D384" s="1925"/>
      <c r="E384" s="1925"/>
      <c r="F384" s="1925"/>
      <c r="G384" s="1925"/>
      <c r="H384" s="1925"/>
      <c r="I384" s="1925"/>
      <c r="J384" s="1925"/>
      <c r="K384" s="1925"/>
      <c r="L384" s="55"/>
      <c r="M384" s="55"/>
      <c r="N384" s="55"/>
      <c r="O384" s="55"/>
      <c r="P384" s="1925"/>
      <c r="Q384" s="1925"/>
      <c r="R384" s="1925"/>
      <c r="S384" s="1925"/>
      <c r="T384" s="1925"/>
      <c r="U384" s="1925"/>
      <c r="V384" s="192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1925"/>
      <c r="AV384" s="1925"/>
      <c r="AW384" s="1925"/>
      <c r="AX384" s="1925"/>
      <c r="AY384" s="1925"/>
      <c r="AZ384" s="1925"/>
      <c r="BA384" s="1925"/>
      <c r="BB384" s="1925"/>
      <c r="BC384" s="1925"/>
      <c r="BD384" s="1925"/>
      <c r="BE384" s="1925"/>
      <c r="BF384" s="1925"/>
    </row>
    <row r="385" spans="1:58" s="6" customFormat="1" ht="12.75">
      <c r="A385" s="55"/>
      <c r="B385" s="55"/>
      <c r="C385" s="1925"/>
      <c r="D385" s="1925"/>
      <c r="E385" s="1925"/>
      <c r="F385" s="1925"/>
      <c r="G385" s="1925"/>
      <c r="H385" s="1925"/>
      <c r="I385" s="1925"/>
      <c r="J385" s="1925"/>
      <c r="K385" s="1925"/>
      <c r="L385" s="55"/>
      <c r="M385" s="55"/>
      <c r="N385" s="55"/>
      <c r="O385" s="55"/>
      <c r="P385" s="1925"/>
      <c r="Q385" s="1925"/>
      <c r="R385" s="1925"/>
      <c r="S385" s="1925"/>
      <c r="T385" s="1925"/>
      <c r="U385" s="1925"/>
      <c r="V385" s="192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1925"/>
      <c r="AV385" s="1925"/>
      <c r="AW385" s="1925"/>
      <c r="AX385" s="1925"/>
      <c r="AY385" s="1925"/>
      <c r="AZ385" s="1925"/>
      <c r="BA385" s="1925"/>
      <c r="BB385" s="1925"/>
      <c r="BC385" s="1925"/>
      <c r="BD385" s="1925"/>
      <c r="BE385" s="1925"/>
      <c r="BF385" s="1925"/>
    </row>
    <row r="386" spans="1:58" s="6" customFormat="1" ht="12.75">
      <c r="A386" s="55"/>
      <c r="B386" s="55"/>
      <c r="C386" s="1925"/>
      <c r="D386" s="1925"/>
      <c r="E386" s="1925"/>
      <c r="F386" s="1925"/>
      <c r="G386" s="1925"/>
      <c r="H386" s="1925"/>
      <c r="I386" s="1925"/>
      <c r="J386" s="1925"/>
      <c r="K386" s="1925"/>
      <c r="L386" s="55"/>
      <c r="M386" s="55"/>
      <c r="N386" s="4"/>
      <c r="O386" s="4"/>
      <c r="P386" s="10"/>
      <c r="Q386" s="10"/>
      <c r="R386" s="10"/>
      <c r="S386" s="10"/>
      <c r="T386" s="10"/>
      <c r="U386" s="10"/>
      <c r="V386" s="10"/>
      <c r="W386" s="55"/>
      <c r="X386" s="55"/>
      <c r="Y386" s="55"/>
      <c r="Z386" s="55"/>
      <c r="AA386" s="55"/>
      <c r="AB386" s="55"/>
      <c r="AC386" s="55"/>
      <c r="AD386" s="55"/>
      <c r="AE386" s="55"/>
      <c r="AF386" s="55"/>
      <c r="AG386" s="55"/>
      <c r="AH386" s="55"/>
      <c r="AI386" s="55"/>
      <c r="AJ386" s="55"/>
      <c r="AK386" s="1"/>
      <c r="AL386" s="1"/>
      <c r="AM386" s="1"/>
      <c r="AN386" s="1"/>
      <c r="AO386" s="1"/>
      <c r="AP386" s="1"/>
      <c r="AQ386" s="1"/>
      <c r="AR386" s="1"/>
      <c r="AS386" s="1"/>
      <c r="AT386" s="1"/>
      <c r="AU386" s="10"/>
      <c r="AV386" s="10"/>
      <c r="AW386" s="10"/>
      <c r="AX386" s="10"/>
      <c r="AY386" s="10"/>
      <c r="AZ386" s="10"/>
      <c r="BA386" s="10"/>
      <c r="BB386" s="10"/>
      <c r="BC386" s="10"/>
      <c r="BD386" s="10"/>
      <c r="BE386" s="10"/>
      <c r="BF386" s="10"/>
    </row>
    <row r="387" spans="1:58" s="6" customFormat="1" ht="12.75">
      <c r="A387" s="55"/>
      <c r="B387" s="55"/>
      <c r="C387" s="1925"/>
      <c r="D387" s="1925"/>
      <c r="E387" s="1925"/>
      <c r="F387" s="1925"/>
      <c r="G387" s="1925"/>
      <c r="H387" s="1925"/>
      <c r="I387" s="1925"/>
      <c r="J387" s="1925"/>
      <c r="K387" s="1925"/>
      <c r="L387" s="55"/>
      <c r="M387" s="55"/>
      <c r="N387" s="4"/>
      <c r="O387" s="4"/>
      <c r="P387" s="10"/>
      <c r="Q387" s="10"/>
      <c r="R387" s="10"/>
      <c r="S387" s="10"/>
      <c r="T387" s="10"/>
      <c r="U387" s="10"/>
      <c r="V387" s="10"/>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0"/>
      <c r="AV387" s="10"/>
      <c r="AW387" s="10"/>
      <c r="AX387" s="10"/>
      <c r="AY387" s="10"/>
      <c r="AZ387" s="10"/>
      <c r="BA387" s="10"/>
      <c r="BB387" s="10"/>
      <c r="BC387" s="10"/>
      <c r="BD387" s="10"/>
      <c r="BE387" s="10"/>
      <c r="BF387" s="10"/>
    </row>
    <row r="388" spans="1:58" s="6" customFormat="1" ht="12.75">
      <c r="A388" s="55"/>
      <c r="B388" s="55"/>
      <c r="C388" s="1925"/>
      <c r="D388" s="1925"/>
      <c r="E388" s="1925"/>
      <c r="F388" s="1925"/>
      <c r="G388" s="1925"/>
      <c r="H388" s="1925"/>
      <c r="I388" s="1925"/>
      <c r="J388" s="1925"/>
      <c r="K388" s="1925"/>
      <c r="L388" s="55"/>
      <c r="M388" s="55"/>
      <c r="N388" s="4"/>
      <c r="O388" s="4"/>
      <c r="P388" s="10"/>
      <c r="Q388" s="10"/>
      <c r="R388" s="10"/>
      <c r="S388" s="10"/>
      <c r="T388" s="10"/>
      <c r="U388" s="10"/>
      <c r="V388" s="10"/>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0"/>
      <c r="AV388" s="10"/>
      <c r="AW388" s="10"/>
      <c r="AX388" s="10"/>
      <c r="AY388" s="10"/>
      <c r="AZ388" s="10"/>
      <c r="BA388" s="10"/>
      <c r="BB388" s="10"/>
      <c r="BC388" s="10"/>
      <c r="BD388" s="10"/>
      <c r="BE388" s="10"/>
      <c r="BF388" s="10"/>
    </row>
    <row r="389" spans="1:58">
      <c r="A389" s="1"/>
    </row>
  </sheetData>
  <sheetProtection algorithmName="SHA-512" hashValue="WVrOgORfCG7B5iWYlDodekn247pLMb7bV53jf9PW0wgPdtc6WVkmGlL7f3woyvklxUmPsTAmUgNfuejwrSCVuw==" saltValue="rLUQ5sgMwL8Di/TbHzJscA==" spinCount="100000" sheet="1" sort="0" autoFilter="0"/>
  <autoFilter ref="A6:B126" xr:uid="{00000000-0009-0000-0000-000013000000}"/>
  <mergeCells count="22">
    <mergeCell ref="A2:Q2"/>
    <mergeCell ref="O5:O6"/>
    <mergeCell ref="L5:N5"/>
    <mergeCell ref="AU3:BF4"/>
    <mergeCell ref="R5:V5"/>
    <mergeCell ref="AU5:AX5"/>
    <mergeCell ref="AY5:BB5"/>
    <mergeCell ref="BC5:BF5"/>
    <mergeCell ref="W3:AT5"/>
    <mergeCell ref="I4:Q4"/>
    <mergeCell ref="E3:Q3"/>
    <mergeCell ref="J5:J6"/>
    <mergeCell ref="I5:I6"/>
    <mergeCell ref="K5:K6"/>
    <mergeCell ref="G5:G6"/>
    <mergeCell ref="E4:H4"/>
    <mergeCell ref="C5:C6"/>
    <mergeCell ref="D5:D6"/>
    <mergeCell ref="A3:B3"/>
    <mergeCell ref="A4:A6"/>
    <mergeCell ref="B4:B6"/>
    <mergeCell ref="C3:D4"/>
  </mergeCells>
  <printOptions horizontalCentered="1"/>
  <pageMargins left="0.7" right="0.7" top="0.75" bottom="0.5" header="0.3" footer="0.3"/>
  <pageSetup scale="45" fitToHeight="0" orientation="landscape" r:id="rId1"/>
  <headerFooter alignWithMargins="0">
    <oddFooter>&amp;C&amp;P of &amp;N&amp;R&amp;A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pageSetUpPr fitToPage="1"/>
  </sheetPr>
  <dimension ref="A1:E173"/>
  <sheetViews>
    <sheetView showGridLines="0" zoomScale="110" zoomScaleNormal="110" workbookViewId="0">
      <pane xSplit="2" ySplit="4" topLeftCell="C5" activePane="bottomRight" state="frozen"/>
      <selection pane="topRight" activeCell="C1" sqref="C1"/>
      <selection pane="bottomLeft" activeCell="A5" sqref="A5"/>
      <selection pane="bottomRight" activeCell="A3" sqref="A3:B3"/>
    </sheetView>
  </sheetViews>
  <sheetFormatPr defaultRowHeight="12.75"/>
  <cols>
    <col min="1" max="1" width="40.85546875" style="3" customWidth="1"/>
    <col min="2" max="2" width="15.42578125" style="22" customWidth="1"/>
    <col min="3" max="3" width="25.42578125" style="3" customWidth="1"/>
    <col min="4" max="4" width="20" style="10" customWidth="1"/>
  </cols>
  <sheetData>
    <row r="1" spans="1:4" s="1" customFormat="1" ht="11.25" hidden="1">
      <c r="A1" s="3" t="s">
        <v>989</v>
      </c>
      <c r="B1" s="22"/>
      <c r="C1" s="36" t="s">
        <v>412</v>
      </c>
      <c r="D1" s="10"/>
    </row>
    <row r="2" spans="1:4" ht="39.75" customHeight="1" thickBot="1">
      <c r="A2" s="2743" t="s">
        <v>990</v>
      </c>
      <c r="B2" s="2743"/>
      <c r="C2" s="2743"/>
      <c r="D2" s="2743"/>
    </row>
    <row r="3" spans="1:4" ht="17.25" customHeight="1" thickTop="1" thickBot="1">
      <c r="A3" s="2606" t="str">
        <f>'Water Direct Exp (GW-1)'!A3:B3</f>
        <v>2025 (Rev 4)</v>
      </c>
      <c r="B3" s="2607"/>
      <c r="C3" s="2744" t="s">
        <v>991</v>
      </c>
      <c r="D3" s="2746" t="s">
        <v>992</v>
      </c>
    </row>
    <row r="4" spans="1:4" ht="39" customHeight="1" thickBot="1">
      <c r="A4" s="2010" t="s">
        <v>661</v>
      </c>
      <c r="B4" s="2011" t="s">
        <v>80</v>
      </c>
      <c r="C4" s="2745"/>
      <c r="D4" s="2747"/>
    </row>
    <row r="5" spans="1:4">
      <c r="A5" s="280" t="s">
        <v>391</v>
      </c>
      <c r="B5" s="924" t="s">
        <v>392</v>
      </c>
      <c r="C5" s="923">
        <f>D5</f>
        <v>114454.88250872909</v>
      </c>
      <c r="D5" s="912">
        <f>VLOOKUP($A5,Table_IP_1, MATCH("sat lim", heading_IP_1, 0), FALSE)</f>
        <v>114454.88250872909</v>
      </c>
    </row>
    <row r="6" spans="1:4">
      <c r="A6" s="280" t="s">
        <v>85</v>
      </c>
      <c r="B6" s="913" t="s">
        <v>86</v>
      </c>
      <c r="C6" s="914">
        <f t="shared" ref="C6:C68" si="0">D6</f>
        <v>8.3677457891461877</v>
      </c>
      <c r="D6" s="154">
        <f t="shared" ref="D6:D67" si="1">VLOOKUP($A6,Table_IP_1, MATCH("sat lim", heading_IP_1, 0), FALSE)</f>
        <v>8.3677457891461877</v>
      </c>
    </row>
    <row r="7" spans="1:4">
      <c r="A7" s="280" t="s">
        <v>87</v>
      </c>
      <c r="B7" s="913" t="s">
        <v>88</v>
      </c>
      <c r="C7" s="914" t="str">
        <f t="shared" si="0"/>
        <v>--</v>
      </c>
      <c r="D7" s="154" t="str">
        <f t="shared" si="1"/>
        <v>--</v>
      </c>
    </row>
    <row r="8" spans="1:4">
      <c r="A8" s="280" t="s">
        <v>89</v>
      </c>
      <c r="B8" s="913" t="s">
        <v>90</v>
      </c>
      <c r="C8" s="914" t="str">
        <f t="shared" si="0"/>
        <v>--</v>
      </c>
      <c r="D8" s="154" t="str">
        <f t="shared" si="1"/>
        <v>--</v>
      </c>
    </row>
    <row r="9" spans="1:4">
      <c r="A9" s="280" t="s">
        <v>91</v>
      </c>
      <c r="B9" s="913" t="s">
        <v>92</v>
      </c>
      <c r="C9" s="914" t="str">
        <f t="shared" si="0"/>
        <v>--</v>
      </c>
      <c r="D9" s="154" t="str">
        <f t="shared" si="1"/>
        <v>--</v>
      </c>
    </row>
    <row r="10" spans="1:4">
      <c r="A10" s="280" t="s">
        <v>93</v>
      </c>
      <c r="B10" s="913" t="s">
        <v>94</v>
      </c>
      <c r="C10" s="914">
        <f t="shared" si="0"/>
        <v>1821.7800652277899</v>
      </c>
      <c r="D10" s="154">
        <f t="shared" si="1"/>
        <v>1821.7800652277899</v>
      </c>
    </row>
    <row r="11" spans="1:4">
      <c r="A11" s="280" t="s">
        <v>95</v>
      </c>
      <c r="B11" s="913" t="s">
        <v>96</v>
      </c>
      <c r="C11" s="914" t="str">
        <f t="shared" si="0"/>
        <v>--</v>
      </c>
      <c r="D11" s="154" t="str">
        <f t="shared" si="1"/>
        <v>--</v>
      </c>
    </row>
    <row r="12" spans="1:4">
      <c r="A12" s="280" t="s">
        <v>97</v>
      </c>
      <c r="B12" s="913" t="s">
        <v>98</v>
      </c>
      <c r="C12" s="914">
        <f t="shared" si="0"/>
        <v>230.95535057025464</v>
      </c>
      <c r="D12" s="154">
        <f t="shared" si="1"/>
        <v>230.95535057025464</v>
      </c>
    </row>
    <row r="13" spans="1:4">
      <c r="A13" s="280" t="s">
        <v>99</v>
      </c>
      <c r="B13" s="913" t="s">
        <v>100</v>
      </c>
      <c r="C13" s="914">
        <f t="shared" si="0"/>
        <v>5046.335029872921</v>
      </c>
      <c r="D13" s="154">
        <f t="shared" si="1"/>
        <v>5046.335029872921</v>
      </c>
    </row>
    <row r="14" spans="1:4">
      <c r="A14" s="280" t="s">
        <v>101</v>
      </c>
      <c r="B14" s="913" t="s">
        <v>102</v>
      </c>
      <c r="C14" s="914">
        <f t="shared" si="0"/>
        <v>1016.7602605614596</v>
      </c>
      <c r="D14" s="154">
        <f t="shared" si="1"/>
        <v>1016.7602605614596</v>
      </c>
    </row>
    <row r="15" spans="1:4">
      <c r="A15" s="280" t="s">
        <v>103</v>
      </c>
      <c r="B15" s="913" t="s">
        <v>104</v>
      </c>
      <c r="C15" s="914">
        <f t="shared" si="0"/>
        <v>193.77900056420961</v>
      </c>
      <c r="D15" s="154">
        <f t="shared" si="1"/>
        <v>193.77900056420961</v>
      </c>
    </row>
    <row r="16" spans="1:4">
      <c r="A16" s="280" t="s">
        <v>105</v>
      </c>
      <c r="B16" s="913" t="s">
        <v>106</v>
      </c>
      <c r="C16" s="914" t="str">
        <f t="shared" si="0"/>
        <v>--</v>
      </c>
      <c r="D16" s="154" t="str">
        <f t="shared" si="1"/>
        <v>--</v>
      </c>
    </row>
    <row r="17" spans="1:5">
      <c r="A17" s="280" t="s">
        <v>107</v>
      </c>
      <c r="B17" s="913" t="s">
        <v>108</v>
      </c>
      <c r="C17" s="914">
        <f t="shared" si="0"/>
        <v>931.81770928318099</v>
      </c>
      <c r="D17" s="154">
        <f t="shared" si="1"/>
        <v>931.81770928318099</v>
      </c>
    </row>
    <row r="18" spans="1:5">
      <c r="A18" s="280" t="s">
        <v>109</v>
      </c>
      <c r="B18" s="913" t="s">
        <v>110</v>
      </c>
      <c r="C18" s="914">
        <f t="shared" si="0"/>
        <v>914.68796116365081</v>
      </c>
      <c r="D18" s="154">
        <f t="shared" si="1"/>
        <v>914.68796116365081</v>
      </c>
    </row>
    <row r="19" spans="1:5">
      <c r="A19" s="280" t="s">
        <v>111</v>
      </c>
      <c r="B19" s="913" t="s">
        <v>112</v>
      </c>
      <c r="C19" s="914">
        <f t="shared" si="0"/>
        <v>3589.1445638264377</v>
      </c>
      <c r="D19" s="154">
        <f t="shared" si="1"/>
        <v>3589.1445638264377</v>
      </c>
    </row>
    <row r="20" spans="1:5">
      <c r="A20" s="280" t="s">
        <v>113</v>
      </c>
      <c r="B20" s="913" t="s">
        <v>114</v>
      </c>
      <c r="C20" s="914" t="str">
        <f t="shared" si="0"/>
        <v>--</v>
      </c>
      <c r="D20" s="154" t="str">
        <f t="shared" si="1"/>
        <v>--</v>
      </c>
    </row>
    <row r="21" spans="1:5">
      <c r="A21" s="280" t="s">
        <v>117</v>
      </c>
      <c r="B21" s="913" t="s">
        <v>118</v>
      </c>
      <c r="C21" s="914">
        <f t="shared" si="0"/>
        <v>457.52151405884018</v>
      </c>
      <c r="D21" s="154">
        <f t="shared" si="1"/>
        <v>457.52151405884018</v>
      </c>
    </row>
    <row r="22" spans="1:5">
      <c r="A22" s="280" t="s">
        <v>119</v>
      </c>
      <c r="B22" s="913" t="s">
        <v>120</v>
      </c>
      <c r="C22" s="914">
        <f t="shared" si="0"/>
        <v>22.69906106382388</v>
      </c>
      <c r="D22" s="154">
        <f t="shared" si="1"/>
        <v>22.69906106382388</v>
      </c>
    </row>
    <row r="23" spans="1:5">
      <c r="A23" s="280" t="s">
        <v>121</v>
      </c>
      <c r="B23" s="913" t="s">
        <v>122</v>
      </c>
      <c r="C23" s="914">
        <f t="shared" si="0"/>
        <v>3027.2150134991261</v>
      </c>
      <c r="D23" s="154">
        <f t="shared" si="1"/>
        <v>3027.2150134991261</v>
      </c>
      <c r="E23" s="55"/>
    </row>
    <row r="24" spans="1:5">
      <c r="A24" s="280" t="s">
        <v>123</v>
      </c>
      <c r="B24" s="913" t="s">
        <v>124</v>
      </c>
      <c r="C24" s="914">
        <f t="shared" si="0"/>
        <v>760.67998319628521</v>
      </c>
      <c r="D24" s="154">
        <f t="shared" si="1"/>
        <v>760.67998319628521</v>
      </c>
    </row>
    <row r="25" spans="1:5">
      <c r="A25" s="280" t="s">
        <v>125</v>
      </c>
      <c r="B25" s="913" t="s">
        <v>126</v>
      </c>
      <c r="C25" s="914">
        <f t="shared" si="0"/>
        <v>2122.2955180764907</v>
      </c>
      <c r="D25" s="154">
        <f t="shared" si="1"/>
        <v>2122.2955180764907</v>
      </c>
    </row>
    <row r="26" spans="1:5">
      <c r="A26" s="280" t="s">
        <v>127</v>
      </c>
      <c r="B26" s="913" t="s">
        <v>128</v>
      </c>
      <c r="C26" s="914">
        <f t="shared" si="0"/>
        <v>2538.6255290269874</v>
      </c>
      <c r="D26" s="154">
        <f t="shared" si="1"/>
        <v>2538.6255290269874</v>
      </c>
    </row>
    <row r="27" spans="1:5">
      <c r="A27" s="280" t="s">
        <v>129</v>
      </c>
      <c r="B27" s="913" t="s">
        <v>130</v>
      </c>
      <c r="C27" s="914">
        <f t="shared" si="0"/>
        <v>1317.1383265030277</v>
      </c>
      <c r="D27" s="154">
        <f t="shared" si="1"/>
        <v>1317.1383265030277</v>
      </c>
    </row>
    <row r="28" spans="1:5">
      <c r="A28" s="280" t="s">
        <v>131</v>
      </c>
      <c r="B28" s="913" t="s">
        <v>132</v>
      </c>
      <c r="C28" s="914">
        <f t="shared" ref="C28" si="2">D28</f>
        <v>27437.379511151565</v>
      </c>
      <c r="D28" s="154">
        <f t="shared" si="1"/>
        <v>27437.379511151565</v>
      </c>
    </row>
    <row r="29" spans="1:5">
      <c r="A29" s="280" t="s">
        <v>133</v>
      </c>
      <c r="B29" s="913" t="s">
        <v>134</v>
      </c>
      <c r="C29" s="914" t="str">
        <f t="shared" si="0"/>
        <v>--</v>
      </c>
      <c r="D29" s="154" t="str">
        <f t="shared" si="1"/>
        <v>--</v>
      </c>
    </row>
    <row r="30" spans="1:5">
      <c r="A30" s="280" t="s">
        <v>135</v>
      </c>
      <c r="B30" s="913" t="s">
        <v>136</v>
      </c>
      <c r="C30" s="914" t="str">
        <f t="shared" si="0"/>
        <v>--</v>
      </c>
      <c r="D30" s="154" t="str">
        <f t="shared" si="1"/>
        <v>--</v>
      </c>
    </row>
    <row r="31" spans="1:5">
      <c r="A31" s="280" t="s">
        <v>137</v>
      </c>
      <c r="B31" s="913" t="s">
        <v>138</v>
      </c>
      <c r="C31" s="914" t="str">
        <f t="shared" si="0"/>
        <v>--</v>
      </c>
      <c r="D31" s="154" t="str">
        <f t="shared" si="1"/>
        <v>--</v>
      </c>
    </row>
    <row r="32" spans="1:5">
      <c r="A32" s="280" t="s">
        <v>139</v>
      </c>
      <c r="B32" s="913" t="s">
        <v>140</v>
      </c>
      <c r="C32" s="914" t="str">
        <f t="shared" si="0"/>
        <v>--</v>
      </c>
      <c r="D32" s="154" t="str">
        <f t="shared" si="1"/>
        <v>--</v>
      </c>
    </row>
    <row r="33" spans="1:4">
      <c r="A33" s="280" t="s">
        <v>141</v>
      </c>
      <c r="B33" s="913" t="s">
        <v>142</v>
      </c>
      <c r="C33" s="914" t="str">
        <f t="shared" si="0"/>
        <v>--</v>
      </c>
      <c r="D33" s="154" t="str">
        <f t="shared" si="1"/>
        <v>--</v>
      </c>
    </row>
    <row r="34" spans="1:4">
      <c r="A34" s="280" t="s">
        <v>143</v>
      </c>
      <c r="B34" s="913" t="s">
        <v>144</v>
      </c>
      <c r="C34" s="914">
        <f t="shared" si="0"/>
        <v>954074.94900000002</v>
      </c>
      <c r="D34" s="154">
        <f t="shared" si="1"/>
        <v>954074.94900000002</v>
      </c>
    </row>
    <row r="35" spans="1:4">
      <c r="A35" s="280" t="s">
        <v>145</v>
      </c>
      <c r="B35" s="913" t="s">
        <v>146</v>
      </c>
      <c r="C35" s="914">
        <f t="shared" si="0"/>
        <v>801.84607747728091</v>
      </c>
      <c r="D35" s="154">
        <f t="shared" si="1"/>
        <v>801.84607747728091</v>
      </c>
    </row>
    <row r="36" spans="1:4">
      <c r="A36" s="280" t="s">
        <v>147</v>
      </c>
      <c r="B36" s="913" t="s">
        <v>148</v>
      </c>
      <c r="C36" s="914">
        <f t="shared" si="0"/>
        <v>979.00337904009689</v>
      </c>
      <c r="D36" s="154">
        <f t="shared" si="1"/>
        <v>979.00337904009689</v>
      </c>
    </row>
    <row r="37" spans="1:4">
      <c r="A37" s="280" t="s">
        <v>149</v>
      </c>
      <c r="B37" s="913" t="s">
        <v>150</v>
      </c>
      <c r="C37" s="914">
        <f t="shared" si="0"/>
        <v>1339.6859398838837</v>
      </c>
      <c r="D37" s="154">
        <f t="shared" si="1"/>
        <v>1339.6859398838837</v>
      </c>
    </row>
    <row r="38" spans="1:4">
      <c r="A38" s="280" t="s">
        <v>151</v>
      </c>
      <c r="B38" s="913" t="s">
        <v>152</v>
      </c>
      <c r="C38" s="914">
        <f t="shared" si="0"/>
        <v>376.31253511470419</v>
      </c>
      <c r="D38" s="154">
        <f t="shared" si="1"/>
        <v>376.31253511470419</v>
      </c>
    </row>
    <row r="39" spans="1:4">
      <c r="A39" s="280" t="s">
        <v>153</v>
      </c>
      <c r="B39" s="913" t="s">
        <v>154</v>
      </c>
      <c r="C39" s="914">
        <f t="shared" si="0"/>
        <v>192.71776350236811</v>
      </c>
      <c r="D39" s="154">
        <f t="shared" si="1"/>
        <v>192.71776350236811</v>
      </c>
    </row>
    <row r="40" spans="1:4">
      <c r="A40" s="280" t="s">
        <v>155</v>
      </c>
      <c r="B40" s="913" t="s">
        <v>156</v>
      </c>
      <c r="C40" s="914">
        <f t="shared" si="0"/>
        <v>59.644000000681388</v>
      </c>
      <c r="D40" s="154">
        <f t="shared" si="1"/>
        <v>59.644000000681388</v>
      </c>
    </row>
    <row r="41" spans="1:4">
      <c r="A41" s="280" t="s">
        <v>157</v>
      </c>
      <c r="B41" s="913" t="s">
        <v>158</v>
      </c>
      <c r="C41" s="914">
        <f t="shared" si="0"/>
        <v>63.459004597263146</v>
      </c>
      <c r="D41" s="154">
        <f t="shared" si="1"/>
        <v>63.459004597263146</v>
      </c>
    </row>
    <row r="42" spans="1:4">
      <c r="A42" s="280" t="s">
        <v>159</v>
      </c>
      <c r="B42" s="913" t="s">
        <v>160</v>
      </c>
      <c r="C42" s="914">
        <f t="shared" si="0"/>
        <v>28.204012878528417</v>
      </c>
      <c r="D42" s="154">
        <f t="shared" si="1"/>
        <v>28.204012878528417</v>
      </c>
    </row>
    <row r="43" spans="1:4">
      <c r="A43" s="280" t="s">
        <v>161</v>
      </c>
      <c r="B43" s="913" t="s">
        <v>162</v>
      </c>
      <c r="C43" s="914">
        <f t="shared" si="0"/>
        <v>5.5643503541595321</v>
      </c>
      <c r="D43" s="154">
        <f t="shared" si="1"/>
        <v>5.5643503541595321</v>
      </c>
    </row>
    <row r="44" spans="1:4">
      <c r="A44" s="280" t="s">
        <v>163</v>
      </c>
      <c r="B44" s="913" t="s">
        <v>164</v>
      </c>
      <c r="C44" s="914">
        <f t="shared" si="0"/>
        <v>1685.45659666456</v>
      </c>
      <c r="D44" s="154">
        <f t="shared" si="1"/>
        <v>1685.45659666456</v>
      </c>
    </row>
    <row r="45" spans="1:4">
      <c r="A45" s="280" t="s">
        <v>165</v>
      </c>
      <c r="B45" s="913" t="s">
        <v>166</v>
      </c>
      <c r="C45" s="914">
        <f t="shared" si="0"/>
        <v>2981.9004485310361</v>
      </c>
      <c r="D45" s="154">
        <f t="shared" si="1"/>
        <v>2981.9004485310361</v>
      </c>
    </row>
    <row r="46" spans="1:4">
      <c r="A46" s="280" t="s">
        <v>167</v>
      </c>
      <c r="B46" s="913" t="s">
        <v>168</v>
      </c>
      <c r="C46" s="914">
        <f t="shared" si="0"/>
        <v>1192.8687147533901</v>
      </c>
      <c r="D46" s="154">
        <f t="shared" si="1"/>
        <v>1192.8687147533901</v>
      </c>
    </row>
    <row r="47" spans="1:4">
      <c r="A47" s="280" t="s">
        <v>169</v>
      </c>
      <c r="B47" s="913" t="s">
        <v>170</v>
      </c>
      <c r="C47" s="914">
        <f t="shared" si="0"/>
        <v>2366.4256021228371</v>
      </c>
      <c r="D47" s="154">
        <f t="shared" si="1"/>
        <v>2366.4256021228371</v>
      </c>
    </row>
    <row r="48" spans="1:4">
      <c r="A48" s="280" t="s">
        <v>171</v>
      </c>
      <c r="B48" s="913" t="s">
        <v>172</v>
      </c>
      <c r="C48" s="914">
        <f t="shared" si="0"/>
        <v>1854.0882357744872</v>
      </c>
      <c r="D48" s="154">
        <f t="shared" si="1"/>
        <v>1854.0882357744872</v>
      </c>
    </row>
    <row r="49" spans="1:4">
      <c r="A49" s="280" t="s">
        <v>173</v>
      </c>
      <c r="B49" s="913" t="s">
        <v>174</v>
      </c>
      <c r="C49" s="914">
        <f t="shared" si="0"/>
        <v>5450.2842736311914</v>
      </c>
      <c r="D49" s="154">
        <f t="shared" si="1"/>
        <v>5450.2842736311914</v>
      </c>
    </row>
    <row r="50" spans="1:4">
      <c r="A50" s="280" t="s">
        <v>175</v>
      </c>
      <c r="B50" s="913" t="s">
        <v>176</v>
      </c>
      <c r="C50" s="914">
        <f t="shared" si="0"/>
        <v>1360.8710939693603</v>
      </c>
      <c r="D50" s="154">
        <f t="shared" si="1"/>
        <v>1360.8710939693603</v>
      </c>
    </row>
    <row r="51" spans="1:4">
      <c r="A51" s="280" t="s">
        <v>177</v>
      </c>
      <c r="B51" s="913" t="s">
        <v>178</v>
      </c>
      <c r="C51" s="914">
        <f t="shared" si="0"/>
        <v>1569.3866324791582</v>
      </c>
      <c r="D51" s="154">
        <f t="shared" si="1"/>
        <v>1569.3866324791582</v>
      </c>
    </row>
    <row r="52" spans="1:4">
      <c r="A52" s="280" t="s">
        <v>179</v>
      </c>
      <c r="B52" s="913" t="s">
        <v>180</v>
      </c>
      <c r="C52" s="914">
        <f t="shared" si="0"/>
        <v>23.524815092025488</v>
      </c>
      <c r="D52" s="154">
        <f t="shared" si="1"/>
        <v>23.524815092025488</v>
      </c>
    </row>
    <row r="53" spans="1:4">
      <c r="A53" s="280" t="s">
        <v>181</v>
      </c>
      <c r="B53" s="913" t="s">
        <v>182</v>
      </c>
      <c r="C53" s="914">
        <f t="shared" si="0"/>
        <v>787.75709878276473</v>
      </c>
      <c r="D53" s="154">
        <f t="shared" si="1"/>
        <v>787.75709878276473</v>
      </c>
    </row>
    <row r="54" spans="1:4">
      <c r="A54" s="280" t="s">
        <v>183</v>
      </c>
      <c r="B54" s="913" t="s">
        <v>184</v>
      </c>
      <c r="C54" s="914">
        <f t="shared" si="0"/>
        <v>24009.853925283485</v>
      </c>
      <c r="D54" s="154">
        <f t="shared" si="1"/>
        <v>24009.853925283485</v>
      </c>
    </row>
    <row r="55" spans="1:4">
      <c r="A55" s="280" t="s">
        <v>185</v>
      </c>
      <c r="B55" s="913" t="s">
        <v>186</v>
      </c>
      <c r="C55" s="914">
        <f t="shared" si="0"/>
        <v>7992.7938570156903</v>
      </c>
      <c r="D55" s="154">
        <f t="shared" si="1"/>
        <v>7992.7938570156903</v>
      </c>
    </row>
    <row r="56" spans="1:4">
      <c r="A56" s="280" t="s">
        <v>187</v>
      </c>
      <c r="B56" s="913" t="s">
        <v>188</v>
      </c>
      <c r="C56" s="914">
        <f t="shared" si="0"/>
        <v>710.72008358660287</v>
      </c>
      <c r="D56" s="154">
        <f t="shared" si="1"/>
        <v>710.72008358660287</v>
      </c>
    </row>
    <row r="57" spans="1:4">
      <c r="A57" s="280" t="s">
        <v>189</v>
      </c>
      <c r="B57" s="913" t="s">
        <v>190</v>
      </c>
      <c r="C57" s="914">
        <f t="shared" si="0"/>
        <v>115835.14960119633</v>
      </c>
      <c r="D57" s="154">
        <f t="shared" si="1"/>
        <v>115835.14960119633</v>
      </c>
    </row>
    <row r="58" spans="1:4">
      <c r="A58" s="280" t="s">
        <v>191</v>
      </c>
      <c r="B58" s="913" t="s">
        <v>192</v>
      </c>
      <c r="C58" s="914">
        <f t="shared" si="0"/>
        <v>0.29894007739500256</v>
      </c>
      <c r="D58" s="154">
        <f t="shared" si="1"/>
        <v>0.29894007739500256</v>
      </c>
    </row>
    <row r="59" spans="1:4">
      <c r="A59" s="280" t="s">
        <v>193</v>
      </c>
      <c r="B59" s="913" t="s">
        <v>194</v>
      </c>
      <c r="C59" s="914">
        <f t="shared" si="0"/>
        <v>13.21661349694277</v>
      </c>
      <c r="D59" s="154">
        <f t="shared" si="1"/>
        <v>13.21661349694277</v>
      </c>
    </row>
    <row r="60" spans="1:4">
      <c r="A60" s="280" t="s">
        <v>195</v>
      </c>
      <c r="B60" s="913" t="s">
        <v>196</v>
      </c>
      <c r="C60" s="914">
        <f t="shared" si="0"/>
        <v>30.160012305805399</v>
      </c>
      <c r="D60" s="154">
        <f t="shared" si="1"/>
        <v>30.160012305805399</v>
      </c>
    </row>
    <row r="61" spans="1:4">
      <c r="A61" s="280" t="s">
        <v>197</v>
      </c>
      <c r="B61" s="913" t="s">
        <v>198</v>
      </c>
      <c r="C61" s="914">
        <f t="shared" si="0"/>
        <v>479.55224727214767</v>
      </c>
      <c r="D61" s="154">
        <f t="shared" si="1"/>
        <v>479.55224727214767</v>
      </c>
    </row>
    <row r="62" spans="1:4">
      <c r="A62" s="280" t="s">
        <v>199</v>
      </c>
      <c r="B62" s="913" t="s">
        <v>200</v>
      </c>
      <c r="C62" s="914">
        <f t="shared" si="0"/>
        <v>44.5792095743532</v>
      </c>
      <c r="D62" s="154">
        <f t="shared" si="1"/>
        <v>44.5792095743532</v>
      </c>
    </row>
    <row r="63" spans="1:4">
      <c r="A63" s="280" t="s">
        <v>201</v>
      </c>
      <c r="B63" s="913" t="s">
        <v>202</v>
      </c>
      <c r="C63" s="914">
        <f t="shared" si="0"/>
        <v>12.152032505901049</v>
      </c>
      <c r="D63" s="154">
        <f t="shared" si="1"/>
        <v>12.152032505901049</v>
      </c>
    </row>
    <row r="64" spans="1:4">
      <c r="A64" s="280" t="s">
        <v>203</v>
      </c>
      <c r="B64" s="913" t="s">
        <v>204</v>
      </c>
      <c r="C64" s="914">
        <f t="shared" si="0"/>
        <v>0.23115557433262882</v>
      </c>
      <c r="D64" s="154">
        <f t="shared" si="1"/>
        <v>0.23115557433262882</v>
      </c>
    </row>
    <row r="65" spans="1:4">
      <c r="A65" s="280" t="s">
        <v>205</v>
      </c>
      <c r="B65" s="913" t="s">
        <v>206</v>
      </c>
      <c r="C65" s="914">
        <f t="shared" si="0"/>
        <v>16.802933928220632</v>
      </c>
      <c r="D65" s="154">
        <f t="shared" si="1"/>
        <v>16.802933928220632</v>
      </c>
    </row>
    <row r="66" spans="1:4">
      <c r="A66" s="2108" t="s">
        <v>4279</v>
      </c>
      <c r="B66" s="913" t="s">
        <v>208</v>
      </c>
      <c r="C66" s="914">
        <f t="shared" si="0"/>
        <v>123.67689040152833</v>
      </c>
      <c r="D66" s="154">
        <f t="shared" si="1"/>
        <v>123.67689040152833</v>
      </c>
    </row>
    <row r="67" spans="1:4">
      <c r="A67" s="280" t="s">
        <v>209</v>
      </c>
      <c r="B67" s="913" t="s">
        <v>210</v>
      </c>
      <c r="C67" s="914">
        <f t="shared" si="0"/>
        <v>65.545332798510728</v>
      </c>
      <c r="D67" s="154">
        <f t="shared" si="1"/>
        <v>65.545332798510728</v>
      </c>
    </row>
    <row r="68" spans="1:4">
      <c r="A68" s="280" t="s">
        <v>211</v>
      </c>
      <c r="B68" s="913" t="s">
        <v>212</v>
      </c>
      <c r="C68" s="914" t="str">
        <f t="shared" si="0"/>
        <v>--</v>
      </c>
      <c r="D68" s="154" t="str">
        <f t="shared" ref="D68:D127" si="3">VLOOKUP($A68,Table_IP_1, MATCH("sat lim", heading_IP_1, 0), FALSE)</f>
        <v>--</v>
      </c>
    </row>
    <row r="69" spans="1:4">
      <c r="A69" s="280" t="s">
        <v>213</v>
      </c>
      <c r="B69" s="913" t="s">
        <v>214</v>
      </c>
      <c r="C69" s="914">
        <f t="shared" ref="C69:C110" si="4">D69</f>
        <v>3.1299981886792456</v>
      </c>
      <c r="D69" s="154">
        <f t="shared" si="3"/>
        <v>3.1299981886792456</v>
      </c>
    </row>
    <row r="70" spans="1:4">
      <c r="A70" s="280" t="s">
        <v>215</v>
      </c>
      <c r="B70" s="913" t="s">
        <v>216</v>
      </c>
      <c r="C70" s="914">
        <f t="shared" si="4"/>
        <v>16.144000157111854</v>
      </c>
      <c r="D70" s="154">
        <f t="shared" si="3"/>
        <v>16.144000157111854</v>
      </c>
    </row>
    <row r="71" spans="1:4">
      <c r="A71" s="280" t="s">
        <v>217</v>
      </c>
      <c r="B71" s="913" t="s">
        <v>218</v>
      </c>
      <c r="C71" s="914">
        <f t="shared" si="4"/>
        <v>3321.9338855376891</v>
      </c>
      <c r="D71" s="154">
        <f t="shared" si="3"/>
        <v>3321.9338855376891</v>
      </c>
    </row>
    <row r="72" spans="1:4">
      <c r="A72" s="280" t="s">
        <v>219</v>
      </c>
      <c r="B72" s="913" t="s">
        <v>220</v>
      </c>
      <c r="C72" s="914">
        <f t="shared" si="4"/>
        <v>28432.584196814751</v>
      </c>
      <c r="D72" s="154">
        <f t="shared" si="3"/>
        <v>28432.584196814751</v>
      </c>
    </row>
    <row r="73" spans="1:4">
      <c r="A73" s="280" t="s">
        <v>221</v>
      </c>
      <c r="B73" s="913" t="s">
        <v>222</v>
      </c>
      <c r="C73" s="914">
        <f t="shared" si="4"/>
        <v>3356.6929696539487</v>
      </c>
      <c r="D73" s="154">
        <f t="shared" si="3"/>
        <v>3356.6929696539487</v>
      </c>
    </row>
    <row r="74" spans="1:4">
      <c r="A74" s="280" t="s">
        <v>223</v>
      </c>
      <c r="B74" s="913" t="s">
        <v>224</v>
      </c>
      <c r="C74" s="914" t="str">
        <f t="shared" si="4"/>
        <v>--</v>
      </c>
      <c r="D74" s="154" t="str">
        <f t="shared" si="3"/>
        <v>--</v>
      </c>
    </row>
    <row r="75" spans="1:4">
      <c r="A75" s="280" t="s">
        <v>225</v>
      </c>
      <c r="B75" s="913" t="s">
        <v>226</v>
      </c>
      <c r="C75" s="914">
        <f t="shared" si="4"/>
        <v>368.31142290377824</v>
      </c>
      <c r="D75" s="154">
        <f t="shared" si="3"/>
        <v>368.31142290377824</v>
      </c>
    </row>
    <row r="76" spans="1:4">
      <c r="A76" s="280" t="s">
        <v>227</v>
      </c>
      <c r="B76" s="913" t="s">
        <v>228</v>
      </c>
      <c r="C76" s="914">
        <f t="shared" si="4"/>
        <v>8869.0574189666277</v>
      </c>
      <c r="D76" s="154">
        <f t="shared" si="3"/>
        <v>8869.0574189666277</v>
      </c>
    </row>
    <row r="77" spans="1:4">
      <c r="A77" s="280" t="s">
        <v>229</v>
      </c>
      <c r="B77" s="913" t="s">
        <v>230</v>
      </c>
      <c r="C77" s="914" t="str">
        <f t="shared" si="4"/>
        <v>--</v>
      </c>
      <c r="D77" s="154" t="str">
        <f t="shared" si="3"/>
        <v>--</v>
      </c>
    </row>
    <row r="78" spans="1:4">
      <c r="A78" s="280" t="s">
        <v>231</v>
      </c>
      <c r="B78" s="913" t="s">
        <v>232</v>
      </c>
      <c r="C78" s="914" t="str">
        <f t="shared" si="4"/>
        <v>--</v>
      </c>
      <c r="D78" s="154" t="str">
        <f t="shared" si="3"/>
        <v>--</v>
      </c>
    </row>
    <row r="79" spans="1:4">
      <c r="A79" s="280" t="s">
        <v>233</v>
      </c>
      <c r="B79" s="913" t="s">
        <v>234</v>
      </c>
      <c r="C79" s="914">
        <f t="shared" si="4"/>
        <v>118.02735386537897</v>
      </c>
      <c r="D79" s="154">
        <f t="shared" si="3"/>
        <v>118.02735386537897</v>
      </c>
    </row>
    <row r="80" spans="1:4">
      <c r="A80" s="280" t="s">
        <v>235</v>
      </c>
      <c r="B80" s="913" t="s">
        <v>236</v>
      </c>
      <c r="C80" s="914">
        <f t="shared" si="4"/>
        <v>4.2645026757236826</v>
      </c>
      <c r="D80" s="154">
        <f t="shared" si="3"/>
        <v>4.2645026757236826</v>
      </c>
    </row>
    <row r="81" spans="1:5">
      <c r="A81" s="280" t="s">
        <v>237</v>
      </c>
      <c r="B81" s="913" t="s">
        <v>238</v>
      </c>
      <c r="C81" s="914">
        <f t="shared" si="4"/>
        <v>9.9781008730156291</v>
      </c>
      <c r="D81" s="154">
        <f t="shared" si="3"/>
        <v>9.9781008730156291</v>
      </c>
    </row>
    <row r="82" spans="1:5">
      <c r="A82" s="280" t="s">
        <v>239</v>
      </c>
      <c r="B82" s="913" t="s">
        <v>240</v>
      </c>
      <c r="C82" s="914">
        <f t="shared" si="4"/>
        <v>5.7096900057298612</v>
      </c>
      <c r="D82" s="154">
        <f t="shared" si="3"/>
        <v>5.7096900057298612</v>
      </c>
    </row>
    <row r="83" spans="1:5">
      <c r="A83" s="280" t="s">
        <v>241</v>
      </c>
      <c r="B83" s="913" t="s">
        <v>242</v>
      </c>
      <c r="C83" s="914">
        <f t="shared" si="4"/>
        <v>5.3947500076272776</v>
      </c>
      <c r="D83" s="154">
        <f t="shared" si="3"/>
        <v>5.3947500076272776</v>
      </c>
    </row>
    <row r="84" spans="1:5">
      <c r="A84" s="280" t="s">
        <v>243</v>
      </c>
      <c r="B84" s="913" t="s">
        <v>244</v>
      </c>
      <c r="C84" s="914">
        <f t="shared" si="4"/>
        <v>2.8196000036158946</v>
      </c>
      <c r="D84" s="154">
        <f t="shared" si="3"/>
        <v>2.8196000036158946</v>
      </c>
    </row>
    <row r="85" spans="1:5">
      <c r="A85" s="280" t="s">
        <v>245</v>
      </c>
      <c r="B85" s="913" t="s">
        <v>246</v>
      </c>
      <c r="C85" s="914">
        <f t="shared" si="4"/>
        <v>2.1662000809551727</v>
      </c>
      <c r="D85" s="154">
        <f t="shared" si="3"/>
        <v>2.1662000809551727</v>
      </c>
    </row>
    <row r="86" spans="1:5">
      <c r="A86" s="280" t="s">
        <v>247</v>
      </c>
      <c r="B86" s="913" t="s">
        <v>248</v>
      </c>
      <c r="C86" s="914">
        <f t="shared" si="4"/>
        <v>28.565529002717266</v>
      </c>
      <c r="D86" s="154">
        <f t="shared" si="3"/>
        <v>28.565529002717266</v>
      </c>
    </row>
    <row r="87" spans="1:5">
      <c r="A87" s="280" t="s">
        <v>249</v>
      </c>
      <c r="B87" s="913" t="s">
        <v>250</v>
      </c>
      <c r="C87" s="914">
        <f t="shared" si="4"/>
        <v>86.528017828712763</v>
      </c>
      <c r="D87" s="154">
        <f t="shared" si="3"/>
        <v>86.528017828712763</v>
      </c>
    </row>
    <row r="88" spans="1:5">
      <c r="A88" s="280" t="s">
        <v>251</v>
      </c>
      <c r="B88" s="913" t="s">
        <v>252</v>
      </c>
      <c r="C88" s="914">
        <f t="shared" si="4"/>
        <v>93.052658272471547</v>
      </c>
      <c r="D88" s="154">
        <f t="shared" si="3"/>
        <v>93.052658272471547</v>
      </c>
    </row>
    <row r="89" spans="1:5">
      <c r="A89" s="280" t="s">
        <v>253</v>
      </c>
      <c r="B89" s="913" t="s">
        <v>254</v>
      </c>
      <c r="C89" s="914">
        <f t="shared" si="4"/>
        <v>2.2241590005117358</v>
      </c>
      <c r="D89" s="154">
        <f t="shared" si="3"/>
        <v>2.2241590005117358</v>
      </c>
      <c r="E89" s="55"/>
    </row>
    <row r="90" spans="1:5">
      <c r="A90" s="280" t="s">
        <v>255</v>
      </c>
      <c r="B90" s="913" t="s">
        <v>256</v>
      </c>
      <c r="C90" s="914">
        <f t="shared" si="4"/>
        <v>290.38956678340202</v>
      </c>
      <c r="D90" s="154">
        <f t="shared" si="3"/>
        <v>290.38956678340202</v>
      </c>
    </row>
    <row r="91" spans="1:5">
      <c r="A91" s="280" t="s">
        <v>257</v>
      </c>
      <c r="B91" s="913" t="s">
        <v>258</v>
      </c>
      <c r="C91" s="914">
        <f t="shared" si="4"/>
        <v>44.028912433507159</v>
      </c>
      <c r="D91" s="154">
        <f t="shared" si="3"/>
        <v>44.028912433507159</v>
      </c>
    </row>
    <row r="92" spans="1:5">
      <c r="A92" s="280" t="s">
        <v>259</v>
      </c>
      <c r="B92" s="913" t="s">
        <v>260</v>
      </c>
      <c r="C92" s="914">
        <f t="shared" si="4"/>
        <v>51.128002654648597</v>
      </c>
      <c r="D92" s="154">
        <f t="shared" si="3"/>
        <v>51.128002654648597</v>
      </c>
    </row>
    <row r="93" spans="1:5">
      <c r="A93" s="280" t="s">
        <v>261</v>
      </c>
      <c r="B93" s="913" t="s">
        <v>1261</v>
      </c>
      <c r="C93" s="914" t="str">
        <f t="shared" si="4"/>
        <v>--</v>
      </c>
      <c r="D93" s="154" t="str">
        <f t="shared" si="3"/>
        <v>--</v>
      </c>
    </row>
    <row r="94" spans="1:5">
      <c r="A94" s="280" t="s">
        <v>263</v>
      </c>
      <c r="B94" s="913" t="s">
        <v>115</v>
      </c>
      <c r="C94" s="914">
        <f t="shared" si="4"/>
        <v>1000</v>
      </c>
      <c r="D94" s="154">
        <f t="shared" si="3"/>
        <v>1000</v>
      </c>
    </row>
    <row r="95" spans="1:5">
      <c r="A95" s="280" t="s">
        <v>264</v>
      </c>
      <c r="B95" s="913" t="s">
        <v>115</v>
      </c>
      <c r="C95" s="914">
        <f t="shared" ref="C95:C97" si="5">D95</f>
        <v>2286</v>
      </c>
      <c r="D95" s="154">
        <f t="shared" si="3"/>
        <v>2286</v>
      </c>
    </row>
    <row r="96" spans="1:5">
      <c r="A96" s="280" t="s">
        <v>265</v>
      </c>
      <c r="B96" s="913" t="s">
        <v>115</v>
      </c>
      <c r="C96" s="914">
        <f t="shared" si="5"/>
        <v>2286</v>
      </c>
      <c r="D96" s="154">
        <f t="shared" si="3"/>
        <v>2286</v>
      </c>
    </row>
    <row r="97" spans="1:4">
      <c r="A97" s="280" t="s">
        <v>266</v>
      </c>
      <c r="B97" s="913" t="s">
        <v>115</v>
      </c>
      <c r="C97" s="914">
        <f t="shared" si="5"/>
        <v>2286</v>
      </c>
      <c r="D97" s="154">
        <f t="shared" si="3"/>
        <v>2286</v>
      </c>
    </row>
    <row r="98" spans="1:4">
      <c r="A98" s="1381" t="s">
        <v>267</v>
      </c>
      <c r="B98" s="915" t="s">
        <v>115</v>
      </c>
      <c r="C98" s="347" t="str">
        <f t="shared" ref="C98" si="6">D98</f>
        <v>--</v>
      </c>
      <c r="D98" s="884" t="s">
        <v>115</v>
      </c>
    </row>
    <row r="99" spans="1:4">
      <c r="A99" s="280" t="s">
        <v>268</v>
      </c>
      <c r="B99" s="913" t="s">
        <v>115</v>
      </c>
      <c r="C99" s="914">
        <f t="shared" si="4"/>
        <v>5143</v>
      </c>
      <c r="D99" s="154">
        <f t="shared" si="3"/>
        <v>5143</v>
      </c>
    </row>
    <row r="100" spans="1:4">
      <c r="A100" s="280" t="s">
        <v>269</v>
      </c>
      <c r="B100" s="913" t="s">
        <v>270</v>
      </c>
      <c r="C100" s="914">
        <f t="shared" si="4"/>
        <v>13551.548867924532</v>
      </c>
      <c r="D100" s="154">
        <f t="shared" si="3"/>
        <v>13551.548867924532</v>
      </c>
    </row>
    <row r="101" spans="1:4">
      <c r="A101" s="280" t="s">
        <v>271</v>
      </c>
      <c r="B101" s="913" t="s">
        <v>272</v>
      </c>
      <c r="C101" s="914">
        <f t="shared" ref="C101" si="7">D101</f>
        <v>2565.7577365710717</v>
      </c>
      <c r="D101" s="154">
        <f t="shared" si="3"/>
        <v>2565.7577365710717</v>
      </c>
    </row>
    <row r="102" spans="1:4">
      <c r="A102" s="280" t="s">
        <v>273</v>
      </c>
      <c r="B102" s="913" t="s">
        <v>274</v>
      </c>
      <c r="C102" s="914">
        <f t="shared" si="4"/>
        <v>9689.5060398921833</v>
      </c>
      <c r="D102" s="154">
        <f t="shared" si="3"/>
        <v>9689.5060398921833</v>
      </c>
    </row>
    <row r="103" spans="1:4">
      <c r="A103" s="280" t="s">
        <v>275</v>
      </c>
      <c r="B103" s="913" t="s">
        <v>276</v>
      </c>
      <c r="C103" s="914">
        <f t="shared" si="4"/>
        <v>55630.0004548129</v>
      </c>
      <c r="D103" s="154">
        <f t="shared" si="3"/>
        <v>55630.0004548129</v>
      </c>
    </row>
    <row r="104" spans="1:4">
      <c r="A104" s="280" t="s">
        <v>277</v>
      </c>
      <c r="B104" s="913" t="s">
        <v>278</v>
      </c>
      <c r="C104" s="914">
        <f t="shared" si="4"/>
        <v>419188.36061814916</v>
      </c>
      <c r="D104" s="154">
        <f t="shared" si="3"/>
        <v>419188.36061814916</v>
      </c>
    </row>
    <row r="105" spans="1:4">
      <c r="A105" s="280" t="s">
        <v>279</v>
      </c>
      <c r="B105" s="913" t="s">
        <v>280</v>
      </c>
      <c r="C105" s="914">
        <f t="shared" si="4"/>
        <v>143450.26263158678</v>
      </c>
      <c r="D105" s="154">
        <f t="shared" si="3"/>
        <v>143450.26263158678</v>
      </c>
    </row>
    <row r="106" spans="1:4">
      <c r="A106" s="280" t="s">
        <v>281</v>
      </c>
      <c r="B106" s="913" t="s">
        <v>282</v>
      </c>
      <c r="C106" s="914">
        <f t="shared" si="4"/>
        <v>5344.9706738544483</v>
      </c>
      <c r="D106" s="154">
        <f t="shared" si="3"/>
        <v>5344.9706738544483</v>
      </c>
    </row>
    <row r="107" spans="1:4">
      <c r="A107" s="280" t="s">
        <v>283</v>
      </c>
      <c r="B107" s="913" t="s">
        <v>284</v>
      </c>
      <c r="C107" s="914">
        <f t="shared" si="4"/>
        <v>14988.68000314353</v>
      </c>
      <c r="D107" s="154">
        <f t="shared" si="3"/>
        <v>14988.68000314353</v>
      </c>
    </row>
    <row r="108" spans="1:4">
      <c r="A108" s="280" t="s">
        <v>285</v>
      </c>
      <c r="B108" s="913" t="s">
        <v>286</v>
      </c>
      <c r="C108" s="914">
        <f t="shared" si="4"/>
        <v>2011.3234002348654</v>
      </c>
      <c r="D108" s="154">
        <f t="shared" si="3"/>
        <v>2011.3234002348654</v>
      </c>
    </row>
    <row r="109" spans="1:4">
      <c r="A109" s="280" t="s">
        <v>287</v>
      </c>
      <c r="B109" s="913" t="s">
        <v>288</v>
      </c>
      <c r="C109" s="914">
        <f t="shared" si="4"/>
        <v>42337.030000218154</v>
      </c>
      <c r="D109" s="154">
        <f t="shared" si="3"/>
        <v>42337.030000218154</v>
      </c>
    </row>
    <row r="110" spans="1:4">
      <c r="A110" s="280" t="s">
        <v>289</v>
      </c>
      <c r="B110" s="913" t="s">
        <v>290</v>
      </c>
      <c r="C110" s="914">
        <f t="shared" si="4"/>
        <v>415.61360000081248</v>
      </c>
      <c r="D110" s="154">
        <f t="shared" si="3"/>
        <v>415.61360000081248</v>
      </c>
    </row>
    <row r="111" spans="1:4">
      <c r="A111" s="280" t="s">
        <v>291</v>
      </c>
      <c r="B111" s="913" t="s">
        <v>292</v>
      </c>
      <c r="C111" s="914">
        <f t="shared" ref="C111:C118" si="8">D111</f>
        <v>3.807470000005019</v>
      </c>
      <c r="D111" s="154">
        <f t="shared" si="3"/>
        <v>3.807470000005019</v>
      </c>
    </row>
    <row r="112" spans="1:4">
      <c r="A112" s="280" t="s">
        <v>293</v>
      </c>
      <c r="B112" s="913" t="s">
        <v>294</v>
      </c>
      <c r="C112" s="914">
        <f t="shared" si="8"/>
        <v>102640.00058490044</v>
      </c>
      <c r="D112" s="154">
        <f t="shared" si="3"/>
        <v>102640.00058490044</v>
      </c>
    </row>
    <row r="113" spans="1:4">
      <c r="A113" s="280" t="s">
        <v>295</v>
      </c>
      <c r="B113" s="913" t="s">
        <v>296</v>
      </c>
      <c r="C113" s="914">
        <f t="shared" si="8"/>
        <v>188.0753628032345</v>
      </c>
      <c r="D113" s="154">
        <f t="shared" si="3"/>
        <v>188.0753628032345</v>
      </c>
    </row>
    <row r="114" spans="1:4">
      <c r="A114" s="280" t="s">
        <v>297</v>
      </c>
      <c r="B114" s="913" t="s">
        <v>298</v>
      </c>
      <c r="C114" s="914">
        <f t="shared" si="8"/>
        <v>5113.602284081313</v>
      </c>
      <c r="D114" s="154">
        <f t="shared" si="3"/>
        <v>5113.602284081313</v>
      </c>
    </row>
    <row r="115" spans="1:4">
      <c r="A115" s="280" t="s">
        <v>299</v>
      </c>
      <c r="B115" s="913" t="s">
        <v>300</v>
      </c>
      <c r="C115" s="914">
        <f t="shared" si="8"/>
        <v>1923214.6555471697</v>
      </c>
      <c r="D115" s="154">
        <f t="shared" si="3"/>
        <v>1923214.6555471697</v>
      </c>
    </row>
    <row r="116" spans="1:4">
      <c r="A116" s="280" t="s">
        <v>301</v>
      </c>
      <c r="B116" s="913" t="s">
        <v>302</v>
      </c>
      <c r="C116" s="914">
        <f t="shared" si="8"/>
        <v>101281.17339659671</v>
      </c>
      <c r="D116" s="154">
        <f t="shared" si="3"/>
        <v>101281.17339659671</v>
      </c>
    </row>
    <row r="117" spans="1:4">
      <c r="A117" s="280" t="s">
        <v>303</v>
      </c>
      <c r="B117" s="913" t="s">
        <v>304</v>
      </c>
      <c r="C117" s="914">
        <f t="shared" si="8"/>
        <v>328.09224832482249</v>
      </c>
      <c r="D117" s="154">
        <f t="shared" si="3"/>
        <v>328.09224832482249</v>
      </c>
    </row>
    <row r="118" spans="1:4">
      <c r="A118" s="280" t="s">
        <v>305</v>
      </c>
      <c r="B118" s="913" t="s">
        <v>306</v>
      </c>
      <c r="C118" s="914" t="str">
        <f t="shared" si="8"/>
        <v>--</v>
      </c>
      <c r="D118" s="154" t="str">
        <f t="shared" si="3"/>
        <v>--</v>
      </c>
    </row>
    <row r="119" spans="1:4">
      <c r="A119" s="280" t="s">
        <v>307</v>
      </c>
      <c r="B119" s="913" t="s">
        <v>308</v>
      </c>
      <c r="C119" s="914" t="str">
        <f t="shared" ref="C119" si="9">D119</f>
        <v>--</v>
      </c>
      <c r="D119" s="154" t="str">
        <f t="shared" si="3"/>
        <v>--</v>
      </c>
    </row>
    <row r="120" spans="1:4">
      <c r="A120" s="280" t="s">
        <v>309</v>
      </c>
      <c r="B120" s="913" t="s">
        <v>310</v>
      </c>
      <c r="C120" s="914">
        <f t="shared" ref="C120:C121" si="10">D120</f>
        <v>867.34392396262422</v>
      </c>
      <c r="D120" s="154">
        <f t="shared" si="3"/>
        <v>867.34392396262422</v>
      </c>
    </row>
    <row r="121" spans="1:4">
      <c r="A121" s="280" t="s">
        <v>311</v>
      </c>
      <c r="B121" s="913" t="s">
        <v>312</v>
      </c>
      <c r="C121" s="914">
        <f t="shared" si="10"/>
        <v>112736.04247725812</v>
      </c>
      <c r="D121" s="154">
        <f t="shared" si="3"/>
        <v>112736.04247725812</v>
      </c>
    </row>
    <row r="122" spans="1:4">
      <c r="A122" s="280" t="s">
        <v>313</v>
      </c>
      <c r="B122" s="913" t="s">
        <v>314</v>
      </c>
      <c r="C122" s="914">
        <f t="shared" ref="C122:C138" si="11">D122</f>
        <v>680.01576316717876</v>
      </c>
      <c r="D122" s="154">
        <f t="shared" si="3"/>
        <v>680.01576316717876</v>
      </c>
    </row>
    <row r="123" spans="1:4">
      <c r="A123" s="280" t="s">
        <v>315</v>
      </c>
      <c r="B123" s="913" t="s">
        <v>316</v>
      </c>
      <c r="C123" s="914">
        <f t="shared" si="11"/>
        <v>1903.1195223540417</v>
      </c>
      <c r="D123" s="154">
        <f t="shared" si="3"/>
        <v>1903.1195223540417</v>
      </c>
    </row>
    <row r="124" spans="1:4">
      <c r="A124" s="280" t="s">
        <v>317</v>
      </c>
      <c r="B124" s="913" t="s">
        <v>318</v>
      </c>
      <c r="C124" s="914">
        <f t="shared" si="11"/>
        <v>166.16560580940779</v>
      </c>
      <c r="D124" s="154">
        <f t="shared" si="3"/>
        <v>166.16560580940779</v>
      </c>
    </row>
    <row r="125" spans="1:4">
      <c r="A125" s="280" t="s">
        <v>319</v>
      </c>
      <c r="B125" s="913" t="s">
        <v>320</v>
      </c>
      <c r="C125" s="914" t="str">
        <f t="shared" si="11"/>
        <v>--</v>
      </c>
      <c r="D125" s="154" t="str">
        <f t="shared" si="3"/>
        <v>--</v>
      </c>
    </row>
    <row r="126" spans="1:4">
      <c r="A126" s="280" t="s">
        <v>321</v>
      </c>
      <c r="B126" s="913" t="s">
        <v>322</v>
      </c>
      <c r="C126" s="914">
        <f t="shared" si="11"/>
        <v>817.81968815110827</v>
      </c>
      <c r="D126" s="154">
        <f t="shared" si="3"/>
        <v>817.81968815110827</v>
      </c>
    </row>
    <row r="127" spans="1:4">
      <c r="A127" s="280" t="s">
        <v>323</v>
      </c>
      <c r="B127" s="913" t="s">
        <v>324</v>
      </c>
      <c r="C127" s="914">
        <f t="shared" si="11"/>
        <v>254.8150255403508</v>
      </c>
      <c r="D127" s="154">
        <f t="shared" si="3"/>
        <v>254.8150255403508</v>
      </c>
    </row>
    <row r="128" spans="1:4">
      <c r="A128" s="280" t="s">
        <v>325</v>
      </c>
      <c r="B128" s="913" t="s">
        <v>326</v>
      </c>
      <c r="C128" s="914">
        <f t="shared" si="11"/>
        <v>404.10251442735415</v>
      </c>
      <c r="D128" s="154">
        <f t="shared" ref="D128:D138" si="12">VLOOKUP($A128,Table_IP_1, MATCH("sat lim", heading_IP_1, 0), FALSE)</f>
        <v>404.10251442735415</v>
      </c>
    </row>
    <row r="129" spans="1:4">
      <c r="A129" s="280" t="s">
        <v>327</v>
      </c>
      <c r="B129" s="913" t="s">
        <v>328</v>
      </c>
      <c r="C129" s="914">
        <f t="shared" si="11"/>
        <v>640.43263153396356</v>
      </c>
      <c r="D129" s="154">
        <f t="shared" si="12"/>
        <v>640.43263153396356</v>
      </c>
    </row>
    <row r="130" spans="1:4">
      <c r="A130" s="280" t="s">
        <v>329</v>
      </c>
      <c r="B130" s="913" t="s">
        <v>330</v>
      </c>
      <c r="C130" s="914">
        <f t="shared" si="11"/>
        <v>2159.9500282633189</v>
      </c>
      <c r="D130" s="154">
        <f t="shared" si="12"/>
        <v>2159.9500282633189</v>
      </c>
    </row>
    <row r="131" spans="1:4">
      <c r="A131" s="280" t="s">
        <v>331</v>
      </c>
      <c r="B131" s="913" t="s">
        <v>332</v>
      </c>
      <c r="C131" s="914">
        <f t="shared" si="11"/>
        <v>691.75561914459365</v>
      </c>
      <c r="D131" s="154">
        <f t="shared" si="12"/>
        <v>691.75561914459365</v>
      </c>
    </row>
    <row r="132" spans="1:4">
      <c r="A132" s="280" t="s">
        <v>333</v>
      </c>
      <c r="B132" s="913" t="s">
        <v>334</v>
      </c>
      <c r="C132" s="914">
        <f t="shared" si="11"/>
        <v>11618.415045588486</v>
      </c>
      <c r="D132" s="154">
        <f t="shared" si="12"/>
        <v>11618.415045588486</v>
      </c>
    </row>
    <row r="133" spans="1:4">
      <c r="A133" s="280" t="s">
        <v>335</v>
      </c>
      <c r="B133" s="913" t="s">
        <v>336</v>
      </c>
      <c r="C133" s="914">
        <f t="shared" si="11"/>
        <v>1908.816098160519</v>
      </c>
      <c r="D133" s="154">
        <f t="shared" si="12"/>
        <v>1908.816098160519</v>
      </c>
    </row>
    <row r="134" spans="1:4">
      <c r="A134" s="280" t="s">
        <v>337</v>
      </c>
      <c r="B134" s="913" t="s">
        <v>338</v>
      </c>
      <c r="C134" s="914">
        <f t="shared" si="11"/>
        <v>1395.5456350247107</v>
      </c>
      <c r="D134" s="154">
        <f t="shared" si="12"/>
        <v>1395.5456350247107</v>
      </c>
    </row>
    <row r="135" spans="1:4">
      <c r="A135" s="280" t="s">
        <v>339</v>
      </c>
      <c r="B135" s="913" t="s">
        <v>340</v>
      </c>
      <c r="C135" s="914" t="str">
        <f t="shared" si="11"/>
        <v>--</v>
      </c>
      <c r="D135" s="154" t="str">
        <f t="shared" si="12"/>
        <v>--</v>
      </c>
    </row>
    <row r="136" spans="1:4">
      <c r="A136" s="280" t="s">
        <v>341</v>
      </c>
      <c r="B136" s="913" t="s">
        <v>342</v>
      </c>
      <c r="C136" s="914">
        <f t="shared" si="11"/>
        <v>3920.7353410162614</v>
      </c>
      <c r="D136" s="154">
        <f t="shared" si="12"/>
        <v>3920.7353410162614</v>
      </c>
    </row>
    <row r="137" spans="1:4">
      <c r="A137" s="280" t="s">
        <v>343</v>
      </c>
      <c r="B137" s="913" t="s">
        <v>344</v>
      </c>
      <c r="C137" s="914">
        <f t="shared" si="11"/>
        <v>259.56356598528225</v>
      </c>
      <c r="D137" s="154">
        <f t="shared" si="12"/>
        <v>259.56356598528225</v>
      </c>
    </row>
    <row r="138" spans="1:4" ht="13.5" thickBot="1">
      <c r="A138" s="280" t="s">
        <v>345</v>
      </c>
      <c r="B138" s="913" t="s">
        <v>346</v>
      </c>
      <c r="C138" s="914" t="str">
        <f t="shared" si="11"/>
        <v>--</v>
      </c>
      <c r="D138" s="154" t="str">
        <f t="shared" si="12"/>
        <v>--</v>
      </c>
    </row>
    <row r="139" spans="1:4" ht="13.5" thickTop="1">
      <c r="A139" s="29" t="s">
        <v>347</v>
      </c>
      <c r="B139" s="155"/>
      <c r="C139" s="221"/>
      <c r="D139" s="1165"/>
    </row>
    <row r="140" spans="1:4" ht="24.75" customHeight="1">
      <c r="A140" s="2748" t="s">
        <v>993</v>
      </c>
      <c r="B140" s="2749"/>
      <c r="C140" s="2749"/>
      <c r="D140" s="2750"/>
    </row>
    <row r="141" spans="1:4" ht="15" customHeight="1">
      <c r="A141" s="909" t="s">
        <v>994</v>
      </c>
      <c r="B141" s="1142"/>
      <c r="C141" s="881"/>
      <c r="D141" s="1166"/>
    </row>
    <row r="142" spans="1:4">
      <c r="A142" s="909" t="s">
        <v>441</v>
      </c>
      <c r="B142" s="1102"/>
      <c r="C142" s="1102"/>
      <c r="D142" s="1103"/>
    </row>
    <row r="143" spans="1:4">
      <c r="A143" s="1132" t="s">
        <v>348</v>
      </c>
      <c r="D143" s="275"/>
    </row>
    <row r="144" spans="1:4">
      <c r="A144" s="1133" t="s">
        <v>349</v>
      </c>
      <c r="D144" s="275"/>
    </row>
    <row r="145" spans="1:4">
      <c r="A145" s="1133" t="s">
        <v>350</v>
      </c>
      <c r="D145" s="275"/>
    </row>
    <row r="146" spans="1:4">
      <c r="A146" s="1133" t="s">
        <v>351</v>
      </c>
      <c r="D146" s="275"/>
    </row>
    <row r="147" spans="1:4" ht="25.5" customHeight="1">
      <c r="A147" s="2611" t="s">
        <v>995</v>
      </c>
      <c r="B147" s="2612"/>
      <c r="C147" s="2612"/>
      <c r="D147" s="2613"/>
    </row>
    <row r="148" spans="1:4">
      <c r="A148" s="1133" t="s">
        <v>353</v>
      </c>
      <c r="D148" s="275"/>
    </row>
    <row r="149" spans="1:4">
      <c r="A149" s="1133" t="s">
        <v>354</v>
      </c>
      <c r="D149" s="275"/>
    </row>
    <row r="150" spans="1:4" ht="12.75" customHeight="1" thickBot="1">
      <c r="A150" s="2608" t="s">
        <v>355</v>
      </c>
      <c r="B150" s="2609"/>
      <c r="C150" s="2609"/>
      <c r="D150" s="2610"/>
    </row>
    <row r="151" spans="1:4" ht="13.5" thickTop="1">
      <c r="D151" s="4"/>
    </row>
    <row r="152" spans="1:4">
      <c r="A152"/>
      <c r="B152" s="75"/>
      <c r="C152"/>
      <c r="D152" s="4"/>
    </row>
    <row r="153" spans="1:4">
      <c r="B153" s="75"/>
      <c r="C153"/>
      <c r="D153" s="4"/>
    </row>
    <row r="154" spans="1:4">
      <c r="A154"/>
      <c r="B154" s="75"/>
      <c r="C154"/>
      <c r="D154" s="4"/>
    </row>
    <row r="155" spans="1:4">
      <c r="A155"/>
      <c r="B155" s="75"/>
      <c r="C155"/>
      <c r="D155" s="4"/>
    </row>
    <row r="156" spans="1:4">
      <c r="A156"/>
      <c r="B156" s="75"/>
      <c r="C156"/>
      <c r="D156" s="4"/>
    </row>
    <row r="157" spans="1:4">
      <c r="A157"/>
      <c r="B157" s="75"/>
      <c r="C157"/>
      <c r="D157" s="4"/>
    </row>
    <row r="158" spans="1:4">
      <c r="A158"/>
      <c r="B158" s="75"/>
      <c r="C158"/>
      <c r="D158" s="4"/>
    </row>
    <row r="159" spans="1:4">
      <c r="A159"/>
      <c r="B159" s="75"/>
      <c r="C159"/>
      <c r="D159" s="4"/>
    </row>
    <row r="160" spans="1:4">
      <c r="A160"/>
      <c r="B160" s="75"/>
      <c r="C160"/>
      <c r="D160" s="4"/>
    </row>
    <row r="161" spans="1:4">
      <c r="A161"/>
      <c r="B161" s="75"/>
      <c r="C161"/>
      <c r="D161" s="4"/>
    </row>
    <row r="162" spans="1:4">
      <c r="A162"/>
      <c r="B162" s="75"/>
      <c r="C162"/>
      <c r="D162" s="4"/>
    </row>
    <row r="163" spans="1:4">
      <c r="A163"/>
      <c r="B163" s="75"/>
      <c r="C163"/>
      <c r="D163" s="4"/>
    </row>
    <row r="164" spans="1:4">
      <c r="A164"/>
      <c r="B164" s="75"/>
      <c r="C164"/>
      <c r="D164" s="4"/>
    </row>
    <row r="165" spans="1:4">
      <c r="A165"/>
      <c r="B165" s="75"/>
      <c r="C165"/>
      <c r="D165" s="4"/>
    </row>
    <row r="166" spans="1:4">
      <c r="A166"/>
      <c r="B166" s="75"/>
      <c r="C166"/>
      <c r="D166" s="4"/>
    </row>
    <row r="167" spans="1:4">
      <c r="A167"/>
      <c r="B167" s="75"/>
      <c r="C167"/>
      <c r="D167" s="4"/>
    </row>
    <row r="168" spans="1:4">
      <c r="A168"/>
      <c r="B168" s="75"/>
      <c r="C168"/>
      <c r="D168" s="4"/>
    </row>
    <row r="169" spans="1:4">
      <c r="A169"/>
      <c r="B169" s="75"/>
      <c r="C169"/>
      <c r="D169" s="4"/>
    </row>
    <row r="170" spans="1:4">
      <c r="A170"/>
      <c r="B170" s="75"/>
      <c r="C170"/>
      <c r="D170" s="4"/>
    </row>
    <row r="171" spans="1:4">
      <c r="A171"/>
      <c r="B171" s="75"/>
      <c r="C171"/>
      <c r="D171" s="4"/>
    </row>
    <row r="172" spans="1:4">
      <c r="A172"/>
      <c r="B172" s="75"/>
      <c r="C172"/>
      <c r="D172" s="4"/>
    </row>
    <row r="173" spans="1:4">
      <c r="A173"/>
      <c r="B173" s="75"/>
      <c r="C173"/>
      <c r="D173" s="4"/>
    </row>
  </sheetData>
  <sheetProtection algorithmName="SHA-512" hashValue="FHKXp05b25Ju/THsF4r94iBkOeykpll+hNrWciksScESFNX/REZXG9JAykMZo6aTWhvDec52XmsdzrcD7ONp9g==" saltValue="snpxMguxYk1VcyAoeUY9wA==" spinCount="100000" sheet="1" sort="0" autoFilter="0"/>
  <autoFilter ref="A4:B123" xr:uid="{00000000-0009-0000-0000-000014000000}"/>
  <mergeCells count="7">
    <mergeCell ref="A150:D150"/>
    <mergeCell ref="A3:B3"/>
    <mergeCell ref="A2:D2"/>
    <mergeCell ref="C3:C4"/>
    <mergeCell ref="D3:D4"/>
    <mergeCell ref="A140:D140"/>
    <mergeCell ref="A147:D147"/>
  </mergeCells>
  <pageMargins left="0.7" right="0.7" top="0.75" bottom="0.75" header="0.3" footer="0.3"/>
  <pageSetup scale="90" fitToHeight="0" orientation="portrait" r:id="rId1"/>
  <headerFooter>
    <oddFooter>&amp;C&amp;9&amp;P of &amp;N&amp;R&amp;9&amp;A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F44"/>
  <sheetViews>
    <sheetView showGridLines="0" view="pageLayout" topLeftCell="A2" zoomScale="150" zoomScaleNormal="90" zoomScalePageLayoutView="150" workbookViewId="0">
      <selection activeCell="B4" sqref="B4:C4"/>
    </sheetView>
  </sheetViews>
  <sheetFormatPr defaultColWidth="9.140625" defaultRowHeight="15.75"/>
  <cols>
    <col min="1" max="1" width="3.5703125" style="58" customWidth="1"/>
    <col min="2" max="2" width="23.140625" style="439" customWidth="1"/>
    <col min="3" max="3" width="78.42578125" style="58" customWidth="1"/>
    <col min="4" max="4" width="5.140625" style="58" customWidth="1"/>
    <col min="5" max="16384" width="9.140625" style="58"/>
  </cols>
  <sheetData>
    <row r="1" spans="1:6" ht="74.25" customHeight="1">
      <c r="A1" s="570"/>
      <c r="D1" s="570"/>
    </row>
    <row r="2" spans="1:6" ht="15">
      <c r="A2" s="570"/>
      <c r="B2" s="2146" t="s">
        <v>11</v>
      </c>
      <c r="C2" s="2147"/>
      <c r="D2" s="570"/>
    </row>
    <row r="3" spans="1:6" ht="15">
      <c r="A3" s="570"/>
      <c r="B3" s="2147"/>
      <c r="C3" s="2147"/>
      <c r="D3" s="570"/>
    </row>
    <row r="4" spans="1:6" customFormat="1" ht="15" customHeight="1">
      <c r="A4" s="891"/>
      <c r="B4" s="2151" t="str">
        <f>Update</f>
        <v>2025 (Rev 4)</v>
      </c>
      <c r="C4" s="2152"/>
      <c r="D4" s="891"/>
      <c r="E4" s="891"/>
      <c r="F4" s="891"/>
    </row>
    <row r="5" spans="1:6" ht="7.5" customHeight="1" thickBot="1">
      <c r="A5" s="570"/>
      <c r="B5" s="2150"/>
      <c r="C5" s="2150"/>
      <c r="D5" s="570"/>
    </row>
    <row r="6" spans="1:6" ht="17.25" thickTop="1" thickBot="1">
      <c r="A6" s="570"/>
      <c r="B6" s="2148" t="s">
        <v>12</v>
      </c>
      <c r="C6" s="2149"/>
      <c r="D6" s="570"/>
    </row>
    <row r="7" spans="1:6" ht="15.95" customHeight="1" thickTop="1">
      <c r="A7" s="570"/>
      <c r="B7" s="445" t="s">
        <v>13</v>
      </c>
      <c r="C7" s="80" t="s">
        <v>14</v>
      </c>
      <c r="D7" s="570"/>
    </row>
    <row r="8" spans="1:6" ht="15.95" customHeight="1">
      <c r="A8" s="570"/>
      <c r="B8" s="446" t="s">
        <v>15</v>
      </c>
      <c r="C8" s="106" t="s">
        <v>16</v>
      </c>
      <c r="D8" s="570"/>
    </row>
    <row r="9" spans="1:6" s="570" customFormat="1" ht="15.95" customHeight="1">
      <c r="B9" s="446" t="s">
        <v>17</v>
      </c>
      <c r="C9" s="106" t="s">
        <v>18</v>
      </c>
    </row>
    <row r="10" spans="1:6" s="570" customFormat="1" ht="15.95" customHeight="1">
      <c r="B10" s="446" t="s">
        <v>19</v>
      </c>
      <c r="C10" s="106" t="s">
        <v>20</v>
      </c>
    </row>
    <row r="11" spans="1:6" ht="15.95" customHeight="1" thickBot="1">
      <c r="A11" s="570"/>
      <c r="B11" s="447" t="s">
        <v>21</v>
      </c>
      <c r="C11" s="81" t="s">
        <v>4282</v>
      </c>
      <c r="D11" s="570"/>
    </row>
    <row r="12" spans="1:6" ht="17.25" customHeight="1" thickTop="1" thickBot="1">
      <c r="A12" s="570"/>
      <c r="B12" s="572"/>
      <c r="C12" s="573"/>
      <c r="D12" s="570"/>
    </row>
    <row r="13" spans="1:6" ht="17.100000000000001" customHeight="1" thickTop="1" thickBot="1">
      <c r="A13" s="570"/>
      <c r="B13" s="2148" t="s">
        <v>22</v>
      </c>
      <c r="C13" s="2149"/>
      <c r="D13" s="570"/>
    </row>
    <row r="14" spans="1:6" ht="16.5" thickTop="1">
      <c r="A14" s="570"/>
      <c r="B14" s="442" t="s">
        <v>23</v>
      </c>
      <c r="C14" s="146" t="s">
        <v>24</v>
      </c>
      <c r="D14" s="570"/>
    </row>
    <row r="15" spans="1:6" s="570" customFormat="1">
      <c r="B15" s="442" t="s">
        <v>25</v>
      </c>
      <c r="C15" s="148" t="s">
        <v>26</v>
      </c>
    </row>
    <row r="16" spans="1:6" ht="17.25" customHeight="1" thickBot="1">
      <c r="A16" s="570"/>
      <c r="B16" s="443" t="s">
        <v>27</v>
      </c>
      <c r="C16" s="147" t="s">
        <v>28</v>
      </c>
      <c r="D16" s="570"/>
    </row>
    <row r="17" spans="1:4" ht="17.25" thickTop="1" thickBot="1">
      <c r="A17" s="570"/>
      <c r="B17" s="574"/>
      <c r="C17" s="575"/>
      <c r="D17" s="570"/>
    </row>
    <row r="18" spans="1:4" ht="17.100000000000001" customHeight="1" thickTop="1" thickBot="1">
      <c r="A18" s="570"/>
      <c r="B18" s="2148" t="s">
        <v>29</v>
      </c>
      <c r="C18" s="2149"/>
      <c r="D18" s="570"/>
    </row>
    <row r="19" spans="1:4" ht="16.5" thickTop="1">
      <c r="A19" s="570"/>
      <c r="B19" s="433" t="s">
        <v>30</v>
      </c>
      <c r="C19" s="146" t="s">
        <v>31</v>
      </c>
      <c r="D19" s="570"/>
    </row>
    <row r="20" spans="1:4">
      <c r="A20" s="570"/>
      <c r="B20" s="433" t="s">
        <v>32</v>
      </c>
      <c r="C20" s="146" t="s">
        <v>33</v>
      </c>
      <c r="D20" s="570"/>
    </row>
    <row r="21" spans="1:4">
      <c r="A21" s="570"/>
      <c r="B21" s="433" t="s">
        <v>34</v>
      </c>
      <c r="C21" s="146" t="s">
        <v>35</v>
      </c>
      <c r="D21" s="571"/>
    </row>
    <row r="22" spans="1:4">
      <c r="A22" s="570"/>
      <c r="B22" s="433" t="s">
        <v>36</v>
      </c>
      <c r="C22" s="146" t="s">
        <v>37</v>
      </c>
      <c r="D22" s="570"/>
    </row>
    <row r="23" spans="1:4">
      <c r="A23" s="570"/>
      <c r="B23" s="434" t="s">
        <v>38</v>
      </c>
      <c r="C23" s="79" t="s">
        <v>39</v>
      </c>
      <c r="D23" s="570"/>
    </row>
    <row r="24" spans="1:4">
      <c r="A24" s="570"/>
      <c r="B24" s="435" t="s">
        <v>40</v>
      </c>
      <c r="C24" s="146" t="s">
        <v>41</v>
      </c>
      <c r="D24" s="570"/>
    </row>
    <row r="25" spans="1:4">
      <c r="A25" s="570"/>
      <c r="B25" s="435" t="s">
        <v>42</v>
      </c>
      <c r="C25" s="146" t="s">
        <v>43</v>
      </c>
      <c r="D25" s="571"/>
    </row>
    <row r="26" spans="1:4">
      <c r="A26" s="570"/>
      <c r="B26" s="435" t="s">
        <v>44</v>
      </c>
      <c r="C26" s="146" t="s">
        <v>45</v>
      </c>
      <c r="D26" s="570"/>
    </row>
    <row r="27" spans="1:4">
      <c r="A27" s="570"/>
      <c r="B27" s="435" t="s">
        <v>46</v>
      </c>
      <c r="C27" s="146" t="s">
        <v>47</v>
      </c>
      <c r="D27" s="570"/>
    </row>
    <row r="28" spans="1:4">
      <c r="A28" s="570"/>
      <c r="B28" s="436" t="s">
        <v>48</v>
      </c>
      <c r="C28" s="79" t="s">
        <v>49</v>
      </c>
      <c r="D28" s="570"/>
    </row>
    <row r="29" spans="1:4">
      <c r="A29" s="570"/>
      <c r="B29" s="444" t="s">
        <v>50</v>
      </c>
      <c r="C29" s="146" t="s">
        <v>51</v>
      </c>
      <c r="D29" s="570"/>
    </row>
    <row r="30" spans="1:4">
      <c r="A30" s="570"/>
      <c r="B30" s="444" t="s">
        <v>52</v>
      </c>
      <c r="C30" s="146" t="s">
        <v>53</v>
      </c>
      <c r="D30" s="571"/>
    </row>
    <row r="31" spans="1:4">
      <c r="A31" s="570"/>
      <c r="B31" s="437" t="s">
        <v>54</v>
      </c>
      <c r="C31" s="149" t="s">
        <v>55</v>
      </c>
      <c r="D31" s="570"/>
    </row>
    <row r="32" spans="1:4" ht="18.75" customHeight="1" thickBot="1">
      <c r="A32" s="570"/>
      <c r="B32" s="438" t="s">
        <v>56</v>
      </c>
      <c r="C32" s="150" t="s">
        <v>57</v>
      </c>
      <c r="D32" s="570"/>
    </row>
    <row r="33" spans="1:4" ht="17.25" customHeight="1" thickTop="1" thickBot="1">
      <c r="A33" s="570"/>
      <c r="D33" s="570"/>
    </row>
    <row r="34" spans="1:4" ht="17.100000000000001" customHeight="1" thickTop="1" thickBot="1">
      <c r="A34" s="570"/>
      <c r="B34" s="2148" t="s">
        <v>58</v>
      </c>
      <c r="C34" s="2149"/>
      <c r="D34" s="570"/>
    </row>
    <row r="35" spans="1:4" ht="16.5" thickTop="1">
      <c r="A35" s="570"/>
      <c r="B35" s="440" t="s">
        <v>59</v>
      </c>
      <c r="C35" s="146" t="s">
        <v>60</v>
      </c>
      <c r="D35" s="570"/>
    </row>
    <row r="36" spans="1:4">
      <c r="A36" s="570"/>
      <c r="B36" s="440" t="s">
        <v>61</v>
      </c>
      <c r="C36" s="146" t="s">
        <v>62</v>
      </c>
      <c r="D36" s="570"/>
    </row>
    <row r="37" spans="1:4">
      <c r="A37" s="570"/>
      <c r="B37" s="440" t="s">
        <v>63</v>
      </c>
      <c r="C37" s="146" t="s">
        <v>64</v>
      </c>
      <c r="D37" s="570"/>
    </row>
    <row r="38" spans="1:4">
      <c r="A38" s="570"/>
      <c r="B38" s="440" t="s">
        <v>65</v>
      </c>
      <c r="C38" s="146" t="s">
        <v>66</v>
      </c>
      <c r="D38" s="570"/>
    </row>
    <row r="39" spans="1:4">
      <c r="A39" s="570"/>
      <c r="B39" s="440" t="s">
        <v>67</v>
      </c>
      <c r="C39" s="146" t="s">
        <v>68</v>
      </c>
      <c r="D39" s="570"/>
    </row>
    <row r="40" spans="1:4">
      <c r="A40" s="570"/>
      <c r="B40" s="440" t="s">
        <v>69</v>
      </c>
      <c r="C40" s="146" t="s">
        <v>70</v>
      </c>
      <c r="D40" s="570"/>
    </row>
    <row r="41" spans="1:4">
      <c r="A41" s="570"/>
      <c r="B41" s="440" t="s">
        <v>71</v>
      </c>
      <c r="C41" s="146" t="s">
        <v>72</v>
      </c>
      <c r="D41" s="570"/>
    </row>
    <row r="42" spans="1:4">
      <c r="A42" s="570"/>
      <c r="B42" s="440" t="s">
        <v>73</v>
      </c>
      <c r="C42" s="146" t="s">
        <v>74</v>
      </c>
      <c r="D42" s="570"/>
    </row>
    <row r="43" spans="1:4" ht="16.5" thickBot="1">
      <c r="A43" s="570"/>
      <c r="B43" s="441" t="s">
        <v>75</v>
      </c>
      <c r="C43" s="150" t="s">
        <v>76</v>
      </c>
      <c r="D43" s="570"/>
    </row>
    <row r="44" spans="1:4" ht="16.5" thickTop="1"/>
  </sheetData>
  <sheetProtection algorithmName="SHA-512" hashValue="ybWxfWHrM6OHZi671YXhGou3AXFwEnSYX+y2VxLC/GrdU4EplWrAYaxixMt9jv2UkWd++ehUnMFrvWGhEG2UeQ==" saltValue="NSgpqE2XMHMwIKwLVhCUcg==" spinCount="100000" sheet="1" sort="0" autoFilter="0"/>
  <mergeCells count="7">
    <mergeCell ref="B2:C3"/>
    <mergeCell ref="B13:C13"/>
    <mergeCell ref="B6:C6"/>
    <mergeCell ref="B34:C34"/>
    <mergeCell ref="B18:C18"/>
    <mergeCell ref="B5:C5"/>
    <mergeCell ref="B4:C4"/>
  </mergeCells>
  <printOptions horizontalCentered="1"/>
  <pageMargins left="0.7" right="0.7" top="0.75" bottom="0.75" header="0.3" footer="0.3"/>
  <pageSetup scale="71" orientation="portrait" r:id="rId1"/>
  <headerFooter alignWithMargins="0">
    <oddFooter>&amp;C&amp;P of &amp;N&amp;R&amp;A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tabColor rgb="FFFFC000"/>
    <pageSetUpPr fitToPage="1"/>
  </sheetPr>
  <dimension ref="A1:Q173"/>
  <sheetViews>
    <sheetView showGridLines="0" zoomScale="110" zoomScaleNormal="110" workbookViewId="0">
      <pane xSplit="2" ySplit="5" topLeftCell="C6" activePane="bottomRight" state="frozen"/>
      <selection pane="topRight" activeCell="C1" sqref="C1"/>
      <selection pane="bottomLeft" activeCell="A6" sqref="A6"/>
      <selection pane="bottomRight" activeCell="A3" sqref="A3:B3"/>
    </sheetView>
  </sheetViews>
  <sheetFormatPr defaultColWidth="9.140625" defaultRowHeight="12.75"/>
  <cols>
    <col min="1" max="1" width="40.42578125" style="3" customWidth="1"/>
    <col min="2" max="2" width="9" style="3" bestFit="1" customWidth="1"/>
    <col min="3" max="3" width="14.42578125" style="36" customWidth="1"/>
    <col min="4" max="4" width="16" style="3" customWidth="1"/>
    <col min="5" max="5" width="18.85546875" style="3" customWidth="1"/>
    <col min="6" max="6" width="11.5703125" style="4" customWidth="1"/>
    <col min="7" max="8" width="14.42578125" style="10" bestFit="1" customWidth="1"/>
    <col min="9" max="9" width="9.5703125" style="10" bestFit="1" customWidth="1"/>
    <col min="10" max="10" width="2.5703125" customWidth="1"/>
    <col min="11" max="11" width="8.42578125" style="75" bestFit="1" customWidth="1"/>
    <col min="12" max="12" width="9.5703125" style="75" customWidth="1"/>
    <col min="13" max="13" width="11" style="75" customWidth="1"/>
    <col min="14" max="14" width="16.140625" style="75" customWidth="1"/>
    <col min="15" max="16" width="11" style="75" customWidth="1"/>
    <col min="17" max="17" width="12.140625" style="3" bestFit="1" customWidth="1"/>
    <col min="18" max="16384" width="9.140625" style="3"/>
  </cols>
  <sheetData>
    <row r="1" spans="1:17" ht="11.25" hidden="1">
      <c r="A1" s="3" t="s">
        <v>996</v>
      </c>
      <c r="C1" s="36" t="s">
        <v>997</v>
      </c>
      <c r="D1" s="36" t="s">
        <v>998</v>
      </c>
      <c r="E1" s="36" t="s">
        <v>999</v>
      </c>
      <c r="J1" s="1"/>
      <c r="K1" s="4"/>
      <c r="L1" s="4"/>
      <c r="M1" s="4"/>
      <c r="N1" s="4"/>
      <c r="O1" s="4"/>
      <c r="P1" s="4"/>
    </row>
    <row r="2" spans="1:17" s="23" customFormat="1" ht="32.25" customHeight="1" thickBot="1">
      <c r="A2" s="2699" t="s">
        <v>1000</v>
      </c>
      <c r="B2" s="2699"/>
      <c r="C2" s="2699"/>
      <c r="D2" s="2699"/>
      <c r="E2" s="2699"/>
      <c r="F2" s="2699"/>
      <c r="G2" s="2699"/>
      <c r="H2" s="2699"/>
      <c r="I2" s="2699"/>
    </row>
    <row r="3" spans="1:17" s="127" customFormat="1" ht="15.95" customHeight="1" thickTop="1" thickBot="1">
      <c r="A3" s="2606" t="str">
        <f>'Water Direct Exp (GW-1)'!A3:B3</f>
        <v>2025 (Rev 4)</v>
      </c>
      <c r="B3" s="2607"/>
      <c r="C3" s="2770" t="s">
        <v>1001</v>
      </c>
      <c r="D3" s="2771"/>
      <c r="E3" s="2772"/>
      <c r="F3" s="2758" t="s">
        <v>1002</v>
      </c>
      <c r="G3" s="2758"/>
      <c r="H3" s="2758"/>
      <c r="I3" s="2759"/>
    </row>
    <row r="4" spans="1:17" s="63" customFormat="1" ht="42.75" customHeight="1" thickTop="1">
      <c r="A4" s="2764" t="s">
        <v>661</v>
      </c>
      <c r="B4" s="2766" t="s">
        <v>80</v>
      </c>
      <c r="C4" s="282" t="s">
        <v>1003</v>
      </c>
      <c r="D4" s="284" t="s">
        <v>1004</v>
      </c>
      <c r="E4" s="283" t="s">
        <v>1005</v>
      </c>
      <c r="F4" s="2762" t="s">
        <v>1006</v>
      </c>
      <c r="G4" s="2760" t="s">
        <v>1007</v>
      </c>
      <c r="H4" s="2760" t="s">
        <v>1008</v>
      </c>
      <c r="I4" s="2756" t="s">
        <v>1009</v>
      </c>
      <c r="K4" s="2751" t="s">
        <v>1010</v>
      </c>
      <c r="L4" s="2753" t="s">
        <v>1011</v>
      </c>
      <c r="M4" s="2754"/>
      <c r="N4" s="2755"/>
      <c r="O4" s="64"/>
      <c r="P4" s="64"/>
    </row>
    <row r="5" spans="1:17" s="63" customFormat="1" ht="39" customHeight="1" thickBot="1">
      <c r="A5" s="2765"/>
      <c r="B5" s="2767"/>
      <c r="C5" s="2768" t="s">
        <v>1012</v>
      </c>
      <c r="D5" s="2769"/>
      <c r="E5" s="563" t="s">
        <v>1013</v>
      </c>
      <c r="F5" s="2763"/>
      <c r="G5" s="2761"/>
      <c r="H5" s="2761"/>
      <c r="I5" s="2757"/>
      <c r="K5" s="2752"/>
      <c r="L5" s="376" t="s">
        <v>1014</v>
      </c>
      <c r="M5" s="290" t="s">
        <v>1015</v>
      </c>
      <c r="N5" s="377" t="s">
        <v>1005</v>
      </c>
      <c r="O5" s="64"/>
      <c r="P5" s="64"/>
      <c r="Q5" s="64"/>
    </row>
    <row r="6" spans="1:17" ht="11.25" customHeight="1">
      <c r="A6" s="280" t="s">
        <v>391</v>
      </c>
      <c r="B6" s="910" t="s">
        <v>392</v>
      </c>
      <c r="C6" s="911">
        <f t="shared" ref="C6:C20" si="0">IF(F6="Yes","--",IF(I6="--",IF(G6&lt;1,$L$7,$L$6),IF(I6&lt;0.1,$L$8,IF(I6&lt;100,$L$7,$L$6))))</f>
        <v>500</v>
      </c>
      <c r="D6" s="916">
        <f t="shared" ref="D6:D20" si="1">IF(F6="Yes","--",IF(I6="--",IF(G6&lt;1,$M$7,$M$6),IF(I6&lt;0.1,$M$8,IF(I6&lt;100,$M$7,$M$6))))</f>
        <v>1000</v>
      </c>
      <c r="E6" s="917">
        <f t="shared" ref="E6:E20" si="2">IF(F6="Yes","--",IF(I6="--",IF(G6&lt;1,$N$7,$N$6),IF(I6&lt;0.1,$N$8,IF(I6&lt;100,$N$7,$N$6))))</f>
        <v>1000</v>
      </c>
      <c r="F6" s="4" t="str">
        <f t="shared" ref="F6:F21" si="3">IF(VLOOKUP($A6,Table_IP_1, MATCH("non-odor", heading_IP_1, 0), FALSE)="yes", "yes", "--")</f>
        <v>--</v>
      </c>
      <c r="G6" s="170">
        <f t="shared" ref="G6:G21" si="4">VLOOKUP($A6,Table_IP_1, MATCH("vp", heading_IP_1, 0), FALSE)</f>
        <v>231.5</v>
      </c>
      <c r="H6" s="170">
        <f t="shared" ref="H6:H21" si="5">VLOOKUP($A6,Table_IP_1, MATCH("50P-ORT-v", heading_IP_1, 0), FALSE)</f>
        <v>13</v>
      </c>
      <c r="I6" s="167">
        <f t="shared" ref="I6:I28" si="6">IF(OR(G6="--",H6="--"), "--",G6/H6)</f>
        <v>17.807692307692307</v>
      </c>
      <c r="K6" s="369" t="s">
        <v>1016</v>
      </c>
      <c r="L6" s="367">
        <v>100</v>
      </c>
      <c r="M6" s="368">
        <v>500</v>
      </c>
      <c r="N6" s="370">
        <v>500</v>
      </c>
    </row>
    <row r="7" spans="1:17" ht="11.25" customHeight="1">
      <c r="A7" s="280" t="s">
        <v>85</v>
      </c>
      <c r="B7" s="281" t="s">
        <v>86</v>
      </c>
      <c r="C7" s="274">
        <f t="shared" si="0"/>
        <v>1000</v>
      </c>
      <c r="D7" s="914">
        <f t="shared" si="1"/>
        <v>2500</v>
      </c>
      <c r="E7" s="918">
        <f t="shared" si="2"/>
        <v>2500</v>
      </c>
      <c r="F7" s="295" t="str">
        <f t="shared" si="3"/>
        <v>--</v>
      </c>
      <c r="G7" s="158">
        <f t="shared" si="4"/>
        <v>1.2E-4</v>
      </c>
      <c r="H7" s="158">
        <f t="shared" si="5"/>
        <v>1.7000000000000001E-2</v>
      </c>
      <c r="I7" s="168">
        <f t="shared" si="6"/>
        <v>7.0588235294117641E-3</v>
      </c>
      <c r="K7" s="371" t="s">
        <v>1017</v>
      </c>
      <c r="L7" s="367">
        <v>500</v>
      </c>
      <c r="M7" s="368">
        <v>1000</v>
      </c>
      <c r="N7" s="370">
        <v>1000</v>
      </c>
    </row>
    <row r="8" spans="1:17" ht="11.25" customHeight="1" thickBot="1">
      <c r="A8" s="280" t="s">
        <v>87</v>
      </c>
      <c r="B8" s="281" t="s">
        <v>88</v>
      </c>
      <c r="C8" s="274" t="str">
        <f t="shared" si="0"/>
        <v>--</v>
      </c>
      <c r="D8" s="914" t="str">
        <f t="shared" si="1"/>
        <v>--</v>
      </c>
      <c r="E8" s="918" t="str">
        <f t="shared" si="2"/>
        <v>--</v>
      </c>
      <c r="F8" s="295" t="str">
        <f t="shared" si="3"/>
        <v>yes</v>
      </c>
      <c r="G8" s="158" t="str">
        <f t="shared" si="4"/>
        <v>--</v>
      </c>
      <c r="H8" s="158" t="str">
        <f t="shared" si="5"/>
        <v>--</v>
      </c>
      <c r="I8" s="168" t="str">
        <f t="shared" si="6"/>
        <v>--</v>
      </c>
      <c r="K8" s="372" t="s">
        <v>1018</v>
      </c>
      <c r="L8" s="373">
        <v>1000</v>
      </c>
      <c r="M8" s="374">
        <v>2500</v>
      </c>
      <c r="N8" s="375">
        <v>2500</v>
      </c>
    </row>
    <row r="9" spans="1:17" ht="11.25" customHeight="1" thickTop="1">
      <c r="A9" s="280" t="s">
        <v>89</v>
      </c>
      <c r="B9" s="281" t="s">
        <v>90</v>
      </c>
      <c r="C9" s="274" t="str">
        <f t="shared" si="0"/>
        <v>--</v>
      </c>
      <c r="D9" s="914" t="str">
        <f t="shared" si="1"/>
        <v>--</v>
      </c>
      <c r="E9" s="918" t="str">
        <f t="shared" si="2"/>
        <v>--</v>
      </c>
      <c r="F9" s="295" t="str">
        <f t="shared" si="3"/>
        <v>yes</v>
      </c>
      <c r="G9" s="158" t="str">
        <f t="shared" si="4"/>
        <v>--</v>
      </c>
      <c r="H9" s="158" t="str">
        <f t="shared" si="5"/>
        <v>--</v>
      </c>
      <c r="I9" s="168" t="str">
        <f t="shared" si="6"/>
        <v>--</v>
      </c>
    </row>
    <row r="10" spans="1:17" ht="11.25" customHeight="1">
      <c r="A10" s="280" t="s">
        <v>91</v>
      </c>
      <c r="B10" s="281" t="s">
        <v>92</v>
      </c>
      <c r="C10" s="274" t="str">
        <f t="shared" si="0"/>
        <v>--</v>
      </c>
      <c r="D10" s="914" t="str">
        <f t="shared" si="1"/>
        <v>--</v>
      </c>
      <c r="E10" s="918" t="str">
        <f t="shared" si="2"/>
        <v>--</v>
      </c>
      <c r="F10" s="295" t="str">
        <f t="shared" si="3"/>
        <v>yes</v>
      </c>
      <c r="G10" s="158" t="str">
        <f t="shared" si="4"/>
        <v>--</v>
      </c>
      <c r="H10" s="158" t="str">
        <f t="shared" si="5"/>
        <v>--</v>
      </c>
      <c r="I10" s="168" t="str">
        <f t="shared" si="6"/>
        <v>--</v>
      </c>
    </row>
    <row r="11" spans="1:17" ht="11.25" customHeight="1">
      <c r="A11" s="280" t="s">
        <v>93</v>
      </c>
      <c r="B11" s="281" t="s">
        <v>94</v>
      </c>
      <c r="C11" s="274">
        <f t="shared" si="0"/>
        <v>500</v>
      </c>
      <c r="D11" s="914">
        <f t="shared" si="1"/>
        <v>1000</v>
      </c>
      <c r="E11" s="918">
        <f t="shared" si="2"/>
        <v>1000</v>
      </c>
      <c r="F11" s="295" t="str">
        <f t="shared" si="3"/>
        <v>--</v>
      </c>
      <c r="G11" s="158">
        <f t="shared" si="4"/>
        <v>94.8</v>
      </c>
      <c r="H11" s="158">
        <f t="shared" si="5"/>
        <v>1.5</v>
      </c>
      <c r="I11" s="168">
        <f t="shared" si="6"/>
        <v>63.199999999999996</v>
      </c>
    </row>
    <row r="12" spans="1:17" ht="11.25" customHeight="1">
      <c r="A12" s="280" t="s">
        <v>95</v>
      </c>
      <c r="B12" s="281" t="s">
        <v>96</v>
      </c>
      <c r="C12" s="274" t="str">
        <f t="shared" si="0"/>
        <v>--</v>
      </c>
      <c r="D12" s="914" t="str">
        <f t="shared" si="1"/>
        <v>--</v>
      </c>
      <c r="E12" s="918" t="str">
        <f t="shared" si="2"/>
        <v>--</v>
      </c>
      <c r="F12" s="295" t="str">
        <f t="shared" si="3"/>
        <v>yes</v>
      </c>
      <c r="G12" s="158" t="str">
        <f t="shared" si="4"/>
        <v>--</v>
      </c>
      <c r="H12" s="158" t="str">
        <f t="shared" si="5"/>
        <v>--</v>
      </c>
      <c r="I12" s="168" t="str">
        <f t="shared" si="6"/>
        <v>--</v>
      </c>
    </row>
    <row r="13" spans="1:17" ht="11.25" customHeight="1">
      <c r="A13" s="280" t="s">
        <v>97</v>
      </c>
      <c r="B13" s="281" t="s">
        <v>98</v>
      </c>
      <c r="C13" s="274">
        <f t="shared" si="0"/>
        <v>500</v>
      </c>
      <c r="D13" s="914">
        <f t="shared" si="1"/>
        <v>1000</v>
      </c>
      <c r="E13" s="918">
        <f t="shared" si="2"/>
        <v>1000</v>
      </c>
      <c r="F13" s="295" t="str">
        <f t="shared" si="3"/>
        <v>--</v>
      </c>
      <c r="G13" s="158">
        <f t="shared" si="4"/>
        <v>8.9300000000000004E-3</v>
      </c>
      <c r="H13" s="158">
        <f t="shared" si="5"/>
        <v>9.4999999999999998E-3</v>
      </c>
      <c r="I13" s="168">
        <f t="shared" si="6"/>
        <v>0.94000000000000006</v>
      </c>
    </row>
    <row r="14" spans="1:17" ht="11.25" customHeight="1">
      <c r="A14" s="280" t="s">
        <v>99</v>
      </c>
      <c r="B14" s="281" t="s">
        <v>100</v>
      </c>
      <c r="C14" s="274">
        <f t="shared" si="0"/>
        <v>500</v>
      </c>
      <c r="D14" s="914">
        <f t="shared" si="1"/>
        <v>1000</v>
      </c>
      <c r="E14" s="918">
        <f t="shared" si="2"/>
        <v>1000</v>
      </c>
      <c r="F14" s="295" t="str">
        <f t="shared" si="3"/>
        <v>--</v>
      </c>
      <c r="G14" s="158">
        <f t="shared" si="4"/>
        <v>1.55</v>
      </c>
      <c r="H14" s="158">
        <f t="shared" si="5"/>
        <v>4.9000000000000002E-2</v>
      </c>
      <c r="I14" s="168">
        <f t="shared" si="6"/>
        <v>31.632653061224488</v>
      </c>
      <c r="Q14" s="1"/>
    </row>
    <row r="15" spans="1:17" ht="11.25" customHeight="1">
      <c r="A15" s="280" t="s">
        <v>101</v>
      </c>
      <c r="B15" s="281" t="s">
        <v>102</v>
      </c>
      <c r="C15" s="274">
        <f t="shared" si="0"/>
        <v>500</v>
      </c>
      <c r="D15" s="914">
        <f t="shared" si="1"/>
        <v>1000</v>
      </c>
      <c r="E15" s="918">
        <f t="shared" si="2"/>
        <v>1000</v>
      </c>
      <c r="F15" s="562" t="str">
        <f t="shared" si="3"/>
        <v>--</v>
      </c>
      <c r="G15" s="158">
        <f t="shared" si="4"/>
        <v>0.56000000000000005</v>
      </c>
      <c r="H15" s="158">
        <f t="shared" si="5"/>
        <v>0.32</v>
      </c>
      <c r="I15" s="168">
        <f t="shared" si="6"/>
        <v>1.7500000000000002</v>
      </c>
    </row>
    <row r="16" spans="1:17" ht="11.25" customHeight="1">
      <c r="A16" s="280" t="s">
        <v>103</v>
      </c>
      <c r="B16" s="281" t="s">
        <v>104</v>
      </c>
      <c r="C16" s="274">
        <f t="shared" si="0"/>
        <v>500</v>
      </c>
      <c r="D16" s="914">
        <f t="shared" si="1"/>
        <v>1000</v>
      </c>
      <c r="E16" s="918">
        <f t="shared" si="2"/>
        <v>1000</v>
      </c>
      <c r="F16" s="295" t="str">
        <f t="shared" si="3"/>
        <v>--</v>
      </c>
      <c r="G16" s="158">
        <f t="shared" si="4"/>
        <v>1.42E-7</v>
      </c>
      <c r="H16" s="158" t="str">
        <f t="shared" si="5"/>
        <v>--</v>
      </c>
      <c r="I16" s="168" t="str">
        <f t="shared" si="6"/>
        <v>--</v>
      </c>
      <c r="L16" s="3"/>
    </row>
    <row r="17" spans="1:16" ht="11.25" customHeight="1">
      <c r="A17" s="280" t="s">
        <v>105</v>
      </c>
      <c r="B17" s="281" t="s">
        <v>106</v>
      </c>
      <c r="C17" s="274" t="str">
        <f t="shared" si="0"/>
        <v>--</v>
      </c>
      <c r="D17" s="914" t="str">
        <f t="shared" si="1"/>
        <v>--</v>
      </c>
      <c r="E17" s="918" t="str">
        <f t="shared" si="2"/>
        <v>--</v>
      </c>
      <c r="F17" s="295" t="str">
        <f t="shared" si="3"/>
        <v>yes</v>
      </c>
      <c r="G17" s="158" t="str">
        <f t="shared" si="4"/>
        <v>--</v>
      </c>
      <c r="H17" s="158" t="str">
        <f t="shared" si="5"/>
        <v>--</v>
      </c>
      <c r="I17" s="168" t="str">
        <f t="shared" si="6"/>
        <v>--</v>
      </c>
      <c r="K17" s="3"/>
      <c r="L17" s="3"/>
      <c r="M17" s="3"/>
      <c r="N17" s="3"/>
      <c r="O17" s="3"/>
      <c r="P17" s="3"/>
    </row>
    <row r="18" spans="1:16" ht="11.25" customHeight="1">
      <c r="A18" s="280" t="s">
        <v>107</v>
      </c>
      <c r="B18" s="281" t="s">
        <v>108</v>
      </c>
      <c r="C18" s="274">
        <f t="shared" si="0"/>
        <v>1000</v>
      </c>
      <c r="D18" s="914">
        <f t="shared" si="1"/>
        <v>2500</v>
      </c>
      <c r="E18" s="918">
        <f t="shared" si="2"/>
        <v>2500</v>
      </c>
      <c r="F18" s="295" t="str">
        <f t="shared" si="3"/>
        <v>--</v>
      </c>
      <c r="G18" s="158">
        <f t="shared" si="4"/>
        <v>50</v>
      </c>
      <c r="H18" s="158">
        <f t="shared" si="5"/>
        <v>1680</v>
      </c>
      <c r="I18" s="168">
        <f t="shared" si="6"/>
        <v>2.976190476190476E-2</v>
      </c>
      <c r="K18" s="31"/>
      <c r="L18" s="3"/>
      <c r="M18" s="3"/>
      <c r="N18" s="3"/>
      <c r="O18" s="3"/>
      <c r="P18" s="3"/>
    </row>
    <row r="19" spans="1:16" ht="11.25" customHeight="1">
      <c r="A19" s="280" t="s">
        <v>109</v>
      </c>
      <c r="B19" s="281" t="s">
        <v>110</v>
      </c>
      <c r="C19" s="274">
        <f t="shared" si="0"/>
        <v>500</v>
      </c>
      <c r="D19" s="914">
        <f t="shared" si="1"/>
        <v>1000</v>
      </c>
      <c r="E19" s="918">
        <f t="shared" si="2"/>
        <v>1000</v>
      </c>
      <c r="F19" s="295" t="str">
        <f t="shared" si="3"/>
        <v>--</v>
      </c>
      <c r="G19" s="158">
        <f t="shared" si="4"/>
        <v>5.4</v>
      </c>
      <c r="H19" s="158">
        <f t="shared" si="5"/>
        <v>1.3</v>
      </c>
      <c r="I19" s="168">
        <f t="shared" si="6"/>
        <v>4.1538461538461542</v>
      </c>
      <c r="K19" s="3"/>
      <c r="L19" s="3"/>
      <c r="M19" s="3"/>
      <c r="N19" s="3"/>
      <c r="O19" s="3"/>
      <c r="P19" s="3"/>
    </row>
    <row r="20" spans="1:16" ht="11.25" customHeight="1">
      <c r="A20" s="280" t="s">
        <v>111</v>
      </c>
      <c r="B20" s="281" t="s">
        <v>112</v>
      </c>
      <c r="C20" s="274">
        <f t="shared" si="0"/>
        <v>500</v>
      </c>
      <c r="D20" s="914">
        <f t="shared" si="1"/>
        <v>1000</v>
      </c>
      <c r="E20" s="918">
        <f t="shared" si="2"/>
        <v>1000</v>
      </c>
      <c r="F20" s="295" t="str">
        <f t="shared" si="3"/>
        <v>--</v>
      </c>
      <c r="G20" s="158">
        <f t="shared" si="4"/>
        <v>1616</v>
      </c>
      <c r="H20" s="158">
        <f t="shared" si="5"/>
        <v>20</v>
      </c>
      <c r="I20" s="168">
        <f t="shared" si="6"/>
        <v>80.8</v>
      </c>
      <c r="K20" s="3"/>
      <c r="L20" s="3"/>
      <c r="M20" s="3"/>
      <c r="N20" s="3"/>
      <c r="O20" s="3"/>
      <c r="P20" s="3"/>
    </row>
    <row r="21" spans="1:16" ht="11.25" customHeight="1">
      <c r="A21" s="280" t="s">
        <v>113</v>
      </c>
      <c r="B21" s="281" t="s">
        <v>114</v>
      </c>
      <c r="C21" s="274" t="str">
        <f>IF(F21="Yes","--",IF(I21="--",IF(G21&lt;1,$L$7,$L$6),IF(I21&lt;0.1,$L$8,IF(I21&lt;100,$L$7,$L$6))))</f>
        <v>--</v>
      </c>
      <c r="D21" s="914" t="str">
        <f>IF(F21="Yes","--",IF(I21="--",IF(G21&lt;1,$M$7,$M$6),IF(I21&lt;0.1,$M$8,IF(I21&lt;100,$M$7,$M$6))))</f>
        <v>--</v>
      </c>
      <c r="E21" s="918" t="str">
        <f>IF(F21="Yes","--",IF(I21="--",IF(G21&lt;1,$N$7,$N$6),IF(I21&lt;0.1,$N$8,IF(I21&lt;100,$N$7,$N$6))))</f>
        <v>--</v>
      </c>
      <c r="F21" s="295" t="str">
        <f t="shared" si="3"/>
        <v>yes</v>
      </c>
      <c r="G21" s="158" t="str">
        <f t="shared" si="4"/>
        <v>--</v>
      </c>
      <c r="H21" s="158" t="str">
        <f t="shared" si="5"/>
        <v>--</v>
      </c>
      <c r="I21" s="168" t="str">
        <f t="shared" ref="I21:I25" si="7">IF(OR(G21="--",H21="--"), "--",G21/H21)</f>
        <v>--</v>
      </c>
      <c r="K21" s="3"/>
    </row>
    <row r="22" spans="1:16" ht="11.25" customHeight="1">
      <c r="A22" s="280" t="s">
        <v>117</v>
      </c>
      <c r="B22" s="281" t="s">
        <v>118</v>
      </c>
      <c r="C22" s="274">
        <f t="shared" ref="C22:C28" si="8">IF(F22="Yes","--",IF(I22="--",IF(G22&lt;1,$L$7,$L$6),IF(I22&lt;0.1,$L$8,IF(I22&lt;100,$L$7,$L$6))))</f>
        <v>500</v>
      </c>
      <c r="D22" s="914">
        <f t="shared" ref="D22:D28" si="9">IF(F22="Yes","--",IF(I22="--",IF(G22&lt;1,$M$7,$M$6),IF(I22&lt;0.1,$M$8,IF(I22&lt;100,$M$7,$M$6))))</f>
        <v>1000</v>
      </c>
      <c r="E22" s="918">
        <f t="shared" ref="E22:E28" si="10">IF(F22="Yes","--",IF(I22="--",IF(G22&lt;1,$N$7,$N$6),IF(I22&lt;0.1,$N$8,IF(I22&lt;100,$N$7,$N$6))))</f>
        <v>1000</v>
      </c>
      <c r="F22" s="295" t="str">
        <f t="shared" ref="F22:F36" si="11">IF(VLOOKUP($A22,Table_IP_1, MATCH("non-odor", heading_IP_1, 0), FALSE)="yes", "yes", "--")</f>
        <v>--</v>
      </c>
      <c r="G22" s="158">
        <f t="shared" ref="G22:G36" si="12">VLOOKUP($A22,Table_IP_1, MATCH("vp", heading_IP_1, 0), FALSE)</f>
        <v>115</v>
      </c>
      <c r="H22" s="158">
        <f t="shared" ref="H22:H36" si="13">VLOOKUP($A22,Table_IP_1, MATCH("50P-ORT-v", heading_IP_1, 0), FALSE)</f>
        <v>10</v>
      </c>
      <c r="I22" s="168">
        <f t="shared" si="7"/>
        <v>11.5</v>
      </c>
      <c r="J22" s="1"/>
      <c r="K22" s="3"/>
      <c r="L22" s="3"/>
      <c r="M22" s="3"/>
      <c r="N22" s="378"/>
      <c r="O22" s="3"/>
      <c r="P22" s="3"/>
    </row>
    <row r="23" spans="1:16" ht="11.25" customHeight="1">
      <c r="A23" s="280" t="s">
        <v>119</v>
      </c>
      <c r="B23" s="281" t="s">
        <v>120</v>
      </c>
      <c r="C23" s="274">
        <f t="shared" si="8"/>
        <v>1000</v>
      </c>
      <c r="D23" s="914">
        <f t="shared" si="9"/>
        <v>2500</v>
      </c>
      <c r="E23" s="918">
        <f t="shared" si="10"/>
        <v>2500</v>
      </c>
      <c r="F23" s="295" t="str">
        <f t="shared" si="11"/>
        <v>--</v>
      </c>
      <c r="G23" s="158">
        <f t="shared" si="12"/>
        <v>9.9799999999999993E-6</v>
      </c>
      <c r="H23" s="158">
        <f t="shared" si="13"/>
        <v>4.9200000000000003E-4</v>
      </c>
      <c r="I23" s="168">
        <f t="shared" si="7"/>
        <v>2.0284552845528454E-2</v>
      </c>
      <c r="J23" s="1"/>
      <c r="K23" s="3"/>
      <c r="L23" s="3"/>
      <c r="M23" s="3"/>
      <c r="N23" s="3"/>
      <c r="O23" s="3"/>
      <c r="P23" s="3"/>
    </row>
    <row r="24" spans="1:16" ht="11.25" customHeight="1">
      <c r="A24" s="280" t="s">
        <v>121</v>
      </c>
      <c r="B24" s="281" t="s">
        <v>122</v>
      </c>
      <c r="C24" s="274">
        <f t="shared" si="8"/>
        <v>500</v>
      </c>
      <c r="D24" s="914">
        <f t="shared" si="9"/>
        <v>1000</v>
      </c>
      <c r="E24" s="918">
        <f t="shared" si="10"/>
        <v>1000</v>
      </c>
      <c r="F24" s="295" t="str">
        <f t="shared" si="11"/>
        <v>--</v>
      </c>
      <c r="G24" s="158">
        <f t="shared" si="12"/>
        <v>2.7E-2</v>
      </c>
      <c r="H24" s="158" t="str">
        <f t="shared" si="13"/>
        <v>--</v>
      </c>
      <c r="I24" s="168" t="str">
        <f t="shared" si="7"/>
        <v>--</v>
      </c>
      <c r="K24" s="3"/>
      <c r="L24" s="3"/>
      <c r="M24" s="3"/>
      <c r="N24" s="3"/>
      <c r="O24" s="3"/>
      <c r="P24" s="3"/>
    </row>
    <row r="25" spans="1:16" ht="11.25" customHeight="1">
      <c r="A25" s="280" t="s">
        <v>123</v>
      </c>
      <c r="B25" s="281" t="s">
        <v>124</v>
      </c>
      <c r="C25" s="274">
        <f t="shared" si="8"/>
        <v>500</v>
      </c>
      <c r="D25" s="914">
        <f t="shared" si="9"/>
        <v>1000</v>
      </c>
      <c r="E25" s="918">
        <f t="shared" si="10"/>
        <v>1000</v>
      </c>
      <c r="F25" s="295" t="str">
        <f t="shared" si="11"/>
        <v>--</v>
      </c>
      <c r="G25" s="158">
        <f t="shared" si="12"/>
        <v>11.97</v>
      </c>
      <c r="H25" s="158">
        <f t="shared" si="13"/>
        <v>0.22</v>
      </c>
      <c r="I25" s="168">
        <f t="shared" si="7"/>
        <v>54.409090909090914</v>
      </c>
      <c r="K25" s="3"/>
      <c r="L25" s="3"/>
      <c r="M25" s="3"/>
      <c r="N25" s="3"/>
      <c r="O25" s="3"/>
      <c r="P25" s="3"/>
    </row>
    <row r="26" spans="1:16" ht="11.25" customHeight="1">
      <c r="A26" s="280" t="s">
        <v>125</v>
      </c>
      <c r="B26" s="281" t="s">
        <v>126</v>
      </c>
      <c r="C26" s="274">
        <f t="shared" si="8"/>
        <v>500</v>
      </c>
      <c r="D26" s="914">
        <f t="shared" si="9"/>
        <v>1000</v>
      </c>
      <c r="E26" s="918">
        <f t="shared" si="10"/>
        <v>1000</v>
      </c>
      <c r="F26" s="295" t="str">
        <f t="shared" si="11"/>
        <v>--</v>
      </c>
      <c r="G26" s="158">
        <f t="shared" si="12"/>
        <v>1008</v>
      </c>
      <c r="H26" s="158">
        <f t="shared" si="13"/>
        <v>140</v>
      </c>
      <c r="I26" s="168">
        <f t="shared" si="6"/>
        <v>7.2</v>
      </c>
      <c r="K26" s="3"/>
      <c r="L26" s="3"/>
      <c r="M26" s="3"/>
      <c r="N26" s="3"/>
      <c r="O26" s="3"/>
      <c r="P26" s="3"/>
    </row>
    <row r="27" spans="1:16" ht="11.25" customHeight="1">
      <c r="A27" s="280" t="s">
        <v>127</v>
      </c>
      <c r="B27" s="281" t="s">
        <v>128</v>
      </c>
      <c r="C27" s="274">
        <f t="shared" si="8"/>
        <v>500</v>
      </c>
      <c r="D27" s="914">
        <f t="shared" si="9"/>
        <v>1000</v>
      </c>
      <c r="E27" s="918">
        <f t="shared" si="10"/>
        <v>1000</v>
      </c>
      <c r="F27" s="295" t="str">
        <f t="shared" si="11"/>
        <v>--</v>
      </c>
      <c r="G27" s="158">
        <f t="shared" si="12"/>
        <v>197</v>
      </c>
      <c r="H27" s="158">
        <f t="shared" si="13"/>
        <v>85</v>
      </c>
      <c r="I27" s="168">
        <f t="shared" si="6"/>
        <v>2.3176470588235296</v>
      </c>
      <c r="K27" s="3"/>
      <c r="L27" s="3"/>
      <c r="M27" s="3"/>
      <c r="N27" s="3"/>
      <c r="O27" s="3"/>
      <c r="P27" s="3"/>
    </row>
    <row r="28" spans="1:16" ht="11.25" customHeight="1">
      <c r="A28" s="280" t="s">
        <v>129</v>
      </c>
      <c r="B28" s="281" t="s">
        <v>130</v>
      </c>
      <c r="C28" s="274">
        <f t="shared" si="8"/>
        <v>100</v>
      </c>
      <c r="D28" s="914">
        <f t="shared" si="9"/>
        <v>500</v>
      </c>
      <c r="E28" s="918">
        <f t="shared" si="10"/>
        <v>500</v>
      </c>
      <c r="F28" s="295" t="str">
        <f t="shared" si="11"/>
        <v>--</v>
      </c>
      <c r="G28" s="158">
        <f t="shared" si="12"/>
        <v>4300</v>
      </c>
      <c r="H28" s="158" t="str">
        <f t="shared" si="13"/>
        <v>--</v>
      </c>
      <c r="I28" s="168" t="str">
        <f t="shared" si="6"/>
        <v>--</v>
      </c>
      <c r="K28" s="3"/>
      <c r="L28" s="3"/>
      <c r="M28" s="3"/>
      <c r="N28" s="3"/>
      <c r="O28" s="3"/>
      <c r="P28" s="3"/>
    </row>
    <row r="29" spans="1:16" ht="11.25" customHeight="1">
      <c r="A29" s="280" t="s">
        <v>131</v>
      </c>
      <c r="B29" s="281" t="s">
        <v>132</v>
      </c>
      <c r="C29" s="274">
        <f t="shared" ref="C29" si="14">IF(F29="Yes","--",IF(I29="--",IF(G29&lt;1,$L$7,$L$6),IF(I29&lt;0.1,$L$8,IF(I29&lt;100,$L$7,$L$6))))</f>
        <v>100</v>
      </c>
      <c r="D29" s="914">
        <f t="shared" ref="D29" si="15">IF(F29="Yes","--",IF(I29="--",IF(G29&lt;1,$M$7,$M$6),IF(I29&lt;0.1,$M$8,IF(I29&lt;100,$M$7,$M$6))))</f>
        <v>500</v>
      </c>
      <c r="E29" s="918">
        <f t="shared" ref="E29" si="16">IF(F29="Yes","--",IF(I29="--",IF(G29&lt;1,$N$7,$N$6),IF(I29&lt;0.1,$N$8,IF(I29&lt;100,$N$7,$N$6))))</f>
        <v>500</v>
      </c>
      <c r="F29" s="295" t="str">
        <f t="shared" si="11"/>
        <v>--</v>
      </c>
      <c r="G29" s="158">
        <f t="shared" si="12"/>
        <v>2.5299999999999998</v>
      </c>
      <c r="H29" s="158">
        <f t="shared" si="13"/>
        <v>3.5999999999999999E-3</v>
      </c>
      <c r="I29" s="168">
        <f t="shared" ref="I29" si="17">IF(OR(G29="--",H29="--"), "--",G29/H29)</f>
        <v>702.77777777777771</v>
      </c>
      <c r="K29" s="3"/>
      <c r="L29" s="3"/>
      <c r="M29" s="3"/>
      <c r="N29" s="3"/>
      <c r="O29" s="3"/>
      <c r="P29" s="3"/>
    </row>
    <row r="30" spans="1:16" ht="11.25" customHeight="1">
      <c r="A30" s="280" t="s">
        <v>133</v>
      </c>
      <c r="B30" s="281" t="s">
        <v>134</v>
      </c>
      <c r="C30" s="274" t="str">
        <f t="shared" ref="C30:C61" si="18">IF(F30="Yes","--",IF(I30="--",IF(G30&lt;1,$L$7,$L$6),IF(I30&lt;0.1,$L$8,IF(I30&lt;100,$L$7,$L$6))))</f>
        <v>--</v>
      </c>
      <c r="D30" s="914" t="str">
        <f t="shared" ref="D30:D61" si="19">IF(F30="Yes","--",IF(I30="--",IF(G30&lt;1,$M$7,$M$6),IF(I30&lt;0.1,$M$8,IF(I30&lt;100,$M$7,$M$6))))</f>
        <v>--</v>
      </c>
      <c r="E30" s="918" t="str">
        <f t="shared" ref="E30:E61" si="20">IF(F30="Yes","--",IF(I30="--",IF(G30&lt;1,$N$7,$N$6),IF(I30&lt;0.1,$N$8,IF(I30&lt;100,$N$7,$N$6))))</f>
        <v>--</v>
      </c>
      <c r="F30" s="295" t="str">
        <f t="shared" si="11"/>
        <v>yes</v>
      </c>
      <c r="G30" s="158" t="str">
        <f t="shared" si="12"/>
        <v>--</v>
      </c>
      <c r="H30" s="158" t="str">
        <f t="shared" si="13"/>
        <v>--</v>
      </c>
      <c r="I30" s="168" t="str">
        <f t="shared" ref="I30:I61" si="21">IF(OR(G30="--",H30="--"), "--",G30/H30)</f>
        <v>--</v>
      </c>
      <c r="K30" s="3"/>
      <c r="L30" s="3"/>
      <c r="M30" s="3"/>
      <c r="N30" s="3"/>
      <c r="O30" s="3"/>
      <c r="P30" s="3"/>
    </row>
    <row r="31" spans="1:16" ht="11.25" customHeight="1">
      <c r="A31" s="280" t="s">
        <v>135</v>
      </c>
      <c r="B31" s="281" t="s">
        <v>136</v>
      </c>
      <c r="C31" s="274" t="str">
        <f t="shared" si="18"/>
        <v>--</v>
      </c>
      <c r="D31" s="914" t="str">
        <f t="shared" si="19"/>
        <v>--</v>
      </c>
      <c r="E31" s="918" t="str">
        <f t="shared" si="20"/>
        <v>--</v>
      </c>
      <c r="F31" s="295" t="str">
        <f t="shared" si="11"/>
        <v>yes</v>
      </c>
      <c r="G31" s="158" t="str">
        <f t="shared" si="12"/>
        <v>--</v>
      </c>
      <c r="H31" s="158" t="str">
        <f t="shared" si="13"/>
        <v>--</v>
      </c>
      <c r="I31" s="168" t="str">
        <f t="shared" si="21"/>
        <v>--</v>
      </c>
      <c r="K31" s="3"/>
      <c r="L31" s="3"/>
      <c r="M31" s="3"/>
      <c r="N31" s="3"/>
      <c r="O31" s="3"/>
      <c r="P31" s="3"/>
    </row>
    <row r="32" spans="1:16" ht="11.25" customHeight="1">
      <c r="A32" s="280" t="s">
        <v>137</v>
      </c>
      <c r="B32" s="281" t="s">
        <v>138</v>
      </c>
      <c r="C32" s="274" t="str">
        <f t="shared" si="18"/>
        <v>--</v>
      </c>
      <c r="D32" s="914" t="str">
        <f t="shared" si="19"/>
        <v>--</v>
      </c>
      <c r="E32" s="918" t="str">
        <f t="shared" si="20"/>
        <v>--</v>
      </c>
      <c r="F32" s="295" t="str">
        <f t="shared" si="11"/>
        <v>yes</v>
      </c>
      <c r="G32" s="158" t="str">
        <f t="shared" si="12"/>
        <v>--</v>
      </c>
      <c r="H32" s="158" t="str">
        <f t="shared" si="13"/>
        <v>--</v>
      </c>
      <c r="I32" s="168" t="str">
        <f t="shared" si="21"/>
        <v>--</v>
      </c>
      <c r="J32" s="3"/>
      <c r="K32" s="3"/>
      <c r="L32" s="3"/>
      <c r="M32" s="3"/>
      <c r="N32" s="3"/>
      <c r="O32" s="3"/>
      <c r="P32" s="3"/>
    </row>
    <row r="33" spans="1:16" ht="11.25" customHeight="1">
      <c r="A33" s="280" t="s">
        <v>139</v>
      </c>
      <c r="B33" s="281" t="s">
        <v>140</v>
      </c>
      <c r="C33" s="274" t="str">
        <f t="shared" si="18"/>
        <v>--</v>
      </c>
      <c r="D33" s="914" t="str">
        <f t="shared" si="19"/>
        <v>--</v>
      </c>
      <c r="E33" s="918" t="str">
        <f t="shared" si="20"/>
        <v>--</v>
      </c>
      <c r="F33" s="295" t="str">
        <f t="shared" si="11"/>
        <v>yes</v>
      </c>
      <c r="G33" s="158" t="str">
        <f t="shared" si="12"/>
        <v>--</v>
      </c>
      <c r="H33" s="158" t="str">
        <f t="shared" si="13"/>
        <v>--</v>
      </c>
      <c r="I33" s="168" t="str">
        <f t="shared" si="21"/>
        <v>--</v>
      </c>
      <c r="J33" s="3"/>
      <c r="K33" s="3"/>
      <c r="L33" s="3"/>
      <c r="M33" s="3"/>
      <c r="N33" s="3"/>
      <c r="O33" s="3"/>
      <c r="P33" s="3"/>
    </row>
    <row r="34" spans="1:16" ht="11.25" customHeight="1">
      <c r="A34" s="280" t="s">
        <v>141</v>
      </c>
      <c r="B34" s="281" t="s">
        <v>142</v>
      </c>
      <c r="C34" s="274" t="str">
        <f t="shared" si="18"/>
        <v>--</v>
      </c>
      <c r="D34" s="914" t="str">
        <f t="shared" si="19"/>
        <v>--</v>
      </c>
      <c r="E34" s="918" t="str">
        <f t="shared" si="20"/>
        <v>--</v>
      </c>
      <c r="F34" s="295" t="str">
        <f t="shared" si="11"/>
        <v>yes</v>
      </c>
      <c r="G34" s="158" t="str">
        <f t="shared" si="12"/>
        <v>--</v>
      </c>
      <c r="H34" s="158" t="str">
        <f t="shared" si="13"/>
        <v>--</v>
      </c>
      <c r="I34" s="168" t="str">
        <f t="shared" si="21"/>
        <v>--</v>
      </c>
      <c r="J34" s="3"/>
      <c r="K34" s="3"/>
      <c r="L34" s="3"/>
      <c r="M34" s="3"/>
      <c r="N34" s="3"/>
      <c r="O34" s="3"/>
      <c r="P34" s="3"/>
    </row>
    <row r="35" spans="1:16" ht="11.25" customHeight="1">
      <c r="A35" s="280" t="s">
        <v>143</v>
      </c>
      <c r="B35" s="281" t="s">
        <v>144</v>
      </c>
      <c r="C35" s="274">
        <f t="shared" si="18"/>
        <v>100</v>
      </c>
      <c r="D35" s="914">
        <f t="shared" si="19"/>
        <v>500</v>
      </c>
      <c r="E35" s="918">
        <f t="shared" si="20"/>
        <v>500</v>
      </c>
      <c r="F35" s="295" t="str">
        <f t="shared" si="11"/>
        <v>--</v>
      </c>
      <c r="G35" s="158">
        <f t="shared" si="12"/>
        <v>308</v>
      </c>
      <c r="H35" s="158">
        <f t="shared" si="13"/>
        <v>0.57999999999999996</v>
      </c>
      <c r="I35" s="168">
        <f t="shared" si="21"/>
        <v>531.0344827586207</v>
      </c>
      <c r="J35" s="3"/>
      <c r="K35" s="3"/>
      <c r="L35" s="3"/>
      <c r="M35" s="3"/>
      <c r="N35" s="3"/>
      <c r="O35" s="3"/>
      <c r="P35" s="3"/>
    </row>
    <row r="36" spans="1:16" ht="11.25" customHeight="1">
      <c r="A36" s="280" t="s">
        <v>145</v>
      </c>
      <c r="B36" s="281" t="s">
        <v>146</v>
      </c>
      <c r="C36" s="274">
        <f t="shared" si="18"/>
        <v>100</v>
      </c>
      <c r="D36" s="914">
        <f t="shared" si="19"/>
        <v>500</v>
      </c>
      <c r="E36" s="918">
        <f t="shared" si="20"/>
        <v>500</v>
      </c>
      <c r="F36" s="295" t="str">
        <f t="shared" si="11"/>
        <v>--</v>
      </c>
      <c r="G36" s="158">
        <f t="shared" si="12"/>
        <v>5.54</v>
      </c>
      <c r="H36" s="158" t="str">
        <f t="shared" si="13"/>
        <v>--</v>
      </c>
      <c r="I36" s="168" t="str">
        <f t="shared" si="21"/>
        <v>--</v>
      </c>
      <c r="J36" s="3"/>
      <c r="K36" s="3"/>
      <c r="L36" s="3"/>
      <c r="M36" s="3"/>
      <c r="N36" s="3"/>
      <c r="O36" s="3"/>
      <c r="P36" s="3"/>
    </row>
    <row r="37" spans="1:16" ht="11.25" customHeight="1">
      <c r="A37" s="280" t="s">
        <v>147</v>
      </c>
      <c r="B37" s="281" t="s">
        <v>148</v>
      </c>
      <c r="C37" s="274">
        <f t="shared" si="18"/>
        <v>500</v>
      </c>
      <c r="D37" s="914">
        <f t="shared" si="19"/>
        <v>1000</v>
      </c>
      <c r="E37" s="918">
        <f t="shared" si="20"/>
        <v>1000</v>
      </c>
      <c r="F37" s="295" t="str">
        <f t="shared" ref="F37:F68" si="22">IF(VLOOKUP($A37,Table_IP_1, MATCH("non-odor", heading_IP_1, 0), FALSE)="yes", "yes", "--")</f>
        <v>--</v>
      </c>
      <c r="G37" s="158">
        <f t="shared" ref="G37:G68" si="23">VLOOKUP($A37,Table_IP_1, MATCH("vp", heading_IP_1, 0), FALSE)</f>
        <v>0.57999999999999996</v>
      </c>
      <c r="H37" s="158" t="str">
        <f t="shared" ref="H37:H68" si="24">VLOOKUP($A37,Table_IP_1, MATCH("50P-ORT-v", heading_IP_1, 0), FALSE)</f>
        <v>--</v>
      </c>
      <c r="I37" s="168" t="str">
        <f t="shared" si="21"/>
        <v>--</v>
      </c>
      <c r="J37" s="3"/>
      <c r="K37" s="3"/>
      <c r="L37" s="3"/>
      <c r="M37" s="3"/>
      <c r="N37" s="3"/>
      <c r="O37" s="3"/>
      <c r="P37" s="3"/>
    </row>
    <row r="38" spans="1:16" ht="11.25" customHeight="1">
      <c r="A38" s="280" t="s">
        <v>149</v>
      </c>
      <c r="B38" s="281" t="s">
        <v>150</v>
      </c>
      <c r="C38" s="274">
        <f t="shared" si="18"/>
        <v>500</v>
      </c>
      <c r="D38" s="914">
        <f t="shared" si="19"/>
        <v>1000</v>
      </c>
      <c r="E38" s="918">
        <f t="shared" si="20"/>
        <v>1000</v>
      </c>
      <c r="F38" s="295" t="str">
        <f t="shared" si="22"/>
        <v>--</v>
      </c>
      <c r="G38" s="158">
        <f t="shared" si="23"/>
        <v>11.2</v>
      </c>
      <c r="H38" s="158">
        <f t="shared" si="24"/>
        <v>26</v>
      </c>
      <c r="I38" s="168">
        <f t="shared" si="21"/>
        <v>0.43076923076923074</v>
      </c>
      <c r="J38" s="3"/>
      <c r="K38" s="3"/>
      <c r="L38" s="3"/>
      <c r="M38" s="3"/>
      <c r="N38" s="3"/>
      <c r="O38" s="3"/>
      <c r="P38" s="3"/>
    </row>
    <row r="39" spans="1:16" ht="11.25" customHeight="1">
      <c r="A39" s="280" t="s">
        <v>151</v>
      </c>
      <c r="B39" s="281" t="s">
        <v>152</v>
      </c>
      <c r="C39" s="274">
        <f t="shared" si="18"/>
        <v>1000</v>
      </c>
      <c r="D39" s="914">
        <f t="shared" si="19"/>
        <v>2500</v>
      </c>
      <c r="E39" s="918">
        <f t="shared" si="20"/>
        <v>2500</v>
      </c>
      <c r="F39" s="295" t="str">
        <f t="shared" si="22"/>
        <v>--</v>
      </c>
      <c r="G39" s="158">
        <f t="shared" si="23"/>
        <v>1.36</v>
      </c>
      <c r="H39" s="158">
        <f t="shared" si="24"/>
        <v>50</v>
      </c>
      <c r="I39" s="168">
        <f t="shared" si="21"/>
        <v>2.7200000000000002E-2</v>
      </c>
      <c r="J39" s="3"/>
      <c r="K39" s="3"/>
      <c r="L39" s="3"/>
      <c r="M39" s="3"/>
      <c r="N39" s="3"/>
      <c r="O39" s="3"/>
      <c r="P39" s="3"/>
    </row>
    <row r="40" spans="1:16" ht="11.25" customHeight="1">
      <c r="A40" s="280" t="s">
        <v>153</v>
      </c>
      <c r="B40" s="281" t="s">
        <v>154</v>
      </c>
      <c r="C40" s="274">
        <f t="shared" si="18"/>
        <v>500</v>
      </c>
      <c r="D40" s="914">
        <f t="shared" si="19"/>
        <v>1000</v>
      </c>
      <c r="E40" s="918">
        <f t="shared" si="20"/>
        <v>1000</v>
      </c>
      <c r="F40" s="295" t="str">
        <f t="shared" si="22"/>
        <v>--</v>
      </c>
      <c r="G40" s="158">
        <f t="shared" si="23"/>
        <v>1.74</v>
      </c>
      <c r="H40" s="158">
        <f t="shared" si="24"/>
        <v>0.18</v>
      </c>
      <c r="I40" s="168">
        <f t="shared" si="21"/>
        <v>9.6666666666666679</v>
      </c>
      <c r="J40" s="3"/>
      <c r="K40" s="3"/>
      <c r="L40" s="3"/>
      <c r="M40" s="3"/>
      <c r="N40" s="3"/>
      <c r="O40" s="3"/>
      <c r="P40" s="3"/>
    </row>
    <row r="41" spans="1:16" ht="11.25" customHeight="1">
      <c r="A41" s="280" t="s">
        <v>155</v>
      </c>
      <c r="B41" s="281" t="s">
        <v>156</v>
      </c>
      <c r="C41" s="274">
        <f t="shared" si="18"/>
        <v>500</v>
      </c>
      <c r="D41" s="914">
        <f t="shared" si="19"/>
        <v>1000</v>
      </c>
      <c r="E41" s="918">
        <f t="shared" si="20"/>
        <v>1000</v>
      </c>
      <c r="F41" s="295" t="str">
        <f t="shared" si="22"/>
        <v>--</v>
      </c>
      <c r="G41" s="158">
        <f t="shared" si="23"/>
        <v>2.5600000000000002E-7</v>
      </c>
      <c r="H41" s="158" t="str">
        <f t="shared" si="24"/>
        <v>--</v>
      </c>
      <c r="I41" s="168" t="str">
        <f t="shared" si="21"/>
        <v>--</v>
      </c>
      <c r="J41" s="3"/>
      <c r="K41" s="3"/>
      <c r="L41" s="3"/>
      <c r="M41" s="3"/>
      <c r="N41" s="3"/>
      <c r="O41" s="3"/>
      <c r="P41" s="3"/>
    </row>
    <row r="42" spans="1:16" ht="11.25" customHeight="1">
      <c r="A42" s="280" t="s">
        <v>157</v>
      </c>
      <c r="B42" s="281" t="s">
        <v>158</v>
      </c>
      <c r="C42" s="274">
        <f t="shared" si="18"/>
        <v>500</v>
      </c>
      <c r="D42" s="914">
        <f t="shared" si="19"/>
        <v>1000</v>
      </c>
      <c r="E42" s="918">
        <f t="shared" si="20"/>
        <v>1000</v>
      </c>
      <c r="F42" s="295" t="str">
        <f t="shared" si="22"/>
        <v>--</v>
      </c>
      <c r="G42" s="158">
        <f t="shared" si="23"/>
        <v>1.35E-6</v>
      </c>
      <c r="H42" s="158" t="str">
        <f t="shared" si="24"/>
        <v>--</v>
      </c>
      <c r="I42" s="168" t="str">
        <f t="shared" si="21"/>
        <v>--</v>
      </c>
      <c r="J42" s="3"/>
      <c r="K42" s="3"/>
      <c r="L42" s="3"/>
      <c r="M42" s="3"/>
      <c r="N42" s="3"/>
      <c r="O42" s="3"/>
      <c r="P42" s="3"/>
    </row>
    <row r="43" spans="1:16" ht="11.25" customHeight="1">
      <c r="A43" s="280" t="s">
        <v>159</v>
      </c>
      <c r="B43" s="281" t="s">
        <v>160</v>
      </c>
      <c r="C43" s="274">
        <f t="shared" si="18"/>
        <v>500</v>
      </c>
      <c r="D43" s="914">
        <f t="shared" si="19"/>
        <v>1000</v>
      </c>
      <c r="E43" s="918">
        <f t="shared" si="20"/>
        <v>1000</v>
      </c>
      <c r="F43" s="295" t="str">
        <f t="shared" si="22"/>
        <v>--</v>
      </c>
      <c r="G43" s="158">
        <f t="shared" si="23"/>
        <v>6.0000000000000002E-6</v>
      </c>
      <c r="H43" s="158" t="str">
        <f t="shared" si="24"/>
        <v>--</v>
      </c>
      <c r="I43" s="168" t="str">
        <f t="shared" si="21"/>
        <v>--</v>
      </c>
      <c r="J43" s="3"/>
      <c r="K43" s="3"/>
      <c r="L43" s="3"/>
      <c r="M43" s="3"/>
      <c r="N43" s="3"/>
      <c r="O43" s="3"/>
      <c r="P43" s="3"/>
    </row>
    <row r="44" spans="1:16" ht="11.25" customHeight="1">
      <c r="A44" s="280" t="s">
        <v>161</v>
      </c>
      <c r="B44" s="281" t="s">
        <v>162</v>
      </c>
      <c r="C44" s="274">
        <f t="shared" si="18"/>
        <v>500</v>
      </c>
      <c r="D44" s="914">
        <f t="shared" si="19"/>
        <v>1000</v>
      </c>
      <c r="E44" s="918">
        <f t="shared" si="20"/>
        <v>1000</v>
      </c>
      <c r="F44" s="295" t="str">
        <f t="shared" si="22"/>
        <v>--</v>
      </c>
      <c r="G44" s="158">
        <f t="shared" si="23"/>
        <v>1.6E-7</v>
      </c>
      <c r="H44" s="158" t="str">
        <f t="shared" si="24"/>
        <v>--</v>
      </c>
      <c r="I44" s="168" t="str">
        <f t="shared" si="21"/>
        <v>--</v>
      </c>
      <c r="J44" s="3"/>
      <c r="K44" s="3"/>
      <c r="L44" s="3"/>
      <c r="M44" s="3"/>
      <c r="N44" s="3"/>
      <c r="O44" s="3"/>
      <c r="P44" s="3"/>
    </row>
    <row r="45" spans="1:16" ht="11.25" customHeight="1">
      <c r="A45" s="280" t="s">
        <v>163</v>
      </c>
      <c r="B45" s="281" t="s">
        <v>164</v>
      </c>
      <c r="C45" s="274">
        <f t="shared" si="18"/>
        <v>500</v>
      </c>
      <c r="D45" s="914">
        <f t="shared" si="19"/>
        <v>1000</v>
      </c>
      <c r="E45" s="918">
        <f t="shared" si="20"/>
        <v>1000</v>
      </c>
      <c r="F45" s="295" t="str">
        <f t="shared" si="22"/>
        <v>--</v>
      </c>
      <c r="G45" s="158">
        <f t="shared" si="23"/>
        <v>227.3</v>
      </c>
      <c r="H45" s="158">
        <f t="shared" si="24"/>
        <v>30</v>
      </c>
      <c r="I45" s="168">
        <f t="shared" si="21"/>
        <v>7.5766666666666671</v>
      </c>
      <c r="J45" s="3"/>
      <c r="K45" s="3"/>
      <c r="L45" s="3"/>
      <c r="M45" s="3"/>
      <c r="N45" s="3"/>
      <c r="O45" s="3"/>
      <c r="P45" s="3"/>
    </row>
    <row r="46" spans="1:16" ht="11.25" customHeight="1">
      <c r="A46" s="280" t="s">
        <v>165</v>
      </c>
      <c r="B46" s="281" t="s">
        <v>166</v>
      </c>
      <c r="C46" s="274">
        <f t="shared" si="18"/>
        <v>100</v>
      </c>
      <c r="D46" s="914">
        <f t="shared" si="19"/>
        <v>500</v>
      </c>
      <c r="E46" s="918">
        <f t="shared" si="20"/>
        <v>500</v>
      </c>
      <c r="F46" s="295" t="str">
        <f t="shared" si="22"/>
        <v>--</v>
      </c>
      <c r="G46" s="158">
        <f t="shared" si="23"/>
        <v>78.900000000000006</v>
      </c>
      <c r="H46" s="158">
        <f t="shared" si="24"/>
        <v>0.59</v>
      </c>
      <c r="I46" s="168">
        <f t="shared" si="21"/>
        <v>133.72881355932205</v>
      </c>
      <c r="J46" s="3"/>
      <c r="K46" s="3"/>
      <c r="L46" s="3"/>
      <c r="M46" s="3"/>
      <c r="N46" s="3"/>
      <c r="O46" s="3"/>
      <c r="P46" s="3"/>
    </row>
    <row r="47" spans="1:16" ht="11.25" customHeight="1">
      <c r="A47" s="280" t="s">
        <v>167</v>
      </c>
      <c r="B47" s="281" t="s">
        <v>168</v>
      </c>
      <c r="C47" s="274">
        <f t="shared" si="18"/>
        <v>500</v>
      </c>
      <c r="D47" s="914">
        <f t="shared" si="19"/>
        <v>1000</v>
      </c>
      <c r="E47" s="918">
        <f t="shared" si="20"/>
        <v>1000</v>
      </c>
      <c r="F47" s="295" t="str">
        <f t="shared" si="22"/>
        <v>--</v>
      </c>
      <c r="G47" s="158">
        <f t="shared" si="23"/>
        <v>600</v>
      </c>
      <c r="H47" s="158">
        <f t="shared" si="24"/>
        <v>500</v>
      </c>
      <c r="I47" s="168">
        <f t="shared" si="21"/>
        <v>1.2</v>
      </c>
      <c r="J47" s="3"/>
      <c r="K47" s="3"/>
      <c r="L47" s="3"/>
      <c r="M47" s="3"/>
      <c r="N47" s="3"/>
      <c r="O47" s="3"/>
      <c r="P47" s="3"/>
    </row>
    <row r="48" spans="1:16" ht="11.25" customHeight="1">
      <c r="A48" s="280" t="s">
        <v>169</v>
      </c>
      <c r="B48" s="281" t="s">
        <v>170</v>
      </c>
      <c r="C48" s="274">
        <f t="shared" si="18"/>
        <v>100</v>
      </c>
      <c r="D48" s="914">
        <f t="shared" si="19"/>
        <v>500</v>
      </c>
      <c r="E48" s="918">
        <f t="shared" si="20"/>
        <v>500</v>
      </c>
      <c r="F48" s="295" t="str">
        <f t="shared" si="22"/>
        <v>--</v>
      </c>
      <c r="G48" s="158">
        <f t="shared" si="23"/>
        <v>200</v>
      </c>
      <c r="H48" s="158" t="str">
        <f t="shared" si="24"/>
        <v>--</v>
      </c>
      <c r="I48" s="168" t="str">
        <f t="shared" si="21"/>
        <v>--</v>
      </c>
      <c r="J48" s="3"/>
      <c r="K48" s="3"/>
      <c r="L48" s="3"/>
      <c r="M48" s="3"/>
      <c r="N48" s="3"/>
      <c r="O48" s="3"/>
      <c r="P48" s="3"/>
    </row>
    <row r="49" spans="1:16" ht="11.25" customHeight="1">
      <c r="A49" s="280" t="s">
        <v>171</v>
      </c>
      <c r="B49" s="281" t="s">
        <v>172</v>
      </c>
      <c r="C49" s="274">
        <f t="shared" si="18"/>
        <v>500</v>
      </c>
      <c r="D49" s="914">
        <f t="shared" si="19"/>
        <v>1000</v>
      </c>
      <c r="E49" s="918">
        <f t="shared" si="20"/>
        <v>1000</v>
      </c>
      <c r="F49" s="295" t="str">
        <f t="shared" si="22"/>
        <v>--</v>
      </c>
      <c r="G49" s="158">
        <f t="shared" si="23"/>
        <v>331</v>
      </c>
      <c r="H49" s="158">
        <f t="shared" si="24"/>
        <v>17</v>
      </c>
      <c r="I49" s="168">
        <f t="shared" si="21"/>
        <v>19.470588235294116</v>
      </c>
      <c r="J49" s="3"/>
      <c r="K49" s="3"/>
      <c r="L49" s="3"/>
      <c r="M49" s="3"/>
      <c r="N49" s="3"/>
      <c r="O49" s="3"/>
      <c r="P49" s="3"/>
    </row>
    <row r="50" spans="1:16" ht="11.25" customHeight="1">
      <c r="A50" s="280" t="s">
        <v>173</v>
      </c>
      <c r="B50" s="281" t="s">
        <v>174</v>
      </c>
      <c r="C50" s="274">
        <f t="shared" si="18"/>
        <v>500</v>
      </c>
      <c r="D50" s="914">
        <f t="shared" si="19"/>
        <v>1000</v>
      </c>
      <c r="E50" s="918">
        <f t="shared" si="20"/>
        <v>1000</v>
      </c>
      <c r="F50" s="295" t="str">
        <f t="shared" si="22"/>
        <v>--</v>
      </c>
      <c r="G50" s="158">
        <f t="shared" si="23"/>
        <v>0.09</v>
      </c>
      <c r="H50" s="158">
        <f t="shared" si="24"/>
        <v>0.21</v>
      </c>
      <c r="I50" s="168">
        <f t="shared" si="21"/>
        <v>0.42857142857142855</v>
      </c>
      <c r="J50" s="3"/>
      <c r="K50" s="3"/>
      <c r="L50" s="3"/>
      <c r="M50" s="3"/>
      <c r="N50" s="3"/>
      <c r="O50" s="3"/>
      <c r="P50" s="3"/>
    </row>
    <row r="51" spans="1:16" ht="11.25" customHeight="1">
      <c r="A51" s="280" t="s">
        <v>175</v>
      </c>
      <c r="B51" s="281" t="s">
        <v>176</v>
      </c>
      <c r="C51" s="274">
        <f t="shared" si="18"/>
        <v>100</v>
      </c>
      <c r="D51" s="914">
        <f t="shared" si="19"/>
        <v>500</v>
      </c>
      <c r="E51" s="918">
        <f t="shared" si="20"/>
        <v>500</v>
      </c>
      <c r="F51" s="295" t="str">
        <f t="shared" si="22"/>
        <v>--</v>
      </c>
      <c r="G51" s="158">
        <f t="shared" si="23"/>
        <v>53.3</v>
      </c>
      <c r="H51" s="158">
        <f t="shared" si="24"/>
        <v>0.25</v>
      </c>
      <c r="I51" s="168">
        <f t="shared" si="21"/>
        <v>213.2</v>
      </c>
      <c r="J51" s="3"/>
      <c r="K51" s="3"/>
      <c r="L51" s="3"/>
      <c r="M51" s="3"/>
      <c r="N51" s="3"/>
      <c r="O51" s="3"/>
      <c r="P51" s="3"/>
    </row>
    <row r="52" spans="1:16" ht="11.25" customHeight="1">
      <c r="A52" s="280" t="s">
        <v>177</v>
      </c>
      <c r="B52" s="281" t="s">
        <v>178</v>
      </c>
      <c r="C52" s="274">
        <f t="shared" si="18"/>
        <v>500</v>
      </c>
      <c r="D52" s="914">
        <f t="shared" si="19"/>
        <v>1000</v>
      </c>
      <c r="E52" s="918">
        <f t="shared" si="20"/>
        <v>1000</v>
      </c>
      <c r="F52" s="295" t="str">
        <f t="shared" si="22"/>
        <v>--</v>
      </c>
      <c r="G52" s="158">
        <f t="shared" si="23"/>
        <v>34</v>
      </c>
      <c r="H52" s="158">
        <f t="shared" si="24"/>
        <v>1</v>
      </c>
      <c r="I52" s="168">
        <f t="shared" si="21"/>
        <v>34</v>
      </c>
      <c r="J52" s="3"/>
      <c r="K52" s="3"/>
      <c r="L52" s="3"/>
      <c r="M52" s="3"/>
      <c r="N52" s="3"/>
      <c r="O52" s="3"/>
      <c r="P52" s="3"/>
    </row>
    <row r="53" spans="1:16" ht="11.25" customHeight="1">
      <c r="A53" s="280" t="s">
        <v>179</v>
      </c>
      <c r="B53" s="281" t="s">
        <v>180</v>
      </c>
      <c r="C53" s="274">
        <f t="shared" si="18"/>
        <v>500</v>
      </c>
      <c r="D53" s="914">
        <f t="shared" si="19"/>
        <v>1000</v>
      </c>
      <c r="E53" s="918">
        <f t="shared" si="20"/>
        <v>1000</v>
      </c>
      <c r="F53" s="295" t="str">
        <f t="shared" si="22"/>
        <v>--</v>
      </c>
      <c r="G53" s="158">
        <f t="shared" si="23"/>
        <v>5.8900000000000004E-6</v>
      </c>
      <c r="H53" s="158" t="str">
        <f t="shared" si="24"/>
        <v>--</v>
      </c>
      <c r="I53" s="168" t="str">
        <f t="shared" si="21"/>
        <v>--</v>
      </c>
      <c r="J53" s="3"/>
      <c r="K53" s="3"/>
      <c r="L53" s="3"/>
      <c r="M53" s="3"/>
      <c r="N53" s="3"/>
      <c r="O53" s="3"/>
      <c r="P53" s="3"/>
    </row>
    <row r="54" spans="1:16" ht="11.25" customHeight="1">
      <c r="A54" s="280" t="s">
        <v>181</v>
      </c>
      <c r="B54" s="281" t="s">
        <v>182</v>
      </c>
      <c r="C54" s="274">
        <f t="shared" si="18"/>
        <v>500</v>
      </c>
      <c r="D54" s="914">
        <f t="shared" si="19"/>
        <v>1000</v>
      </c>
      <c r="E54" s="918">
        <f t="shared" si="20"/>
        <v>1000</v>
      </c>
      <c r="F54" s="295" t="str">
        <f t="shared" si="22"/>
        <v>--</v>
      </c>
      <c r="G54" s="158">
        <f t="shared" si="23"/>
        <v>2.0999999999999999E-3</v>
      </c>
      <c r="H54" s="158" t="str">
        <f t="shared" si="24"/>
        <v>--</v>
      </c>
      <c r="I54" s="168" t="str">
        <f t="shared" si="21"/>
        <v>--</v>
      </c>
      <c r="J54" s="3"/>
      <c r="K54" s="3"/>
      <c r="L54" s="3"/>
      <c r="M54" s="3"/>
      <c r="N54" s="3"/>
      <c r="O54" s="3"/>
      <c r="P54" s="3"/>
    </row>
    <row r="55" spans="1:16" ht="11.25" customHeight="1">
      <c r="A55" s="280" t="s">
        <v>183</v>
      </c>
      <c r="B55" s="281" t="s">
        <v>184</v>
      </c>
      <c r="C55" s="274">
        <f t="shared" si="18"/>
        <v>100</v>
      </c>
      <c r="D55" s="914">
        <f t="shared" si="19"/>
        <v>500</v>
      </c>
      <c r="E55" s="918">
        <f t="shared" si="20"/>
        <v>500</v>
      </c>
      <c r="F55" s="295" t="str">
        <f t="shared" si="22"/>
        <v>--</v>
      </c>
      <c r="G55" s="158">
        <f t="shared" si="23"/>
        <v>0.10199999999999999</v>
      </c>
      <c r="H55" s="158">
        <f t="shared" si="24"/>
        <v>1.9699999999999999E-4</v>
      </c>
      <c r="I55" s="168">
        <f t="shared" si="21"/>
        <v>517.76649746192891</v>
      </c>
      <c r="J55" s="3"/>
      <c r="K55" s="3"/>
      <c r="L55" s="3"/>
      <c r="M55" s="3"/>
      <c r="N55" s="3"/>
      <c r="O55" s="3"/>
      <c r="P55" s="3"/>
    </row>
    <row r="56" spans="1:16" ht="11.25" customHeight="1">
      <c r="A56" s="280" t="s">
        <v>185</v>
      </c>
      <c r="B56" s="281" t="s">
        <v>186</v>
      </c>
      <c r="C56" s="274">
        <f t="shared" si="18"/>
        <v>500</v>
      </c>
      <c r="D56" s="914">
        <f t="shared" si="19"/>
        <v>1000</v>
      </c>
      <c r="E56" s="918">
        <f t="shared" si="20"/>
        <v>1000</v>
      </c>
      <c r="F56" s="295" t="str">
        <f t="shared" si="22"/>
        <v>--</v>
      </c>
      <c r="G56" s="158">
        <f t="shared" si="23"/>
        <v>3.8999999999999999E-4</v>
      </c>
      <c r="H56" s="158" t="str">
        <f t="shared" si="24"/>
        <v>--</v>
      </c>
      <c r="I56" s="168" t="str">
        <f t="shared" si="21"/>
        <v>--</v>
      </c>
      <c r="J56" s="3"/>
      <c r="K56" s="3"/>
      <c r="L56" s="3"/>
      <c r="M56" s="3"/>
      <c r="N56" s="3"/>
      <c r="O56" s="3"/>
      <c r="P56" s="3"/>
    </row>
    <row r="57" spans="1:16" ht="11.25" customHeight="1">
      <c r="A57" s="280" t="s">
        <v>187</v>
      </c>
      <c r="B57" s="281" t="s">
        <v>188</v>
      </c>
      <c r="C57" s="274">
        <f t="shared" si="18"/>
        <v>500</v>
      </c>
      <c r="D57" s="914">
        <f t="shared" si="19"/>
        <v>1000</v>
      </c>
      <c r="E57" s="918">
        <f t="shared" si="20"/>
        <v>1000</v>
      </c>
      <c r="F57" s="295" t="str">
        <f t="shared" si="22"/>
        <v>--</v>
      </c>
      <c r="G57" s="158">
        <f t="shared" si="23"/>
        <v>1.47E-4</v>
      </c>
      <c r="H57" s="158" t="str">
        <f t="shared" si="24"/>
        <v>--</v>
      </c>
      <c r="I57" s="168" t="str">
        <f t="shared" si="21"/>
        <v>--</v>
      </c>
      <c r="J57" s="3"/>
      <c r="K57" s="3"/>
      <c r="L57" s="3"/>
      <c r="M57" s="3"/>
      <c r="N57" s="3"/>
      <c r="O57" s="3"/>
      <c r="P57" s="3"/>
    </row>
    <row r="58" spans="1:16" ht="11.25" customHeight="1">
      <c r="A58" s="280" t="s">
        <v>189</v>
      </c>
      <c r="B58" s="281" t="s">
        <v>190</v>
      </c>
      <c r="C58" s="274">
        <f t="shared" si="18"/>
        <v>500</v>
      </c>
      <c r="D58" s="914">
        <f t="shared" si="19"/>
        <v>1000</v>
      </c>
      <c r="E58" s="918">
        <f t="shared" si="20"/>
        <v>1000</v>
      </c>
      <c r="F58" s="295" t="str">
        <f t="shared" si="22"/>
        <v>--</v>
      </c>
      <c r="G58" s="158">
        <f t="shared" si="23"/>
        <v>38.090000000000003</v>
      </c>
      <c r="H58" s="158">
        <f t="shared" si="24"/>
        <v>170</v>
      </c>
      <c r="I58" s="168">
        <f t="shared" si="21"/>
        <v>0.22405882352941178</v>
      </c>
      <c r="J58" s="3"/>
      <c r="K58" s="3"/>
      <c r="L58" s="3"/>
      <c r="M58" s="3"/>
      <c r="N58" s="3"/>
      <c r="O58" s="3"/>
      <c r="P58" s="3"/>
    </row>
    <row r="59" spans="1:16" ht="11.25" customHeight="1">
      <c r="A59" s="280" t="s">
        <v>191</v>
      </c>
      <c r="B59" s="281" t="s">
        <v>192</v>
      </c>
      <c r="C59" s="274">
        <f t="shared" si="18"/>
        <v>500</v>
      </c>
      <c r="D59" s="914">
        <f t="shared" si="19"/>
        <v>1000</v>
      </c>
      <c r="E59" s="918">
        <f t="shared" si="20"/>
        <v>1000</v>
      </c>
      <c r="F59" s="295" t="str">
        <f t="shared" si="22"/>
        <v>--</v>
      </c>
      <c r="G59" s="158">
        <f t="shared" si="23"/>
        <v>1.5E-9</v>
      </c>
      <c r="H59" s="158" t="str">
        <f t="shared" si="24"/>
        <v>--</v>
      </c>
      <c r="I59" s="168" t="str">
        <f t="shared" si="21"/>
        <v>--</v>
      </c>
      <c r="J59" s="3"/>
      <c r="K59" s="3"/>
      <c r="L59" s="3"/>
      <c r="M59" s="3"/>
      <c r="N59" s="3"/>
      <c r="O59" s="3"/>
      <c r="P59" s="3"/>
    </row>
    <row r="60" spans="1:16" ht="11.25" customHeight="1">
      <c r="A60" s="280" t="s">
        <v>193</v>
      </c>
      <c r="B60" s="281" t="s">
        <v>194</v>
      </c>
      <c r="C60" s="274">
        <f t="shared" si="18"/>
        <v>500</v>
      </c>
      <c r="D60" s="914">
        <f t="shared" si="19"/>
        <v>1000</v>
      </c>
      <c r="E60" s="918">
        <f t="shared" si="20"/>
        <v>1000</v>
      </c>
      <c r="F60" s="295" t="str">
        <f t="shared" si="22"/>
        <v>--</v>
      </c>
      <c r="G60" s="158">
        <f t="shared" si="23"/>
        <v>1.73E-7</v>
      </c>
      <c r="H60" s="158" t="str">
        <f t="shared" si="24"/>
        <v>--</v>
      </c>
      <c r="I60" s="168" t="str">
        <f t="shared" si="21"/>
        <v>--</v>
      </c>
      <c r="J60" s="3"/>
      <c r="K60" s="3"/>
      <c r="L60" s="3"/>
      <c r="M60" s="3"/>
      <c r="N60" s="3"/>
      <c r="O60" s="3"/>
      <c r="P60" s="3"/>
    </row>
    <row r="61" spans="1:16" ht="11.25" customHeight="1">
      <c r="A61" s="280" t="s">
        <v>195</v>
      </c>
      <c r="B61" s="281" t="s">
        <v>196</v>
      </c>
      <c r="C61" s="274">
        <f t="shared" si="18"/>
        <v>500</v>
      </c>
      <c r="D61" s="914">
        <f t="shared" si="19"/>
        <v>1000</v>
      </c>
      <c r="E61" s="918">
        <f t="shared" si="20"/>
        <v>1000</v>
      </c>
      <c r="F61" s="295" t="str">
        <f t="shared" si="22"/>
        <v>--</v>
      </c>
      <c r="G61" s="158">
        <f t="shared" si="23"/>
        <v>3.0000000000000001E-6</v>
      </c>
      <c r="H61" s="158" t="str">
        <f t="shared" si="24"/>
        <v>--</v>
      </c>
      <c r="I61" s="168" t="str">
        <f t="shared" si="21"/>
        <v>--</v>
      </c>
      <c r="J61" s="3"/>
      <c r="K61" s="3"/>
      <c r="L61" s="3"/>
      <c r="M61" s="3"/>
      <c r="N61" s="3"/>
      <c r="O61" s="3"/>
      <c r="P61" s="3"/>
    </row>
    <row r="62" spans="1:16" ht="11.25" customHeight="1">
      <c r="A62" s="280" t="s">
        <v>197</v>
      </c>
      <c r="B62" s="281" t="s">
        <v>198</v>
      </c>
      <c r="C62" s="274">
        <f t="shared" ref="C62:C93" si="25">IF(F62="Yes","--",IF(I62="--",IF(G62&lt;1,$L$7,$L$6),IF(I62&lt;0.1,$L$8,IF(I62&lt;100,$L$7,$L$6))))</f>
        <v>500</v>
      </c>
      <c r="D62" s="914">
        <f t="shared" ref="D62:D93" si="26">IF(F62="Yes","--",IF(I62="--",IF(G62&lt;1,$M$7,$M$6),IF(I62&lt;0.1,$M$8,IF(I62&lt;100,$M$7,$M$6))))</f>
        <v>1000</v>
      </c>
      <c r="E62" s="918">
        <f t="shared" ref="E62:E93" si="27">IF(F62="Yes","--",IF(I62="--",IF(G62&lt;1,$N$7,$N$6),IF(I62&lt;0.1,$N$8,IF(I62&lt;100,$N$7,$N$6))))</f>
        <v>1000</v>
      </c>
      <c r="F62" s="295" t="str">
        <f t="shared" si="22"/>
        <v>--</v>
      </c>
      <c r="G62" s="158">
        <f t="shared" si="23"/>
        <v>9.6</v>
      </c>
      <c r="H62" s="158">
        <f t="shared" si="24"/>
        <v>0.45</v>
      </c>
      <c r="I62" s="168">
        <f t="shared" ref="I62:I93" si="28">IF(OR(G62="--",H62="--"), "--",G62/H62)</f>
        <v>21.333333333333332</v>
      </c>
      <c r="J62" s="3"/>
      <c r="K62" s="3"/>
      <c r="L62" s="3"/>
      <c r="M62" s="3"/>
      <c r="N62" s="3"/>
      <c r="O62" s="3"/>
      <c r="P62" s="3"/>
    </row>
    <row r="63" spans="1:16" ht="11.25" customHeight="1">
      <c r="A63" s="280" t="s">
        <v>199</v>
      </c>
      <c r="B63" s="281" t="s">
        <v>200</v>
      </c>
      <c r="C63" s="274">
        <f t="shared" si="25"/>
        <v>1000</v>
      </c>
      <c r="D63" s="914">
        <f t="shared" si="26"/>
        <v>2500</v>
      </c>
      <c r="E63" s="918">
        <f t="shared" si="27"/>
        <v>2500</v>
      </c>
      <c r="F63" s="295" t="str">
        <f t="shared" si="22"/>
        <v>--</v>
      </c>
      <c r="G63" s="158">
        <f t="shared" si="23"/>
        <v>4.0000000000000002E-4</v>
      </c>
      <c r="H63" s="158">
        <f t="shared" si="24"/>
        <v>0.02</v>
      </c>
      <c r="I63" s="168">
        <f t="shared" si="28"/>
        <v>0.02</v>
      </c>
      <c r="J63" s="3"/>
      <c r="K63" s="3"/>
      <c r="L63" s="3"/>
      <c r="M63" s="3"/>
      <c r="N63" s="3"/>
      <c r="O63" s="3"/>
      <c r="P63" s="3"/>
    </row>
    <row r="64" spans="1:16" ht="11.25" customHeight="1">
      <c r="A64" s="280" t="s">
        <v>201</v>
      </c>
      <c r="B64" s="281" t="s">
        <v>202</v>
      </c>
      <c r="C64" s="274">
        <f t="shared" si="25"/>
        <v>1000</v>
      </c>
      <c r="D64" s="914">
        <f t="shared" si="26"/>
        <v>2500</v>
      </c>
      <c r="E64" s="918">
        <f t="shared" si="27"/>
        <v>2500</v>
      </c>
      <c r="F64" s="295" t="str">
        <f t="shared" si="22"/>
        <v>--</v>
      </c>
      <c r="G64" s="158">
        <f t="shared" si="23"/>
        <v>1.95E-5</v>
      </c>
      <c r="H64" s="158">
        <f t="shared" si="24"/>
        <v>1.9E-2</v>
      </c>
      <c r="I64" s="168">
        <f t="shared" si="28"/>
        <v>1.0263157894736842E-3</v>
      </c>
      <c r="J64" s="3"/>
      <c r="K64" s="3"/>
      <c r="L64" s="3"/>
      <c r="M64" s="3"/>
      <c r="N64" s="3"/>
      <c r="O64" s="3"/>
      <c r="P64" s="3"/>
    </row>
    <row r="65" spans="1:16" ht="11.25" customHeight="1">
      <c r="A65" s="280" t="s">
        <v>203</v>
      </c>
      <c r="B65" s="281" t="s">
        <v>204</v>
      </c>
      <c r="C65" s="274">
        <f t="shared" si="25"/>
        <v>500</v>
      </c>
      <c r="D65" s="914">
        <f t="shared" si="26"/>
        <v>1000</v>
      </c>
      <c r="E65" s="918">
        <f t="shared" si="27"/>
        <v>1000</v>
      </c>
      <c r="F65" s="295" t="str">
        <f t="shared" si="22"/>
        <v>--</v>
      </c>
      <c r="G65" s="158">
        <f t="shared" si="23"/>
        <v>1.8E-5</v>
      </c>
      <c r="H65" s="158" t="str">
        <f t="shared" si="24"/>
        <v>--</v>
      </c>
      <c r="I65" s="168" t="str">
        <f t="shared" si="28"/>
        <v>--</v>
      </c>
      <c r="J65" s="3"/>
      <c r="K65" s="3"/>
      <c r="L65" s="3"/>
      <c r="M65" s="3"/>
      <c r="N65" s="3"/>
      <c r="O65" s="3"/>
      <c r="P65" s="3"/>
    </row>
    <row r="66" spans="1:16" ht="11.25" customHeight="1">
      <c r="A66" s="280" t="s">
        <v>205</v>
      </c>
      <c r="B66" s="281" t="s">
        <v>206</v>
      </c>
      <c r="C66" s="274">
        <f t="shared" si="25"/>
        <v>500</v>
      </c>
      <c r="D66" s="914">
        <f t="shared" si="26"/>
        <v>1000</v>
      </c>
      <c r="E66" s="918">
        <f t="shared" si="27"/>
        <v>1000</v>
      </c>
      <c r="F66" s="295" t="str">
        <f t="shared" si="22"/>
        <v>--</v>
      </c>
      <c r="G66" s="158">
        <f t="shared" si="23"/>
        <v>0.22</v>
      </c>
      <c r="H66" s="158">
        <f t="shared" si="24"/>
        <v>1.1000000000000001</v>
      </c>
      <c r="I66" s="168">
        <f t="shared" si="28"/>
        <v>0.19999999999999998</v>
      </c>
      <c r="J66" s="3"/>
      <c r="K66" s="3"/>
      <c r="L66" s="3"/>
      <c r="M66" s="3"/>
      <c r="N66" s="3"/>
      <c r="O66" s="3"/>
      <c r="P66" s="3"/>
    </row>
    <row r="67" spans="1:16" ht="11.25" customHeight="1">
      <c r="A67" s="2108" t="s">
        <v>4279</v>
      </c>
      <c r="B67" s="281" t="s">
        <v>208</v>
      </c>
      <c r="C67" s="274">
        <f t="shared" si="25"/>
        <v>500</v>
      </c>
      <c r="D67" s="914">
        <f t="shared" si="26"/>
        <v>1000</v>
      </c>
      <c r="E67" s="918">
        <f t="shared" si="27"/>
        <v>1000</v>
      </c>
      <c r="F67" s="295" t="str">
        <f t="shared" si="22"/>
        <v>--</v>
      </c>
      <c r="G67" s="158">
        <f t="shared" si="23"/>
        <v>4.1999999999999998E-5</v>
      </c>
      <c r="H67" s="158" t="str">
        <f t="shared" si="24"/>
        <v>--</v>
      </c>
      <c r="I67" s="168" t="str">
        <f t="shared" si="28"/>
        <v>--</v>
      </c>
      <c r="J67" s="3"/>
      <c r="K67" s="3"/>
      <c r="L67" s="3"/>
      <c r="M67" s="3"/>
      <c r="N67" s="3"/>
      <c r="O67" s="3"/>
      <c r="P67" s="3"/>
    </row>
    <row r="68" spans="1:16" ht="11.25" customHeight="1">
      <c r="A68" s="280" t="s">
        <v>209</v>
      </c>
      <c r="B68" s="281" t="s">
        <v>210</v>
      </c>
      <c r="C68" s="274">
        <f t="shared" si="25"/>
        <v>500</v>
      </c>
      <c r="D68" s="914">
        <f t="shared" si="26"/>
        <v>1000</v>
      </c>
      <c r="E68" s="918">
        <f t="shared" si="27"/>
        <v>1000</v>
      </c>
      <c r="F68" s="295" t="str">
        <f t="shared" si="22"/>
        <v>--</v>
      </c>
      <c r="G68" s="158">
        <f t="shared" si="23"/>
        <v>0.21</v>
      </c>
      <c r="H68" s="158" t="str">
        <f t="shared" si="24"/>
        <v>--</v>
      </c>
      <c r="I68" s="168" t="str">
        <f t="shared" si="28"/>
        <v>--</v>
      </c>
      <c r="J68" s="3"/>
      <c r="K68" s="3"/>
      <c r="L68" s="3"/>
      <c r="M68" s="3"/>
      <c r="N68" s="3"/>
      <c r="O68" s="3"/>
      <c r="P68" s="3"/>
    </row>
    <row r="69" spans="1:16" ht="11.25" customHeight="1">
      <c r="A69" s="280" t="s">
        <v>211</v>
      </c>
      <c r="B69" s="281" t="s">
        <v>212</v>
      </c>
      <c r="C69" s="274" t="str">
        <f t="shared" si="25"/>
        <v>--</v>
      </c>
      <c r="D69" s="914" t="str">
        <f t="shared" si="26"/>
        <v>--</v>
      </c>
      <c r="E69" s="918" t="str">
        <f t="shared" si="27"/>
        <v>--</v>
      </c>
      <c r="F69" s="295" t="str">
        <f t="shared" ref="F69:F98" si="29">IF(VLOOKUP($A69,Table_IP_1, MATCH("non-odor", heading_IP_1, 0), FALSE)="yes", "yes", "--")</f>
        <v>yes</v>
      </c>
      <c r="G69" s="158" t="str">
        <f t="shared" ref="G69:G98" si="30">VLOOKUP($A69,Table_IP_1, MATCH("vp", heading_IP_1, 0), FALSE)</f>
        <v>--</v>
      </c>
      <c r="H69" s="158" t="str">
        <f t="shared" ref="H69:H98" si="31">VLOOKUP($A69,Table_IP_1, MATCH("50P-ORT-v", heading_IP_1, 0), FALSE)</f>
        <v>--</v>
      </c>
      <c r="I69" s="168" t="str">
        <f t="shared" si="28"/>
        <v>--</v>
      </c>
      <c r="J69" s="3"/>
      <c r="K69" s="3"/>
      <c r="L69" s="3"/>
      <c r="M69" s="3"/>
      <c r="N69" s="3"/>
      <c r="O69" s="3"/>
      <c r="P69" s="3"/>
    </row>
    <row r="70" spans="1:16" ht="11.25" customHeight="1">
      <c r="A70" s="280" t="s">
        <v>213</v>
      </c>
      <c r="B70" s="281" t="s">
        <v>214</v>
      </c>
      <c r="C70" s="274">
        <f t="shared" si="25"/>
        <v>500</v>
      </c>
      <c r="D70" s="914">
        <f t="shared" si="26"/>
        <v>1000</v>
      </c>
      <c r="E70" s="918">
        <f t="shared" si="27"/>
        <v>1000</v>
      </c>
      <c r="F70" s="295" t="str">
        <f t="shared" si="29"/>
        <v>--</v>
      </c>
      <c r="G70" s="158">
        <f t="shared" si="30"/>
        <v>1.9580000000000001E-3</v>
      </c>
      <c r="H70" s="158" t="str">
        <f t="shared" si="31"/>
        <v>--</v>
      </c>
      <c r="I70" s="168" t="str">
        <f t="shared" si="28"/>
        <v>--</v>
      </c>
      <c r="J70" s="3"/>
      <c r="K70" s="3"/>
      <c r="L70" s="3"/>
      <c r="M70" s="3"/>
      <c r="N70" s="3"/>
      <c r="O70" s="3"/>
      <c r="P70" s="3"/>
    </row>
    <row r="71" spans="1:16" ht="11.25" customHeight="1">
      <c r="A71" s="280" t="s">
        <v>215</v>
      </c>
      <c r="B71" s="281" t="s">
        <v>216</v>
      </c>
      <c r="C71" s="274">
        <f t="shared" si="25"/>
        <v>500</v>
      </c>
      <c r="D71" s="914">
        <f t="shared" si="26"/>
        <v>1000</v>
      </c>
      <c r="E71" s="918">
        <f t="shared" si="27"/>
        <v>1000</v>
      </c>
      <c r="F71" s="295" t="str">
        <f t="shared" si="29"/>
        <v>--</v>
      </c>
      <c r="G71" s="158">
        <f t="shared" si="30"/>
        <v>2.5799999999999999E-6</v>
      </c>
      <c r="H71" s="158" t="str">
        <f t="shared" si="31"/>
        <v>--</v>
      </c>
      <c r="I71" s="168" t="str">
        <f t="shared" si="28"/>
        <v>--</v>
      </c>
      <c r="J71" s="3"/>
      <c r="K71" s="3"/>
      <c r="L71" s="3"/>
      <c r="M71" s="3"/>
      <c r="N71" s="3"/>
      <c r="O71" s="3"/>
      <c r="P71" s="3"/>
    </row>
    <row r="72" spans="1:16" ht="11.25" customHeight="1">
      <c r="A72" s="280" t="s">
        <v>217</v>
      </c>
      <c r="B72" s="281" t="s">
        <v>218</v>
      </c>
      <c r="C72" s="274">
        <f t="shared" si="25"/>
        <v>500</v>
      </c>
      <c r="D72" s="914">
        <f t="shared" si="26"/>
        <v>1000</v>
      </c>
      <c r="E72" s="918">
        <f t="shared" si="27"/>
        <v>1000</v>
      </c>
      <c r="F72" s="295" t="str">
        <f t="shared" si="29"/>
        <v>--</v>
      </c>
      <c r="G72" s="158">
        <f t="shared" si="30"/>
        <v>435</v>
      </c>
      <c r="H72" s="158">
        <f t="shared" si="31"/>
        <v>160</v>
      </c>
      <c r="I72" s="168">
        <f t="shared" si="28"/>
        <v>2.71875</v>
      </c>
      <c r="J72" s="3"/>
      <c r="K72" s="3"/>
      <c r="L72" s="3"/>
      <c r="M72" s="3"/>
      <c r="N72" s="3"/>
      <c r="O72" s="3"/>
      <c r="P72" s="3"/>
    </row>
    <row r="73" spans="1:16" ht="11.25" customHeight="1">
      <c r="A73" s="280" t="s">
        <v>219</v>
      </c>
      <c r="B73" s="281" t="s">
        <v>220</v>
      </c>
      <c r="C73" s="274">
        <f t="shared" si="25"/>
        <v>500</v>
      </c>
      <c r="D73" s="914">
        <f t="shared" si="26"/>
        <v>1000</v>
      </c>
      <c r="E73" s="918">
        <f t="shared" si="27"/>
        <v>1000</v>
      </c>
      <c r="F73" s="295" t="str">
        <f t="shared" si="29"/>
        <v>--</v>
      </c>
      <c r="G73" s="158">
        <f t="shared" si="30"/>
        <v>90.6</v>
      </c>
      <c r="H73" s="158">
        <f t="shared" si="31"/>
        <v>11</v>
      </c>
      <c r="I73" s="168">
        <f t="shared" si="28"/>
        <v>8.2363636363636363</v>
      </c>
      <c r="J73" s="3"/>
      <c r="K73" s="3"/>
      <c r="L73" s="3"/>
      <c r="M73" s="3"/>
      <c r="N73" s="3"/>
      <c r="O73" s="3"/>
      <c r="P73" s="3"/>
    </row>
    <row r="74" spans="1:16" ht="11.25" customHeight="1">
      <c r="A74" s="280" t="s">
        <v>221</v>
      </c>
      <c r="B74" s="281" t="s">
        <v>222</v>
      </c>
      <c r="C74" s="274">
        <f t="shared" si="25"/>
        <v>100</v>
      </c>
      <c r="D74" s="914">
        <f t="shared" si="26"/>
        <v>500</v>
      </c>
      <c r="E74" s="918">
        <f t="shared" si="27"/>
        <v>500</v>
      </c>
      <c r="F74" s="295" t="str">
        <f t="shared" si="29"/>
        <v>--</v>
      </c>
      <c r="G74" s="158">
        <f t="shared" si="30"/>
        <v>19.86</v>
      </c>
      <c r="H74" s="158">
        <f t="shared" si="31"/>
        <v>0.1</v>
      </c>
      <c r="I74" s="168">
        <f t="shared" si="28"/>
        <v>198.6</v>
      </c>
      <c r="J74" s="3"/>
      <c r="K74" s="3"/>
      <c r="L74" s="3"/>
      <c r="M74" s="3"/>
      <c r="N74" s="3"/>
      <c r="O74" s="3"/>
      <c r="P74" s="3"/>
    </row>
    <row r="75" spans="1:16" ht="11.25" customHeight="1">
      <c r="A75" s="280" t="s">
        <v>223</v>
      </c>
      <c r="B75" s="281" t="s">
        <v>224</v>
      </c>
      <c r="C75" s="274">
        <f t="shared" si="25"/>
        <v>100</v>
      </c>
      <c r="D75" s="914">
        <f t="shared" si="26"/>
        <v>500</v>
      </c>
      <c r="E75" s="918">
        <f t="shared" si="27"/>
        <v>500</v>
      </c>
      <c r="F75" s="295" t="str">
        <f t="shared" si="29"/>
        <v>--</v>
      </c>
      <c r="G75" s="158" t="str">
        <f t="shared" si="30"/>
        <v>--</v>
      </c>
      <c r="H75" s="158" t="str">
        <f t="shared" si="31"/>
        <v>--</v>
      </c>
      <c r="I75" s="168" t="str">
        <f t="shared" si="28"/>
        <v>--</v>
      </c>
      <c r="J75" s="3"/>
      <c r="K75" s="3"/>
      <c r="L75" s="3"/>
      <c r="M75" s="3"/>
      <c r="N75" s="3"/>
      <c r="O75" s="3"/>
      <c r="P75" s="3"/>
    </row>
    <row r="76" spans="1:16" ht="11.25" customHeight="1">
      <c r="A76" s="280" t="s">
        <v>225</v>
      </c>
      <c r="B76" s="281" t="s">
        <v>226</v>
      </c>
      <c r="C76" s="274">
        <f t="shared" si="25"/>
        <v>500</v>
      </c>
      <c r="D76" s="914">
        <f t="shared" si="26"/>
        <v>1000</v>
      </c>
      <c r="E76" s="918">
        <f t="shared" si="27"/>
        <v>1000</v>
      </c>
      <c r="F76" s="295" t="str">
        <f t="shared" si="29"/>
        <v>--</v>
      </c>
      <c r="G76" s="158">
        <f t="shared" si="30"/>
        <v>5.5E-2</v>
      </c>
      <c r="H76" s="158">
        <f t="shared" si="31"/>
        <v>1.15E-2</v>
      </c>
      <c r="I76" s="168">
        <f t="shared" si="28"/>
        <v>4.7826086956521738</v>
      </c>
      <c r="J76" s="3"/>
      <c r="K76" s="3"/>
      <c r="L76" s="3"/>
      <c r="M76" s="3"/>
      <c r="N76" s="3"/>
      <c r="O76" s="3"/>
      <c r="P76" s="3"/>
    </row>
    <row r="77" spans="1:16" ht="11.25" customHeight="1">
      <c r="A77" s="280" t="s">
        <v>227</v>
      </c>
      <c r="B77" s="281" t="s">
        <v>228</v>
      </c>
      <c r="C77" s="274">
        <f t="shared" si="25"/>
        <v>100</v>
      </c>
      <c r="D77" s="914">
        <f t="shared" si="26"/>
        <v>500</v>
      </c>
      <c r="E77" s="918">
        <f t="shared" si="27"/>
        <v>500</v>
      </c>
      <c r="F77" s="295" t="str">
        <f t="shared" si="29"/>
        <v>--</v>
      </c>
      <c r="G77" s="158">
        <f t="shared" si="30"/>
        <v>250</v>
      </c>
      <c r="H77" s="158">
        <f t="shared" si="31"/>
        <v>0.13</v>
      </c>
      <c r="I77" s="168">
        <f t="shared" si="28"/>
        <v>1923.0769230769231</v>
      </c>
      <c r="J77" s="3"/>
      <c r="K77" s="3"/>
      <c r="L77" s="3"/>
      <c r="M77" s="3"/>
      <c r="N77" s="3"/>
      <c r="O77" s="3"/>
      <c r="P77" s="3"/>
    </row>
    <row r="78" spans="1:16" ht="11.25" customHeight="1">
      <c r="A78" s="280" t="s">
        <v>229</v>
      </c>
      <c r="B78" s="281" t="s">
        <v>230</v>
      </c>
      <c r="C78" s="274" t="str">
        <f t="shared" si="25"/>
        <v>--</v>
      </c>
      <c r="D78" s="914" t="str">
        <f t="shared" si="26"/>
        <v>--</v>
      </c>
      <c r="E78" s="918" t="str">
        <f t="shared" si="27"/>
        <v>--</v>
      </c>
      <c r="F78" s="295" t="str">
        <f t="shared" si="29"/>
        <v>yes</v>
      </c>
      <c r="G78" s="158" t="str">
        <f t="shared" si="30"/>
        <v>--</v>
      </c>
      <c r="H78" s="158" t="str">
        <f t="shared" si="31"/>
        <v>--</v>
      </c>
      <c r="I78" s="168" t="str">
        <f t="shared" si="28"/>
        <v>--</v>
      </c>
      <c r="J78" s="3"/>
      <c r="K78" s="3"/>
      <c r="L78" s="3"/>
      <c r="M78" s="3"/>
      <c r="N78" s="3"/>
      <c r="O78" s="3"/>
      <c r="P78" s="3"/>
    </row>
    <row r="79" spans="1:16" ht="11.25" customHeight="1">
      <c r="A79" s="280" t="s">
        <v>231</v>
      </c>
      <c r="B79" s="281" t="s">
        <v>232</v>
      </c>
      <c r="C79" s="274" t="str">
        <f t="shared" si="25"/>
        <v>--</v>
      </c>
      <c r="D79" s="914" t="str">
        <f t="shared" si="26"/>
        <v>--</v>
      </c>
      <c r="E79" s="918" t="str">
        <f t="shared" si="27"/>
        <v>--</v>
      </c>
      <c r="F79" s="295" t="str">
        <f t="shared" si="29"/>
        <v>yes</v>
      </c>
      <c r="G79" s="158" t="str">
        <f t="shared" si="30"/>
        <v>--</v>
      </c>
      <c r="H79" s="158" t="str">
        <f t="shared" si="31"/>
        <v>--</v>
      </c>
      <c r="I79" s="168" t="str">
        <f t="shared" si="28"/>
        <v>--</v>
      </c>
      <c r="J79" s="3"/>
      <c r="K79" s="3"/>
      <c r="L79" s="3"/>
      <c r="M79" s="3"/>
      <c r="N79" s="3"/>
      <c r="O79" s="3"/>
      <c r="P79" s="3"/>
    </row>
    <row r="80" spans="1:16" ht="11.25" customHeight="1">
      <c r="A80" s="280" t="s">
        <v>233</v>
      </c>
      <c r="B80" s="281" t="s">
        <v>234</v>
      </c>
      <c r="C80" s="274">
        <f t="shared" si="25"/>
        <v>1000</v>
      </c>
      <c r="D80" s="914">
        <f t="shared" si="26"/>
        <v>2500</v>
      </c>
      <c r="E80" s="918">
        <f t="shared" si="27"/>
        <v>2500</v>
      </c>
      <c r="F80" s="295" t="str">
        <f t="shared" si="29"/>
        <v>--</v>
      </c>
      <c r="G80" s="158">
        <f t="shared" si="30"/>
        <v>2.15E-3</v>
      </c>
      <c r="H80" s="158">
        <f t="shared" si="31"/>
        <v>0.08</v>
      </c>
      <c r="I80" s="168">
        <f t="shared" si="28"/>
        <v>2.6875E-2</v>
      </c>
      <c r="J80" s="3"/>
      <c r="K80" s="3"/>
      <c r="L80" s="3"/>
      <c r="M80" s="3"/>
      <c r="N80" s="3"/>
      <c r="O80" s="3"/>
      <c r="P80" s="3"/>
    </row>
    <row r="81" spans="1:16" ht="11.25" customHeight="1">
      <c r="A81" s="280" t="s">
        <v>235</v>
      </c>
      <c r="B81" s="281" t="s">
        <v>236</v>
      </c>
      <c r="C81" s="274">
        <f t="shared" si="25"/>
        <v>500</v>
      </c>
      <c r="D81" s="914">
        <f t="shared" si="26"/>
        <v>1000</v>
      </c>
      <c r="E81" s="918">
        <f t="shared" si="27"/>
        <v>1000</v>
      </c>
      <c r="F81" s="295" t="str">
        <f t="shared" si="29"/>
        <v>--</v>
      </c>
      <c r="G81" s="158">
        <f t="shared" si="30"/>
        <v>6.5300000000000002E-6</v>
      </c>
      <c r="H81" s="158" t="str">
        <f t="shared" si="31"/>
        <v>--</v>
      </c>
      <c r="I81" s="168" t="str">
        <f t="shared" si="28"/>
        <v>--</v>
      </c>
      <c r="J81" s="3"/>
      <c r="K81" s="3"/>
      <c r="L81" s="3"/>
      <c r="M81" s="3"/>
      <c r="N81" s="3"/>
      <c r="O81" s="3"/>
      <c r="P81" s="3"/>
    </row>
    <row r="82" spans="1:16" ht="11.25" customHeight="1">
      <c r="A82" s="280" t="s">
        <v>237</v>
      </c>
      <c r="B82" s="281" t="s">
        <v>238</v>
      </c>
      <c r="C82" s="274">
        <f t="shared" si="25"/>
        <v>500</v>
      </c>
      <c r="D82" s="914">
        <f t="shared" si="26"/>
        <v>1000</v>
      </c>
      <c r="E82" s="918">
        <f t="shared" si="27"/>
        <v>1000</v>
      </c>
      <c r="F82" s="295" t="str">
        <f t="shared" si="29"/>
        <v>--</v>
      </c>
      <c r="G82" s="158">
        <f t="shared" si="30"/>
        <v>2.1E-7</v>
      </c>
      <c r="H82" s="158" t="str">
        <f t="shared" si="31"/>
        <v>--</v>
      </c>
      <c r="I82" s="168" t="str">
        <f t="shared" si="28"/>
        <v>--</v>
      </c>
      <c r="J82" s="3"/>
      <c r="K82" s="3"/>
      <c r="L82" s="3"/>
      <c r="M82" s="3"/>
      <c r="N82" s="3"/>
      <c r="O82" s="3"/>
      <c r="P82" s="3"/>
    </row>
    <row r="83" spans="1:16" ht="11.25" customHeight="1">
      <c r="A83" s="280" t="s">
        <v>239</v>
      </c>
      <c r="B83" s="281" t="s">
        <v>240</v>
      </c>
      <c r="C83" s="274">
        <f t="shared" si="25"/>
        <v>500</v>
      </c>
      <c r="D83" s="914">
        <f t="shared" si="26"/>
        <v>1000</v>
      </c>
      <c r="E83" s="918">
        <f t="shared" si="27"/>
        <v>1000</v>
      </c>
      <c r="F83" s="295" t="str">
        <f t="shared" si="29"/>
        <v>--</v>
      </c>
      <c r="G83" s="158">
        <f t="shared" si="30"/>
        <v>5.4899999999999999E-9</v>
      </c>
      <c r="H83" s="158" t="str">
        <f t="shared" si="31"/>
        <v>--</v>
      </c>
      <c r="I83" s="168" t="str">
        <f t="shared" si="28"/>
        <v>--</v>
      </c>
      <c r="J83" s="3"/>
      <c r="K83" s="3"/>
      <c r="L83" s="3"/>
      <c r="M83" s="3"/>
      <c r="N83" s="3"/>
      <c r="O83" s="3"/>
      <c r="P83" s="3"/>
    </row>
    <row r="84" spans="1:16" ht="11.25" customHeight="1">
      <c r="A84" s="280" t="s">
        <v>241</v>
      </c>
      <c r="B84" s="281" t="s">
        <v>242</v>
      </c>
      <c r="C84" s="274">
        <f t="shared" si="25"/>
        <v>500</v>
      </c>
      <c r="D84" s="914">
        <f t="shared" si="26"/>
        <v>1000</v>
      </c>
      <c r="E84" s="918">
        <f t="shared" si="27"/>
        <v>1000</v>
      </c>
      <c r="F84" s="295" t="str">
        <f t="shared" si="29"/>
        <v>--</v>
      </c>
      <c r="G84" s="158">
        <f t="shared" si="30"/>
        <v>4.9999999999999998E-7</v>
      </c>
      <c r="H84" s="158" t="str">
        <f t="shared" si="31"/>
        <v>--</v>
      </c>
      <c r="I84" s="168" t="str">
        <f t="shared" si="28"/>
        <v>--</v>
      </c>
      <c r="J84" s="3"/>
      <c r="K84" s="3"/>
      <c r="L84" s="3"/>
      <c r="M84" s="3"/>
      <c r="N84" s="3"/>
      <c r="O84" s="3"/>
      <c r="P84" s="3"/>
    </row>
    <row r="85" spans="1:16" ht="11.25" customHeight="1">
      <c r="A85" s="280" t="s">
        <v>243</v>
      </c>
      <c r="B85" s="281" t="s">
        <v>244</v>
      </c>
      <c r="C85" s="274">
        <f t="shared" si="25"/>
        <v>500</v>
      </c>
      <c r="D85" s="914">
        <f t="shared" si="26"/>
        <v>1000</v>
      </c>
      <c r="E85" s="918">
        <f t="shared" si="27"/>
        <v>1000</v>
      </c>
      <c r="F85" s="295" t="str">
        <f t="shared" si="29"/>
        <v>--</v>
      </c>
      <c r="G85" s="158">
        <f t="shared" si="30"/>
        <v>9.6500000000000008E-10</v>
      </c>
      <c r="H85" s="158" t="str">
        <f t="shared" si="31"/>
        <v>--</v>
      </c>
      <c r="I85" s="168" t="str">
        <f t="shared" si="28"/>
        <v>--</v>
      </c>
      <c r="J85" s="3"/>
      <c r="K85" s="3"/>
      <c r="L85" s="3"/>
      <c r="M85" s="3"/>
      <c r="N85" s="3"/>
      <c r="O85" s="3"/>
      <c r="P85" s="3"/>
    </row>
    <row r="86" spans="1:16" ht="11.25" customHeight="1">
      <c r="A86" s="280" t="s">
        <v>245</v>
      </c>
      <c r="B86" s="281" t="s">
        <v>246</v>
      </c>
      <c r="C86" s="274">
        <f t="shared" si="25"/>
        <v>500</v>
      </c>
      <c r="D86" s="914">
        <f t="shared" si="26"/>
        <v>1000</v>
      </c>
      <c r="E86" s="918">
        <f t="shared" si="27"/>
        <v>1000</v>
      </c>
      <c r="F86" s="295" t="str">
        <f t="shared" si="29"/>
        <v>--</v>
      </c>
      <c r="G86" s="158">
        <f t="shared" si="30"/>
        <v>6.2300000000000002E-9</v>
      </c>
      <c r="H86" s="158" t="str">
        <f t="shared" si="31"/>
        <v>--</v>
      </c>
      <c r="I86" s="168" t="str">
        <f t="shared" si="28"/>
        <v>--</v>
      </c>
      <c r="J86" s="3"/>
      <c r="K86" s="3"/>
      <c r="L86" s="3"/>
      <c r="M86" s="3"/>
      <c r="N86" s="3"/>
      <c r="O86" s="3"/>
      <c r="P86" s="3"/>
    </row>
    <row r="87" spans="1:16" ht="11.25" customHeight="1">
      <c r="A87" s="280" t="s">
        <v>247</v>
      </c>
      <c r="B87" s="281" t="s">
        <v>248</v>
      </c>
      <c r="C87" s="274">
        <f t="shared" si="25"/>
        <v>500</v>
      </c>
      <c r="D87" s="914">
        <f t="shared" si="26"/>
        <v>1000</v>
      </c>
      <c r="E87" s="918">
        <f t="shared" si="27"/>
        <v>1000</v>
      </c>
      <c r="F87" s="295" t="str">
        <f t="shared" si="29"/>
        <v>--</v>
      </c>
      <c r="G87" s="158">
        <f t="shared" si="30"/>
        <v>9.5499999999999991E-10</v>
      </c>
      <c r="H87" s="158" t="str">
        <f t="shared" si="31"/>
        <v>--</v>
      </c>
      <c r="I87" s="168" t="str">
        <f t="shared" si="28"/>
        <v>--</v>
      </c>
      <c r="J87" s="3"/>
      <c r="K87" s="3"/>
      <c r="L87" s="3"/>
      <c r="M87" s="3"/>
      <c r="N87" s="3"/>
      <c r="O87" s="3"/>
      <c r="P87" s="3"/>
    </row>
    <row r="88" spans="1:16" ht="11.25" customHeight="1">
      <c r="A88" s="280" t="s">
        <v>249</v>
      </c>
      <c r="B88" s="281" t="s">
        <v>250</v>
      </c>
      <c r="C88" s="274">
        <f t="shared" si="25"/>
        <v>500</v>
      </c>
      <c r="D88" s="914">
        <f t="shared" si="26"/>
        <v>1000</v>
      </c>
      <c r="E88" s="918">
        <f t="shared" si="27"/>
        <v>1000</v>
      </c>
      <c r="F88" s="295" t="str">
        <f t="shared" si="29"/>
        <v>--</v>
      </c>
      <c r="G88" s="158">
        <f t="shared" si="30"/>
        <v>9.2199999999999998E-6</v>
      </c>
      <c r="H88" s="158" t="str">
        <f t="shared" si="31"/>
        <v>--</v>
      </c>
      <c r="I88" s="168" t="str">
        <f t="shared" si="28"/>
        <v>--</v>
      </c>
      <c r="J88" s="3"/>
      <c r="K88" s="3"/>
      <c r="L88" s="3"/>
      <c r="M88" s="3"/>
      <c r="N88" s="3"/>
      <c r="O88" s="3"/>
      <c r="P88" s="3"/>
    </row>
    <row r="89" spans="1:16" ht="11.25" customHeight="1">
      <c r="A89" s="280" t="s">
        <v>251</v>
      </c>
      <c r="B89" s="281" t="s">
        <v>252</v>
      </c>
      <c r="C89" s="274">
        <f t="shared" si="25"/>
        <v>500</v>
      </c>
      <c r="D89" s="914">
        <f t="shared" si="26"/>
        <v>1000</v>
      </c>
      <c r="E89" s="918">
        <f t="shared" si="27"/>
        <v>1000</v>
      </c>
      <c r="F89" s="295" t="str">
        <f t="shared" si="29"/>
        <v>--</v>
      </c>
      <c r="G89" s="158">
        <f t="shared" si="30"/>
        <v>5.9999999999999995E-4</v>
      </c>
      <c r="H89" s="158" t="str">
        <f t="shared" si="31"/>
        <v>--</v>
      </c>
      <c r="I89" s="168" t="str">
        <f t="shared" si="28"/>
        <v>--</v>
      </c>
      <c r="J89" s="3"/>
      <c r="K89" s="3"/>
      <c r="L89" s="3"/>
      <c r="M89" s="3"/>
      <c r="N89" s="3"/>
      <c r="O89" s="3"/>
      <c r="P89" s="3"/>
    </row>
    <row r="90" spans="1:16" ht="11.25" customHeight="1">
      <c r="A90" s="280" t="s">
        <v>253</v>
      </c>
      <c r="B90" s="281" t="s">
        <v>254</v>
      </c>
      <c r="C90" s="274">
        <f t="shared" si="25"/>
        <v>500</v>
      </c>
      <c r="D90" s="914">
        <f t="shared" si="26"/>
        <v>1000</v>
      </c>
      <c r="E90" s="918">
        <f t="shared" si="27"/>
        <v>1000</v>
      </c>
      <c r="F90" s="295" t="str">
        <f t="shared" si="29"/>
        <v>--</v>
      </c>
      <c r="G90" s="158">
        <f t="shared" si="30"/>
        <v>1.2500000000000001E-10</v>
      </c>
      <c r="H90" s="158" t="str">
        <f t="shared" si="31"/>
        <v>--</v>
      </c>
      <c r="I90" s="168" t="str">
        <f t="shared" si="28"/>
        <v>--</v>
      </c>
      <c r="J90" s="3"/>
      <c r="K90" s="3"/>
      <c r="L90" s="3"/>
      <c r="M90" s="3"/>
      <c r="N90" s="3"/>
      <c r="O90" s="3"/>
      <c r="P90" s="3"/>
    </row>
    <row r="91" spans="1:16" ht="11.25" customHeight="1">
      <c r="A91" s="280" t="s">
        <v>255</v>
      </c>
      <c r="B91" s="281" t="s">
        <v>256</v>
      </c>
      <c r="C91" s="274">
        <f t="shared" si="25"/>
        <v>500</v>
      </c>
      <c r="D91" s="914">
        <f t="shared" si="26"/>
        <v>1000</v>
      </c>
      <c r="E91" s="918">
        <f t="shared" si="27"/>
        <v>1000</v>
      </c>
      <c r="F91" s="295" t="str">
        <f t="shared" si="29"/>
        <v>--</v>
      </c>
      <c r="G91" s="158">
        <f t="shared" si="30"/>
        <v>8.5000000000000006E-2</v>
      </c>
      <c r="H91" s="158">
        <f t="shared" si="31"/>
        <v>8.4000000000000005E-2</v>
      </c>
      <c r="I91" s="168">
        <f t="shared" si="28"/>
        <v>1.0119047619047619</v>
      </c>
      <c r="J91" s="3"/>
      <c r="K91" s="3"/>
      <c r="L91" s="3"/>
      <c r="M91" s="3"/>
      <c r="N91" s="3"/>
      <c r="O91" s="3"/>
      <c r="P91" s="3"/>
    </row>
    <row r="92" spans="1:16" ht="11.25" customHeight="1">
      <c r="A92" s="280" t="s">
        <v>257</v>
      </c>
      <c r="B92" s="281" t="s">
        <v>258</v>
      </c>
      <c r="C92" s="274">
        <f t="shared" si="25"/>
        <v>500</v>
      </c>
      <c r="D92" s="914">
        <f t="shared" si="26"/>
        <v>1000</v>
      </c>
      <c r="E92" s="918">
        <f t="shared" si="27"/>
        <v>1000</v>
      </c>
      <c r="F92" s="295" t="str">
        <f t="shared" si="29"/>
        <v>--</v>
      </c>
      <c r="G92" s="158">
        <f t="shared" si="30"/>
        <v>4.5000000000000001E-6</v>
      </c>
      <c r="H92" s="158" t="str">
        <f t="shared" si="31"/>
        <v>--</v>
      </c>
      <c r="I92" s="168" t="str">
        <f t="shared" si="28"/>
        <v>--</v>
      </c>
      <c r="J92" s="3"/>
      <c r="K92" s="3"/>
      <c r="L92" s="3"/>
      <c r="M92" s="3"/>
      <c r="N92" s="3"/>
      <c r="O92" s="3"/>
      <c r="P92" s="3"/>
    </row>
    <row r="93" spans="1:16" ht="11.25" customHeight="1">
      <c r="A93" s="280" t="s">
        <v>259</v>
      </c>
      <c r="B93" s="281" t="s">
        <v>260</v>
      </c>
      <c r="C93" s="274">
        <f t="shared" si="25"/>
        <v>500</v>
      </c>
      <c r="D93" s="914">
        <f t="shared" si="26"/>
        <v>1000</v>
      </c>
      <c r="E93" s="918">
        <f t="shared" si="27"/>
        <v>1000</v>
      </c>
      <c r="F93" s="295" t="str">
        <f t="shared" si="29"/>
        <v>--</v>
      </c>
      <c r="G93" s="158">
        <f t="shared" si="30"/>
        <v>1.1E-4</v>
      </c>
      <c r="H93" s="158" t="str">
        <f t="shared" si="31"/>
        <v>--</v>
      </c>
      <c r="I93" s="168" t="str">
        <f t="shared" si="28"/>
        <v>--</v>
      </c>
      <c r="J93" s="3"/>
      <c r="K93" s="3"/>
      <c r="L93" s="3"/>
      <c r="M93" s="3"/>
      <c r="N93" s="3"/>
      <c r="O93" s="3"/>
      <c r="P93" s="3"/>
    </row>
    <row r="94" spans="1:16" ht="11.25" customHeight="1">
      <c r="A94" s="280" t="s">
        <v>261</v>
      </c>
      <c r="B94" s="281" t="s">
        <v>1261</v>
      </c>
      <c r="C94" s="274" t="str">
        <f>IF(F94="Yes","--",IF(I94="--",IF(G94&lt;1,$L$7,$L$6),IF(I94&lt;0.1,$L$8,IF(I94&lt;100,$L$7,$L$6))))</f>
        <v>--</v>
      </c>
      <c r="D94" s="914" t="str">
        <f>IF(F94="Yes","--",IF(I94="--",IF(G94&lt;1,$M$7,$M$6),IF(I94&lt;0.1,$M$8,IF(I94&lt;100,$M$7,$M$6))))</f>
        <v>--</v>
      </c>
      <c r="E94" s="918" t="str">
        <f>IF(F94="Yes","--",IF(I94="--",IF(G94&lt;1,$N$7,$N$6),IF(I94&lt;0.1,$N$8,IF(I94&lt;100,$N$7,$N$6))))</f>
        <v>--</v>
      </c>
      <c r="F94" s="295" t="str">
        <f t="shared" si="29"/>
        <v>yes</v>
      </c>
      <c r="G94" s="158" t="str">
        <f t="shared" si="30"/>
        <v>--</v>
      </c>
      <c r="H94" s="158" t="str">
        <f t="shared" si="31"/>
        <v>--</v>
      </c>
      <c r="I94" s="168" t="str">
        <f t="shared" ref="I94:I97" si="32">IF(OR(G94="--",H94="--"), "--",G94/H94)</f>
        <v>--</v>
      </c>
      <c r="J94" s="3"/>
      <c r="K94" s="3"/>
      <c r="L94" s="3"/>
      <c r="M94" s="3"/>
      <c r="N94" s="3"/>
      <c r="O94" s="3"/>
      <c r="P94" s="3"/>
    </row>
    <row r="95" spans="1:16" ht="11.25" customHeight="1">
      <c r="A95" s="280" t="s">
        <v>263</v>
      </c>
      <c r="B95" s="281" t="s">
        <v>115</v>
      </c>
      <c r="C95" s="274">
        <f>IF(F95="Yes","--",IF(I95="--",IF(G95&lt;1,$L$7,$L$6),IF(I95&lt;0.1,$L$8,IF(I95&lt;100,$L$7,$L$6))))</f>
        <v>100</v>
      </c>
      <c r="D95" s="914">
        <f>IF(F95="Yes","--",IF(I95="--",IF(G95&lt;1,$M$7,$M$6),IF(I95&lt;0.1,$M$8,IF(I95&lt;100,$M$7,$M$6))))</f>
        <v>500</v>
      </c>
      <c r="E95" s="918">
        <f>IF(F95="Yes","--",IF(I95="--",IF(G95&lt;1,$N$7,$N$6),IF(I95&lt;0.1,$N$8,IF(I95&lt;100,$N$7,$N$6))))</f>
        <v>500</v>
      </c>
      <c r="F95" s="295" t="str">
        <f t="shared" si="29"/>
        <v>--</v>
      </c>
      <c r="G95" s="158">
        <f t="shared" si="30"/>
        <v>300</v>
      </c>
      <c r="H95" s="158">
        <f t="shared" si="31"/>
        <v>2.1999999999999999E-2</v>
      </c>
      <c r="I95" s="168">
        <f t="shared" si="32"/>
        <v>13636.363636363638</v>
      </c>
      <c r="J95" s="3"/>
      <c r="K95" s="3"/>
      <c r="L95" s="3"/>
      <c r="M95" s="3"/>
      <c r="N95" s="3"/>
      <c r="O95" s="3"/>
      <c r="P95" s="3"/>
    </row>
    <row r="96" spans="1:16" ht="11.25" customHeight="1">
      <c r="A96" s="280" t="s">
        <v>264</v>
      </c>
      <c r="B96" s="281" t="s">
        <v>115</v>
      </c>
      <c r="C96" s="274">
        <f>IF(F96="Yes","--",IF(I96="--",IF(G96&lt;1,$L$7,$L$6),IF(I96&lt;0.1,$L$8,IF(I96&lt;100,$L$7,$L$6))))</f>
        <v>100</v>
      </c>
      <c r="D96" s="914">
        <f>IF(F96="Yes","--",IF(I96="--",IF(G96&lt;1,$M$7,$M$6),IF(I96&lt;0.1,$M$8,IF(I96&lt;100,$M$7,$M$6))))</f>
        <v>500</v>
      </c>
      <c r="E96" s="918">
        <f>IF(F96="Yes","--",IF(I96="--",IF(G96&lt;1,$N$7,$N$6),IF(I96&lt;0.1,$N$8,IF(I96&lt;100,$N$7,$N$6))))</f>
        <v>500</v>
      </c>
      <c r="F96" s="295" t="str">
        <f t="shared" si="29"/>
        <v>--</v>
      </c>
      <c r="G96" s="158">
        <f t="shared" si="30"/>
        <v>3</v>
      </c>
      <c r="H96" s="158">
        <f t="shared" si="31"/>
        <v>1.41E-2</v>
      </c>
      <c r="I96" s="168">
        <f t="shared" si="32"/>
        <v>212.76595744680853</v>
      </c>
      <c r="J96" s="3"/>
      <c r="K96" s="3"/>
      <c r="L96" s="3"/>
      <c r="M96" s="3"/>
      <c r="N96" s="3"/>
      <c r="O96" s="3"/>
      <c r="P96" s="3"/>
    </row>
    <row r="97" spans="1:16" ht="11.25" customHeight="1">
      <c r="A97" s="280" t="s">
        <v>265</v>
      </c>
      <c r="B97" s="281" t="s">
        <v>115</v>
      </c>
      <c r="C97" s="274">
        <f>IF(F97="Yes","--",IF(I97="--",IF(G97&lt;1,$L$7,$L$6),IF(I97&lt;0.1,$L$8,IF(I97&lt;100,$L$7,$L$6))))</f>
        <v>100</v>
      </c>
      <c r="D97" s="914">
        <f>IF(F97="Yes","--",IF(I97="--",IF(G97&lt;1,$M$7,$M$6),IF(I97&lt;0.1,$M$8,IF(I97&lt;100,$M$7,$M$6))))</f>
        <v>500</v>
      </c>
      <c r="E97" s="918">
        <f>IF(F97="Yes","--",IF(I97="--",IF(G97&lt;1,$N$7,$N$6),IF(I97&lt;0.1,$N$8,IF(I97&lt;100,$N$7,$N$6))))</f>
        <v>500</v>
      </c>
      <c r="F97" s="295" t="str">
        <f t="shared" si="29"/>
        <v>--</v>
      </c>
      <c r="G97" s="158">
        <f t="shared" si="30"/>
        <v>7.5</v>
      </c>
      <c r="H97" s="158">
        <f t="shared" si="31"/>
        <v>1.41E-2</v>
      </c>
      <c r="I97" s="168">
        <f t="shared" si="32"/>
        <v>531.91489361702133</v>
      </c>
      <c r="J97" s="3"/>
      <c r="K97" s="3"/>
      <c r="L97" s="3"/>
      <c r="M97" s="3"/>
      <c r="N97" s="3"/>
      <c r="O97" s="3"/>
      <c r="P97" s="3"/>
    </row>
    <row r="98" spans="1:16" ht="11.25" customHeight="1">
      <c r="A98" s="280" t="s">
        <v>266</v>
      </c>
      <c r="B98" s="281" t="s">
        <v>115</v>
      </c>
      <c r="C98" s="274">
        <f>IF(F98="Yes","--",IF(I98="--",IF(G98&lt;1,$L$7,$L$6),IF(I98&lt;0.1,$L$8,IF(I98&lt;100,$L$7,$L$6))))</f>
        <v>500</v>
      </c>
      <c r="D98" s="914">
        <f>IF(F98="Yes","--",IF(I98="--",IF(G98&lt;1,$M$7,$M$6),IF(I98&lt;0.1,$M$8,IF(I98&lt;100,$M$7,$M$6))))</f>
        <v>1000</v>
      </c>
      <c r="E98" s="918">
        <f>IF(F98="Yes","--",IF(I98="--",IF(G98&lt;1,$N$7,$N$6),IF(I98&lt;0.1,$N$8,IF(I98&lt;100,$N$7,$N$6))))</f>
        <v>1000</v>
      </c>
      <c r="F98" s="295" t="str">
        <f t="shared" si="29"/>
        <v>--</v>
      </c>
      <c r="G98" s="158">
        <f t="shared" si="30"/>
        <v>0.5</v>
      </c>
      <c r="H98" s="158">
        <f t="shared" si="31"/>
        <v>1.41E-2</v>
      </c>
      <c r="I98" s="168">
        <f t="shared" ref="I98:I105" si="33">IF(OR(G98="--",H98="--"), "--",G98/H98)</f>
        <v>35.460992907801419</v>
      </c>
      <c r="J98" s="3"/>
      <c r="K98" s="3"/>
    </row>
    <row r="99" spans="1:16" ht="11.25" customHeight="1">
      <c r="A99" s="1381" t="s">
        <v>267</v>
      </c>
      <c r="B99" s="362" t="s">
        <v>115</v>
      </c>
      <c r="C99" s="357" t="s">
        <v>115</v>
      </c>
      <c r="D99" s="353" t="s">
        <v>115</v>
      </c>
      <c r="E99" s="920" t="s">
        <v>115</v>
      </c>
      <c r="F99" s="921"/>
      <c r="G99" s="347"/>
      <c r="H99" s="347"/>
      <c r="I99" s="356"/>
      <c r="J99" s="3"/>
      <c r="K99" s="3"/>
      <c r="L99" s="3"/>
      <c r="M99" s="3"/>
      <c r="N99" s="3"/>
      <c r="O99" s="3"/>
      <c r="P99" s="3"/>
    </row>
    <row r="100" spans="1:16" ht="11.25" customHeight="1">
      <c r="A100" s="280" t="s">
        <v>268</v>
      </c>
      <c r="B100" s="281" t="s">
        <v>115</v>
      </c>
      <c r="C100" s="274" t="str">
        <f t="shared" ref="C100:C123" si="34">IF(F100="Yes","--",IF(I100="--",IF(G100&lt;1,$L$7,$L$6),IF(I100&lt;0.1,$L$8,IF(I100&lt;100,$L$7,$L$6))))</f>
        <v>--</v>
      </c>
      <c r="D100" s="914" t="str">
        <f t="shared" ref="D100:D123" si="35">IF(F100="Yes","--",IF(I100="--",IF(G100&lt;1,$M$7,$M$6),IF(I100&lt;0.1,$M$8,IF(I100&lt;100,$M$7,$M$6))))</f>
        <v>--</v>
      </c>
      <c r="E100" s="918" t="str">
        <f t="shared" ref="E100:E123" si="36">IF(F100="Yes","--",IF(I100="--",IF(G100&lt;1,$N$7,$N$6),IF(I100&lt;0.1,$N$8,IF(I100&lt;100,$N$7,$N$6))))</f>
        <v>--</v>
      </c>
      <c r="F100" s="295" t="str">
        <f t="shared" ref="F100:F139" si="37">IF(VLOOKUP($A100,Table_IP_1, MATCH("non-odor", heading_IP_1, 0), FALSE)="yes", "yes", "--")</f>
        <v>yes</v>
      </c>
      <c r="G100" s="158" t="str">
        <f t="shared" ref="G100:G139" si="38">VLOOKUP($A100,Table_IP_1, MATCH("vp", heading_IP_1, 0), FALSE)</f>
        <v>--</v>
      </c>
      <c r="H100" s="158" t="str">
        <f t="shared" ref="H100:H139" si="39">VLOOKUP($A100,Table_IP_1, MATCH("50P-ORT-v", heading_IP_1, 0), FALSE)</f>
        <v>--</v>
      </c>
      <c r="I100" s="168" t="str">
        <f t="shared" si="33"/>
        <v>--</v>
      </c>
      <c r="J100" s="3"/>
      <c r="K100" s="3"/>
      <c r="L100" s="3"/>
      <c r="M100" s="3"/>
      <c r="N100" s="3"/>
      <c r="O100" s="3"/>
      <c r="P100" s="3"/>
    </row>
    <row r="101" spans="1:16" ht="11.25" customHeight="1">
      <c r="A101" s="280" t="s">
        <v>269</v>
      </c>
      <c r="B101" s="281" t="s">
        <v>270</v>
      </c>
      <c r="C101" s="274">
        <f t="shared" si="34"/>
        <v>100</v>
      </c>
      <c r="D101" s="914">
        <f t="shared" si="35"/>
        <v>500</v>
      </c>
      <c r="E101" s="918">
        <f t="shared" si="36"/>
        <v>500</v>
      </c>
      <c r="F101" s="295" t="str">
        <f t="shared" si="37"/>
        <v>--</v>
      </c>
      <c r="G101" s="158">
        <f t="shared" si="38"/>
        <v>40</v>
      </c>
      <c r="H101" s="158" t="str">
        <f t="shared" si="39"/>
        <v>--</v>
      </c>
      <c r="I101" s="168" t="str">
        <f t="shared" si="33"/>
        <v>--</v>
      </c>
      <c r="J101" s="3"/>
      <c r="K101" s="3"/>
      <c r="L101" s="3"/>
      <c r="M101" s="3"/>
      <c r="N101" s="3"/>
      <c r="O101" s="3"/>
      <c r="P101" s="3"/>
    </row>
    <row r="102" spans="1:16" ht="11.25" customHeight="1">
      <c r="A102" s="280" t="s">
        <v>271</v>
      </c>
      <c r="B102" s="281" t="s">
        <v>272</v>
      </c>
      <c r="C102" s="274">
        <f t="shared" si="34"/>
        <v>100</v>
      </c>
      <c r="D102" s="914">
        <f t="shared" si="35"/>
        <v>500</v>
      </c>
      <c r="E102" s="918">
        <f t="shared" si="36"/>
        <v>500</v>
      </c>
      <c r="F102" s="295" t="str">
        <f t="shared" si="37"/>
        <v>--</v>
      </c>
      <c r="G102" s="158">
        <f t="shared" si="38"/>
        <v>15</v>
      </c>
      <c r="H102" s="158" t="str">
        <f t="shared" si="39"/>
        <v>--</v>
      </c>
      <c r="I102" s="168" t="str">
        <f t="shared" si="33"/>
        <v>--</v>
      </c>
      <c r="J102" s="3"/>
      <c r="K102" s="3"/>
      <c r="L102" s="3"/>
      <c r="M102" s="3"/>
      <c r="N102" s="3"/>
      <c r="O102" s="3"/>
      <c r="P102" s="3"/>
    </row>
    <row r="103" spans="1:16" ht="11.25" customHeight="1">
      <c r="A103" s="280" t="s">
        <v>273</v>
      </c>
      <c r="B103" s="281" t="s">
        <v>274</v>
      </c>
      <c r="C103" s="274">
        <f t="shared" si="34"/>
        <v>100</v>
      </c>
      <c r="D103" s="914">
        <f t="shared" si="35"/>
        <v>500</v>
      </c>
      <c r="E103" s="918">
        <f t="shared" si="36"/>
        <v>500</v>
      </c>
      <c r="F103" s="295" t="str">
        <f t="shared" si="37"/>
        <v>--</v>
      </c>
      <c r="G103" s="158">
        <f t="shared" si="38"/>
        <v>20</v>
      </c>
      <c r="H103" s="158" t="str">
        <f t="shared" si="39"/>
        <v>--</v>
      </c>
      <c r="I103" s="168" t="str">
        <f t="shared" si="33"/>
        <v>--</v>
      </c>
      <c r="J103" s="3"/>
      <c r="K103" s="3"/>
      <c r="L103" s="3"/>
      <c r="M103" s="3"/>
      <c r="N103" s="3"/>
      <c r="O103" s="3"/>
      <c r="P103" s="3"/>
    </row>
    <row r="104" spans="1:16" ht="11.25" customHeight="1">
      <c r="A104" s="280" t="s">
        <v>275</v>
      </c>
      <c r="B104" s="281" t="s">
        <v>276</v>
      </c>
      <c r="C104" s="274">
        <f t="shared" si="34"/>
        <v>500</v>
      </c>
      <c r="D104" s="914">
        <f t="shared" si="35"/>
        <v>1000</v>
      </c>
      <c r="E104" s="918">
        <f t="shared" si="36"/>
        <v>1000</v>
      </c>
      <c r="F104" s="295" t="str">
        <f t="shared" si="37"/>
        <v>--</v>
      </c>
      <c r="G104" s="158">
        <f t="shared" si="38"/>
        <v>0.33</v>
      </c>
      <c r="H104" s="158" t="str">
        <f t="shared" si="39"/>
        <v>--</v>
      </c>
      <c r="I104" s="168" t="str">
        <f t="shared" si="33"/>
        <v>--</v>
      </c>
      <c r="J104" s="3"/>
      <c r="K104" s="3"/>
      <c r="L104" s="3"/>
      <c r="M104" s="3"/>
      <c r="N104" s="3"/>
      <c r="O104" s="3"/>
      <c r="P104" s="3"/>
    </row>
    <row r="105" spans="1:16" ht="11.25" customHeight="1">
      <c r="A105" s="280" t="s">
        <v>277</v>
      </c>
      <c r="B105" s="281" t="s">
        <v>278</v>
      </c>
      <c r="C105" s="274">
        <f t="shared" si="34"/>
        <v>100</v>
      </c>
      <c r="D105" s="914">
        <f t="shared" si="35"/>
        <v>500</v>
      </c>
      <c r="E105" s="918">
        <f t="shared" si="36"/>
        <v>500</v>
      </c>
      <c r="F105" s="295" t="str">
        <f t="shared" si="37"/>
        <v>--</v>
      </c>
      <c r="G105" s="158">
        <f t="shared" si="38"/>
        <v>15</v>
      </c>
      <c r="H105" s="158" t="str">
        <f t="shared" si="39"/>
        <v>--</v>
      </c>
      <c r="I105" s="168" t="str">
        <f t="shared" si="33"/>
        <v>--</v>
      </c>
      <c r="J105" s="3"/>
      <c r="K105" s="3"/>
      <c r="L105" s="3"/>
      <c r="M105" s="3"/>
      <c r="N105" s="3"/>
      <c r="O105" s="3"/>
      <c r="P105" s="3"/>
    </row>
    <row r="106" spans="1:16" ht="11.25" customHeight="1">
      <c r="A106" s="280" t="s">
        <v>279</v>
      </c>
      <c r="B106" s="281" t="s">
        <v>280</v>
      </c>
      <c r="C106" s="274">
        <f t="shared" si="34"/>
        <v>500</v>
      </c>
      <c r="D106" s="914">
        <f t="shared" si="35"/>
        <v>1000</v>
      </c>
      <c r="E106" s="918">
        <f t="shared" si="36"/>
        <v>1000</v>
      </c>
      <c r="F106" s="295" t="str">
        <f t="shared" si="37"/>
        <v>--</v>
      </c>
      <c r="G106" s="158">
        <f t="shared" si="38"/>
        <v>0.03</v>
      </c>
      <c r="H106" s="158" t="str">
        <f t="shared" si="39"/>
        <v>--</v>
      </c>
      <c r="I106" s="168" t="str">
        <f t="shared" ref="I106:I112" si="40">IF(OR(G106="--",H106="--"), "--",G106/H106)</f>
        <v>--</v>
      </c>
      <c r="J106" s="3"/>
      <c r="K106" s="3"/>
      <c r="L106" s="3"/>
      <c r="M106" s="3"/>
      <c r="N106" s="3"/>
      <c r="O106" s="3"/>
      <c r="P106" s="3"/>
    </row>
    <row r="107" spans="1:16" ht="11.25" customHeight="1">
      <c r="A107" s="280" t="s">
        <v>281</v>
      </c>
      <c r="B107" s="281" t="s">
        <v>282</v>
      </c>
      <c r="C107" s="274">
        <f t="shared" si="34"/>
        <v>500</v>
      </c>
      <c r="D107" s="914">
        <f t="shared" si="35"/>
        <v>1000</v>
      </c>
      <c r="E107" s="918">
        <f t="shared" si="36"/>
        <v>1000</v>
      </c>
      <c r="F107" s="295" t="str">
        <f t="shared" si="37"/>
        <v>--</v>
      </c>
      <c r="G107" s="158">
        <f t="shared" si="38"/>
        <v>9.5300000000000003E-3</v>
      </c>
      <c r="H107" s="158" t="str">
        <f t="shared" si="39"/>
        <v>--</v>
      </c>
      <c r="I107" s="168" t="str">
        <f t="shared" si="40"/>
        <v>--</v>
      </c>
      <c r="J107" s="3"/>
      <c r="K107" s="3"/>
      <c r="L107" s="3"/>
      <c r="M107" s="3"/>
      <c r="N107" s="3"/>
      <c r="O107" s="3"/>
      <c r="P107" s="3"/>
    </row>
    <row r="108" spans="1:16" ht="11.25" customHeight="1">
      <c r="A108" s="280" t="s">
        <v>283</v>
      </c>
      <c r="B108" s="281" t="s">
        <v>284</v>
      </c>
      <c r="C108" s="274">
        <f t="shared" si="34"/>
        <v>500</v>
      </c>
      <c r="D108" s="914">
        <f t="shared" si="35"/>
        <v>1000</v>
      </c>
      <c r="E108" s="918">
        <f t="shared" si="36"/>
        <v>1000</v>
      </c>
      <c r="F108" s="295" t="str">
        <f t="shared" si="37"/>
        <v>--</v>
      </c>
      <c r="G108" s="158">
        <f t="shared" si="38"/>
        <v>1.5299999999999999E-3</v>
      </c>
      <c r="H108" s="158" t="str">
        <f t="shared" si="39"/>
        <v>--</v>
      </c>
      <c r="I108" s="168" t="str">
        <f t="shared" si="40"/>
        <v>--</v>
      </c>
      <c r="J108" s="3"/>
      <c r="K108" s="3"/>
      <c r="L108" s="3"/>
      <c r="M108" s="3"/>
      <c r="N108" s="3"/>
      <c r="O108" s="3"/>
      <c r="P108" s="3"/>
    </row>
    <row r="109" spans="1:16" ht="11.25" customHeight="1">
      <c r="A109" s="280" t="s">
        <v>285</v>
      </c>
      <c r="B109" s="281" t="s">
        <v>286</v>
      </c>
      <c r="C109" s="274">
        <f t="shared" si="34"/>
        <v>500</v>
      </c>
      <c r="D109" s="914">
        <f t="shared" si="35"/>
        <v>1000</v>
      </c>
      <c r="E109" s="918">
        <f t="shared" si="36"/>
        <v>1000</v>
      </c>
      <c r="F109" s="295" t="str">
        <f t="shared" si="37"/>
        <v>--</v>
      </c>
      <c r="G109" s="158">
        <f t="shared" si="38"/>
        <v>7.4100000000000001E-4</v>
      </c>
      <c r="H109" s="158" t="str">
        <f t="shared" si="39"/>
        <v>--</v>
      </c>
      <c r="I109" s="168" t="str">
        <f t="shared" si="40"/>
        <v>--</v>
      </c>
      <c r="J109" s="3"/>
      <c r="K109" s="3"/>
      <c r="L109" s="3"/>
      <c r="M109" s="3"/>
      <c r="N109" s="3"/>
      <c r="O109" s="3"/>
      <c r="P109" s="3"/>
    </row>
    <row r="110" spans="1:16" ht="11.25" customHeight="1">
      <c r="A110" s="280" t="s">
        <v>287</v>
      </c>
      <c r="B110" s="281" t="s">
        <v>288</v>
      </c>
      <c r="C110" s="274">
        <f t="shared" si="34"/>
        <v>500</v>
      </c>
      <c r="D110" s="914">
        <f t="shared" si="35"/>
        <v>1000</v>
      </c>
      <c r="E110" s="918">
        <f t="shared" si="36"/>
        <v>1000</v>
      </c>
      <c r="F110" s="295" t="str">
        <f t="shared" si="37"/>
        <v>--</v>
      </c>
      <c r="G110" s="158">
        <f t="shared" si="38"/>
        <v>2.0999999999999999E-5</v>
      </c>
      <c r="H110" s="158" t="str">
        <f t="shared" si="39"/>
        <v>--</v>
      </c>
      <c r="I110" s="168" t="str">
        <f t="shared" si="40"/>
        <v>--</v>
      </c>
      <c r="J110" s="3"/>
      <c r="K110" s="3"/>
      <c r="L110" s="3"/>
      <c r="M110" s="3"/>
      <c r="N110" s="3"/>
      <c r="O110" s="3"/>
      <c r="P110" s="3"/>
    </row>
    <row r="111" spans="1:16" ht="11.25" customHeight="1">
      <c r="A111" s="280" t="s">
        <v>289</v>
      </c>
      <c r="B111" s="281" t="s">
        <v>290</v>
      </c>
      <c r="C111" s="274">
        <f t="shared" si="34"/>
        <v>500</v>
      </c>
      <c r="D111" s="914">
        <f t="shared" si="35"/>
        <v>1000</v>
      </c>
      <c r="E111" s="918">
        <f t="shared" si="36"/>
        <v>1000</v>
      </c>
      <c r="F111" s="295" t="str">
        <f t="shared" si="37"/>
        <v>--</v>
      </c>
      <c r="G111" s="158">
        <f t="shared" si="38"/>
        <v>4.2400000000000001E-4</v>
      </c>
      <c r="H111" s="158" t="str">
        <f t="shared" si="39"/>
        <v>--</v>
      </c>
      <c r="I111" s="168" t="str">
        <f t="shared" si="40"/>
        <v>--</v>
      </c>
      <c r="J111" s="3"/>
      <c r="K111" s="3"/>
      <c r="L111" s="3"/>
      <c r="M111" s="3"/>
      <c r="N111" s="3"/>
      <c r="O111" s="3"/>
      <c r="P111" s="3"/>
    </row>
    <row r="112" spans="1:16" ht="11.25" customHeight="1">
      <c r="A112" s="280" t="s">
        <v>291</v>
      </c>
      <c r="B112" s="281" t="s">
        <v>292</v>
      </c>
      <c r="C112" s="274">
        <f t="shared" si="34"/>
        <v>500</v>
      </c>
      <c r="D112" s="914">
        <f t="shared" si="35"/>
        <v>1000</v>
      </c>
      <c r="E112" s="918">
        <f t="shared" si="36"/>
        <v>1000</v>
      </c>
      <c r="F112" s="295" t="str">
        <f t="shared" si="37"/>
        <v>--</v>
      </c>
      <c r="G112" s="158">
        <f t="shared" si="38"/>
        <v>1.26E-5</v>
      </c>
      <c r="H112" s="158" t="str">
        <f t="shared" si="39"/>
        <v>--</v>
      </c>
      <c r="I112" s="168" t="str">
        <f t="shared" si="40"/>
        <v>--</v>
      </c>
      <c r="J112" s="3"/>
      <c r="K112" s="3"/>
      <c r="L112" s="3"/>
      <c r="M112" s="3"/>
      <c r="N112" s="3"/>
      <c r="O112" s="3"/>
      <c r="P112" s="3"/>
    </row>
    <row r="113" spans="1:16" ht="11.25" customHeight="1">
      <c r="A113" s="280" t="s">
        <v>293</v>
      </c>
      <c r="B113" s="281" t="s">
        <v>294</v>
      </c>
      <c r="C113" s="274">
        <f t="shared" si="34"/>
        <v>500</v>
      </c>
      <c r="D113" s="914">
        <f t="shared" si="35"/>
        <v>1000</v>
      </c>
      <c r="E113" s="918">
        <f t="shared" si="36"/>
        <v>1000</v>
      </c>
      <c r="F113" s="295" t="str">
        <f t="shared" si="37"/>
        <v>--</v>
      </c>
      <c r="G113" s="158">
        <f t="shared" si="38"/>
        <v>0.05</v>
      </c>
      <c r="H113" s="158" t="str">
        <f t="shared" si="39"/>
        <v>--</v>
      </c>
      <c r="I113" s="168" t="str">
        <f t="shared" ref="I113:I123" si="41">IF(OR(G113="--",H113="--"), "--",G113/H113)</f>
        <v>--</v>
      </c>
      <c r="J113" s="3"/>
      <c r="K113" s="3"/>
      <c r="L113" s="3"/>
      <c r="M113" s="3"/>
      <c r="N113" s="3"/>
      <c r="O113" s="3"/>
      <c r="P113" s="3"/>
    </row>
    <row r="114" spans="1:16" ht="11.25" customHeight="1">
      <c r="A114" s="280" t="s">
        <v>295</v>
      </c>
      <c r="B114" s="281" t="s">
        <v>296</v>
      </c>
      <c r="C114" s="274">
        <f t="shared" si="34"/>
        <v>500</v>
      </c>
      <c r="D114" s="914">
        <f t="shared" si="35"/>
        <v>1000</v>
      </c>
      <c r="E114" s="918">
        <f t="shared" si="36"/>
        <v>1000</v>
      </c>
      <c r="F114" s="295" t="str">
        <f t="shared" si="37"/>
        <v>--</v>
      </c>
      <c r="G114" s="158">
        <f t="shared" si="38"/>
        <v>0.36</v>
      </c>
      <c r="H114" s="158" t="str">
        <f t="shared" si="39"/>
        <v>--</v>
      </c>
      <c r="I114" s="168" t="str">
        <f t="shared" si="41"/>
        <v>--</v>
      </c>
      <c r="J114" s="3"/>
      <c r="K114" s="3"/>
      <c r="L114" s="3"/>
      <c r="M114" s="3"/>
      <c r="N114" s="3"/>
      <c r="O114" s="3"/>
      <c r="P114" s="3"/>
    </row>
    <row r="115" spans="1:16" ht="11.25" customHeight="1">
      <c r="A115" s="280" t="s">
        <v>297</v>
      </c>
      <c r="B115" s="281" t="s">
        <v>298</v>
      </c>
      <c r="C115" s="274">
        <f t="shared" si="34"/>
        <v>500</v>
      </c>
      <c r="D115" s="914">
        <f t="shared" si="35"/>
        <v>1000</v>
      </c>
      <c r="E115" s="918">
        <f t="shared" si="36"/>
        <v>1000</v>
      </c>
      <c r="F115" s="295" t="str">
        <f t="shared" si="37"/>
        <v>--</v>
      </c>
      <c r="G115" s="158">
        <f t="shared" si="38"/>
        <v>6.5300000000000004E-4</v>
      </c>
      <c r="H115" s="158" t="str">
        <f t="shared" si="39"/>
        <v>--</v>
      </c>
      <c r="I115" s="168" t="str">
        <f t="shared" si="41"/>
        <v>--</v>
      </c>
      <c r="J115" s="3"/>
      <c r="K115" s="3"/>
      <c r="L115" s="3"/>
      <c r="M115" s="3"/>
      <c r="N115" s="3"/>
      <c r="O115" s="3"/>
      <c r="P115" s="3"/>
    </row>
    <row r="116" spans="1:16" ht="11.25" customHeight="1">
      <c r="A116" s="280" t="s">
        <v>299</v>
      </c>
      <c r="B116" s="281" t="s">
        <v>300</v>
      </c>
      <c r="C116" s="274">
        <f t="shared" si="34"/>
        <v>100</v>
      </c>
      <c r="D116" s="914">
        <f t="shared" si="35"/>
        <v>500</v>
      </c>
      <c r="E116" s="918">
        <f t="shared" si="36"/>
        <v>500</v>
      </c>
      <c r="F116" s="295" t="str">
        <f t="shared" si="37"/>
        <v>--</v>
      </c>
      <c r="G116" s="158">
        <f t="shared" si="38"/>
        <v>2.2949999999999999</v>
      </c>
      <c r="H116" s="158" t="str">
        <f t="shared" si="39"/>
        <v>--</v>
      </c>
      <c r="I116" s="168" t="str">
        <f t="shared" si="41"/>
        <v>--</v>
      </c>
      <c r="J116" s="3"/>
      <c r="K116" s="3"/>
      <c r="L116" s="3"/>
      <c r="M116" s="3"/>
      <c r="N116" s="3"/>
      <c r="O116" s="3"/>
      <c r="P116" s="3"/>
    </row>
    <row r="117" spans="1:16" ht="11.25" customHeight="1">
      <c r="A117" s="280" t="s">
        <v>301</v>
      </c>
      <c r="B117" s="281" t="s">
        <v>302</v>
      </c>
      <c r="C117" s="274">
        <f t="shared" si="34"/>
        <v>500</v>
      </c>
      <c r="D117" s="914">
        <f t="shared" si="35"/>
        <v>1000</v>
      </c>
      <c r="E117" s="918">
        <f t="shared" si="36"/>
        <v>1000</v>
      </c>
      <c r="F117" s="295" t="str">
        <f t="shared" si="37"/>
        <v>--</v>
      </c>
      <c r="G117" s="158">
        <f t="shared" si="38"/>
        <v>0.35</v>
      </c>
      <c r="H117" s="158">
        <f t="shared" si="39"/>
        <v>0.04</v>
      </c>
      <c r="I117" s="168">
        <f t="shared" si="41"/>
        <v>8.75</v>
      </c>
      <c r="J117" s="3"/>
      <c r="K117" s="3"/>
      <c r="L117" s="3"/>
      <c r="M117" s="3"/>
      <c r="N117" s="3"/>
      <c r="O117" s="3"/>
      <c r="P117" s="3"/>
    </row>
    <row r="118" spans="1:16" ht="11.25" customHeight="1">
      <c r="A118" s="280" t="s">
        <v>303</v>
      </c>
      <c r="B118" s="281" t="s">
        <v>304</v>
      </c>
      <c r="C118" s="274">
        <f t="shared" si="34"/>
        <v>500</v>
      </c>
      <c r="D118" s="914">
        <f t="shared" si="35"/>
        <v>1000</v>
      </c>
      <c r="E118" s="918">
        <f t="shared" si="36"/>
        <v>1000</v>
      </c>
      <c r="F118" s="295" t="str">
        <f t="shared" si="37"/>
        <v>--</v>
      </c>
      <c r="G118" s="158">
        <f t="shared" si="38"/>
        <v>4.9399999999999997E-4</v>
      </c>
      <c r="H118" s="158" t="str">
        <f t="shared" si="39"/>
        <v>--</v>
      </c>
      <c r="I118" s="168" t="str">
        <f t="shared" si="41"/>
        <v>--</v>
      </c>
      <c r="J118" s="3"/>
      <c r="K118" s="3"/>
      <c r="L118" s="3"/>
      <c r="M118" s="3"/>
      <c r="N118" s="3"/>
      <c r="O118" s="3"/>
      <c r="P118" s="3"/>
    </row>
    <row r="119" spans="1:16" ht="11.25" customHeight="1">
      <c r="A119" s="280" t="s">
        <v>305</v>
      </c>
      <c r="B119" s="281" t="s">
        <v>306</v>
      </c>
      <c r="C119" s="274" t="str">
        <f t="shared" si="34"/>
        <v>--</v>
      </c>
      <c r="D119" s="914" t="str">
        <f t="shared" si="35"/>
        <v>--</v>
      </c>
      <c r="E119" s="918" t="str">
        <f t="shared" si="36"/>
        <v>--</v>
      </c>
      <c r="F119" s="295" t="str">
        <f t="shared" si="37"/>
        <v>yes</v>
      </c>
      <c r="G119" s="158">
        <f t="shared" si="38"/>
        <v>1.42E-10</v>
      </c>
      <c r="H119" s="158" t="str">
        <f t="shared" si="39"/>
        <v>--</v>
      </c>
      <c r="I119" s="168" t="str">
        <f t="shared" si="41"/>
        <v>--</v>
      </c>
      <c r="J119" s="3"/>
      <c r="K119" s="3"/>
      <c r="L119" s="3"/>
      <c r="M119" s="3"/>
      <c r="N119" s="3"/>
      <c r="O119" s="3"/>
      <c r="P119" s="3"/>
    </row>
    <row r="120" spans="1:16" ht="11.25" customHeight="1">
      <c r="A120" s="280" t="s">
        <v>307</v>
      </c>
      <c r="B120" s="281" t="s">
        <v>308</v>
      </c>
      <c r="C120" s="274" t="str">
        <f t="shared" si="34"/>
        <v>--</v>
      </c>
      <c r="D120" s="914" t="str">
        <f t="shared" si="35"/>
        <v>--</v>
      </c>
      <c r="E120" s="918" t="str">
        <f t="shared" si="36"/>
        <v>--</v>
      </c>
      <c r="F120" s="295" t="str">
        <f t="shared" si="37"/>
        <v>yes</v>
      </c>
      <c r="G120" s="158" t="str">
        <f t="shared" si="38"/>
        <v>--</v>
      </c>
      <c r="H120" s="158" t="str">
        <f t="shared" si="39"/>
        <v>--</v>
      </c>
      <c r="I120" s="168" t="str">
        <f t="shared" ref="I120" si="42">IF(OR(G120="--",H120="--"), "--",G120/H120)</f>
        <v>--</v>
      </c>
      <c r="J120" s="3"/>
      <c r="K120" s="3"/>
      <c r="L120" s="3"/>
      <c r="M120" s="3"/>
      <c r="N120" s="3"/>
      <c r="O120" s="3"/>
      <c r="P120" s="3"/>
    </row>
    <row r="121" spans="1:16" ht="11.25" customHeight="1">
      <c r="A121" s="280" t="s">
        <v>309</v>
      </c>
      <c r="B121" s="281" t="s">
        <v>310</v>
      </c>
      <c r="C121" s="274">
        <f t="shared" si="34"/>
        <v>500</v>
      </c>
      <c r="D121" s="914">
        <f t="shared" si="35"/>
        <v>1000</v>
      </c>
      <c r="E121" s="918">
        <f t="shared" si="36"/>
        <v>1000</v>
      </c>
      <c r="F121" s="295" t="str">
        <f t="shared" si="37"/>
        <v>--</v>
      </c>
      <c r="G121" s="158">
        <f t="shared" si="38"/>
        <v>6.4</v>
      </c>
      <c r="H121" s="158">
        <f t="shared" si="39"/>
        <v>0.3</v>
      </c>
      <c r="I121" s="168">
        <f t="shared" si="41"/>
        <v>21.333333333333336</v>
      </c>
      <c r="J121" s="3"/>
      <c r="K121" s="3"/>
      <c r="L121" s="3"/>
      <c r="M121" s="3"/>
      <c r="N121" s="3"/>
      <c r="O121" s="3"/>
      <c r="P121" s="3"/>
    </row>
    <row r="122" spans="1:16" ht="11.25" customHeight="1">
      <c r="A122" s="280" t="s">
        <v>311</v>
      </c>
      <c r="B122" s="281" t="s">
        <v>312</v>
      </c>
      <c r="C122" s="274">
        <f t="shared" si="34"/>
        <v>100</v>
      </c>
      <c r="D122" s="914">
        <f t="shared" si="35"/>
        <v>500</v>
      </c>
      <c r="E122" s="918">
        <f t="shared" si="36"/>
        <v>500</v>
      </c>
      <c r="F122" s="295" t="str">
        <f t="shared" si="37"/>
        <v>--</v>
      </c>
      <c r="G122" s="158">
        <f t="shared" si="38"/>
        <v>40.700000000000003</v>
      </c>
      <c r="H122" s="158" t="str">
        <f t="shared" si="39"/>
        <v>--</v>
      </c>
      <c r="I122" s="168" t="str">
        <f t="shared" si="41"/>
        <v>--</v>
      </c>
      <c r="J122" s="3"/>
      <c r="K122" s="3"/>
      <c r="L122" s="3"/>
      <c r="M122" s="3"/>
      <c r="N122" s="3"/>
      <c r="O122" s="3"/>
      <c r="P122" s="3"/>
    </row>
    <row r="123" spans="1:16" ht="11.25" customHeight="1">
      <c r="A123" s="280" t="s">
        <v>313</v>
      </c>
      <c r="B123" s="280" t="s">
        <v>314</v>
      </c>
      <c r="C123" s="273">
        <f t="shared" si="34"/>
        <v>100</v>
      </c>
      <c r="D123" s="279">
        <f t="shared" si="35"/>
        <v>500</v>
      </c>
      <c r="E123" s="278">
        <f t="shared" si="36"/>
        <v>500</v>
      </c>
      <c r="F123" s="276" t="str">
        <f t="shared" si="37"/>
        <v>--</v>
      </c>
      <c r="G123" s="157">
        <f t="shared" si="38"/>
        <v>12</v>
      </c>
      <c r="H123" s="157" t="str">
        <f t="shared" si="39"/>
        <v>--</v>
      </c>
      <c r="I123" s="181" t="str">
        <f t="shared" si="41"/>
        <v>--</v>
      </c>
      <c r="J123" s="3"/>
      <c r="K123" s="3"/>
      <c r="L123" s="3"/>
      <c r="M123" s="3"/>
      <c r="N123" s="3"/>
      <c r="O123" s="3"/>
      <c r="P123" s="3"/>
    </row>
    <row r="124" spans="1:16" ht="11.25" customHeight="1">
      <c r="A124" s="280" t="s">
        <v>315</v>
      </c>
      <c r="B124" s="280" t="s">
        <v>316</v>
      </c>
      <c r="C124" s="273">
        <f t="shared" ref="C124:C125" si="43">IF(F124="Yes","--",IF(I124="--",IF(G124&lt;1,$L$7,$L$6),IF(I124&lt;0.1,$L$8,IF(I124&lt;100,$L$7,$L$6))))</f>
        <v>500</v>
      </c>
      <c r="D124" s="279">
        <f t="shared" ref="D124:D125" si="44">IF(F124="Yes","--",IF(I124="--",IF(G124&lt;1,$M$7,$M$6),IF(I124&lt;0.1,$M$8,IF(I124&lt;100,$M$7,$M$6))))</f>
        <v>1000</v>
      </c>
      <c r="E124" s="278">
        <f t="shared" ref="E124:E125" si="45">IF(F124="Yes","--",IF(I124="--",IF(G124&lt;1,$N$7,$N$6),IF(I124&lt;0.1,$N$8,IF(I124&lt;100,$N$7,$N$6))))</f>
        <v>1000</v>
      </c>
      <c r="F124" s="276" t="str">
        <f t="shared" si="37"/>
        <v>--</v>
      </c>
      <c r="G124" s="157">
        <f t="shared" si="38"/>
        <v>4.62</v>
      </c>
      <c r="H124" s="157">
        <f t="shared" si="39"/>
        <v>1.5</v>
      </c>
      <c r="I124" s="181">
        <f t="shared" ref="I124:I125" si="46">IF(OR(G124="--",H124="--"), "--",G124/H124)</f>
        <v>3.08</v>
      </c>
      <c r="J124" s="3"/>
      <c r="K124" s="3"/>
      <c r="L124" s="3"/>
      <c r="M124" s="3"/>
      <c r="N124" s="3"/>
      <c r="O124" s="3"/>
      <c r="P124" s="3"/>
    </row>
    <row r="125" spans="1:16" ht="11.25" customHeight="1">
      <c r="A125" s="280" t="s">
        <v>317</v>
      </c>
      <c r="B125" s="280" t="s">
        <v>318</v>
      </c>
      <c r="C125" s="273">
        <f t="shared" si="43"/>
        <v>500</v>
      </c>
      <c r="D125" s="279">
        <f t="shared" si="44"/>
        <v>1000</v>
      </c>
      <c r="E125" s="278">
        <f t="shared" si="45"/>
        <v>1000</v>
      </c>
      <c r="F125" s="276" t="str">
        <f t="shared" si="37"/>
        <v>--</v>
      </c>
      <c r="G125" s="157">
        <f t="shared" si="38"/>
        <v>18.5</v>
      </c>
      <c r="H125" s="157">
        <f t="shared" si="39"/>
        <v>4.68</v>
      </c>
      <c r="I125" s="181">
        <f t="shared" si="46"/>
        <v>3.9529914529914532</v>
      </c>
      <c r="J125" s="3"/>
      <c r="K125" s="3"/>
      <c r="L125" s="3"/>
      <c r="M125" s="3"/>
      <c r="N125" s="3"/>
      <c r="O125" s="3"/>
      <c r="P125" s="3"/>
    </row>
    <row r="126" spans="1:16" ht="11.25" customHeight="1">
      <c r="A126" s="280" t="s">
        <v>319</v>
      </c>
      <c r="B126" s="280" t="s">
        <v>320</v>
      </c>
      <c r="C126" s="273" t="str">
        <f t="shared" ref="C126:C137" si="47">IF(F126="Yes","--",IF(I126="--",IF(G126&lt;1,$L$7,$L$6),IF(I126&lt;0.1,$L$8,IF(I126&lt;100,$L$7,$L$6))))</f>
        <v>--</v>
      </c>
      <c r="D126" s="279" t="str">
        <f t="shared" ref="D126:D137" si="48">IF(F126="Yes","--",IF(I126="--",IF(G126&lt;1,$M$7,$M$6),IF(I126&lt;0.1,$M$8,IF(I126&lt;100,$M$7,$M$6))))</f>
        <v>--</v>
      </c>
      <c r="E126" s="278" t="str">
        <f t="shared" ref="E126:E137" si="49">IF(F126="Yes","--",IF(I126="--",IF(G126&lt;1,$N$7,$N$6),IF(I126&lt;0.1,$N$8,IF(I126&lt;100,$N$7,$N$6))))</f>
        <v>--</v>
      </c>
      <c r="F126" s="276" t="str">
        <f t="shared" si="37"/>
        <v>yes</v>
      </c>
      <c r="G126" s="157" t="str">
        <f t="shared" si="38"/>
        <v>--</v>
      </c>
      <c r="H126" s="157" t="str">
        <f t="shared" si="39"/>
        <v>--</v>
      </c>
      <c r="I126" s="181" t="str">
        <f t="shared" ref="I126:I137" si="50">IF(OR(G126="--",H126="--"), "--",G126/H126)</f>
        <v>--</v>
      </c>
      <c r="J126" s="3"/>
      <c r="K126" s="3"/>
      <c r="L126" s="3"/>
      <c r="M126" s="3"/>
      <c r="N126" s="3"/>
      <c r="O126" s="3"/>
      <c r="P126" s="3"/>
    </row>
    <row r="127" spans="1:16" ht="11.25" customHeight="1">
      <c r="A127" s="280" t="s">
        <v>321</v>
      </c>
      <c r="B127" s="280" t="s">
        <v>322</v>
      </c>
      <c r="C127" s="273">
        <f t="shared" si="47"/>
        <v>500</v>
      </c>
      <c r="D127" s="279">
        <f t="shared" si="48"/>
        <v>1000</v>
      </c>
      <c r="E127" s="278">
        <f t="shared" si="49"/>
        <v>1000</v>
      </c>
      <c r="F127" s="276" t="str">
        <f t="shared" si="37"/>
        <v>--</v>
      </c>
      <c r="G127" s="157">
        <f t="shared" si="38"/>
        <v>28.4</v>
      </c>
      <c r="H127" s="157">
        <f t="shared" si="39"/>
        <v>8</v>
      </c>
      <c r="I127" s="181">
        <f t="shared" si="50"/>
        <v>3.55</v>
      </c>
      <c r="J127" s="3"/>
      <c r="K127" s="3"/>
      <c r="L127" s="3"/>
      <c r="M127" s="3"/>
      <c r="N127" s="3"/>
      <c r="O127" s="3"/>
      <c r="P127" s="3"/>
    </row>
    <row r="128" spans="1:16" ht="11.25" customHeight="1">
      <c r="A128" s="280" t="s">
        <v>323</v>
      </c>
      <c r="B128" s="280" t="s">
        <v>324</v>
      </c>
      <c r="C128" s="273">
        <f t="shared" si="47"/>
        <v>500</v>
      </c>
      <c r="D128" s="279">
        <f t="shared" si="48"/>
        <v>1000</v>
      </c>
      <c r="E128" s="278">
        <f t="shared" si="49"/>
        <v>1000</v>
      </c>
      <c r="F128" s="276" t="str">
        <f t="shared" si="37"/>
        <v>--</v>
      </c>
      <c r="G128" s="157">
        <f t="shared" si="38"/>
        <v>6.6900000000000003E-6</v>
      </c>
      <c r="H128" s="157" t="str">
        <f t="shared" si="39"/>
        <v>--</v>
      </c>
      <c r="I128" s="181" t="str">
        <f t="shared" si="50"/>
        <v>--</v>
      </c>
      <c r="J128" s="3"/>
      <c r="K128" s="3"/>
      <c r="L128" s="3"/>
      <c r="M128" s="3"/>
      <c r="N128" s="3"/>
      <c r="O128" s="3"/>
      <c r="P128" s="3"/>
    </row>
    <row r="129" spans="1:16" ht="11.25" customHeight="1">
      <c r="A129" s="280" t="s">
        <v>325</v>
      </c>
      <c r="B129" s="280" t="s">
        <v>326</v>
      </c>
      <c r="C129" s="273">
        <f t="shared" si="47"/>
        <v>500</v>
      </c>
      <c r="D129" s="279">
        <f t="shared" si="48"/>
        <v>1000</v>
      </c>
      <c r="E129" s="278">
        <f t="shared" si="49"/>
        <v>1000</v>
      </c>
      <c r="F129" s="276" t="str">
        <f t="shared" si="37"/>
        <v>--</v>
      </c>
      <c r="G129" s="157">
        <f t="shared" si="38"/>
        <v>0.46</v>
      </c>
      <c r="H129" s="157">
        <f t="shared" si="39"/>
        <v>2.96</v>
      </c>
      <c r="I129" s="181">
        <f t="shared" si="50"/>
        <v>0.1554054054054054</v>
      </c>
      <c r="J129" s="3"/>
      <c r="K129" s="3"/>
      <c r="L129" s="3"/>
      <c r="M129" s="3"/>
      <c r="N129" s="3"/>
      <c r="O129" s="3"/>
      <c r="P129" s="3"/>
    </row>
    <row r="130" spans="1:16" ht="11.25" customHeight="1">
      <c r="A130" s="280" t="s">
        <v>327</v>
      </c>
      <c r="B130" s="280" t="s">
        <v>328</v>
      </c>
      <c r="C130" s="273">
        <f t="shared" si="47"/>
        <v>500</v>
      </c>
      <c r="D130" s="279">
        <f t="shared" si="48"/>
        <v>1000</v>
      </c>
      <c r="E130" s="278">
        <f t="shared" si="49"/>
        <v>1000</v>
      </c>
      <c r="F130" s="276" t="str">
        <f t="shared" si="37"/>
        <v>--</v>
      </c>
      <c r="G130" s="157">
        <f t="shared" si="38"/>
        <v>124</v>
      </c>
      <c r="H130" s="157">
        <f t="shared" si="39"/>
        <v>12</v>
      </c>
      <c r="I130" s="181">
        <f t="shared" si="50"/>
        <v>10.333333333333334</v>
      </c>
      <c r="J130" s="3"/>
      <c r="K130" s="3"/>
      <c r="L130" s="3"/>
      <c r="M130" s="3"/>
      <c r="N130" s="3"/>
      <c r="O130" s="3"/>
      <c r="P130" s="3"/>
    </row>
    <row r="131" spans="1:16" ht="11.25" customHeight="1">
      <c r="A131" s="280" t="s">
        <v>329</v>
      </c>
      <c r="B131" s="280" t="s">
        <v>330</v>
      </c>
      <c r="C131" s="273">
        <f t="shared" si="47"/>
        <v>100</v>
      </c>
      <c r="D131" s="279">
        <f t="shared" si="48"/>
        <v>500</v>
      </c>
      <c r="E131" s="278">
        <f t="shared" si="49"/>
        <v>500</v>
      </c>
      <c r="F131" s="276" t="str">
        <f t="shared" si="37"/>
        <v>--</v>
      </c>
      <c r="G131" s="157">
        <f t="shared" si="38"/>
        <v>23</v>
      </c>
      <c r="H131" s="157" t="str">
        <f t="shared" si="39"/>
        <v>--</v>
      </c>
      <c r="I131" s="181" t="str">
        <f t="shared" si="50"/>
        <v>--</v>
      </c>
      <c r="J131" s="3"/>
      <c r="K131" s="3"/>
      <c r="L131" s="3"/>
      <c r="M131" s="3"/>
      <c r="N131" s="3"/>
      <c r="O131" s="3"/>
      <c r="P131" s="3"/>
    </row>
    <row r="132" spans="1:16" ht="11.25" customHeight="1">
      <c r="A132" s="280" t="s">
        <v>331</v>
      </c>
      <c r="B132" s="280" t="s">
        <v>332</v>
      </c>
      <c r="C132" s="273">
        <f t="shared" si="47"/>
        <v>500</v>
      </c>
      <c r="D132" s="279">
        <f t="shared" si="48"/>
        <v>1000</v>
      </c>
      <c r="E132" s="278">
        <f t="shared" si="49"/>
        <v>1000</v>
      </c>
      <c r="F132" s="276" t="str">
        <f t="shared" si="37"/>
        <v>--</v>
      </c>
      <c r="G132" s="157">
        <f t="shared" si="38"/>
        <v>69</v>
      </c>
      <c r="H132" s="157">
        <f t="shared" si="39"/>
        <v>249</v>
      </c>
      <c r="I132" s="181">
        <f t="shared" si="50"/>
        <v>0.27710843373493976</v>
      </c>
      <c r="J132" s="3"/>
      <c r="K132" s="3"/>
      <c r="L132" s="3"/>
      <c r="M132" s="3"/>
      <c r="N132" s="3"/>
      <c r="O132" s="3"/>
      <c r="P132" s="3"/>
    </row>
    <row r="133" spans="1:16" ht="11.25" customHeight="1">
      <c r="A133" s="280" t="s">
        <v>333</v>
      </c>
      <c r="B133" s="280" t="s">
        <v>334</v>
      </c>
      <c r="C133" s="273">
        <f t="shared" si="47"/>
        <v>500</v>
      </c>
      <c r="D133" s="279">
        <f t="shared" si="48"/>
        <v>1000</v>
      </c>
      <c r="E133" s="278">
        <f t="shared" si="49"/>
        <v>1000</v>
      </c>
      <c r="F133" s="276" t="str">
        <f t="shared" si="37"/>
        <v>--</v>
      </c>
      <c r="G133" s="157">
        <f t="shared" si="38"/>
        <v>7.4999999999999997E-3</v>
      </c>
      <c r="H133" s="157" t="str">
        <f t="shared" si="39"/>
        <v>--</v>
      </c>
      <c r="I133" s="181" t="str">
        <f t="shared" si="50"/>
        <v>--</v>
      </c>
      <c r="J133" s="3"/>
      <c r="K133" s="3"/>
      <c r="L133" s="3"/>
      <c r="M133" s="3"/>
      <c r="N133" s="3"/>
      <c r="O133" s="3"/>
      <c r="P133" s="3"/>
    </row>
    <row r="134" spans="1:16" ht="11.25" customHeight="1">
      <c r="A134" s="280" t="s">
        <v>335</v>
      </c>
      <c r="B134" s="280" t="s">
        <v>336</v>
      </c>
      <c r="C134" s="273">
        <f t="shared" si="47"/>
        <v>100</v>
      </c>
      <c r="D134" s="279">
        <f t="shared" si="48"/>
        <v>500</v>
      </c>
      <c r="E134" s="278">
        <f t="shared" si="49"/>
        <v>500</v>
      </c>
      <c r="F134" s="276" t="str">
        <f t="shared" si="37"/>
        <v>--</v>
      </c>
      <c r="G134" s="157">
        <f t="shared" si="38"/>
        <v>8.0000000000000002E-3</v>
      </c>
      <c r="H134" s="157">
        <f t="shared" si="39"/>
        <v>3.6000000000000001E-5</v>
      </c>
      <c r="I134" s="181">
        <f t="shared" si="50"/>
        <v>222.22222222222223</v>
      </c>
      <c r="J134" s="3"/>
      <c r="K134" s="3"/>
      <c r="L134" s="3"/>
      <c r="M134" s="3"/>
      <c r="N134" s="3"/>
      <c r="O134" s="3"/>
      <c r="P134" s="3"/>
    </row>
    <row r="135" spans="1:16" ht="11.25" customHeight="1">
      <c r="A135" s="280" t="s">
        <v>337</v>
      </c>
      <c r="B135" s="280" t="s">
        <v>338</v>
      </c>
      <c r="C135" s="273">
        <f t="shared" si="47"/>
        <v>100</v>
      </c>
      <c r="D135" s="279">
        <f t="shared" si="48"/>
        <v>500</v>
      </c>
      <c r="E135" s="278">
        <f t="shared" si="49"/>
        <v>500</v>
      </c>
      <c r="F135" s="276" t="str">
        <f t="shared" si="37"/>
        <v>--</v>
      </c>
      <c r="G135" s="157">
        <f t="shared" si="38"/>
        <v>3.69</v>
      </c>
      <c r="H135" s="157" t="str">
        <f t="shared" si="39"/>
        <v>--</v>
      </c>
      <c r="I135" s="181" t="str">
        <f t="shared" si="50"/>
        <v>--</v>
      </c>
      <c r="J135" s="3"/>
      <c r="K135" s="3"/>
      <c r="L135" s="3"/>
      <c r="M135" s="3"/>
      <c r="N135" s="3"/>
      <c r="O135" s="3"/>
      <c r="P135" s="3"/>
    </row>
    <row r="136" spans="1:16" ht="11.25" customHeight="1">
      <c r="A136" s="280" t="s">
        <v>339</v>
      </c>
      <c r="B136" s="280" t="s">
        <v>340</v>
      </c>
      <c r="C136" s="273" t="str">
        <f t="shared" si="47"/>
        <v>--</v>
      </c>
      <c r="D136" s="279" t="str">
        <f t="shared" si="48"/>
        <v>--</v>
      </c>
      <c r="E136" s="278" t="str">
        <f t="shared" si="49"/>
        <v>--</v>
      </c>
      <c r="F136" s="276" t="str">
        <f t="shared" si="37"/>
        <v>yes</v>
      </c>
      <c r="G136" s="157" t="str">
        <f t="shared" si="38"/>
        <v>--</v>
      </c>
      <c r="H136" s="157" t="str">
        <f t="shared" si="39"/>
        <v>--</v>
      </c>
      <c r="I136" s="181" t="str">
        <f t="shared" si="50"/>
        <v>--</v>
      </c>
      <c r="J136" s="3"/>
      <c r="K136" s="3"/>
      <c r="L136" s="3"/>
      <c r="M136" s="3"/>
      <c r="N136" s="3"/>
      <c r="O136" s="3"/>
      <c r="P136" s="3"/>
    </row>
    <row r="137" spans="1:16" ht="11.25" customHeight="1">
      <c r="A137" s="280" t="s">
        <v>341</v>
      </c>
      <c r="B137" s="280" t="s">
        <v>342</v>
      </c>
      <c r="C137" s="273">
        <f t="shared" si="47"/>
        <v>500</v>
      </c>
      <c r="D137" s="279">
        <f t="shared" si="48"/>
        <v>1000</v>
      </c>
      <c r="E137" s="278">
        <f t="shared" si="49"/>
        <v>1000</v>
      </c>
      <c r="F137" s="276" t="str">
        <f t="shared" si="37"/>
        <v>--</v>
      </c>
      <c r="G137" s="157">
        <f t="shared" si="38"/>
        <v>2980</v>
      </c>
      <c r="H137" s="157">
        <f t="shared" si="39"/>
        <v>294</v>
      </c>
      <c r="I137" s="181">
        <f t="shared" si="50"/>
        <v>10.136054421768707</v>
      </c>
      <c r="J137" s="3"/>
      <c r="K137" s="3"/>
      <c r="L137" s="3"/>
      <c r="M137" s="3"/>
      <c r="N137" s="3"/>
      <c r="O137" s="3"/>
      <c r="P137" s="3"/>
    </row>
    <row r="138" spans="1:16" ht="11.25" customHeight="1">
      <c r="A138" s="280" t="s">
        <v>343</v>
      </c>
      <c r="B138" s="280" t="s">
        <v>344</v>
      </c>
      <c r="C138" s="273">
        <f t="shared" ref="C138:C139" si="51">IF(F138="Yes","--",IF(I138="--",IF(G138&lt;1,$L$7,$L$6),IF(I138&lt;0.1,$L$8,IF(I138&lt;100,$L$7,$L$6))))</f>
        <v>500</v>
      </c>
      <c r="D138" s="279">
        <f t="shared" ref="D138:D139" si="52">IF(F138="Yes","--",IF(I138="--",IF(G138&lt;1,$M$7,$M$6),IF(I138&lt;0.1,$M$8,IF(I138&lt;100,$M$7,$M$6))))</f>
        <v>1000</v>
      </c>
      <c r="E138" s="278">
        <f t="shared" ref="E138:E139" si="53">IF(F138="Yes","--",IF(I138="--",IF(G138&lt;1,$N$7,$N$6),IF(I138&lt;0.1,$N$8,IF(I138&lt;100,$N$7,$N$6))))</f>
        <v>1000</v>
      </c>
      <c r="F138" s="276" t="str">
        <f t="shared" si="37"/>
        <v>--</v>
      </c>
      <c r="G138" s="157">
        <f t="shared" si="38"/>
        <v>7.99</v>
      </c>
      <c r="H138" s="157">
        <f t="shared" si="39"/>
        <v>0.1</v>
      </c>
      <c r="I138" s="181">
        <f t="shared" ref="I138:I139" si="54">IF(OR(G138="--",H138="--"), "--",G138/H138)</f>
        <v>79.899999999999991</v>
      </c>
      <c r="J138" s="3"/>
      <c r="K138" s="3"/>
      <c r="L138" s="3"/>
      <c r="M138" s="3"/>
      <c r="N138" s="3"/>
      <c r="O138" s="3"/>
      <c r="P138" s="3"/>
    </row>
    <row r="139" spans="1:16" ht="11.25" customHeight="1" thickBot="1">
      <c r="A139" s="280" t="s">
        <v>345</v>
      </c>
      <c r="B139" s="280" t="s">
        <v>346</v>
      </c>
      <c r="C139" s="273" t="str">
        <f t="shared" si="51"/>
        <v>--</v>
      </c>
      <c r="D139" s="279" t="str">
        <f t="shared" si="52"/>
        <v>--</v>
      </c>
      <c r="E139" s="278" t="str">
        <f t="shared" si="53"/>
        <v>--</v>
      </c>
      <c r="F139" s="276" t="str">
        <f t="shared" si="37"/>
        <v>yes</v>
      </c>
      <c r="G139" s="157" t="str">
        <f t="shared" si="38"/>
        <v>--</v>
      </c>
      <c r="H139" s="157" t="str">
        <f t="shared" si="39"/>
        <v>--</v>
      </c>
      <c r="I139" s="181" t="str">
        <f t="shared" si="54"/>
        <v>--</v>
      </c>
      <c r="J139" s="3"/>
      <c r="K139" s="3"/>
      <c r="L139" s="3"/>
      <c r="M139" s="3"/>
      <c r="N139" s="3"/>
      <c r="O139" s="3"/>
      <c r="P139" s="3"/>
    </row>
    <row r="140" spans="1:16" ht="11.25" customHeight="1" thickTop="1">
      <c r="A140" s="29" t="s">
        <v>347</v>
      </c>
      <c r="B140" s="113"/>
      <c r="C140" s="17"/>
      <c r="D140" s="17"/>
      <c r="E140" s="221"/>
      <c r="F140" s="300"/>
      <c r="G140" s="300"/>
      <c r="H140" s="300"/>
      <c r="I140" s="301"/>
      <c r="J140" s="3"/>
      <c r="K140" s="3"/>
      <c r="L140" s="3"/>
      <c r="M140" s="3"/>
      <c r="N140" s="3"/>
      <c r="O140" s="3"/>
      <c r="P140" s="3"/>
    </row>
    <row r="141" spans="1:16" ht="11.25" customHeight="1">
      <c r="A141" s="2" t="s">
        <v>1019</v>
      </c>
      <c r="C141" s="10"/>
      <c r="D141" s="10"/>
      <c r="F141" s="22"/>
      <c r="G141" s="22"/>
      <c r="H141" s="22"/>
      <c r="I141" s="288"/>
      <c r="J141" s="3"/>
      <c r="K141" s="3"/>
      <c r="L141" s="3"/>
      <c r="M141" s="3"/>
      <c r="N141" s="3"/>
      <c r="O141" s="3"/>
      <c r="P141" s="3"/>
    </row>
    <row r="142" spans="1:16" ht="11.25" customHeight="1">
      <c r="A142" s="909" t="s">
        <v>1020</v>
      </c>
      <c r="B142" s="1142"/>
      <c r="C142" s="881"/>
      <c r="D142" s="1167"/>
      <c r="E142" s="881"/>
      <c r="F142" s="1142"/>
      <c r="G142" s="1142"/>
      <c r="H142" s="1142"/>
      <c r="I142" s="1168"/>
      <c r="J142" s="3"/>
      <c r="K142" s="3"/>
      <c r="L142" s="3"/>
      <c r="M142" s="3"/>
      <c r="N142" s="3"/>
      <c r="O142" s="3"/>
      <c r="P142" s="3"/>
    </row>
    <row r="143" spans="1:16" ht="11.25" customHeight="1">
      <c r="A143" s="909" t="s">
        <v>441</v>
      </c>
      <c r="B143" s="565"/>
      <c r="C143" s="565"/>
      <c r="D143" s="565"/>
      <c r="E143" s="881"/>
      <c r="F143" s="1142"/>
      <c r="G143" s="1142"/>
      <c r="H143" s="1142"/>
      <c r="I143" s="1168"/>
      <c r="J143" s="3"/>
      <c r="K143" s="3"/>
      <c r="L143" s="3"/>
      <c r="M143" s="3"/>
      <c r="N143" s="3"/>
      <c r="O143" s="3"/>
      <c r="P143" s="3"/>
    </row>
    <row r="144" spans="1:16" ht="11.25" customHeight="1">
      <c r="A144" s="1132" t="s">
        <v>348</v>
      </c>
      <c r="B144" s="22"/>
      <c r="C144" s="3"/>
      <c r="D144" s="4"/>
      <c r="F144" s="22"/>
      <c r="G144" s="22"/>
      <c r="H144" s="22"/>
      <c r="I144" s="288"/>
      <c r="J144" s="3"/>
      <c r="K144" s="3"/>
      <c r="L144" s="3"/>
      <c r="M144" s="3"/>
      <c r="N144" s="3"/>
      <c r="O144" s="3"/>
      <c r="P144" s="3"/>
    </row>
    <row r="145" spans="1:16" ht="11.25">
      <c r="A145" s="1133" t="s">
        <v>349</v>
      </c>
      <c r="B145" s="22"/>
      <c r="C145" s="3"/>
      <c r="D145" s="4"/>
      <c r="F145" s="22"/>
      <c r="G145" s="22"/>
      <c r="H145" s="22"/>
      <c r="I145" s="288"/>
      <c r="J145" s="3"/>
      <c r="K145" s="3"/>
      <c r="L145" s="3"/>
      <c r="M145" s="3"/>
      <c r="N145" s="3"/>
      <c r="O145" s="3"/>
      <c r="P145" s="3"/>
    </row>
    <row r="146" spans="1:16" ht="11.25">
      <c r="A146" s="1133" t="s">
        <v>350</v>
      </c>
      <c r="B146" s="22"/>
      <c r="C146" s="3"/>
      <c r="D146" s="4"/>
      <c r="F146" s="22"/>
      <c r="G146" s="22"/>
      <c r="H146" s="22"/>
      <c r="I146" s="288"/>
      <c r="J146" s="3"/>
      <c r="K146" s="3"/>
      <c r="L146" s="3"/>
      <c r="M146" s="3"/>
      <c r="N146" s="3"/>
      <c r="O146" s="3"/>
      <c r="P146" s="3"/>
    </row>
    <row r="147" spans="1:16" ht="11.25">
      <c r="A147" s="1133" t="s">
        <v>351</v>
      </c>
      <c r="B147" s="22"/>
      <c r="C147" s="3"/>
      <c r="D147" s="4"/>
      <c r="F147" s="22"/>
      <c r="G147" s="22"/>
      <c r="H147" s="22"/>
      <c r="I147" s="288"/>
      <c r="J147" s="3"/>
      <c r="K147" s="3"/>
      <c r="L147" s="3"/>
      <c r="M147" s="3"/>
      <c r="N147" s="3"/>
      <c r="O147" s="3"/>
      <c r="P147" s="3"/>
    </row>
    <row r="148" spans="1:16" ht="11.25">
      <c r="A148" s="1133" t="s">
        <v>397</v>
      </c>
      <c r="B148" s="22"/>
      <c r="C148" s="3"/>
      <c r="D148" s="4"/>
      <c r="F148" s="22"/>
      <c r="G148" s="22"/>
      <c r="H148" s="22"/>
      <c r="I148" s="288"/>
      <c r="J148" s="3"/>
      <c r="K148" s="3"/>
      <c r="L148" s="3"/>
      <c r="M148" s="3"/>
      <c r="N148" s="3"/>
      <c r="O148" s="3"/>
      <c r="P148" s="3"/>
    </row>
    <row r="149" spans="1:16" ht="11.25">
      <c r="A149" s="1133" t="s">
        <v>353</v>
      </c>
      <c r="B149" s="22"/>
      <c r="C149" s="3"/>
      <c r="D149" s="4"/>
      <c r="F149" s="22"/>
      <c r="G149" s="22"/>
      <c r="H149" s="22"/>
      <c r="I149" s="288"/>
      <c r="J149" s="3"/>
      <c r="K149" s="3"/>
      <c r="L149" s="3"/>
      <c r="M149" s="3"/>
      <c r="N149" s="3"/>
      <c r="O149" s="3"/>
      <c r="P149" s="3"/>
    </row>
    <row r="150" spans="1:16" ht="11.25">
      <c r="A150" s="1133" t="s">
        <v>354</v>
      </c>
      <c r="B150" s="22"/>
      <c r="C150" s="3"/>
      <c r="D150" s="4"/>
      <c r="F150" s="22"/>
      <c r="G150" s="22"/>
      <c r="H150" s="22"/>
      <c r="I150" s="288"/>
      <c r="J150" s="3"/>
      <c r="K150" s="3"/>
      <c r="L150" s="3"/>
      <c r="M150" s="3"/>
      <c r="N150" s="3"/>
      <c r="O150" s="3"/>
      <c r="P150" s="3"/>
    </row>
    <row r="151" spans="1:16" ht="12" customHeight="1" thickBot="1">
      <c r="A151" s="2608" t="s">
        <v>355</v>
      </c>
      <c r="B151" s="2609"/>
      <c r="C151" s="2609"/>
      <c r="D151" s="2609"/>
      <c r="E151" s="2609"/>
      <c r="F151" s="2609"/>
      <c r="G151" s="2609"/>
      <c r="H151" s="2609"/>
      <c r="I151" s="2610"/>
      <c r="J151" s="3"/>
      <c r="K151" s="3"/>
      <c r="L151" s="3"/>
      <c r="M151" s="3"/>
      <c r="N151" s="3"/>
      <c r="O151" s="3"/>
      <c r="P151" s="3"/>
    </row>
    <row r="152" spans="1:16" ht="12" thickTop="1">
      <c r="C152" s="3"/>
      <c r="F152" s="22"/>
      <c r="G152" s="22"/>
      <c r="H152" s="22"/>
      <c r="I152" s="22"/>
      <c r="J152" s="3"/>
      <c r="K152" s="3"/>
      <c r="L152" s="3"/>
      <c r="M152" s="3"/>
      <c r="N152" s="3"/>
      <c r="O152" s="3"/>
      <c r="P152" s="3"/>
    </row>
    <row r="153" spans="1:16" ht="11.25">
      <c r="C153" s="3"/>
      <c r="F153" s="22"/>
      <c r="G153" s="22"/>
      <c r="H153" s="22"/>
      <c r="I153" s="22"/>
      <c r="J153" s="3"/>
      <c r="K153" s="3"/>
      <c r="L153" s="3"/>
      <c r="M153" s="3"/>
      <c r="N153" s="3"/>
      <c r="O153" s="3"/>
      <c r="P153" s="3"/>
    </row>
    <row r="154" spans="1:16" ht="11.25">
      <c r="C154" s="3"/>
      <c r="F154" s="22"/>
      <c r="G154" s="22"/>
      <c r="H154" s="22"/>
      <c r="I154" s="22"/>
      <c r="J154" s="3"/>
      <c r="K154" s="3"/>
      <c r="L154" s="3"/>
      <c r="M154" s="3"/>
      <c r="N154" s="3"/>
      <c r="O154" s="3"/>
      <c r="P154" s="3"/>
    </row>
    <row r="155" spans="1:16" ht="11.25">
      <c r="C155" s="3"/>
      <c r="F155" s="22"/>
      <c r="G155" s="22"/>
      <c r="H155" s="22"/>
      <c r="I155" s="22"/>
      <c r="J155" s="3"/>
      <c r="K155" s="3"/>
      <c r="L155" s="3"/>
      <c r="M155" s="3"/>
      <c r="N155" s="3"/>
      <c r="O155" s="3"/>
      <c r="P155" s="3"/>
    </row>
    <row r="156" spans="1:16" ht="11.25">
      <c r="C156" s="3"/>
      <c r="F156" s="22"/>
      <c r="G156" s="22"/>
      <c r="H156" s="22"/>
      <c r="I156" s="22"/>
      <c r="J156" s="3"/>
      <c r="K156" s="3"/>
      <c r="L156" s="3"/>
      <c r="M156" s="3"/>
      <c r="N156" s="3"/>
      <c r="O156" s="3"/>
      <c r="P156" s="3"/>
    </row>
    <row r="157" spans="1:16" ht="11.25">
      <c r="C157" s="3"/>
      <c r="F157" s="22"/>
      <c r="G157" s="22"/>
      <c r="H157" s="22"/>
      <c r="I157" s="22"/>
      <c r="J157" s="3"/>
      <c r="K157" s="3"/>
      <c r="L157" s="3"/>
      <c r="M157" s="3"/>
      <c r="N157" s="3"/>
      <c r="O157" s="3"/>
      <c r="P157" s="3"/>
    </row>
    <row r="158" spans="1:16" ht="11.25">
      <c r="C158" s="3"/>
      <c r="F158" s="22"/>
      <c r="G158" s="22"/>
      <c r="H158" s="22"/>
      <c r="I158" s="22"/>
      <c r="J158" s="3"/>
      <c r="K158" s="3"/>
      <c r="L158" s="3"/>
      <c r="M158" s="3"/>
      <c r="N158" s="3"/>
      <c r="O158" s="3"/>
      <c r="P158" s="3"/>
    </row>
    <row r="159" spans="1:16" ht="11.25">
      <c r="C159" s="3"/>
      <c r="F159" s="22"/>
      <c r="G159" s="22"/>
      <c r="H159" s="22"/>
      <c r="I159" s="22"/>
      <c r="J159" s="3"/>
      <c r="K159" s="3"/>
      <c r="L159" s="3"/>
      <c r="M159" s="3"/>
      <c r="N159" s="3"/>
      <c r="O159" s="3"/>
      <c r="P159" s="3"/>
    </row>
    <row r="160" spans="1:16" ht="11.25">
      <c r="C160" s="3"/>
      <c r="F160" s="22"/>
      <c r="G160" s="22"/>
      <c r="H160" s="22"/>
      <c r="I160" s="22"/>
      <c r="J160" s="3"/>
      <c r="K160" s="3"/>
      <c r="L160" s="3"/>
      <c r="M160" s="3"/>
      <c r="N160" s="3"/>
      <c r="O160" s="3"/>
      <c r="P160" s="3"/>
    </row>
    <row r="161" spans="6:12" s="3" customFormat="1" ht="11.25">
      <c r="F161" s="22"/>
      <c r="G161" s="22"/>
      <c r="H161" s="22"/>
      <c r="I161" s="22"/>
    </row>
    <row r="162" spans="6:12" s="3" customFormat="1" ht="11.25">
      <c r="F162" s="22"/>
      <c r="G162" s="22"/>
      <c r="H162" s="22"/>
      <c r="I162" s="22"/>
    </row>
    <row r="163" spans="6:12" s="3" customFormat="1" ht="11.25">
      <c r="F163" s="22"/>
      <c r="G163" s="22"/>
      <c r="H163" s="22"/>
      <c r="I163" s="22"/>
    </row>
    <row r="164" spans="6:12" s="3" customFormat="1" ht="11.25">
      <c r="F164" s="22"/>
      <c r="G164" s="22"/>
      <c r="H164" s="22"/>
      <c r="I164" s="22"/>
    </row>
    <row r="165" spans="6:12" s="3" customFormat="1" ht="11.25">
      <c r="F165" s="22"/>
      <c r="G165" s="22"/>
      <c r="H165" s="22"/>
      <c r="I165" s="22"/>
    </row>
    <row r="166" spans="6:12" s="3" customFormat="1" ht="11.25">
      <c r="F166" s="22"/>
      <c r="G166" s="22"/>
      <c r="H166" s="22"/>
      <c r="I166" s="22"/>
    </row>
    <row r="167" spans="6:12" s="3" customFormat="1" ht="11.25">
      <c r="F167" s="4"/>
      <c r="G167" s="22"/>
      <c r="H167" s="22"/>
      <c r="I167" s="22"/>
    </row>
    <row r="168" spans="6:12" s="3" customFormat="1" ht="11.25">
      <c r="F168" s="4"/>
      <c r="G168" s="22"/>
      <c r="H168" s="22"/>
      <c r="I168" s="22"/>
    </row>
    <row r="169" spans="6:12" s="3" customFormat="1" ht="11.25">
      <c r="F169" s="4"/>
      <c r="G169" s="22"/>
      <c r="H169" s="22"/>
      <c r="I169" s="22"/>
    </row>
    <row r="170" spans="6:12" s="3" customFormat="1" ht="11.25">
      <c r="F170" s="4"/>
      <c r="G170" s="22"/>
      <c r="H170" s="22"/>
      <c r="I170" s="22"/>
    </row>
    <row r="171" spans="6:12" s="3" customFormat="1" ht="11.25">
      <c r="F171" s="4"/>
      <c r="G171" s="22"/>
      <c r="H171" s="22"/>
      <c r="I171" s="22"/>
    </row>
    <row r="172" spans="6:12" s="3" customFormat="1" ht="11.25">
      <c r="F172" s="4"/>
      <c r="G172" s="22"/>
      <c r="H172" s="22"/>
      <c r="I172" s="22"/>
    </row>
    <row r="173" spans="6:12" s="3" customFormat="1">
      <c r="F173" s="4"/>
      <c r="G173" s="22"/>
      <c r="H173" s="22"/>
      <c r="I173" s="22"/>
      <c r="L173" s="75"/>
    </row>
  </sheetData>
  <sheetProtection algorithmName="SHA-512" hashValue="HgvvmQlDYOYOV4+BzieVpjRr/s9luGEenAOt6tlmJMCw8st/Q8EVIIW9KaAZnbQ4nWD+ID7EQCcmalU7Xu9ObA==" saltValue="fVLkUfqMSpB+oAQ+2IuJOw==" spinCount="100000" sheet="1" sort="0" autoFilter="0"/>
  <autoFilter ref="A5:B124" xr:uid="{00000000-0009-0000-0000-000015000000}"/>
  <mergeCells count="14">
    <mergeCell ref="A2:I2"/>
    <mergeCell ref="A3:B3"/>
    <mergeCell ref="A4:A5"/>
    <mergeCell ref="B4:B5"/>
    <mergeCell ref="C5:D5"/>
    <mergeCell ref="C3:E3"/>
    <mergeCell ref="A151:I151"/>
    <mergeCell ref="K4:K5"/>
    <mergeCell ref="L4:N4"/>
    <mergeCell ref="I4:I5"/>
    <mergeCell ref="F3:I3"/>
    <mergeCell ref="H4:H5"/>
    <mergeCell ref="F4:F5"/>
    <mergeCell ref="G4:G5"/>
  </mergeCells>
  <phoneticPr fontId="0" type="noConversion"/>
  <printOptions horizontalCentered="1"/>
  <pageMargins left="0.7" right="0.7" top="0.75" bottom="0.5" header="0.3" footer="0.3"/>
  <pageSetup scale="69" fitToHeight="0" orientation="portrait" r:id="rId1"/>
  <headerFooter alignWithMargins="0">
    <oddFooter>&amp;C&amp;P of &amp;N&amp;R&amp;A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39997558519241921"/>
    <pageSetUpPr fitToPage="1"/>
  </sheetPr>
  <dimension ref="A1:P397"/>
  <sheetViews>
    <sheetView showGridLines="0" zoomScale="110" zoomScaleNormal="110" workbookViewId="0">
      <pane xSplit="2" ySplit="6" topLeftCell="C7" activePane="bottomRight" state="frozen"/>
      <selection pane="topRight" activeCell="C1" sqref="C1"/>
      <selection pane="bottomLeft" activeCell="A7" sqref="A7"/>
      <selection pane="bottomRight" activeCell="A4" sqref="A4:B4"/>
    </sheetView>
  </sheetViews>
  <sheetFormatPr defaultColWidth="9.140625" defaultRowHeight="11.25"/>
  <cols>
    <col min="1" max="1" width="40" style="4" customWidth="1"/>
    <col min="2" max="2" width="9.42578125" style="4" customWidth="1"/>
    <col min="3" max="3" width="11.85546875" style="10" customWidth="1"/>
    <col min="4" max="4" width="12.42578125" style="10" customWidth="1"/>
    <col min="5" max="5" width="11.42578125" style="10" bestFit="1" customWidth="1"/>
    <col min="6" max="6" width="12.5703125" style="10" customWidth="1"/>
    <col min="7" max="7" width="11" style="10" customWidth="1"/>
    <col min="8" max="10" width="11.42578125" style="10" bestFit="1" customWidth="1"/>
    <col min="11" max="11" width="12.42578125" style="10" bestFit="1" customWidth="1"/>
    <col min="12" max="12" width="11.42578125" style="10" bestFit="1" customWidth="1"/>
    <col min="13" max="14" width="11.42578125" style="4" bestFit="1" customWidth="1"/>
    <col min="15" max="15" width="12.85546875" style="1" bestFit="1" customWidth="1"/>
    <col min="16" max="16" width="10.85546875" style="1" bestFit="1" customWidth="1"/>
    <col min="17" max="16384" width="9.140625" style="1"/>
  </cols>
  <sheetData>
    <row r="1" spans="1:16" hidden="1">
      <c r="A1" s="4" t="s">
        <v>1021</v>
      </c>
      <c r="C1" s="11"/>
      <c r="D1" s="11" t="s">
        <v>1022</v>
      </c>
      <c r="E1" s="11" t="s">
        <v>1023</v>
      </c>
      <c r="F1" s="11"/>
      <c r="G1" s="10" t="s">
        <v>1024</v>
      </c>
      <c r="H1" s="10" t="s">
        <v>1025</v>
      </c>
    </row>
    <row r="2" spans="1:16" ht="41.25" customHeight="1">
      <c r="A2" s="2408" t="s">
        <v>1026</v>
      </c>
      <c r="B2" s="2408"/>
      <c r="C2" s="2408"/>
      <c r="D2" s="2408"/>
      <c r="E2" s="2408"/>
      <c r="F2" s="2408"/>
      <c r="G2" s="2408"/>
      <c r="H2" s="2408"/>
      <c r="I2" s="2408"/>
      <c r="J2" s="2408"/>
      <c r="K2" s="2408"/>
      <c r="L2" s="2408"/>
      <c r="M2" s="2408"/>
      <c r="N2" s="2408"/>
      <c r="O2" s="104"/>
      <c r="P2" s="104"/>
    </row>
    <row r="3" spans="1:16" ht="5.25" customHeight="1" thickBot="1">
      <c r="A3" s="1950"/>
      <c r="B3" s="1950"/>
      <c r="C3" s="1950"/>
      <c r="D3" s="1950"/>
      <c r="E3" s="1950"/>
      <c r="F3" s="1950"/>
      <c r="G3" s="1950"/>
      <c r="H3" s="1950"/>
      <c r="I3" s="1950"/>
      <c r="J3" s="1950"/>
      <c r="K3" s="1950"/>
      <c r="L3" s="1950"/>
      <c r="M3" s="1950"/>
      <c r="N3" s="1950"/>
    </row>
    <row r="4" spans="1:16" s="98" customFormat="1" ht="45" customHeight="1" thickTop="1" thickBot="1">
      <c r="A4" s="2779" t="str">
        <f>'Water Direct Exp (GW-1)'!A3:B3</f>
        <v>2025 (Rev 4)</v>
      </c>
      <c r="B4" s="2780"/>
      <c r="C4" s="2773" t="s">
        <v>1027</v>
      </c>
      <c r="D4" s="2774"/>
      <c r="E4" s="2774"/>
      <c r="F4" s="2773" t="s">
        <v>1028</v>
      </c>
      <c r="G4" s="2774"/>
      <c r="H4" s="2774"/>
      <c r="I4" s="2781" t="s">
        <v>821</v>
      </c>
      <c r="J4" s="2782"/>
      <c r="K4" s="2782"/>
      <c r="L4" s="2782"/>
      <c r="M4" s="2782"/>
      <c r="N4" s="2783"/>
    </row>
    <row r="5" spans="1:16" ht="60.75" customHeight="1">
      <c r="A5" s="2498" t="s">
        <v>661</v>
      </c>
      <c r="B5" s="2501" t="s">
        <v>80</v>
      </c>
      <c r="C5" s="676" t="s">
        <v>1029</v>
      </c>
      <c r="D5" s="1981" t="s">
        <v>1030</v>
      </c>
      <c r="E5" s="677" t="s">
        <v>1031</v>
      </c>
      <c r="F5" s="676" t="s">
        <v>1032</v>
      </c>
      <c r="G5" s="1981" t="s">
        <v>1030</v>
      </c>
      <c r="H5" s="814" t="s">
        <v>1031</v>
      </c>
      <c r="I5" s="2777" t="s">
        <v>823</v>
      </c>
      <c r="J5" s="1981" t="s">
        <v>825</v>
      </c>
      <c r="K5" s="1981" t="s">
        <v>826</v>
      </c>
      <c r="L5" s="1981" t="s">
        <v>827</v>
      </c>
      <c r="M5" s="1981" t="s">
        <v>828</v>
      </c>
      <c r="N5" s="2775" t="s">
        <v>1033</v>
      </c>
    </row>
    <row r="6" spans="1:16" ht="14.25" customHeight="1" thickBot="1">
      <c r="A6" s="2500"/>
      <c r="B6" s="2503"/>
      <c r="C6" s="286" t="s">
        <v>1034</v>
      </c>
      <c r="D6" s="132" t="s">
        <v>1035</v>
      </c>
      <c r="E6" s="925" t="s">
        <v>1035</v>
      </c>
      <c r="F6" s="286" t="s">
        <v>1034</v>
      </c>
      <c r="G6" s="132" t="s">
        <v>1035</v>
      </c>
      <c r="H6" s="925" t="s">
        <v>1035</v>
      </c>
      <c r="I6" s="2778"/>
      <c r="J6" s="132" t="s">
        <v>836</v>
      </c>
      <c r="K6" s="132" t="s">
        <v>836</v>
      </c>
      <c r="L6" s="132" t="s">
        <v>836</v>
      </c>
      <c r="M6" s="132" t="s">
        <v>836</v>
      </c>
      <c r="N6" s="2776"/>
    </row>
    <row r="7" spans="1:16" ht="11.25" customHeight="1">
      <c r="A7" s="2" t="s">
        <v>391</v>
      </c>
      <c r="B7" s="280" t="s">
        <v>392</v>
      </c>
      <c r="C7" s="320">
        <f>IF(MIN(D7,E7)=0,"--",MIN(D7,E7))</f>
        <v>1077619.0476190476</v>
      </c>
      <c r="D7" s="157" t="str">
        <f>IF($I7="NV", "--", IF(J7="--","--", J7/$N7))</f>
        <v>--</v>
      </c>
      <c r="E7" s="157">
        <f>IF($I7="NV", "--", IF(K7="--","--", K7/$N7))</f>
        <v>1077619.0476190476</v>
      </c>
      <c r="F7" s="320">
        <f>IF(MIN(G7,H7)=0,"--",MIN(G7,H7))</f>
        <v>4526000</v>
      </c>
      <c r="G7" s="157" t="str">
        <f>IF($I7="NV", "--", IF(L7="--","--", L7/$N7))</f>
        <v>--</v>
      </c>
      <c r="H7" s="157">
        <f>IF($I7="NV", "--", IF(M7="--","--", M7/$N7))</f>
        <v>4526000</v>
      </c>
      <c r="I7" s="188" t="str">
        <f t="shared" ref="I7:I33" si="0">VLOOKUP($A7,Table_IP_1,MATCH("volatility",heading_IP_1,0),FALSE)</f>
        <v>V</v>
      </c>
      <c r="J7" s="196" t="str">
        <f t="shared" ref="J7:J33" si="1">VLOOKUP($A7, Table_IA_1, MATCH("IA-Res-C", heading_IA_1, 0), FALSE)</f>
        <v>--</v>
      </c>
      <c r="K7" s="196">
        <f t="shared" ref="K7:K33" si="2">VLOOKUP($A7, Table_IA_1, MATCH("IA-Res-NC", heading_IA_1, 0), FALSE)</f>
        <v>32328.571428571428</v>
      </c>
      <c r="L7" s="538" t="str">
        <f>VLOOKUP($A7, Table_IA_1, MATCH("IA-Com-C", heading_IA_1, 0), FALSE)</f>
        <v>--</v>
      </c>
      <c r="M7" s="538">
        <f t="shared" ref="M7:M33" si="3">VLOOKUP($A7, Table_IA_1, MATCH("IA-Com-NC", heading_IA_1, 0), FALSE)</f>
        <v>135780</v>
      </c>
      <c r="N7" s="694">
        <f t="shared" ref="N7:N32" si="4">AFsmin</f>
        <v>0.03</v>
      </c>
      <c r="O7" s="55"/>
    </row>
    <row r="8" spans="1:16" ht="11.25" customHeight="1">
      <c r="A8" s="153" t="s">
        <v>85</v>
      </c>
      <c r="B8" s="281" t="s">
        <v>86</v>
      </c>
      <c r="C8" s="320">
        <f t="shared" ref="C8:C30" si="5">IF(MIN(D8,E8)=0,"--",MIN(D8,E8))</f>
        <v>1.9099947671376245E-2</v>
      </c>
      <c r="D8" s="157">
        <f t="shared" ref="D8:D30" si="6">IF($I8="NV", "--", IF(J8="--","--", J8/$N8))</f>
        <v>1.9099947671376245E-2</v>
      </c>
      <c r="E8" s="157" t="str">
        <f t="shared" ref="E8:E30" si="7">IF($I8="NV", "--", IF(K8="--","--", K8/$N8))</f>
        <v>--</v>
      </c>
      <c r="F8" s="320">
        <f t="shared" ref="F8:F30" si="8">IF(MIN(G8,H8)=0,"--",MIN(G8,H8))</f>
        <v>8.3428571428571408E-2</v>
      </c>
      <c r="G8" s="157">
        <f t="shared" ref="G8:G30" si="9">IF($I8="NV", "--", IF(L8="--","--", L8/$N8))</f>
        <v>8.3428571428571408E-2</v>
      </c>
      <c r="H8" s="157" t="str">
        <f t="shared" ref="H8:H30" si="10">IF($I8="NV", "--", IF(M8="--","--", M8/$N8))</f>
        <v>--</v>
      </c>
      <c r="I8" s="179" t="str">
        <f t="shared" si="0"/>
        <v>V</v>
      </c>
      <c r="J8" s="158">
        <f t="shared" si="1"/>
        <v>5.729984301412873E-4</v>
      </c>
      <c r="K8" s="158" t="str">
        <f t="shared" si="2"/>
        <v>--</v>
      </c>
      <c r="L8" s="538">
        <f t="shared" ref="L8:L33" si="11">VLOOKUP($A8, Table_IA_1, MATCH("IA-Com-C", heading_IA_1, 0), FALSE)</f>
        <v>2.5028571428571422E-3</v>
      </c>
      <c r="M8" s="158" t="str">
        <f t="shared" si="3"/>
        <v>--</v>
      </c>
      <c r="N8" s="695">
        <f t="shared" si="4"/>
        <v>0.03</v>
      </c>
      <c r="O8" s="55"/>
    </row>
    <row r="9" spans="1:16" ht="11.25" customHeight="1">
      <c r="A9" s="153" t="s">
        <v>87</v>
      </c>
      <c r="B9" s="281" t="s">
        <v>88</v>
      </c>
      <c r="C9" s="320" t="str">
        <f t="shared" si="5"/>
        <v>--</v>
      </c>
      <c r="D9" s="157" t="str">
        <f t="shared" si="6"/>
        <v>--</v>
      </c>
      <c r="E9" s="157" t="str">
        <f t="shared" si="7"/>
        <v>--</v>
      </c>
      <c r="F9" s="320" t="str">
        <f t="shared" si="8"/>
        <v>--</v>
      </c>
      <c r="G9" s="157" t="str">
        <f t="shared" si="9"/>
        <v>--</v>
      </c>
      <c r="H9" s="157" t="str">
        <f t="shared" si="10"/>
        <v>--</v>
      </c>
      <c r="I9" s="179" t="str">
        <f t="shared" si="0"/>
        <v>NV</v>
      </c>
      <c r="J9" s="158" t="str">
        <f t="shared" si="1"/>
        <v>--</v>
      </c>
      <c r="K9" s="158" t="str">
        <f t="shared" si="2"/>
        <v>--</v>
      </c>
      <c r="L9" s="538" t="str">
        <f t="shared" si="11"/>
        <v>--</v>
      </c>
      <c r="M9" s="158" t="str">
        <f t="shared" si="3"/>
        <v>--</v>
      </c>
      <c r="N9" s="695">
        <f t="shared" si="4"/>
        <v>0.03</v>
      </c>
      <c r="O9" s="55"/>
    </row>
    <row r="10" spans="1:16" ht="11.25" customHeight="1">
      <c r="A10" s="153" t="s">
        <v>89</v>
      </c>
      <c r="B10" s="281" t="s">
        <v>90</v>
      </c>
      <c r="C10" s="320" t="str">
        <f t="shared" si="5"/>
        <v>--</v>
      </c>
      <c r="D10" s="157" t="str">
        <f t="shared" si="6"/>
        <v>--</v>
      </c>
      <c r="E10" s="157" t="str">
        <f t="shared" si="7"/>
        <v>--</v>
      </c>
      <c r="F10" s="320" t="str">
        <f t="shared" si="8"/>
        <v>--</v>
      </c>
      <c r="G10" s="157" t="str">
        <f t="shared" si="9"/>
        <v>--</v>
      </c>
      <c r="H10" s="157" t="str">
        <f t="shared" si="10"/>
        <v>--</v>
      </c>
      <c r="I10" s="179" t="str">
        <f t="shared" si="0"/>
        <v>NV</v>
      </c>
      <c r="J10" s="158" t="str">
        <f t="shared" si="1"/>
        <v>--</v>
      </c>
      <c r="K10" s="158" t="str">
        <f t="shared" si="2"/>
        <v>--</v>
      </c>
      <c r="L10" s="538" t="str">
        <f t="shared" si="11"/>
        <v>--</v>
      </c>
      <c r="M10" s="158" t="str">
        <f t="shared" si="3"/>
        <v>--</v>
      </c>
      <c r="N10" s="695">
        <f t="shared" si="4"/>
        <v>0.03</v>
      </c>
      <c r="O10" s="55"/>
    </row>
    <row r="11" spans="1:16" ht="11.25" customHeight="1">
      <c r="A11" s="153" t="s">
        <v>91</v>
      </c>
      <c r="B11" s="281" t="s">
        <v>92</v>
      </c>
      <c r="C11" s="320" t="str">
        <f t="shared" si="5"/>
        <v>--</v>
      </c>
      <c r="D11" s="157" t="str">
        <f t="shared" si="6"/>
        <v>--</v>
      </c>
      <c r="E11" s="157" t="str">
        <f t="shared" si="7"/>
        <v>--</v>
      </c>
      <c r="F11" s="320" t="str">
        <f t="shared" si="8"/>
        <v>--</v>
      </c>
      <c r="G11" s="157" t="str">
        <f t="shared" si="9"/>
        <v>--</v>
      </c>
      <c r="H11" s="157" t="str">
        <f t="shared" si="10"/>
        <v>--</v>
      </c>
      <c r="I11" s="179" t="str">
        <f t="shared" si="0"/>
        <v>NV</v>
      </c>
      <c r="J11" s="158" t="str">
        <f t="shared" si="1"/>
        <v>--</v>
      </c>
      <c r="K11" s="158" t="str">
        <f t="shared" si="2"/>
        <v>--</v>
      </c>
      <c r="L11" s="538" t="str">
        <f t="shared" si="11"/>
        <v>--</v>
      </c>
      <c r="M11" s="158" t="str">
        <f t="shared" si="3"/>
        <v>--</v>
      </c>
      <c r="N11" s="695">
        <f t="shared" si="4"/>
        <v>0.03</v>
      </c>
      <c r="O11" s="55"/>
    </row>
    <row r="12" spans="1:16" ht="11.25" customHeight="1">
      <c r="A12" s="153" t="s">
        <v>93</v>
      </c>
      <c r="B12" s="281" t="s">
        <v>94</v>
      </c>
      <c r="C12" s="320">
        <f t="shared" si="5"/>
        <v>3.2272325375773643</v>
      </c>
      <c r="D12" s="157">
        <f t="shared" si="6"/>
        <v>3.2272325375773643</v>
      </c>
      <c r="E12" s="157">
        <f t="shared" si="7"/>
        <v>104.28571428571429</v>
      </c>
      <c r="F12" s="320">
        <f t="shared" si="8"/>
        <v>14.096551724137928</v>
      </c>
      <c r="G12" s="157">
        <f t="shared" si="9"/>
        <v>14.096551724137928</v>
      </c>
      <c r="H12" s="157">
        <f t="shared" si="10"/>
        <v>438</v>
      </c>
      <c r="I12" s="179" t="str">
        <f t="shared" si="0"/>
        <v>V</v>
      </c>
      <c r="J12" s="158">
        <f t="shared" si="1"/>
        <v>9.6816976127320931E-2</v>
      </c>
      <c r="K12" s="158">
        <f t="shared" si="2"/>
        <v>3.1285714285714286</v>
      </c>
      <c r="L12" s="538">
        <f t="shared" si="11"/>
        <v>0.42289655172413781</v>
      </c>
      <c r="M12" s="158">
        <f t="shared" si="3"/>
        <v>13.139999999999999</v>
      </c>
      <c r="N12" s="695">
        <f t="shared" si="4"/>
        <v>0.03</v>
      </c>
      <c r="O12" s="55"/>
    </row>
    <row r="13" spans="1:16" ht="11.25" customHeight="1">
      <c r="A13" s="153" t="s">
        <v>95</v>
      </c>
      <c r="B13" s="281" t="s">
        <v>96</v>
      </c>
      <c r="C13" s="320" t="str">
        <f t="shared" si="5"/>
        <v>--</v>
      </c>
      <c r="D13" s="157" t="str">
        <f t="shared" si="6"/>
        <v>--</v>
      </c>
      <c r="E13" s="157" t="str">
        <f t="shared" si="7"/>
        <v>--</v>
      </c>
      <c r="F13" s="320" t="str">
        <f t="shared" si="8"/>
        <v>--</v>
      </c>
      <c r="G13" s="157" t="str">
        <f t="shared" si="9"/>
        <v>--</v>
      </c>
      <c r="H13" s="157" t="str">
        <f t="shared" si="10"/>
        <v>--</v>
      </c>
      <c r="I13" s="179" t="str">
        <f t="shared" si="0"/>
        <v>NV</v>
      </c>
      <c r="J13" s="158" t="str">
        <f t="shared" si="1"/>
        <v>--</v>
      </c>
      <c r="K13" s="158" t="str">
        <f t="shared" si="2"/>
        <v>--</v>
      </c>
      <c r="L13" s="538" t="str">
        <f t="shared" si="11"/>
        <v>--</v>
      </c>
      <c r="M13" s="158" t="str">
        <f t="shared" si="3"/>
        <v>--</v>
      </c>
      <c r="N13" s="695">
        <f t="shared" si="4"/>
        <v>0.03</v>
      </c>
      <c r="O13" s="55"/>
    </row>
    <row r="14" spans="1:16" ht="11.25" customHeight="1">
      <c r="A14" s="153" t="s">
        <v>97</v>
      </c>
      <c r="B14" s="281" t="s">
        <v>98</v>
      </c>
      <c r="C14" s="320">
        <f t="shared" si="5"/>
        <v>13.904761904761905</v>
      </c>
      <c r="D14" s="157" t="str">
        <f t="shared" si="6"/>
        <v>--</v>
      </c>
      <c r="E14" s="157">
        <f t="shared" si="7"/>
        <v>13.904761904761905</v>
      </c>
      <c r="F14" s="320">
        <f t="shared" si="8"/>
        <v>58.399999999999991</v>
      </c>
      <c r="G14" s="157" t="str">
        <f t="shared" si="9"/>
        <v>--</v>
      </c>
      <c r="H14" s="157">
        <f t="shared" si="10"/>
        <v>58.399999999999991</v>
      </c>
      <c r="I14" s="179" t="str">
        <f t="shared" si="0"/>
        <v>V</v>
      </c>
      <c r="J14" s="158" t="str">
        <f t="shared" si="1"/>
        <v>--</v>
      </c>
      <c r="K14" s="158">
        <f t="shared" si="2"/>
        <v>0.41714285714285715</v>
      </c>
      <c r="L14" s="538" t="str">
        <f t="shared" si="11"/>
        <v>--</v>
      </c>
      <c r="M14" s="158">
        <f t="shared" si="3"/>
        <v>1.7519999999999998</v>
      </c>
      <c r="N14" s="695">
        <f t="shared" si="4"/>
        <v>0.03</v>
      </c>
      <c r="O14" s="55"/>
    </row>
    <row r="15" spans="1:16" ht="11.25" customHeight="1">
      <c r="A15" s="153" t="s">
        <v>99</v>
      </c>
      <c r="B15" s="281" t="s">
        <v>100</v>
      </c>
      <c r="C15" s="320">
        <f t="shared" si="5"/>
        <v>0.13181654026724449</v>
      </c>
      <c r="D15" s="157">
        <f t="shared" si="6"/>
        <v>0.13181654026724449</v>
      </c>
      <c r="E15" s="157" t="str">
        <f t="shared" si="7"/>
        <v>--</v>
      </c>
      <c r="F15" s="320">
        <f t="shared" si="8"/>
        <v>0.57577464788732391</v>
      </c>
      <c r="G15" s="157">
        <f t="shared" si="9"/>
        <v>0.57577464788732391</v>
      </c>
      <c r="H15" s="157" t="str">
        <f t="shared" si="10"/>
        <v>--</v>
      </c>
      <c r="I15" s="179" t="str">
        <f t="shared" si="0"/>
        <v>V</v>
      </c>
      <c r="J15" s="158">
        <f t="shared" si="1"/>
        <v>3.9544962080173343E-3</v>
      </c>
      <c r="K15" s="158" t="str">
        <f t="shared" si="2"/>
        <v>--</v>
      </c>
      <c r="L15" s="538">
        <f t="shared" si="11"/>
        <v>1.7273239436619715E-2</v>
      </c>
      <c r="M15" s="158" t="str">
        <f t="shared" si="3"/>
        <v>--</v>
      </c>
      <c r="N15" s="695">
        <f t="shared" si="4"/>
        <v>0.03</v>
      </c>
      <c r="O15" s="55"/>
    </row>
    <row r="16" spans="1:16" ht="11.25" customHeight="1">
      <c r="A16" s="153" t="s">
        <v>101</v>
      </c>
      <c r="B16" s="281" t="s">
        <v>102</v>
      </c>
      <c r="C16" s="320" t="str">
        <f t="shared" si="5"/>
        <v>--</v>
      </c>
      <c r="D16" s="157" t="str">
        <f t="shared" si="6"/>
        <v>--</v>
      </c>
      <c r="E16" s="157" t="str">
        <f t="shared" si="7"/>
        <v>--</v>
      </c>
      <c r="F16" s="320" t="str">
        <f t="shared" si="8"/>
        <v>--</v>
      </c>
      <c r="G16" s="157" t="str">
        <f t="shared" si="9"/>
        <v>--</v>
      </c>
      <c r="H16" s="157" t="str">
        <f t="shared" si="10"/>
        <v>--</v>
      </c>
      <c r="I16" s="179" t="str">
        <f t="shared" si="0"/>
        <v>V</v>
      </c>
      <c r="J16" s="158" t="str">
        <f t="shared" si="1"/>
        <v>--</v>
      </c>
      <c r="K16" s="158" t="str">
        <f t="shared" si="2"/>
        <v>--</v>
      </c>
      <c r="L16" s="538" t="str">
        <f t="shared" si="11"/>
        <v>--</v>
      </c>
      <c r="M16" s="158" t="str">
        <f t="shared" si="3"/>
        <v>--</v>
      </c>
      <c r="N16" s="695">
        <f t="shared" si="4"/>
        <v>0.03</v>
      </c>
      <c r="O16" s="55"/>
    </row>
    <row r="17" spans="1:15" ht="11.25" customHeight="1">
      <c r="A17" s="153" t="s">
        <v>103</v>
      </c>
      <c r="B17" s="281" t="s">
        <v>104</v>
      </c>
      <c r="C17" s="320" t="str">
        <f t="shared" si="5"/>
        <v>--</v>
      </c>
      <c r="D17" s="157" t="str">
        <f t="shared" si="6"/>
        <v>--</v>
      </c>
      <c r="E17" s="157" t="str">
        <f t="shared" si="7"/>
        <v>--</v>
      </c>
      <c r="F17" s="320" t="str">
        <f t="shared" si="8"/>
        <v>--</v>
      </c>
      <c r="G17" s="157" t="str">
        <f t="shared" si="9"/>
        <v>--</v>
      </c>
      <c r="H17" s="157" t="str">
        <f t="shared" si="10"/>
        <v>--</v>
      </c>
      <c r="I17" s="179" t="str">
        <f t="shared" si="0"/>
        <v>NV</v>
      </c>
      <c r="J17" s="158" t="str">
        <f t="shared" si="1"/>
        <v>--</v>
      </c>
      <c r="K17" s="158" t="str">
        <f t="shared" si="2"/>
        <v>--</v>
      </c>
      <c r="L17" s="538" t="str">
        <f t="shared" si="11"/>
        <v>--</v>
      </c>
      <c r="M17" s="158" t="str">
        <f t="shared" si="3"/>
        <v>--</v>
      </c>
      <c r="N17" s="695">
        <f t="shared" si="4"/>
        <v>0.03</v>
      </c>
      <c r="O17" s="55"/>
    </row>
    <row r="18" spans="1:15" ht="11.25" customHeight="1">
      <c r="A18" s="153" t="s">
        <v>105</v>
      </c>
      <c r="B18" s="281" t="s">
        <v>106</v>
      </c>
      <c r="C18" s="320" t="str">
        <f t="shared" si="5"/>
        <v>--</v>
      </c>
      <c r="D18" s="157" t="str">
        <f t="shared" si="6"/>
        <v>--</v>
      </c>
      <c r="E18" s="157" t="str">
        <f t="shared" si="7"/>
        <v>--</v>
      </c>
      <c r="F18" s="320" t="str">
        <f t="shared" si="8"/>
        <v>--</v>
      </c>
      <c r="G18" s="157" t="str">
        <f t="shared" si="9"/>
        <v>--</v>
      </c>
      <c r="H18" s="157" t="str">
        <f t="shared" si="10"/>
        <v>--</v>
      </c>
      <c r="I18" s="179" t="str">
        <f t="shared" si="0"/>
        <v>NV</v>
      </c>
      <c r="J18" s="158" t="str">
        <f t="shared" si="1"/>
        <v>--</v>
      </c>
      <c r="K18" s="158" t="str">
        <f t="shared" si="2"/>
        <v>--</v>
      </c>
      <c r="L18" s="538" t="str">
        <f t="shared" si="11"/>
        <v>--</v>
      </c>
      <c r="M18" s="158" t="str">
        <f t="shared" si="3"/>
        <v>--</v>
      </c>
      <c r="N18" s="695">
        <f t="shared" si="4"/>
        <v>0.03</v>
      </c>
    </row>
    <row r="19" spans="1:15" ht="11.25" customHeight="1">
      <c r="A19" s="153" t="s">
        <v>107</v>
      </c>
      <c r="B19" s="281" t="s">
        <v>108</v>
      </c>
      <c r="C19" s="320">
        <f t="shared" si="5"/>
        <v>2.5294525294525294</v>
      </c>
      <c r="D19" s="157">
        <f t="shared" si="6"/>
        <v>2.5294525294525294</v>
      </c>
      <c r="E19" s="157" t="str">
        <f t="shared" si="7"/>
        <v>--</v>
      </c>
      <c r="F19" s="320">
        <f t="shared" si="8"/>
        <v>11.048648648648646</v>
      </c>
      <c r="G19" s="157">
        <f t="shared" si="9"/>
        <v>11.048648648648646</v>
      </c>
      <c r="H19" s="157" t="str">
        <f t="shared" si="10"/>
        <v>--</v>
      </c>
      <c r="I19" s="179" t="str">
        <f t="shared" si="0"/>
        <v>V</v>
      </c>
      <c r="J19" s="158">
        <f t="shared" si="1"/>
        <v>7.5883575883575874E-2</v>
      </c>
      <c r="K19" s="158" t="str">
        <f t="shared" si="2"/>
        <v>--</v>
      </c>
      <c r="L19" s="538">
        <f t="shared" si="11"/>
        <v>0.33145945945945937</v>
      </c>
      <c r="M19" s="158" t="str">
        <f t="shared" si="3"/>
        <v>--</v>
      </c>
      <c r="N19" s="695">
        <f t="shared" si="4"/>
        <v>0.03</v>
      </c>
    </row>
    <row r="20" spans="1:15" ht="11.25" customHeight="1">
      <c r="A20" s="153" t="s">
        <v>109</v>
      </c>
      <c r="B20" s="281" t="s">
        <v>110</v>
      </c>
      <c r="C20" s="320">
        <f t="shared" si="5"/>
        <v>85.081585081585075</v>
      </c>
      <c r="D20" s="157">
        <f t="shared" si="6"/>
        <v>85.081585081585075</v>
      </c>
      <c r="E20" s="157" t="str">
        <f t="shared" si="7"/>
        <v>--</v>
      </c>
      <c r="F20" s="320">
        <f t="shared" si="8"/>
        <v>371.63636363636351</v>
      </c>
      <c r="G20" s="157">
        <f t="shared" si="9"/>
        <v>371.63636363636351</v>
      </c>
      <c r="H20" s="157" t="str">
        <f t="shared" si="10"/>
        <v>--</v>
      </c>
      <c r="I20" s="179" t="str">
        <f t="shared" si="0"/>
        <v>V</v>
      </c>
      <c r="J20" s="158">
        <f t="shared" si="1"/>
        <v>2.5524475524475521</v>
      </c>
      <c r="K20" s="158" t="str">
        <f t="shared" si="2"/>
        <v>--</v>
      </c>
      <c r="L20" s="538">
        <f t="shared" si="11"/>
        <v>11.149090909090905</v>
      </c>
      <c r="M20" s="158" t="str">
        <f t="shared" si="3"/>
        <v>--</v>
      </c>
      <c r="N20" s="695">
        <f t="shared" si="4"/>
        <v>0.03</v>
      </c>
    </row>
    <row r="21" spans="1:15" ht="11.25" customHeight="1">
      <c r="A21" s="153" t="s">
        <v>111</v>
      </c>
      <c r="B21" s="281" t="s">
        <v>112</v>
      </c>
      <c r="C21" s="320">
        <f t="shared" si="5"/>
        <v>173.80952380952382</v>
      </c>
      <c r="D21" s="157" t="str">
        <f t="shared" si="6"/>
        <v>--</v>
      </c>
      <c r="E21" s="157">
        <f t="shared" si="7"/>
        <v>173.80952380952382</v>
      </c>
      <c r="F21" s="320">
        <f t="shared" si="8"/>
        <v>730</v>
      </c>
      <c r="G21" s="157" t="str">
        <f t="shared" si="9"/>
        <v>--</v>
      </c>
      <c r="H21" s="157">
        <f t="shared" si="10"/>
        <v>730</v>
      </c>
      <c r="I21" s="179" t="str">
        <f t="shared" si="0"/>
        <v>V</v>
      </c>
      <c r="J21" s="158" t="str">
        <f t="shared" si="1"/>
        <v>--</v>
      </c>
      <c r="K21" s="158">
        <f t="shared" si="2"/>
        <v>5.2142857142857144</v>
      </c>
      <c r="L21" s="538" t="str">
        <f t="shared" si="11"/>
        <v>--</v>
      </c>
      <c r="M21" s="158">
        <f t="shared" si="3"/>
        <v>21.9</v>
      </c>
      <c r="N21" s="695">
        <f t="shared" si="4"/>
        <v>0.03</v>
      </c>
    </row>
    <row r="22" spans="1:15" ht="11.25" customHeight="1">
      <c r="A22" s="153" t="s">
        <v>113</v>
      </c>
      <c r="B22" s="281" t="s">
        <v>114</v>
      </c>
      <c r="C22" s="320" t="str">
        <f t="shared" si="5"/>
        <v>--</v>
      </c>
      <c r="D22" s="157" t="str">
        <f t="shared" si="6"/>
        <v>--</v>
      </c>
      <c r="E22" s="157" t="str">
        <f t="shared" si="7"/>
        <v>--</v>
      </c>
      <c r="F22" s="320" t="str">
        <f t="shared" si="8"/>
        <v>--</v>
      </c>
      <c r="G22" s="157" t="str">
        <f t="shared" si="9"/>
        <v>--</v>
      </c>
      <c r="H22" s="157" t="str">
        <f t="shared" si="10"/>
        <v>--</v>
      </c>
      <c r="I22" s="179" t="str">
        <f t="shared" si="0"/>
        <v>NV</v>
      </c>
      <c r="J22" s="158" t="str">
        <f t="shared" si="1"/>
        <v>--</v>
      </c>
      <c r="K22" s="158" t="str">
        <f t="shared" si="2"/>
        <v>--</v>
      </c>
      <c r="L22" s="538" t="str">
        <f t="shared" si="11"/>
        <v>--</v>
      </c>
      <c r="M22" s="158" t="str">
        <f t="shared" si="3"/>
        <v>--</v>
      </c>
      <c r="N22" s="695">
        <f t="shared" si="4"/>
        <v>0.03</v>
      </c>
    </row>
    <row r="23" spans="1:15" ht="11.25" customHeight="1">
      <c r="A23" s="153" t="s">
        <v>116</v>
      </c>
      <c r="B23" s="281" t="s">
        <v>114</v>
      </c>
      <c r="C23" s="320" t="str">
        <f t="shared" si="5"/>
        <v>--</v>
      </c>
      <c r="D23" s="157" t="str">
        <f t="shared" si="6"/>
        <v>--</v>
      </c>
      <c r="E23" s="157" t="str">
        <f t="shared" si="7"/>
        <v>--</v>
      </c>
      <c r="F23" s="320" t="str">
        <f t="shared" si="8"/>
        <v>--</v>
      </c>
      <c r="G23" s="157" t="str">
        <f t="shared" si="9"/>
        <v>--</v>
      </c>
      <c r="H23" s="157" t="str">
        <f t="shared" si="10"/>
        <v>--</v>
      </c>
      <c r="I23" s="179" t="str">
        <f t="shared" si="0"/>
        <v>NV</v>
      </c>
      <c r="J23" s="158" t="str">
        <f t="shared" si="1"/>
        <v>--</v>
      </c>
      <c r="K23" s="158" t="str">
        <f t="shared" si="2"/>
        <v>--</v>
      </c>
      <c r="L23" s="538" t="str">
        <f t="shared" si="11"/>
        <v>--</v>
      </c>
      <c r="M23" s="158" t="str">
        <f t="shared" si="3"/>
        <v>--</v>
      </c>
      <c r="N23" s="695">
        <f t="shared" si="4"/>
        <v>0.03</v>
      </c>
    </row>
    <row r="24" spans="1:15" ht="11.25" customHeight="1">
      <c r="A24" s="153" t="s">
        <v>117</v>
      </c>
      <c r="B24" s="281" t="s">
        <v>118</v>
      </c>
      <c r="C24" s="320">
        <f t="shared" si="5"/>
        <v>15.598290598290594</v>
      </c>
      <c r="D24" s="157">
        <f t="shared" si="6"/>
        <v>15.598290598290594</v>
      </c>
      <c r="E24" s="157">
        <f t="shared" si="7"/>
        <v>1390.4761904761906</v>
      </c>
      <c r="F24" s="320">
        <f t="shared" si="8"/>
        <v>68.133333333333326</v>
      </c>
      <c r="G24" s="157">
        <f t="shared" si="9"/>
        <v>68.133333333333326</v>
      </c>
      <c r="H24" s="157">
        <f t="shared" si="10"/>
        <v>5840</v>
      </c>
      <c r="I24" s="179" t="str">
        <f t="shared" si="0"/>
        <v>V</v>
      </c>
      <c r="J24" s="158">
        <f t="shared" si="1"/>
        <v>0.46794871794871784</v>
      </c>
      <c r="K24" s="158">
        <f t="shared" si="2"/>
        <v>41.714285714285715</v>
      </c>
      <c r="L24" s="538">
        <f t="shared" si="11"/>
        <v>2.0439999999999996</v>
      </c>
      <c r="M24" s="158">
        <f t="shared" si="3"/>
        <v>175.2</v>
      </c>
      <c r="N24" s="695">
        <f t="shared" si="4"/>
        <v>0.03</v>
      </c>
    </row>
    <row r="25" spans="1:15" ht="11.25" customHeight="1">
      <c r="A25" s="153" t="s">
        <v>119</v>
      </c>
      <c r="B25" s="281" t="s">
        <v>120</v>
      </c>
      <c r="C25" s="320">
        <f t="shared" si="5"/>
        <v>0.93589743589743579</v>
      </c>
      <c r="D25" s="157">
        <f t="shared" si="6"/>
        <v>0.93589743589743579</v>
      </c>
      <c r="E25" s="157">
        <f t="shared" si="7"/>
        <v>24.333333333333332</v>
      </c>
      <c r="F25" s="320">
        <f t="shared" si="8"/>
        <v>4.0879999999999983</v>
      </c>
      <c r="G25" s="157">
        <f t="shared" si="9"/>
        <v>4.0879999999999983</v>
      </c>
      <c r="H25" s="157">
        <f t="shared" si="10"/>
        <v>102.2</v>
      </c>
      <c r="I25" s="179" t="str">
        <f t="shared" si="0"/>
        <v>V</v>
      </c>
      <c r="J25" s="158">
        <f t="shared" si="1"/>
        <v>2.8076923076923072E-2</v>
      </c>
      <c r="K25" s="158">
        <f t="shared" si="2"/>
        <v>0.73</v>
      </c>
      <c r="L25" s="538">
        <f t="shared" si="11"/>
        <v>0.12263999999999996</v>
      </c>
      <c r="M25" s="158">
        <f t="shared" si="3"/>
        <v>3.0659999999999998</v>
      </c>
      <c r="N25" s="695">
        <f t="shared" si="4"/>
        <v>0.03</v>
      </c>
    </row>
    <row r="26" spans="1:15" ht="11.25" customHeight="1">
      <c r="A26" s="153" t="s">
        <v>121</v>
      </c>
      <c r="B26" s="281" t="s">
        <v>122</v>
      </c>
      <c r="C26" s="320" t="str">
        <f t="shared" si="5"/>
        <v>--</v>
      </c>
      <c r="D26" s="157" t="str">
        <f t="shared" si="6"/>
        <v>--</v>
      </c>
      <c r="E26" s="157" t="str">
        <f t="shared" si="7"/>
        <v>--</v>
      </c>
      <c r="F26" s="320" t="str">
        <f t="shared" si="8"/>
        <v>--</v>
      </c>
      <c r="G26" s="157" t="str">
        <f t="shared" si="9"/>
        <v>--</v>
      </c>
      <c r="H26" s="157" t="str">
        <f t="shared" si="10"/>
        <v>--</v>
      </c>
      <c r="I26" s="179" t="str">
        <f t="shared" si="0"/>
        <v>NV</v>
      </c>
      <c r="J26" s="158" t="str">
        <f t="shared" si="1"/>
        <v>--</v>
      </c>
      <c r="K26" s="158" t="str">
        <f t="shared" si="2"/>
        <v>--</v>
      </c>
      <c r="L26" s="538" t="str">
        <f t="shared" si="11"/>
        <v>--</v>
      </c>
      <c r="M26" s="158" t="str">
        <f t="shared" si="3"/>
        <v>--</v>
      </c>
      <c r="N26" s="695">
        <f t="shared" si="4"/>
        <v>0.03</v>
      </c>
    </row>
    <row r="27" spans="1:15" ht="11.25" customHeight="1">
      <c r="A27" s="153" t="s">
        <v>123</v>
      </c>
      <c r="B27" s="281" t="s">
        <v>124</v>
      </c>
      <c r="C27" s="320">
        <f t="shared" si="5"/>
        <v>1738.0952380952383</v>
      </c>
      <c r="D27" s="157" t="str">
        <f t="shared" si="6"/>
        <v>--</v>
      </c>
      <c r="E27" s="157">
        <f t="shared" si="7"/>
        <v>1738.0952380952383</v>
      </c>
      <c r="F27" s="320">
        <f t="shared" si="8"/>
        <v>7299.9999999999991</v>
      </c>
      <c r="G27" s="157" t="str">
        <f t="shared" si="9"/>
        <v>--</v>
      </c>
      <c r="H27" s="157">
        <f t="shared" si="10"/>
        <v>7299.9999999999991</v>
      </c>
      <c r="I27" s="179" t="str">
        <f t="shared" si="0"/>
        <v>V</v>
      </c>
      <c r="J27" s="158" t="str">
        <f t="shared" si="1"/>
        <v>--</v>
      </c>
      <c r="K27" s="158">
        <f t="shared" si="2"/>
        <v>52.142857142857146</v>
      </c>
      <c r="L27" s="538" t="str">
        <f t="shared" si="11"/>
        <v>--</v>
      </c>
      <c r="M27" s="158">
        <f t="shared" si="3"/>
        <v>218.99999999999997</v>
      </c>
      <c r="N27" s="695">
        <f t="shared" si="4"/>
        <v>0.03</v>
      </c>
    </row>
    <row r="28" spans="1:15" ht="11.25" customHeight="1">
      <c r="A28" s="153" t="s">
        <v>125</v>
      </c>
      <c r="B28" s="281" t="s">
        <v>126</v>
      </c>
      <c r="C28" s="320">
        <f t="shared" si="5"/>
        <v>139047.61904761905</v>
      </c>
      <c r="D28" s="157" t="str">
        <f t="shared" si="6"/>
        <v>--</v>
      </c>
      <c r="E28" s="157">
        <f t="shared" si="7"/>
        <v>139047.61904761905</v>
      </c>
      <c r="F28" s="320">
        <f t="shared" si="8"/>
        <v>584000</v>
      </c>
      <c r="G28" s="157" t="str">
        <f t="shared" si="9"/>
        <v>--</v>
      </c>
      <c r="H28" s="157">
        <f t="shared" si="10"/>
        <v>584000</v>
      </c>
      <c r="I28" s="179" t="str">
        <f t="shared" si="0"/>
        <v>V</v>
      </c>
      <c r="J28" s="158" t="str">
        <f t="shared" si="1"/>
        <v>--</v>
      </c>
      <c r="K28" s="158">
        <f t="shared" si="2"/>
        <v>4171.4285714285716</v>
      </c>
      <c r="L28" s="538" t="str">
        <f t="shared" si="11"/>
        <v>--</v>
      </c>
      <c r="M28" s="158">
        <f t="shared" si="3"/>
        <v>17520</v>
      </c>
      <c r="N28" s="695">
        <f t="shared" si="4"/>
        <v>0.03</v>
      </c>
    </row>
    <row r="29" spans="1:15" ht="11.25" customHeight="1">
      <c r="A29" s="153" t="s">
        <v>127</v>
      </c>
      <c r="B29" s="281" t="s">
        <v>128</v>
      </c>
      <c r="C29" s="320">
        <f t="shared" si="5"/>
        <v>4.0691192865105901</v>
      </c>
      <c r="D29" s="157">
        <f t="shared" si="6"/>
        <v>4.0691192865105901</v>
      </c>
      <c r="E29" s="157">
        <f t="shared" si="7"/>
        <v>67.785714285714278</v>
      </c>
      <c r="F29" s="320">
        <f t="shared" si="8"/>
        <v>17.77391304347826</v>
      </c>
      <c r="G29" s="157">
        <f t="shared" si="9"/>
        <v>17.77391304347826</v>
      </c>
      <c r="H29" s="157">
        <f t="shared" si="10"/>
        <v>284.7</v>
      </c>
      <c r="I29" s="179" t="str">
        <f t="shared" si="0"/>
        <v>V</v>
      </c>
      <c r="J29" s="158">
        <f t="shared" si="1"/>
        <v>0.1220735785953177</v>
      </c>
      <c r="K29" s="158">
        <f t="shared" si="2"/>
        <v>2.0335714285714284</v>
      </c>
      <c r="L29" s="538">
        <f t="shared" si="11"/>
        <v>0.53321739130434775</v>
      </c>
      <c r="M29" s="158">
        <f t="shared" si="3"/>
        <v>8.5409999999999986</v>
      </c>
      <c r="N29" s="695">
        <f t="shared" si="4"/>
        <v>0.03</v>
      </c>
    </row>
    <row r="30" spans="1:15" ht="11.25" customHeight="1">
      <c r="A30" s="153" t="s">
        <v>129</v>
      </c>
      <c r="B30" s="281" t="s">
        <v>130</v>
      </c>
      <c r="C30" s="320">
        <f t="shared" si="5"/>
        <v>3128.5714285714289</v>
      </c>
      <c r="D30" s="157" t="str">
        <f t="shared" si="6"/>
        <v>--</v>
      </c>
      <c r="E30" s="157">
        <f t="shared" si="7"/>
        <v>3128.5714285714289</v>
      </c>
      <c r="F30" s="320">
        <f t="shared" si="8"/>
        <v>13140</v>
      </c>
      <c r="G30" s="157" t="str">
        <f t="shared" si="9"/>
        <v>--</v>
      </c>
      <c r="H30" s="157">
        <f t="shared" si="10"/>
        <v>13140</v>
      </c>
      <c r="I30" s="179" t="str">
        <f t="shared" si="0"/>
        <v>V</v>
      </c>
      <c r="J30" s="158" t="str">
        <f t="shared" si="1"/>
        <v>--</v>
      </c>
      <c r="K30" s="158">
        <f t="shared" si="2"/>
        <v>93.857142857142861</v>
      </c>
      <c r="L30" s="538" t="str">
        <f t="shared" si="11"/>
        <v>--</v>
      </c>
      <c r="M30" s="158">
        <f t="shared" si="3"/>
        <v>394.2</v>
      </c>
      <c r="N30" s="695">
        <f t="shared" si="4"/>
        <v>0.03</v>
      </c>
    </row>
    <row r="31" spans="1:15" ht="11.25" customHeight="1">
      <c r="A31" s="153" t="s">
        <v>131</v>
      </c>
      <c r="B31" s="281" t="s">
        <v>132</v>
      </c>
      <c r="C31" s="320" t="str">
        <f t="shared" ref="C31:C33" si="12">IF(MIN(D31,E31)=0,"--",MIN(D31,E31))</f>
        <v>--</v>
      </c>
      <c r="D31" s="157" t="str">
        <f t="shared" ref="D31:D32" si="13">IF($I31="NV", "--", IF(J31="--","--", J31/$N31))</f>
        <v>--</v>
      </c>
      <c r="E31" s="157" t="str">
        <f t="shared" ref="E31:E32" si="14">IF($I31="NV", "--", IF(K31="--","--", K31/$N31))</f>
        <v>--</v>
      </c>
      <c r="F31" s="320" t="str">
        <f t="shared" ref="F31:F32" si="15">IF(MIN(G31,H31)=0,"--",MIN(G31,H31))</f>
        <v>--</v>
      </c>
      <c r="G31" s="157" t="str">
        <f t="shared" ref="G31:G32" si="16">IF($I31="NV", "--", IF(L31="--","--", L31/$N31))</f>
        <v>--</v>
      </c>
      <c r="H31" s="157" t="str">
        <f t="shared" ref="H31:H32" si="17">IF($I31="NV", "--", IF(M31="--","--", M31/$N31))</f>
        <v>--</v>
      </c>
      <c r="I31" s="179" t="str">
        <f t="shared" si="0"/>
        <v>V</v>
      </c>
      <c r="J31" s="158" t="str">
        <f t="shared" si="1"/>
        <v>--</v>
      </c>
      <c r="K31" s="158" t="str">
        <f t="shared" si="2"/>
        <v>--</v>
      </c>
      <c r="L31" s="538" t="str">
        <f t="shared" si="11"/>
        <v>--</v>
      </c>
      <c r="M31" s="158" t="str">
        <f t="shared" si="3"/>
        <v>--</v>
      </c>
      <c r="N31" s="695">
        <f t="shared" si="4"/>
        <v>0.03</v>
      </c>
    </row>
    <row r="32" spans="1:15" ht="11.25" customHeight="1">
      <c r="A32" s="153" t="s">
        <v>133</v>
      </c>
      <c r="B32" s="281" t="s">
        <v>134</v>
      </c>
      <c r="C32" s="320" t="str">
        <f t="shared" si="12"/>
        <v>--</v>
      </c>
      <c r="D32" s="157" t="str">
        <f t="shared" si="13"/>
        <v>--</v>
      </c>
      <c r="E32" s="157" t="str">
        <f t="shared" si="14"/>
        <v>--</v>
      </c>
      <c r="F32" s="320" t="str">
        <f t="shared" si="15"/>
        <v>--</v>
      </c>
      <c r="G32" s="157" t="str">
        <f t="shared" si="16"/>
        <v>--</v>
      </c>
      <c r="H32" s="157" t="str">
        <f t="shared" si="17"/>
        <v>--</v>
      </c>
      <c r="I32" s="179" t="str">
        <f t="shared" si="0"/>
        <v>NV</v>
      </c>
      <c r="J32" s="158" t="str">
        <f t="shared" si="1"/>
        <v>--</v>
      </c>
      <c r="K32" s="158" t="str">
        <f t="shared" si="2"/>
        <v>--</v>
      </c>
      <c r="L32" s="538" t="str">
        <f t="shared" si="11"/>
        <v>--</v>
      </c>
      <c r="M32" s="158" t="str">
        <f t="shared" si="3"/>
        <v>--</v>
      </c>
      <c r="N32" s="695">
        <f t="shared" si="4"/>
        <v>0.03</v>
      </c>
    </row>
    <row r="33" spans="1:14" ht="11.25" customHeight="1">
      <c r="A33" s="153" t="s">
        <v>135</v>
      </c>
      <c r="B33" s="281" t="s">
        <v>136</v>
      </c>
      <c r="C33" s="320" t="str">
        <f t="shared" si="12"/>
        <v>--</v>
      </c>
      <c r="D33" s="157" t="str">
        <f t="shared" ref="D33:D36" si="18">IF($I33="NV", "--", IF(J33="--","--", J33/$N33))</f>
        <v>--</v>
      </c>
      <c r="E33" s="157" t="str">
        <f t="shared" ref="E33:E36" si="19">IF($I33="NV", "--", IF(K33="--","--", K33/$N33))</f>
        <v>--</v>
      </c>
      <c r="F33" s="540" t="str">
        <f t="shared" ref="F33:F36" si="20">IF(MIN(G33,H33)=0,"--",MIN(G33,H33))</f>
        <v>--</v>
      </c>
      <c r="G33" s="157" t="str">
        <f t="shared" ref="G33:G36" si="21">IF($I33="NV", "--", IF(L33="--","--", L33/$N33))</f>
        <v>--</v>
      </c>
      <c r="H33" s="157" t="str">
        <f t="shared" ref="H33:H36" si="22">IF($I33="NV", "--", IF(M33="--","--", M33/$N33))</f>
        <v>--</v>
      </c>
      <c r="I33" s="179" t="str">
        <f t="shared" si="0"/>
        <v>NV</v>
      </c>
      <c r="J33" s="158" t="str">
        <f t="shared" si="1"/>
        <v>--</v>
      </c>
      <c r="K33" s="158" t="str">
        <f t="shared" si="2"/>
        <v>--</v>
      </c>
      <c r="L33" s="538" t="str">
        <f t="shared" si="11"/>
        <v>--</v>
      </c>
      <c r="M33" s="158" t="str">
        <f t="shared" si="3"/>
        <v>--</v>
      </c>
      <c r="N33" s="695">
        <f t="shared" ref="N33:N103" si="23">AFsmin</f>
        <v>0.03</v>
      </c>
    </row>
    <row r="34" spans="1:14" ht="11.25" customHeight="1">
      <c r="A34" s="153" t="s">
        <v>137</v>
      </c>
      <c r="B34" s="281" t="s">
        <v>138</v>
      </c>
      <c r="C34" s="540" t="str">
        <f t="shared" ref="C34:C36" si="24">IF(MIN(D34,E34)=0,"--",MIN(D34,E34))</f>
        <v>--</v>
      </c>
      <c r="D34" s="157" t="str">
        <f t="shared" si="18"/>
        <v>--</v>
      </c>
      <c r="E34" s="157" t="str">
        <f t="shared" si="19"/>
        <v>--</v>
      </c>
      <c r="F34" s="540" t="str">
        <f t="shared" si="20"/>
        <v>--</v>
      </c>
      <c r="G34" s="157" t="str">
        <f t="shared" si="21"/>
        <v>--</v>
      </c>
      <c r="H34" s="157" t="str">
        <f t="shared" si="22"/>
        <v>--</v>
      </c>
      <c r="I34" s="179" t="str">
        <f t="shared" ref="I34:I96" si="25">VLOOKUP($A34,Table_IP_1,MATCH("volatility",heading_IP_1,0),FALSE)</f>
        <v>NV</v>
      </c>
      <c r="J34" s="158" t="str">
        <f t="shared" ref="J34:J96" si="26">VLOOKUP($A34, Table_IA_1, MATCH("IA-Res-C", heading_IA_1, 0), FALSE)</f>
        <v>--</v>
      </c>
      <c r="K34" s="158" t="str">
        <f t="shared" ref="K34:K96" si="27">VLOOKUP($A34, Table_IA_1, MATCH("IA-Res-NC", heading_IA_1, 0), FALSE)</f>
        <v>--</v>
      </c>
      <c r="L34" s="158" t="str">
        <f t="shared" ref="L34:L96" si="28">VLOOKUP($A34, Table_IA_1, MATCH("IA-Com-C", heading_IA_1, 0), FALSE)</f>
        <v>--</v>
      </c>
      <c r="M34" s="158" t="str">
        <f t="shared" ref="M34:M96" si="29">VLOOKUP($A34, Table_IA_1, MATCH("IA-Com-NC", heading_IA_1, 0), FALSE)</f>
        <v>--</v>
      </c>
      <c r="N34" s="695">
        <f t="shared" si="23"/>
        <v>0.03</v>
      </c>
    </row>
    <row r="35" spans="1:14" ht="11.25" customHeight="1">
      <c r="A35" s="153" t="s">
        <v>139</v>
      </c>
      <c r="B35" s="281" t="s">
        <v>140</v>
      </c>
      <c r="C35" s="540" t="str">
        <f t="shared" si="24"/>
        <v>--</v>
      </c>
      <c r="D35" s="157" t="str">
        <f t="shared" si="18"/>
        <v>--</v>
      </c>
      <c r="E35" s="157" t="str">
        <f t="shared" si="19"/>
        <v>--</v>
      </c>
      <c r="F35" s="540" t="str">
        <f t="shared" si="20"/>
        <v>--</v>
      </c>
      <c r="G35" s="157" t="str">
        <f t="shared" si="21"/>
        <v>--</v>
      </c>
      <c r="H35" s="157" t="str">
        <f t="shared" si="22"/>
        <v>--</v>
      </c>
      <c r="I35" s="179" t="str">
        <f t="shared" si="25"/>
        <v>NV</v>
      </c>
      <c r="J35" s="158" t="str">
        <f t="shared" si="26"/>
        <v>--</v>
      </c>
      <c r="K35" s="158" t="str">
        <f t="shared" si="27"/>
        <v>--</v>
      </c>
      <c r="L35" s="158" t="str">
        <f t="shared" si="28"/>
        <v>--</v>
      </c>
      <c r="M35" s="158" t="str">
        <f t="shared" si="29"/>
        <v>--</v>
      </c>
      <c r="N35" s="695">
        <f t="shared" si="23"/>
        <v>0.03</v>
      </c>
    </row>
    <row r="36" spans="1:14" ht="11.25" customHeight="1">
      <c r="A36" s="153" t="s">
        <v>141</v>
      </c>
      <c r="B36" s="281" t="s">
        <v>142</v>
      </c>
      <c r="C36" s="540" t="str">
        <f t="shared" si="24"/>
        <v>--</v>
      </c>
      <c r="D36" s="157" t="str">
        <f t="shared" si="18"/>
        <v>--</v>
      </c>
      <c r="E36" s="157" t="str">
        <f t="shared" si="19"/>
        <v>--</v>
      </c>
      <c r="F36" s="540" t="str">
        <f t="shared" si="20"/>
        <v>--</v>
      </c>
      <c r="G36" s="157" t="str">
        <f t="shared" si="21"/>
        <v>--</v>
      </c>
      <c r="H36" s="157" t="str">
        <f t="shared" si="22"/>
        <v>--</v>
      </c>
      <c r="I36" s="179" t="str">
        <f t="shared" si="25"/>
        <v>NV</v>
      </c>
      <c r="J36" s="158" t="str">
        <f t="shared" si="26"/>
        <v>--</v>
      </c>
      <c r="K36" s="158" t="str">
        <f t="shared" si="27"/>
        <v>--</v>
      </c>
      <c r="L36" s="158" t="str">
        <f t="shared" si="28"/>
        <v>--</v>
      </c>
      <c r="M36" s="158" t="str">
        <f t="shared" si="29"/>
        <v>--</v>
      </c>
      <c r="N36" s="695">
        <f t="shared" si="23"/>
        <v>0.03</v>
      </c>
    </row>
    <row r="37" spans="1:14" ht="11.25" customHeight="1">
      <c r="A37" s="153" t="s">
        <v>143</v>
      </c>
      <c r="B37" s="281" t="s">
        <v>144</v>
      </c>
      <c r="C37" s="540">
        <f t="shared" ref="C37:C100" si="30">IF(MIN(D37,E37)=0,"--",MIN(D37,E37))</f>
        <v>27.80952380952381</v>
      </c>
      <c r="D37" s="157" t="str">
        <f t="shared" ref="D37:D100" si="31">IF($I37="NV", "--", IF(J37="--","--", J37/$N37))</f>
        <v>--</v>
      </c>
      <c r="E37" s="157">
        <f t="shared" ref="E37:E100" si="32">IF($I37="NV", "--", IF(K37="--","--", K37/$N37))</f>
        <v>27.80952380952381</v>
      </c>
      <c r="F37" s="540">
        <f t="shared" ref="F37:F100" si="33">IF(MIN(G37,H37)=0,"--",MIN(G37,H37))</f>
        <v>116.79999999999998</v>
      </c>
      <c r="G37" s="157" t="str">
        <f t="shared" ref="G37:G100" si="34">IF($I37="NV", "--", IF(L37="--","--", L37/$N37))</f>
        <v>--</v>
      </c>
      <c r="H37" s="157">
        <f t="shared" ref="H37:H100" si="35">IF($I37="NV", "--", IF(M37="--","--", M37/$N37))</f>
        <v>116.79999999999998</v>
      </c>
      <c r="I37" s="179" t="str">
        <f t="shared" si="25"/>
        <v>V</v>
      </c>
      <c r="J37" s="158" t="str">
        <f t="shared" si="26"/>
        <v>--</v>
      </c>
      <c r="K37" s="158">
        <f t="shared" si="27"/>
        <v>0.8342857142857143</v>
      </c>
      <c r="L37" s="158" t="str">
        <f t="shared" si="28"/>
        <v>--</v>
      </c>
      <c r="M37" s="158">
        <f t="shared" si="29"/>
        <v>3.5039999999999996</v>
      </c>
      <c r="N37" s="695">
        <f t="shared" si="23"/>
        <v>0.03</v>
      </c>
    </row>
    <row r="38" spans="1:14" ht="11.25" customHeight="1">
      <c r="A38" s="153" t="s">
        <v>145</v>
      </c>
      <c r="B38" s="281" t="s">
        <v>146</v>
      </c>
      <c r="C38" s="540" t="str">
        <f t="shared" si="30"/>
        <v>--</v>
      </c>
      <c r="D38" s="157" t="str">
        <f t="shared" si="31"/>
        <v>--</v>
      </c>
      <c r="E38" s="157" t="str">
        <f t="shared" si="32"/>
        <v>--</v>
      </c>
      <c r="F38" s="540" t="str">
        <f t="shared" si="33"/>
        <v>--</v>
      </c>
      <c r="G38" s="157" t="str">
        <f t="shared" si="34"/>
        <v>--</v>
      </c>
      <c r="H38" s="157" t="str">
        <f t="shared" si="35"/>
        <v>--</v>
      </c>
      <c r="I38" s="179" t="str">
        <f t="shared" si="25"/>
        <v>V</v>
      </c>
      <c r="J38" s="158" t="str">
        <f t="shared" si="26"/>
        <v>--</v>
      </c>
      <c r="K38" s="158" t="str">
        <f t="shared" si="27"/>
        <v>--</v>
      </c>
      <c r="L38" s="158" t="str">
        <f t="shared" si="28"/>
        <v>--</v>
      </c>
      <c r="M38" s="158" t="str">
        <f t="shared" si="29"/>
        <v>--</v>
      </c>
      <c r="N38" s="695">
        <f t="shared" si="23"/>
        <v>0.03</v>
      </c>
    </row>
    <row r="39" spans="1:14" ht="11.25" customHeight="1">
      <c r="A39" s="153" t="s">
        <v>147</v>
      </c>
      <c r="B39" s="281" t="s">
        <v>148</v>
      </c>
      <c r="C39" s="540">
        <f t="shared" si="30"/>
        <v>5.6327160493827143E-3</v>
      </c>
      <c r="D39" s="157">
        <f t="shared" si="31"/>
        <v>5.6327160493827143E-3</v>
      </c>
      <c r="E39" s="157">
        <f t="shared" si="32"/>
        <v>6.9523809523809526</v>
      </c>
      <c r="F39" s="540">
        <f t="shared" si="33"/>
        <v>6.813333333333331E-2</v>
      </c>
      <c r="G39" s="157">
        <f t="shared" si="34"/>
        <v>6.813333333333331E-2</v>
      </c>
      <c r="H39" s="157">
        <f t="shared" si="35"/>
        <v>29.199999999999996</v>
      </c>
      <c r="I39" s="179" t="str">
        <f t="shared" si="25"/>
        <v>V</v>
      </c>
      <c r="J39" s="158">
        <f t="shared" si="26"/>
        <v>1.6898148148148143E-4</v>
      </c>
      <c r="K39" s="158">
        <f t="shared" si="27"/>
        <v>0.20857142857142857</v>
      </c>
      <c r="L39" s="158">
        <f t="shared" si="28"/>
        <v>2.0439999999999994E-3</v>
      </c>
      <c r="M39" s="158">
        <f t="shared" si="29"/>
        <v>0.87599999999999989</v>
      </c>
      <c r="N39" s="695">
        <f t="shared" si="23"/>
        <v>0.03</v>
      </c>
    </row>
    <row r="40" spans="1:14" ht="11.25" customHeight="1">
      <c r="A40" s="153" t="s">
        <v>149</v>
      </c>
      <c r="B40" s="281" t="s">
        <v>150</v>
      </c>
      <c r="C40" s="540">
        <f t="shared" si="30"/>
        <v>0.15598290598290598</v>
      </c>
      <c r="D40" s="157">
        <f t="shared" si="31"/>
        <v>0.15598290598290598</v>
      </c>
      <c r="E40" s="157">
        <f t="shared" si="32"/>
        <v>27.80952380952381</v>
      </c>
      <c r="F40" s="540">
        <f t="shared" si="33"/>
        <v>0.68133333333333324</v>
      </c>
      <c r="G40" s="157">
        <f t="shared" si="34"/>
        <v>0.68133333333333324</v>
      </c>
      <c r="H40" s="157">
        <f t="shared" si="35"/>
        <v>116.79999999999998</v>
      </c>
      <c r="I40" s="179" t="str">
        <f t="shared" si="25"/>
        <v>V</v>
      </c>
      <c r="J40" s="158">
        <f t="shared" si="26"/>
        <v>4.679487179487179E-3</v>
      </c>
      <c r="K40" s="158">
        <f t="shared" si="27"/>
        <v>0.8342857142857143</v>
      </c>
      <c r="L40" s="158">
        <f t="shared" si="28"/>
        <v>2.0439999999999996E-2</v>
      </c>
      <c r="M40" s="158">
        <f t="shared" si="29"/>
        <v>3.5039999999999996</v>
      </c>
      <c r="N40" s="695">
        <f t="shared" si="23"/>
        <v>0.03</v>
      </c>
    </row>
    <row r="41" spans="1:14" ht="11.25" customHeight="1">
      <c r="A41" s="153" t="s">
        <v>151</v>
      </c>
      <c r="B41" s="281" t="s">
        <v>152</v>
      </c>
      <c r="C41" s="540">
        <f t="shared" si="30"/>
        <v>6952.3809523809532</v>
      </c>
      <c r="D41" s="157" t="str">
        <f t="shared" si="31"/>
        <v>--</v>
      </c>
      <c r="E41" s="157">
        <f t="shared" si="32"/>
        <v>6952.3809523809532</v>
      </c>
      <c r="F41" s="540">
        <f t="shared" si="33"/>
        <v>29199.999999999996</v>
      </c>
      <c r="G41" s="157" t="str">
        <f t="shared" si="34"/>
        <v>--</v>
      </c>
      <c r="H41" s="157">
        <f t="shared" si="35"/>
        <v>29199.999999999996</v>
      </c>
      <c r="I41" s="179" t="str">
        <f t="shared" si="25"/>
        <v>V</v>
      </c>
      <c r="J41" s="158" t="str">
        <f t="shared" si="26"/>
        <v>--</v>
      </c>
      <c r="K41" s="158">
        <f t="shared" si="27"/>
        <v>208.57142857142858</v>
      </c>
      <c r="L41" s="158" t="str">
        <f t="shared" si="28"/>
        <v>--</v>
      </c>
      <c r="M41" s="158">
        <f t="shared" si="29"/>
        <v>875.99999999999989</v>
      </c>
      <c r="N41" s="695">
        <f t="shared" si="23"/>
        <v>0.03</v>
      </c>
    </row>
    <row r="42" spans="1:14" ht="11.25" customHeight="1">
      <c r="A42" s="153" t="s">
        <v>153</v>
      </c>
      <c r="B42" s="281" t="s">
        <v>154</v>
      </c>
      <c r="C42" s="540">
        <f t="shared" si="30"/>
        <v>8.5081585081585072</v>
      </c>
      <c r="D42" s="157">
        <f t="shared" si="31"/>
        <v>8.5081585081585072</v>
      </c>
      <c r="E42" s="157">
        <f t="shared" si="32"/>
        <v>27809.523809523813</v>
      </c>
      <c r="F42" s="540">
        <f t="shared" si="33"/>
        <v>37.163636363636357</v>
      </c>
      <c r="G42" s="157">
        <f t="shared" si="34"/>
        <v>37.163636363636357</v>
      </c>
      <c r="H42" s="157">
        <f t="shared" si="35"/>
        <v>116799.99999999999</v>
      </c>
      <c r="I42" s="179" t="str">
        <f t="shared" si="25"/>
        <v>V</v>
      </c>
      <c r="J42" s="158">
        <f t="shared" si="26"/>
        <v>0.25524475524475521</v>
      </c>
      <c r="K42" s="158">
        <f t="shared" si="27"/>
        <v>834.28571428571433</v>
      </c>
      <c r="L42" s="158">
        <f t="shared" si="28"/>
        <v>1.1149090909090906</v>
      </c>
      <c r="M42" s="158">
        <f t="shared" si="29"/>
        <v>3503.9999999999995</v>
      </c>
      <c r="N42" s="695">
        <f t="shared" si="23"/>
        <v>0.03</v>
      </c>
    </row>
    <row r="43" spans="1:14" ht="11.25" customHeight="1">
      <c r="A43" s="153" t="s">
        <v>155</v>
      </c>
      <c r="B43" s="281" t="s">
        <v>156</v>
      </c>
      <c r="C43" s="540" t="str">
        <f t="shared" si="30"/>
        <v>--</v>
      </c>
      <c r="D43" s="157" t="str">
        <f t="shared" si="31"/>
        <v>--</v>
      </c>
      <c r="E43" s="157" t="str">
        <f t="shared" si="32"/>
        <v>--</v>
      </c>
      <c r="F43" s="540" t="str">
        <f t="shared" si="33"/>
        <v>--</v>
      </c>
      <c r="G43" s="157" t="str">
        <f t="shared" si="34"/>
        <v>--</v>
      </c>
      <c r="H43" s="157" t="str">
        <f t="shared" si="35"/>
        <v>--</v>
      </c>
      <c r="I43" s="179" t="str">
        <f t="shared" si="25"/>
        <v>NV</v>
      </c>
      <c r="J43" s="158" t="str">
        <f t="shared" si="26"/>
        <v>--</v>
      </c>
      <c r="K43" s="158" t="str">
        <f t="shared" si="27"/>
        <v>--</v>
      </c>
      <c r="L43" s="158" t="str">
        <f t="shared" si="28"/>
        <v>--</v>
      </c>
      <c r="M43" s="158" t="str">
        <f t="shared" si="29"/>
        <v>--</v>
      </c>
      <c r="N43" s="695">
        <f t="shared" si="23"/>
        <v>0.03</v>
      </c>
    </row>
    <row r="44" spans="1:14" ht="11.25" customHeight="1">
      <c r="A44" s="153" t="s">
        <v>157</v>
      </c>
      <c r="B44" s="281" t="s">
        <v>158</v>
      </c>
      <c r="C44" s="540" t="str">
        <f t="shared" si="30"/>
        <v>--</v>
      </c>
      <c r="D44" s="157" t="str">
        <f t="shared" si="31"/>
        <v>--</v>
      </c>
      <c r="E44" s="157" t="str">
        <f t="shared" si="32"/>
        <v>--</v>
      </c>
      <c r="F44" s="540" t="str">
        <f t="shared" si="33"/>
        <v>--</v>
      </c>
      <c r="G44" s="157" t="str">
        <f t="shared" si="34"/>
        <v>--</v>
      </c>
      <c r="H44" s="157" t="str">
        <f t="shared" si="35"/>
        <v>--</v>
      </c>
      <c r="I44" s="179" t="str">
        <f t="shared" si="25"/>
        <v>NV</v>
      </c>
      <c r="J44" s="158" t="str">
        <f t="shared" si="26"/>
        <v>--</v>
      </c>
      <c r="K44" s="158" t="str">
        <f t="shared" si="27"/>
        <v>--</v>
      </c>
      <c r="L44" s="158" t="str">
        <f t="shared" si="28"/>
        <v>--</v>
      </c>
      <c r="M44" s="158" t="str">
        <f t="shared" si="29"/>
        <v>--</v>
      </c>
      <c r="N44" s="695">
        <f t="shared" si="23"/>
        <v>0.03</v>
      </c>
    </row>
    <row r="45" spans="1:14" ht="11.25" customHeight="1">
      <c r="A45" s="153" t="s">
        <v>159</v>
      </c>
      <c r="B45" s="281" t="s">
        <v>160</v>
      </c>
      <c r="C45" s="540">
        <f t="shared" si="30"/>
        <v>0.9648427174200368</v>
      </c>
      <c r="D45" s="157">
        <f t="shared" si="31"/>
        <v>0.9648427174200368</v>
      </c>
      <c r="E45" s="157" t="str">
        <f t="shared" si="32"/>
        <v>--</v>
      </c>
      <c r="F45" s="540">
        <f t="shared" si="33"/>
        <v>4.2144329896907218</v>
      </c>
      <c r="G45" s="157">
        <f t="shared" si="34"/>
        <v>4.2144329896907218</v>
      </c>
      <c r="H45" s="157" t="str">
        <f t="shared" si="35"/>
        <v>--</v>
      </c>
      <c r="I45" s="179" t="str">
        <f t="shared" si="25"/>
        <v>V</v>
      </c>
      <c r="J45" s="158">
        <f t="shared" si="26"/>
        <v>2.8945281522601105E-2</v>
      </c>
      <c r="K45" s="158" t="str">
        <f t="shared" si="27"/>
        <v>--</v>
      </c>
      <c r="L45" s="158">
        <f t="shared" si="28"/>
        <v>0.12643298969072164</v>
      </c>
      <c r="M45" s="158" t="str">
        <f t="shared" si="29"/>
        <v>--</v>
      </c>
      <c r="N45" s="695">
        <f t="shared" si="23"/>
        <v>0.03</v>
      </c>
    </row>
    <row r="46" spans="1:14" ht="11.25" customHeight="1">
      <c r="A46" s="153" t="s">
        <v>161</v>
      </c>
      <c r="B46" s="281" t="s">
        <v>162</v>
      </c>
      <c r="C46" s="540" t="str">
        <f t="shared" si="30"/>
        <v>--</v>
      </c>
      <c r="D46" s="157" t="str">
        <f t="shared" si="31"/>
        <v>--</v>
      </c>
      <c r="E46" s="157" t="str">
        <f t="shared" si="32"/>
        <v>--</v>
      </c>
      <c r="F46" s="540" t="str">
        <f t="shared" si="33"/>
        <v>--</v>
      </c>
      <c r="G46" s="157" t="str">
        <f t="shared" si="34"/>
        <v>--</v>
      </c>
      <c r="H46" s="157" t="str">
        <f t="shared" si="35"/>
        <v>--</v>
      </c>
      <c r="I46" s="179" t="str">
        <f t="shared" si="25"/>
        <v>NV</v>
      </c>
      <c r="J46" s="158" t="str">
        <f t="shared" si="26"/>
        <v>--</v>
      </c>
      <c r="K46" s="158" t="str">
        <f t="shared" si="27"/>
        <v>--</v>
      </c>
      <c r="L46" s="158" t="str">
        <f t="shared" si="28"/>
        <v>--</v>
      </c>
      <c r="M46" s="158" t="str">
        <f t="shared" si="29"/>
        <v>--</v>
      </c>
      <c r="N46" s="695">
        <f t="shared" si="23"/>
        <v>0.03</v>
      </c>
    </row>
    <row r="47" spans="1:14" ht="11.25" customHeight="1">
      <c r="A47" s="153" t="s">
        <v>163</v>
      </c>
      <c r="B47" s="281" t="s">
        <v>164</v>
      </c>
      <c r="C47" s="540">
        <f t="shared" si="30"/>
        <v>58.493589743589737</v>
      </c>
      <c r="D47" s="157">
        <f t="shared" si="31"/>
        <v>58.493589743589737</v>
      </c>
      <c r="E47" s="157" t="str">
        <f t="shared" si="32"/>
        <v>--</v>
      </c>
      <c r="F47" s="540">
        <f t="shared" si="33"/>
        <v>255.49999999999994</v>
      </c>
      <c r="G47" s="157">
        <f t="shared" si="34"/>
        <v>255.49999999999994</v>
      </c>
      <c r="H47" s="157" t="str">
        <f t="shared" si="35"/>
        <v>--</v>
      </c>
      <c r="I47" s="179" t="str">
        <f t="shared" si="25"/>
        <v>V</v>
      </c>
      <c r="J47" s="158">
        <f t="shared" si="26"/>
        <v>1.7548076923076921</v>
      </c>
      <c r="K47" s="158" t="str">
        <f t="shared" si="27"/>
        <v>--</v>
      </c>
      <c r="L47" s="158">
        <f t="shared" si="28"/>
        <v>7.6649999999999983</v>
      </c>
      <c r="M47" s="158" t="str">
        <f t="shared" si="29"/>
        <v>--</v>
      </c>
      <c r="N47" s="695">
        <f t="shared" si="23"/>
        <v>0.03</v>
      </c>
    </row>
    <row r="48" spans="1:14" ht="11.25" customHeight="1">
      <c r="A48" s="153" t="s">
        <v>165</v>
      </c>
      <c r="B48" s="281" t="s">
        <v>166</v>
      </c>
      <c r="C48" s="540">
        <f t="shared" si="30"/>
        <v>3.5996055226824457</v>
      </c>
      <c r="D48" s="157">
        <f t="shared" si="31"/>
        <v>3.5996055226824457</v>
      </c>
      <c r="E48" s="157">
        <f t="shared" si="32"/>
        <v>243.33333333333334</v>
      </c>
      <c r="F48" s="540">
        <f t="shared" si="33"/>
        <v>15.723076923076922</v>
      </c>
      <c r="G48" s="157">
        <f t="shared" si="34"/>
        <v>15.723076923076922</v>
      </c>
      <c r="H48" s="157">
        <f t="shared" si="35"/>
        <v>1021.9999999999999</v>
      </c>
      <c r="I48" s="179" t="str">
        <f t="shared" si="25"/>
        <v>V</v>
      </c>
      <c r="J48" s="158">
        <f t="shared" si="26"/>
        <v>0.10798816568047337</v>
      </c>
      <c r="K48" s="158">
        <f t="shared" si="27"/>
        <v>7.3</v>
      </c>
      <c r="L48" s="158">
        <f t="shared" si="28"/>
        <v>0.47169230769230763</v>
      </c>
      <c r="M48" s="158">
        <f t="shared" si="29"/>
        <v>30.659999999999997</v>
      </c>
      <c r="N48" s="695">
        <f t="shared" si="23"/>
        <v>0.03</v>
      </c>
    </row>
    <row r="49" spans="1:14" ht="11.25" customHeight="1">
      <c r="A49" s="153" t="s">
        <v>167</v>
      </c>
      <c r="B49" s="281" t="s">
        <v>168</v>
      </c>
      <c r="C49" s="540">
        <f t="shared" si="30"/>
        <v>137.65714285714287</v>
      </c>
      <c r="D49" s="157" t="str">
        <f t="shared" si="31"/>
        <v>--</v>
      </c>
      <c r="E49" s="157">
        <f t="shared" si="32"/>
        <v>137.65714285714287</v>
      </c>
      <c r="F49" s="540">
        <f t="shared" si="33"/>
        <v>578.16</v>
      </c>
      <c r="G49" s="157" t="str">
        <f t="shared" si="34"/>
        <v>--</v>
      </c>
      <c r="H49" s="157">
        <f t="shared" si="35"/>
        <v>578.16</v>
      </c>
      <c r="I49" s="179" t="str">
        <f t="shared" si="25"/>
        <v>V</v>
      </c>
      <c r="J49" s="158" t="str">
        <f t="shared" si="26"/>
        <v>--</v>
      </c>
      <c r="K49" s="158">
        <f t="shared" si="27"/>
        <v>4.1297142857142859</v>
      </c>
      <c r="L49" s="158" t="str">
        <f t="shared" si="28"/>
        <v>--</v>
      </c>
      <c r="M49" s="158">
        <f t="shared" si="29"/>
        <v>17.344799999999999</v>
      </c>
      <c r="N49" s="695">
        <f t="shared" si="23"/>
        <v>0.03</v>
      </c>
    </row>
    <row r="50" spans="1:14" ht="11.25" customHeight="1">
      <c r="A50" s="153" t="s">
        <v>169</v>
      </c>
      <c r="B50" s="281" t="s">
        <v>170</v>
      </c>
      <c r="C50" s="540">
        <f t="shared" si="30"/>
        <v>1390.4761904761906</v>
      </c>
      <c r="D50" s="157" t="str">
        <f t="shared" si="31"/>
        <v>--</v>
      </c>
      <c r="E50" s="157">
        <f t="shared" si="32"/>
        <v>1390.4761904761906</v>
      </c>
      <c r="F50" s="540">
        <f t="shared" si="33"/>
        <v>5840</v>
      </c>
      <c r="G50" s="157" t="str">
        <f t="shared" si="34"/>
        <v>--</v>
      </c>
      <c r="H50" s="157">
        <f t="shared" si="35"/>
        <v>5840</v>
      </c>
      <c r="I50" s="179" t="str">
        <f t="shared" si="25"/>
        <v>V</v>
      </c>
      <c r="J50" s="158" t="str">
        <f t="shared" si="26"/>
        <v>--</v>
      </c>
      <c r="K50" s="158">
        <f t="shared" si="27"/>
        <v>41.714285714285715</v>
      </c>
      <c r="L50" s="158" t="str">
        <f t="shared" si="28"/>
        <v>--</v>
      </c>
      <c r="M50" s="158">
        <f t="shared" si="29"/>
        <v>175.2</v>
      </c>
      <c r="N50" s="695">
        <f t="shared" si="23"/>
        <v>0.03</v>
      </c>
    </row>
    <row r="51" spans="1:14" ht="11.25" customHeight="1">
      <c r="A51" s="153" t="s">
        <v>171</v>
      </c>
      <c r="B51" s="281" t="s">
        <v>172</v>
      </c>
      <c r="C51" s="540">
        <f t="shared" si="30"/>
        <v>1390.4761904761906</v>
      </c>
      <c r="D51" s="157" t="str">
        <f t="shared" si="31"/>
        <v>--</v>
      </c>
      <c r="E51" s="157">
        <f t="shared" si="32"/>
        <v>1390.4761904761906</v>
      </c>
      <c r="F51" s="540">
        <f t="shared" si="33"/>
        <v>5840</v>
      </c>
      <c r="G51" s="157" t="str">
        <f t="shared" si="34"/>
        <v>--</v>
      </c>
      <c r="H51" s="157">
        <f t="shared" si="35"/>
        <v>5840</v>
      </c>
      <c r="I51" s="179" t="str">
        <f t="shared" si="25"/>
        <v>V</v>
      </c>
      <c r="J51" s="158" t="str">
        <f t="shared" si="26"/>
        <v>--</v>
      </c>
      <c r="K51" s="158">
        <f t="shared" si="27"/>
        <v>41.714285714285715</v>
      </c>
      <c r="L51" s="158" t="str">
        <f t="shared" si="28"/>
        <v>--</v>
      </c>
      <c r="M51" s="158">
        <f t="shared" si="29"/>
        <v>175.2</v>
      </c>
      <c r="N51" s="695">
        <f t="shared" si="23"/>
        <v>0.03</v>
      </c>
    </row>
    <row r="52" spans="1:14" ht="11.25" customHeight="1">
      <c r="A52" s="153" t="s">
        <v>173</v>
      </c>
      <c r="B52" s="281" t="s">
        <v>174</v>
      </c>
      <c r="C52" s="540" t="str">
        <f t="shared" si="30"/>
        <v>--</v>
      </c>
      <c r="D52" s="157" t="str">
        <f t="shared" si="31"/>
        <v>--</v>
      </c>
      <c r="E52" s="157" t="str">
        <f t="shared" si="32"/>
        <v>--</v>
      </c>
      <c r="F52" s="540" t="str">
        <f t="shared" si="33"/>
        <v>--</v>
      </c>
      <c r="G52" s="157" t="str">
        <f t="shared" si="34"/>
        <v>--</v>
      </c>
      <c r="H52" s="157" t="str">
        <f t="shared" si="35"/>
        <v>--</v>
      </c>
      <c r="I52" s="179" t="str">
        <f t="shared" si="25"/>
        <v>NV</v>
      </c>
      <c r="J52" s="158" t="str">
        <f t="shared" si="26"/>
        <v>--</v>
      </c>
      <c r="K52" s="158" t="str">
        <f t="shared" si="27"/>
        <v>--</v>
      </c>
      <c r="L52" s="158" t="str">
        <f t="shared" si="28"/>
        <v>--</v>
      </c>
      <c r="M52" s="158" t="str">
        <f t="shared" si="29"/>
        <v>--</v>
      </c>
      <c r="N52" s="695">
        <f t="shared" si="23"/>
        <v>0.03</v>
      </c>
    </row>
    <row r="53" spans="1:14" ht="11.25" customHeight="1">
      <c r="A53" s="153" t="s">
        <v>175</v>
      </c>
      <c r="B53" s="281" t="s">
        <v>176</v>
      </c>
      <c r="C53" s="540">
        <f t="shared" si="30"/>
        <v>25.29452529452529</v>
      </c>
      <c r="D53" s="157">
        <f t="shared" si="31"/>
        <v>25.29452529452529</v>
      </c>
      <c r="E53" s="157">
        <f t="shared" si="32"/>
        <v>139.04761904761907</v>
      </c>
      <c r="F53" s="540">
        <f t="shared" si="33"/>
        <v>110.48648648648646</v>
      </c>
      <c r="G53" s="157">
        <f t="shared" si="34"/>
        <v>110.48648648648646</v>
      </c>
      <c r="H53" s="157">
        <f t="shared" si="35"/>
        <v>584</v>
      </c>
      <c r="I53" s="179" t="str">
        <f t="shared" si="25"/>
        <v>V</v>
      </c>
      <c r="J53" s="158">
        <f t="shared" si="26"/>
        <v>0.75883575883575871</v>
      </c>
      <c r="K53" s="158">
        <f t="shared" si="27"/>
        <v>4.1714285714285717</v>
      </c>
      <c r="L53" s="158">
        <f t="shared" si="28"/>
        <v>3.3145945945945936</v>
      </c>
      <c r="M53" s="158">
        <f t="shared" si="29"/>
        <v>17.52</v>
      </c>
      <c r="N53" s="695">
        <f t="shared" si="23"/>
        <v>0.03</v>
      </c>
    </row>
    <row r="54" spans="1:14" ht="11.25" customHeight="1">
      <c r="A54" s="153" t="s">
        <v>177</v>
      </c>
      <c r="B54" s="281" t="s">
        <v>178</v>
      </c>
      <c r="C54" s="540">
        <f t="shared" si="30"/>
        <v>23.397435897435894</v>
      </c>
      <c r="D54" s="157">
        <f t="shared" si="31"/>
        <v>23.397435897435894</v>
      </c>
      <c r="E54" s="157">
        <f t="shared" si="32"/>
        <v>695.2380952380953</v>
      </c>
      <c r="F54" s="540">
        <f t="shared" si="33"/>
        <v>102.19999999999999</v>
      </c>
      <c r="G54" s="157">
        <f t="shared" si="34"/>
        <v>102.19999999999999</v>
      </c>
      <c r="H54" s="157">
        <f t="shared" si="35"/>
        <v>2920</v>
      </c>
      <c r="I54" s="179" t="str">
        <f t="shared" si="25"/>
        <v>V</v>
      </c>
      <c r="J54" s="158">
        <f t="shared" si="26"/>
        <v>0.70192307692307676</v>
      </c>
      <c r="K54" s="158">
        <f t="shared" si="27"/>
        <v>20.857142857142858</v>
      </c>
      <c r="L54" s="158">
        <f t="shared" si="28"/>
        <v>3.0659999999999994</v>
      </c>
      <c r="M54" s="158">
        <f t="shared" si="29"/>
        <v>87.6</v>
      </c>
      <c r="N54" s="695">
        <f t="shared" si="23"/>
        <v>0.03</v>
      </c>
    </row>
    <row r="55" spans="1:14" ht="11.25" customHeight="1">
      <c r="A55" s="153" t="s">
        <v>179</v>
      </c>
      <c r="B55" s="281" t="s">
        <v>180</v>
      </c>
      <c r="C55" s="540" t="str">
        <f t="shared" si="30"/>
        <v>--</v>
      </c>
      <c r="D55" s="157" t="str">
        <f t="shared" si="31"/>
        <v>--</v>
      </c>
      <c r="E55" s="157" t="str">
        <f t="shared" si="32"/>
        <v>--</v>
      </c>
      <c r="F55" s="540" t="str">
        <f t="shared" si="33"/>
        <v>--</v>
      </c>
      <c r="G55" s="157" t="str">
        <f t="shared" si="34"/>
        <v>--</v>
      </c>
      <c r="H55" s="157" t="str">
        <f t="shared" si="35"/>
        <v>--</v>
      </c>
      <c r="I55" s="179" t="str">
        <f t="shared" si="25"/>
        <v>NV</v>
      </c>
      <c r="J55" s="158" t="str">
        <f t="shared" si="26"/>
        <v>--</v>
      </c>
      <c r="K55" s="158" t="str">
        <f t="shared" si="27"/>
        <v>--</v>
      </c>
      <c r="L55" s="158" t="str">
        <f t="shared" si="28"/>
        <v>--</v>
      </c>
      <c r="M55" s="158" t="str">
        <f t="shared" si="29"/>
        <v>--</v>
      </c>
      <c r="N55" s="695">
        <f t="shared" si="23"/>
        <v>0.03</v>
      </c>
    </row>
    <row r="56" spans="1:14" ht="11.25" customHeight="1">
      <c r="A56" s="153" t="s">
        <v>181</v>
      </c>
      <c r="B56" s="281" t="s">
        <v>182</v>
      </c>
      <c r="C56" s="540" t="str">
        <f t="shared" si="30"/>
        <v>--</v>
      </c>
      <c r="D56" s="157" t="str">
        <f t="shared" si="31"/>
        <v>--</v>
      </c>
      <c r="E56" s="157" t="str">
        <f t="shared" si="32"/>
        <v>--</v>
      </c>
      <c r="F56" s="540" t="str">
        <f t="shared" si="33"/>
        <v>--</v>
      </c>
      <c r="G56" s="157" t="str">
        <f t="shared" si="34"/>
        <v>--</v>
      </c>
      <c r="H56" s="157" t="str">
        <f t="shared" si="35"/>
        <v>--</v>
      </c>
      <c r="I56" s="179" t="str">
        <f t="shared" si="25"/>
        <v>NV</v>
      </c>
      <c r="J56" s="158" t="str">
        <f t="shared" si="26"/>
        <v>--</v>
      </c>
      <c r="K56" s="158" t="str">
        <f t="shared" si="27"/>
        <v>--</v>
      </c>
      <c r="L56" s="158" t="str">
        <f t="shared" si="28"/>
        <v>--</v>
      </c>
      <c r="M56" s="158" t="str">
        <f t="shared" si="29"/>
        <v>--</v>
      </c>
      <c r="N56" s="695">
        <f t="shared" si="23"/>
        <v>0.03</v>
      </c>
    </row>
    <row r="57" spans="1:14" ht="11.25" customHeight="1">
      <c r="A57" s="153" t="s">
        <v>183</v>
      </c>
      <c r="B57" s="281" t="s">
        <v>184</v>
      </c>
      <c r="C57" s="540" t="str">
        <f t="shared" si="30"/>
        <v>--</v>
      </c>
      <c r="D57" s="157" t="str">
        <f t="shared" si="31"/>
        <v>--</v>
      </c>
      <c r="E57" s="157" t="str">
        <f t="shared" si="32"/>
        <v>--</v>
      </c>
      <c r="F57" s="540" t="str">
        <f t="shared" si="33"/>
        <v>--</v>
      </c>
      <c r="G57" s="157" t="str">
        <f t="shared" si="34"/>
        <v>--</v>
      </c>
      <c r="H57" s="157" t="str">
        <f t="shared" si="35"/>
        <v>--</v>
      </c>
      <c r="I57" s="179" t="str">
        <f t="shared" si="25"/>
        <v>NV</v>
      </c>
      <c r="J57" s="158" t="str">
        <f t="shared" si="26"/>
        <v>--</v>
      </c>
      <c r="K57" s="158" t="str">
        <f t="shared" si="27"/>
        <v>--</v>
      </c>
      <c r="L57" s="158" t="str">
        <f t="shared" si="28"/>
        <v>--</v>
      </c>
      <c r="M57" s="158" t="str">
        <f t="shared" si="29"/>
        <v>--</v>
      </c>
      <c r="N57" s="695">
        <f t="shared" si="23"/>
        <v>0.03</v>
      </c>
    </row>
    <row r="58" spans="1:14" ht="11.25" customHeight="1">
      <c r="A58" s="153" t="s">
        <v>185</v>
      </c>
      <c r="B58" s="281" t="s">
        <v>186</v>
      </c>
      <c r="C58" s="540" t="str">
        <f t="shared" si="30"/>
        <v>--</v>
      </c>
      <c r="D58" s="157" t="str">
        <f t="shared" si="31"/>
        <v>--</v>
      </c>
      <c r="E58" s="157" t="str">
        <f t="shared" si="32"/>
        <v>--</v>
      </c>
      <c r="F58" s="540" t="str">
        <f t="shared" si="33"/>
        <v>--</v>
      </c>
      <c r="G58" s="157" t="str">
        <f t="shared" si="34"/>
        <v>--</v>
      </c>
      <c r="H58" s="157" t="str">
        <f t="shared" si="35"/>
        <v>--</v>
      </c>
      <c r="I58" s="179" t="str">
        <f t="shared" si="25"/>
        <v>NV</v>
      </c>
      <c r="J58" s="158" t="str">
        <f t="shared" si="26"/>
        <v>--</v>
      </c>
      <c r="K58" s="158" t="str">
        <f t="shared" si="27"/>
        <v>--</v>
      </c>
      <c r="L58" s="158" t="str">
        <f t="shared" si="28"/>
        <v>--</v>
      </c>
      <c r="M58" s="158" t="str">
        <f t="shared" si="29"/>
        <v>--</v>
      </c>
      <c r="N58" s="695">
        <f t="shared" si="23"/>
        <v>0.03</v>
      </c>
    </row>
    <row r="59" spans="1:14" ht="11.25" customHeight="1">
      <c r="A59" s="153" t="s">
        <v>187</v>
      </c>
      <c r="B59" s="281" t="s">
        <v>188</v>
      </c>
      <c r="C59" s="540" t="str">
        <f t="shared" si="30"/>
        <v>--</v>
      </c>
      <c r="D59" s="157" t="str">
        <f t="shared" si="31"/>
        <v>--</v>
      </c>
      <c r="E59" s="157" t="str">
        <f t="shared" si="32"/>
        <v>--</v>
      </c>
      <c r="F59" s="540" t="str">
        <f t="shared" si="33"/>
        <v>--</v>
      </c>
      <c r="G59" s="157" t="str">
        <f t="shared" si="34"/>
        <v>--</v>
      </c>
      <c r="H59" s="157" t="str">
        <f t="shared" si="35"/>
        <v>--</v>
      </c>
      <c r="I59" s="179" t="str">
        <f t="shared" si="25"/>
        <v>NV</v>
      </c>
      <c r="J59" s="158" t="str">
        <f t="shared" si="26"/>
        <v>--</v>
      </c>
      <c r="K59" s="158" t="str">
        <f t="shared" si="27"/>
        <v>--</v>
      </c>
      <c r="L59" s="158" t="str">
        <f t="shared" si="28"/>
        <v>--</v>
      </c>
      <c r="M59" s="158" t="str">
        <f t="shared" si="29"/>
        <v>--</v>
      </c>
      <c r="N59" s="695">
        <f t="shared" si="23"/>
        <v>0.03</v>
      </c>
    </row>
    <row r="60" spans="1:14" ht="11.25" customHeight="1">
      <c r="A60" s="153" t="s">
        <v>189</v>
      </c>
      <c r="B60" s="281" t="s">
        <v>190</v>
      </c>
      <c r="C60" s="540">
        <f t="shared" si="30"/>
        <v>18.717948717948715</v>
      </c>
      <c r="D60" s="157">
        <f t="shared" si="31"/>
        <v>18.717948717948715</v>
      </c>
      <c r="E60" s="157">
        <f t="shared" si="32"/>
        <v>1042.8571428571429</v>
      </c>
      <c r="F60" s="540">
        <f t="shared" si="33"/>
        <v>81.759999999999991</v>
      </c>
      <c r="G60" s="157">
        <f t="shared" si="34"/>
        <v>81.759999999999991</v>
      </c>
      <c r="H60" s="157">
        <f t="shared" si="35"/>
        <v>4379.9999999999991</v>
      </c>
      <c r="I60" s="179" t="str">
        <f t="shared" si="25"/>
        <v>V</v>
      </c>
      <c r="J60" s="158">
        <f t="shared" si="26"/>
        <v>0.56153846153846143</v>
      </c>
      <c r="K60" s="158">
        <f t="shared" si="27"/>
        <v>31.285714285714285</v>
      </c>
      <c r="L60" s="158">
        <f t="shared" si="28"/>
        <v>2.4527999999999994</v>
      </c>
      <c r="M60" s="158">
        <f t="shared" si="29"/>
        <v>131.39999999999998</v>
      </c>
      <c r="N60" s="695">
        <f t="shared" si="23"/>
        <v>0.03</v>
      </c>
    </row>
    <row r="61" spans="1:14" ht="11.25" customHeight="1">
      <c r="A61" s="153" t="s">
        <v>191</v>
      </c>
      <c r="B61" s="281" t="s">
        <v>192</v>
      </c>
      <c r="C61" s="540">
        <f t="shared" si="30"/>
        <v>2.4628879892037785E-6</v>
      </c>
      <c r="D61" s="157">
        <f t="shared" si="31"/>
        <v>2.4628879892037785E-6</v>
      </c>
      <c r="E61" s="157">
        <f t="shared" si="32"/>
        <v>1.3904761904761907E-3</v>
      </c>
      <c r="F61" s="540">
        <f t="shared" si="33"/>
        <v>1.0757894736842104E-5</v>
      </c>
      <c r="G61" s="157">
        <f t="shared" si="34"/>
        <v>1.0757894736842104E-5</v>
      </c>
      <c r="H61" s="157">
        <f t="shared" si="35"/>
        <v>5.8400000000000006E-3</v>
      </c>
      <c r="I61" s="179" t="str">
        <f t="shared" si="25"/>
        <v>V</v>
      </c>
      <c r="J61" s="158">
        <f t="shared" si="26"/>
        <v>7.3886639676113351E-8</v>
      </c>
      <c r="K61" s="158">
        <f t="shared" si="27"/>
        <v>4.1714285714285721E-5</v>
      </c>
      <c r="L61" s="158">
        <f t="shared" si="28"/>
        <v>3.2273684210526308E-7</v>
      </c>
      <c r="M61" s="158">
        <f t="shared" si="29"/>
        <v>1.752E-4</v>
      </c>
      <c r="N61" s="695">
        <f t="shared" si="23"/>
        <v>0.03</v>
      </c>
    </row>
    <row r="62" spans="1:14" ht="11.25" customHeight="1">
      <c r="A62" s="153" t="s">
        <v>193</v>
      </c>
      <c r="B62" s="281" t="s">
        <v>194</v>
      </c>
      <c r="C62" s="540" t="str">
        <f t="shared" si="30"/>
        <v>--</v>
      </c>
      <c r="D62" s="157" t="str">
        <f t="shared" si="31"/>
        <v>--</v>
      </c>
      <c r="E62" s="157" t="str">
        <f t="shared" si="32"/>
        <v>--</v>
      </c>
      <c r="F62" s="540" t="str">
        <f t="shared" si="33"/>
        <v>--</v>
      </c>
      <c r="G62" s="157" t="str">
        <f t="shared" si="34"/>
        <v>--</v>
      </c>
      <c r="H62" s="157" t="str">
        <f t="shared" si="35"/>
        <v>--</v>
      </c>
      <c r="I62" s="179" t="str">
        <f t="shared" si="25"/>
        <v>V</v>
      </c>
      <c r="J62" s="158" t="str">
        <f t="shared" si="26"/>
        <v>--</v>
      </c>
      <c r="K62" s="158" t="str">
        <f t="shared" si="27"/>
        <v>--</v>
      </c>
      <c r="L62" s="158" t="str">
        <f t="shared" si="28"/>
        <v>--</v>
      </c>
      <c r="M62" s="158" t="str">
        <f t="shared" si="29"/>
        <v>--</v>
      </c>
      <c r="N62" s="695">
        <f t="shared" si="23"/>
        <v>0.03</v>
      </c>
    </row>
    <row r="63" spans="1:14" ht="11.25" customHeight="1">
      <c r="A63" s="153" t="s">
        <v>195</v>
      </c>
      <c r="B63" s="281" t="s">
        <v>196</v>
      </c>
      <c r="C63" s="540" t="str">
        <f t="shared" si="30"/>
        <v>--</v>
      </c>
      <c r="D63" s="157" t="str">
        <f t="shared" si="31"/>
        <v>--</v>
      </c>
      <c r="E63" s="157" t="str">
        <f t="shared" si="32"/>
        <v>--</v>
      </c>
      <c r="F63" s="540" t="str">
        <f t="shared" si="33"/>
        <v>--</v>
      </c>
      <c r="G63" s="157" t="str">
        <f t="shared" si="34"/>
        <v>--</v>
      </c>
      <c r="H63" s="157" t="str">
        <f t="shared" si="35"/>
        <v>--</v>
      </c>
      <c r="I63" s="179" t="str">
        <f t="shared" si="25"/>
        <v>NV</v>
      </c>
      <c r="J63" s="158" t="str">
        <f t="shared" si="26"/>
        <v>--</v>
      </c>
      <c r="K63" s="158" t="str">
        <f t="shared" si="27"/>
        <v>--</v>
      </c>
      <c r="L63" s="158" t="str">
        <f t="shared" si="28"/>
        <v>--</v>
      </c>
      <c r="M63" s="158" t="str">
        <f t="shared" si="29"/>
        <v>--</v>
      </c>
      <c r="N63" s="695">
        <f t="shared" si="23"/>
        <v>0.03</v>
      </c>
    </row>
    <row r="64" spans="1:14" ht="11.25" customHeight="1">
      <c r="A64" s="153" t="s">
        <v>197</v>
      </c>
      <c r="B64" s="281" t="s">
        <v>198</v>
      </c>
      <c r="C64" s="540">
        <f t="shared" si="30"/>
        <v>37.435897435897431</v>
      </c>
      <c r="D64" s="157">
        <f t="shared" si="31"/>
        <v>37.435897435897431</v>
      </c>
      <c r="E64" s="157">
        <f t="shared" si="32"/>
        <v>34761.904761904763</v>
      </c>
      <c r="F64" s="540">
        <f t="shared" si="33"/>
        <v>163.51999999999998</v>
      </c>
      <c r="G64" s="157">
        <f t="shared" si="34"/>
        <v>163.51999999999998</v>
      </c>
      <c r="H64" s="157">
        <f t="shared" si="35"/>
        <v>146000</v>
      </c>
      <c r="I64" s="179" t="str">
        <f t="shared" si="25"/>
        <v>V</v>
      </c>
      <c r="J64" s="158">
        <f t="shared" si="26"/>
        <v>1.1230769230769229</v>
      </c>
      <c r="K64" s="158">
        <f t="shared" si="27"/>
        <v>1042.8571428571429</v>
      </c>
      <c r="L64" s="158">
        <f t="shared" si="28"/>
        <v>4.9055999999999989</v>
      </c>
      <c r="M64" s="158">
        <f t="shared" si="29"/>
        <v>4380</v>
      </c>
      <c r="N64" s="695">
        <f t="shared" si="23"/>
        <v>0.03</v>
      </c>
    </row>
    <row r="65" spans="1:14" ht="11.25" customHeight="1">
      <c r="A65" s="153" t="s">
        <v>199</v>
      </c>
      <c r="B65" s="281" t="s">
        <v>200</v>
      </c>
      <c r="C65" s="540">
        <f t="shared" si="30"/>
        <v>7.1992110453648908E-2</v>
      </c>
      <c r="D65" s="157">
        <f t="shared" si="31"/>
        <v>7.1992110453648908E-2</v>
      </c>
      <c r="E65" s="157" t="str">
        <f t="shared" si="32"/>
        <v>--</v>
      </c>
      <c r="F65" s="540">
        <f t="shared" si="33"/>
        <v>0.3144615384615384</v>
      </c>
      <c r="G65" s="157">
        <f t="shared" si="34"/>
        <v>0.3144615384615384</v>
      </c>
      <c r="H65" s="157" t="str">
        <f t="shared" si="35"/>
        <v>--</v>
      </c>
      <c r="I65" s="179" t="str">
        <f t="shared" si="25"/>
        <v>V</v>
      </c>
      <c r="J65" s="158">
        <f t="shared" si="26"/>
        <v>2.1597633136094673E-3</v>
      </c>
      <c r="K65" s="158" t="str">
        <f t="shared" si="27"/>
        <v>--</v>
      </c>
      <c r="L65" s="158">
        <f t="shared" si="28"/>
        <v>9.433846153846152E-3</v>
      </c>
      <c r="M65" s="158" t="str">
        <f t="shared" si="29"/>
        <v>--</v>
      </c>
      <c r="N65" s="695">
        <f t="shared" si="23"/>
        <v>0.03</v>
      </c>
    </row>
    <row r="66" spans="1:14" ht="11.25" customHeight="1">
      <c r="A66" s="153" t="s">
        <v>201</v>
      </c>
      <c r="B66" s="281" t="s">
        <v>202</v>
      </c>
      <c r="C66" s="540">
        <f t="shared" si="30"/>
        <v>3.5996055226824454E-2</v>
      </c>
      <c r="D66" s="157">
        <f t="shared" si="31"/>
        <v>3.5996055226824454E-2</v>
      </c>
      <c r="E66" s="157" t="str">
        <f t="shared" si="32"/>
        <v>--</v>
      </c>
      <c r="F66" s="540">
        <f t="shared" si="33"/>
        <v>0.1572307692307692</v>
      </c>
      <c r="G66" s="157">
        <f t="shared" si="34"/>
        <v>0.1572307692307692</v>
      </c>
      <c r="H66" s="157" t="str">
        <f t="shared" si="35"/>
        <v>--</v>
      </c>
      <c r="I66" s="179" t="str">
        <f t="shared" si="25"/>
        <v>V</v>
      </c>
      <c r="J66" s="158">
        <f t="shared" si="26"/>
        <v>1.0798816568047336E-3</v>
      </c>
      <c r="K66" s="158" t="str">
        <f t="shared" si="27"/>
        <v>--</v>
      </c>
      <c r="L66" s="158">
        <f t="shared" si="28"/>
        <v>4.716923076923076E-3</v>
      </c>
      <c r="M66" s="158" t="str">
        <f t="shared" si="29"/>
        <v>--</v>
      </c>
      <c r="N66" s="695">
        <f t="shared" si="23"/>
        <v>0.03</v>
      </c>
    </row>
    <row r="67" spans="1:14" ht="11.25" customHeight="1">
      <c r="A67" s="153" t="s">
        <v>203</v>
      </c>
      <c r="B67" s="281" t="s">
        <v>204</v>
      </c>
      <c r="C67" s="540">
        <f t="shared" si="30"/>
        <v>0.18350930115635997</v>
      </c>
      <c r="D67" s="157">
        <f t="shared" si="31"/>
        <v>0.18350930115635997</v>
      </c>
      <c r="E67" s="157" t="str">
        <f t="shared" si="32"/>
        <v>--</v>
      </c>
      <c r="F67" s="540">
        <f t="shared" si="33"/>
        <v>0.80156862745098012</v>
      </c>
      <c r="G67" s="157">
        <f t="shared" si="34"/>
        <v>0.80156862745098012</v>
      </c>
      <c r="H67" s="157" t="str">
        <f t="shared" si="35"/>
        <v>--</v>
      </c>
      <c r="I67" s="179" t="str">
        <f t="shared" si="25"/>
        <v>V</v>
      </c>
      <c r="J67" s="158">
        <f t="shared" si="26"/>
        <v>5.5052790346907989E-3</v>
      </c>
      <c r="K67" s="158" t="str">
        <f t="shared" si="27"/>
        <v>--</v>
      </c>
      <c r="L67" s="158">
        <f t="shared" si="28"/>
        <v>2.4047058823529404E-2</v>
      </c>
      <c r="M67" s="158" t="str">
        <f t="shared" si="29"/>
        <v>--</v>
      </c>
      <c r="N67" s="695">
        <f t="shared" si="23"/>
        <v>0.03</v>
      </c>
    </row>
    <row r="68" spans="1:14" ht="11.25" customHeight="1">
      <c r="A68" s="153" t="s">
        <v>205</v>
      </c>
      <c r="B68" s="281" t="s">
        <v>206</v>
      </c>
      <c r="C68" s="540">
        <f t="shared" si="30"/>
        <v>4.2540792540792536</v>
      </c>
      <c r="D68" s="157">
        <f t="shared" si="31"/>
        <v>4.2540792540792536</v>
      </c>
      <c r="E68" s="157" t="str">
        <f t="shared" si="32"/>
        <v>--</v>
      </c>
      <c r="F68" s="540">
        <f t="shared" si="33"/>
        <v>18.581818181818178</v>
      </c>
      <c r="G68" s="157">
        <f t="shared" si="34"/>
        <v>18.581818181818178</v>
      </c>
      <c r="H68" s="157" t="str">
        <f t="shared" si="35"/>
        <v>--</v>
      </c>
      <c r="I68" s="179" t="str">
        <f t="shared" si="25"/>
        <v>V</v>
      </c>
      <c r="J68" s="158">
        <f t="shared" si="26"/>
        <v>0.1276223776223776</v>
      </c>
      <c r="K68" s="158" t="str">
        <f t="shared" si="27"/>
        <v>--</v>
      </c>
      <c r="L68" s="158">
        <f t="shared" si="28"/>
        <v>0.55745454545454531</v>
      </c>
      <c r="M68" s="158" t="str">
        <f t="shared" si="29"/>
        <v>--</v>
      </c>
      <c r="N68" s="695">
        <f t="shared" si="23"/>
        <v>0.03</v>
      </c>
    </row>
    <row r="69" spans="1:14" ht="11.25" customHeight="1">
      <c r="A69" s="2105" t="s">
        <v>4279</v>
      </c>
      <c r="B69" s="281" t="s">
        <v>208</v>
      </c>
      <c r="C69" s="540" t="str">
        <f t="shared" si="30"/>
        <v>--</v>
      </c>
      <c r="D69" s="157" t="str">
        <f t="shared" si="31"/>
        <v>--</v>
      </c>
      <c r="E69" s="157" t="str">
        <f t="shared" si="32"/>
        <v>--</v>
      </c>
      <c r="F69" s="540" t="str">
        <f t="shared" si="33"/>
        <v>--</v>
      </c>
      <c r="G69" s="157" t="str">
        <f t="shared" si="34"/>
        <v>--</v>
      </c>
      <c r="H69" s="157" t="str">
        <f t="shared" si="35"/>
        <v>--</v>
      </c>
      <c r="I69" s="179" t="str">
        <f t="shared" si="25"/>
        <v>NV</v>
      </c>
      <c r="J69" s="158" t="str">
        <f t="shared" si="26"/>
        <v>--</v>
      </c>
      <c r="K69" s="158" t="str">
        <f t="shared" si="27"/>
        <v>--</v>
      </c>
      <c r="L69" s="158" t="str">
        <f t="shared" si="28"/>
        <v>--</v>
      </c>
      <c r="M69" s="158" t="str">
        <f t="shared" si="29"/>
        <v>--</v>
      </c>
      <c r="N69" s="695">
        <f t="shared" si="23"/>
        <v>0.03</v>
      </c>
    </row>
    <row r="70" spans="1:14" ht="11.25" customHeight="1">
      <c r="A70" s="153" t="s">
        <v>209</v>
      </c>
      <c r="B70" s="281" t="s">
        <v>210</v>
      </c>
      <c r="C70" s="540">
        <f t="shared" si="30"/>
        <v>8.5081585081585072</v>
      </c>
      <c r="D70" s="157">
        <f t="shared" si="31"/>
        <v>8.5081585081585072</v>
      </c>
      <c r="E70" s="157">
        <f t="shared" si="32"/>
        <v>1042.8571428571429</v>
      </c>
      <c r="F70" s="540">
        <f t="shared" si="33"/>
        <v>37.163636363636357</v>
      </c>
      <c r="G70" s="157">
        <f t="shared" si="34"/>
        <v>37.163636363636357</v>
      </c>
      <c r="H70" s="157">
        <f t="shared" si="35"/>
        <v>4379.9999999999991</v>
      </c>
      <c r="I70" s="179" t="str">
        <f t="shared" si="25"/>
        <v>V</v>
      </c>
      <c r="J70" s="158">
        <f t="shared" si="26"/>
        <v>0.25524475524475521</v>
      </c>
      <c r="K70" s="158">
        <f t="shared" si="27"/>
        <v>31.285714285714285</v>
      </c>
      <c r="L70" s="158">
        <f t="shared" si="28"/>
        <v>1.1149090909090906</v>
      </c>
      <c r="M70" s="158">
        <f t="shared" si="29"/>
        <v>131.39999999999998</v>
      </c>
      <c r="N70" s="695">
        <f t="shared" si="23"/>
        <v>0.03</v>
      </c>
    </row>
    <row r="71" spans="1:14" ht="11.25" customHeight="1">
      <c r="A71" s="153" t="s">
        <v>211</v>
      </c>
      <c r="B71" s="281" t="s">
        <v>212</v>
      </c>
      <c r="C71" s="540" t="str">
        <f t="shared" si="30"/>
        <v>--</v>
      </c>
      <c r="D71" s="157" t="str">
        <f t="shared" si="31"/>
        <v>--</v>
      </c>
      <c r="E71" s="157" t="str">
        <f t="shared" si="32"/>
        <v>--</v>
      </c>
      <c r="F71" s="540" t="str">
        <f t="shared" si="33"/>
        <v>--</v>
      </c>
      <c r="G71" s="157" t="str">
        <f t="shared" si="34"/>
        <v>--</v>
      </c>
      <c r="H71" s="157" t="str">
        <f t="shared" si="35"/>
        <v>--</v>
      </c>
      <c r="I71" s="179" t="str">
        <f t="shared" si="25"/>
        <v>NV</v>
      </c>
      <c r="J71" s="158" t="str">
        <f t="shared" si="26"/>
        <v>--</v>
      </c>
      <c r="K71" s="158" t="str">
        <f t="shared" si="27"/>
        <v>--</v>
      </c>
      <c r="L71" s="158" t="str">
        <f t="shared" si="28"/>
        <v>--</v>
      </c>
      <c r="M71" s="158" t="str">
        <f t="shared" si="29"/>
        <v>--</v>
      </c>
      <c r="N71" s="695">
        <f t="shared" si="23"/>
        <v>0.03</v>
      </c>
    </row>
    <row r="72" spans="1:14" ht="11.25" customHeight="1">
      <c r="A72" s="153" t="s">
        <v>213</v>
      </c>
      <c r="B72" s="281" t="s">
        <v>214</v>
      </c>
      <c r="C72" s="540">
        <f t="shared" si="30"/>
        <v>1.0428571428571429</v>
      </c>
      <c r="D72" s="157" t="str">
        <f t="shared" si="31"/>
        <v>--</v>
      </c>
      <c r="E72" s="157">
        <f t="shared" si="32"/>
        <v>1.0428571428571429</v>
      </c>
      <c r="F72" s="540">
        <f t="shared" si="33"/>
        <v>4.38</v>
      </c>
      <c r="G72" s="157" t="str">
        <f t="shared" si="34"/>
        <v>--</v>
      </c>
      <c r="H72" s="157">
        <f t="shared" si="35"/>
        <v>4.38</v>
      </c>
      <c r="I72" s="179" t="str">
        <f t="shared" si="25"/>
        <v>V</v>
      </c>
      <c r="J72" s="158" t="str">
        <f t="shared" si="26"/>
        <v>--</v>
      </c>
      <c r="K72" s="158">
        <f t="shared" si="27"/>
        <v>3.1285714285714285E-2</v>
      </c>
      <c r="L72" s="158" t="str">
        <f t="shared" si="28"/>
        <v>--</v>
      </c>
      <c r="M72" s="158">
        <f t="shared" si="29"/>
        <v>0.13139999999999999</v>
      </c>
      <c r="N72" s="695">
        <f t="shared" si="23"/>
        <v>0.03</v>
      </c>
    </row>
    <row r="73" spans="1:14" ht="11.25" customHeight="1">
      <c r="A73" s="153" t="s">
        <v>215</v>
      </c>
      <c r="B73" s="281" t="s">
        <v>216</v>
      </c>
      <c r="C73" s="540" t="str">
        <f t="shared" si="30"/>
        <v>--</v>
      </c>
      <c r="D73" s="157" t="str">
        <f t="shared" si="31"/>
        <v>--</v>
      </c>
      <c r="E73" s="157" t="str">
        <f t="shared" si="32"/>
        <v>--</v>
      </c>
      <c r="F73" s="540" t="str">
        <f t="shared" si="33"/>
        <v>--</v>
      </c>
      <c r="G73" s="157" t="str">
        <f t="shared" si="34"/>
        <v>--</v>
      </c>
      <c r="H73" s="157" t="str">
        <f t="shared" si="35"/>
        <v>--</v>
      </c>
      <c r="I73" s="179" t="str">
        <f t="shared" si="25"/>
        <v>NV</v>
      </c>
      <c r="J73" s="158" t="str">
        <f t="shared" si="26"/>
        <v>--</v>
      </c>
      <c r="K73" s="158" t="str">
        <f t="shared" si="27"/>
        <v>--</v>
      </c>
      <c r="L73" s="158" t="str">
        <f t="shared" si="28"/>
        <v>--</v>
      </c>
      <c r="M73" s="158" t="str">
        <f t="shared" si="29"/>
        <v>--</v>
      </c>
      <c r="N73" s="695">
        <f t="shared" si="23"/>
        <v>0.03</v>
      </c>
    </row>
    <row r="74" spans="1:14" ht="11.25" customHeight="1">
      <c r="A74" s="153" t="s">
        <v>217</v>
      </c>
      <c r="B74" s="281" t="s">
        <v>218</v>
      </c>
      <c r="C74" s="540">
        <f t="shared" si="30"/>
        <v>33.796296296296298</v>
      </c>
      <c r="D74" s="157">
        <f t="shared" si="31"/>
        <v>33.796296296296298</v>
      </c>
      <c r="E74" s="157">
        <f t="shared" si="32"/>
        <v>13904.761904761906</v>
      </c>
      <c r="F74" s="540">
        <f t="shared" si="33"/>
        <v>408.79999999999995</v>
      </c>
      <c r="G74" s="157">
        <f t="shared" si="34"/>
        <v>408.79999999999995</v>
      </c>
      <c r="H74" s="157">
        <f t="shared" si="35"/>
        <v>58399.999999999993</v>
      </c>
      <c r="I74" s="179" t="str">
        <f t="shared" si="25"/>
        <v>V</v>
      </c>
      <c r="J74" s="158">
        <f t="shared" si="26"/>
        <v>1.0138888888888888</v>
      </c>
      <c r="K74" s="158">
        <f t="shared" si="27"/>
        <v>417.14285714285717</v>
      </c>
      <c r="L74" s="158">
        <f t="shared" si="28"/>
        <v>12.263999999999998</v>
      </c>
      <c r="M74" s="158">
        <f t="shared" si="29"/>
        <v>1751.9999999999998</v>
      </c>
      <c r="N74" s="695">
        <f t="shared" si="23"/>
        <v>0.03</v>
      </c>
    </row>
    <row r="75" spans="1:14" ht="11.25" customHeight="1">
      <c r="A75" s="153" t="s">
        <v>219</v>
      </c>
      <c r="B75" s="281" t="s">
        <v>220</v>
      </c>
      <c r="C75" s="540">
        <f t="shared" si="30"/>
        <v>173809.52380952382</v>
      </c>
      <c r="D75" s="157" t="str">
        <f t="shared" si="31"/>
        <v>--</v>
      </c>
      <c r="E75" s="157">
        <f t="shared" si="32"/>
        <v>173809.52380952382</v>
      </c>
      <c r="F75" s="540">
        <f t="shared" si="33"/>
        <v>730000</v>
      </c>
      <c r="G75" s="157" t="str">
        <f t="shared" si="34"/>
        <v>--</v>
      </c>
      <c r="H75" s="157">
        <f t="shared" si="35"/>
        <v>730000</v>
      </c>
      <c r="I75" s="179" t="str">
        <f t="shared" si="25"/>
        <v>V</v>
      </c>
      <c r="J75" s="158" t="str">
        <f t="shared" si="26"/>
        <v>--</v>
      </c>
      <c r="K75" s="158">
        <f t="shared" si="27"/>
        <v>5214.2857142857147</v>
      </c>
      <c r="L75" s="158" t="str">
        <f t="shared" si="28"/>
        <v>--</v>
      </c>
      <c r="M75" s="158">
        <f t="shared" si="29"/>
        <v>21900</v>
      </c>
      <c r="N75" s="695">
        <f t="shared" si="23"/>
        <v>0.03</v>
      </c>
    </row>
    <row r="76" spans="1:14" ht="11.25" customHeight="1">
      <c r="A76" s="153" t="s">
        <v>221</v>
      </c>
      <c r="B76" s="281" t="s">
        <v>222</v>
      </c>
      <c r="C76" s="540">
        <f t="shared" si="30"/>
        <v>104285.71428571429</v>
      </c>
      <c r="D76" s="157" t="str">
        <f t="shared" si="31"/>
        <v>--</v>
      </c>
      <c r="E76" s="157">
        <f t="shared" si="32"/>
        <v>104285.71428571429</v>
      </c>
      <c r="F76" s="540">
        <f t="shared" si="33"/>
        <v>437999.99999999994</v>
      </c>
      <c r="G76" s="157" t="str">
        <f t="shared" si="34"/>
        <v>--</v>
      </c>
      <c r="H76" s="157">
        <f t="shared" si="35"/>
        <v>437999.99999999994</v>
      </c>
      <c r="I76" s="179" t="str">
        <f t="shared" si="25"/>
        <v>V</v>
      </c>
      <c r="J76" s="158" t="str">
        <f t="shared" si="26"/>
        <v>--</v>
      </c>
      <c r="K76" s="158">
        <f t="shared" si="27"/>
        <v>3128.5714285714284</v>
      </c>
      <c r="L76" s="158" t="str">
        <f t="shared" si="28"/>
        <v>--</v>
      </c>
      <c r="M76" s="158">
        <f t="shared" si="29"/>
        <v>13139.999999999998</v>
      </c>
      <c r="N76" s="695">
        <f t="shared" si="23"/>
        <v>0.03</v>
      </c>
    </row>
    <row r="77" spans="1:14" ht="11.25" customHeight="1">
      <c r="A77" s="153" t="s">
        <v>223</v>
      </c>
      <c r="B77" s="281" t="s">
        <v>224</v>
      </c>
      <c r="C77" s="540" t="str">
        <f t="shared" si="30"/>
        <v>--</v>
      </c>
      <c r="D77" s="157" t="str">
        <f t="shared" si="31"/>
        <v>--</v>
      </c>
      <c r="E77" s="157" t="str">
        <f t="shared" si="32"/>
        <v>--</v>
      </c>
      <c r="F77" s="540" t="str">
        <f t="shared" si="33"/>
        <v>--</v>
      </c>
      <c r="G77" s="157" t="str">
        <f t="shared" si="34"/>
        <v>--</v>
      </c>
      <c r="H77" s="157" t="str">
        <f t="shared" si="35"/>
        <v>--</v>
      </c>
      <c r="I77" s="179" t="str">
        <f t="shared" si="25"/>
        <v>NV</v>
      </c>
      <c r="J77" s="158" t="str">
        <f t="shared" si="26"/>
        <v>--</v>
      </c>
      <c r="K77" s="158" t="str">
        <f t="shared" si="27"/>
        <v>--</v>
      </c>
      <c r="L77" s="158" t="str">
        <f t="shared" si="28"/>
        <v>--</v>
      </c>
      <c r="M77" s="158" t="str">
        <f t="shared" si="29"/>
        <v>--</v>
      </c>
      <c r="N77" s="695">
        <f t="shared" si="23"/>
        <v>0.03</v>
      </c>
    </row>
    <row r="78" spans="1:14" ht="11.25" customHeight="1">
      <c r="A78" s="153" t="s">
        <v>225</v>
      </c>
      <c r="B78" s="281" t="s">
        <v>226</v>
      </c>
      <c r="C78" s="540" t="str">
        <f t="shared" si="30"/>
        <v>--</v>
      </c>
      <c r="D78" s="157" t="str">
        <f t="shared" si="31"/>
        <v>--</v>
      </c>
      <c r="E78" s="157" t="str">
        <f t="shared" si="32"/>
        <v>--</v>
      </c>
      <c r="F78" s="540" t="str">
        <f t="shared" si="33"/>
        <v>--</v>
      </c>
      <c r="G78" s="157" t="str">
        <f t="shared" si="34"/>
        <v>--</v>
      </c>
      <c r="H78" s="157" t="str">
        <f t="shared" si="35"/>
        <v>--</v>
      </c>
      <c r="I78" s="179" t="str">
        <f t="shared" si="25"/>
        <v>V</v>
      </c>
      <c r="J78" s="158" t="str">
        <f t="shared" si="26"/>
        <v>--</v>
      </c>
      <c r="K78" s="158" t="str">
        <f t="shared" si="27"/>
        <v>--</v>
      </c>
      <c r="L78" s="158" t="str">
        <f t="shared" si="28"/>
        <v>--</v>
      </c>
      <c r="M78" s="158" t="str">
        <f t="shared" si="29"/>
        <v>--</v>
      </c>
      <c r="N78" s="695">
        <f t="shared" si="23"/>
        <v>0.03</v>
      </c>
    </row>
    <row r="79" spans="1:14" ht="11.25" customHeight="1">
      <c r="A79" s="153" t="s">
        <v>227</v>
      </c>
      <c r="B79" s="281" t="s">
        <v>228</v>
      </c>
      <c r="C79" s="540">
        <f t="shared" si="30"/>
        <v>359.96055226824456</v>
      </c>
      <c r="D79" s="157">
        <f t="shared" si="31"/>
        <v>359.96055226824456</v>
      </c>
      <c r="E79" s="157">
        <f t="shared" si="32"/>
        <v>104285.71428571429</v>
      </c>
      <c r="F79" s="540">
        <f t="shared" si="33"/>
        <v>1572.3076923076919</v>
      </c>
      <c r="G79" s="157">
        <f t="shared" si="34"/>
        <v>1572.3076923076919</v>
      </c>
      <c r="H79" s="157">
        <f t="shared" si="35"/>
        <v>437999.99999999994</v>
      </c>
      <c r="I79" s="179" t="str">
        <f t="shared" si="25"/>
        <v>V</v>
      </c>
      <c r="J79" s="158">
        <f t="shared" si="26"/>
        <v>10.798816568047336</v>
      </c>
      <c r="K79" s="158">
        <f t="shared" si="27"/>
        <v>3128.5714285714284</v>
      </c>
      <c r="L79" s="158">
        <f t="shared" si="28"/>
        <v>47.169230769230758</v>
      </c>
      <c r="M79" s="158">
        <f t="shared" si="29"/>
        <v>13139.999999999998</v>
      </c>
      <c r="N79" s="695">
        <f t="shared" si="23"/>
        <v>0.03</v>
      </c>
    </row>
    <row r="80" spans="1:14" ht="11.25" customHeight="1">
      <c r="A80" s="153" t="s">
        <v>229</v>
      </c>
      <c r="B80" s="281" t="s">
        <v>230</v>
      </c>
      <c r="C80" s="540" t="str">
        <f t="shared" si="30"/>
        <v>--</v>
      </c>
      <c r="D80" s="157" t="str">
        <f t="shared" si="31"/>
        <v>--</v>
      </c>
      <c r="E80" s="157" t="str">
        <f t="shared" si="32"/>
        <v>--</v>
      </c>
      <c r="F80" s="540" t="str">
        <f t="shared" si="33"/>
        <v>--</v>
      </c>
      <c r="G80" s="157" t="str">
        <f t="shared" si="34"/>
        <v>--</v>
      </c>
      <c r="H80" s="157" t="str">
        <f t="shared" si="35"/>
        <v>--</v>
      </c>
      <c r="I80" s="179" t="str">
        <f t="shared" si="25"/>
        <v>NV</v>
      </c>
      <c r="J80" s="158" t="str">
        <f t="shared" si="26"/>
        <v>--</v>
      </c>
      <c r="K80" s="158" t="str">
        <f t="shared" si="27"/>
        <v>--</v>
      </c>
      <c r="L80" s="158" t="str">
        <f t="shared" si="28"/>
        <v>--</v>
      </c>
      <c r="M80" s="158" t="str">
        <f t="shared" si="29"/>
        <v>--</v>
      </c>
      <c r="N80" s="695">
        <f t="shared" si="23"/>
        <v>0.03</v>
      </c>
    </row>
    <row r="81" spans="1:14" ht="11.25" customHeight="1">
      <c r="A81" s="153" t="s">
        <v>231</v>
      </c>
      <c r="B81" s="281" t="s">
        <v>232</v>
      </c>
      <c r="C81" s="540" t="str">
        <f t="shared" si="30"/>
        <v>--</v>
      </c>
      <c r="D81" s="157" t="str">
        <f t="shared" si="31"/>
        <v>--</v>
      </c>
      <c r="E81" s="157" t="str">
        <f t="shared" si="32"/>
        <v>--</v>
      </c>
      <c r="F81" s="540" t="str">
        <f t="shared" si="33"/>
        <v>--</v>
      </c>
      <c r="G81" s="157" t="str">
        <f t="shared" si="34"/>
        <v>--</v>
      </c>
      <c r="H81" s="157" t="str">
        <f t="shared" si="35"/>
        <v>--</v>
      </c>
      <c r="I81" s="179" t="str">
        <f t="shared" si="25"/>
        <v>NV</v>
      </c>
      <c r="J81" s="158" t="str">
        <f t="shared" si="26"/>
        <v>--</v>
      </c>
      <c r="K81" s="158" t="str">
        <f t="shared" si="27"/>
        <v>--</v>
      </c>
      <c r="L81" s="158" t="str">
        <f t="shared" si="28"/>
        <v>--</v>
      </c>
      <c r="M81" s="158" t="str">
        <f t="shared" si="29"/>
        <v>--</v>
      </c>
      <c r="N81" s="695">
        <f t="shared" si="23"/>
        <v>0.03</v>
      </c>
    </row>
    <row r="82" spans="1:14" ht="11.25" customHeight="1">
      <c r="A82" s="153" t="s">
        <v>233</v>
      </c>
      <c r="B82" s="281" t="s">
        <v>234</v>
      </c>
      <c r="C82" s="540" t="str">
        <f t="shared" si="30"/>
        <v>--</v>
      </c>
      <c r="D82" s="157" t="str">
        <f t="shared" si="31"/>
        <v>--</v>
      </c>
      <c r="E82" s="157" t="str">
        <f t="shared" si="32"/>
        <v>--</v>
      </c>
      <c r="F82" s="540" t="str">
        <f t="shared" si="33"/>
        <v>--</v>
      </c>
      <c r="G82" s="157" t="str">
        <f t="shared" si="34"/>
        <v>--</v>
      </c>
      <c r="H82" s="157" t="str">
        <f t="shared" si="35"/>
        <v>--</v>
      </c>
      <c r="I82" s="179" t="str">
        <f t="shared" si="25"/>
        <v>V</v>
      </c>
      <c r="J82" s="158" t="str">
        <f t="shared" si="26"/>
        <v>--</v>
      </c>
      <c r="K82" s="158" t="str">
        <f t="shared" si="27"/>
        <v>--</v>
      </c>
      <c r="L82" s="158" t="str">
        <f t="shared" si="28"/>
        <v>--</v>
      </c>
      <c r="M82" s="158" t="str">
        <f t="shared" si="29"/>
        <v>--</v>
      </c>
      <c r="N82" s="695">
        <f t="shared" si="23"/>
        <v>0.03</v>
      </c>
    </row>
    <row r="83" spans="1:14" ht="11.25" customHeight="1">
      <c r="A83" s="153" t="s">
        <v>235</v>
      </c>
      <c r="B83" s="281" t="s">
        <v>236</v>
      </c>
      <c r="C83" s="540" t="str">
        <f t="shared" si="30"/>
        <v>--</v>
      </c>
      <c r="D83" s="157" t="str">
        <f t="shared" si="31"/>
        <v>--</v>
      </c>
      <c r="E83" s="157" t="str">
        <f t="shared" si="32"/>
        <v>--</v>
      </c>
      <c r="F83" s="540" t="str">
        <f t="shared" si="33"/>
        <v>--</v>
      </c>
      <c r="G83" s="157" t="str">
        <f t="shared" si="34"/>
        <v>--</v>
      </c>
      <c r="H83" s="157" t="str">
        <f t="shared" si="35"/>
        <v>--</v>
      </c>
      <c r="I83" s="179" t="str">
        <f t="shared" si="25"/>
        <v>V</v>
      </c>
      <c r="J83" s="158" t="str">
        <f t="shared" si="26"/>
        <v>--</v>
      </c>
      <c r="K83" s="158" t="str">
        <f t="shared" si="27"/>
        <v>--</v>
      </c>
      <c r="L83" s="158" t="str">
        <f t="shared" si="28"/>
        <v>--</v>
      </c>
      <c r="M83" s="158" t="str">
        <f t="shared" si="29"/>
        <v>--</v>
      </c>
      <c r="N83" s="695">
        <f t="shared" si="23"/>
        <v>0.03</v>
      </c>
    </row>
    <row r="84" spans="1:14" ht="11.25" customHeight="1">
      <c r="A84" s="153" t="s">
        <v>237</v>
      </c>
      <c r="B84" s="281" t="s">
        <v>238</v>
      </c>
      <c r="C84" s="540">
        <f t="shared" si="30"/>
        <v>0.3072390572390572</v>
      </c>
      <c r="D84" s="157">
        <f t="shared" si="31"/>
        <v>0.3072390572390572</v>
      </c>
      <c r="E84" s="157" t="str">
        <f t="shared" si="32"/>
        <v>--</v>
      </c>
      <c r="F84" s="540">
        <f t="shared" si="33"/>
        <v>3.7163636363636359</v>
      </c>
      <c r="G84" s="157">
        <f t="shared" si="34"/>
        <v>3.7163636363636359</v>
      </c>
      <c r="H84" s="157" t="str">
        <f t="shared" si="35"/>
        <v>--</v>
      </c>
      <c r="I84" s="179" t="str">
        <f t="shared" si="25"/>
        <v>V</v>
      </c>
      <c r="J84" s="158">
        <f t="shared" si="26"/>
        <v>9.2171717171717158E-3</v>
      </c>
      <c r="K84" s="158" t="str">
        <f t="shared" si="27"/>
        <v>--</v>
      </c>
      <c r="L84" s="158">
        <f t="shared" si="28"/>
        <v>0.11149090909090907</v>
      </c>
      <c r="M84" s="158" t="str">
        <f t="shared" si="29"/>
        <v>--</v>
      </c>
      <c r="N84" s="695">
        <f t="shared" si="23"/>
        <v>0.03</v>
      </c>
    </row>
    <row r="85" spans="1:14" ht="11.25" customHeight="1">
      <c r="A85" s="153" t="s">
        <v>239</v>
      </c>
      <c r="B85" s="281" t="s">
        <v>240</v>
      </c>
      <c r="C85" s="540" t="str">
        <f t="shared" si="30"/>
        <v>--</v>
      </c>
      <c r="D85" s="157" t="str">
        <f t="shared" si="31"/>
        <v>--</v>
      </c>
      <c r="E85" s="157" t="str">
        <f t="shared" si="32"/>
        <v>--</v>
      </c>
      <c r="F85" s="540" t="str">
        <f t="shared" si="33"/>
        <v>--</v>
      </c>
      <c r="G85" s="157" t="str">
        <f t="shared" si="34"/>
        <v>--</v>
      </c>
      <c r="H85" s="157" t="str">
        <f t="shared" si="35"/>
        <v>--</v>
      </c>
      <c r="I85" s="179" t="str">
        <f t="shared" si="25"/>
        <v>NV</v>
      </c>
      <c r="J85" s="158" t="str">
        <f t="shared" si="26"/>
        <v>--</v>
      </c>
      <c r="K85" s="158" t="str">
        <f t="shared" si="27"/>
        <v>--</v>
      </c>
      <c r="L85" s="158" t="str">
        <f t="shared" si="28"/>
        <v>--</v>
      </c>
      <c r="M85" s="158" t="str">
        <f t="shared" si="29"/>
        <v>--</v>
      </c>
      <c r="N85" s="695">
        <f t="shared" si="23"/>
        <v>0.03</v>
      </c>
    </row>
    <row r="86" spans="1:14" ht="11.25" customHeight="1">
      <c r="A86" s="153" t="s">
        <v>241</v>
      </c>
      <c r="B86" s="281" t="s">
        <v>242</v>
      </c>
      <c r="C86" s="540" t="str">
        <f t="shared" si="30"/>
        <v>--</v>
      </c>
      <c r="D86" s="157" t="str">
        <f t="shared" si="31"/>
        <v>--</v>
      </c>
      <c r="E86" s="157" t="str">
        <f t="shared" si="32"/>
        <v>--</v>
      </c>
      <c r="F86" s="540" t="str">
        <f t="shared" si="33"/>
        <v>--</v>
      </c>
      <c r="G86" s="157" t="str">
        <f t="shared" si="34"/>
        <v>--</v>
      </c>
      <c r="H86" s="157" t="str">
        <f t="shared" si="35"/>
        <v>--</v>
      </c>
      <c r="I86" s="179" t="str">
        <f t="shared" si="25"/>
        <v>NV</v>
      </c>
      <c r="J86" s="158" t="str">
        <f t="shared" si="26"/>
        <v>--</v>
      </c>
      <c r="K86" s="158" t="str">
        <f t="shared" si="27"/>
        <v>--</v>
      </c>
      <c r="L86" s="158" t="str">
        <f t="shared" si="28"/>
        <v>--</v>
      </c>
      <c r="M86" s="158" t="str">
        <f t="shared" si="29"/>
        <v>--</v>
      </c>
      <c r="N86" s="695">
        <f t="shared" si="23"/>
        <v>0.03</v>
      </c>
    </row>
    <row r="87" spans="1:14" ht="11.25" customHeight="1">
      <c r="A87" s="153" t="s">
        <v>243</v>
      </c>
      <c r="B87" s="281" t="s">
        <v>244</v>
      </c>
      <c r="C87" s="540" t="str">
        <f t="shared" si="30"/>
        <v>--</v>
      </c>
      <c r="D87" s="157" t="str">
        <f t="shared" si="31"/>
        <v>--</v>
      </c>
      <c r="E87" s="157" t="str">
        <f t="shared" si="32"/>
        <v>--</v>
      </c>
      <c r="F87" s="540" t="str">
        <f t="shared" si="33"/>
        <v>--</v>
      </c>
      <c r="G87" s="157" t="str">
        <f t="shared" si="34"/>
        <v>--</v>
      </c>
      <c r="H87" s="157" t="str">
        <f t="shared" si="35"/>
        <v>--</v>
      </c>
      <c r="I87" s="179" t="str">
        <f t="shared" si="25"/>
        <v>NV</v>
      </c>
      <c r="J87" s="158" t="str">
        <f t="shared" si="26"/>
        <v>--</v>
      </c>
      <c r="K87" s="158" t="str">
        <f t="shared" si="27"/>
        <v>--</v>
      </c>
      <c r="L87" s="158" t="str">
        <f t="shared" si="28"/>
        <v>--</v>
      </c>
      <c r="M87" s="158" t="str">
        <f t="shared" si="29"/>
        <v>--</v>
      </c>
      <c r="N87" s="695">
        <f t="shared" si="23"/>
        <v>0.03</v>
      </c>
    </row>
    <row r="88" spans="1:14" ht="11.25" customHeight="1">
      <c r="A88" s="153" t="s">
        <v>245</v>
      </c>
      <c r="B88" s="281" t="s">
        <v>246</v>
      </c>
      <c r="C88" s="540" t="str">
        <f t="shared" si="30"/>
        <v>--</v>
      </c>
      <c r="D88" s="157" t="str">
        <f t="shared" si="31"/>
        <v>--</v>
      </c>
      <c r="E88" s="157" t="str">
        <f t="shared" si="32"/>
        <v>--</v>
      </c>
      <c r="F88" s="540" t="str">
        <f t="shared" si="33"/>
        <v>--</v>
      </c>
      <c r="G88" s="157" t="str">
        <f t="shared" si="34"/>
        <v>--</v>
      </c>
      <c r="H88" s="157" t="str">
        <f t="shared" si="35"/>
        <v>--</v>
      </c>
      <c r="I88" s="179" t="str">
        <f t="shared" si="25"/>
        <v>NV</v>
      </c>
      <c r="J88" s="158" t="str">
        <f t="shared" si="26"/>
        <v>--</v>
      </c>
      <c r="K88" s="158" t="str">
        <f t="shared" si="27"/>
        <v>--</v>
      </c>
      <c r="L88" s="158" t="str">
        <f t="shared" si="28"/>
        <v>--</v>
      </c>
      <c r="M88" s="158" t="str">
        <f t="shared" si="29"/>
        <v>--</v>
      </c>
      <c r="N88" s="695">
        <f t="shared" si="23"/>
        <v>0.03</v>
      </c>
    </row>
    <row r="89" spans="1:14" ht="11.25" customHeight="1">
      <c r="A89" s="153" t="s">
        <v>247</v>
      </c>
      <c r="B89" s="281" t="s">
        <v>248</v>
      </c>
      <c r="C89" s="540" t="str">
        <f t="shared" si="30"/>
        <v>--</v>
      </c>
      <c r="D89" s="157" t="str">
        <f t="shared" si="31"/>
        <v>--</v>
      </c>
      <c r="E89" s="157" t="str">
        <f t="shared" si="32"/>
        <v>--</v>
      </c>
      <c r="F89" s="540" t="str">
        <f t="shared" si="33"/>
        <v>--</v>
      </c>
      <c r="G89" s="157" t="str">
        <f t="shared" si="34"/>
        <v>--</v>
      </c>
      <c r="H89" s="157" t="str">
        <f t="shared" si="35"/>
        <v>--</v>
      </c>
      <c r="I89" s="179" t="str">
        <f t="shared" si="25"/>
        <v>NV</v>
      </c>
      <c r="J89" s="158" t="str">
        <f t="shared" si="26"/>
        <v>--</v>
      </c>
      <c r="K89" s="158" t="str">
        <f t="shared" si="27"/>
        <v>--</v>
      </c>
      <c r="L89" s="158" t="str">
        <f t="shared" si="28"/>
        <v>--</v>
      </c>
      <c r="M89" s="158" t="str">
        <f t="shared" si="29"/>
        <v>--</v>
      </c>
      <c r="N89" s="695">
        <f t="shared" si="23"/>
        <v>0.03</v>
      </c>
    </row>
    <row r="90" spans="1:14" ht="11.25" customHeight="1">
      <c r="A90" s="153" t="s">
        <v>249</v>
      </c>
      <c r="B90" s="281" t="s">
        <v>250</v>
      </c>
      <c r="C90" s="540" t="str">
        <f t="shared" si="30"/>
        <v>--</v>
      </c>
      <c r="D90" s="157" t="str">
        <f t="shared" si="31"/>
        <v>--</v>
      </c>
      <c r="E90" s="157" t="str">
        <f t="shared" si="32"/>
        <v>--</v>
      </c>
      <c r="F90" s="540" t="str">
        <f t="shared" si="33"/>
        <v>--</v>
      </c>
      <c r="G90" s="157" t="str">
        <f t="shared" si="34"/>
        <v>--</v>
      </c>
      <c r="H90" s="157" t="str">
        <f t="shared" si="35"/>
        <v>--</v>
      </c>
      <c r="I90" s="179" t="str">
        <f t="shared" si="25"/>
        <v>NV</v>
      </c>
      <c r="J90" s="158" t="str">
        <f t="shared" si="26"/>
        <v>--</v>
      </c>
      <c r="K90" s="158" t="str">
        <f t="shared" si="27"/>
        <v>--</v>
      </c>
      <c r="L90" s="158" t="str">
        <f t="shared" si="28"/>
        <v>--</v>
      </c>
      <c r="M90" s="158" t="str">
        <f t="shared" si="29"/>
        <v>--</v>
      </c>
      <c r="N90" s="695">
        <f t="shared" si="23"/>
        <v>0.03</v>
      </c>
    </row>
    <row r="91" spans="1:14" ht="11.25" customHeight="1">
      <c r="A91" s="153" t="s">
        <v>251</v>
      </c>
      <c r="B91" s="281" t="s">
        <v>252</v>
      </c>
      <c r="C91" s="540" t="str">
        <f t="shared" si="30"/>
        <v>--</v>
      </c>
      <c r="D91" s="157" t="str">
        <f t="shared" si="31"/>
        <v>--</v>
      </c>
      <c r="E91" s="157" t="str">
        <f t="shared" si="32"/>
        <v>--</v>
      </c>
      <c r="F91" s="540" t="str">
        <f t="shared" si="33"/>
        <v>--</v>
      </c>
      <c r="G91" s="157" t="str">
        <f t="shared" si="34"/>
        <v>--</v>
      </c>
      <c r="H91" s="157" t="str">
        <f t="shared" si="35"/>
        <v>--</v>
      </c>
      <c r="I91" s="179" t="str">
        <f t="shared" si="25"/>
        <v>V</v>
      </c>
      <c r="J91" s="158" t="str">
        <f t="shared" si="26"/>
        <v>--</v>
      </c>
      <c r="K91" s="158" t="str">
        <f t="shared" si="27"/>
        <v>--</v>
      </c>
      <c r="L91" s="158" t="str">
        <f t="shared" si="28"/>
        <v>--</v>
      </c>
      <c r="M91" s="158" t="str">
        <f t="shared" si="29"/>
        <v>--</v>
      </c>
      <c r="N91" s="695">
        <f t="shared" si="23"/>
        <v>0.03</v>
      </c>
    </row>
    <row r="92" spans="1:14" ht="11.25" customHeight="1">
      <c r="A92" s="153" t="s">
        <v>253</v>
      </c>
      <c r="B92" s="281" t="s">
        <v>254</v>
      </c>
      <c r="C92" s="540" t="str">
        <f t="shared" si="30"/>
        <v>--</v>
      </c>
      <c r="D92" s="157" t="str">
        <f t="shared" si="31"/>
        <v>--</v>
      </c>
      <c r="E92" s="157" t="str">
        <f t="shared" si="32"/>
        <v>--</v>
      </c>
      <c r="F92" s="540" t="str">
        <f t="shared" si="33"/>
        <v>--</v>
      </c>
      <c r="G92" s="157" t="str">
        <f t="shared" si="34"/>
        <v>--</v>
      </c>
      <c r="H92" s="157" t="str">
        <f t="shared" si="35"/>
        <v>--</v>
      </c>
      <c r="I92" s="179" t="str">
        <f t="shared" si="25"/>
        <v>NV</v>
      </c>
      <c r="J92" s="158" t="str">
        <f t="shared" si="26"/>
        <v>--</v>
      </c>
      <c r="K92" s="158" t="str">
        <f t="shared" si="27"/>
        <v>--</v>
      </c>
      <c r="L92" s="158" t="str">
        <f t="shared" si="28"/>
        <v>--</v>
      </c>
      <c r="M92" s="158" t="str">
        <f t="shared" si="29"/>
        <v>--</v>
      </c>
      <c r="N92" s="695">
        <f t="shared" si="23"/>
        <v>0.03</v>
      </c>
    </row>
    <row r="93" spans="1:14" ht="11.25" customHeight="1">
      <c r="A93" s="153" t="s">
        <v>255</v>
      </c>
      <c r="B93" s="281" t="s">
        <v>256</v>
      </c>
      <c r="C93" s="540">
        <f t="shared" si="30"/>
        <v>2.7526395173453992</v>
      </c>
      <c r="D93" s="157">
        <f t="shared" si="31"/>
        <v>2.7526395173453992</v>
      </c>
      <c r="E93" s="157">
        <f t="shared" si="32"/>
        <v>104.28571428571429</v>
      </c>
      <c r="F93" s="540">
        <f t="shared" si="33"/>
        <v>12.023529411764706</v>
      </c>
      <c r="G93" s="157">
        <f t="shared" si="34"/>
        <v>12.023529411764706</v>
      </c>
      <c r="H93" s="157">
        <f t="shared" si="35"/>
        <v>438</v>
      </c>
      <c r="I93" s="179" t="str">
        <f t="shared" si="25"/>
        <v>V</v>
      </c>
      <c r="J93" s="158">
        <f t="shared" si="26"/>
        <v>8.2579185520361975E-2</v>
      </c>
      <c r="K93" s="158">
        <f t="shared" si="27"/>
        <v>3.1285714285714286</v>
      </c>
      <c r="L93" s="158">
        <f t="shared" si="28"/>
        <v>0.36070588235294115</v>
      </c>
      <c r="M93" s="158">
        <f t="shared" si="29"/>
        <v>13.139999999999999</v>
      </c>
      <c r="N93" s="695">
        <f t="shared" si="23"/>
        <v>0.03</v>
      </c>
    </row>
    <row r="94" spans="1:14" ht="11.25" customHeight="1">
      <c r="A94" s="153" t="s">
        <v>257</v>
      </c>
      <c r="B94" s="281" t="s">
        <v>258</v>
      </c>
      <c r="C94" s="540" t="str">
        <f t="shared" si="30"/>
        <v>--</v>
      </c>
      <c r="D94" s="157" t="str">
        <f t="shared" si="31"/>
        <v>--</v>
      </c>
      <c r="E94" s="157" t="str">
        <f t="shared" si="32"/>
        <v>--</v>
      </c>
      <c r="F94" s="540" t="str">
        <f t="shared" si="33"/>
        <v>--</v>
      </c>
      <c r="G94" s="157" t="str">
        <f t="shared" si="34"/>
        <v>--</v>
      </c>
      <c r="H94" s="157" t="str">
        <f t="shared" si="35"/>
        <v>--</v>
      </c>
      <c r="I94" s="179" t="str">
        <f t="shared" si="25"/>
        <v>V</v>
      </c>
      <c r="J94" s="158" t="str">
        <f t="shared" si="26"/>
        <v>--</v>
      </c>
      <c r="K94" s="158" t="str">
        <f t="shared" si="27"/>
        <v>--</v>
      </c>
      <c r="L94" s="158" t="str">
        <f t="shared" si="28"/>
        <v>--</v>
      </c>
      <c r="M94" s="158" t="str">
        <f t="shared" si="29"/>
        <v>--</v>
      </c>
      <c r="N94" s="695">
        <f t="shared" si="23"/>
        <v>0.03</v>
      </c>
    </row>
    <row r="95" spans="1:14" ht="11.25" customHeight="1">
      <c r="A95" s="153" t="s">
        <v>259</v>
      </c>
      <c r="B95" s="281" t="s">
        <v>260</v>
      </c>
      <c r="C95" s="540" t="str">
        <f t="shared" si="30"/>
        <v>--</v>
      </c>
      <c r="D95" s="157" t="str">
        <f t="shared" si="31"/>
        <v>--</v>
      </c>
      <c r="E95" s="157" t="str">
        <f t="shared" si="32"/>
        <v>--</v>
      </c>
      <c r="F95" s="540" t="str">
        <f t="shared" si="33"/>
        <v>--</v>
      </c>
      <c r="G95" s="157" t="str">
        <f t="shared" si="34"/>
        <v>--</v>
      </c>
      <c r="H95" s="157" t="str">
        <f t="shared" si="35"/>
        <v>--</v>
      </c>
      <c r="I95" s="179" t="str">
        <f t="shared" si="25"/>
        <v>NV</v>
      </c>
      <c r="J95" s="158" t="str">
        <f t="shared" si="26"/>
        <v>--</v>
      </c>
      <c r="K95" s="158" t="str">
        <f t="shared" si="27"/>
        <v>--</v>
      </c>
      <c r="L95" s="158" t="str">
        <f t="shared" si="28"/>
        <v>--</v>
      </c>
      <c r="M95" s="158" t="str">
        <f t="shared" si="29"/>
        <v>--</v>
      </c>
      <c r="N95" s="695">
        <f t="shared" si="23"/>
        <v>0.03</v>
      </c>
    </row>
    <row r="96" spans="1:14" ht="11.25" customHeight="1">
      <c r="A96" s="153" t="s">
        <v>261</v>
      </c>
      <c r="B96" s="281" t="s">
        <v>1261</v>
      </c>
      <c r="C96" s="540" t="str">
        <f t="shared" si="30"/>
        <v>--</v>
      </c>
      <c r="D96" s="157" t="str">
        <f t="shared" si="31"/>
        <v>--</v>
      </c>
      <c r="E96" s="157" t="str">
        <f t="shared" si="32"/>
        <v>--</v>
      </c>
      <c r="F96" s="540" t="str">
        <f t="shared" si="33"/>
        <v>--</v>
      </c>
      <c r="G96" s="157" t="str">
        <f t="shared" si="34"/>
        <v>--</v>
      </c>
      <c r="H96" s="157" t="str">
        <f t="shared" si="35"/>
        <v>--</v>
      </c>
      <c r="I96" s="179" t="str">
        <f t="shared" si="25"/>
        <v>NV</v>
      </c>
      <c r="J96" s="158" t="str">
        <f t="shared" si="26"/>
        <v>--</v>
      </c>
      <c r="K96" s="158" t="str">
        <f t="shared" si="27"/>
        <v>--</v>
      </c>
      <c r="L96" s="158" t="str">
        <f t="shared" si="28"/>
        <v>--</v>
      </c>
      <c r="M96" s="158" t="str">
        <f t="shared" si="29"/>
        <v>--</v>
      </c>
      <c r="N96" s="695">
        <f t="shared" si="23"/>
        <v>0.03</v>
      </c>
    </row>
    <row r="97" spans="1:14" ht="11.25" customHeight="1">
      <c r="A97" s="153" t="s">
        <v>263</v>
      </c>
      <c r="B97" s="281" t="s">
        <v>115</v>
      </c>
      <c r="C97" s="540">
        <f t="shared" si="30"/>
        <v>21533.92330383481</v>
      </c>
      <c r="D97" s="157" t="str">
        <f t="shared" si="31"/>
        <v>--</v>
      </c>
      <c r="E97" s="157">
        <f t="shared" si="32"/>
        <v>21533.92330383481</v>
      </c>
      <c r="F97" s="540">
        <f t="shared" si="33"/>
        <v>90442.477876106175</v>
      </c>
      <c r="G97" s="157" t="str">
        <f t="shared" si="34"/>
        <v>--</v>
      </c>
      <c r="H97" s="157">
        <f t="shared" si="35"/>
        <v>90442.477876106175</v>
      </c>
      <c r="I97" s="179" t="str">
        <f t="shared" ref="I97" si="36">VLOOKUP($A97,Table_IP_1,MATCH("volatility",heading_IP_1,0),FALSE)</f>
        <v>V</v>
      </c>
      <c r="J97" s="158" t="str">
        <f t="shared" ref="J97" si="37">VLOOKUP($A97, Table_IA_1, MATCH("IA-Res-C", heading_IA_1, 0), FALSE)</f>
        <v>--</v>
      </c>
      <c r="K97" s="158">
        <f t="shared" ref="K97" si="38">VLOOKUP($A97, Table_IA_1, MATCH("IA-Res-NC", heading_IA_1, 0), FALSE)</f>
        <v>646.01769911504425</v>
      </c>
      <c r="L97" s="158" t="str">
        <f t="shared" ref="L97" si="39">VLOOKUP($A97, Table_IA_1, MATCH("IA-Com-C", heading_IA_1, 0), FALSE)</f>
        <v>--</v>
      </c>
      <c r="M97" s="158">
        <f t="shared" ref="M97" si="40">VLOOKUP($A97, Table_IA_1, MATCH("IA-Com-NC", heading_IA_1, 0), FALSE)</f>
        <v>2713.2743362831852</v>
      </c>
      <c r="N97" s="695">
        <f t="shared" ref="N97:N107" si="41">AFsmin</f>
        <v>0.03</v>
      </c>
    </row>
    <row r="98" spans="1:14" ht="11.25" customHeight="1">
      <c r="A98" s="153" t="s">
        <v>264</v>
      </c>
      <c r="B98" s="281" t="s">
        <v>115</v>
      </c>
      <c r="C98" s="540">
        <f t="shared" si="30"/>
        <v>10310.734463276838</v>
      </c>
      <c r="D98" s="157" t="str">
        <f t="shared" si="31"/>
        <v>--</v>
      </c>
      <c r="E98" s="157">
        <f t="shared" si="32"/>
        <v>10310.734463276838</v>
      </c>
      <c r="F98" s="540">
        <f t="shared" si="33"/>
        <v>43305.08474576271</v>
      </c>
      <c r="G98" s="157" t="str">
        <f t="shared" si="34"/>
        <v>--</v>
      </c>
      <c r="H98" s="157">
        <f t="shared" si="35"/>
        <v>43305.08474576271</v>
      </c>
      <c r="I98" s="179" t="str">
        <f t="shared" ref="I98:I129" si="42">VLOOKUP($A98,Table_IP_1,MATCH("volatility",heading_IP_1,0),FALSE)</f>
        <v>V</v>
      </c>
      <c r="J98" s="158" t="str">
        <f t="shared" ref="J98:J129" si="43">VLOOKUP($A98, Table_IA_1, MATCH("IA-Res-C", heading_IA_1, 0), FALSE)</f>
        <v>--</v>
      </c>
      <c r="K98" s="158">
        <f t="shared" ref="K98:K129" si="44">VLOOKUP($A98, Table_IA_1, MATCH("IA-Res-NC", heading_IA_1, 0), FALSE)</f>
        <v>309.32203389830511</v>
      </c>
      <c r="L98" s="158" t="str">
        <f t="shared" ref="L98:L129" si="45">VLOOKUP($A98, Table_IA_1, MATCH("IA-Com-C", heading_IA_1, 0), FALSE)</f>
        <v>--</v>
      </c>
      <c r="M98" s="158">
        <f t="shared" ref="M98:M129" si="46">VLOOKUP($A98, Table_IA_1, MATCH("IA-Com-NC", heading_IA_1, 0), FALSE)</f>
        <v>1299.1525423728813</v>
      </c>
      <c r="N98" s="695">
        <f t="shared" ref="N98:N146" si="47">AFsmin</f>
        <v>0.03</v>
      </c>
    </row>
    <row r="99" spans="1:14" ht="11.25" customHeight="1">
      <c r="A99" s="153" t="s">
        <v>265</v>
      </c>
      <c r="B99" s="281" t="s">
        <v>115</v>
      </c>
      <c r="C99" s="540">
        <f t="shared" si="30"/>
        <v>10310.734463276838</v>
      </c>
      <c r="D99" s="157" t="str">
        <f t="shared" si="31"/>
        <v>--</v>
      </c>
      <c r="E99" s="157">
        <f t="shared" si="32"/>
        <v>10310.734463276838</v>
      </c>
      <c r="F99" s="540">
        <f t="shared" si="33"/>
        <v>43305.08474576271</v>
      </c>
      <c r="G99" s="157" t="str">
        <f t="shared" si="34"/>
        <v>--</v>
      </c>
      <c r="H99" s="157">
        <f t="shared" si="35"/>
        <v>43305.08474576271</v>
      </c>
      <c r="I99" s="179" t="str">
        <f t="shared" si="42"/>
        <v>V</v>
      </c>
      <c r="J99" s="158" t="str">
        <f t="shared" si="43"/>
        <v>--</v>
      </c>
      <c r="K99" s="158">
        <f t="shared" si="44"/>
        <v>309.32203389830511</v>
      </c>
      <c r="L99" s="158" t="str">
        <f t="shared" si="45"/>
        <v>--</v>
      </c>
      <c r="M99" s="158">
        <f t="shared" si="46"/>
        <v>1299.1525423728813</v>
      </c>
      <c r="N99" s="695">
        <f t="shared" si="47"/>
        <v>0.03</v>
      </c>
    </row>
    <row r="100" spans="1:14" ht="11.25" customHeight="1">
      <c r="A100" s="153" t="s">
        <v>266</v>
      </c>
      <c r="B100" s="281" t="s">
        <v>115</v>
      </c>
      <c r="C100" s="540">
        <f t="shared" si="30"/>
        <v>6759.2592592592582</v>
      </c>
      <c r="D100" s="157" t="str">
        <f t="shared" si="31"/>
        <v>--</v>
      </c>
      <c r="E100" s="157">
        <f t="shared" si="32"/>
        <v>6759.2592592592582</v>
      </c>
      <c r="F100" s="540">
        <f t="shared" si="33"/>
        <v>28388.888888888887</v>
      </c>
      <c r="G100" s="157" t="str">
        <f t="shared" si="34"/>
        <v>--</v>
      </c>
      <c r="H100" s="157">
        <f t="shared" si="35"/>
        <v>28388.888888888887</v>
      </c>
      <c r="I100" s="179" t="str">
        <f t="shared" si="42"/>
        <v>V</v>
      </c>
      <c r="J100" s="158" t="str">
        <f t="shared" si="43"/>
        <v>--</v>
      </c>
      <c r="K100" s="158">
        <f t="shared" si="44"/>
        <v>202.77777777777774</v>
      </c>
      <c r="L100" s="158" t="str">
        <f t="shared" si="45"/>
        <v>--</v>
      </c>
      <c r="M100" s="158">
        <f t="shared" si="46"/>
        <v>851.66666666666663</v>
      </c>
      <c r="N100" s="695">
        <f t="shared" si="47"/>
        <v>0.03</v>
      </c>
    </row>
    <row r="101" spans="1:14" ht="11.25" customHeight="1">
      <c r="A101" s="153" t="s">
        <v>267</v>
      </c>
      <c r="B101" s="281" t="s">
        <v>115</v>
      </c>
      <c r="C101" s="540" t="str">
        <f t="shared" ref="C101:C130" si="48">IF(MIN(D101,E101)=0,"--",MIN(D101,E101))</f>
        <v>--</v>
      </c>
      <c r="D101" s="157" t="str">
        <f t="shared" ref="D101:D126" si="49">IF($I101="NV", "--", IF(J101="--","--", J101/$N101))</f>
        <v>--</v>
      </c>
      <c r="E101" s="157" t="str">
        <f t="shared" ref="E101:E126" si="50">IF($I101="NV", "--", IF(K101="--","--", K101/$N101))</f>
        <v>--</v>
      </c>
      <c r="F101" s="540" t="str">
        <f t="shared" ref="F101:F130" si="51">IF(MIN(G101,H101)=0,"--",MIN(G101,H101))</f>
        <v>--</v>
      </c>
      <c r="G101" s="157" t="str">
        <f t="shared" ref="G101:G126" si="52">IF($I101="NV", "--", IF(L101="--","--", L101/$N101))</f>
        <v>--</v>
      </c>
      <c r="H101" s="157" t="str">
        <f t="shared" ref="H101:H126" si="53">IF($I101="NV", "--", IF(M101="--","--", M101/$N101))</f>
        <v>--</v>
      </c>
      <c r="I101" s="179" t="str">
        <f t="shared" si="42"/>
        <v>NV</v>
      </c>
      <c r="J101" s="158" t="str">
        <f t="shared" si="43"/>
        <v>--</v>
      </c>
      <c r="K101" s="158" t="str">
        <f t="shared" si="44"/>
        <v>--</v>
      </c>
      <c r="L101" s="158" t="str">
        <f t="shared" si="45"/>
        <v>--</v>
      </c>
      <c r="M101" s="158" t="str">
        <f t="shared" si="46"/>
        <v>--</v>
      </c>
      <c r="N101" s="695">
        <f t="shared" si="47"/>
        <v>0.03</v>
      </c>
    </row>
    <row r="102" spans="1:14" ht="11.25" customHeight="1">
      <c r="A102" s="153" t="s">
        <v>268</v>
      </c>
      <c r="B102" s="281" t="s">
        <v>115</v>
      </c>
      <c r="C102" s="540" t="str">
        <f t="shared" si="48"/>
        <v>--</v>
      </c>
      <c r="D102" s="157" t="str">
        <f t="shared" si="49"/>
        <v>--</v>
      </c>
      <c r="E102" s="157" t="str">
        <f t="shared" si="50"/>
        <v>--</v>
      </c>
      <c r="F102" s="540" t="str">
        <f t="shared" si="51"/>
        <v>--</v>
      </c>
      <c r="G102" s="157" t="str">
        <f t="shared" si="52"/>
        <v>--</v>
      </c>
      <c r="H102" s="157" t="str">
        <f t="shared" si="53"/>
        <v>--</v>
      </c>
      <c r="I102" s="179" t="str">
        <f t="shared" si="42"/>
        <v>NV</v>
      </c>
      <c r="J102" s="158" t="str">
        <f t="shared" si="43"/>
        <v>--</v>
      </c>
      <c r="K102" s="158" t="str">
        <f t="shared" si="44"/>
        <v>--</v>
      </c>
      <c r="L102" s="158" t="str">
        <f t="shared" si="45"/>
        <v>--</v>
      </c>
      <c r="M102" s="158" t="str">
        <f t="shared" si="46"/>
        <v>--</v>
      </c>
      <c r="N102" s="695">
        <f t="shared" si="47"/>
        <v>0.03</v>
      </c>
    </row>
    <row r="103" spans="1:14" ht="11.25" customHeight="1">
      <c r="A103" s="1408" t="s">
        <v>719</v>
      </c>
      <c r="B103" s="1468" t="s">
        <v>115</v>
      </c>
      <c r="C103" s="540">
        <f t="shared" ref="C103:C107" si="54">IF(MIN(D103,E103)=0,"--",MIN(D103,E103))</f>
        <v>24333.333333333336</v>
      </c>
      <c r="D103" s="1469" t="str">
        <f t="shared" ref="D103:E107" si="55">IF($I103="NV", "--", IF(J103="--","--", J103/$N103))</f>
        <v>--</v>
      </c>
      <c r="E103" s="1469">
        <f t="shared" si="55"/>
        <v>24333.333333333336</v>
      </c>
      <c r="F103" s="540">
        <f t="shared" ref="F103:F107" si="56">IF(MIN(G103,H103)=0,"--",MIN(G103,H103))</f>
        <v>102200</v>
      </c>
      <c r="G103" s="1469" t="str">
        <f t="shared" ref="G103:H107" si="57">IF($I103="NV", "--", IF(L103="--","--", L103/$N103))</f>
        <v>--</v>
      </c>
      <c r="H103" s="1469">
        <f t="shared" si="57"/>
        <v>102200</v>
      </c>
      <c r="I103" s="179" t="str">
        <f t="shared" ref="I103:I107" si="58">VLOOKUP($A103,Table_IP_1,MATCH("volatility",heading_IP_1,0),FALSE)</f>
        <v>V</v>
      </c>
      <c r="J103" s="158" t="str">
        <f t="shared" ref="J103:J107" si="59">VLOOKUP($A103, Table_IA_1, MATCH("IA-Res-C", heading_IA_1, 0), FALSE)</f>
        <v>--</v>
      </c>
      <c r="K103" s="158">
        <f t="shared" ref="K103:K107" si="60">VLOOKUP($A103, Table_IA_1, MATCH("IA-Res-NC", heading_IA_1, 0), FALSE)</f>
        <v>730</v>
      </c>
      <c r="L103" s="158" t="str">
        <f t="shared" ref="L103:L107" si="61">VLOOKUP($A103, Table_IA_1, MATCH("IA-Com-C", heading_IA_1, 0), FALSE)</f>
        <v>--</v>
      </c>
      <c r="M103" s="158">
        <f t="shared" ref="M103:M107" si="62">VLOOKUP($A103, Table_IA_1, MATCH("IA-Com-NC", heading_IA_1, 0), FALSE)</f>
        <v>3066</v>
      </c>
      <c r="N103" s="695">
        <f t="shared" si="23"/>
        <v>0.03</v>
      </c>
    </row>
    <row r="104" spans="1:14" ht="11.25" customHeight="1">
      <c r="A104" s="1408" t="s">
        <v>720</v>
      </c>
      <c r="B104" s="1468" t="s">
        <v>115</v>
      </c>
      <c r="C104" s="540">
        <f t="shared" si="54"/>
        <v>3476.1904761904766</v>
      </c>
      <c r="D104" s="1469" t="str">
        <f t="shared" si="55"/>
        <v>--</v>
      </c>
      <c r="E104" s="1469">
        <f t="shared" si="55"/>
        <v>3476.1904761904766</v>
      </c>
      <c r="F104" s="540">
        <f t="shared" si="56"/>
        <v>14599.999999999998</v>
      </c>
      <c r="G104" s="1469" t="str">
        <f t="shared" si="57"/>
        <v>--</v>
      </c>
      <c r="H104" s="1469">
        <f t="shared" si="57"/>
        <v>14599.999999999998</v>
      </c>
      <c r="I104" s="179" t="str">
        <f t="shared" si="58"/>
        <v>V</v>
      </c>
      <c r="J104" s="158" t="str">
        <f t="shared" si="59"/>
        <v>--</v>
      </c>
      <c r="K104" s="158">
        <f t="shared" si="60"/>
        <v>104.28571428571429</v>
      </c>
      <c r="L104" s="158" t="str">
        <f t="shared" si="61"/>
        <v>--</v>
      </c>
      <c r="M104" s="158">
        <f t="shared" si="62"/>
        <v>437.99999999999994</v>
      </c>
      <c r="N104" s="695">
        <f t="shared" si="41"/>
        <v>0.03</v>
      </c>
    </row>
    <row r="105" spans="1:14" ht="11.25" customHeight="1">
      <c r="A105" s="1408" t="s">
        <v>721</v>
      </c>
      <c r="B105" s="1468" t="s">
        <v>115</v>
      </c>
      <c r="C105" s="540" t="str">
        <f t="shared" si="54"/>
        <v>--</v>
      </c>
      <c r="D105" s="1469" t="str">
        <f t="shared" si="55"/>
        <v>--</v>
      </c>
      <c r="E105" s="1469" t="str">
        <f t="shared" si="55"/>
        <v>--</v>
      </c>
      <c r="F105" s="540" t="str">
        <f t="shared" si="56"/>
        <v>--</v>
      </c>
      <c r="G105" s="1469" t="str">
        <f t="shared" si="57"/>
        <v>--</v>
      </c>
      <c r="H105" s="1469" t="str">
        <f t="shared" si="57"/>
        <v>--</v>
      </c>
      <c r="I105" s="179" t="str">
        <f t="shared" si="58"/>
        <v>V</v>
      </c>
      <c r="J105" s="158" t="str">
        <f t="shared" si="59"/>
        <v>--</v>
      </c>
      <c r="K105" s="158" t="str">
        <f t="shared" si="60"/>
        <v>--</v>
      </c>
      <c r="L105" s="158" t="str">
        <f t="shared" si="61"/>
        <v>--</v>
      </c>
      <c r="M105" s="158" t="str">
        <f t="shared" si="62"/>
        <v>--</v>
      </c>
      <c r="N105" s="695">
        <f t="shared" si="41"/>
        <v>0.03</v>
      </c>
    </row>
    <row r="106" spans="1:14" ht="11.25" customHeight="1">
      <c r="A106" s="1408" t="s">
        <v>722</v>
      </c>
      <c r="B106" s="1468" t="s">
        <v>115</v>
      </c>
      <c r="C106" s="540">
        <f t="shared" si="54"/>
        <v>1738.0952380952383</v>
      </c>
      <c r="D106" s="1469" t="str">
        <f t="shared" si="55"/>
        <v>--</v>
      </c>
      <c r="E106" s="1469">
        <f t="shared" si="55"/>
        <v>1738.0952380952383</v>
      </c>
      <c r="F106" s="540">
        <f t="shared" si="56"/>
        <v>7299.9999999999991</v>
      </c>
      <c r="G106" s="1469" t="str">
        <f t="shared" si="57"/>
        <v>--</v>
      </c>
      <c r="H106" s="1469">
        <f t="shared" si="57"/>
        <v>7299.9999999999991</v>
      </c>
      <c r="I106" s="179" t="str">
        <f t="shared" si="58"/>
        <v>V</v>
      </c>
      <c r="J106" s="158" t="str">
        <f t="shared" si="59"/>
        <v>--</v>
      </c>
      <c r="K106" s="158">
        <f t="shared" si="60"/>
        <v>52.142857142857146</v>
      </c>
      <c r="L106" s="158" t="str">
        <f t="shared" si="61"/>
        <v>--</v>
      </c>
      <c r="M106" s="158">
        <f t="shared" si="62"/>
        <v>218.99999999999997</v>
      </c>
      <c r="N106" s="695">
        <f t="shared" si="41"/>
        <v>0.03</v>
      </c>
    </row>
    <row r="107" spans="1:14" ht="11.25" customHeight="1">
      <c r="A107" s="1408" t="s">
        <v>723</v>
      </c>
      <c r="B107" s="1468" t="s">
        <v>115</v>
      </c>
      <c r="C107" s="540" t="str">
        <f t="shared" si="54"/>
        <v>--</v>
      </c>
      <c r="D107" s="1469" t="str">
        <f t="shared" si="55"/>
        <v>--</v>
      </c>
      <c r="E107" s="1469" t="str">
        <f t="shared" si="55"/>
        <v>--</v>
      </c>
      <c r="F107" s="540" t="str">
        <f t="shared" si="56"/>
        <v>--</v>
      </c>
      <c r="G107" s="1469" t="str">
        <f t="shared" si="57"/>
        <v>--</v>
      </c>
      <c r="H107" s="1469" t="str">
        <f t="shared" si="57"/>
        <v>--</v>
      </c>
      <c r="I107" s="179" t="str">
        <f t="shared" si="58"/>
        <v>NV</v>
      </c>
      <c r="J107" s="158" t="str">
        <f t="shared" si="59"/>
        <v>--</v>
      </c>
      <c r="K107" s="158" t="str">
        <f t="shared" si="60"/>
        <v>--</v>
      </c>
      <c r="L107" s="158" t="str">
        <f t="shared" si="61"/>
        <v>--</v>
      </c>
      <c r="M107" s="158" t="str">
        <f t="shared" si="62"/>
        <v>--</v>
      </c>
      <c r="N107" s="695">
        <f t="shared" si="41"/>
        <v>0.03</v>
      </c>
    </row>
    <row r="108" spans="1:14" ht="11.25" customHeight="1">
      <c r="A108" s="153" t="s">
        <v>269</v>
      </c>
      <c r="B108" s="281" t="s">
        <v>270</v>
      </c>
      <c r="C108" s="540" t="str">
        <f t="shared" si="48"/>
        <v>--</v>
      </c>
      <c r="D108" s="157" t="str">
        <f t="shared" si="49"/>
        <v>--</v>
      </c>
      <c r="E108" s="157" t="str">
        <f t="shared" si="50"/>
        <v>--</v>
      </c>
      <c r="F108" s="540" t="str">
        <f t="shared" si="51"/>
        <v>--</v>
      </c>
      <c r="G108" s="157" t="str">
        <f t="shared" si="52"/>
        <v>--</v>
      </c>
      <c r="H108" s="157" t="str">
        <f t="shared" si="53"/>
        <v>--</v>
      </c>
      <c r="I108" s="179" t="str">
        <f t="shared" si="42"/>
        <v>V</v>
      </c>
      <c r="J108" s="158" t="str">
        <f t="shared" si="43"/>
        <v>--</v>
      </c>
      <c r="K108" s="158" t="str">
        <f t="shared" si="44"/>
        <v>--</v>
      </c>
      <c r="L108" s="158" t="str">
        <f t="shared" si="45"/>
        <v>--</v>
      </c>
      <c r="M108" s="158" t="str">
        <f t="shared" si="46"/>
        <v>--</v>
      </c>
      <c r="N108" s="695">
        <f t="shared" si="47"/>
        <v>0.03</v>
      </c>
    </row>
    <row r="109" spans="1:14" ht="11.25" customHeight="1">
      <c r="A109" s="153" t="s">
        <v>271</v>
      </c>
      <c r="B109" s="281" t="s">
        <v>272</v>
      </c>
      <c r="C109" s="540" t="str">
        <f t="shared" si="48"/>
        <v>--</v>
      </c>
      <c r="D109" s="157" t="str">
        <f t="shared" si="49"/>
        <v>--</v>
      </c>
      <c r="E109" s="157" t="str">
        <f t="shared" si="50"/>
        <v>--</v>
      </c>
      <c r="F109" s="540" t="str">
        <f t="shared" si="51"/>
        <v>--</v>
      </c>
      <c r="G109" s="157" t="str">
        <f t="shared" si="52"/>
        <v>--</v>
      </c>
      <c r="H109" s="157" t="str">
        <f t="shared" si="53"/>
        <v>--</v>
      </c>
      <c r="I109" s="179" t="str">
        <f t="shared" si="42"/>
        <v>V</v>
      </c>
      <c r="J109" s="158" t="str">
        <f t="shared" si="43"/>
        <v>--</v>
      </c>
      <c r="K109" s="158" t="str">
        <f t="shared" si="44"/>
        <v>--</v>
      </c>
      <c r="L109" s="158" t="str">
        <f t="shared" si="45"/>
        <v>--</v>
      </c>
      <c r="M109" s="158" t="str">
        <f t="shared" si="46"/>
        <v>--</v>
      </c>
      <c r="N109" s="695">
        <f t="shared" si="47"/>
        <v>0.03</v>
      </c>
    </row>
    <row r="110" spans="1:14" ht="11.25" customHeight="1">
      <c r="A110" s="153" t="s">
        <v>273</v>
      </c>
      <c r="B110" s="281" t="s">
        <v>274</v>
      </c>
      <c r="C110" s="540" t="str">
        <f t="shared" si="48"/>
        <v>--</v>
      </c>
      <c r="D110" s="157" t="str">
        <f t="shared" si="49"/>
        <v>--</v>
      </c>
      <c r="E110" s="157" t="str">
        <f t="shared" si="50"/>
        <v>--</v>
      </c>
      <c r="F110" s="540" t="str">
        <f t="shared" si="51"/>
        <v>--</v>
      </c>
      <c r="G110" s="157" t="str">
        <f t="shared" si="52"/>
        <v>--</v>
      </c>
      <c r="H110" s="157" t="str">
        <f t="shared" si="53"/>
        <v>--</v>
      </c>
      <c r="I110" s="179" t="str">
        <f t="shared" si="42"/>
        <v>V</v>
      </c>
      <c r="J110" s="158" t="str">
        <f t="shared" si="43"/>
        <v>--</v>
      </c>
      <c r="K110" s="158" t="str">
        <f t="shared" si="44"/>
        <v>--</v>
      </c>
      <c r="L110" s="158" t="str">
        <f t="shared" si="45"/>
        <v>--</v>
      </c>
      <c r="M110" s="158" t="str">
        <f t="shared" si="46"/>
        <v>--</v>
      </c>
      <c r="N110" s="695">
        <f t="shared" si="47"/>
        <v>0.03</v>
      </c>
    </row>
    <row r="111" spans="1:14" ht="11.25" customHeight="1">
      <c r="A111" s="153" t="s">
        <v>275</v>
      </c>
      <c r="B111" s="281" t="s">
        <v>276</v>
      </c>
      <c r="C111" s="540" t="str">
        <f t="shared" si="48"/>
        <v>--</v>
      </c>
      <c r="D111" s="157" t="str">
        <f t="shared" si="49"/>
        <v>--</v>
      </c>
      <c r="E111" s="157" t="str">
        <f t="shared" si="50"/>
        <v>--</v>
      </c>
      <c r="F111" s="540" t="str">
        <f t="shared" si="51"/>
        <v>--</v>
      </c>
      <c r="G111" s="157" t="str">
        <f t="shared" si="52"/>
        <v>--</v>
      </c>
      <c r="H111" s="157" t="str">
        <f t="shared" si="53"/>
        <v>--</v>
      </c>
      <c r="I111" s="179" t="str">
        <f t="shared" si="42"/>
        <v>NV</v>
      </c>
      <c r="J111" s="158" t="str">
        <f t="shared" si="43"/>
        <v>--</v>
      </c>
      <c r="K111" s="158" t="str">
        <f t="shared" si="44"/>
        <v>--</v>
      </c>
      <c r="L111" s="158" t="str">
        <f t="shared" si="45"/>
        <v>--</v>
      </c>
      <c r="M111" s="158" t="str">
        <f t="shared" si="46"/>
        <v>--</v>
      </c>
      <c r="N111" s="695">
        <f t="shared" si="47"/>
        <v>0.03</v>
      </c>
    </row>
    <row r="112" spans="1:14" ht="11.25" customHeight="1">
      <c r="A112" s="153" t="s">
        <v>277</v>
      </c>
      <c r="B112" s="281" t="s">
        <v>278</v>
      </c>
      <c r="C112" s="540" t="str">
        <f t="shared" si="48"/>
        <v>--</v>
      </c>
      <c r="D112" s="157" t="str">
        <f t="shared" si="49"/>
        <v>--</v>
      </c>
      <c r="E112" s="157" t="str">
        <f t="shared" si="50"/>
        <v>--</v>
      </c>
      <c r="F112" s="540" t="str">
        <f t="shared" si="51"/>
        <v>--</v>
      </c>
      <c r="G112" s="157" t="str">
        <f t="shared" si="52"/>
        <v>--</v>
      </c>
      <c r="H112" s="157" t="str">
        <f t="shared" si="53"/>
        <v>--</v>
      </c>
      <c r="I112" s="179" t="str">
        <f t="shared" si="42"/>
        <v>V</v>
      </c>
      <c r="J112" s="158" t="str">
        <f t="shared" si="43"/>
        <v>--</v>
      </c>
      <c r="K112" s="158" t="str">
        <f t="shared" si="44"/>
        <v>--</v>
      </c>
      <c r="L112" s="158" t="str">
        <f t="shared" si="45"/>
        <v>--</v>
      </c>
      <c r="M112" s="158" t="str">
        <f t="shared" si="46"/>
        <v>--</v>
      </c>
      <c r="N112" s="695">
        <f t="shared" si="47"/>
        <v>0.03</v>
      </c>
    </row>
    <row r="113" spans="1:14" ht="11.25" customHeight="1">
      <c r="A113" s="153" t="s">
        <v>279</v>
      </c>
      <c r="B113" s="281" t="s">
        <v>280</v>
      </c>
      <c r="C113" s="540" t="str">
        <f t="shared" si="48"/>
        <v>--</v>
      </c>
      <c r="D113" s="157" t="str">
        <f t="shared" si="49"/>
        <v>--</v>
      </c>
      <c r="E113" s="157" t="str">
        <f t="shared" si="50"/>
        <v>--</v>
      </c>
      <c r="F113" s="540" t="str">
        <f t="shared" si="51"/>
        <v>--</v>
      </c>
      <c r="G113" s="157" t="str">
        <f t="shared" si="52"/>
        <v>--</v>
      </c>
      <c r="H113" s="157" t="str">
        <f t="shared" si="53"/>
        <v>--</v>
      </c>
      <c r="I113" s="179" t="str">
        <f t="shared" si="42"/>
        <v>NV</v>
      </c>
      <c r="J113" s="158" t="str">
        <f t="shared" si="43"/>
        <v>--</v>
      </c>
      <c r="K113" s="158" t="str">
        <f t="shared" si="44"/>
        <v>--</v>
      </c>
      <c r="L113" s="158" t="str">
        <f t="shared" si="45"/>
        <v>--</v>
      </c>
      <c r="M113" s="158" t="str">
        <f t="shared" si="46"/>
        <v>--</v>
      </c>
      <c r="N113" s="695">
        <f t="shared" si="47"/>
        <v>0.03</v>
      </c>
    </row>
    <row r="114" spans="1:14" ht="11.25" customHeight="1">
      <c r="A114" s="153" t="s">
        <v>281</v>
      </c>
      <c r="B114" s="281" t="s">
        <v>282</v>
      </c>
      <c r="C114" s="540" t="str">
        <f t="shared" si="48"/>
        <v>--</v>
      </c>
      <c r="D114" s="157" t="str">
        <f t="shared" si="49"/>
        <v>--</v>
      </c>
      <c r="E114" s="157" t="str">
        <f t="shared" si="50"/>
        <v>--</v>
      </c>
      <c r="F114" s="540" t="str">
        <f t="shared" si="51"/>
        <v>--</v>
      </c>
      <c r="G114" s="157" t="str">
        <f t="shared" si="52"/>
        <v>--</v>
      </c>
      <c r="H114" s="157" t="str">
        <f t="shared" si="53"/>
        <v>--</v>
      </c>
      <c r="I114" s="179" t="str">
        <f t="shared" si="42"/>
        <v>V</v>
      </c>
      <c r="J114" s="158" t="str">
        <f t="shared" si="43"/>
        <v>--</v>
      </c>
      <c r="K114" s="158" t="str">
        <f t="shared" si="44"/>
        <v>--</v>
      </c>
      <c r="L114" s="158" t="str">
        <f t="shared" si="45"/>
        <v>--</v>
      </c>
      <c r="M114" s="158" t="str">
        <f t="shared" si="46"/>
        <v>--</v>
      </c>
      <c r="N114" s="695">
        <f t="shared" si="47"/>
        <v>0.03</v>
      </c>
    </row>
    <row r="115" spans="1:14" ht="11.25" customHeight="1">
      <c r="A115" s="153" t="s">
        <v>283</v>
      </c>
      <c r="B115" s="281" t="s">
        <v>284</v>
      </c>
      <c r="C115" s="540" t="str">
        <f t="shared" si="48"/>
        <v>--</v>
      </c>
      <c r="D115" s="157" t="str">
        <f t="shared" si="49"/>
        <v>--</v>
      </c>
      <c r="E115" s="157" t="str">
        <f t="shared" si="50"/>
        <v>--</v>
      </c>
      <c r="F115" s="540" t="str">
        <f t="shared" si="51"/>
        <v>--</v>
      </c>
      <c r="G115" s="157" t="str">
        <f t="shared" si="52"/>
        <v>--</v>
      </c>
      <c r="H115" s="157" t="str">
        <f t="shared" si="53"/>
        <v>--</v>
      </c>
      <c r="I115" s="179" t="str">
        <f t="shared" si="42"/>
        <v>NV</v>
      </c>
      <c r="J115" s="158" t="str">
        <f t="shared" si="43"/>
        <v>--</v>
      </c>
      <c r="K115" s="158" t="str">
        <f t="shared" si="44"/>
        <v>--</v>
      </c>
      <c r="L115" s="158" t="str">
        <f t="shared" si="45"/>
        <v>--</v>
      </c>
      <c r="M115" s="158" t="str">
        <f t="shared" si="46"/>
        <v>--</v>
      </c>
      <c r="N115" s="695">
        <f t="shared" si="47"/>
        <v>0.03</v>
      </c>
    </row>
    <row r="116" spans="1:14" ht="11.25" customHeight="1">
      <c r="A116" s="153" t="s">
        <v>285</v>
      </c>
      <c r="B116" s="281" t="s">
        <v>286</v>
      </c>
      <c r="C116" s="540" t="str">
        <f t="shared" si="48"/>
        <v>--</v>
      </c>
      <c r="D116" s="157" t="str">
        <f t="shared" si="49"/>
        <v>--</v>
      </c>
      <c r="E116" s="157" t="str">
        <f t="shared" si="50"/>
        <v>--</v>
      </c>
      <c r="F116" s="540" t="str">
        <f t="shared" si="51"/>
        <v>--</v>
      </c>
      <c r="G116" s="157" t="str">
        <f t="shared" si="52"/>
        <v>--</v>
      </c>
      <c r="H116" s="157" t="str">
        <f t="shared" si="53"/>
        <v>--</v>
      </c>
      <c r="I116" s="179" t="str">
        <f t="shared" si="42"/>
        <v>NV</v>
      </c>
      <c r="J116" s="158" t="str">
        <f t="shared" si="43"/>
        <v>--</v>
      </c>
      <c r="K116" s="158" t="str">
        <f t="shared" si="44"/>
        <v>--</v>
      </c>
      <c r="L116" s="158" t="str">
        <f t="shared" si="45"/>
        <v>--</v>
      </c>
      <c r="M116" s="158" t="str">
        <f t="shared" si="46"/>
        <v>--</v>
      </c>
      <c r="N116" s="695">
        <f t="shared" si="47"/>
        <v>0.03</v>
      </c>
    </row>
    <row r="117" spans="1:14" ht="11.25" customHeight="1">
      <c r="A117" s="153" t="s">
        <v>287</v>
      </c>
      <c r="B117" s="281" t="s">
        <v>288</v>
      </c>
      <c r="C117" s="540" t="str">
        <f t="shared" si="48"/>
        <v>--</v>
      </c>
      <c r="D117" s="157" t="str">
        <f t="shared" si="49"/>
        <v>--</v>
      </c>
      <c r="E117" s="157" t="str">
        <f t="shared" si="50"/>
        <v>--</v>
      </c>
      <c r="F117" s="540" t="str">
        <f t="shared" si="51"/>
        <v>--</v>
      </c>
      <c r="G117" s="157" t="str">
        <f t="shared" si="52"/>
        <v>--</v>
      </c>
      <c r="H117" s="157" t="str">
        <f t="shared" si="53"/>
        <v>--</v>
      </c>
      <c r="I117" s="179" t="str">
        <f t="shared" si="42"/>
        <v>NV</v>
      </c>
      <c r="J117" s="158" t="str">
        <f t="shared" si="43"/>
        <v>--</v>
      </c>
      <c r="K117" s="158" t="str">
        <f t="shared" si="44"/>
        <v>--</v>
      </c>
      <c r="L117" s="158" t="str">
        <f t="shared" si="45"/>
        <v>--</v>
      </c>
      <c r="M117" s="158" t="str">
        <f t="shared" si="46"/>
        <v>--</v>
      </c>
      <c r="N117" s="695">
        <f t="shared" si="47"/>
        <v>0.03</v>
      </c>
    </row>
    <row r="118" spans="1:14" ht="11.25" customHeight="1">
      <c r="A118" s="153" t="s">
        <v>289</v>
      </c>
      <c r="B118" s="281" t="s">
        <v>290</v>
      </c>
      <c r="C118" s="540" t="str">
        <f t="shared" si="48"/>
        <v>--</v>
      </c>
      <c r="D118" s="157" t="str">
        <f t="shared" si="49"/>
        <v>--</v>
      </c>
      <c r="E118" s="157" t="str">
        <f t="shared" si="50"/>
        <v>--</v>
      </c>
      <c r="F118" s="540" t="str">
        <f t="shared" si="51"/>
        <v>--</v>
      </c>
      <c r="G118" s="157" t="str">
        <f t="shared" si="52"/>
        <v>--</v>
      </c>
      <c r="H118" s="157" t="str">
        <f t="shared" si="53"/>
        <v>--</v>
      </c>
      <c r="I118" s="179" t="str">
        <f t="shared" si="42"/>
        <v>NV</v>
      </c>
      <c r="J118" s="158" t="str">
        <f t="shared" si="43"/>
        <v>--</v>
      </c>
      <c r="K118" s="158" t="str">
        <f t="shared" si="44"/>
        <v>--</v>
      </c>
      <c r="L118" s="158" t="str">
        <f t="shared" si="45"/>
        <v>--</v>
      </c>
      <c r="M118" s="158" t="str">
        <f t="shared" si="46"/>
        <v>--</v>
      </c>
      <c r="N118" s="695">
        <f t="shared" si="47"/>
        <v>0.03</v>
      </c>
    </row>
    <row r="119" spans="1:14" ht="11.25" customHeight="1">
      <c r="A119" s="153" t="s">
        <v>291</v>
      </c>
      <c r="B119" s="281" t="s">
        <v>292</v>
      </c>
      <c r="C119" s="540" t="str">
        <f t="shared" si="48"/>
        <v>--</v>
      </c>
      <c r="D119" s="157" t="str">
        <f t="shared" si="49"/>
        <v>--</v>
      </c>
      <c r="E119" s="157" t="str">
        <f t="shared" si="50"/>
        <v>--</v>
      </c>
      <c r="F119" s="540" t="str">
        <f t="shared" si="51"/>
        <v>--</v>
      </c>
      <c r="G119" s="157" t="str">
        <f t="shared" si="52"/>
        <v>--</v>
      </c>
      <c r="H119" s="157" t="str">
        <f t="shared" si="53"/>
        <v>--</v>
      </c>
      <c r="I119" s="179" t="str">
        <f t="shared" si="42"/>
        <v>NV</v>
      </c>
      <c r="J119" s="158" t="str">
        <f t="shared" si="43"/>
        <v>--</v>
      </c>
      <c r="K119" s="158" t="str">
        <f t="shared" si="44"/>
        <v>--</v>
      </c>
      <c r="L119" s="158" t="str">
        <f t="shared" si="45"/>
        <v>--</v>
      </c>
      <c r="M119" s="158" t="str">
        <f t="shared" si="46"/>
        <v>--</v>
      </c>
      <c r="N119" s="695">
        <f t="shared" si="47"/>
        <v>0.03</v>
      </c>
    </row>
    <row r="120" spans="1:14" ht="11.25" customHeight="1">
      <c r="A120" s="153" t="s">
        <v>293</v>
      </c>
      <c r="B120" s="281" t="s">
        <v>294</v>
      </c>
      <c r="C120" s="540" t="str">
        <f t="shared" si="48"/>
        <v>--</v>
      </c>
      <c r="D120" s="157" t="str">
        <f t="shared" si="49"/>
        <v>--</v>
      </c>
      <c r="E120" s="157" t="str">
        <f t="shared" si="50"/>
        <v>--</v>
      </c>
      <c r="F120" s="540" t="str">
        <f t="shared" si="51"/>
        <v>--</v>
      </c>
      <c r="G120" s="157" t="str">
        <f t="shared" si="52"/>
        <v>--</v>
      </c>
      <c r="H120" s="157" t="str">
        <f t="shared" si="53"/>
        <v>--</v>
      </c>
      <c r="I120" s="179" t="str">
        <f t="shared" si="42"/>
        <v>NV</v>
      </c>
      <c r="J120" s="158" t="str">
        <f t="shared" si="43"/>
        <v>--</v>
      </c>
      <c r="K120" s="158" t="str">
        <f t="shared" si="44"/>
        <v>--</v>
      </c>
      <c r="L120" s="158" t="str">
        <f t="shared" si="45"/>
        <v>--</v>
      </c>
      <c r="M120" s="158" t="str">
        <f t="shared" si="46"/>
        <v>--</v>
      </c>
      <c r="N120" s="695">
        <f t="shared" si="47"/>
        <v>0.03</v>
      </c>
    </row>
    <row r="121" spans="1:14" ht="11.25" customHeight="1">
      <c r="A121" s="153" t="s">
        <v>295</v>
      </c>
      <c r="B121" s="281" t="s">
        <v>296</v>
      </c>
      <c r="C121" s="540" t="str">
        <f t="shared" si="48"/>
        <v>--</v>
      </c>
      <c r="D121" s="157" t="str">
        <f t="shared" si="49"/>
        <v>--</v>
      </c>
      <c r="E121" s="157" t="str">
        <f t="shared" si="50"/>
        <v>--</v>
      </c>
      <c r="F121" s="540" t="str">
        <f t="shared" si="51"/>
        <v>--</v>
      </c>
      <c r="G121" s="157" t="str">
        <f t="shared" si="52"/>
        <v>--</v>
      </c>
      <c r="H121" s="157" t="str">
        <f t="shared" si="53"/>
        <v>--</v>
      </c>
      <c r="I121" s="179" t="str">
        <f t="shared" si="42"/>
        <v>V</v>
      </c>
      <c r="J121" s="158" t="str">
        <f t="shared" si="43"/>
        <v>--</v>
      </c>
      <c r="K121" s="158" t="str">
        <f t="shared" si="44"/>
        <v>--</v>
      </c>
      <c r="L121" s="158" t="str">
        <f t="shared" si="45"/>
        <v>--</v>
      </c>
      <c r="M121" s="158" t="str">
        <f t="shared" si="46"/>
        <v>--</v>
      </c>
      <c r="N121" s="695">
        <f t="shared" si="47"/>
        <v>0.03</v>
      </c>
    </row>
    <row r="122" spans="1:14" ht="11.25" customHeight="1">
      <c r="A122" s="153" t="s">
        <v>297</v>
      </c>
      <c r="B122" s="280" t="s">
        <v>298</v>
      </c>
      <c r="C122" s="320" t="str">
        <f t="shared" si="48"/>
        <v>--</v>
      </c>
      <c r="D122" s="157" t="str">
        <f t="shared" si="49"/>
        <v>--</v>
      </c>
      <c r="E122" s="157" t="str">
        <f t="shared" si="50"/>
        <v>--</v>
      </c>
      <c r="F122" s="320" t="str">
        <f t="shared" si="51"/>
        <v>--</v>
      </c>
      <c r="G122" s="157" t="str">
        <f t="shared" si="52"/>
        <v>--</v>
      </c>
      <c r="H122" s="157" t="str">
        <f t="shared" si="53"/>
        <v>--</v>
      </c>
      <c r="I122" s="188" t="str">
        <f t="shared" si="42"/>
        <v>NV</v>
      </c>
      <c r="J122" s="157" t="str">
        <f t="shared" si="43"/>
        <v>--</v>
      </c>
      <c r="K122" s="157" t="str">
        <f t="shared" si="44"/>
        <v>--</v>
      </c>
      <c r="L122" s="157" t="str">
        <f t="shared" si="45"/>
        <v>--</v>
      </c>
      <c r="M122" s="157" t="str">
        <f t="shared" si="46"/>
        <v>--</v>
      </c>
      <c r="N122" s="694">
        <f t="shared" si="47"/>
        <v>0.03</v>
      </c>
    </row>
    <row r="123" spans="1:14" ht="11.25" customHeight="1">
      <c r="A123" s="153" t="s">
        <v>299</v>
      </c>
      <c r="B123" s="281" t="s">
        <v>300</v>
      </c>
      <c r="C123" s="540" t="str">
        <f t="shared" si="48"/>
        <v>--</v>
      </c>
      <c r="D123" s="157" t="str">
        <f t="shared" si="49"/>
        <v>--</v>
      </c>
      <c r="E123" s="157" t="str">
        <f t="shared" si="50"/>
        <v>--</v>
      </c>
      <c r="F123" s="540" t="str">
        <f t="shared" si="51"/>
        <v>--</v>
      </c>
      <c r="G123" s="157" t="str">
        <f t="shared" si="52"/>
        <v>--</v>
      </c>
      <c r="H123" s="157" t="str">
        <f t="shared" si="53"/>
        <v>--</v>
      </c>
      <c r="I123" s="179" t="str">
        <f t="shared" si="42"/>
        <v>V</v>
      </c>
      <c r="J123" s="158" t="str">
        <f t="shared" si="43"/>
        <v>--</v>
      </c>
      <c r="K123" s="158" t="str">
        <f t="shared" si="44"/>
        <v>--</v>
      </c>
      <c r="L123" s="158" t="str">
        <f t="shared" si="45"/>
        <v>--</v>
      </c>
      <c r="M123" s="158" t="str">
        <f t="shared" si="46"/>
        <v>--</v>
      </c>
      <c r="N123" s="695">
        <f t="shared" si="47"/>
        <v>0.03</v>
      </c>
    </row>
    <row r="124" spans="1:14" ht="11.25" customHeight="1">
      <c r="A124" s="153" t="s">
        <v>301</v>
      </c>
      <c r="B124" s="281" t="s">
        <v>302</v>
      </c>
      <c r="C124" s="540" t="str">
        <f t="shared" si="48"/>
        <v>--</v>
      </c>
      <c r="D124" s="157" t="str">
        <f t="shared" si="49"/>
        <v>--</v>
      </c>
      <c r="E124" s="157" t="str">
        <f t="shared" si="50"/>
        <v>--</v>
      </c>
      <c r="F124" s="540" t="str">
        <f t="shared" si="51"/>
        <v>--</v>
      </c>
      <c r="G124" s="157" t="str">
        <f t="shared" si="52"/>
        <v>--</v>
      </c>
      <c r="H124" s="157" t="str">
        <f t="shared" si="53"/>
        <v>--</v>
      </c>
      <c r="I124" s="179" t="str">
        <f t="shared" si="42"/>
        <v>NV</v>
      </c>
      <c r="J124" s="158" t="str">
        <f t="shared" si="43"/>
        <v>--</v>
      </c>
      <c r="K124" s="158" t="str">
        <f t="shared" si="44"/>
        <v>--</v>
      </c>
      <c r="L124" s="158" t="str">
        <f t="shared" si="45"/>
        <v>--</v>
      </c>
      <c r="M124" s="158" t="str">
        <f t="shared" si="46"/>
        <v>--</v>
      </c>
      <c r="N124" s="695">
        <f t="shared" si="47"/>
        <v>0.03</v>
      </c>
    </row>
    <row r="125" spans="1:14" ht="11.25" customHeight="1">
      <c r="A125" s="153" t="s">
        <v>303</v>
      </c>
      <c r="B125" s="281" t="s">
        <v>304</v>
      </c>
      <c r="C125" s="540">
        <f t="shared" si="48"/>
        <v>0.16419253261358527</v>
      </c>
      <c r="D125" s="157">
        <f t="shared" si="49"/>
        <v>0.16419253261358527</v>
      </c>
      <c r="E125" s="157" t="str">
        <f t="shared" si="50"/>
        <v>--</v>
      </c>
      <c r="F125" s="540">
        <f t="shared" si="51"/>
        <v>0.71719298245614027</v>
      </c>
      <c r="G125" s="157">
        <f t="shared" si="52"/>
        <v>0.71719298245614027</v>
      </c>
      <c r="H125" s="157" t="str">
        <f t="shared" si="53"/>
        <v>--</v>
      </c>
      <c r="I125" s="179" t="str">
        <f t="shared" si="42"/>
        <v>V</v>
      </c>
      <c r="J125" s="158">
        <f t="shared" si="43"/>
        <v>4.9257759784075575E-3</v>
      </c>
      <c r="K125" s="158" t="str">
        <f t="shared" si="44"/>
        <v>--</v>
      </c>
      <c r="L125" s="158">
        <f t="shared" si="45"/>
        <v>2.1515789473684207E-2</v>
      </c>
      <c r="M125" s="158" t="str">
        <f t="shared" si="46"/>
        <v>--</v>
      </c>
      <c r="N125" s="695">
        <f t="shared" si="47"/>
        <v>0.03</v>
      </c>
    </row>
    <row r="126" spans="1:14" ht="11.25" customHeight="1">
      <c r="A126" s="153" t="s">
        <v>305</v>
      </c>
      <c r="B126" s="281" t="s">
        <v>306</v>
      </c>
      <c r="C126" s="540" t="str">
        <f t="shared" si="48"/>
        <v>--</v>
      </c>
      <c r="D126" s="157" t="str">
        <f t="shared" si="49"/>
        <v>--</v>
      </c>
      <c r="E126" s="157" t="str">
        <f t="shared" si="50"/>
        <v>--</v>
      </c>
      <c r="F126" s="540" t="str">
        <f t="shared" si="51"/>
        <v>--</v>
      </c>
      <c r="G126" s="157" t="str">
        <f t="shared" si="52"/>
        <v>--</v>
      </c>
      <c r="H126" s="157" t="str">
        <f t="shared" si="53"/>
        <v>--</v>
      </c>
      <c r="I126" s="179" t="str">
        <f t="shared" si="42"/>
        <v>NV</v>
      </c>
      <c r="J126" s="158" t="str">
        <f t="shared" si="43"/>
        <v>--</v>
      </c>
      <c r="K126" s="158" t="str">
        <f t="shared" si="44"/>
        <v>--</v>
      </c>
      <c r="L126" s="158" t="str">
        <f t="shared" si="45"/>
        <v>--</v>
      </c>
      <c r="M126" s="158" t="str">
        <f t="shared" si="46"/>
        <v>--</v>
      </c>
      <c r="N126" s="695">
        <f t="shared" si="47"/>
        <v>0.03</v>
      </c>
    </row>
    <row r="127" spans="1:14" ht="11.25" customHeight="1">
      <c r="A127" s="153" t="s">
        <v>307</v>
      </c>
      <c r="B127" s="281" t="s">
        <v>308</v>
      </c>
      <c r="C127" s="540" t="str">
        <f t="shared" ref="C127" si="63">IF(MIN(D127,E127)=0,"--",MIN(D127,E127))</f>
        <v>--</v>
      </c>
      <c r="D127" s="157" t="str">
        <f t="shared" ref="D127" si="64">IF($I127="NV", "--", IF(J127="--","--", J127/$N127))</f>
        <v>--</v>
      </c>
      <c r="E127" s="157" t="str">
        <f t="shared" ref="E127" si="65">IF($I127="NV", "--", IF(K127="--","--", K127/$N127))</f>
        <v>--</v>
      </c>
      <c r="F127" s="540" t="str">
        <f t="shared" ref="F127" si="66">IF(MIN(G127,H127)=0,"--",MIN(G127,H127))</f>
        <v>--</v>
      </c>
      <c r="G127" s="157" t="str">
        <f t="shared" ref="G127" si="67">IF($I127="NV", "--", IF(L127="--","--", L127/$N127))</f>
        <v>--</v>
      </c>
      <c r="H127" s="157" t="str">
        <f t="shared" ref="H127" si="68">IF($I127="NV", "--", IF(M127="--","--", M127/$N127))</f>
        <v>--</v>
      </c>
      <c r="I127" s="179" t="str">
        <f t="shared" si="42"/>
        <v>NV</v>
      </c>
      <c r="J127" s="158" t="str">
        <f t="shared" si="43"/>
        <v>--</v>
      </c>
      <c r="K127" s="158" t="str">
        <f t="shared" si="44"/>
        <v>--</v>
      </c>
      <c r="L127" s="158" t="str">
        <f t="shared" si="45"/>
        <v>--</v>
      </c>
      <c r="M127" s="158" t="str">
        <f t="shared" si="46"/>
        <v>--</v>
      </c>
      <c r="N127" s="695">
        <f t="shared" si="47"/>
        <v>0.03</v>
      </c>
    </row>
    <row r="128" spans="1:14" ht="11.25" customHeight="1">
      <c r="A128" s="153" t="s">
        <v>309</v>
      </c>
      <c r="B128" s="281" t="s">
        <v>310</v>
      </c>
      <c r="C128" s="540">
        <f t="shared" si="48"/>
        <v>31285.714285714286</v>
      </c>
      <c r="D128" s="157" t="str">
        <f t="shared" ref="D128:E130" si="69">IF($I128="NV", "--", IF(J128="--","--", J128/$N128))</f>
        <v>--</v>
      </c>
      <c r="E128" s="157">
        <f t="shared" si="69"/>
        <v>31285.714285714286</v>
      </c>
      <c r="F128" s="540">
        <f t="shared" si="51"/>
        <v>131400</v>
      </c>
      <c r="G128" s="157" t="str">
        <f t="shared" ref="G128:H130" si="70">IF($I128="NV", "--", IF(L128="--","--", L128/$N128))</f>
        <v>--</v>
      </c>
      <c r="H128" s="157">
        <f t="shared" si="70"/>
        <v>131400</v>
      </c>
      <c r="I128" s="179" t="str">
        <f t="shared" si="42"/>
        <v>V</v>
      </c>
      <c r="J128" s="158" t="str">
        <f t="shared" si="43"/>
        <v>--</v>
      </c>
      <c r="K128" s="158">
        <f t="shared" si="44"/>
        <v>938.57142857142856</v>
      </c>
      <c r="L128" s="158" t="str">
        <f t="shared" si="45"/>
        <v>--</v>
      </c>
      <c r="M128" s="158">
        <f t="shared" si="46"/>
        <v>3941.9999999999995</v>
      </c>
      <c r="N128" s="695">
        <f t="shared" si="47"/>
        <v>0.03</v>
      </c>
    </row>
    <row r="129" spans="1:14" ht="11.25" customHeight="1">
      <c r="A129" s="153" t="s">
        <v>311</v>
      </c>
      <c r="B129" s="281" t="s">
        <v>312</v>
      </c>
      <c r="C129" s="540">
        <f t="shared" si="48"/>
        <v>173809.52380952382</v>
      </c>
      <c r="D129" s="157" t="str">
        <f t="shared" si="69"/>
        <v>--</v>
      </c>
      <c r="E129" s="157">
        <f t="shared" si="69"/>
        <v>173809.52380952382</v>
      </c>
      <c r="F129" s="540">
        <f t="shared" si="51"/>
        <v>730000</v>
      </c>
      <c r="G129" s="157" t="str">
        <f t="shared" si="70"/>
        <v>--</v>
      </c>
      <c r="H129" s="157">
        <f t="shared" si="70"/>
        <v>730000</v>
      </c>
      <c r="I129" s="179" t="str">
        <f t="shared" si="42"/>
        <v>V</v>
      </c>
      <c r="J129" s="158" t="str">
        <f t="shared" si="43"/>
        <v>--</v>
      </c>
      <c r="K129" s="158">
        <f t="shared" si="44"/>
        <v>5214.2857142857147</v>
      </c>
      <c r="L129" s="158" t="str">
        <f t="shared" si="45"/>
        <v>--</v>
      </c>
      <c r="M129" s="158">
        <f t="shared" si="46"/>
        <v>21900</v>
      </c>
      <c r="N129" s="695">
        <f t="shared" si="47"/>
        <v>0.03</v>
      </c>
    </row>
    <row r="130" spans="1:14" ht="11.25" customHeight="1">
      <c r="A130" s="153" t="s">
        <v>313</v>
      </c>
      <c r="B130" s="281" t="s">
        <v>314</v>
      </c>
      <c r="C130" s="540">
        <f t="shared" si="48"/>
        <v>12.647262647262645</v>
      </c>
      <c r="D130" s="157">
        <f t="shared" si="69"/>
        <v>12.647262647262645</v>
      </c>
      <c r="E130" s="224" t="str">
        <f t="shared" si="69"/>
        <v>--</v>
      </c>
      <c r="F130" s="540">
        <f t="shared" si="51"/>
        <v>55.243243243243228</v>
      </c>
      <c r="G130" s="157">
        <f t="shared" si="70"/>
        <v>55.243243243243228</v>
      </c>
      <c r="H130" s="157" t="str">
        <f t="shared" si="70"/>
        <v>--</v>
      </c>
      <c r="I130" s="179" t="str">
        <f t="shared" ref="I130:I146" si="71">VLOOKUP($A130,Table_IP_1,MATCH("volatility",heading_IP_1,0),FALSE)</f>
        <v>V</v>
      </c>
      <c r="J130" s="158">
        <f t="shared" ref="J130:J146" si="72">VLOOKUP($A130, Table_IA_1, MATCH("IA-Res-C", heading_IA_1, 0), FALSE)</f>
        <v>0.37941787941787936</v>
      </c>
      <c r="K130" s="158" t="str">
        <f t="shared" ref="K130:K146" si="73">VLOOKUP($A130, Table_IA_1, MATCH("IA-Res-NC", heading_IA_1, 0), FALSE)</f>
        <v>--</v>
      </c>
      <c r="L130" s="158">
        <f t="shared" ref="L130:L146" si="74">VLOOKUP($A130, Table_IA_1, MATCH("IA-Com-C", heading_IA_1, 0), FALSE)</f>
        <v>1.6572972972972968</v>
      </c>
      <c r="M130" s="158" t="str">
        <f t="shared" ref="M130:M146" si="75">VLOOKUP($A130, Table_IA_1, MATCH("IA-Com-NC", heading_IA_1, 0), FALSE)</f>
        <v>--</v>
      </c>
      <c r="N130" s="695">
        <f t="shared" si="47"/>
        <v>0.03</v>
      </c>
    </row>
    <row r="131" spans="1:14" ht="11.25" customHeight="1">
      <c r="A131" s="153" t="s">
        <v>315</v>
      </c>
      <c r="B131" s="281" t="s">
        <v>316</v>
      </c>
      <c r="C131" s="540">
        <f t="shared" ref="C131:C146" si="76">IF(MIN(D131,E131)=0,"--",MIN(D131,E131))</f>
        <v>1.6136162687886821</v>
      </c>
      <c r="D131" s="157">
        <f t="shared" ref="D131:D146" si="77">IF($I131="NV", "--", IF(J131="--","--", J131/$N131))</f>
        <v>1.6136162687886821</v>
      </c>
      <c r="E131" s="224" t="str">
        <f t="shared" ref="E131:E146" si="78">IF($I131="NV", "--", IF(K131="--","--", K131/$N131))</f>
        <v>--</v>
      </c>
      <c r="F131" s="540">
        <f t="shared" ref="F131:F146" si="79">IF(MIN(G131,H131)=0,"--",MIN(G131,H131))</f>
        <v>7.0482758620689641</v>
      </c>
      <c r="G131" s="157">
        <f t="shared" ref="G131:G146" si="80">IF($I131="NV", "--", IF(L131="--","--", L131/$N131))</f>
        <v>7.0482758620689641</v>
      </c>
      <c r="H131" s="157" t="str">
        <f t="shared" ref="H131:H146" si="81">IF($I131="NV", "--", IF(M131="--","--", M131/$N131))</f>
        <v>--</v>
      </c>
      <c r="I131" s="179" t="str">
        <f t="shared" si="71"/>
        <v>V</v>
      </c>
      <c r="J131" s="158">
        <f t="shared" si="72"/>
        <v>4.8408488063660465E-2</v>
      </c>
      <c r="K131" s="158" t="str">
        <f t="shared" si="73"/>
        <v>--</v>
      </c>
      <c r="L131" s="158">
        <f t="shared" si="74"/>
        <v>0.21144827586206891</v>
      </c>
      <c r="M131" s="158" t="str">
        <f t="shared" si="75"/>
        <v>--</v>
      </c>
      <c r="N131" s="695">
        <f t="shared" si="47"/>
        <v>0.03</v>
      </c>
    </row>
    <row r="132" spans="1:14" ht="11.25" customHeight="1">
      <c r="A132" s="153" t="s">
        <v>317</v>
      </c>
      <c r="B132" s="281" t="s">
        <v>318</v>
      </c>
      <c r="C132" s="540">
        <f t="shared" si="76"/>
        <v>15.342580916351405</v>
      </c>
      <c r="D132" s="157">
        <f t="shared" si="77"/>
        <v>15.342580916351405</v>
      </c>
      <c r="E132" s="224">
        <f t="shared" si="78"/>
        <v>1390.4761904761906</v>
      </c>
      <c r="F132" s="540">
        <f t="shared" si="79"/>
        <v>67.016393442622942</v>
      </c>
      <c r="G132" s="157">
        <f t="shared" si="80"/>
        <v>67.016393442622942</v>
      </c>
      <c r="H132" s="157">
        <f t="shared" si="81"/>
        <v>5840</v>
      </c>
      <c r="I132" s="179" t="str">
        <f t="shared" si="71"/>
        <v>V</v>
      </c>
      <c r="J132" s="158">
        <f t="shared" si="72"/>
        <v>0.46027742749054212</v>
      </c>
      <c r="K132" s="158">
        <f t="shared" si="73"/>
        <v>41.714285714285715</v>
      </c>
      <c r="L132" s="158">
        <f t="shared" si="74"/>
        <v>2.010491803278688</v>
      </c>
      <c r="M132" s="158">
        <f t="shared" si="75"/>
        <v>175.2</v>
      </c>
      <c r="N132" s="695">
        <f t="shared" si="47"/>
        <v>0.03</v>
      </c>
    </row>
    <row r="133" spans="1:14" ht="11.25" customHeight="1">
      <c r="A133" s="153" t="s">
        <v>319</v>
      </c>
      <c r="B133" s="281" t="s">
        <v>320</v>
      </c>
      <c r="C133" s="540" t="str">
        <f t="shared" si="76"/>
        <v>--</v>
      </c>
      <c r="D133" s="157" t="str">
        <f t="shared" si="77"/>
        <v>--</v>
      </c>
      <c r="E133" s="224" t="str">
        <f t="shared" si="78"/>
        <v>--</v>
      </c>
      <c r="F133" s="540" t="str">
        <f t="shared" si="79"/>
        <v>--</v>
      </c>
      <c r="G133" s="157" t="str">
        <f t="shared" si="80"/>
        <v>--</v>
      </c>
      <c r="H133" s="157" t="str">
        <f t="shared" si="81"/>
        <v>--</v>
      </c>
      <c r="I133" s="179" t="str">
        <f t="shared" si="71"/>
        <v>NV</v>
      </c>
      <c r="J133" s="158" t="str">
        <f t="shared" si="72"/>
        <v>--</v>
      </c>
      <c r="K133" s="158" t="str">
        <f t="shared" si="73"/>
        <v>--</v>
      </c>
      <c r="L133" s="158" t="str">
        <f t="shared" si="74"/>
        <v>--</v>
      </c>
      <c r="M133" s="158" t="str">
        <f t="shared" si="75"/>
        <v>--</v>
      </c>
      <c r="N133" s="695">
        <f t="shared" si="47"/>
        <v>0.03</v>
      </c>
    </row>
    <row r="134" spans="1:14" ht="11.25" customHeight="1">
      <c r="A134" s="153" t="s">
        <v>321</v>
      </c>
      <c r="B134" s="281" t="s">
        <v>322</v>
      </c>
      <c r="C134" s="540">
        <f t="shared" si="76"/>
        <v>14600</v>
      </c>
      <c r="D134" s="157" t="str">
        <f t="shared" si="77"/>
        <v>--</v>
      </c>
      <c r="E134" s="224">
        <f t="shared" si="78"/>
        <v>14600</v>
      </c>
      <c r="F134" s="540">
        <f t="shared" si="79"/>
        <v>61320</v>
      </c>
      <c r="G134" s="157" t="str">
        <f t="shared" si="80"/>
        <v>--</v>
      </c>
      <c r="H134" s="157">
        <f t="shared" si="81"/>
        <v>61320</v>
      </c>
      <c r="I134" s="179" t="str">
        <f t="shared" si="71"/>
        <v>V</v>
      </c>
      <c r="J134" s="158" t="str">
        <f t="shared" si="72"/>
        <v>--</v>
      </c>
      <c r="K134" s="158">
        <f t="shared" si="73"/>
        <v>438</v>
      </c>
      <c r="L134" s="158" t="str">
        <f t="shared" si="74"/>
        <v>--</v>
      </c>
      <c r="M134" s="158">
        <f t="shared" si="75"/>
        <v>1839.6</v>
      </c>
      <c r="N134" s="695">
        <f t="shared" si="47"/>
        <v>0.03</v>
      </c>
    </row>
    <row r="135" spans="1:14" ht="11.25" customHeight="1">
      <c r="A135" s="153" t="s">
        <v>323</v>
      </c>
      <c r="B135" s="281" t="s">
        <v>324</v>
      </c>
      <c r="C135" s="540" t="str">
        <f t="shared" si="76"/>
        <v>--</v>
      </c>
      <c r="D135" s="157" t="str">
        <f t="shared" si="77"/>
        <v>--</v>
      </c>
      <c r="E135" s="224" t="str">
        <f t="shared" si="78"/>
        <v>--</v>
      </c>
      <c r="F135" s="540" t="str">
        <f t="shared" si="79"/>
        <v>--</v>
      </c>
      <c r="G135" s="157" t="str">
        <f t="shared" si="80"/>
        <v>--</v>
      </c>
      <c r="H135" s="157" t="str">
        <f t="shared" si="81"/>
        <v>--</v>
      </c>
      <c r="I135" s="179" t="str">
        <f t="shared" si="71"/>
        <v>NV</v>
      </c>
      <c r="J135" s="158" t="str">
        <f t="shared" si="72"/>
        <v>--</v>
      </c>
      <c r="K135" s="158" t="str">
        <f t="shared" si="73"/>
        <v>--</v>
      </c>
      <c r="L135" s="158" t="str">
        <f t="shared" si="74"/>
        <v>--</v>
      </c>
      <c r="M135" s="158" t="str">
        <f t="shared" si="75"/>
        <v>--</v>
      </c>
      <c r="N135" s="695">
        <f t="shared" si="47"/>
        <v>0.03</v>
      </c>
    </row>
    <row r="136" spans="1:14" ht="11.25" customHeight="1">
      <c r="A136" s="153" t="s">
        <v>325</v>
      </c>
      <c r="B136" s="281" t="s">
        <v>326</v>
      </c>
      <c r="C136" s="540">
        <f t="shared" si="76"/>
        <v>69.523809523809533</v>
      </c>
      <c r="D136" s="157" t="str">
        <f t="shared" si="77"/>
        <v>--</v>
      </c>
      <c r="E136" s="224">
        <f t="shared" si="78"/>
        <v>69.523809523809533</v>
      </c>
      <c r="F136" s="540">
        <f t="shared" si="79"/>
        <v>292</v>
      </c>
      <c r="G136" s="157" t="str">
        <f t="shared" si="80"/>
        <v>--</v>
      </c>
      <c r="H136" s="157">
        <f t="shared" si="81"/>
        <v>292</v>
      </c>
      <c r="I136" s="179" t="str">
        <f t="shared" si="71"/>
        <v>V</v>
      </c>
      <c r="J136" s="158" t="str">
        <f t="shared" si="72"/>
        <v>--</v>
      </c>
      <c r="K136" s="158">
        <f t="shared" si="73"/>
        <v>2.0857142857142859</v>
      </c>
      <c r="L136" s="158" t="str">
        <f t="shared" si="74"/>
        <v>--</v>
      </c>
      <c r="M136" s="158">
        <f t="shared" si="75"/>
        <v>8.76</v>
      </c>
      <c r="N136" s="695">
        <f t="shared" si="47"/>
        <v>0.03</v>
      </c>
    </row>
    <row r="137" spans="1:14" ht="11.25" customHeight="1">
      <c r="A137" s="153" t="s">
        <v>327</v>
      </c>
      <c r="B137" s="281" t="s">
        <v>328</v>
      </c>
      <c r="C137" s="540">
        <f t="shared" si="76"/>
        <v>34761.904761904763</v>
      </c>
      <c r="D137" s="157" t="str">
        <f t="shared" si="77"/>
        <v>--</v>
      </c>
      <c r="E137" s="224">
        <f t="shared" si="78"/>
        <v>34761.904761904763</v>
      </c>
      <c r="F137" s="540">
        <f t="shared" si="79"/>
        <v>146000</v>
      </c>
      <c r="G137" s="157" t="str">
        <f t="shared" si="80"/>
        <v>--</v>
      </c>
      <c r="H137" s="157">
        <f t="shared" si="81"/>
        <v>146000</v>
      </c>
      <c r="I137" s="179" t="str">
        <f t="shared" si="71"/>
        <v>V</v>
      </c>
      <c r="J137" s="158" t="str">
        <f t="shared" si="72"/>
        <v>--</v>
      </c>
      <c r="K137" s="158">
        <f t="shared" si="73"/>
        <v>1042.8571428571429</v>
      </c>
      <c r="L137" s="158" t="str">
        <f t="shared" si="74"/>
        <v>--</v>
      </c>
      <c r="M137" s="158">
        <f t="shared" si="75"/>
        <v>4380</v>
      </c>
      <c r="N137" s="695">
        <f t="shared" si="47"/>
        <v>0.03</v>
      </c>
    </row>
    <row r="138" spans="1:14" ht="11.25" customHeight="1">
      <c r="A138" s="153" t="s">
        <v>329</v>
      </c>
      <c r="B138" s="281" t="s">
        <v>330</v>
      </c>
      <c r="C138" s="540">
        <f t="shared" si="76"/>
        <v>5.8493589743589736</v>
      </c>
      <c r="D138" s="157">
        <f t="shared" si="77"/>
        <v>5.8493589743589736</v>
      </c>
      <c r="E138" s="224">
        <f t="shared" si="78"/>
        <v>6.9523809523809526</v>
      </c>
      <c r="F138" s="540">
        <f t="shared" si="79"/>
        <v>25.549999999999997</v>
      </c>
      <c r="G138" s="157">
        <f t="shared" si="80"/>
        <v>25.549999999999997</v>
      </c>
      <c r="H138" s="157">
        <f t="shared" si="81"/>
        <v>29.199999999999996</v>
      </c>
      <c r="I138" s="179" t="str">
        <f t="shared" si="71"/>
        <v>V</v>
      </c>
      <c r="J138" s="158">
        <f t="shared" si="72"/>
        <v>0.17548076923076919</v>
      </c>
      <c r="K138" s="158">
        <f t="shared" si="73"/>
        <v>0.20857142857142857</v>
      </c>
      <c r="L138" s="158">
        <f t="shared" si="74"/>
        <v>0.76649999999999985</v>
      </c>
      <c r="M138" s="158">
        <f t="shared" si="75"/>
        <v>0.87599999999999989</v>
      </c>
      <c r="N138" s="695">
        <f t="shared" si="47"/>
        <v>0.03</v>
      </c>
    </row>
    <row r="139" spans="1:14" ht="11.25" customHeight="1">
      <c r="A139" s="153" t="s">
        <v>331</v>
      </c>
      <c r="B139" s="281" t="s">
        <v>332</v>
      </c>
      <c r="C139" s="540">
        <f t="shared" si="76"/>
        <v>15.943905409395809</v>
      </c>
      <c r="D139" s="157">
        <f t="shared" si="77"/>
        <v>15.943905409395809</v>
      </c>
      <c r="E139" s="224">
        <f t="shared" si="78"/>
        <v>69.523809523809533</v>
      </c>
      <c r="F139" s="540">
        <f t="shared" si="79"/>
        <v>99.707317073170714</v>
      </c>
      <c r="G139" s="157">
        <f t="shared" si="80"/>
        <v>99.707317073170714</v>
      </c>
      <c r="H139" s="157">
        <f t="shared" si="81"/>
        <v>292</v>
      </c>
      <c r="I139" s="179" t="str">
        <f t="shared" si="71"/>
        <v>V</v>
      </c>
      <c r="J139" s="158">
        <f t="shared" si="72"/>
        <v>0.47831716228187426</v>
      </c>
      <c r="K139" s="158">
        <f t="shared" si="73"/>
        <v>2.0857142857142859</v>
      </c>
      <c r="L139" s="158">
        <f t="shared" si="74"/>
        <v>2.9912195121951215</v>
      </c>
      <c r="M139" s="158">
        <f t="shared" si="75"/>
        <v>8.76</v>
      </c>
      <c r="N139" s="695">
        <f t="shared" si="47"/>
        <v>0.03</v>
      </c>
    </row>
    <row r="140" spans="1:14" ht="11.25" customHeight="1">
      <c r="A140" s="153" t="s">
        <v>333</v>
      </c>
      <c r="B140" s="281" t="s">
        <v>334</v>
      </c>
      <c r="C140" s="540" t="str">
        <f t="shared" si="76"/>
        <v>--</v>
      </c>
      <c r="D140" s="157" t="str">
        <f t="shared" si="77"/>
        <v>--</v>
      </c>
      <c r="E140" s="224" t="str">
        <f t="shared" si="78"/>
        <v>--</v>
      </c>
      <c r="F140" s="540" t="str">
        <f t="shared" si="79"/>
        <v>--</v>
      </c>
      <c r="G140" s="157" t="str">
        <f t="shared" si="80"/>
        <v>--</v>
      </c>
      <c r="H140" s="157" t="str">
        <f t="shared" si="81"/>
        <v>--</v>
      </c>
      <c r="I140" s="179" t="str">
        <f t="shared" si="71"/>
        <v>NV</v>
      </c>
      <c r="J140" s="158" t="str">
        <f t="shared" si="72"/>
        <v>--</v>
      </c>
      <c r="K140" s="158" t="str">
        <f t="shared" si="73"/>
        <v>--</v>
      </c>
      <c r="L140" s="158" t="str">
        <f t="shared" si="74"/>
        <v>--</v>
      </c>
      <c r="M140" s="158" t="str">
        <f t="shared" si="75"/>
        <v>--</v>
      </c>
      <c r="N140" s="695">
        <f t="shared" si="47"/>
        <v>0.03</v>
      </c>
    </row>
    <row r="141" spans="1:14" ht="11.25" customHeight="1">
      <c r="A141" s="153" t="s">
        <v>335</v>
      </c>
      <c r="B141" s="281" t="s">
        <v>336</v>
      </c>
      <c r="C141" s="540" t="str">
        <f t="shared" si="76"/>
        <v>--</v>
      </c>
      <c r="D141" s="157" t="str">
        <f t="shared" si="77"/>
        <v>--</v>
      </c>
      <c r="E141" s="224" t="str">
        <f t="shared" si="78"/>
        <v>--</v>
      </c>
      <c r="F141" s="540" t="str">
        <f t="shared" si="79"/>
        <v>--</v>
      </c>
      <c r="G141" s="157" t="str">
        <f t="shared" si="80"/>
        <v>--</v>
      </c>
      <c r="H141" s="157" t="str">
        <f t="shared" si="81"/>
        <v>--</v>
      </c>
      <c r="I141" s="179" t="str">
        <f t="shared" si="71"/>
        <v>NV</v>
      </c>
      <c r="J141" s="158" t="str">
        <f t="shared" si="72"/>
        <v>--</v>
      </c>
      <c r="K141" s="158" t="str">
        <f t="shared" si="73"/>
        <v>--</v>
      </c>
      <c r="L141" s="158" t="str">
        <f t="shared" si="74"/>
        <v>--</v>
      </c>
      <c r="M141" s="158" t="str">
        <f t="shared" si="75"/>
        <v>--</v>
      </c>
      <c r="N141" s="695">
        <f t="shared" si="47"/>
        <v>0.03</v>
      </c>
    </row>
    <row r="142" spans="1:14" ht="11.25" customHeight="1">
      <c r="A142" s="153" t="s">
        <v>337</v>
      </c>
      <c r="B142" s="281" t="s">
        <v>338</v>
      </c>
      <c r="C142" s="540">
        <f t="shared" si="76"/>
        <v>10.428571428571429</v>
      </c>
      <c r="D142" s="157" t="str">
        <f t="shared" si="77"/>
        <v>--</v>
      </c>
      <c r="E142" s="224">
        <f t="shared" si="78"/>
        <v>10.428571428571429</v>
      </c>
      <c r="F142" s="540">
        <f t="shared" si="79"/>
        <v>43.8</v>
      </c>
      <c r="G142" s="157" t="str">
        <f t="shared" si="80"/>
        <v>--</v>
      </c>
      <c r="H142" s="157">
        <f t="shared" si="81"/>
        <v>43.8</v>
      </c>
      <c r="I142" s="179" t="str">
        <f t="shared" si="71"/>
        <v>V</v>
      </c>
      <c r="J142" s="158" t="str">
        <f t="shared" si="72"/>
        <v>--</v>
      </c>
      <c r="K142" s="158">
        <f t="shared" si="73"/>
        <v>0.31285714285714283</v>
      </c>
      <c r="L142" s="158" t="str">
        <f t="shared" si="74"/>
        <v>--</v>
      </c>
      <c r="M142" s="158">
        <f t="shared" si="75"/>
        <v>1.3139999999999998</v>
      </c>
      <c r="N142" s="695">
        <f t="shared" si="47"/>
        <v>0.03</v>
      </c>
    </row>
    <row r="143" spans="1:14" ht="11.25" customHeight="1">
      <c r="A143" s="153" t="s">
        <v>339</v>
      </c>
      <c r="B143" s="281" t="s">
        <v>340</v>
      </c>
      <c r="C143" s="540" t="str">
        <f t="shared" si="76"/>
        <v>--</v>
      </c>
      <c r="D143" s="157" t="str">
        <f t="shared" si="77"/>
        <v>--</v>
      </c>
      <c r="E143" s="224" t="str">
        <f t="shared" si="78"/>
        <v>--</v>
      </c>
      <c r="F143" s="540" t="str">
        <f t="shared" si="79"/>
        <v>--</v>
      </c>
      <c r="G143" s="157" t="str">
        <f t="shared" si="80"/>
        <v>--</v>
      </c>
      <c r="H143" s="157" t="str">
        <f t="shared" si="81"/>
        <v>--</v>
      </c>
      <c r="I143" s="179" t="str">
        <f t="shared" si="71"/>
        <v>NV</v>
      </c>
      <c r="J143" s="158" t="str">
        <f t="shared" si="72"/>
        <v>--</v>
      </c>
      <c r="K143" s="158" t="str">
        <f t="shared" si="73"/>
        <v>--</v>
      </c>
      <c r="L143" s="158" t="str">
        <f t="shared" si="74"/>
        <v>--</v>
      </c>
      <c r="M143" s="158" t="str">
        <f t="shared" si="75"/>
        <v>--</v>
      </c>
      <c r="N143" s="695">
        <f t="shared" si="47"/>
        <v>0.03</v>
      </c>
    </row>
    <row r="144" spans="1:14" ht="11.25" customHeight="1">
      <c r="A144" s="153" t="s">
        <v>341</v>
      </c>
      <c r="B144" s="281" t="s">
        <v>342</v>
      </c>
      <c r="C144" s="540">
        <f t="shared" si="76"/>
        <v>0.31511698178364844</v>
      </c>
      <c r="D144" s="157">
        <f t="shared" si="77"/>
        <v>0.31511698178364844</v>
      </c>
      <c r="E144" s="224">
        <f t="shared" si="78"/>
        <v>1772.8571428571429</v>
      </c>
      <c r="F144" s="540">
        <f t="shared" si="79"/>
        <v>5.2410256410256402</v>
      </c>
      <c r="G144" s="157">
        <f t="shared" si="80"/>
        <v>5.2410256410256402</v>
      </c>
      <c r="H144" s="157">
        <f t="shared" si="81"/>
        <v>7446</v>
      </c>
      <c r="I144" s="179" t="str">
        <f t="shared" si="71"/>
        <v>V</v>
      </c>
      <c r="J144" s="158">
        <f t="shared" si="72"/>
        <v>9.4535094535094528E-3</v>
      </c>
      <c r="K144" s="158">
        <f t="shared" si="73"/>
        <v>53.185714285714283</v>
      </c>
      <c r="L144" s="158">
        <f t="shared" si="74"/>
        <v>0.1572307692307692</v>
      </c>
      <c r="M144" s="158">
        <f t="shared" si="75"/>
        <v>223.38</v>
      </c>
      <c r="N144" s="695">
        <f t="shared" si="47"/>
        <v>0.03</v>
      </c>
    </row>
    <row r="145" spans="1:15" ht="11.25" customHeight="1">
      <c r="A145" s="153" t="s">
        <v>343</v>
      </c>
      <c r="B145" s="281" t="s">
        <v>344</v>
      </c>
      <c r="C145" s="540">
        <f t="shared" si="76"/>
        <v>3476.1904761904766</v>
      </c>
      <c r="D145" s="157" t="str">
        <f t="shared" si="77"/>
        <v>--</v>
      </c>
      <c r="E145" s="224">
        <f t="shared" si="78"/>
        <v>3476.1904761904766</v>
      </c>
      <c r="F145" s="540">
        <f t="shared" si="79"/>
        <v>14599.999999999998</v>
      </c>
      <c r="G145" s="157" t="str">
        <f t="shared" si="80"/>
        <v>--</v>
      </c>
      <c r="H145" s="157">
        <f t="shared" si="81"/>
        <v>14599.999999999998</v>
      </c>
      <c r="I145" s="179" t="str">
        <f t="shared" si="71"/>
        <v>V</v>
      </c>
      <c r="J145" s="158" t="str">
        <f t="shared" si="72"/>
        <v>--</v>
      </c>
      <c r="K145" s="158">
        <f t="shared" si="73"/>
        <v>104.28571428571429</v>
      </c>
      <c r="L145" s="158" t="str">
        <f t="shared" si="74"/>
        <v>--</v>
      </c>
      <c r="M145" s="158">
        <f t="shared" si="75"/>
        <v>437.99999999999994</v>
      </c>
      <c r="N145" s="695">
        <f t="shared" si="47"/>
        <v>0.03</v>
      </c>
    </row>
    <row r="146" spans="1:15" ht="11.25" customHeight="1" thickBot="1">
      <c r="A146" s="153" t="s">
        <v>345</v>
      </c>
      <c r="B146" s="281" t="s">
        <v>346</v>
      </c>
      <c r="C146" s="540" t="str">
        <f t="shared" si="76"/>
        <v>--</v>
      </c>
      <c r="D146" s="157" t="str">
        <f t="shared" si="77"/>
        <v>--</v>
      </c>
      <c r="E146" s="224" t="str">
        <f t="shared" si="78"/>
        <v>--</v>
      </c>
      <c r="F146" s="540" t="str">
        <f t="shared" si="79"/>
        <v>--</v>
      </c>
      <c r="G146" s="157" t="str">
        <f t="shared" si="80"/>
        <v>--</v>
      </c>
      <c r="H146" s="157" t="str">
        <f t="shared" si="81"/>
        <v>--</v>
      </c>
      <c r="I146" s="179" t="str">
        <f t="shared" si="71"/>
        <v>NV</v>
      </c>
      <c r="J146" s="158" t="str">
        <f t="shared" si="72"/>
        <v>--</v>
      </c>
      <c r="K146" s="158" t="str">
        <f t="shared" si="73"/>
        <v>--</v>
      </c>
      <c r="L146" s="158" t="str">
        <f t="shared" si="74"/>
        <v>--</v>
      </c>
      <c r="M146" s="158" t="str">
        <f t="shared" si="75"/>
        <v>--</v>
      </c>
      <c r="N146" s="695">
        <f t="shared" si="47"/>
        <v>0.03</v>
      </c>
    </row>
    <row r="147" spans="1:15" ht="11.25" customHeight="1" thickTop="1">
      <c r="A147" s="29" t="s">
        <v>347</v>
      </c>
      <c r="B147" s="113"/>
      <c r="C147" s="17"/>
      <c r="D147" s="17"/>
      <c r="E147" s="17"/>
      <c r="F147" s="17"/>
      <c r="G147" s="17"/>
      <c r="H147" s="17"/>
      <c r="I147" s="17"/>
      <c r="J147" s="17"/>
      <c r="K147" s="17"/>
      <c r="L147" s="17"/>
      <c r="M147" s="17"/>
      <c r="N147" s="269"/>
      <c r="O147" s="22"/>
    </row>
    <row r="148" spans="1:15" ht="11.25" customHeight="1">
      <c r="A148" s="270" t="s">
        <v>1036</v>
      </c>
      <c r="B148" s="25"/>
      <c r="M148" s="10"/>
      <c r="N148" s="167"/>
      <c r="O148" s="22"/>
    </row>
    <row r="149" spans="1:15" ht="12.75" customHeight="1">
      <c r="A149" s="2" t="s">
        <v>1037</v>
      </c>
      <c r="B149" s="3"/>
      <c r="M149" s="10"/>
      <c r="N149" s="167"/>
      <c r="O149" s="22"/>
    </row>
    <row r="150" spans="1:15" ht="11.25" customHeight="1">
      <c r="A150" s="1132" t="s">
        <v>348</v>
      </c>
      <c r="B150" s="3"/>
      <c r="M150" s="10"/>
      <c r="N150" s="167"/>
      <c r="O150" s="22"/>
    </row>
    <row r="151" spans="1:15" ht="11.25" customHeight="1">
      <c r="A151" s="1133" t="s">
        <v>349</v>
      </c>
      <c r="B151" s="31"/>
      <c r="M151" s="22"/>
      <c r="N151" s="288"/>
    </row>
    <row r="152" spans="1:15" ht="11.25" customHeight="1">
      <c r="A152" s="1133" t="s">
        <v>350</v>
      </c>
      <c r="B152" s="31"/>
      <c r="M152" s="22"/>
      <c r="N152" s="288"/>
    </row>
    <row r="153" spans="1:15" ht="12.75">
      <c r="A153" s="1133" t="s">
        <v>351</v>
      </c>
      <c r="B153" s="55"/>
      <c r="M153" s="22"/>
      <c r="N153" s="288"/>
    </row>
    <row r="154" spans="1:15" ht="11.25" customHeight="1">
      <c r="A154" s="1133" t="s">
        <v>397</v>
      </c>
      <c r="B154" s="31"/>
      <c r="M154" s="22"/>
      <c r="N154" s="288"/>
    </row>
    <row r="155" spans="1:15" ht="12.75">
      <c r="A155" s="1133" t="s">
        <v>353</v>
      </c>
      <c r="B155" s="55"/>
      <c r="M155" s="22"/>
      <c r="N155" s="288"/>
    </row>
    <row r="156" spans="1:15" ht="12.75">
      <c r="A156" s="1133" t="s">
        <v>354</v>
      </c>
      <c r="B156" s="55"/>
      <c r="M156" s="22"/>
      <c r="N156" s="288"/>
    </row>
    <row r="157" spans="1:15" ht="13.5" thickBot="1">
      <c r="A157" s="9" t="s">
        <v>355</v>
      </c>
      <c r="B157" s="1149"/>
      <c r="C157" s="28"/>
      <c r="D157" s="28"/>
      <c r="E157" s="28"/>
      <c r="F157" s="28"/>
      <c r="G157" s="28"/>
      <c r="H157" s="28"/>
      <c r="I157" s="28"/>
      <c r="J157" s="28"/>
      <c r="K157" s="28"/>
      <c r="L157" s="28"/>
      <c r="M157" s="35"/>
      <c r="N157" s="289"/>
    </row>
    <row r="158" spans="1:15" ht="13.5" thickTop="1">
      <c r="A158" s="55"/>
      <c r="B158" s="55"/>
      <c r="M158" s="22"/>
      <c r="N158" s="22"/>
    </row>
    <row r="159" spans="1:15" ht="12.75">
      <c r="A159" s="55"/>
      <c r="B159" s="55"/>
      <c r="M159" s="22"/>
      <c r="N159" s="22"/>
    </row>
    <row r="160" spans="1:15" ht="12.75">
      <c r="A160" s="55"/>
      <c r="B160" s="55"/>
      <c r="M160" s="22"/>
      <c r="N160" s="22"/>
    </row>
    <row r="161" spans="1:14" ht="12.75">
      <c r="A161" s="1"/>
      <c r="B161" s="55"/>
      <c r="M161" s="22"/>
      <c r="N161" s="22"/>
    </row>
    <row r="162" spans="1:14" ht="12.75">
      <c r="A162" s="55"/>
      <c r="B162" s="55"/>
      <c r="M162" s="22"/>
      <c r="N162" s="22"/>
    </row>
    <row r="163" spans="1:14" ht="12.75">
      <c r="A163" s="55"/>
      <c r="B163" s="55"/>
      <c r="M163" s="22"/>
      <c r="N163" s="22"/>
    </row>
    <row r="164" spans="1:14" ht="12.75">
      <c r="A164" s="55"/>
      <c r="B164" s="55"/>
      <c r="M164" s="22"/>
      <c r="N164" s="22"/>
    </row>
    <row r="165" spans="1:14" ht="12.75">
      <c r="A165" s="55"/>
      <c r="B165" s="55"/>
      <c r="M165" s="22"/>
      <c r="N165" s="22"/>
    </row>
    <row r="166" spans="1:14" ht="12.75">
      <c r="A166" s="55"/>
      <c r="B166" s="55"/>
      <c r="M166" s="22"/>
      <c r="N166" s="22"/>
    </row>
    <row r="167" spans="1:14" ht="12.75">
      <c r="A167" s="55"/>
      <c r="B167" s="55"/>
      <c r="M167" s="22"/>
      <c r="N167" s="22"/>
    </row>
    <row r="168" spans="1:14" ht="12.75">
      <c r="A168" s="55"/>
      <c r="B168" s="55"/>
      <c r="M168" s="22"/>
      <c r="N168" s="22"/>
    </row>
    <row r="169" spans="1:14" ht="12.75">
      <c r="A169" s="55"/>
      <c r="B169" s="55"/>
      <c r="M169" s="22"/>
      <c r="N169" s="22"/>
    </row>
    <row r="170" spans="1:14" ht="12.75">
      <c r="A170" s="55"/>
      <c r="B170" s="55"/>
      <c r="M170" s="22"/>
      <c r="N170" s="22"/>
    </row>
    <row r="171" spans="1:14" ht="12.75">
      <c r="A171" s="55"/>
      <c r="B171" s="55"/>
      <c r="M171" s="22"/>
      <c r="N171" s="22"/>
    </row>
    <row r="172" spans="1:14" ht="12.75">
      <c r="A172" s="55"/>
      <c r="B172" s="55"/>
      <c r="M172" s="22"/>
      <c r="N172" s="22"/>
    </row>
    <row r="173" spans="1:14" ht="12.75">
      <c r="A173" s="55"/>
      <c r="B173" s="55"/>
      <c r="M173" s="22"/>
      <c r="N173" s="22"/>
    </row>
    <row r="174" spans="1:14" ht="12.75">
      <c r="A174" s="55"/>
      <c r="B174" s="55"/>
      <c r="M174" s="22"/>
      <c r="N174" s="22"/>
    </row>
    <row r="175" spans="1:14" ht="12.75">
      <c r="A175" s="55"/>
      <c r="B175" s="55"/>
      <c r="M175" s="22"/>
      <c r="N175" s="22"/>
    </row>
    <row r="176" spans="1:14" ht="12.75">
      <c r="A176" s="55"/>
      <c r="B176" s="55"/>
    </row>
    <row r="177" spans="1:2" ht="12.75">
      <c r="A177" s="55"/>
      <c r="B177" s="55"/>
    </row>
    <row r="178" spans="1:2" ht="12.75">
      <c r="A178" s="55"/>
      <c r="B178" s="55"/>
    </row>
    <row r="179" spans="1:2" ht="12.75">
      <c r="A179" s="55"/>
      <c r="B179" s="55"/>
    </row>
    <row r="180" spans="1:2" ht="12.75">
      <c r="A180" s="55"/>
      <c r="B180" s="55"/>
    </row>
    <row r="181" spans="1:2" ht="12.75">
      <c r="A181" s="55"/>
      <c r="B181" s="55"/>
    </row>
    <row r="182" spans="1:2" ht="12.75">
      <c r="A182" s="55"/>
      <c r="B182" s="55"/>
    </row>
    <row r="183" spans="1:2" ht="12.75">
      <c r="A183" s="55"/>
      <c r="B183" s="55"/>
    </row>
    <row r="184" spans="1:2" ht="12.75">
      <c r="A184" s="55"/>
      <c r="B184" s="55"/>
    </row>
    <row r="185" spans="1:2" ht="12.75">
      <c r="A185" s="55"/>
      <c r="B185" s="55"/>
    </row>
    <row r="186" spans="1:2" ht="12.75">
      <c r="A186" s="55"/>
      <c r="B186" s="55"/>
    </row>
    <row r="187" spans="1:2" ht="12.75">
      <c r="A187" s="55"/>
      <c r="B187" s="55"/>
    </row>
    <row r="188" spans="1:2" ht="12.75">
      <c r="A188" s="55"/>
      <c r="B188" s="55"/>
    </row>
    <row r="189" spans="1:2" ht="12.75">
      <c r="A189" s="55"/>
      <c r="B189" s="55"/>
    </row>
    <row r="190" spans="1:2" ht="12.75">
      <c r="A190" s="55"/>
      <c r="B190" s="55"/>
    </row>
    <row r="191" spans="1:2" ht="12.75">
      <c r="A191" s="55"/>
      <c r="B191" s="55"/>
    </row>
    <row r="192" spans="1:2" ht="12.75">
      <c r="A192" s="55"/>
      <c r="B192" s="55"/>
    </row>
    <row r="193" spans="1:2" ht="12.75">
      <c r="A193" s="55"/>
      <c r="B193" s="55"/>
    </row>
    <row r="194" spans="1:2" ht="12.75">
      <c r="A194" s="55"/>
      <c r="B194" s="55"/>
    </row>
    <row r="195" spans="1:2" ht="12.75">
      <c r="A195" s="55"/>
      <c r="B195" s="55"/>
    </row>
    <row r="196" spans="1:2" ht="12.75">
      <c r="A196" s="55"/>
      <c r="B196" s="55"/>
    </row>
    <row r="197" spans="1:2" ht="12.75">
      <c r="A197" s="55"/>
      <c r="B197" s="55"/>
    </row>
    <row r="198" spans="1:2" ht="12.75">
      <c r="A198" s="55"/>
      <c r="B198" s="55"/>
    </row>
    <row r="199" spans="1:2" ht="12.75">
      <c r="A199" s="55"/>
      <c r="B199" s="55"/>
    </row>
    <row r="200" spans="1:2" ht="12.75">
      <c r="A200" s="55"/>
      <c r="B200" s="55"/>
    </row>
    <row r="201" spans="1:2" ht="12.75">
      <c r="A201" s="55"/>
      <c r="B201" s="55"/>
    </row>
    <row r="202" spans="1:2" ht="12.75">
      <c r="A202" s="55"/>
      <c r="B202" s="55"/>
    </row>
    <row r="203" spans="1:2" ht="12.75">
      <c r="A203" s="55"/>
      <c r="B203" s="55"/>
    </row>
    <row r="204" spans="1:2" ht="12.75">
      <c r="A204" s="55"/>
      <c r="B204" s="55"/>
    </row>
    <row r="205" spans="1:2" ht="12.75">
      <c r="A205" s="55"/>
      <c r="B205" s="55"/>
    </row>
    <row r="206" spans="1:2" ht="12.75">
      <c r="A206" s="55"/>
      <c r="B206" s="55"/>
    </row>
    <row r="207" spans="1:2" ht="12.75">
      <c r="A207" s="55"/>
      <c r="B207" s="55"/>
    </row>
    <row r="208" spans="1:2" ht="12.75">
      <c r="A208" s="55"/>
      <c r="B208" s="55"/>
    </row>
    <row r="209" spans="1:2" ht="12.75">
      <c r="A209" s="55"/>
      <c r="B209" s="55"/>
    </row>
    <row r="210" spans="1:2" ht="12.75">
      <c r="A210" s="55"/>
      <c r="B210" s="55"/>
    </row>
    <row r="211" spans="1:2" ht="12.75">
      <c r="A211" s="55"/>
      <c r="B211" s="55"/>
    </row>
    <row r="212" spans="1:2" ht="12.75">
      <c r="A212" s="55"/>
      <c r="B212" s="55"/>
    </row>
    <row r="213" spans="1:2" ht="12.75">
      <c r="A213" s="55"/>
      <c r="B213" s="55"/>
    </row>
    <row r="214" spans="1:2" ht="12.75">
      <c r="A214" s="55"/>
      <c r="B214" s="55"/>
    </row>
    <row r="215" spans="1:2" ht="12.75">
      <c r="A215" s="55"/>
      <c r="B215" s="55"/>
    </row>
    <row r="216" spans="1:2" ht="12.75">
      <c r="A216" s="55"/>
      <c r="B216" s="55"/>
    </row>
    <row r="217" spans="1:2" ht="12.75">
      <c r="A217" s="55"/>
      <c r="B217" s="55"/>
    </row>
    <row r="218" spans="1:2" ht="12.75">
      <c r="A218" s="55"/>
      <c r="B218" s="55"/>
    </row>
    <row r="219" spans="1:2" ht="12.75">
      <c r="A219" s="55"/>
      <c r="B219" s="55"/>
    </row>
    <row r="220" spans="1:2" ht="12.75">
      <c r="A220" s="55"/>
      <c r="B220" s="55"/>
    </row>
    <row r="221" spans="1:2" ht="12.75">
      <c r="A221" s="55"/>
      <c r="B221" s="55"/>
    </row>
    <row r="222" spans="1:2" ht="12.75">
      <c r="A222" s="55"/>
      <c r="B222" s="55"/>
    </row>
    <row r="223" spans="1:2" ht="12.75">
      <c r="A223" s="55"/>
      <c r="B223" s="55"/>
    </row>
    <row r="224" spans="1:2" ht="12.75">
      <c r="A224" s="55"/>
      <c r="B224" s="55"/>
    </row>
    <row r="225" spans="1:2" ht="12.75">
      <c r="A225" s="55"/>
      <c r="B225" s="55"/>
    </row>
    <row r="239" spans="1:2">
      <c r="A239" s="1"/>
      <c r="B239" s="1"/>
    </row>
    <row r="240" spans="1:2">
      <c r="A240" s="1"/>
      <c r="B240" s="1"/>
    </row>
    <row r="241" spans="1:2">
      <c r="A241" s="1"/>
      <c r="B241" s="1"/>
    </row>
    <row r="242" spans="1:2">
      <c r="A242" s="1"/>
      <c r="B242" s="1"/>
    </row>
    <row r="243" spans="1:2">
      <c r="A243" s="1"/>
      <c r="B243" s="1"/>
    </row>
    <row r="244" spans="1:2">
      <c r="A244" s="1"/>
      <c r="B244" s="1"/>
    </row>
    <row r="245" spans="1:2">
      <c r="A245" s="1"/>
      <c r="B245" s="1"/>
    </row>
    <row r="246" spans="1:2">
      <c r="A246" s="1"/>
      <c r="B246" s="1"/>
    </row>
    <row r="247" spans="1:2">
      <c r="A247" s="1"/>
      <c r="B247" s="1"/>
    </row>
    <row r="248" spans="1:2">
      <c r="A248" s="1"/>
      <c r="B248" s="1"/>
    </row>
    <row r="249" spans="1:2">
      <c r="A249" s="1"/>
      <c r="B249" s="1"/>
    </row>
    <row r="250" spans="1:2">
      <c r="A250" s="1"/>
      <c r="B250" s="1"/>
    </row>
    <row r="251" spans="1:2">
      <c r="A251" s="1"/>
      <c r="B251" s="1"/>
    </row>
    <row r="252" spans="1:2">
      <c r="A252" s="1"/>
      <c r="B252" s="1"/>
    </row>
    <row r="253" spans="1:2">
      <c r="A253" s="1"/>
      <c r="B253" s="1"/>
    </row>
    <row r="254" spans="1:2">
      <c r="A254" s="1"/>
      <c r="B254" s="1"/>
    </row>
    <row r="255" spans="1:2">
      <c r="A255" s="1"/>
      <c r="B255" s="1"/>
    </row>
    <row r="256" spans="1:2">
      <c r="A256" s="1"/>
      <c r="B256" s="1"/>
    </row>
    <row r="257" spans="1:2">
      <c r="A257" s="1"/>
      <c r="B257" s="1"/>
    </row>
    <row r="258" spans="1:2">
      <c r="A258" s="1"/>
      <c r="B258" s="1"/>
    </row>
    <row r="259" spans="1:2">
      <c r="A259" s="1"/>
      <c r="B259" s="1"/>
    </row>
    <row r="260" spans="1:2">
      <c r="A260" s="1"/>
      <c r="B260" s="1"/>
    </row>
    <row r="261" spans="1:2">
      <c r="A261" s="1"/>
      <c r="B261" s="1"/>
    </row>
    <row r="262" spans="1:2">
      <c r="A262" s="1"/>
      <c r="B262" s="1"/>
    </row>
    <row r="263" spans="1:2">
      <c r="A263" s="1"/>
      <c r="B263" s="1"/>
    </row>
    <row r="264" spans="1:2">
      <c r="A264" s="1"/>
      <c r="B264" s="1"/>
    </row>
    <row r="265" spans="1:2">
      <c r="A265" s="1"/>
      <c r="B265" s="1"/>
    </row>
    <row r="266" spans="1:2">
      <c r="A266" s="1"/>
      <c r="B266" s="1"/>
    </row>
    <row r="267" spans="1:2">
      <c r="A267" s="1"/>
      <c r="B267" s="1"/>
    </row>
    <row r="268" spans="1:2">
      <c r="A268" s="1"/>
      <c r="B268" s="1"/>
    </row>
    <row r="269" spans="1:2">
      <c r="A269" s="1"/>
      <c r="B269" s="1"/>
    </row>
    <row r="270" spans="1:2">
      <c r="A270" s="1"/>
      <c r="B270" s="1"/>
    </row>
    <row r="271" spans="1:2">
      <c r="A271" s="1"/>
      <c r="B271" s="1"/>
    </row>
    <row r="272" spans="1:2">
      <c r="A272" s="1"/>
      <c r="B272" s="1"/>
    </row>
    <row r="273" spans="1:2">
      <c r="A273" s="1"/>
      <c r="B273" s="1"/>
    </row>
    <row r="274" spans="1:2">
      <c r="A274" s="1"/>
      <c r="B274" s="1"/>
    </row>
    <row r="275" spans="1:2">
      <c r="A275" s="1"/>
      <c r="B275" s="1"/>
    </row>
    <row r="276" spans="1:2">
      <c r="A276" s="1"/>
      <c r="B276" s="1"/>
    </row>
    <row r="277" spans="1:2">
      <c r="A277" s="1"/>
      <c r="B277" s="1"/>
    </row>
    <row r="278" spans="1:2">
      <c r="A278" s="1"/>
      <c r="B278" s="1"/>
    </row>
    <row r="279" spans="1:2">
      <c r="A279" s="1"/>
      <c r="B279" s="1"/>
    </row>
    <row r="280" spans="1:2">
      <c r="A280" s="1"/>
      <c r="B280" s="1"/>
    </row>
    <row r="281" spans="1:2">
      <c r="A281" s="1"/>
      <c r="B281" s="1"/>
    </row>
    <row r="282" spans="1:2">
      <c r="A282" s="1"/>
      <c r="B282" s="1"/>
    </row>
    <row r="283" spans="1:2">
      <c r="A283" s="1"/>
      <c r="B283" s="1"/>
    </row>
    <row r="284" spans="1:2">
      <c r="A284" s="1"/>
      <c r="B284" s="1"/>
    </row>
    <row r="285" spans="1:2">
      <c r="A285" s="1"/>
      <c r="B285" s="1"/>
    </row>
    <row r="286" spans="1:2">
      <c r="A286" s="1"/>
      <c r="B286" s="1"/>
    </row>
    <row r="287" spans="1:2">
      <c r="A287" s="1"/>
      <c r="B287" s="1"/>
    </row>
    <row r="288" spans="1:2">
      <c r="A288" s="1"/>
      <c r="B288" s="1"/>
    </row>
    <row r="289" spans="1:2">
      <c r="A289" s="1"/>
      <c r="B289" s="1"/>
    </row>
    <row r="290" spans="1:2">
      <c r="A290" s="1"/>
      <c r="B290" s="1"/>
    </row>
    <row r="291" spans="1:2">
      <c r="A291" s="1"/>
      <c r="B291" s="1"/>
    </row>
    <row r="292" spans="1:2">
      <c r="A292" s="1"/>
      <c r="B292" s="1"/>
    </row>
    <row r="293" spans="1:2">
      <c r="A293" s="1"/>
      <c r="B293" s="1"/>
    </row>
    <row r="294" spans="1:2">
      <c r="A294" s="1"/>
      <c r="B294" s="1"/>
    </row>
    <row r="295" spans="1:2">
      <c r="A295" s="1"/>
      <c r="B295" s="1"/>
    </row>
    <row r="296" spans="1:2">
      <c r="A296" s="1"/>
      <c r="B296" s="1"/>
    </row>
    <row r="297" spans="1:2">
      <c r="A297" s="1"/>
      <c r="B297" s="1"/>
    </row>
    <row r="298" spans="1:2">
      <c r="A298" s="1"/>
      <c r="B298" s="1"/>
    </row>
    <row r="299" spans="1:2">
      <c r="A299" s="1"/>
      <c r="B299" s="1"/>
    </row>
    <row r="300" spans="1:2">
      <c r="A300" s="1"/>
      <c r="B300" s="1"/>
    </row>
    <row r="301" spans="1:2">
      <c r="A301" s="1"/>
      <c r="B301" s="1"/>
    </row>
    <row r="302" spans="1:2">
      <c r="A302" s="1"/>
      <c r="B302" s="1"/>
    </row>
    <row r="303" spans="1:2">
      <c r="A303" s="1"/>
      <c r="B303" s="1"/>
    </row>
    <row r="304" spans="1:2">
      <c r="A304" s="1"/>
      <c r="B304" s="1"/>
    </row>
    <row r="305" spans="1:2">
      <c r="A305" s="1"/>
      <c r="B305" s="1"/>
    </row>
    <row r="306" spans="1:2">
      <c r="A306" s="1"/>
      <c r="B306" s="1"/>
    </row>
    <row r="307" spans="1:2">
      <c r="A307" s="1"/>
      <c r="B307" s="1"/>
    </row>
    <row r="308" spans="1:2">
      <c r="A308" s="1"/>
      <c r="B308" s="1"/>
    </row>
    <row r="309" spans="1:2">
      <c r="A309" s="1"/>
      <c r="B309" s="1"/>
    </row>
    <row r="310" spans="1:2">
      <c r="A310" s="1"/>
      <c r="B310" s="1"/>
    </row>
    <row r="311" spans="1:2">
      <c r="A311" s="1"/>
      <c r="B311" s="1"/>
    </row>
    <row r="312" spans="1:2">
      <c r="A312" s="1"/>
      <c r="B312" s="1"/>
    </row>
    <row r="313" spans="1:2">
      <c r="A313" s="1"/>
      <c r="B313" s="1"/>
    </row>
    <row r="314" spans="1:2">
      <c r="A314" s="1"/>
      <c r="B314" s="1"/>
    </row>
    <row r="315" spans="1:2">
      <c r="A315" s="1"/>
      <c r="B315" s="1"/>
    </row>
    <row r="316" spans="1:2">
      <c r="A316" s="1"/>
      <c r="B316" s="1"/>
    </row>
    <row r="317" spans="1:2">
      <c r="A317" s="1"/>
      <c r="B317" s="1"/>
    </row>
    <row r="318" spans="1:2">
      <c r="A318" s="1"/>
      <c r="B318" s="1"/>
    </row>
    <row r="319" spans="1:2">
      <c r="A319" s="1"/>
      <c r="B319" s="1"/>
    </row>
    <row r="320" spans="1:2">
      <c r="A320" s="1"/>
      <c r="B320" s="1"/>
    </row>
    <row r="321" spans="1:2">
      <c r="A321" s="1"/>
      <c r="B321" s="1"/>
    </row>
    <row r="322" spans="1:2">
      <c r="A322" s="1"/>
      <c r="B322" s="1"/>
    </row>
    <row r="323" spans="1:2">
      <c r="A323" s="1"/>
      <c r="B323" s="1"/>
    </row>
    <row r="324" spans="1:2">
      <c r="A324" s="1"/>
      <c r="B324" s="1"/>
    </row>
    <row r="325" spans="1:2">
      <c r="A325" s="1"/>
      <c r="B325" s="1"/>
    </row>
    <row r="326" spans="1:2">
      <c r="A326" s="1"/>
      <c r="B326" s="1"/>
    </row>
    <row r="327" spans="1:2">
      <c r="A327" s="1"/>
      <c r="B327" s="1"/>
    </row>
    <row r="328" spans="1:2">
      <c r="A328" s="1"/>
      <c r="B328" s="1"/>
    </row>
    <row r="329" spans="1:2">
      <c r="A329" s="1"/>
      <c r="B329" s="1"/>
    </row>
    <row r="330" spans="1:2">
      <c r="A330" s="1"/>
      <c r="B330" s="1"/>
    </row>
    <row r="331" spans="1:2">
      <c r="A331" s="1"/>
      <c r="B331" s="1"/>
    </row>
    <row r="332" spans="1:2">
      <c r="A332" s="1"/>
      <c r="B332" s="1"/>
    </row>
    <row r="333" spans="1:2">
      <c r="A333" s="1"/>
      <c r="B333" s="1"/>
    </row>
    <row r="334" spans="1:2">
      <c r="A334" s="1"/>
      <c r="B334" s="1"/>
    </row>
    <row r="335" spans="1:2">
      <c r="A335" s="1"/>
      <c r="B335" s="1"/>
    </row>
    <row r="336" spans="1:2">
      <c r="A336" s="1"/>
      <c r="B336" s="1"/>
    </row>
    <row r="337" spans="1:2">
      <c r="A337" s="1"/>
      <c r="B337" s="1"/>
    </row>
    <row r="338" spans="1:2">
      <c r="A338" s="1"/>
      <c r="B338" s="1"/>
    </row>
    <row r="339" spans="1:2">
      <c r="A339" s="1"/>
      <c r="B339" s="1"/>
    </row>
    <row r="340" spans="1:2">
      <c r="A340" s="1"/>
      <c r="B340" s="1"/>
    </row>
    <row r="341" spans="1:2">
      <c r="A341" s="1"/>
      <c r="B341" s="1"/>
    </row>
    <row r="342" spans="1:2">
      <c r="A342" s="1"/>
      <c r="B342" s="1"/>
    </row>
    <row r="343" spans="1:2">
      <c r="A343" s="1"/>
      <c r="B343" s="1"/>
    </row>
    <row r="344" spans="1:2">
      <c r="A344" s="1"/>
      <c r="B344" s="1"/>
    </row>
    <row r="345" spans="1:2">
      <c r="A345" s="1"/>
      <c r="B345" s="1"/>
    </row>
    <row r="346" spans="1:2">
      <c r="A346" s="1"/>
      <c r="B346" s="1"/>
    </row>
    <row r="347" spans="1:2">
      <c r="A347" s="1"/>
      <c r="B347" s="1"/>
    </row>
    <row r="348" spans="1:2">
      <c r="A348" s="1"/>
      <c r="B348" s="1"/>
    </row>
    <row r="349" spans="1:2">
      <c r="A349" s="1"/>
      <c r="B349" s="1"/>
    </row>
    <row r="350" spans="1:2">
      <c r="A350" s="1"/>
      <c r="B350" s="1"/>
    </row>
    <row r="351" spans="1:2">
      <c r="A351" s="1"/>
      <c r="B351" s="1"/>
    </row>
    <row r="352" spans="1:2">
      <c r="A352" s="1"/>
      <c r="B352" s="1"/>
    </row>
    <row r="353" spans="1:2">
      <c r="A353" s="1"/>
      <c r="B353" s="1"/>
    </row>
    <row r="354" spans="1:2">
      <c r="A354" s="1"/>
      <c r="B354" s="1"/>
    </row>
    <row r="355" spans="1:2">
      <c r="A355" s="1"/>
      <c r="B355" s="1"/>
    </row>
    <row r="356" spans="1:2">
      <c r="A356" s="1"/>
      <c r="B356" s="1"/>
    </row>
    <row r="357" spans="1:2">
      <c r="A357" s="1"/>
      <c r="B357" s="1"/>
    </row>
    <row r="358" spans="1:2">
      <c r="A358" s="1"/>
      <c r="B358" s="1"/>
    </row>
    <row r="359" spans="1:2">
      <c r="A359" s="1"/>
      <c r="B359" s="1"/>
    </row>
    <row r="360" spans="1:2">
      <c r="A360" s="1"/>
      <c r="B360" s="1"/>
    </row>
    <row r="361" spans="1:2">
      <c r="A361" s="1"/>
      <c r="B361" s="1"/>
    </row>
    <row r="362" spans="1:2">
      <c r="A362" s="1"/>
      <c r="B362" s="1"/>
    </row>
    <row r="363" spans="1:2">
      <c r="A363" s="1"/>
      <c r="B363" s="1"/>
    </row>
    <row r="364" spans="1:2">
      <c r="A364" s="1"/>
      <c r="B364" s="1"/>
    </row>
    <row r="365" spans="1:2">
      <c r="A365" s="1"/>
      <c r="B365" s="1"/>
    </row>
    <row r="366" spans="1:2">
      <c r="A366" s="1"/>
      <c r="B366" s="1"/>
    </row>
    <row r="367" spans="1:2">
      <c r="A367" s="1"/>
      <c r="B367" s="1"/>
    </row>
    <row r="368" spans="1:2">
      <c r="A368" s="1"/>
      <c r="B368" s="1"/>
    </row>
    <row r="369" spans="1:2">
      <c r="A369" s="1"/>
      <c r="B369" s="1"/>
    </row>
    <row r="370" spans="1:2">
      <c r="A370" s="1"/>
      <c r="B370" s="1"/>
    </row>
    <row r="371" spans="1:2">
      <c r="A371" s="1"/>
      <c r="B371" s="1"/>
    </row>
    <row r="372" spans="1:2">
      <c r="A372" s="1"/>
      <c r="B372" s="1"/>
    </row>
    <row r="373" spans="1:2">
      <c r="A373" s="1"/>
      <c r="B373" s="1"/>
    </row>
    <row r="374" spans="1:2">
      <c r="A374" s="1"/>
      <c r="B374" s="1"/>
    </row>
    <row r="375" spans="1:2">
      <c r="A375" s="1"/>
      <c r="B375" s="1"/>
    </row>
    <row r="376" spans="1:2">
      <c r="A376" s="1"/>
      <c r="B376" s="1"/>
    </row>
    <row r="377" spans="1:2">
      <c r="A377" s="1"/>
      <c r="B377" s="1"/>
    </row>
    <row r="378" spans="1:2">
      <c r="A378" s="1"/>
      <c r="B378" s="1"/>
    </row>
    <row r="379" spans="1:2">
      <c r="A379" s="1"/>
      <c r="B379" s="1"/>
    </row>
    <row r="380" spans="1:2">
      <c r="A380" s="1"/>
      <c r="B380" s="1"/>
    </row>
    <row r="381" spans="1:2">
      <c r="A381" s="1"/>
      <c r="B381" s="1"/>
    </row>
    <row r="382" spans="1:2">
      <c r="A382" s="1"/>
      <c r="B382" s="1"/>
    </row>
    <row r="383" spans="1:2">
      <c r="A383" s="1"/>
      <c r="B383" s="1"/>
    </row>
    <row r="384" spans="1:2">
      <c r="A384" s="1"/>
      <c r="B384" s="1"/>
    </row>
    <row r="385" spans="1:2">
      <c r="A385" s="1"/>
      <c r="B385" s="1"/>
    </row>
    <row r="386" spans="1:2">
      <c r="A386" s="1"/>
      <c r="B386" s="1"/>
    </row>
    <row r="387" spans="1:2">
      <c r="A387" s="1"/>
      <c r="B387" s="1"/>
    </row>
    <row r="388" spans="1:2">
      <c r="A388" s="1"/>
      <c r="B388" s="1"/>
    </row>
    <row r="389" spans="1:2">
      <c r="A389" s="1"/>
      <c r="B389" s="1"/>
    </row>
    <row r="390" spans="1:2">
      <c r="A390" s="1"/>
      <c r="B390" s="1"/>
    </row>
    <row r="391" spans="1:2">
      <c r="A391" s="1"/>
      <c r="B391" s="1"/>
    </row>
    <row r="392" spans="1:2">
      <c r="A392" s="1"/>
      <c r="B392" s="1"/>
    </row>
    <row r="393" spans="1:2">
      <c r="A393" s="1"/>
      <c r="B393" s="1"/>
    </row>
    <row r="394" spans="1:2">
      <c r="A394" s="1"/>
      <c r="B394" s="1"/>
    </row>
    <row r="395" spans="1:2">
      <c r="A395" s="1"/>
      <c r="B395" s="1"/>
    </row>
    <row r="396" spans="1:2">
      <c r="A396" s="1"/>
      <c r="B396" s="1"/>
    </row>
    <row r="397" spans="1:2">
      <c r="A397" s="1"/>
      <c r="B397" s="1"/>
    </row>
  </sheetData>
  <sheetProtection algorithmName="SHA-512" hashValue="IgTHtNxoeYB/SQhcZIQkLH4g65Pal65tF0TFedbUtqvvt9pPjwrrUyvYfFwA8+psu9eGi/CYNHpf0tL5fhsK9w==" saltValue="njhnjMeU3B25jaKgX3TY5w==" spinCount="100000" sheet="1" sort="0" autoFilter="0"/>
  <autoFilter ref="A6:B131" xr:uid="{00000000-0009-0000-0000-000016000000}"/>
  <mergeCells count="9">
    <mergeCell ref="A2:N2"/>
    <mergeCell ref="C4:E4"/>
    <mergeCell ref="N5:N6"/>
    <mergeCell ref="I5:I6"/>
    <mergeCell ref="A5:A6"/>
    <mergeCell ref="B5:B6"/>
    <mergeCell ref="A4:B4"/>
    <mergeCell ref="I4:N4"/>
    <mergeCell ref="F4:H4"/>
  </mergeCells>
  <phoneticPr fontId="0" type="noConversion"/>
  <printOptions horizontalCentered="1"/>
  <pageMargins left="0.7" right="0.7" top="0.75" bottom="0.5" header="0.3" footer="0.3"/>
  <pageSetup scale="65" fitToHeight="0" orientation="landscape" r:id="rId1"/>
  <headerFooter alignWithMargins="0">
    <oddFooter>&amp;C&amp;P of &amp;N&amp;R&amp;A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tabColor rgb="FFB1A0C7"/>
    <pageSetUpPr fitToPage="1"/>
  </sheetPr>
  <dimension ref="A1:E167"/>
  <sheetViews>
    <sheetView showGridLines="0" zoomScale="110" zoomScaleNormal="110" workbookViewId="0">
      <pane xSplit="2" ySplit="5" topLeftCell="C6" activePane="bottomRight" state="frozen"/>
      <selection pane="topRight" activeCell="C1" sqref="C1"/>
      <selection pane="bottomLeft" activeCell="A6" sqref="A6"/>
      <selection pane="bottomRight" activeCell="A4" sqref="A4:B4"/>
    </sheetView>
  </sheetViews>
  <sheetFormatPr defaultColWidth="9.140625" defaultRowHeight="11.25"/>
  <cols>
    <col min="1" max="1" width="40.7109375" style="3" customWidth="1"/>
    <col min="2" max="3" width="12.85546875" style="3" customWidth="1"/>
    <col min="4" max="4" width="19.140625" style="4" bestFit="1" customWidth="1"/>
    <col min="5" max="5" width="20.42578125" style="4" customWidth="1"/>
    <col min="6" max="16384" width="9.140625" style="3"/>
  </cols>
  <sheetData>
    <row r="1" spans="1:5" hidden="1">
      <c r="A1" s="3" t="s">
        <v>1038</v>
      </c>
      <c r="C1" s="3" t="s">
        <v>1039</v>
      </c>
    </row>
    <row r="2" spans="1:5" s="23" customFormat="1" ht="66.75" customHeight="1" thickBot="1">
      <c r="A2" s="2786" t="s">
        <v>1040</v>
      </c>
      <c r="B2" s="2786"/>
      <c r="C2" s="2786"/>
      <c r="D2" s="2786"/>
      <c r="E2" s="2786"/>
    </row>
    <row r="3" spans="1:5" s="23" customFormat="1" ht="13.5" hidden="1" customHeight="1" thickBot="1">
      <c r="A3" s="1950"/>
      <c r="B3" s="1950"/>
      <c r="C3" s="1950"/>
      <c r="D3" s="1950"/>
      <c r="E3" s="1950"/>
    </row>
    <row r="4" spans="1:5" s="23" customFormat="1" ht="14.25" thickTop="1" thickBot="1">
      <c r="A4" s="2606" t="str">
        <f>'Water Direct Exp (GW-1)'!A3:B3</f>
        <v>2025 (Rev 4)</v>
      </c>
      <c r="B4" s="2607"/>
      <c r="C4" s="2787" t="s">
        <v>1041</v>
      </c>
      <c r="D4" s="2784" t="s">
        <v>821</v>
      </c>
      <c r="E4" s="2785"/>
    </row>
    <row r="5" spans="1:5" s="63" customFormat="1" ht="49.5" customHeight="1" thickBot="1">
      <c r="A5" s="2010" t="s">
        <v>661</v>
      </c>
      <c r="B5" s="2011" t="s">
        <v>80</v>
      </c>
      <c r="C5" s="2788"/>
      <c r="D5" s="716" t="s">
        <v>1042</v>
      </c>
      <c r="E5" s="377" t="s">
        <v>1043</v>
      </c>
    </row>
    <row r="6" spans="1:5" ht="11.25" customHeight="1">
      <c r="A6" s="993" t="s">
        <v>391</v>
      </c>
      <c r="B6" s="993" t="s">
        <v>392</v>
      </c>
      <c r="C6" s="994">
        <f t="shared" ref="C6" si="0">IF(D6="--","--",D6/E6)</f>
        <v>1028733.3333333334</v>
      </c>
      <c r="D6" s="158">
        <f t="shared" ref="D6:D37" si="1">VLOOKUP($A6,Table_IP_1, MATCH("50p-ORT-m", heading_IP_1, 0), FALSE)</f>
        <v>30862</v>
      </c>
      <c r="E6" s="695">
        <f t="shared" ref="E6:E69" si="2">AFsmin</f>
        <v>0.03</v>
      </c>
    </row>
    <row r="7" spans="1:5" ht="11.25" customHeight="1">
      <c r="A7" s="993" t="s">
        <v>85</v>
      </c>
      <c r="B7" s="993" t="s">
        <v>86</v>
      </c>
      <c r="C7" s="994">
        <f t="shared" ref="C7:C8" si="3">IF(D7="--","--",D7/E7)</f>
        <v>8766.6666666666679</v>
      </c>
      <c r="D7" s="158">
        <f t="shared" si="1"/>
        <v>263</v>
      </c>
      <c r="E7" s="695">
        <f t="shared" si="2"/>
        <v>0.03</v>
      </c>
    </row>
    <row r="8" spans="1:5" ht="11.25" customHeight="1">
      <c r="A8" s="993" t="s">
        <v>87</v>
      </c>
      <c r="B8" s="993" t="s">
        <v>88</v>
      </c>
      <c r="C8" s="994" t="str">
        <f t="shared" si="3"/>
        <v>--</v>
      </c>
      <c r="D8" s="158" t="str">
        <f t="shared" si="1"/>
        <v>--</v>
      </c>
      <c r="E8" s="695">
        <f t="shared" si="2"/>
        <v>0.03</v>
      </c>
    </row>
    <row r="9" spans="1:5" ht="11.25" customHeight="1">
      <c r="A9" s="993" t="s">
        <v>89</v>
      </c>
      <c r="B9" s="993" t="s">
        <v>90</v>
      </c>
      <c r="C9" s="994" t="str">
        <f t="shared" ref="C9:C30" si="4">IF(D9="--","--",D9/E9)</f>
        <v>--</v>
      </c>
      <c r="D9" s="158" t="str">
        <f t="shared" si="1"/>
        <v>--</v>
      </c>
      <c r="E9" s="695">
        <f t="shared" si="2"/>
        <v>0.03</v>
      </c>
    </row>
    <row r="10" spans="1:5" ht="11.25" customHeight="1">
      <c r="A10" s="993" t="s">
        <v>91</v>
      </c>
      <c r="B10" s="993" t="s">
        <v>92</v>
      </c>
      <c r="C10" s="994" t="str">
        <f t="shared" si="4"/>
        <v>--</v>
      </c>
      <c r="D10" s="158" t="str">
        <f t="shared" si="1"/>
        <v>--</v>
      </c>
      <c r="E10" s="695">
        <f t="shared" si="2"/>
        <v>0.03</v>
      </c>
    </row>
    <row r="11" spans="1:5" ht="11.25" customHeight="1">
      <c r="A11" s="993" t="s">
        <v>93</v>
      </c>
      <c r="B11" s="993" t="s">
        <v>94</v>
      </c>
      <c r="C11" s="994">
        <f t="shared" si="4"/>
        <v>163000</v>
      </c>
      <c r="D11" s="158">
        <f t="shared" si="1"/>
        <v>4890</v>
      </c>
      <c r="E11" s="695">
        <f t="shared" si="2"/>
        <v>0.03</v>
      </c>
    </row>
    <row r="12" spans="1:5" ht="11.25" customHeight="1">
      <c r="A12" s="993" t="s">
        <v>95</v>
      </c>
      <c r="B12" s="993" t="s">
        <v>96</v>
      </c>
      <c r="C12" s="994" t="str">
        <f t="shared" si="4"/>
        <v>--</v>
      </c>
      <c r="D12" s="158" t="str">
        <f t="shared" si="1"/>
        <v>--</v>
      </c>
      <c r="E12" s="695">
        <f t="shared" si="2"/>
        <v>0.03</v>
      </c>
    </row>
    <row r="13" spans="1:5" ht="11.25" customHeight="1">
      <c r="A13" s="993" t="s">
        <v>97</v>
      </c>
      <c r="B13" s="993" t="s">
        <v>98</v>
      </c>
      <c r="C13" s="994">
        <f t="shared" si="4"/>
        <v>2000</v>
      </c>
      <c r="D13" s="158">
        <f t="shared" si="1"/>
        <v>60</v>
      </c>
      <c r="E13" s="695">
        <f t="shared" si="2"/>
        <v>0.03</v>
      </c>
    </row>
    <row r="14" spans="1:5" ht="11.25" customHeight="1">
      <c r="A14" s="993" t="s">
        <v>99</v>
      </c>
      <c r="B14" s="993" t="s">
        <v>100</v>
      </c>
      <c r="C14" s="994">
        <f t="shared" si="4"/>
        <v>9566.6666666666679</v>
      </c>
      <c r="D14" s="158">
        <f t="shared" si="1"/>
        <v>287</v>
      </c>
      <c r="E14" s="695">
        <f t="shared" si="2"/>
        <v>0.03</v>
      </c>
    </row>
    <row r="15" spans="1:5" ht="11.25" customHeight="1">
      <c r="A15" s="993" t="s">
        <v>101</v>
      </c>
      <c r="B15" s="993" t="s">
        <v>102</v>
      </c>
      <c r="C15" s="994">
        <f t="shared" si="4"/>
        <v>74666.666666666672</v>
      </c>
      <c r="D15" s="158">
        <f t="shared" si="1"/>
        <v>2240</v>
      </c>
      <c r="E15" s="695">
        <f t="shared" si="2"/>
        <v>0.03</v>
      </c>
    </row>
    <row r="16" spans="1:5" ht="11.25" customHeight="1">
      <c r="A16" s="993" t="s">
        <v>103</v>
      </c>
      <c r="B16" s="993" t="s">
        <v>104</v>
      </c>
      <c r="C16" s="994" t="str">
        <f t="shared" si="4"/>
        <v>--</v>
      </c>
      <c r="D16" s="158" t="str">
        <f t="shared" si="1"/>
        <v>--</v>
      </c>
      <c r="E16" s="695">
        <f t="shared" si="2"/>
        <v>0.03</v>
      </c>
    </row>
    <row r="17" spans="1:5" ht="11.25" customHeight="1">
      <c r="A17" s="993" t="s">
        <v>105</v>
      </c>
      <c r="B17" s="993" t="s">
        <v>106</v>
      </c>
      <c r="C17" s="994" t="str">
        <f t="shared" si="4"/>
        <v>--</v>
      </c>
      <c r="D17" s="158" t="str">
        <f t="shared" si="1"/>
        <v>--</v>
      </c>
      <c r="E17" s="695">
        <f t="shared" si="2"/>
        <v>0.03</v>
      </c>
    </row>
    <row r="18" spans="1:5" ht="11.25" customHeight="1">
      <c r="A18" s="993" t="s">
        <v>107</v>
      </c>
      <c r="B18" s="993" t="s">
        <v>108</v>
      </c>
      <c r="C18" s="994">
        <f t="shared" si="4"/>
        <v>366666666.66666669</v>
      </c>
      <c r="D18" s="158">
        <f t="shared" si="1"/>
        <v>11000000</v>
      </c>
      <c r="E18" s="695">
        <f t="shared" si="2"/>
        <v>0.03</v>
      </c>
    </row>
    <row r="19" spans="1:5" ht="11.25" customHeight="1">
      <c r="A19" s="993" t="s">
        <v>109</v>
      </c>
      <c r="B19" s="993" t="s">
        <v>110</v>
      </c>
      <c r="C19" s="994">
        <f t="shared" si="4"/>
        <v>448333.33333333337</v>
      </c>
      <c r="D19" s="158">
        <f t="shared" si="1"/>
        <v>13450</v>
      </c>
      <c r="E19" s="695">
        <f t="shared" si="2"/>
        <v>0.03</v>
      </c>
    </row>
    <row r="20" spans="1:5" ht="11.25" customHeight="1">
      <c r="A20" s="993" t="s">
        <v>111</v>
      </c>
      <c r="B20" s="993" t="s">
        <v>112</v>
      </c>
      <c r="C20" s="994">
        <f t="shared" si="4"/>
        <v>2666666.666666667</v>
      </c>
      <c r="D20" s="158">
        <f t="shared" si="1"/>
        <v>80000</v>
      </c>
      <c r="E20" s="695">
        <f t="shared" si="2"/>
        <v>0.03</v>
      </c>
    </row>
    <row r="21" spans="1:5" ht="11.25" customHeight="1">
      <c r="A21" s="993" t="s">
        <v>113</v>
      </c>
      <c r="B21" s="993" t="s">
        <v>114</v>
      </c>
      <c r="C21" s="994" t="str">
        <f t="shared" si="4"/>
        <v>--</v>
      </c>
      <c r="D21" s="158" t="str">
        <f t="shared" si="1"/>
        <v>--</v>
      </c>
      <c r="E21" s="695">
        <f t="shared" si="2"/>
        <v>0.03</v>
      </c>
    </row>
    <row r="22" spans="1:5" ht="11.25" customHeight="1">
      <c r="A22" s="993" t="s">
        <v>116</v>
      </c>
      <c r="B22" s="993" t="s">
        <v>114</v>
      </c>
      <c r="C22" s="994" t="str">
        <f t="shared" si="4"/>
        <v>--</v>
      </c>
      <c r="D22" s="158" t="str">
        <f t="shared" si="1"/>
        <v>--</v>
      </c>
      <c r="E22" s="695">
        <f t="shared" si="2"/>
        <v>0.03</v>
      </c>
    </row>
    <row r="23" spans="1:5" ht="11.25" customHeight="1">
      <c r="A23" s="993" t="s">
        <v>117</v>
      </c>
      <c r="B23" s="993" t="s">
        <v>118</v>
      </c>
      <c r="C23" s="994">
        <f t="shared" si="4"/>
        <v>2100000</v>
      </c>
      <c r="D23" s="158">
        <f t="shared" si="1"/>
        <v>63000</v>
      </c>
      <c r="E23" s="695">
        <f t="shared" si="2"/>
        <v>0.03</v>
      </c>
    </row>
    <row r="24" spans="1:5" ht="11.25" customHeight="1">
      <c r="A24" s="993" t="s">
        <v>119</v>
      </c>
      <c r="B24" s="993" t="s">
        <v>120</v>
      </c>
      <c r="C24" s="994">
        <f t="shared" si="4"/>
        <v>280</v>
      </c>
      <c r="D24" s="158">
        <f t="shared" si="1"/>
        <v>8.4</v>
      </c>
      <c r="E24" s="695">
        <f t="shared" si="2"/>
        <v>0.03</v>
      </c>
    </row>
    <row r="25" spans="1:5" ht="11.25" customHeight="1">
      <c r="A25" s="993" t="s">
        <v>121</v>
      </c>
      <c r="B25" s="993" t="s">
        <v>122</v>
      </c>
      <c r="C25" s="994" t="str">
        <f t="shared" si="4"/>
        <v>--</v>
      </c>
      <c r="D25" s="158" t="str">
        <f t="shared" si="1"/>
        <v>--</v>
      </c>
      <c r="E25" s="695">
        <f t="shared" si="2"/>
        <v>0.03</v>
      </c>
    </row>
    <row r="26" spans="1:5" ht="11.25" customHeight="1">
      <c r="A26" s="993" t="s">
        <v>123</v>
      </c>
      <c r="B26" s="993" t="s">
        <v>124</v>
      </c>
      <c r="C26" s="994">
        <f t="shared" si="4"/>
        <v>33333.333333333336</v>
      </c>
      <c r="D26" s="158">
        <f t="shared" si="1"/>
        <v>1000</v>
      </c>
      <c r="E26" s="695">
        <f t="shared" si="2"/>
        <v>0.03</v>
      </c>
    </row>
    <row r="27" spans="1:5" ht="11.25" customHeight="1">
      <c r="A27" s="993" t="s">
        <v>125</v>
      </c>
      <c r="B27" s="993" t="s">
        <v>126</v>
      </c>
      <c r="C27" s="994">
        <f t="shared" si="4"/>
        <v>12666666.666666668</v>
      </c>
      <c r="D27" s="158">
        <f t="shared" si="1"/>
        <v>380000</v>
      </c>
      <c r="E27" s="695">
        <f t="shared" si="2"/>
        <v>0.03</v>
      </c>
    </row>
    <row r="28" spans="1:5" ht="11.25" customHeight="1">
      <c r="A28" s="993" t="s">
        <v>127</v>
      </c>
      <c r="B28" s="993" t="s">
        <v>128</v>
      </c>
      <c r="C28" s="994">
        <f t="shared" si="4"/>
        <v>14053333.333333334</v>
      </c>
      <c r="D28" s="158">
        <f t="shared" si="1"/>
        <v>421600</v>
      </c>
      <c r="E28" s="695">
        <f t="shared" si="2"/>
        <v>0.03</v>
      </c>
    </row>
    <row r="29" spans="1:5" ht="11.25" customHeight="1">
      <c r="A29" s="993" t="s">
        <v>129</v>
      </c>
      <c r="B29" s="993" t="s">
        <v>130</v>
      </c>
      <c r="C29" s="994" t="str">
        <f t="shared" si="4"/>
        <v>--</v>
      </c>
      <c r="D29" s="158" t="str">
        <f t="shared" si="1"/>
        <v>--</v>
      </c>
      <c r="E29" s="695">
        <f t="shared" si="2"/>
        <v>0.03</v>
      </c>
    </row>
    <row r="30" spans="1:5" ht="11.25" customHeight="1">
      <c r="A30" s="993" t="s">
        <v>131</v>
      </c>
      <c r="B30" s="993" t="s">
        <v>132</v>
      </c>
      <c r="C30" s="994">
        <f t="shared" si="4"/>
        <v>633.33333333333337</v>
      </c>
      <c r="D30" s="158">
        <f t="shared" si="1"/>
        <v>19</v>
      </c>
      <c r="E30" s="695">
        <f t="shared" si="2"/>
        <v>0.03</v>
      </c>
    </row>
    <row r="31" spans="1:5" ht="11.25" customHeight="1">
      <c r="A31" s="993" t="s">
        <v>133</v>
      </c>
      <c r="B31" s="993" t="s">
        <v>134</v>
      </c>
      <c r="C31" s="994" t="str">
        <f t="shared" ref="C31:C94" si="5">IF(D31="--","--",D31/E31)</f>
        <v>--</v>
      </c>
      <c r="D31" s="158" t="str">
        <f t="shared" si="1"/>
        <v>--</v>
      </c>
      <c r="E31" s="695">
        <f t="shared" si="2"/>
        <v>0.03</v>
      </c>
    </row>
    <row r="32" spans="1:5" ht="11.25" customHeight="1">
      <c r="A32" s="993" t="s">
        <v>135</v>
      </c>
      <c r="B32" s="993" t="s">
        <v>136</v>
      </c>
      <c r="C32" s="994" t="str">
        <f t="shared" si="5"/>
        <v>--</v>
      </c>
      <c r="D32" s="158" t="str">
        <f t="shared" si="1"/>
        <v>--</v>
      </c>
      <c r="E32" s="695">
        <f t="shared" si="2"/>
        <v>0.03</v>
      </c>
    </row>
    <row r="33" spans="1:5" ht="11.25" customHeight="1">
      <c r="A33" s="993" t="s">
        <v>137</v>
      </c>
      <c r="B33" s="993" t="s">
        <v>138</v>
      </c>
      <c r="C33" s="994" t="str">
        <f t="shared" si="5"/>
        <v>--</v>
      </c>
      <c r="D33" s="158" t="str">
        <f t="shared" si="1"/>
        <v>--</v>
      </c>
      <c r="E33" s="695">
        <f t="shared" si="2"/>
        <v>0.03</v>
      </c>
    </row>
    <row r="34" spans="1:5" ht="11.25" customHeight="1">
      <c r="A34" s="993" t="s">
        <v>139</v>
      </c>
      <c r="B34" s="993" t="s">
        <v>140</v>
      </c>
      <c r="C34" s="994" t="str">
        <f t="shared" si="5"/>
        <v>--</v>
      </c>
      <c r="D34" s="158" t="str">
        <f t="shared" si="1"/>
        <v>--</v>
      </c>
      <c r="E34" s="695">
        <f t="shared" si="2"/>
        <v>0.03</v>
      </c>
    </row>
    <row r="35" spans="1:5" ht="11.25" customHeight="1">
      <c r="A35" s="993" t="s">
        <v>141</v>
      </c>
      <c r="B35" s="993" t="s">
        <v>142</v>
      </c>
      <c r="C35" s="994" t="str">
        <f t="shared" si="5"/>
        <v>--</v>
      </c>
      <c r="D35" s="158" t="str">
        <f t="shared" si="1"/>
        <v>--</v>
      </c>
      <c r="E35" s="695">
        <f t="shared" si="2"/>
        <v>0.03</v>
      </c>
    </row>
    <row r="36" spans="1:5" ht="11.25" customHeight="1">
      <c r="A36" s="993" t="s">
        <v>143</v>
      </c>
      <c r="B36" s="993" t="s">
        <v>144</v>
      </c>
      <c r="C36" s="994">
        <f t="shared" si="5"/>
        <v>21733.333333333336</v>
      </c>
      <c r="D36" s="158">
        <f t="shared" si="1"/>
        <v>652</v>
      </c>
      <c r="E36" s="695">
        <f t="shared" si="2"/>
        <v>0.03</v>
      </c>
    </row>
    <row r="37" spans="1:5" ht="11.25" customHeight="1">
      <c r="A37" s="993" t="s">
        <v>145</v>
      </c>
      <c r="B37" s="993" t="s">
        <v>146</v>
      </c>
      <c r="C37" s="994" t="str">
        <f t="shared" si="5"/>
        <v>--</v>
      </c>
      <c r="D37" s="158" t="str">
        <f t="shared" si="1"/>
        <v>--</v>
      </c>
      <c r="E37" s="695">
        <f t="shared" si="2"/>
        <v>0.03</v>
      </c>
    </row>
    <row r="38" spans="1:5" ht="11.25" customHeight="1">
      <c r="A38" s="993" t="s">
        <v>147</v>
      </c>
      <c r="B38" s="993" t="s">
        <v>148</v>
      </c>
      <c r="C38" s="994" t="str">
        <f t="shared" si="5"/>
        <v>--</v>
      </c>
      <c r="D38" s="158" t="str">
        <f t="shared" ref="D38:D69" si="6">VLOOKUP($A38,Table_IP_1, MATCH("50p-ORT-m", heading_IP_1, 0), FALSE)</f>
        <v>--</v>
      </c>
      <c r="E38" s="695">
        <f t="shared" si="2"/>
        <v>0.03</v>
      </c>
    </row>
    <row r="39" spans="1:5" ht="11.25" customHeight="1">
      <c r="A39" s="993" t="s">
        <v>149</v>
      </c>
      <c r="B39" s="993" t="s">
        <v>150</v>
      </c>
      <c r="C39" s="994">
        <f t="shared" si="5"/>
        <v>6666666.666666667</v>
      </c>
      <c r="D39" s="158">
        <f t="shared" si="6"/>
        <v>200000</v>
      </c>
      <c r="E39" s="695">
        <f t="shared" si="2"/>
        <v>0.03</v>
      </c>
    </row>
    <row r="40" spans="1:5" ht="11.25" customHeight="1">
      <c r="A40" s="993" t="s">
        <v>151</v>
      </c>
      <c r="B40" s="993" t="s">
        <v>152</v>
      </c>
      <c r="C40" s="994">
        <f t="shared" si="5"/>
        <v>10166666.666666668</v>
      </c>
      <c r="D40" s="158">
        <f t="shared" si="6"/>
        <v>305000</v>
      </c>
      <c r="E40" s="695">
        <f t="shared" si="2"/>
        <v>0.03</v>
      </c>
    </row>
    <row r="41" spans="1:5" ht="11.25" customHeight="1">
      <c r="A41" s="993" t="s">
        <v>153</v>
      </c>
      <c r="B41" s="993" t="s">
        <v>154</v>
      </c>
      <c r="C41" s="994">
        <f t="shared" si="5"/>
        <v>36666.666666666672</v>
      </c>
      <c r="D41" s="158">
        <f t="shared" si="6"/>
        <v>1100</v>
      </c>
      <c r="E41" s="695">
        <f t="shared" si="2"/>
        <v>0.03</v>
      </c>
    </row>
    <row r="42" spans="1:5" ht="11.25" customHeight="1">
      <c r="A42" s="993" t="s">
        <v>155</v>
      </c>
      <c r="B42" s="993" t="s">
        <v>156</v>
      </c>
      <c r="C42" s="994" t="str">
        <f t="shared" si="5"/>
        <v>--</v>
      </c>
      <c r="D42" s="158" t="str">
        <f t="shared" si="6"/>
        <v>--</v>
      </c>
      <c r="E42" s="695">
        <f t="shared" si="2"/>
        <v>0.03</v>
      </c>
    </row>
    <row r="43" spans="1:5" ht="11.25" customHeight="1">
      <c r="A43" s="993" t="s">
        <v>157</v>
      </c>
      <c r="B43" s="993" t="s">
        <v>158</v>
      </c>
      <c r="C43" s="994" t="str">
        <f t="shared" si="5"/>
        <v>--</v>
      </c>
      <c r="D43" s="158" t="str">
        <f t="shared" si="6"/>
        <v>--</v>
      </c>
      <c r="E43" s="695">
        <f t="shared" si="2"/>
        <v>0.03</v>
      </c>
    </row>
    <row r="44" spans="1:5" ht="11.25" customHeight="1">
      <c r="A44" s="993" t="s">
        <v>159</v>
      </c>
      <c r="B44" s="993" t="s">
        <v>160</v>
      </c>
      <c r="C44" s="994" t="str">
        <f t="shared" si="5"/>
        <v>--</v>
      </c>
      <c r="D44" s="158" t="str">
        <f t="shared" si="6"/>
        <v>--</v>
      </c>
      <c r="E44" s="695">
        <f t="shared" si="2"/>
        <v>0.03</v>
      </c>
    </row>
    <row r="45" spans="1:5" ht="11.25" customHeight="1">
      <c r="A45" s="993" t="s">
        <v>161</v>
      </c>
      <c r="B45" s="993" t="s">
        <v>162</v>
      </c>
      <c r="C45" s="994" t="str">
        <f t="shared" si="5"/>
        <v>--</v>
      </c>
      <c r="D45" s="158" t="str">
        <f t="shared" si="6"/>
        <v>--</v>
      </c>
      <c r="E45" s="695">
        <f t="shared" si="2"/>
        <v>0.03</v>
      </c>
    </row>
    <row r="46" spans="1:5" ht="11.25" customHeight="1">
      <c r="A46" s="993" t="s">
        <v>163</v>
      </c>
      <c r="B46" s="993" t="s">
        <v>164</v>
      </c>
      <c r="C46" s="994">
        <f t="shared" si="5"/>
        <v>4166666.666666667</v>
      </c>
      <c r="D46" s="158">
        <f t="shared" si="6"/>
        <v>125000</v>
      </c>
      <c r="E46" s="695">
        <f t="shared" si="2"/>
        <v>0.03</v>
      </c>
    </row>
    <row r="47" spans="1:5" ht="11.25" customHeight="1">
      <c r="A47" s="993" t="s">
        <v>165</v>
      </c>
      <c r="B47" s="993" t="s">
        <v>166</v>
      </c>
      <c r="C47" s="994">
        <f t="shared" si="5"/>
        <v>80800</v>
      </c>
      <c r="D47" s="158">
        <f t="shared" si="6"/>
        <v>2424</v>
      </c>
      <c r="E47" s="695">
        <f t="shared" si="2"/>
        <v>0.03</v>
      </c>
    </row>
    <row r="48" spans="1:5" ht="11.25" customHeight="1">
      <c r="A48" s="993" t="s">
        <v>167</v>
      </c>
      <c r="B48" s="993" t="s">
        <v>168</v>
      </c>
      <c r="C48" s="994">
        <f t="shared" si="5"/>
        <v>66666666.666666672</v>
      </c>
      <c r="D48" s="158">
        <f t="shared" si="6"/>
        <v>2000000</v>
      </c>
      <c r="E48" s="695">
        <f t="shared" si="2"/>
        <v>0.03</v>
      </c>
    </row>
    <row r="49" spans="1:5" ht="11.25" customHeight="1">
      <c r="A49" s="993" t="s">
        <v>169</v>
      </c>
      <c r="B49" s="993" t="s">
        <v>170</v>
      </c>
      <c r="C49" s="994" t="str">
        <f t="shared" si="5"/>
        <v>--</v>
      </c>
      <c r="D49" s="158" t="str">
        <f t="shared" si="6"/>
        <v>--</v>
      </c>
      <c r="E49" s="695">
        <f t="shared" si="2"/>
        <v>0.03</v>
      </c>
    </row>
    <row r="50" spans="1:5" ht="11.25" customHeight="1">
      <c r="A50" s="993" t="s">
        <v>171</v>
      </c>
      <c r="B50" s="993" t="s">
        <v>172</v>
      </c>
      <c r="C50" s="994">
        <f t="shared" si="5"/>
        <v>2244000</v>
      </c>
      <c r="D50" s="158">
        <f t="shared" si="6"/>
        <v>67320</v>
      </c>
      <c r="E50" s="695">
        <f t="shared" si="2"/>
        <v>0.03</v>
      </c>
    </row>
    <row r="51" spans="1:5" ht="11.25" customHeight="1">
      <c r="A51" s="993" t="s">
        <v>173</v>
      </c>
      <c r="B51" s="993" t="s">
        <v>174</v>
      </c>
      <c r="C51" s="994">
        <f t="shared" si="5"/>
        <v>46666.666666666672</v>
      </c>
      <c r="D51" s="158">
        <f t="shared" si="6"/>
        <v>1400</v>
      </c>
      <c r="E51" s="695">
        <f t="shared" si="2"/>
        <v>0.03</v>
      </c>
    </row>
    <row r="52" spans="1:5" ht="11.25" customHeight="1">
      <c r="A52" s="993" t="s">
        <v>175</v>
      </c>
      <c r="B52" s="993" t="s">
        <v>176</v>
      </c>
      <c r="C52" s="994">
        <f t="shared" si="5"/>
        <v>39666.666666666672</v>
      </c>
      <c r="D52" s="158">
        <f t="shared" si="6"/>
        <v>1190</v>
      </c>
      <c r="E52" s="695">
        <f t="shared" si="2"/>
        <v>0.03</v>
      </c>
    </row>
    <row r="53" spans="1:5" ht="11.25" customHeight="1">
      <c r="A53" s="993" t="s">
        <v>177</v>
      </c>
      <c r="B53" s="993" t="s">
        <v>178</v>
      </c>
      <c r="C53" s="994">
        <f t="shared" si="5"/>
        <v>138666.66666666669</v>
      </c>
      <c r="D53" s="158">
        <f t="shared" si="6"/>
        <v>4160</v>
      </c>
      <c r="E53" s="695">
        <f t="shared" si="2"/>
        <v>0.03</v>
      </c>
    </row>
    <row r="54" spans="1:5" ht="11.25" customHeight="1">
      <c r="A54" s="993" t="s">
        <v>179</v>
      </c>
      <c r="B54" s="993" t="s">
        <v>180</v>
      </c>
      <c r="C54" s="994" t="str">
        <f t="shared" si="5"/>
        <v>--</v>
      </c>
      <c r="D54" s="158" t="str">
        <f t="shared" si="6"/>
        <v>--</v>
      </c>
      <c r="E54" s="695">
        <f t="shared" si="2"/>
        <v>0.03</v>
      </c>
    </row>
    <row r="55" spans="1:5" ht="11.25" customHeight="1">
      <c r="A55" s="993" t="s">
        <v>181</v>
      </c>
      <c r="B55" s="993" t="s">
        <v>182</v>
      </c>
      <c r="C55" s="994" t="str">
        <f t="shared" si="5"/>
        <v>--</v>
      </c>
      <c r="D55" s="158" t="str">
        <f t="shared" si="6"/>
        <v>--</v>
      </c>
      <c r="E55" s="695">
        <f t="shared" si="2"/>
        <v>0.03</v>
      </c>
    </row>
    <row r="56" spans="1:5" ht="11.25" customHeight="1">
      <c r="A56" s="993" t="s">
        <v>183</v>
      </c>
      <c r="B56" s="993" t="s">
        <v>184</v>
      </c>
      <c r="C56" s="994">
        <f t="shared" si="5"/>
        <v>33.333333333333336</v>
      </c>
      <c r="D56" s="158">
        <f t="shared" si="6"/>
        <v>1</v>
      </c>
      <c r="E56" s="695">
        <f t="shared" si="2"/>
        <v>0.03</v>
      </c>
    </row>
    <row r="57" spans="1:5" ht="11.25" customHeight="1">
      <c r="A57" s="993" t="s">
        <v>185</v>
      </c>
      <c r="B57" s="993" t="s">
        <v>186</v>
      </c>
      <c r="C57" s="994" t="str">
        <f t="shared" si="5"/>
        <v>--</v>
      </c>
      <c r="D57" s="158" t="str">
        <f t="shared" si="6"/>
        <v>--</v>
      </c>
      <c r="E57" s="695">
        <f t="shared" si="2"/>
        <v>0.03</v>
      </c>
    </row>
    <row r="58" spans="1:5" ht="11.25" customHeight="1">
      <c r="A58" s="993" t="s">
        <v>187</v>
      </c>
      <c r="B58" s="993" t="s">
        <v>188</v>
      </c>
      <c r="C58" s="994" t="str">
        <f t="shared" si="5"/>
        <v>--</v>
      </c>
      <c r="D58" s="158" t="str">
        <f t="shared" si="6"/>
        <v>--</v>
      </c>
      <c r="E58" s="695">
        <f t="shared" si="2"/>
        <v>0.03</v>
      </c>
    </row>
    <row r="59" spans="1:5" ht="11.25" customHeight="1">
      <c r="A59" s="993" t="s">
        <v>189</v>
      </c>
      <c r="B59" s="993" t="s">
        <v>190</v>
      </c>
      <c r="C59" s="994">
        <f t="shared" si="5"/>
        <v>20400000</v>
      </c>
      <c r="D59" s="158">
        <f t="shared" si="6"/>
        <v>612000</v>
      </c>
      <c r="E59" s="695">
        <f t="shared" si="2"/>
        <v>0.03</v>
      </c>
    </row>
    <row r="60" spans="1:5" ht="11.25" customHeight="1">
      <c r="A60" s="993" t="s">
        <v>191</v>
      </c>
      <c r="B60" s="993" t="s">
        <v>192</v>
      </c>
      <c r="C60" s="994" t="str">
        <f t="shared" si="5"/>
        <v>--</v>
      </c>
      <c r="D60" s="158" t="str">
        <f t="shared" si="6"/>
        <v>--</v>
      </c>
      <c r="E60" s="695">
        <f t="shared" si="2"/>
        <v>0.03</v>
      </c>
    </row>
    <row r="61" spans="1:5" ht="11.25" customHeight="1">
      <c r="A61" s="993" t="s">
        <v>193</v>
      </c>
      <c r="B61" s="993" t="s">
        <v>194</v>
      </c>
      <c r="C61" s="994" t="str">
        <f t="shared" si="5"/>
        <v>--</v>
      </c>
      <c r="D61" s="158" t="str">
        <f t="shared" si="6"/>
        <v>--</v>
      </c>
      <c r="E61" s="695">
        <f t="shared" si="2"/>
        <v>0.03</v>
      </c>
    </row>
    <row r="62" spans="1:5" ht="11.25" customHeight="1">
      <c r="A62" s="993" t="s">
        <v>195</v>
      </c>
      <c r="B62" s="993" t="s">
        <v>196</v>
      </c>
      <c r="C62" s="994" t="str">
        <f t="shared" si="5"/>
        <v>--</v>
      </c>
      <c r="D62" s="158" t="str">
        <f t="shared" si="6"/>
        <v>--</v>
      </c>
      <c r="E62" s="695">
        <f t="shared" si="2"/>
        <v>0.03</v>
      </c>
    </row>
    <row r="63" spans="1:5" ht="11.25" customHeight="1">
      <c r="A63" s="993" t="s">
        <v>197</v>
      </c>
      <c r="B63" s="993" t="s">
        <v>198</v>
      </c>
      <c r="C63" s="994">
        <f t="shared" si="5"/>
        <v>66666.666666666672</v>
      </c>
      <c r="D63" s="158">
        <f t="shared" si="6"/>
        <v>2000</v>
      </c>
      <c r="E63" s="695">
        <f t="shared" si="2"/>
        <v>0.03</v>
      </c>
    </row>
    <row r="64" spans="1:5" ht="11.25" customHeight="1">
      <c r="A64" s="993" t="s">
        <v>199</v>
      </c>
      <c r="B64" s="993" t="s">
        <v>200</v>
      </c>
      <c r="C64" s="994">
        <f t="shared" si="5"/>
        <v>10000</v>
      </c>
      <c r="D64" s="158">
        <f t="shared" si="6"/>
        <v>300</v>
      </c>
      <c r="E64" s="695">
        <f t="shared" si="2"/>
        <v>0.03</v>
      </c>
    </row>
    <row r="65" spans="1:5" ht="11.25" customHeight="1">
      <c r="A65" s="993" t="s">
        <v>201</v>
      </c>
      <c r="B65" s="993" t="s">
        <v>202</v>
      </c>
      <c r="C65" s="994">
        <f t="shared" si="5"/>
        <v>10000</v>
      </c>
      <c r="D65" s="158">
        <f t="shared" si="6"/>
        <v>300</v>
      </c>
      <c r="E65" s="695">
        <f t="shared" si="2"/>
        <v>0.03</v>
      </c>
    </row>
    <row r="66" spans="1:5" ht="11.25" customHeight="1">
      <c r="A66" s="993" t="s">
        <v>203</v>
      </c>
      <c r="B66" s="993" t="s">
        <v>204</v>
      </c>
      <c r="C66" s="994" t="str">
        <f t="shared" si="5"/>
        <v>--</v>
      </c>
      <c r="D66" s="158" t="str">
        <f t="shared" si="6"/>
        <v>--</v>
      </c>
      <c r="E66" s="695">
        <f t="shared" si="2"/>
        <v>0.03</v>
      </c>
    </row>
    <row r="67" spans="1:5" ht="11.25" customHeight="1">
      <c r="A67" s="993" t="s">
        <v>205</v>
      </c>
      <c r="B67" s="993" t="s">
        <v>206</v>
      </c>
      <c r="C67" s="994">
        <f t="shared" si="5"/>
        <v>400000</v>
      </c>
      <c r="D67" s="158">
        <f t="shared" si="6"/>
        <v>12000</v>
      </c>
      <c r="E67" s="695">
        <f t="shared" si="2"/>
        <v>0.03</v>
      </c>
    </row>
    <row r="68" spans="1:5" ht="11.25" customHeight="1">
      <c r="A68" s="2107" t="s">
        <v>4279</v>
      </c>
      <c r="B68" s="993" t="s">
        <v>208</v>
      </c>
      <c r="C68" s="994" t="str">
        <f t="shared" si="5"/>
        <v>--</v>
      </c>
      <c r="D68" s="158" t="str">
        <f t="shared" si="6"/>
        <v>--</v>
      </c>
      <c r="E68" s="695">
        <f t="shared" si="2"/>
        <v>0.03</v>
      </c>
    </row>
    <row r="69" spans="1:5" ht="11.25" customHeight="1">
      <c r="A69" s="993" t="s">
        <v>209</v>
      </c>
      <c r="B69" s="993" t="s">
        <v>210</v>
      </c>
      <c r="C69" s="994" t="str">
        <f t="shared" si="5"/>
        <v>--</v>
      </c>
      <c r="D69" s="158" t="str">
        <f t="shared" si="6"/>
        <v>--</v>
      </c>
      <c r="E69" s="695">
        <f t="shared" si="2"/>
        <v>0.03</v>
      </c>
    </row>
    <row r="70" spans="1:5" ht="11.25" customHeight="1">
      <c r="A70" s="993" t="s">
        <v>211</v>
      </c>
      <c r="B70" s="993" t="s">
        <v>212</v>
      </c>
      <c r="C70" s="994" t="str">
        <f t="shared" si="5"/>
        <v>--</v>
      </c>
      <c r="D70" s="158" t="str">
        <f t="shared" ref="D70:D101" si="7">VLOOKUP($A70,Table_IP_1, MATCH("50p-ORT-m", heading_IP_1, 0), FALSE)</f>
        <v>--</v>
      </c>
      <c r="E70" s="695">
        <f t="shared" ref="E70:E129" si="8">AFsmin</f>
        <v>0.03</v>
      </c>
    </row>
    <row r="71" spans="1:5" ht="11.25" customHeight="1">
      <c r="A71" s="993" t="s">
        <v>213</v>
      </c>
      <c r="B71" s="993" t="s">
        <v>214</v>
      </c>
      <c r="C71" s="994" t="str">
        <f t="shared" si="5"/>
        <v>--</v>
      </c>
      <c r="D71" s="158" t="str">
        <f t="shared" si="7"/>
        <v>--</v>
      </c>
      <c r="E71" s="695">
        <f t="shared" si="8"/>
        <v>0.03</v>
      </c>
    </row>
    <row r="72" spans="1:5" ht="11.25" customHeight="1">
      <c r="A72" s="993" t="s">
        <v>215</v>
      </c>
      <c r="B72" s="993" t="s">
        <v>216</v>
      </c>
      <c r="C72" s="994" t="str">
        <f t="shared" si="5"/>
        <v>--</v>
      </c>
      <c r="D72" s="158" t="str">
        <f t="shared" si="7"/>
        <v>--</v>
      </c>
      <c r="E72" s="695">
        <f t="shared" si="8"/>
        <v>0.03</v>
      </c>
    </row>
    <row r="73" spans="1:5" ht="11.25" customHeight="1">
      <c r="A73" s="993" t="s">
        <v>217</v>
      </c>
      <c r="B73" s="993" t="s">
        <v>218</v>
      </c>
      <c r="C73" s="994">
        <f t="shared" si="5"/>
        <v>18666666.666666668</v>
      </c>
      <c r="D73" s="158">
        <f t="shared" si="7"/>
        <v>560000</v>
      </c>
      <c r="E73" s="695">
        <f t="shared" si="8"/>
        <v>0.03</v>
      </c>
    </row>
    <row r="74" spans="1:5" ht="11.25" customHeight="1">
      <c r="A74" s="993" t="s">
        <v>219</v>
      </c>
      <c r="B74" s="993" t="s">
        <v>220</v>
      </c>
      <c r="C74" s="994">
        <f t="shared" si="5"/>
        <v>1066666.6666666667</v>
      </c>
      <c r="D74" s="158">
        <f t="shared" si="7"/>
        <v>32000</v>
      </c>
      <c r="E74" s="695">
        <f t="shared" si="8"/>
        <v>0.03</v>
      </c>
    </row>
    <row r="75" spans="1:5" ht="11.25" customHeight="1">
      <c r="A75" s="993" t="s">
        <v>221</v>
      </c>
      <c r="B75" s="993" t="s">
        <v>222</v>
      </c>
      <c r="C75" s="994">
        <f t="shared" si="5"/>
        <v>14000</v>
      </c>
      <c r="D75" s="158">
        <f t="shared" si="7"/>
        <v>420</v>
      </c>
      <c r="E75" s="695">
        <f t="shared" si="8"/>
        <v>0.03</v>
      </c>
    </row>
    <row r="76" spans="1:5" ht="11.25" customHeight="1">
      <c r="A76" s="993" t="s">
        <v>223</v>
      </c>
      <c r="B76" s="993" t="s">
        <v>224</v>
      </c>
      <c r="C76" s="994" t="str">
        <f t="shared" si="5"/>
        <v>--</v>
      </c>
      <c r="D76" s="158" t="str">
        <f t="shared" si="7"/>
        <v>--</v>
      </c>
      <c r="E76" s="695">
        <f t="shared" si="8"/>
        <v>0.03</v>
      </c>
    </row>
    <row r="77" spans="1:5" ht="11.25" customHeight="1">
      <c r="A77" s="993" t="s">
        <v>225</v>
      </c>
      <c r="B77" s="993" t="s">
        <v>226</v>
      </c>
      <c r="C77" s="994">
        <f t="shared" si="5"/>
        <v>2266.666666666667</v>
      </c>
      <c r="D77" s="158">
        <f t="shared" si="7"/>
        <v>68</v>
      </c>
      <c r="E77" s="695">
        <f t="shared" si="8"/>
        <v>0.03</v>
      </c>
    </row>
    <row r="78" spans="1:5" ht="11.25" customHeight="1">
      <c r="A78" s="993" t="s">
        <v>227</v>
      </c>
      <c r="B78" s="993" t="s">
        <v>228</v>
      </c>
      <c r="C78" s="994">
        <f t="shared" si="5"/>
        <v>17666.666666666668</v>
      </c>
      <c r="D78" s="158">
        <f t="shared" si="7"/>
        <v>530</v>
      </c>
      <c r="E78" s="695">
        <f t="shared" si="8"/>
        <v>0.03</v>
      </c>
    </row>
    <row r="79" spans="1:5" ht="11.25" customHeight="1">
      <c r="A79" s="993" t="s">
        <v>229</v>
      </c>
      <c r="B79" s="993" t="s">
        <v>230</v>
      </c>
      <c r="C79" s="994" t="str">
        <f t="shared" si="5"/>
        <v>--</v>
      </c>
      <c r="D79" s="158" t="str">
        <f t="shared" si="7"/>
        <v>--</v>
      </c>
      <c r="E79" s="695">
        <f t="shared" si="8"/>
        <v>0.03</v>
      </c>
    </row>
    <row r="80" spans="1:5" ht="11.25" customHeight="1">
      <c r="A80" s="993" t="s">
        <v>231</v>
      </c>
      <c r="B80" s="993" t="s">
        <v>232</v>
      </c>
      <c r="C80" s="994" t="str">
        <f t="shared" si="5"/>
        <v>--</v>
      </c>
      <c r="D80" s="158" t="str">
        <f t="shared" si="7"/>
        <v>--</v>
      </c>
      <c r="E80" s="695">
        <f t="shared" si="8"/>
        <v>0.03</v>
      </c>
    </row>
    <row r="81" spans="1:5" ht="11.25" customHeight="1">
      <c r="A81" s="993" t="s">
        <v>233</v>
      </c>
      <c r="B81" s="993" t="s">
        <v>234</v>
      </c>
      <c r="C81" s="994">
        <f t="shared" si="5"/>
        <v>17100</v>
      </c>
      <c r="D81" s="158">
        <f t="shared" si="7"/>
        <v>513</v>
      </c>
      <c r="E81" s="695">
        <f t="shared" si="8"/>
        <v>0.03</v>
      </c>
    </row>
    <row r="82" spans="1:5" ht="11.25" customHeight="1">
      <c r="A82" s="993" t="s">
        <v>235</v>
      </c>
      <c r="B82" s="993" t="s">
        <v>236</v>
      </c>
      <c r="C82" s="994" t="str">
        <f t="shared" si="5"/>
        <v>--</v>
      </c>
      <c r="D82" s="158" t="str">
        <f t="shared" si="7"/>
        <v>--</v>
      </c>
      <c r="E82" s="695">
        <f t="shared" si="8"/>
        <v>0.03</v>
      </c>
    </row>
    <row r="83" spans="1:5" ht="11.25" customHeight="1">
      <c r="A83" s="993" t="s">
        <v>237</v>
      </c>
      <c r="B83" s="993" t="s">
        <v>238</v>
      </c>
      <c r="C83" s="994" t="str">
        <f t="shared" si="5"/>
        <v>--</v>
      </c>
      <c r="D83" s="158" t="str">
        <f t="shared" si="7"/>
        <v>--</v>
      </c>
      <c r="E83" s="695">
        <f t="shared" si="8"/>
        <v>0.03</v>
      </c>
    </row>
    <row r="84" spans="1:5" ht="11.25" customHeight="1">
      <c r="A84" s="993" t="s">
        <v>239</v>
      </c>
      <c r="B84" s="993" t="s">
        <v>240</v>
      </c>
      <c r="C84" s="994" t="str">
        <f t="shared" si="5"/>
        <v>--</v>
      </c>
      <c r="D84" s="158" t="str">
        <f t="shared" si="7"/>
        <v>--</v>
      </c>
      <c r="E84" s="695">
        <f t="shared" si="8"/>
        <v>0.03</v>
      </c>
    </row>
    <row r="85" spans="1:5" ht="11.25" customHeight="1">
      <c r="A85" s="993" t="s">
        <v>241</v>
      </c>
      <c r="B85" s="993" t="s">
        <v>242</v>
      </c>
      <c r="C85" s="994" t="str">
        <f t="shared" si="5"/>
        <v>--</v>
      </c>
      <c r="D85" s="158" t="str">
        <f t="shared" si="7"/>
        <v>--</v>
      </c>
      <c r="E85" s="695">
        <f t="shared" si="8"/>
        <v>0.03</v>
      </c>
    </row>
    <row r="86" spans="1:5" ht="11.25" customHeight="1">
      <c r="A86" s="993" t="s">
        <v>243</v>
      </c>
      <c r="B86" s="993" t="s">
        <v>244</v>
      </c>
      <c r="C86" s="994" t="str">
        <f t="shared" si="5"/>
        <v>--</v>
      </c>
      <c r="D86" s="158" t="str">
        <f t="shared" si="7"/>
        <v>--</v>
      </c>
      <c r="E86" s="695">
        <f t="shared" si="8"/>
        <v>0.03</v>
      </c>
    </row>
    <row r="87" spans="1:5" ht="11.25" customHeight="1">
      <c r="A87" s="993" t="s">
        <v>245</v>
      </c>
      <c r="B87" s="993" t="s">
        <v>246</v>
      </c>
      <c r="C87" s="994" t="str">
        <f t="shared" si="5"/>
        <v>--</v>
      </c>
      <c r="D87" s="158" t="str">
        <f t="shared" si="7"/>
        <v>--</v>
      </c>
      <c r="E87" s="695">
        <f t="shared" si="8"/>
        <v>0.03</v>
      </c>
    </row>
    <row r="88" spans="1:5" ht="11.25" customHeight="1">
      <c r="A88" s="993" t="s">
        <v>247</v>
      </c>
      <c r="B88" s="993" t="s">
        <v>248</v>
      </c>
      <c r="C88" s="994" t="str">
        <f t="shared" si="5"/>
        <v>--</v>
      </c>
      <c r="D88" s="158" t="str">
        <f t="shared" si="7"/>
        <v>--</v>
      </c>
      <c r="E88" s="695">
        <f t="shared" si="8"/>
        <v>0.03</v>
      </c>
    </row>
    <row r="89" spans="1:5" ht="11.25" customHeight="1">
      <c r="A89" s="993" t="s">
        <v>249</v>
      </c>
      <c r="B89" s="993" t="s">
        <v>250</v>
      </c>
      <c r="C89" s="994" t="str">
        <f t="shared" si="5"/>
        <v>--</v>
      </c>
      <c r="D89" s="158" t="str">
        <f t="shared" si="7"/>
        <v>--</v>
      </c>
      <c r="E89" s="695">
        <f t="shared" si="8"/>
        <v>0.03</v>
      </c>
    </row>
    <row r="90" spans="1:5" ht="11.25" customHeight="1">
      <c r="A90" s="993" t="s">
        <v>251</v>
      </c>
      <c r="B90" s="993" t="s">
        <v>252</v>
      </c>
      <c r="C90" s="994" t="str">
        <f t="shared" si="5"/>
        <v>--</v>
      </c>
      <c r="D90" s="158" t="str">
        <f t="shared" si="7"/>
        <v>--</v>
      </c>
      <c r="E90" s="695">
        <f t="shared" si="8"/>
        <v>0.03</v>
      </c>
    </row>
    <row r="91" spans="1:5" ht="11.25" customHeight="1">
      <c r="A91" s="993" t="s">
        <v>253</v>
      </c>
      <c r="B91" s="993" t="s">
        <v>254</v>
      </c>
      <c r="C91" s="994" t="str">
        <f t="shared" si="5"/>
        <v>--</v>
      </c>
      <c r="D91" s="158" t="str">
        <f t="shared" si="7"/>
        <v>--</v>
      </c>
      <c r="E91" s="695">
        <f t="shared" si="8"/>
        <v>0.03</v>
      </c>
    </row>
    <row r="92" spans="1:5" ht="11.25" customHeight="1">
      <c r="A92" s="993" t="s">
        <v>255</v>
      </c>
      <c r="B92" s="993" t="s">
        <v>256</v>
      </c>
      <c r="C92" s="994">
        <f t="shared" si="5"/>
        <v>14666.666666666668</v>
      </c>
      <c r="D92" s="158">
        <f t="shared" si="7"/>
        <v>440</v>
      </c>
      <c r="E92" s="695">
        <f t="shared" si="8"/>
        <v>0.03</v>
      </c>
    </row>
    <row r="93" spans="1:5" ht="11.25" customHeight="1">
      <c r="A93" s="993" t="s">
        <v>257</v>
      </c>
      <c r="B93" s="993" t="s">
        <v>258</v>
      </c>
      <c r="C93" s="994" t="str">
        <f t="shared" si="5"/>
        <v>--</v>
      </c>
      <c r="D93" s="158" t="str">
        <f t="shared" si="7"/>
        <v>--</v>
      </c>
      <c r="E93" s="695">
        <f t="shared" si="8"/>
        <v>0.03</v>
      </c>
    </row>
    <row r="94" spans="1:5" ht="11.25" customHeight="1">
      <c r="A94" s="993" t="s">
        <v>259</v>
      </c>
      <c r="B94" s="993" t="s">
        <v>260</v>
      </c>
      <c r="C94" s="994" t="str">
        <f t="shared" si="5"/>
        <v>--</v>
      </c>
      <c r="D94" s="158" t="str">
        <f t="shared" si="7"/>
        <v>--</v>
      </c>
      <c r="E94" s="695">
        <f t="shared" si="8"/>
        <v>0.03</v>
      </c>
    </row>
    <row r="95" spans="1:5" ht="11.25" customHeight="1">
      <c r="A95" s="993" t="s">
        <v>261</v>
      </c>
      <c r="B95" s="993" t="s">
        <v>1261</v>
      </c>
      <c r="C95" s="994" t="str">
        <f t="shared" ref="C95:C140" si="9">IF(D95="--","--",D95/E95)</f>
        <v>--</v>
      </c>
      <c r="D95" s="158" t="str">
        <f t="shared" si="7"/>
        <v>--</v>
      </c>
      <c r="E95" s="695">
        <f t="shared" si="8"/>
        <v>0.03</v>
      </c>
    </row>
    <row r="96" spans="1:5" ht="11.25" customHeight="1">
      <c r="A96" s="993" t="s">
        <v>263</v>
      </c>
      <c r="B96" s="993" t="s">
        <v>115</v>
      </c>
      <c r="C96" s="994">
        <f t="shared" si="9"/>
        <v>3333.3333333333335</v>
      </c>
      <c r="D96" s="158">
        <f t="shared" si="7"/>
        <v>100</v>
      </c>
      <c r="E96" s="695">
        <f t="shared" si="8"/>
        <v>0.03</v>
      </c>
    </row>
    <row r="97" spans="1:5" ht="11.25" customHeight="1">
      <c r="A97" s="993" t="s">
        <v>264</v>
      </c>
      <c r="B97" s="993" t="s">
        <v>115</v>
      </c>
      <c r="C97" s="994">
        <f t="shared" si="9"/>
        <v>33333.333333333336</v>
      </c>
      <c r="D97" s="158">
        <f t="shared" si="7"/>
        <v>1000</v>
      </c>
      <c r="E97" s="695">
        <f t="shared" si="8"/>
        <v>0.03</v>
      </c>
    </row>
    <row r="98" spans="1:5" ht="11.25" customHeight="1">
      <c r="A98" s="993" t="s">
        <v>265</v>
      </c>
      <c r="B98" s="993" t="s">
        <v>115</v>
      </c>
      <c r="C98" s="994">
        <f t="shared" si="9"/>
        <v>33333.333333333336</v>
      </c>
      <c r="D98" s="158">
        <f t="shared" si="7"/>
        <v>1000</v>
      </c>
      <c r="E98" s="695">
        <f t="shared" si="8"/>
        <v>0.03</v>
      </c>
    </row>
    <row r="99" spans="1:5" ht="11.25" customHeight="1">
      <c r="A99" s="993" t="s">
        <v>266</v>
      </c>
      <c r="B99" s="993" t="s">
        <v>115</v>
      </c>
      <c r="C99" s="994">
        <f t="shared" si="9"/>
        <v>33333.333333333336</v>
      </c>
      <c r="D99" s="158">
        <f t="shared" si="7"/>
        <v>1000</v>
      </c>
      <c r="E99" s="695">
        <f t="shared" si="8"/>
        <v>0.03</v>
      </c>
    </row>
    <row r="100" spans="1:5" ht="11.25" customHeight="1">
      <c r="A100" s="993" t="s">
        <v>267</v>
      </c>
      <c r="B100" s="993" t="s">
        <v>115</v>
      </c>
      <c r="C100" s="994" t="str">
        <f t="shared" si="9"/>
        <v>--</v>
      </c>
      <c r="D100" s="158" t="str">
        <f>VLOOKUP($A100,Table_IP_1, MATCH("50p-ORT-m", heading_IP_1, 0), FALSE)</f>
        <v>--</v>
      </c>
      <c r="E100" s="695">
        <f t="shared" si="8"/>
        <v>0.03</v>
      </c>
    </row>
    <row r="101" spans="1:5" ht="11.25" customHeight="1">
      <c r="A101" s="993" t="s">
        <v>268</v>
      </c>
      <c r="B101" s="993" t="s">
        <v>115</v>
      </c>
      <c r="C101" s="994" t="str">
        <f t="shared" si="9"/>
        <v>--</v>
      </c>
      <c r="D101" s="158" t="str">
        <f t="shared" si="7"/>
        <v>--</v>
      </c>
      <c r="E101" s="695">
        <f t="shared" si="8"/>
        <v>0.03</v>
      </c>
    </row>
    <row r="102" spans="1:5" ht="11.25" customHeight="1">
      <c r="A102" s="993" t="s">
        <v>269</v>
      </c>
      <c r="B102" s="993" t="s">
        <v>270</v>
      </c>
      <c r="C102" s="994" t="str">
        <f t="shared" si="9"/>
        <v>--</v>
      </c>
      <c r="D102" s="158" t="str">
        <f t="shared" ref="D102:D129" si="10">VLOOKUP($A102,Table_IP_1, MATCH("50p-ORT-m", heading_IP_1, 0), FALSE)</f>
        <v>--</v>
      </c>
      <c r="E102" s="695">
        <f t="shared" si="8"/>
        <v>0.03</v>
      </c>
    </row>
    <row r="103" spans="1:5" ht="11.25" customHeight="1">
      <c r="A103" s="993" t="s">
        <v>271</v>
      </c>
      <c r="B103" s="993" t="s">
        <v>272</v>
      </c>
      <c r="C103" s="994" t="str">
        <f t="shared" si="9"/>
        <v>--</v>
      </c>
      <c r="D103" s="158" t="str">
        <f t="shared" si="10"/>
        <v>--</v>
      </c>
      <c r="E103" s="695">
        <f t="shared" si="8"/>
        <v>0.03</v>
      </c>
    </row>
    <row r="104" spans="1:5" ht="11.25" customHeight="1">
      <c r="A104" s="993" t="s">
        <v>273</v>
      </c>
      <c r="B104" s="993" t="s">
        <v>274</v>
      </c>
      <c r="C104" s="994" t="str">
        <f t="shared" si="9"/>
        <v>--</v>
      </c>
      <c r="D104" s="158" t="str">
        <f t="shared" si="10"/>
        <v>--</v>
      </c>
      <c r="E104" s="695">
        <f t="shared" si="8"/>
        <v>0.03</v>
      </c>
    </row>
    <row r="105" spans="1:5" ht="11.25" customHeight="1">
      <c r="A105" s="993" t="s">
        <v>275</v>
      </c>
      <c r="B105" s="993" t="s">
        <v>276</v>
      </c>
      <c r="C105" s="994" t="str">
        <f t="shared" si="9"/>
        <v>--</v>
      </c>
      <c r="D105" s="158" t="str">
        <f t="shared" si="10"/>
        <v>--</v>
      </c>
      <c r="E105" s="695">
        <f t="shared" si="8"/>
        <v>0.03</v>
      </c>
    </row>
    <row r="106" spans="1:5" ht="11.25" customHeight="1">
      <c r="A106" s="993" t="s">
        <v>277</v>
      </c>
      <c r="B106" s="993" t="s">
        <v>278</v>
      </c>
      <c r="C106" s="994" t="str">
        <f t="shared" si="9"/>
        <v>--</v>
      </c>
      <c r="D106" s="158" t="str">
        <f t="shared" si="10"/>
        <v>--</v>
      </c>
      <c r="E106" s="695">
        <f t="shared" si="8"/>
        <v>0.03</v>
      </c>
    </row>
    <row r="107" spans="1:5" ht="11.25" customHeight="1">
      <c r="A107" s="993" t="s">
        <v>279</v>
      </c>
      <c r="B107" s="993" t="s">
        <v>280</v>
      </c>
      <c r="C107" s="994" t="str">
        <f t="shared" si="9"/>
        <v>--</v>
      </c>
      <c r="D107" s="158" t="str">
        <f t="shared" si="10"/>
        <v>--</v>
      </c>
      <c r="E107" s="695">
        <f t="shared" si="8"/>
        <v>0.03</v>
      </c>
    </row>
    <row r="108" spans="1:5" ht="11.25" customHeight="1">
      <c r="A108" s="993" t="s">
        <v>281</v>
      </c>
      <c r="B108" s="993" t="s">
        <v>282</v>
      </c>
      <c r="C108" s="994" t="str">
        <f t="shared" si="9"/>
        <v>--</v>
      </c>
      <c r="D108" s="158" t="str">
        <f t="shared" si="10"/>
        <v>--</v>
      </c>
      <c r="E108" s="695">
        <f t="shared" si="8"/>
        <v>0.03</v>
      </c>
    </row>
    <row r="109" spans="1:5" ht="11.25" customHeight="1">
      <c r="A109" s="993" t="s">
        <v>283</v>
      </c>
      <c r="B109" s="993" t="s">
        <v>284</v>
      </c>
      <c r="C109" s="994" t="str">
        <f t="shared" si="9"/>
        <v>--</v>
      </c>
      <c r="D109" s="158" t="str">
        <f t="shared" si="10"/>
        <v>--</v>
      </c>
      <c r="E109" s="695">
        <f t="shared" si="8"/>
        <v>0.03</v>
      </c>
    </row>
    <row r="110" spans="1:5" ht="11.25" customHeight="1">
      <c r="A110" s="993" t="s">
        <v>285</v>
      </c>
      <c r="B110" s="993" t="s">
        <v>286</v>
      </c>
      <c r="C110" s="994" t="str">
        <f t="shared" si="9"/>
        <v>--</v>
      </c>
      <c r="D110" s="158" t="str">
        <f t="shared" si="10"/>
        <v>--</v>
      </c>
      <c r="E110" s="695">
        <f t="shared" si="8"/>
        <v>0.03</v>
      </c>
    </row>
    <row r="111" spans="1:5" ht="11.25" customHeight="1">
      <c r="A111" s="993" t="s">
        <v>287</v>
      </c>
      <c r="B111" s="993" t="s">
        <v>288</v>
      </c>
      <c r="C111" s="994" t="str">
        <f t="shared" si="9"/>
        <v>--</v>
      </c>
      <c r="D111" s="158" t="str">
        <f t="shared" si="10"/>
        <v>--</v>
      </c>
      <c r="E111" s="695">
        <f t="shared" si="8"/>
        <v>0.03</v>
      </c>
    </row>
    <row r="112" spans="1:5" ht="11.25" customHeight="1">
      <c r="A112" s="993" t="s">
        <v>289</v>
      </c>
      <c r="B112" s="993" t="s">
        <v>290</v>
      </c>
      <c r="C112" s="994" t="str">
        <f t="shared" si="9"/>
        <v>--</v>
      </c>
      <c r="D112" s="158" t="str">
        <f t="shared" si="10"/>
        <v>--</v>
      </c>
      <c r="E112" s="695">
        <f t="shared" si="8"/>
        <v>0.03</v>
      </c>
    </row>
    <row r="113" spans="1:5" ht="11.25" customHeight="1">
      <c r="A113" s="993" t="s">
        <v>291</v>
      </c>
      <c r="B113" s="993" t="s">
        <v>292</v>
      </c>
      <c r="C113" s="994" t="str">
        <f t="shared" si="9"/>
        <v>--</v>
      </c>
      <c r="D113" s="158" t="str">
        <f t="shared" si="10"/>
        <v>--</v>
      </c>
      <c r="E113" s="695">
        <f t="shared" si="8"/>
        <v>0.03</v>
      </c>
    </row>
    <row r="114" spans="1:5" ht="11.25" customHeight="1">
      <c r="A114" s="993" t="s">
        <v>293</v>
      </c>
      <c r="B114" s="993" t="s">
        <v>294</v>
      </c>
      <c r="C114" s="994" t="str">
        <f t="shared" si="9"/>
        <v>--</v>
      </c>
      <c r="D114" s="158" t="str">
        <f t="shared" si="10"/>
        <v>--</v>
      </c>
      <c r="E114" s="695">
        <f t="shared" si="8"/>
        <v>0.03</v>
      </c>
    </row>
    <row r="115" spans="1:5" ht="11.25" customHeight="1">
      <c r="A115" s="993" t="s">
        <v>295</v>
      </c>
      <c r="B115" s="993" t="s">
        <v>296</v>
      </c>
      <c r="C115" s="994" t="str">
        <f t="shared" si="9"/>
        <v>--</v>
      </c>
      <c r="D115" s="158" t="str">
        <f t="shared" si="10"/>
        <v>--</v>
      </c>
      <c r="E115" s="695">
        <f t="shared" si="8"/>
        <v>0.03</v>
      </c>
    </row>
    <row r="116" spans="1:5" ht="11.25" customHeight="1">
      <c r="A116" s="993" t="s">
        <v>297</v>
      </c>
      <c r="B116" s="993" t="s">
        <v>298</v>
      </c>
      <c r="C116" s="994" t="str">
        <f t="shared" si="9"/>
        <v>--</v>
      </c>
      <c r="D116" s="158" t="str">
        <f t="shared" si="10"/>
        <v>--</v>
      </c>
      <c r="E116" s="695">
        <f t="shared" si="8"/>
        <v>0.03</v>
      </c>
    </row>
    <row r="117" spans="1:5" ht="11.25" customHeight="1">
      <c r="A117" s="993" t="s">
        <v>299</v>
      </c>
      <c r="B117" s="993" t="s">
        <v>300</v>
      </c>
      <c r="C117" s="994" t="str">
        <f t="shared" si="9"/>
        <v>--</v>
      </c>
      <c r="D117" s="158" t="str">
        <f t="shared" si="10"/>
        <v>--</v>
      </c>
      <c r="E117" s="695">
        <f t="shared" si="8"/>
        <v>0.03</v>
      </c>
    </row>
    <row r="118" spans="1:5" ht="11.25" customHeight="1">
      <c r="A118" s="993" t="s">
        <v>301</v>
      </c>
      <c r="B118" s="993" t="s">
        <v>302</v>
      </c>
      <c r="C118" s="994">
        <f t="shared" si="9"/>
        <v>5200</v>
      </c>
      <c r="D118" s="158">
        <f t="shared" si="10"/>
        <v>156</v>
      </c>
      <c r="E118" s="695">
        <f t="shared" si="8"/>
        <v>0.03</v>
      </c>
    </row>
    <row r="119" spans="1:5" ht="11.25" customHeight="1">
      <c r="A119" s="993" t="s">
        <v>303</v>
      </c>
      <c r="B119" s="993" t="s">
        <v>304</v>
      </c>
      <c r="C119" s="994" t="str">
        <f t="shared" si="9"/>
        <v>--</v>
      </c>
      <c r="D119" s="158" t="str">
        <f t="shared" si="10"/>
        <v>--</v>
      </c>
      <c r="E119" s="695">
        <f t="shared" si="8"/>
        <v>0.03</v>
      </c>
    </row>
    <row r="120" spans="1:5" ht="11.25" customHeight="1">
      <c r="A120" s="993" t="s">
        <v>305</v>
      </c>
      <c r="B120" s="993" t="s">
        <v>306</v>
      </c>
      <c r="C120" s="994" t="str">
        <f t="shared" si="9"/>
        <v>--</v>
      </c>
      <c r="D120" s="158" t="str">
        <f t="shared" si="10"/>
        <v>--</v>
      </c>
      <c r="E120" s="695">
        <f t="shared" si="8"/>
        <v>0.03</v>
      </c>
    </row>
    <row r="121" spans="1:5" ht="11.25" customHeight="1">
      <c r="A121" s="993" t="s">
        <v>307</v>
      </c>
      <c r="B121" s="993" t="s">
        <v>308</v>
      </c>
      <c r="C121" s="994" t="str">
        <f t="shared" si="9"/>
        <v>--</v>
      </c>
      <c r="D121" s="158" t="str">
        <f t="shared" si="10"/>
        <v>--</v>
      </c>
      <c r="E121" s="695">
        <f t="shared" si="8"/>
        <v>0.03</v>
      </c>
    </row>
    <row r="122" spans="1:5" ht="11.25" customHeight="1">
      <c r="A122" s="993" t="s">
        <v>309</v>
      </c>
      <c r="B122" s="993" t="s">
        <v>310</v>
      </c>
      <c r="C122" s="994">
        <f t="shared" si="9"/>
        <v>45333.333333333336</v>
      </c>
      <c r="D122" s="158">
        <f t="shared" si="10"/>
        <v>1360</v>
      </c>
      <c r="E122" s="695">
        <f t="shared" si="8"/>
        <v>0.03</v>
      </c>
    </row>
    <row r="123" spans="1:5" ht="11.25" customHeight="1">
      <c r="A123" s="993" t="s">
        <v>311</v>
      </c>
      <c r="B123" s="993" t="s">
        <v>312</v>
      </c>
      <c r="C123" s="994" t="str">
        <f t="shared" si="9"/>
        <v>--</v>
      </c>
      <c r="D123" s="158" t="str">
        <f t="shared" si="10"/>
        <v>--</v>
      </c>
      <c r="E123" s="695">
        <f t="shared" si="8"/>
        <v>0.03</v>
      </c>
    </row>
    <row r="124" spans="1:5" ht="11.25" customHeight="1">
      <c r="A124" s="993" t="s">
        <v>313</v>
      </c>
      <c r="B124" s="993" t="s">
        <v>314</v>
      </c>
      <c r="C124" s="994" t="str">
        <f t="shared" si="9"/>
        <v>--</v>
      </c>
      <c r="D124" s="158" t="str">
        <f t="shared" si="10"/>
        <v>--</v>
      </c>
      <c r="E124" s="695">
        <f t="shared" si="8"/>
        <v>0.03</v>
      </c>
    </row>
    <row r="125" spans="1:5" ht="11.25" customHeight="1">
      <c r="A125" s="993" t="s">
        <v>315</v>
      </c>
      <c r="B125" s="993" t="s">
        <v>316</v>
      </c>
      <c r="C125" s="994">
        <f t="shared" si="9"/>
        <v>349000</v>
      </c>
      <c r="D125" s="158">
        <f t="shared" si="10"/>
        <v>10470</v>
      </c>
      <c r="E125" s="695">
        <f t="shared" si="8"/>
        <v>0.03</v>
      </c>
    </row>
    <row r="126" spans="1:5" ht="11.25" customHeight="1">
      <c r="A126" s="993" t="s">
        <v>317</v>
      </c>
      <c r="B126" s="993" t="s">
        <v>318</v>
      </c>
      <c r="C126" s="994">
        <f t="shared" si="9"/>
        <v>1057666.6666666667</v>
      </c>
      <c r="D126" s="158">
        <f t="shared" si="10"/>
        <v>31730</v>
      </c>
      <c r="E126" s="695">
        <f t="shared" si="8"/>
        <v>0.03</v>
      </c>
    </row>
    <row r="127" spans="1:5" ht="11.25" customHeight="1">
      <c r="A127" s="993" t="s">
        <v>319</v>
      </c>
      <c r="B127" s="993" t="s">
        <v>320</v>
      </c>
      <c r="C127" s="994" t="str">
        <f t="shared" si="9"/>
        <v>--</v>
      </c>
      <c r="D127" s="158" t="str">
        <f t="shared" si="10"/>
        <v>--</v>
      </c>
      <c r="E127" s="695">
        <f t="shared" si="8"/>
        <v>0.03</v>
      </c>
    </row>
    <row r="128" spans="1:5" ht="11.25" customHeight="1">
      <c r="A128" s="993" t="s">
        <v>321</v>
      </c>
      <c r="B128" s="993" t="s">
        <v>322</v>
      </c>
      <c r="C128" s="994">
        <f t="shared" si="9"/>
        <v>1000000</v>
      </c>
      <c r="D128" s="158">
        <f t="shared" si="10"/>
        <v>30000</v>
      </c>
      <c r="E128" s="695">
        <f t="shared" si="8"/>
        <v>0.03</v>
      </c>
    </row>
    <row r="129" spans="1:5" ht="11.25" customHeight="1">
      <c r="A129" s="993" t="s">
        <v>323</v>
      </c>
      <c r="B129" s="993" t="s">
        <v>324</v>
      </c>
      <c r="C129" s="994" t="str">
        <f t="shared" si="9"/>
        <v>--</v>
      </c>
      <c r="D129" s="158" t="str">
        <f t="shared" si="10"/>
        <v>--</v>
      </c>
      <c r="E129" s="695">
        <f t="shared" si="8"/>
        <v>0.03</v>
      </c>
    </row>
    <row r="130" spans="1:5" ht="11.25" customHeight="1">
      <c r="A130" s="993" t="s">
        <v>325</v>
      </c>
      <c r="B130" s="993" t="s">
        <v>326</v>
      </c>
      <c r="C130" s="994">
        <f t="shared" si="9"/>
        <v>733333.33333333337</v>
      </c>
      <c r="D130" s="158">
        <f t="shared" ref="D130:D140" si="11">VLOOKUP($A130,Table_IP_1, MATCH("50p-ORT-m", heading_IP_1, 0), FALSE)</f>
        <v>22000</v>
      </c>
      <c r="E130" s="695">
        <f t="shared" ref="E130:E140" si="12">AFsmin</f>
        <v>0.03</v>
      </c>
    </row>
    <row r="131" spans="1:5" ht="11.25" customHeight="1">
      <c r="A131" s="993" t="s">
        <v>327</v>
      </c>
      <c r="B131" s="993" t="s">
        <v>328</v>
      </c>
      <c r="C131" s="994">
        <f t="shared" si="9"/>
        <v>2170900</v>
      </c>
      <c r="D131" s="158">
        <f t="shared" si="11"/>
        <v>65127</v>
      </c>
      <c r="E131" s="695">
        <f t="shared" si="12"/>
        <v>0.03</v>
      </c>
    </row>
    <row r="132" spans="1:5" ht="11.25" customHeight="1">
      <c r="A132" s="993" t="s">
        <v>329</v>
      </c>
      <c r="B132" s="993" t="s">
        <v>330</v>
      </c>
      <c r="C132" s="994" t="str">
        <f t="shared" si="9"/>
        <v>--</v>
      </c>
      <c r="D132" s="158" t="str">
        <f t="shared" si="11"/>
        <v>--</v>
      </c>
      <c r="E132" s="695">
        <f t="shared" si="12"/>
        <v>0.03</v>
      </c>
    </row>
    <row r="133" spans="1:5" ht="11.25" customHeight="1">
      <c r="A133" s="993" t="s">
        <v>331</v>
      </c>
      <c r="B133" s="993" t="s">
        <v>332</v>
      </c>
      <c r="C133" s="994">
        <f t="shared" si="9"/>
        <v>45333333.333333336</v>
      </c>
      <c r="D133" s="158">
        <f t="shared" si="11"/>
        <v>1360000</v>
      </c>
      <c r="E133" s="695">
        <f t="shared" si="12"/>
        <v>0.03</v>
      </c>
    </row>
    <row r="134" spans="1:5" ht="11.25" customHeight="1">
      <c r="A134" s="993" t="s">
        <v>333</v>
      </c>
      <c r="B134" s="993" t="s">
        <v>334</v>
      </c>
      <c r="C134" s="994" t="str">
        <f t="shared" si="9"/>
        <v>--</v>
      </c>
      <c r="D134" s="158" t="str">
        <f t="shared" si="11"/>
        <v>--</v>
      </c>
      <c r="E134" s="695">
        <f t="shared" si="12"/>
        <v>0.03</v>
      </c>
    </row>
    <row r="135" spans="1:5" ht="11.25" customHeight="1">
      <c r="A135" s="993" t="s">
        <v>335</v>
      </c>
      <c r="B135" s="993" t="s">
        <v>336</v>
      </c>
      <c r="C135" s="994">
        <f t="shared" si="9"/>
        <v>10</v>
      </c>
      <c r="D135" s="158">
        <f t="shared" si="11"/>
        <v>0.3</v>
      </c>
      <c r="E135" s="695">
        <f t="shared" si="12"/>
        <v>0.03</v>
      </c>
    </row>
    <row r="136" spans="1:5" ht="11.25" customHeight="1">
      <c r="A136" s="993" t="s">
        <v>337</v>
      </c>
      <c r="B136" s="993" t="s">
        <v>338</v>
      </c>
      <c r="C136" s="994" t="str">
        <f t="shared" si="9"/>
        <v>--</v>
      </c>
      <c r="D136" s="158" t="str">
        <f t="shared" si="11"/>
        <v>--</v>
      </c>
      <c r="E136" s="695">
        <f t="shared" si="12"/>
        <v>0.03</v>
      </c>
    </row>
    <row r="137" spans="1:5" ht="11.25" customHeight="1">
      <c r="A137" s="993" t="s">
        <v>339</v>
      </c>
      <c r="B137" s="993" t="s">
        <v>340</v>
      </c>
      <c r="C137" s="994" t="str">
        <f t="shared" si="9"/>
        <v>--</v>
      </c>
      <c r="D137" s="158" t="str">
        <f t="shared" si="11"/>
        <v>--</v>
      </c>
      <c r="E137" s="695">
        <f t="shared" si="12"/>
        <v>0.03</v>
      </c>
    </row>
    <row r="138" spans="1:5" ht="11.25" customHeight="1">
      <c r="A138" s="993" t="s">
        <v>341</v>
      </c>
      <c r="B138" s="993" t="s">
        <v>342</v>
      </c>
      <c r="C138" s="994">
        <f t="shared" si="9"/>
        <v>25708133.333333336</v>
      </c>
      <c r="D138" s="158">
        <f t="shared" si="11"/>
        <v>771244</v>
      </c>
      <c r="E138" s="695">
        <f t="shared" si="12"/>
        <v>0.03</v>
      </c>
    </row>
    <row r="139" spans="1:5" ht="11.25" customHeight="1">
      <c r="A139" s="993" t="s">
        <v>343</v>
      </c>
      <c r="B139" s="993" t="s">
        <v>344</v>
      </c>
      <c r="C139" s="994">
        <f t="shared" si="9"/>
        <v>14700</v>
      </c>
      <c r="D139" s="158">
        <f t="shared" si="11"/>
        <v>441</v>
      </c>
      <c r="E139" s="695">
        <f t="shared" si="12"/>
        <v>0.03</v>
      </c>
    </row>
    <row r="140" spans="1:5" ht="11.25" customHeight="1" thickBot="1">
      <c r="A140" s="993" t="s">
        <v>345</v>
      </c>
      <c r="B140" s="993" t="s">
        <v>346</v>
      </c>
      <c r="C140" s="994" t="str">
        <f t="shared" si="9"/>
        <v>--</v>
      </c>
      <c r="D140" s="158" t="str">
        <f t="shared" si="11"/>
        <v>--</v>
      </c>
      <c r="E140" s="695">
        <f t="shared" si="12"/>
        <v>0.03</v>
      </c>
    </row>
    <row r="141" spans="1:5" ht="11.25" customHeight="1" thickTop="1">
      <c r="A141" s="29" t="s">
        <v>347</v>
      </c>
      <c r="B141" s="221"/>
      <c r="C141" s="221"/>
      <c r="D141" s="221"/>
      <c r="E141" s="151"/>
    </row>
    <row r="142" spans="1:5" ht="11.25" customHeight="1">
      <c r="A142" s="270" t="s">
        <v>1036</v>
      </c>
      <c r="D142" s="3"/>
      <c r="E142" s="152"/>
    </row>
    <row r="143" spans="1:5" ht="14.25" customHeight="1">
      <c r="A143" s="2" t="s">
        <v>1037</v>
      </c>
      <c r="D143" s="3"/>
      <c r="E143" s="152"/>
    </row>
    <row r="144" spans="1:5">
      <c r="A144" s="1132" t="s">
        <v>348</v>
      </c>
      <c r="D144" s="3"/>
      <c r="E144" s="152"/>
    </row>
    <row r="145" spans="1:5" ht="11.25" customHeight="1">
      <c r="A145" s="1133" t="s">
        <v>349</v>
      </c>
      <c r="D145" s="3"/>
      <c r="E145" s="152"/>
    </row>
    <row r="146" spans="1:5">
      <c r="A146" s="1133" t="s">
        <v>350</v>
      </c>
      <c r="D146" s="3"/>
      <c r="E146" s="152"/>
    </row>
    <row r="147" spans="1:5">
      <c r="A147" s="1133" t="s">
        <v>351</v>
      </c>
      <c r="D147" s="3"/>
      <c r="E147" s="152"/>
    </row>
    <row r="148" spans="1:5" ht="24" customHeight="1">
      <c r="A148" s="2611" t="s">
        <v>4304</v>
      </c>
      <c r="B148" s="2612"/>
      <c r="C148" s="2612"/>
      <c r="D148" s="2612"/>
      <c r="E148" s="2613"/>
    </row>
    <row r="149" spans="1:5">
      <c r="A149" s="1133" t="s">
        <v>353</v>
      </c>
      <c r="D149" s="3"/>
      <c r="E149" s="152"/>
    </row>
    <row r="150" spans="1:5">
      <c r="A150" s="1133" t="s">
        <v>354</v>
      </c>
      <c r="D150" s="3"/>
      <c r="E150" s="152"/>
    </row>
    <row r="151" spans="1:5" ht="12.75" customHeight="1" thickBot="1">
      <c r="A151" s="2608" t="s">
        <v>355</v>
      </c>
      <c r="B151" s="2609"/>
      <c r="C151" s="2609"/>
      <c r="D151" s="2609"/>
      <c r="E151" s="2610"/>
    </row>
    <row r="152" spans="1:5" ht="12" thickTop="1">
      <c r="D152" s="3"/>
      <c r="E152" s="3"/>
    </row>
    <row r="153" spans="1:5">
      <c r="D153" s="3"/>
      <c r="E153" s="3"/>
    </row>
    <row r="154" spans="1:5">
      <c r="D154" s="22"/>
      <c r="E154" s="22"/>
    </row>
    <row r="155" spans="1:5">
      <c r="D155" s="22"/>
      <c r="E155" s="22"/>
    </row>
    <row r="156" spans="1:5">
      <c r="D156" s="22"/>
      <c r="E156" s="22"/>
    </row>
    <row r="157" spans="1:5">
      <c r="D157" s="22"/>
      <c r="E157" s="22"/>
    </row>
    <row r="158" spans="1:5">
      <c r="D158" s="22"/>
      <c r="E158" s="22"/>
    </row>
    <row r="159" spans="1:5">
      <c r="D159" s="22"/>
      <c r="E159" s="22"/>
    </row>
    <row r="160" spans="1:5">
      <c r="D160" s="22"/>
      <c r="E160" s="22"/>
    </row>
    <row r="161" spans="4:5">
      <c r="D161" s="22"/>
      <c r="E161" s="22"/>
    </row>
    <row r="162" spans="4:5">
      <c r="D162" s="22"/>
      <c r="E162" s="22"/>
    </row>
    <row r="163" spans="4:5">
      <c r="D163" s="22"/>
      <c r="E163" s="22"/>
    </row>
    <row r="164" spans="4:5">
      <c r="D164" s="22"/>
      <c r="E164" s="22"/>
    </row>
    <row r="165" spans="4:5">
      <c r="D165" s="22"/>
      <c r="E165" s="22"/>
    </row>
    <row r="166" spans="4:5">
      <c r="D166" s="22"/>
      <c r="E166" s="22"/>
    </row>
    <row r="167" spans="4:5">
      <c r="D167" s="22"/>
      <c r="E167" s="22"/>
    </row>
  </sheetData>
  <sheetProtection algorithmName="SHA-512" hashValue="NAivxx1lE4qpobXmKISpMzgfTv0qJopdpvrdqv1pNtDnFzFMg613aHg+a+Fc2Y+4lCwGp20z8q+lm6DFhvQ+bA==" saltValue="RRS27Yo5NPRu2beqqmVDJA==" spinCount="100000" sheet="1" sort="0" autoFilter="0"/>
  <autoFilter ref="A5:B125" xr:uid="{00000000-0009-0000-0000-000017000000}"/>
  <mergeCells count="6">
    <mergeCell ref="A151:E151"/>
    <mergeCell ref="D4:E4"/>
    <mergeCell ref="A2:E2"/>
    <mergeCell ref="A4:B4"/>
    <mergeCell ref="C4:C5"/>
    <mergeCell ref="A148:E148"/>
  </mergeCells>
  <phoneticPr fontId="0" type="noConversion"/>
  <printOptions horizontalCentered="1"/>
  <pageMargins left="0.7" right="0.7" top="0.75" bottom="0.5" header="0.3" footer="0.3"/>
  <pageSetup fitToHeight="0" orientation="portrait" r:id="rId1"/>
  <headerFooter alignWithMargins="0">
    <oddFooter>&amp;C&amp;9&amp;P of &amp;N&amp;R&amp;9&amp;A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R226"/>
  <sheetViews>
    <sheetView showGridLines="0" zoomScale="110" zoomScaleNormal="110" workbookViewId="0">
      <pane xSplit="2" ySplit="5" topLeftCell="C6" activePane="bottomRight" state="frozen"/>
      <selection pane="topRight" activeCell="C1" sqref="C1"/>
      <selection pane="bottomLeft" activeCell="A7" sqref="A7"/>
      <selection pane="bottomRight" activeCell="A3" sqref="A3:B3"/>
    </sheetView>
  </sheetViews>
  <sheetFormatPr defaultColWidth="9.140625" defaultRowHeight="12.75"/>
  <cols>
    <col min="1" max="1" width="40.42578125" style="4" customWidth="1"/>
    <col min="2" max="2" width="28.42578125" style="4" customWidth="1"/>
    <col min="3" max="3" width="9" style="4" customWidth="1"/>
    <col min="4" max="4" width="11.85546875" style="4" customWidth="1"/>
    <col min="5" max="5" width="12.42578125" style="10" customWidth="1"/>
    <col min="6" max="6" width="10.140625" style="10" customWidth="1"/>
    <col min="7" max="7" width="12.5703125" style="10" bestFit="1" customWidth="1"/>
    <col min="8" max="8" width="12.42578125" style="10" customWidth="1"/>
    <col min="9" max="9" width="13.5703125" style="10" customWidth="1"/>
    <col min="10" max="10" width="14.85546875" style="10" customWidth="1"/>
    <col min="11" max="12" width="12.5703125" style="10" customWidth="1"/>
    <col min="13" max="13" width="14.5703125" style="10" customWidth="1"/>
    <col min="14" max="14" width="12.5703125" style="1" customWidth="1"/>
    <col min="15" max="15" width="9.5703125" style="57" customWidth="1"/>
    <col min="16" max="16" width="11.85546875" style="57" customWidth="1"/>
    <col min="17" max="18" width="9.140625" style="6"/>
    <col min="19" max="16384" width="9.140625" style="1"/>
  </cols>
  <sheetData>
    <row r="1" spans="1:18" hidden="1">
      <c r="A1" s="4" t="s">
        <v>1044</v>
      </c>
      <c r="C1" s="11" t="s">
        <v>1045</v>
      </c>
      <c r="D1" s="11" t="s">
        <v>452</v>
      </c>
      <c r="E1" s="11" t="s">
        <v>453</v>
      </c>
      <c r="F1" s="11" t="s">
        <v>1046</v>
      </c>
      <c r="G1" s="11" t="s">
        <v>454</v>
      </c>
      <c r="H1" s="11" t="s">
        <v>455</v>
      </c>
      <c r="I1" s="1"/>
      <c r="J1" s="1"/>
      <c r="L1" s="1"/>
      <c r="M1" s="1"/>
      <c r="N1" s="57"/>
      <c r="P1" s="55"/>
      <c r="Q1" s="55"/>
      <c r="R1" s="1"/>
    </row>
    <row r="2" spans="1:18" ht="48" customHeight="1" thickBot="1">
      <c r="A2" s="2786" t="s">
        <v>1047</v>
      </c>
      <c r="B2" s="2786"/>
      <c r="C2" s="2786"/>
      <c r="D2" s="2786"/>
      <c r="E2" s="2786"/>
      <c r="F2" s="2786"/>
      <c r="G2" s="2786"/>
      <c r="H2" s="2786"/>
      <c r="I2" s="2786"/>
      <c r="J2" s="2786"/>
      <c r="K2" s="2786"/>
      <c r="L2" s="2786"/>
      <c r="M2" s="558"/>
      <c r="N2" s="558"/>
      <c r="O2" s="558"/>
      <c r="P2" s="558"/>
      <c r="Q2" s="55"/>
      <c r="R2" s="55"/>
    </row>
    <row r="3" spans="1:18" ht="45.75" customHeight="1" thickTop="1" thickBot="1">
      <c r="A3" s="2606" t="str">
        <f>'Water Direct Exp (GW-1)'!A3:B3</f>
        <v>2025 (Rev 4)</v>
      </c>
      <c r="B3" s="2607"/>
      <c r="C3" s="2797" t="s">
        <v>1048</v>
      </c>
      <c r="D3" s="2798"/>
      <c r="E3" s="2799"/>
      <c r="F3" s="2797" t="s">
        <v>1049</v>
      </c>
      <c r="G3" s="2798"/>
      <c r="H3" s="2799"/>
      <c r="I3" s="2793" t="s">
        <v>821</v>
      </c>
      <c r="J3" s="2794"/>
      <c r="K3" s="2794"/>
      <c r="L3" s="2795"/>
      <c r="M3" s="57"/>
      <c r="N3" s="57"/>
      <c r="O3" s="55"/>
      <c r="P3" s="55"/>
      <c r="Q3" s="1"/>
      <c r="R3" s="1"/>
    </row>
    <row r="4" spans="1:18" s="98" customFormat="1" ht="49.5" customHeight="1">
      <c r="A4" s="2764" t="s">
        <v>661</v>
      </c>
      <c r="B4" s="2766" t="s">
        <v>80</v>
      </c>
      <c r="C4" s="291" t="s">
        <v>1050</v>
      </c>
      <c r="D4" s="287" t="s">
        <v>1051</v>
      </c>
      <c r="E4" s="294" t="s">
        <v>1052</v>
      </c>
      <c r="F4" s="291" t="s">
        <v>1050</v>
      </c>
      <c r="G4" s="287" t="s">
        <v>1030</v>
      </c>
      <c r="H4" s="294" t="s">
        <v>1052</v>
      </c>
      <c r="I4" s="2792" t="s">
        <v>823</v>
      </c>
      <c r="J4" s="2796" t="s">
        <v>677</v>
      </c>
      <c r="K4" s="1986" t="s">
        <v>1053</v>
      </c>
      <c r="L4" s="296" t="s">
        <v>1054</v>
      </c>
      <c r="M4" s="96"/>
      <c r="N4" s="96"/>
    </row>
    <row r="5" spans="1:18" ht="14.25" customHeight="1" thickBot="1">
      <c r="A5" s="2765"/>
      <c r="B5" s="2767"/>
      <c r="C5" s="292" t="s">
        <v>1034</v>
      </c>
      <c r="D5" s="132" t="s">
        <v>1035</v>
      </c>
      <c r="E5" s="925" t="s">
        <v>1035</v>
      </c>
      <c r="F5" s="292" t="s">
        <v>1034</v>
      </c>
      <c r="G5" s="132" t="s">
        <v>1035</v>
      </c>
      <c r="H5" s="925" t="s">
        <v>1035</v>
      </c>
      <c r="I5" s="2778"/>
      <c r="J5" s="2627"/>
      <c r="K5" s="926" t="s">
        <v>1055</v>
      </c>
      <c r="L5" s="927" t="s">
        <v>1035</v>
      </c>
      <c r="M5" s="55"/>
      <c r="N5" s="55"/>
      <c r="O5" s="1"/>
      <c r="P5" s="1"/>
      <c r="Q5" s="1"/>
      <c r="R5" s="1"/>
    </row>
    <row r="6" spans="1:18" ht="11.25" customHeight="1">
      <c r="A6" s="2" t="s">
        <v>391</v>
      </c>
      <c r="B6" s="184" t="s">
        <v>392</v>
      </c>
      <c r="C6" s="293">
        <f>IF(MIN(D6,E6)=0,"--",MIN(D6,E6))</f>
        <v>32328.571428571428</v>
      </c>
      <c r="D6" s="506" t="str">
        <f t="shared" ref="D6:D37" si="0">IF(I6="NV","--",
IF(K6="--","--",
IF(J6="--",
(TR*LT*365)/(EFr*EDr*K6),
(TR*LT*365)/(TETmadj*K6))))</f>
        <v>--</v>
      </c>
      <c r="E6" s="224">
        <f t="shared" ref="E6:E37" si="1">IF(I6="NV","--",
IF(L6="--","--",(THQ*EDr*365*L6)/(EFr*EDr)))</f>
        <v>32328.571428571428</v>
      </c>
      <c r="F6" s="293">
        <f>IF(MIN(G6,H6)=0,"--",MIN(G6,H6))</f>
        <v>135780</v>
      </c>
      <c r="G6" s="157" t="str">
        <f t="shared" ref="G6:G37" si="2">IF(I6="NV","--",
IF(K6="--","--",(TR*LT*365)/(EFci*EDci*ETw/24*K6)))</f>
        <v>--</v>
      </c>
      <c r="H6" s="224">
        <f t="shared" ref="H6:H37" si="3">IF(I6="NV", "--",
IF(L6="--","--",(THQ*EDci*365*L6)/(EFci*EDci*ETw/24)))</f>
        <v>135780</v>
      </c>
      <c r="I6" s="276" t="str">
        <f t="shared" ref="I6:I37" si="4">VLOOKUP($A6,Table_IP_1, MATCH("volatility", heading_IP_1, 0), FALSE)</f>
        <v>V</v>
      </c>
      <c r="J6" s="157" t="str">
        <f t="shared" ref="J6:J37" si="5">VLOOKUP($A6,Table_IP_2, MATCH("mut", heading_IP_2, 0), FALSE)</f>
        <v>--</v>
      </c>
      <c r="K6" s="157" t="str">
        <f t="shared" ref="K6:K37" si="6">VLOOKUP($A6,Table_IP_2, MATCH("IUR", heading_IP_2, 0), FALSE)</f>
        <v>--</v>
      </c>
      <c r="L6" s="181">
        <f t="shared" ref="L6:L37" si="7">VLOOKUP($A6,Table_IP_2, MATCH("RfC", heading_IP_2, 0), FALSE)</f>
        <v>31000</v>
      </c>
      <c r="M6" s="55"/>
      <c r="N6" s="55"/>
      <c r="O6" s="1"/>
      <c r="P6" s="1"/>
      <c r="Q6" s="1"/>
      <c r="R6" s="1"/>
    </row>
    <row r="7" spans="1:18" ht="11.25" customHeight="1">
      <c r="A7" s="153" t="s">
        <v>85</v>
      </c>
      <c r="B7" s="184" t="s">
        <v>86</v>
      </c>
      <c r="C7" s="293">
        <f t="shared" ref="C7:C70" si="8">IF(MIN(D7,E7)=0,"--",MIN(D7,E7))</f>
        <v>5.729984301412873E-4</v>
      </c>
      <c r="D7" s="506">
        <f t="shared" si="0"/>
        <v>5.729984301412873E-4</v>
      </c>
      <c r="E7" s="224" t="str">
        <f t="shared" si="1"/>
        <v>--</v>
      </c>
      <c r="F7" s="293">
        <f t="shared" ref="F7:F70" si="9">IF(MIN(G7,H7)=0,"--",MIN(G7,H7))</f>
        <v>2.5028571428571422E-3</v>
      </c>
      <c r="G7" s="157">
        <f t="shared" si="2"/>
        <v>2.5028571428571422E-3</v>
      </c>
      <c r="H7" s="224" t="str">
        <f t="shared" si="3"/>
        <v>--</v>
      </c>
      <c r="I7" s="276" t="str">
        <f t="shared" si="4"/>
        <v>V</v>
      </c>
      <c r="J7" s="157" t="str">
        <f t="shared" si="5"/>
        <v>--</v>
      </c>
      <c r="K7" s="157">
        <f t="shared" si="6"/>
        <v>4.8999999999999998E-3</v>
      </c>
      <c r="L7" s="181" t="str">
        <f t="shared" si="7"/>
        <v>--</v>
      </c>
      <c r="M7" s="55"/>
      <c r="N7" s="55"/>
      <c r="O7" s="1"/>
      <c r="P7" s="1"/>
      <c r="Q7" s="1"/>
      <c r="R7" s="1"/>
    </row>
    <row r="8" spans="1:18" ht="11.25" customHeight="1">
      <c r="A8" s="153" t="s">
        <v>87</v>
      </c>
      <c r="B8" s="184" t="s">
        <v>88</v>
      </c>
      <c r="C8" s="293" t="str">
        <f t="shared" si="8"/>
        <v>--</v>
      </c>
      <c r="D8" s="506" t="str">
        <f t="shared" si="0"/>
        <v>--</v>
      </c>
      <c r="E8" s="224" t="str">
        <f t="shared" si="1"/>
        <v>--</v>
      </c>
      <c r="F8" s="293" t="str">
        <f t="shared" si="9"/>
        <v>--</v>
      </c>
      <c r="G8" s="157" t="str">
        <f t="shared" si="2"/>
        <v>--</v>
      </c>
      <c r="H8" s="224" t="str">
        <f t="shared" si="3"/>
        <v>--</v>
      </c>
      <c r="I8" s="276" t="str">
        <f t="shared" si="4"/>
        <v>NV</v>
      </c>
      <c r="J8" s="157" t="str">
        <f t="shared" si="5"/>
        <v>--</v>
      </c>
      <c r="K8" s="157" t="str">
        <f t="shared" si="6"/>
        <v>--</v>
      </c>
      <c r="L8" s="181">
        <f t="shared" si="7"/>
        <v>0.3</v>
      </c>
      <c r="M8" s="55"/>
      <c r="N8" s="55"/>
      <c r="O8" s="1"/>
      <c r="P8" s="1"/>
      <c r="Q8" s="1"/>
      <c r="R8" s="1"/>
    </row>
    <row r="9" spans="1:18" ht="11.25" customHeight="1">
      <c r="A9" s="153" t="s">
        <v>89</v>
      </c>
      <c r="B9" s="184" t="s">
        <v>90</v>
      </c>
      <c r="C9" s="293" t="str">
        <f t="shared" si="8"/>
        <v>--</v>
      </c>
      <c r="D9" s="506" t="str">
        <f t="shared" si="0"/>
        <v>--</v>
      </c>
      <c r="E9" s="224" t="str">
        <f t="shared" si="1"/>
        <v>--</v>
      </c>
      <c r="F9" s="293" t="str">
        <f t="shared" si="9"/>
        <v>--</v>
      </c>
      <c r="G9" s="157" t="str">
        <f t="shared" si="2"/>
        <v>--</v>
      </c>
      <c r="H9" s="224" t="str">
        <f t="shared" si="3"/>
        <v>--</v>
      </c>
      <c r="I9" s="276" t="str">
        <f t="shared" si="4"/>
        <v>NV</v>
      </c>
      <c r="J9" s="157" t="str">
        <f t="shared" si="5"/>
        <v>--</v>
      </c>
      <c r="K9" s="157">
        <f t="shared" si="6"/>
        <v>4.3E-3</v>
      </c>
      <c r="L9" s="181">
        <f t="shared" si="7"/>
        <v>1.4999999999999999E-2</v>
      </c>
      <c r="M9" s="55"/>
      <c r="N9" s="55"/>
      <c r="O9" s="1"/>
      <c r="P9" s="1"/>
      <c r="Q9" s="1"/>
      <c r="R9" s="1"/>
    </row>
    <row r="10" spans="1:18" ht="11.25" customHeight="1">
      <c r="A10" s="153" t="s">
        <v>91</v>
      </c>
      <c r="B10" s="184" t="s">
        <v>92</v>
      </c>
      <c r="C10" s="293" t="str">
        <f t="shared" si="8"/>
        <v>--</v>
      </c>
      <c r="D10" s="506" t="str">
        <f t="shared" si="0"/>
        <v>--</v>
      </c>
      <c r="E10" s="224" t="str">
        <f t="shared" si="1"/>
        <v>--</v>
      </c>
      <c r="F10" s="293" t="str">
        <f t="shared" si="9"/>
        <v>--</v>
      </c>
      <c r="G10" s="157" t="str">
        <f t="shared" si="2"/>
        <v>--</v>
      </c>
      <c r="H10" s="224" t="str">
        <f t="shared" si="3"/>
        <v>--</v>
      </c>
      <c r="I10" s="276" t="str">
        <f t="shared" si="4"/>
        <v>NV</v>
      </c>
      <c r="J10" s="157" t="str">
        <f t="shared" si="5"/>
        <v>--</v>
      </c>
      <c r="K10" s="157" t="str">
        <f t="shared" si="6"/>
        <v>--</v>
      </c>
      <c r="L10" s="181">
        <f t="shared" si="7"/>
        <v>0.5</v>
      </c>
      <c r="M10" s="55"/>
      <c r="N10" s="55"/>
      <c r="O10" s="1"/>
      <c r="P10" s="1"/>
      <c r="Q10" s="1"/>
      <c r="R10" s="1"/>
    </row>
    <row r="11" spans="1:18" ht="11.25" customHeight="1">
      <c r="A11" s="153" t="s">
        <v>93</v>
      </c>
      <c r="B11" s="184" t="s">
        <v>94</v>
      </c>
      <c r="C11" s="293">
        <f t="shared" si="8"/>
        <v>9.6816976127320931E-2</v>
      </c>
      <c r="D11" s="506">
        <f t="shared" si="0"/>
        <v>9.6816976127320931E-2</v>
      </c>
      <c r="E11" s="224">
        <f t="shared" si="1"/>
        <v>3.1285714285714286</v>
      </c>
      <c r="F11" s="293">
        <f t="shared" si="9"/>
        <v>0.42289655172413781</v>
      </c>
      <c r="G11" s="157">
        <f t="shared" si="2"/>
        <v>0.42289655172413781</v>
      </c>
      <c r="H11" s="224">
        <f t="shared" si="3"/>
        <v>13.139999999999999</v>
      </c>
      <c r="I11" s="276" t="str">
        <f t="shared" si="4"/>
        <v>V</v>
      </c>
      <c r="J11" s="157" t="str">
        <f t="shared" si="5"/>
        <v>--</v>
      </c>
      <c r="K11" s="157">
        <f t="shared" si="6"/>
        <v>2.9E-5</v>
      </c>
      <c r="L11" s="181">
        <f t="shared" si="7"/>
        <v>3</v>
      </c>
      <c r="M11" s="55"/>
      <c r="N11" s="55"/>
      <c r="O11" s="1"/>
      <c r="P11" s="1"/>
      <c r="Q11" s="1"/>
      <c r="R11" s="1"/>
    </row>
    <row r="12" spans="1:18" ht="11.25" customHeight="1">
      <c r="A12" s="153" t="s">
        <v>95</v>
      </c>
      <c r="B12" s="184" t="s">
        <v>96</v>
      </c>
      <c r="C12" s="293" t="str">
        <f t="shared" si="8"/>
        <v>--</v>
      </c>
      <c r="D12" s="506" t="str">
        <f t="shared" si="0"/>
        <v>--</v>
      </c>
      <c r="E12" s="224" t="str">
        <f t="shared" si="1"/>
        <v>--</v>
      </c>
      <c r="F12" s="293" t="str">
        <f t="shared" si="9"/>
        <v>--</v>
      </c>
      <c r="G12" s="157" t="str">
        <f t="shared" si="2"/>
        <v>--</v>
      </c>
      <c r="H12" s="224" t="str">
        <f t="shared" si="3"/>
        <v>--</v>
      </c>
      <c r="I12" s="276" t="str">
        <f t="shared" si="4"/>
        <v>NV</v>
      </c>
      <c r="J12" s="157" t="str">
        <f t="shared" si="5"/>
        <v>--</v>
      </c>
      <c r="K12" s="157">
        <f t="shared" si="6"/>
        <v>2.3999999999999998E-3</v>
      </c>
      <c r="L12" s="181">
        <f t="shared" si="7"/>
        <v>7.0000000000000001E-3</v>
      </c>
      <c r="M12" s="55"/>
      <c r="N12" s="55"/>
      <c r="O12" s="1"/>
      <c r="P12" s="1"/>
      <c r="Q12" s="1"/>
      <c r="R12" s="1"/>
    </row>
    <row r="13" spans="1:18" ht="11.25" customHeight="1">
      <c r="A13" s="153" t="s">
        <v>97</v>
      </c>
      <c r="B13" s="184" t="s">
        <v>98</v>
      </c>
      <c r="C13" s="293">
        <f t="shared" si="8"/>
        <v>0.41714285714285715</v>
      </c>
      <c r="D13" s="506" t="str">
        <f t="shared" si="0"/>
        <v>--</v>
      </c>
      <c r="E13" s="224">
        <f t="shared" si="1"/>
        <v>0.41714285714285715</v>
      </c>
      <c r="F13" s="293">
        <f t="shared" si="9"/>
        <v>1.7519999999999998</v>
      </c>
      <c r="G13" s="157" t="str">
        <f t="shared" si="2"/>
        <v>--</v>
      </c>
      <c r="H13" s="224">
        <f t="shared" si="3"/>
        <v>1.7519999999999998</v>
      </c>
      <c r="I13" s="276" t="str">
        <f t="shared" si="4"/>
        <v>V</v>
      </c>
      <c r="J13" s="157" t="str">
        <f t="shared" si="5"/>
        <v>--</v>
      </c>
      <c r="K13" s="157" t="str">
        <f t="shared" si="6"/>
        <v>--</v>
      </c>
      <c r="L13" s="181">
        <f t="shared" si="7"/>
        <v>0.4</v>
      </c>
      <c r="M13" s="55"/>
      <c r="N13" s="55"/>
      <c r="O13" s="1"/>
      <c r="P13" s="1"/>
      <c r="Q13" s="1"/>
      <c r="R13" s="1"/>
    </row>
    <row r="14" spans="1:18" ht="11.25" customHeight="1">
      <c r="A14" s="153" t="s">
        <v>99</v>
      </c>
      <c r="B14" s="184" t="s">
        <v>100</v>
      </c>
      <c r="C14" s="293">
        <f t="shared" si="8"/>
        <v>3.9544962080173343E-3</v>
      </c>
      <c r="D14" s="506">
        <f t="shared" si="0"/>
        <v>3.9544962080173343E-3</v>
      </c>
      <c r="E14" s="224" t="str">
        <f t="shared" si="1"/>
        <v>--</v>
      </c>
      <c r="F14" s="293">
        <f t="shared" si="9"/>
        <v>1.7273239436619715E-2</v>
      </c>
      <c r="G14" s="157">
        <f t="shared" si="2"/>
        <v>1.7273239436619715E-2</v>
      </c>
      <c r="H14" s="224" t="str">
        <f t="shared" si="3"/>
        <v>--</v>
      </c>
      <c r="I14" s="276" t="str">
        <f t="shared" si="4"/>
        <v>V</v>
      </c>
      <c r="J14" s="157" t="str">
        <f t="shared" si="5"/>
        <v>--</v>
      </c>
      <c r="K14" s="157">
        <f t="shared" si="6"/>
        <v>7.1000000000000002E-4</v>
      </c>
      <c r="L14" s="181" t="str">
        <f t="shared" si="7"/>
        <v>--</v>
      </c>
      <c r="M14" s="55"/>
      <c r="N14" s="55"/>
      <c r="O14" s="1"/>
      <c r="P14" s="1"/>
      <c r="Q14" s="1"/>
      <c r="R14" s="1"/>
    </row>
    <row r="15" spans="1:18" ht="11.25" customHeight="1">
      <c r="A15" s="153" t="s">
        <v>101</v>
      </c>
      <c r="B15" s="184" t="s">
        <v>102</v>
      </c>
      <c r="C15" s="293" t="str">
        <f t="shared" si="8"/>
        <v>--</v>
      </c>
      <c r="D15" s="506" t="str">
        <f t="shared" si="0"/>
        <v>--</v>
      </c>
      <c r="E15" s="224" t="str">
        <f t="shared" si="1"/>
        <v>--</v>
      </c>
      <c r="F15" s="293" t="str">
        <f t="shared" si="9"/>
        <v>--</v>
      </c>
      <c r="G15" s="157" t="str">
        <f t="shared" si="2"/>
        <v>--</v>
      </c>
      <c r="H15" s="224" t="str">
        <f t="shared" si="3"/>
        <v>--</v>
      </c>
      <c r="I15" s="276" t="str">
        <f t="shared" si="4"/>
        <v>V</v>
      </c>
      <c r="J15" s="157" t="str">
        <f t="shared" si="5"/>
        <v>--</v>
      </c>
      <c r="K15" s="157" t="str">
        <f t="shared" si="6"/>
        <v>--</v>
      </c>
      <c r="L15" s="181" t="str">
        <f t="shared" si="7"/>
        <v>--</v>
      </c>
      <c r="M15" s="55"/>
      <c r="N15" s="55"/>
      <c r="O15" s="1"/>
      <c r="P15" s="1"/>
      <c r="Q15" s="1"/>
      <c r="R15" s="1"/>
    </row>
    <row r="16" spans="1:18" ht="11.25" customHeight="1">
      <c r="A16" s="153" t="s">
        <v>103</v>
      </c>
      <c r="B16" s="184" t="s">
        <v>104</v>
      </c>
      <c r="C16" s="293" t="str">
        <f t="shared" si="8"/>
        <v>--</v>
      </c>
      <c r="D16" s="506" t="str">
        <f t="shared" si="0"/>
        <v>--</v>
      </c>
      <c r="E16" s="224" t="str">
        <f t="shared" si="1"/>
        <v>--</v>
      </c>
      <c r="F16" s="293" t="str">
        <f t="shared" si="9"/>
        <v>--</v>
      </c>
      <c r="G16" s="157" t="str">
        <f t="shared" si="2"/>
        <v>--</v>
      </c>
      <c r="H16" s="224" t="str">
        <f t="shared" si="3"/>
        <v>--</v>
      </c>
      <c r="I16" s="276" t="str">
        <f t="shared" si="4"/>
        <v>NV</v>
      </c>
      <c r="J16" s="157" t="str">
        <f t="shared" si="5"/>
        <v>--</v>
      </c>
      <c r="K16" s="157">
        <f t="shared" si="6"/>
        <v>2.3999999999999999E-6</v>
      </c>
      <c r="L16" s="181" t="str">
        <f t="shared" si="7"/>
        <v>--</v>
      </c>
      <c r="M16" s="55"/>
      <c r="N16" s="55"/>
      <c r="O16" s="1"/>
      <c r="P16" s="1"/>
      <c r="Q16" s="1"/>
      <c r="R16" s="1"/>
    </row>
    <row r="17" spans="1:18" ht="11.25" customHeight="1">
      <c r="A17" s="153" t="s">
        <v>105</v>
      </c>
      <c r="B17" s="184" t="s">
        <v>106</v>
      </c>
      <c r="C17" s="293" t="str">
        <f t="shared" si="8"/>
        <v>--</v>
      </c>
      <c r="D17" s="506" t="str">
        <f t="shared" si="0"/>
        <v>--</v>
      </c>
      <c r="E17" s="224" t="str">
        <f t="shared" si="1"/>
        <v>--</v>
      </c>
      <c r="F17" s="293" t="str">
        <f t="shared" si="9"/>
        <v>--</v>
      </c>
      <c r="G17" s="157" t="str">
        <f t="shared" si="2"/>
        <v>--</v>
      </c>
      <c r="H17" s="224" t="str">
        <f t="shared" si="3"/>
        <v>--</v>
      </c>
      <c r="I17" s="276" t="str">
        <f t="shared" si="4"/>
        <v>NV</v>
      </c>
      <c r="J17" s="157" t="str">
        <f t="shared" si="5"/>
        <v>--</v>
      </c>
      <c r="K17" s="157" t="str">
        <f t="shared" si="6"/>
        <v>--</v>
      </c>
      <c r="L17" s="181">
        <f t="shared" si="7"/>
        <v>20</v>
      </c>
      <c r="M17" s="55"/>
      <c r="N17" s="55"/>
      <c r="O17" s="1"/>
      <c r="P17" s="1"/>
      <c r="Q17" s="1"/>
      <c r="R17" s="1"/>
    </row>
    <row r="18" spans="1:18" ht="11.25" customHeight="1">
      <c r="A18" s="153" t="s">
        <v>107</v>
      </c>
      <c r="B18" s="184" t="s">
        <v>108</v>
      </c>
      <c r="C18" s="293">
        <f t="shared" si="8"/>
        <v>7.5883575883575874E-2</v>
      </c>
      <c r="D18" s="506">
        <f t="shared" si="0"/>
        <v>7.5883575883575874E-2</v>
      </c>
      <c r="E18" s="224" t="str">
        <f t="shared" si="1"/>
        <v>--</v>
      </c>
      <c r="F18" s="293">
        <f t="shared" si="9"/>
        <v>0.33145945945945937</v>
      </c>
      <c r="G18" s="157">
        <f t="shared" si="2"/>
        <v>0.33145945945945937</v>
      </c>
      <c r="H18" s="224" t="str">
        <f t="shared" si="3"/>
        <v>--</v>
      </c>
      <c r="I18" s="276" t="str">
        <f t="shared" si="4"/>
        <v>V</v>
      </c>
      <c r="J18" s="157" t="str">
        <f t="shared" si="5"/>
        <v>--</v>
      </c>
      <c r="K18" s="157">
        <f t="shared" si="6"/>
        <v>3.6999999999999998E-5</v>
      </c>
      <c r="L18" s="181" t="str">
        <f t="shared" si="7"/>
        <v>--</v>
      </c>
      <c r="M18" s="55"/>
      <c r="N18" s="55"/>
      <c r="O18" s="1"/>
      <c r="P18" s="1"/>
      <c r="Q18" s="1"/>
      <c r="R18" s="1"/>
    </row>
    <row r="19" spans="1:18" ht="11.25" customHeight="1">
      <c r="A19" s="153" t="s">
        <v>109</v>
      </c>
      <c r="B19" s="184" t="s">
        <v>110</v>
      </c>
      <c r="C19" s="293">
        <f t="shared" si="8"/>
        <v>2.5524475524475521</v>
      </c>
      <c r="D19" s="506">
        <f t="shared" si="0"/>
        <v>2.5524475524475521</v>
      </c>
      <c r="E19" s="224" t="str">
        <f t="shared" si="1"/>
        <v>--</v>
      </c>
      <c r="F19" s="293">
        <f t="shared" si="9"/>
        <v>11.149090909090905</v>
      </c>
      <c r="G19" s="157">
        <f t="shared" si="2"/>
        <v>11.149090909090905</v>
      </c>
      <c r="H19" s="224" t="str">
        <f t="shared" si="3"/>
        <v>--</v>
      </c>
      <c r="I19" s="276" t="str">
        <f t="shared" si="4"/>
        <v>V</v>
      </c>
      <c r="J19" s="157" t="str">
        <f t="shared" si="5"/>
        <v>--</v>
      </c>
      <c r="K19" s="157">
        <f t="shared" si="6"/>
        <v>1.1000000000000001E-6</v>
      </c>
      <c r="L19" s="181" t="str">
        <f t="shared" si="7"/>
        <v>--</v>
      </c>
      <c r="M19" s="55"/>
      <c r="N19" s="55"/>
      <c r="O19" s="1"/>
      <c r="P19" s="1"/>
      <c r="Q19" s="1"/>
      <c r="R19" s="1"/>
    </row>
    <row r="20" spans="1:18" ht="11.25" customHeight="1">
      <c r="A20" s="153" t="s">
        <v>111</v>
      </c>
      <c r="B20" s="184" t="s">
        <v>112</v>
      </c>
      <c r="C20" s="293">
        <f t="shared" si="8"/>
        <v>5.2142857142857144</v>
      </c>
      <c r="D20" s="506" t="str">
        <f t="shared" si="0"/>
        <v>--</v>
      </c>
      <c r="E20" s="224">
        <f t="shared" si="1"/>
        <v>5.2142857142857144</v>
      </c>
      <c r="F20" s="293">
        <f t="shared" si="9"/>
        <v>21.9</v>
      </c>
      <c r="G20" s="157" t="str">
        <f t="shared" si="2"/>
        <v>--</v>
      </c>
      <c r="H20" s="224">
        <f t="shared" si="3"/>
        <v>21.9</v>
      </c>
      <c r="I20" s="276" t="str">
        <f t="shared" si="4"/>
        <v>V</v>
      </c>
      <c r="J20" s="157" t="str">
        <f t="shared" si="5"/>
        <v>--</v>
      </c>
      <c r="K20" s="157" t="str">
        <f t="shared" si="6"/>
        <v>--</v>
      </c>
      <c r="L20" s="181">
        <f t="shared" si="7"/>
        <v>5</v>
      </c>
      <c r="M20" s="55"/>
      <c r="N20" s="55"/>
      <c r="O20" s="1"/>
      <c r="P20" s="1"/>
      <c r="Q20" s="1"/>
      <c r="R20" s="1"/>
    </row>
    <row r="21" spans="1:18" ht="11.25" customHeight="1">
      <c r="A21" s="153" t="s">
        <v>113</v>
      </c>
      <c r="B21" s="184" t="s">
        <v>114</v>
      </c>
      <c r="C21" s="293" t="str">
        <f t="shared" si="8"/>
        <v>--</v>
      </c>
      <c r="D21" s="506" t="str">
        <f t="shared" si="0"/>
        <v>--</v>
      </c>
      <c r="E21" s="224" t="str">
        <f t="shared" si="1"/>
        <v>--</v>
      </c>
      <c r="F21" s="293" t="str">
        <f t="shared" si="9"/>
        <v>--</v>
      </c>
      <c r="G21" s="157" t="str">
        <f t="shared" si="2"/>
        <v>--</v>
      </c>
      <c r="H21" s="224" t="str">
        <f t="shared" si="3"/>
        <v>--</v>
      </c>
      <c r="I21" s="276" t="str">
        <f t="shared" si="4"/>
        <v>NV</v>
      </c>
      <c r="J21" s="157" t="str">
        <f t="shared" si="5"/>
        <v>--</v>
      </c>
      <c r="K21" s="157">
        <f t="shared" si="6"/>
        <v>4.1999999999999997E-3</v>
      </c>
      <c r="L21" s="181">
        <f t="shared" si="7"/>
        <v>0.01</v>
      </c>
      <c r="M21" s="55"/>
      <c r="N21" s="55"/>
      <c r="O21" s="1"/>
      <c r="P21" s="1"/>
      <c r="Q21" s="1"/>
      <c r="R21" s="1"/>
    </row>
    <row r="22" spans="1:18" ht="11.25" customHeight="1">
      <c r="A22" s="153" t="s">
        <v>116</v>
      </c>
      <c r="B22" s="184" t="s">
        <v>114</v>
      </c>
      <c r="C22" s="293" t="str">
        <f t="shared" si="8"/>
        <v>--</v>
      </c>
      <c r="D22" s="506" t="str">
        <f t="shared" si="0"/>
        <v>--</v>
      </c>
      <c r="E22" s="224" t="str">
        <f t="shared" si="1"/>
        <v>--</v>
      </c>
      <c r="F22" s="293" t="str">
        <f t="shared" si="9"/>
        <v>--</v>
      </c>
      <c r="G22" s="157" t="str">
        <f t="shared" si="2"/>
        <v>--</v>
      </c>
      <c r="H22" s="224" t="str">
        <f t="shared" si="3"/>
        <v>--</v>
      </c>
      <c r="I22" s="276" t="str">
        <f t="shared" si="4"/>
        <v>NV</v>
      </c>
      <c r="J22" s="157" t="str">
        <f t="shared" si="5"/>
        <v>--</v>
      </c>
      <c r="K22" s="157">
        <f t="shared" si="6"/>
        <v>4.1999999999999997E-3</v>
      </c>
      <c r="L22" s="181">
        <f t="shared" si="7"/>
        <v>0.01</v>
      </c>
      <c r="M22" s="55"/>
      <c r="N22" s="55"/>
      <c r="O22" s="1"/>
      <c r="P22" s="1"/>
      <c r="Q22" s="1"/>
      <c r="R22" s="1"/>
    </row>
    <row r="23" spans="1:18" ht="11.25" customHeight="1">
      <c r="A23" s="153" t="s">
        <v>117</v>
      </c>
      <c r="B23" s="184" t="s">
        <v>118</v>
      </c>
      <c r="C23" s="293">
        <f t="shared" si="8"/>
        <v>0.46794871794871784</v>
      </c>
      <c r="D23" s="506">
        <f t="shared" si="0"/>
        <v>0.46794871794871784</v>
      </c>
      <c r="E23" s="224">
        <f t="shared" si="1"/>
        <v>41.714285714285715</v>
      </c>
      <c r="F23" s="293">
        <f t="shared" si="9"/>
        <v>2.0439999999999996</v>
      </c>
      <c r="G23" s="157">
        <f t="shared" si="2"/>
        <v>2.0439999999999996</v>
      </c>
      <c r="H23" s="224">
        <f t="shared" si="3"/>
        <v>175.2</v>
      </c>
      <c r="I23" s="276" t="str">
        <f t="shared" si="4"/>
        <v>V</v>
      </c>
      <c r="J23" s="157" t="str">
        <f t="shared" si="5"/>
        <v>--</v>
      </c>
      <c r="K23" s="157">
        <f t="shared" si="6"/>
        <v>6.0000000000000002E-6</v>
      </c>
      <c r="L23" s="181">
        <f t="shared" si="7"/>
        <v>40</v>
      </c>
      <c r="M23" s="55"/>
      <c r="N23" s="55"/>
      <c r="O23" s="1"/>
      <c r="P23" s="1"/>
      <c r="Q23" s="1"/>
      <c r="R23" s="1"/>
    </row>
    <row r="24" spans="1:18" ht="11.25" customHeight="1">
      <c r="A24" s="153" t="s">
        <v>119</v>
      </c>
      <c r="B24" s="184" t="s">
        <v>120</v>
      </c>
      <c r="C24" s="293">
        <f t="shared" si="8"/>
        <v>2.8076923076923072E-2</v>
      </c>
      <c r="D24" s="506">
        <f t="shared" si="0"/>
        <v>2.8076923076923072E-2</v>
      </c>
      <c r="E24" s="224">
        <f t="shared" si="1"/>
        <v>0.73</v>
      </c>
      <c r="F24" s="293">
        <f t="shared" si="9"/>
        <v>0.12263999999999996</v>
      </c>
      <c r="G24" s="157">
        <f t="shared" si="2"/>
        <v>0.12263999999999996</v>
      </c>
      <c r="H24" s="224">
        <f t="shared" si="3"/>
        <v>3.0659999999999998</v>
      </c>
      <c r="I24" s="276" t="str">
        <f t="shared" si="4"/>
        <v>V</v>
      </c>
      <c r="J24" s="157" t="str">
        <f t="shared" si="5"/>
        <v>--</v>
      </c>
      <c r="K24" s="157">
        <f t="shared" si="6"/>
        <v>1E-4</v>
      </c>
      <c r="L24" s="181">
        <f t="shared" si="7"/>
        <v>0.7</v>
      </c>
      <c r="M24" s="55"/>
      <c r="N24" s="55"/>
      <c r="O24" s="1"/>
      <c r="P24" s="1"/>
      <c r="Q24" s="1"/>
      <c r="R24" s="1"/>
    </row>
    <row r="25" spans="1:18" ht="11.25" customHeight="1">
      <c r="A25" s="153" t="s">
        <v>121</v>
      </c>
      <c r="B25" s="184" t="s">
        <v>122</v>
      </c>
      <c r="C25" s="293" t="str">
        <f t="shared" si="8"/>
        <v>--</v>
      </c>
      <c r="D25" s="506" t="str">
        <f t="shared" si="0"/>
        <v>--</v>
      </c>
      <c r="E25" s="224" t="str">
        <f t="shared" si="1"/>
        <v>--</v>
      </c>
      <c r="F25" s="293" t="str">
        <f t="shared" si="9"/>
        <v>--</v>
      </c>
      <c r="G25" s="157" t="str">
        <f t="shared" si="2"/>
        <v>--</v>
      </c>
      <c r="H25" s="224" t="str">
        <f t="shared" si="3"/>
        <v>--</v>
      </c>
      <c r="I25" s="276" t="str">
        <f t="shared" si="4"/>
        <v>NV</v>
      </c>
      <c r="J25" s="157" t="str">
        <f t="shared" si="5"/>
        <v>--</v>
      </c>
      <c r="K25" s="157" t="str">
        <f t="shared" si="6"/>
        <v>--</v>
      </c>
      <c r="L25" s="181" t="str">
        <f t="shared" si="7"/>
        <v>--</v>
      </c>
      <c r="M25" s="55"/>
      <c r="N25" s="55"/>
      <c r="O25" s="1"/>
      <c r="P25" s="1"/>
      <c r="Q25" s="1"/>
      <c r="R25" s="1"/>
    </row>
    <row r="26" spans="1:18" ht="11.25" customHeight="1">
      <c r="A26" s="153" t="s">
        <v>123</v>
      </c>
      <c r="B26" s="184" t="s">
        <v>124</v>
      </c>
      <c r="C26" s="293">
        <f t="shared" si="8"/>
        <v>52.142857142857146</v>
      </c>
      <c r="D26" s="506" t="str">
        <f t="shared" si="0"/>
        <v>--</v>
      </c>
      <c r="E26" s="224">
        <f t="shared" si="1"/>
        <v>52.142857142857146</v>
      </c>
      <c r="F26" s="293">
        <f t="shared" si="9"/>
        <v>218.99999999999997</v>
      </c>
      <c r="G26" s="157" t="str">
        <f t="shared" si="2"/>
        <v>--</v>
      </c>
      <c r="H26" s="224">
        <f t="shared" si="3"/>
        <v>218.99999999999997</v>
      </c>
      <c r="I26" s="276" t="str">
        <f t="shared" si="4"/>
        <v>V</v>
      </c>
      <c r="J26" s="157" t="str">
        <f t="shared" si="5"/>
        <v>--</v>
      </c>
      <c r="K26" s="157" t="str">
        <f t="shared" si="6"/>
        <v>--</v>
      </c>
      <c r="L26" s="181">
        <f t="shared" si="7"/>
        <v>50</v>
      </c>
      <c r="M26" s="55"/>
      <c r="N26" s="55"/>
      <c r="O26" s="1"/>
      <c r="P26" s="1"/>
      <c r="Q26" s="1"/>
      <c r="R26" s="1"/>
    </row>
    <row r="27" spans="1:18" ht="11.25" customHeight="1">
      <c r="A27" s="153" t="s">
        <v>125</v>
      </c>
      <c r="B27" s="184" t="s">
        <v>126</v>
      </c>
      <c r="C27" s="293">
        <f t="shared" si="8"/>
        <v>4171.4285714285716</v>
      </c>
      <c r="D27" s="506" t="str">
        <f t="shared" si="0"/>
        <v>--</v>
      </c>
      <c r="E27" s="224">
        <f t="shared" si="1"/>
        <v>4171.4285714285716</v>
      </c>
      <c r="F27" s="293">
        <f t="shared" si="9"/>
        <v>17520</v>
      </c>
      <c r="G27" s="157" t="str">
        <f t="shared" si="2"/>
        <v>--</v>
      </c>
      <c r="H27" s="224">
        <f t="shared" si="3"/>
        <v>17520</v>
      </c>
      <c r="I27" s="276" t="str">
        <f t="shared" si="4"/>
        <v>V</v>
      </c>
      <c r="J27" s="157" t="str">
        <f t="shared" si="5"/>
        <v>--</v>
      </c>
      <c r="K27" s="157" t="str">
        <f t="shared" si="6"/>
        <v>--</v>
      </c>
      <c r="L27" s="181">
        <f t="shared" si="7"/>
        <v>4000</v>
      </c>
      <c r="M27" s="55"/>
      <c r="N27" s="55"/>
      <c r="O27" s="1"/>
      <c r="P27" s="1"/>
      <c r="Q27" s="1"/>
      <c r="R27" s="1"/>
    </row>
    <row r="28" spans="1:18" ht="11.25" customHeight="1">
      <c r="A28" s="153" t="s">
        <v>127</v>
      </c>
      <c r="B28" s="184" t="s">
        <v>128</v>
      </c>
      <c r="C28" s="293">
        <f t="shared" si="8"/>
        <v>0.1220735785953177</v>
      </c>
      <c r="D28" s="506">
        <f t="shared" si="0"/>
        <v>0.1220735785953177</v>
      </c>
      <c r="E28" s="224">
        <f t="shared" si="1"/>
        <v>2.0335714285714284</v>
      </c>
      <c r="F28" s="293">
        <f t="shared" si="9"/>
        <v>0.53321739130434775</v>
      </c>
      <c r="G28" s="157">
        <f t="shared" si="2"/>
        <v>0.53321739130434775</v>
      </c>
      <c r="H28" s="224">
        <f t="shared" si="3"/>
        <v>8.5409999999999986</v>
      </c>
      <c r="I28" s="276" t="str">
        <f t="shared" si="4"/>
        <v>V</v>
      </c>
      <c r="J28" s="157" t="str">
        <f t="shared" si="5"/>
        <v>--</v>
      </c>
      <c r="K28" s="157">
        <f t="shared" si="6"/>
        <v>2.3E-5</v>
      </c>
      <c r="L28" s="181">
        <f t="shared" si="7"/>
        <v>1.95</v>
      </c>
      <c r="M28" s="55"/>
      <c r="N28" s="55"/>
      <c r="O28" s="1"/>
      <c r="P28" s="1"/>
      <c r="Q28" s="1"/>
      <c r="R28" s="1"/>
    </row>
    <row r="29" spans="1:18" ht="11.25" customHeight="1">
      <c r="A29" s="153" t="s">
        <v>129</v>
      </c>
      <c r="B29" s="184" t="s">
        <v>130</v>
      </c>
      <c r="C29" s="293">
        <f t="shared" si="8"/>
        <v>93.857142857142861</v>
      </c>
      <c r="D29" s="506" t="str">
        <f t="shared" si="0"/>
        <v>--</v>
      </c>
      <c r="E29" s="224">
        <f t="shared" si="1"/>
        <v>93.857142857142861</v>
      </c>
      <c r="F29" s="293">
        <f t="shared" si="9"/>
        <v>394.2</v>
      </c>
      <c r="G29" s="157" t="str">
        <f t="shared" si="2"/>
        <v>--</v>
      </c>
      <c r="H29" s="224">
        <f t="shared" si="3"/>
        <v>394.2</v>
      </c>
      <c r="I29" s="276" t="str">
        <f t="shared" si="4"/>
        <v>V</v>
      </c>
      <c r="J29" s="157" t="str">
        <f t="shared" si="5"/>
        <v>--</v>
      </c>
      <c r="K29" s="157" t="str">
        <f t="shared" si="6"/>
        <v>--</v>
      </c>
      <c r="L29" s="181">
        <f t="shared" si="7"/>
        <v>90</v>
      </c>
      <c r="M29" s="55"/>
      <c r="N29" s="55"/>
      <c r="O29" s="1"/>
      <c r="P29" s="1"/>
      <c r="Q29" s="1"/>
      <c r="R29" s="1"/>
    </row>
    <row r="30" spans="1:18" ht="11.25" customHeight="1">
      <c r="A30" s="153" t="s">
        <v>131</v>
      </c>
      <c r="B30" s="184" t="s">
        <v>132</v>
      </c>
      <c r="C30" s="293" t="str">
        <f t="shared" si="8"/>
        <v>--</v>
      </c>
      <c r="D30" s="506" t="str">
        <f t="shared" si="0"/>
        <v>--</v>
      </c>
      <c r="E30" s="224" t="str">
        <f t="shared" si="1"/>
        <v>--</v>
      </c>
      <c r="F30" s="293" t="str">
        <f t="shared" si="9"/>
        <v>--</v>
      </c>
      <c r="G30" s="157" t="str">
        <f t="shared" si="2"/>
        <v>--</v>
      </c>
      <c r="H30" s="224" t="str">
        <f t="shared" si="3"/>
        <v>--</v>
      </c>
      <c r="I30" s="276" t="str">
        <f t="shared" si="4"/>
        <v>V</v>
      </c>
      <c r="J30" s="157" t="str">
        <f t="shared" si="5"/>
        <v>--</v>
      </c>
      <c r="K30" s="157" t="str">
        <f t="shared" si="6"/>
        <v>--</v>
      </c>
      <c r="L30" s="181" t="str">
        <f t="shared" si="7"/>
        <v>--</v>
      </c>
      <c r="M30" s="55"/>
      <c r="N30" s="55"/>
      <c r="O30" s="1"/>
      <c r="P30" s="1"/>
      <c r="Q30" s="1"/>
      <c r="R30" s="1"/>
    </row>
    <row r="31" spans="1:18" ht="11.25" customHeight="1">
      <c r="A31" s="153" t="s">
        <v>133</v>
      </c>
      <c r="B31" s="184" t="s">
        <v>134</v>
      </c>
      <c r="C31" s="293" t="str">
        <f t="shared" si="8"/>
        <v>--</v>
      </c>
      <c r="D31" s="506" t="str">
        <f t="shared" si="0"/>
        <v>--</v>
      </c>
      <c r="E31" s="224" t="str">
        <f t="shared" si="1"/>
        <v>--</v>
      </c>
      <c r="F31" s="293" t="str">
        <f t="shared" si="9"/>
        <v>--</v>
      </c>
      <c r="G31" s="157" t="str">
        <f t="shared" si="2"/>
        <v>--</v>
      </c>
      <c r="H31" s="224" t="str">
        <f t="shared" si="3"/>
        <v>--</v>
      </c>
      <c r="I31" s="276" t="str">
        <f t="shared" si="4"/>
        <v>NV</v>
      </c>
      <c r="J31" s="157" t="str">
        <f t="shared" si="5"/>
        <v>--</v>
      </c>
      <c r="K31" s="157" t="str">
        <f t="shared" si="6"/>
        <v>--</v>
      </c>
      <c r="L31" s="181" t="str">
        <f t="shared" si="7"/>
        <v>--</v>
      </c>
      <c r="M31" s="55"/>
      <c r="N31" s="55"/>
      <c r="O31" s="1"/>
      <c r="P31" s="1"/>
      <c r="Q31" s="1"/>
      <c r="R31" s="1"/>
    </row>
    <row r="32" spans="1:18" ht="11.25" customHeight="1">
      <c r="A32" s="153" t="s">
        <v>135</v>
      </c>
      <c r="B32" s="184" t="s">
        <v>136</v>
      </c>
      <c r="C32" s="293" t="str">
        <f t="shared" si="8"/>
        <v>--</v>
      </c>
      <c r="D32" s="506" t="str">
        <f t="shared" si="0"/>
        <v>--</v>
      </c>
      <c r="E32" s="224" t="str">
        <f t="shared" si="1"/>
        <v>--</v>
      </c>
      <c r="F32" s="293" t="str">
        <f t="shared" si="9"/>
        <v>--</v>
      </c>
      <c r="G32" s="157" t="str">
        <f t="shared" si="2"/>
        <v>--</v>
      </c>
      <c r="H32" s="224" t="str">
        <f t="shared" si="3"/>
        <v>--</v>
      </c>
      <c r="I32" s="276" t="str">
        <f t="shared" si="4"/>
        <v>NV</v>
      </c>
      <c r="J32" s="157" t="str">
        <f>VLOOKUP("chromium iii (soluble)",Table_IP_2, MATCH("mut", heading_IP_2, 0), FALSE)</f>
        <v>--</v>
      </c>
      <c r="K32" s="157" t="str">
        <f>VLOOKUP("chromium iii (soluble)",Table_IP_2, MATCH("IUR", heading_IP_2, 0), FALSE)</f>
        <v>--</v>
      </c>
      <c r="L32" s="181">
        <f>VLOOKUP("chromium iii (soluble)",Table_IP_2, MATCH("RfC", heading_IP_2, 0), FALSE)</f>
        <v>0.06</v>
      </c>
      <c r="M32" s="55"/>
      <c r="N32" s="55"/>
      <c r="O32" s="1"/>
      <c r="P32" s="1"/>
      <c r="Q32" s="1"/>
      <c r="R32" s="1"/>
    </row>
    <row r="33" spans="1:18" ht="11.25" customHeight="1">
      <c r="A33" s="153" t="s">
        <v>137</v>
      </c>
      <c r="B33" s="184" t="s">
        <v>138</v>
      </c>
      <c r="C33" s="293" t="str">
        <f t="shared" si="8"/>
        <v>--</v>
      </c>
      <c r="D33" s="506" t="str">
        <f t="shared" si="0"/>
        <v>--</v>
      </c>
      <c r="E33" s="224" t="str">
        <f t="shared" si="1"/>
        <v>--</v>
      </c>
      <c r="F33" s="293" t="str">
        <f t="shared" si="9"/>
        <v>--</v>
      </c>
      <c r="G33" s="157" t="str">
        <f t="shared" si="2"/>
        <v>--</v>
      </c>
      <c r="H33" s="224" t="str">
        <f t="shared" si="3"/>
        <v>--</v>
      </c>
      <c r="I33" s="276" t="str">
        <f t="shared" si="4"/>
        <v>NV</v>
      </c>
      <c r="J33" s="157" t="str">
        <f t="shared" si="5"/>
        <v>Yes</v>
      </c>
      <c r="K33" s="157">
        <f t="shared" si="6"/>
        <v>0.15</v>
      </c>
      <c r="L33" s="181">
        <f t="shared" si="7"/>
        <v>0.03</v>
      </c>
      <c r="M33" s="55"/>
      <c r="N33" s="55"/>
      <c r="O33" s="1"/>
      <c r="P33" s="1"/>
      <c r="Q33" s="1"/>
      <c r="R33" s="1"/>
    </row>
    <row r="34" spans="1:18" ht="11.25" customHeight="1">
      <c r="A34" s="153" t="s">
        <v>139</v>
      </c>
      <c r="B34" s="184" t="s">
        <v>140</v>
      </c>
      <c r="C34" s="293" t="str">
        <f t="shared" si="8"/>
        <v>--</v>
      </c>
      <c r="D34" s="506" t="str">
        <f t="shared" si="0"/>
        <v>--</v>
      </c>
      <c r="E34" s="224" t="str">
        <f t="shared" si="1"/>
        <v>--</v>
      </c>
      <c r="F34" s="293" t="str">
        <f t="shared" si="9"/>
        <v>--</v>
      </c>
      <c r="G34" s="157" t="str">
        <f t="shared" si="2"/>
        <v>--</v>
      </c>
      <c r="H34" s="224" t="str">
        <f t="shared" si="3"/>
        <v>--</v>
      </c>
      <c r="I34" s="276" t="str">
        <f t="shared" si="4"/>
        <v>NV</v>
      </c>
      <c r="J34" s="157" t="str">
        <f t="shared" si="5"/>
        <v>--</v>
      </c>
      <c r="K34" s="157">
        <f t="shared" si="6"/>
        <v>8.9999999999999993E-3</v>
      </c>
      <c r="L34" s="181">
        <f t="shared" si="7"/>
        <v>6.0000000000000001E-3</v>
      </c>
      <c r="M34" s="55"/>
      <c r="N34" s="55"/>
      <c r="O34" s="1"/>
      <c r="P34" s="1"/>
      <c r="Q34" s="1"/>
      <c r="R34" s="1"/>
    </row>
    <row r="35" spans="1:18" ht="11.25" customHeight="1">
      <c r="A35" s="153" t="s">
        <v>141</v>
      </c>
      <c r="B35" s="184" t="s">
        <v>142</v>
      </c>
      <c r="C35" s="293" t="str">
        <f t="shared" si="8"/>
        <v>--</v>
      </c>
      <c r="D35" s="506" t="str">
        <f t="shared" si="0"/>
        <v>--</v>
      </c>
      <c r="E35" s="224" t="str">
        <f t="shared" si="1"/>
        <v>--</v>
      </c>
      <c r="F35" s="293" t="str">
        <f t="shared" si="9"/>
        <v>--</v>
      </c>
      <c r="G35" s="157" t="str">
        <f t="shared" si="2"/>
        <v>--</v>
      </c>
      <c r="H35" s="224" t="str">
        <f t="shared" si="3"/>
        <v>--</v>
      </c>
      <c r="I35" s="276" t="str">
        <f t="shared" si="4"/>
        <v>NV</v>
      </c>
      <c r="J35" s="157" t="str">
        <f t="shared" si="5"/>
        <v>--</v>
      </c>
      <c r="K35" s="157" t="str">
        <f t="shared" si="6"/>
        <v>--</v>
      </c>
      <c r="L35" s="181" t="str">
        <f t="shared" si="7"/>
        <v>--</v>
      </c>
      <c r="M35" s="55"/>
      <c r="N35" s="55"/>
      <c r="O35" s="1"/>
      <c r="P35" s="1"/>
      <c r="Q35" s="1"/>
      <c r="R35" s="1"/>
    </row>
    <row r="36" spans="1:18" ht="11.25" customHeight="1">
      <c r="A36" s="153" t="s">
        <v>143</v>
      </c>
      <c r="B36" s="184" t="s">
        <v>144</v>
      </c>
      <c r="C36" s="293">
        <f t="shared" si="8"/>
        <v>0.8342857142857143</v>
      </c>
      <c r="D36" s="506" t="str">
        <f t="shared" si="0"/>
        <v>--</v>
      </c>
      <c r="E36" s="224">
        <f t="shared" si="1"/>
        <v>0.8342857142857143</v>
      </c>
      <c r="F36" s="293">
        <f t="shared" si="9"/>
        <v>3.5039999999999996</v>
      </c>
      <c r="G36" s="157" t="str">
        <f t="shared" si="2"/>
        <v>--</v>
      </c>
      <c r="H36" s="224">
        <f t="shared" si="3"/>
        <v>3.5039999999999996</v>
      </c>
      <c r="I36" s="276" t="str">
        <f t="shared" si="4"/>
        <v>V</v>
      </c>
      <c r="J36" s="157" t="str">
        <f t="shared" si="5"/>
        <v>--</v>
      </c>
      <c r="K36" s="157" t="str">
        <f t="shared" si="6"/>
        <v>--</v>
      </c>
      <c r="L36" s="181">
        <f t="shared" si="7"/>
        <v>0.8</v>
      </c>
      <c r="M36" s="55"/>
      <c r="N36" s="55"/>
      <c r="O36" s="1"/>
      <c r="P36" s="1"/>
      <c r="Q36" s="1"/>
      <c r="R36" s="1"/>
    </row>
    <row r="37" spans="1:18" ht="11.25" customHeight="1">
      <c r="A37" s="153" t="s">
        <v>145</v>
      </c>
      <c r="B37" s="184" t="s">
        <v>146</v>
      </c>
      <c r="C37" s="293" t="str">
        <f t="shared" si="8"/>
        <v>--</v>
      </c>
      <c r="D37" s="506" t="str">
        <f t="shared" si="0"/>
        <v>--</v>
      </c>
      <c r="E37" s="224" t="str">
        <f t="shared" si="1"/>
        <v>--</v>
      </c>
      <c r="F37" s="293" t="str">
        <f t="shared" si="9"/>
        <v>--</v>
      </c>
      <c r="G37" s="157" t="str">
        <f t="shared" si="2"/>
        <v>--</v>
      </c>
      <c r="H37" s="224" t="str">
        <f t="shared" si="3"/>
        <v>--</v>
      </c>
      <c r="I37" s="276" t="str">
        <f t="shared" si="4"/>
        <v>V</v>
      </c>
      <c r="J37" s="157" t="str">
        <f t="shared" si="5"/>
        <v>--</v>
      </c>
      <c r="K37" s="157" t="str">
        <f t="shared" si="6"/>
        <v>--</v>
      </c>
      <c r="L37" s="181" t="str">
        <f t="shared" si="7"/>
        <v>--</v>
      </c>
      <c r="M37" s="55"/>
      <c r="N37" s="55"/>
      <c r="O37" s="1"/>
      <c r="P37" s="1"/>
      <c r="Q37" s="1"/>
      <c r="R37" s="1"/>
    </row>
    <row r="38" spans="1:18" ht="11.25" customHeight="1">
      <c r="A38" s="153" t="s">
        <v>147</v>
      </c>
      <c r="B38" s="184" t="s">
        <v>148</v>
      </c>
      <c r="C38" s="293">
        <f t="shared" si="8"/>
        <v>1.6898148148148143E-4</v>
      </c>
      <c r="D38" s="506">
        <f t="shared" ref="D38:D69" si="10">IF(I38="NV","--",
IF(K38="--","--",
IF(J38="--",
(TR*LT*365)/(EFr*EDr*K38),
(TR*LT*365)/(TETmadj*K38))))</f>
        <v>1.6898148148148143E-4</v>
      </c>
      <c r="E38" s="224">
        <f t="shared" ref="E38:E69" si="11">IF(I38="NV","--",
IF(L38="--","--",(THQ*EDr*365*L38)/(EFr*EDr)))</f>
        <v>0.20857142857142857</v>
      </c>
      <c r="F38" s="293">
        <f t="shared" si="9"/>
        <v>2.0439999999999994E-3</v>
      </c>
      <c r="G38" s="157">
        <f t="shared" ref="G38:G69" si="12">IF(I38="NV","--",
IF(K38="--","--",(TR*LT*365)/(EFci*EDci*ETw/24*K38)))</f>
        <v>2.0439999999999994E-3</v>
      </c>
      <c r="H38" s="224">
        <f t="shared" ref="H38:H69" si="13">IF(I38="NV", "--",
IF(L38="--","--",(THQ*EDci*365*L38)/(EFci*EDci*ETw/24)))</f>
        <v>0.87599999999999989</v>
      </c>
      <c r="I38" s="276" t="str">
        <f t="shared" ref="I38:I69" si="14">VLOOKUP($A38,Table_IP_1, MATCH("volatility", heading_IP_1, 0), FALSE)</f>
        <v>V</v>
      </c>
      <c r="J38" s="157" t="str">
        <f t="shared" ref="J38:J69" si="15">VLOOKUP($A38,Table_IP_2, MATCH("mut", heading_IP_2, 0), FALSE)</f>
        <v>Yes</v>
      </c>
      <c r="K38" s="157">
        <f t="shared" ref="K38:K69" si="16">VLOOKUP($A38,Table_IP_2, MATCH("IUR", heading_IP_2, 0), FALSE)</f>
        <v>6.0000000000000001E-3</v>
      </c>
      <c r="L38" s="181">
        <f t="shared" ref="L38:L69" si="17">VLOOKUP($A38,Table_IP_2, MATCH("RfC", heading_IP_2, 0), FALSE)</f>
        <v>0.2</v>
      </c>
      <c r="M38" s="55"/>
      <c r="N38" s="55"/>
      <c r="O38" s="1"/>
      <c r="P38" s="1"/>
      <c r="Q38" s="1"/>
      <c r="R38" s="1"/>
    </row>
    <row r="39" spans="1:18" ht="11.25" customHeight="1">
      <c r="A39" s="153" t="s">
        <v>149</v>
      </c>
      <c r="B39" s="184" t="s">
        <v>150</v>
      </c>
      <c r="C39" s="293">
        <f t="shared" si="8"/>
        <v>4.679487179487179E-3</v>
      </c>
      <c r="D39" s="506">
        <f t="shared" si="10"/>
        <v>4.679487179487179E-3</v>
      </c>
      <c r="E39" s="224">
        <f t="shared" si="11"/>
        <v>0.8342857142857143</v>
      </c>
      <c r="F39" s="293">
        <f t="shared" si="9"/>
        <v>2.0439999999999996E-2</v>
      </c>
      <c r="G39" s="157">
        <f t="shared" si="12"/>
        <v>2.0439999999999996E-2</v>
      </c>
      <c r="H39" s="224">
        <f t="shared" si="13"/>
        <v>3.5039999999999996</v>
      </c>
      <c r="I39" s="276" t="str">
        <f t="shared" si="14"/>
        <v>V</v>
      </c>
      <c r="J39" s="157" t="str">
        <f t="shared" si="15"/>
        <v>--</v>
      </c>
      <c r="K39" s="157">
        <f t="shared" si="16"/>
        <v>5.9999999999999995E-4</v>
      </c>
      <c r="L39" s="181">
        <f t="shared" si="17"/>
        <v>0.8</v>
      </c>
      <c r="M39" s="55"/>
      <c r="N39" s="55"/>
      <c r="O39" s="1"/>
      <c r="P39" s="1"/>
      <c r="Q39" s="1"/>
      <c r="R39" s="1"/>
    </row>
    <row r="40" spans="1:18" ht="11.25" customHeight="1">
      <c r="A40" s="153" t="s">
        <v>151</v>
      </c>
      <c r="B40" s="184" t="s">
        <v>152</v>
      </c>
      <c r="C40" s="293">
        <f t="shared" si="8"/>
        <v>208.57142857142858</v>
      </c>
      <c r="D40" s="506" t="str">
        <f t="shared" si="10"/>
        <v>--</v>
      </c>
      <c r="E40" s="224">
        <f t="shared" si="11"/>
        <v>208.57142857142858</v>
      </c>
      <c r="F40" s="293">
        <f t="shared" si="9"/>
        <v>875.99999999999989</v>
      </c>
      <c r="G40" s="157" t="str">
        <f t="shared" si="12"/>
        <v>--</v>
      </c>
      <c r="H40" s="224">
        <f t="shared" si="13"/>
        <v>875.99999999999989</v>
      </c>
      <c r="I40" s="276" t="str">
        <f t="shared" si="14"/>
        <v>V</v>
      </c>
      <c r="J40" s="157" t="str">
        <f t="shared" si="15"/>
        <v>--</v>
      </c>
      <c r="K40" s="157" t="str">
        <f t="shared" si="16"/>
        <v>--</v>
      </c>
      <c r="L40" s="181">
        <f t="shared" si="17"/>
        <v>200</v>
      </c>
      <c r="M40" s="55"/>
      <c r="N40" s="55"/>
      <c r="O40" s="1"/>
      <c r="P40" s="1"/>
      <c r="Q40" s="1"/>
      <c r="R40" s="1"/>
    </row>
    <row r="41" spans="1:18" ht="11.25" customHeight="1">
      <c r="A41" s="153" t="s">
        <v>153</v>
      </c>
      <c r="B41" s="184" t="s">
        <v>154</v>
      </c>
      <c r="C41" s="293">
        <f t="shared" si="8"/>
        <v>0.25524475524475521</v>
      </c>
      <c r="D41" s="506">
        <f t="shared" si="10"/>
        <v>0.25524475524475521</v>
      </c>
      <c r="E41" s="224">
        <f t="shared" si="11"/>
        <v>834.28571428571433</v>
      </c>
      <c r="F41" s="293">
        <f t="shared" si="9"/>
        <v>1.1149090909090906</v>
      </c>
      <c r="G41" s="157">
        <f t="shared" si="12"/>
        <v>1.1149090909090906</v>
      </c>
      <c r="H41" s="224">
        <f t="shared" si="13"/>
        <v>3503.9999999999995</v>
      </c>
      <c r="I41" s="276" t="str">
        <f t="shared" si="14"/>
        <v>V</v>
      </c>
      <c r="J41" s="157" t="str">
        <f t="shared" si="15"/>
        <v>--</v>
      </c>
      <c r="K41" s="157">
        <f t="shared" si="16"/>
        <v>1.1E-5</v>
      </c>
      <c r="L41" s="181">
        <f t="shared" si="17"/>
        <v>800</v>
      </c>
      <c r="M41" s="55"/>
      <c r="N41" s="55"/>
      <c r="O41" s="1"/>
      <c r="P41" s="1"/>
      <c r="Q41" s="1"/>
      <c r="R41" s="1"/>
    </row>
    <row r="42" spans="1:18" ht="11.25" customHeight="1">
      <c r="A42" s="153" t="s">
        <v>155</v>
      </c>
      <c r="B42" s="184" t="s">
        <v>156</v>
      </c>
      <c r="C42" s="293" t="str">
        <f t="shared" si="8"/>
        <v>--</v>
      </c>
      <c r="D42" s="506" t="str">
        <f t="shared" si="10"/>
        <v>--</v>
      </c>
      <c r="E42" s="224" t="str">
        <f t="shared" si="11"/>
        <v>--</v>
      </c>
      <c r="F42" s="293" t="str">
        <f t="shared" si="9"/>
        <v>--</v>
      </c>
      <c r="G42" s="157" t="str">
        <f t="shared" si="12"/>
        <v>--</v>
      </c>
      <c r="H42" s="224" t="str">
        <f t="shared" si="13"/>
        <v>--</v>
      </c>
      <c r="I42" s="276" t="str">
        <f t="shared" si="14"/>
        <v>NV</v>
      </c>
      <c r="J42" s="157" t="str">
        <f t="shared" si="15"/>
        <v>--</v>
      </c>
      <c r="K42" s="157">
        <f t="shared" si="16"/>
        <v>3.4000000000000002E-4</v>
      </c>
      <c r="L42" s="181" t="str">
        <f t="shared" si="17"/>
        <v>--</v>
      </c>
      <c r="M42" s="55"/>
      <c r="N42" s="55"/>
      <c r="O42" s="1"/>
      <c r="P42" s="1"/>
      <c r="Q42" s="1"/>
      <c r="R42" s="1"/>
    </row>
    <row r="43" spans="1:18" ht="11.25" customHeight="1">
      <c r="A43" s="153" t="s">
        <v>157</v>
      </c>
      <c r="B43" s="184" t="s">
        <v>158</v>
      </c>
      <c r="C43" s="293" t="str">
        <f t="shared" si="8"/>
        <v>--</v>
      </c>
      <c r="D43" s="506" t="str">
        <f t="shared" si="10"/>
        <v>--</v>
      </c>
      <c r="E43" s="224" t="str">
        <f t="shared" si="11"/>
        <v>--</v>
      </c>
      <c r="F43" s="293" t="str">
        <f t="shared" si="9"/>
        <v>--</v>
      </c>
      <c r="G43" s="157" t="str">
        <f t="shared" si="12"/>
        <v>--</v>
      </c>
      <c r="H43" s="224" t="str">
        <f t="shared" si="13"/>
        <v>--</v>
      </c>
      <c r="I43" s="276" t="str">
        <f t="shared" si="14"/>
        <v>NV</v>
      </c>
      <c r="J43" s="157" t="str">
        <f t="shared" si="15"/>
        <v>--</v>
      </c>
      <c r="K43" s="157">
        <f t="shared" si="16"/>
        <v>6.8999999999999997E-5</v>
      </c>
      <c r="L43" s="181" t="str">
        <f t="shared" si="17"/>
        <v>--</v>
      </c>
      <c r="M43" s="55"/>
      <c r="N43" s="55"/>
      <c r="O43" s="1"/>
      <c r="P43" s="1"/>
      <c r="Q43" s="1"/>
      <c r="R43" s="1"/>
    </row>
    <row r="44" spans="1:18" ht="11.25" customHeight="1">
      <c r="A44" s="153" t="s">
        <v>159</v>
      </c>
      <c r="B44" s="184" t="s">
        <v>160</v>
      </c>
      <c r="C44" s="293">
        <f t="shared" si="8"/>
        <v>2.8945281522601105E-2</v>
      </c>
      <c r="D44" s="506">
        <f t="shared" si="10"/>
        <v>2.8945281522601105E-2</v>
      </c>
      <c r="E44" s="224" t="str">
        <f t="shared" si="11"/>
        <v>--</v>
      </c>
      <c r="F44" s="293">
        <f t="shared" si="9"/>
        <v>0.12643298969072164</v>
      </c>
      <c r="G44" s="157">
        <f t="shared" si="12"/>
        <v>0.12643298969072164</v>
      </c>
      <c r="H44" s="224" t="str">
        <f t="shared" si="13"/>
        <v>--</v>
      </c>
      <c r="I44" s="276" t="str">
        <f t="shared" si="14"/>
        <v>V</v>
      </c>
      <c r="J44" s="157" t="str">
        <f t="shared" si="15"/>
        <v>--</v>
      </c>
      <c r="K44" s="157">
        <f t="shared" si="16"/>
        <v>9.7E-5</v>
      </c>
      <c r="L44" s="181" t="str">
        <f t="shared" si="17"/>
        <v>--</v>
      </c>
      <c r="M44" s="55"/>
      <c r="N44" s="55"/>
      <c r="O44" s="1"/>
      <c r="P44" s="1"/>
      <c r="Q44" s="1"/>
      <c r="R44" s="1"/>
    </row>
    <row r="45" spans="1:18" ht="11.25" customHeight="1">
      <c r="A45" s="153" t="s">
        <v>161</v>
      </c>
      <c r="B45" s="184" t="s">
        <v>162</v>
      </c>
      <c r="C45" s="293" t="str">
        <f t="shared" si="8"/>
        <v>--</v>
      </c>
      <c r="D45" s="506" t="str">
        <f t="shared" si="10"/>
        <v>--</v>
      </c>
      <c r="E45" s="224" t="str">
        <f t="shared" si="11"/>
        <v>--</v>
      </c>
      <c r="F45" s="293" t="str">
        <f t="shared" si="9"/>
        <v>--</v>
      </c>
      <c r="G45" s="157" t="str">
        <f t="shared" si="12"/>
        <v>--</v>
      </c>
      <c r="H45" s="224" t="str">
        <f t="shared" si="13"/>
        <v>--</v>
      </c>
      <c r="I45" s="276" t="str">
        <f t="shared" si="14"/>
        <v>NV</v>
      </c>
      <c r="J45" s="157" t="str">
        <f t="shared" si="15"/>
        <v>--</v>
      </c>
      <c r="K45" s="157">
        <f t="shared" si="16"/>
        <v>9.7E-5</v>
      </c>
      <c r="L45" s="181" t="str">
        <f t="shared" si="17"/>
        <v>--</v>
      </c>
      <c r="M45" s="55"/>
      <c r="N45" s="55"/>
      <c r="O45" s="1"/>
      <c r="P45" s="1"/>
      <c r="Q45" s="1"/>
      <c r="R45" s="1"/>
    </row>
    <row r="46" spans="1:18" ht="11.25" customHeight="1">
      <c r="A46" s="153" t="s">
        <v>163</v>
      </c>
      <c r="B46" s="184" t="s">
        <v>164</v>
      </c>
      <c r="C46" s="293">
        <f t="shared" si="8"/>
        <v>1.7548076923076921</v>
      </c>
      <c r="D46" s="506">
        <f t="shared" si="10"/>
        <v>1.7548076923076921</v>
      </c>
      <c r="E46" s="224" t="str">
        <f t="shared" si="11"/>
        <v>--</v>
      </c>
      <c r="F46" s="293">
        <f t="shared" si="9"/>
        <v>7.6649999999999983</v>
      </c>
      <c r="G46" s="157">
        <f t="shared" si="12"/>
        <v>7.6649999999999983</v>
      </c>
      <c r="H46" s="224" t="str">
        <f t="shared" si="13"/>
        <v>--</v>
      </c>
      <c r="I46" s="276" t="str">
        <f t="shared" si="14"/>
        <v>V</v>
      </c>
      <c r="J46" s="157" t="str">
        <f t="shared" si="15"/>
        <v>--</v>
      </c>
      <c r="K46" s="157">
        <f t="shared" si="16"/>
        <v>1.5999999999999999E-6</v>
      </c>
      <c r="L46" s="181" t="str">
        <f t="shared" si="17"/>
        <v>--</v>
      </c>
      <c r="M46" s="55"/>
      <c r="N46" s="55"/>
      <c r="O46" s="1"/>
      <c r="P46" s="1"/>
      <c r="Q46" s="1"/>
      <c r="R46" s="1"/>
    </row>
    <row r="47" spans="1:18" ht="11.25" customHeight="1">
      <c r="A47" s="153" t="s">
        <v>165</v>
      </c>
      <c r="B47" s="184" t="s">
        <v>166</v>
      </c>
      <c r="C47" s="293">
        <f t="shared" si="8"/>
        <v>0.10798816568047337</v>
      </c>
      <c r="D47" s="506">
        <f t="shared" si="10"/>
        <v>0.10798816568047337</v>
      </c>
      <c r="E47" s="224">
        <f t="shared" si="11"/>
        <v>7.3</v>
      </c>
      <c r="F47" s="293">
        <f t="shared" si="9"/>
        <v>0.47169230769230763</v>
      </c>
      <c r="G47" s="157">
        <f t="shared" si="12"/>
        <v>0.47169230769230763</v>
      </c>
      <c r="H47" s="224">
        <f t="shared" si="13"/>
        <v>30.659999999999997</v>
      </c>
      <c r="I47" s="276" t="str">
        <f t="shared" si="14"/>
        <v>V</v>
      </c>
      <c r="J47" s="157" t="str">
        <f t="shared" si="15"/>
        <v>--</v>
      </c>
      <c r="K47" s="157">
        <f t="shared" si="16"/>
        <v>2.5999999999999998E-5</v>
      </c>
      <c r="L47" s="181">
        <f t="shared" si="17"/>
        <v>7</v>
      </c>
      <c r="M47" s="55"/>
      <c r="N47" s="55"/>
      <c r="O47" s="1"/>
      <c r="P47" s="1"/>
      <c r="Q47" s="1"/>
      <c r="R47" s="1"/>
    </row>
    <row r="48" spans="1:18" ht="11.25" customHeight="1">
      <c r="A48" s="153" t="s">
        <v>167</v>
      </c>
      <c r="B48" s="184" t="s">
        <v>168</v>
      </c>
      <c r="C48" s="293">
        <f t="shared" si="8"/>
        <v>4.1297142857142859</v>
      </c>
      <c r="D48" s="506" t="str">
        <f t="shared" si="10"/>
        <v>--</v>
      </c>
      <c r="E48" s="224">
        <f t="shared" si="11"/>
        <v>4.1297142857142859</v>
      </c>
      <c r="F48" s="293">
        <f t="shared" si="9"/>
        <v>17.344799999999999</v>
      </c>
      <c r="G48" s="157" t="str">
        <f t="shared" si="12"/>
        <v>--</v>
      </c>
      <c r="H48" s="224">
        <f t="shared" si="13"/>
        <v>17.344799999999999</v>
      </c>
      <c r="I48" s="276" t="str">
        <f t="shared" si="14"/>
        <v>V</v>
      </c>
      <c r="J48" s="157" t="str">
        <f t="shared" si="15"/>
        <v>--</v>
      </c>
      <c r="K48" s="157" t="str">
        <f t="shared" si="16"/>
        <v>--</v>
      </c>
      <c r="L48" s="181">
        <f t="shared" si="17"/>
        <v>3.96</v>
      </c>
      <c r="M48" s="55"/>
      <c r="N48" s="55"/>
      <c r="O48" s="1"/>
      <c r="P48" s="1"/>
      <c r="Q48" s="1"/>
      <c r="R48" s="1"/>
    </row>
    <row r="49" spans="1:18" ht="11.25" customHeight="1">
      <c r="A49" s="153" t="s">
        <v>169</v>
      </c>
      <c r="B49" s="184" t="s">
        <v>170</v>
      </c>
      <c r="C49" s="293">
        <f t="shared" si="8"/>
        <v>41.714285714285715</v>
      </c>
      <c r="D49" s="506" t="str">
        <f t="shared" si="10"/>
        <v>--</v>
      </c>
      <c r="E49" s="224">
        <f t="shared" si="11"/>
        <v>41.714285714285715</v>
      </c>
      <c r="F49" s="293">
        <f t="shared" si="9"/>
        <v>175.2</v>
      </c>
      <c r="G49" s="157" t="str">
        <f t="shared" si="12"/>
        <v>--</v>
      </c>
      <c r="H49" s="224">
        <f t="shared" si="13"/>
        <v>175.2</v>
      </c>
      <c r="I49" s="276" t="str">
        <f t="shared" si="14"/>
        <v>V</v>
      </c>
      <c r="J49" s="157" t="str">
        <f t="shared" si="15"/>
        <v>--</v>
      </c>
      <c r="K49" s="157" t="str">
        <f t="shared" si="16"/>
        <v>--</v>
      </c>
      <c r="L49" s="181">
        <f t="shared" si="17"/>
        <v>40</v>
      </c>
      <c r="M49" s="55"/>
      <c r="N49" s="55"/>
      <c r="O49" s="1"/>
      <c r="P49" s="1"/>
      <c r="Q49" s="1"/>
      <c r="R49" s="1"/>
    </row>
    <row r="50" spans="1:18" ht="11.25" customHeight="1">
      <c r="A50" s="153" t="s">
        <v>171</v>
      </c>
      <c r="B50" s="184" t="s">
        <v>172</v>
      </c>
      <c r="C50" s="293">
        <f t="shared" si="8"/>
        <v>41.714285714285715</v>
      </c>
      <c r="D50" s="506" t="str">
        <f t="shared" si="10"/>
        <v>--</v>
      </c>
      <c r="E50" s="224">
        <f t="shared" si="11"/>
        <v>41.714285714285715</v>
      </c>
      <c r="F50" s="293">
        <f t="shared" si="9"/>
        <v>175.2</v>
      </c>
      <c r="G50" s="157" t="str">
        <f t="shared" si="12"/>
        <v>--</v>
      </c>
      <c r="H50" s="224">
        <f t="shared" si="13"/>
        <v>175.2</v>
      </c>
      <c r="I50" s="276" t="str">
        <f t="shared" si="14"/>
        <v>V</v>
      </c>
      <c r="J50" s="157" t="str">
        <f t="shared" si="15"/>
        <v>--</v>
      </c>
      <c r="K50" s="157" t="str">
        <f t="shared" si="16"/>
        <v>--</v>
      </c>
      <c r="L50" s="181">
        <f t="shared" si="17"/>
        <v>40</v>
      </c>
      <c r="M50" s="55"/>
      <c r="N50" s="55"/>
      <c r="O50" s="1"/>
      <c r="P50" s="1"/>
      <c r="Q50" s="1"/>
      <c r="R50" s="1"/>
    </row>
    <row r="51" spans="1:18" ht="11.25" customHeight="1">
      <c r="A51" s="153" t="s">
        <v>173</v>
      </c>
      <c r="B51" s="184" t="s">
        <v>174</v>
      </c>
      <c r="C51" s="293" t="str">
        <f t="shared" si="8"/>
        <v>--</v>
      </c>
      <c r="D51" s="506" t="str">
        <f t="shared" si="10"/>
        <v>--</v>
      </c>
      <c r="E51" s="224" t="str">
        <f t="shared" si="11"/>
        <v>--</v>
      </c>
      <c r="F51" s="293" t="str">
        <f t="shared" si="9"/>
        <v>--</v>
      </c>
      <c r="G51" s="157" t="str">
        <f t="shared" si="12"/>
        <v>--</v>
      </c>
      <c r="H51" s="224" t="str">
        <f t="shared" si="13"/>
        <v>--</v>
      </c>
      <c r="I51" s="276" t="str">
        <f t="shared" si="14"/>
        <v>NV</v>
      </c>
      <c r="J51" s="157" t="str">
        <f t="shared" si="15"/>
        <v>--</v>
      </c>
      <c r="K51" s="157" t="str">
        <f t="shared" si="16"/>
        <v>--</v>
      </c>
      <c r="L51" s="181" t="str">
        <f t="shared" si="17"/>
        <v>--</v>
      </c>
      <c r="M51" s="55"/>
      <c r="N51" s="55"/>
      <c r="O51" s="1"/>
      <c r="P51" s="1"/>
      <c r="Q51" s="1"/>
      <c r="R51" s="1"/>
    </row>
    <row r="52" spans="1:18" ht="11.25" customHeight="1">
      <c r="A52" s="153" t="s">
        <v>175</v>
      </c>
      <c r="B52" s="184" t="s">
        <v>176</v>
      </c>
      <c r="C52" s="293">
        <f t="shared" si="8"/>
        <v>0.75883575883575871</v>
      </c>
      <c r="D52" s="506">
        <f t="shared" si="10"/>
        <v>0.75883575883575871</v>
      </c>
      <c r="E52" s="224">
        <f t="shared" si="11"/>
        <v>4.1714285714285717</v>
      </c>
      <c r="F52" s="293">
        <f t="shared" si="9"/>
        <v>3.3145945945945936</v>
      </c>
      <c r="G52" s="157">
        <f t="shared" si="12"/>
        <v>3.3145945945945936</v>
      </c>
      <c r="H52" s="224">
        <f t="shared" si="13"/>
        <v>17.52</v>
      </c>
      <c r="I52" s="276" t="str">
        <f t="shared" si="14"/>
        <v>V</v>
      </c>
      <c r="J52" s="157" t="str">
        <f t="shared" si="15"/>
        <v>--</v>
      </c>
      <c r="K52" s="157">
        <f t="shared" si="16"/>
        <v>3.7000000000000002E-6</v>
      </c>
      <c r="L52" s="181">
        <f t="shared" si="17"/>
        <v>4</v>
      </c>
      <c r="M52" s="55"/>
      <c r="N52" s="55"/>
      <c r="O52" s="1"/>
      <c r="P52" s="1"/>
      <c r="Q52" s="1"/>
      <c r="R52" s="1"/>
    </row>
    <row r="53" spans="1:18" ht="11.25" customHeight="1">
      <c r="A53" s="153" t="s">
        <v>177</v>
      </c>
      <c r="B53" s="184" t="s">
        <v>178</v>
      </c>
      <c r="C53" s="293">
        <f t="shared" si="8"/>
        <v>0.70192307692307676</v>
      </c>
      <c r="D53" s="506">
        <f t="shared" si="10"/>
        <v>0.70192307692307676</v>
      </c>
      <c r="E53" s="224">
        <f t="shared" si="11"/>
        <v>20.857142857142858</v>
      </c>
      <c r="F53" s="293">
        <f t="shared" si="9"/>
        <v>3.0659999999999994</v>
      </c>
      <c r="G53" s="157">
        <f t="shared" si="12"/>
        <v>3.0659999999999994</v>
      </c>
      <c r="H53" s="224">
        <f t="shared" si="13"/>
        <v>87.6</v>
      </c>
      <c r="I53" s="276" t="str">
        <f t="shared" si="14"/>
        <v>V</v>
      </c>
      <c r="J53" s="157" t="str">
        <f t="shared" si="15"/>
        <v>--</v>
      </c>
      <c r="K53" s="157">
        <f t="shared" si="16"/>
        <v>3.9999999999999998E-6</v>
      </c>
      <c r="L53" s="181">
        <f t="shared" si="17"/>
        <v>20</v>
      </c>
      <c r="M53" s="55"/>
      <c r="N53" s="55"/>
      <c r="O53" s="1"/>
      <c r="P53" s="1"/>
      <c r="Q53" s="1"/>
      <c r="R53" s="1"/>
    </row>
    <row r="54" spans="1:18" ht="11.25" customHeight="1">
      <c r="A54" s="153" t="s">
        <v>179</v>
      </c>
      <c r="B54" s="184" t="s">
        <v>180</v>
      </c>
      <c r="C54" s="293" t="str">
        <f t="shared" si="8"/>
        <v>--</v>
      </c>
      <c r="D54" s="506" t="str">
        <f t="shared" si="10"/>
        <v>--</v>
      </c>
      <c r="E54" s="224" t="str">
        <f t="shared" si="11"/>
        <v>--</v>
      </c>
      <c r="F54" s="293" t="str">
        <f t="shared" si="9"/>
        <v>--</v>
      </c>
      <c r="G54" s="157" t="str">
        <f t="shared" si="12"/>
        <v>--</v>
      </c>
      <c r="H54" s="224" t="str">
        <f t="shared" si="13"/>
        <v>--</v>
      </c>
      <c r="I54" s="276" t="str">
        <f t="shared" si="14"/>
        <v>NV</v>
      </c>
      <c r="J54" s="157" t="str">
        <f t="shared" si="15"/>
        <v>--</v>
      </c>
      <c r="K54" s="157">
        <f t="shared" si="16"/>
        <v>4.5999999999999999E-3</v>
      </c>
      <c r="L54" s="181" t="str">
        <f t="shared" si="17"/>
        <v>--</v>
      </c>
      <c r="M54" s="55"/>
      <c r="N54" s="55"/>
      <c r="O54" s="1"/>
      <c r="P54" s="1"/>
      <c r="Q54" s="1"/>
      <c r="R54" s="1"/>
    </row>
    <row r="55" spans="1:18" ht="11.25" customHeight="1">
      <c r="A55" s="153" t="s">
        <v>181</v>
      </c>
      <c r="B55" s="184" t="s">
        <v>182</v>
      </c>
      <c r="C55" s="293" t="str">
        <f t="shared" si="8"/>
        <v>--</v>
      </c>
      <c r="D55" s="506" t="str">
        <f t="shared" si="10"/>
        <v>--</v>
      </c>
      <c r="E55" s="224" t="str">
        <f t="shared" si="11"/>
        <v>--</v>
      </c>
      <c r="F55" s="293" t="str">
        <f t="shared" si="9"/>
        <v>--</v>
      </c>
      <c r="G55" s="157" t="str">
        <f t="shared" si="12"/>
        <v>--</v>
      </c>
      <c r="H55" s="224" t="str">
        <f t="shared" si="13"/>
        <v>--</v>
      </c>
      <c r="I55" s="276" t="str">
        <f t="shared" si="14"/>
        <v>NV</v>
      </c>
      <c r="J55" s="157" t="str">
        <f t="shared" si="15"/>
        <v>--</v>
      </c>
      <c r="K55" s="157" t="str">
        <f t="shared" si="16"/>
        <v>--</v>
      </c>
      <c r="L55" s="181" t="str">
        <f t="shared" si="17"/>
        <v>--</v>
      </c>
      <c r="M55" s="55"/>
      <c r="N55" s="55"/>
      <c r="O55" s="1"/>
      <c r="P55" s="1"/>
      <c r="Q55" s="1"/>
      <c r="R55" s="1"/>
    </row>
    <row r="56" spans="1:18" ht="11.25" customHeight="1">
      <c r="A56" s="153" t="s">
        <v>183</v>
      </c>
      <c r="B56" s="184" t="s">
        <v>184</v>
      </c>
      <c r="C56" s="293" t="str">
        <f t="shared" si="8"/>
        <v>--</v>
      </c>
      <c r="D56" s="506" t="str">
        <f t="shared" si="10"/>
        <v>--</v>
      </c>
      <c r="E56" s="224" t="str">
        <f t="shared" si="11"/>
        <v>--</v>
      </c>
      <c r="F56" s="293" t="str">
        <f t="shared" si="9"/>
        <v>--</v>
      </c>
      <c r="G56" s="157" t="str">
        <f t="shared" si="12"/>
        <v>--</v>
      </c>
      <c r="H56" s="224" t="str">
        <f t="shared" si="13"/>
        <v>--</v>
      </c>
      <c r="I56" s="276" t="str">
        <f t="shared" si="14"/>
        <v>NV</v>
      </c>
      <c r="J56" s="157" t="str">
        <f t="shared" si="15"/>
        <v>--</v>
      </c>
      <c r="K56" s="157" t="str">
        <f t="shared" si="16"/>
        <v>--</v>
      </c>
      <c r="L56" s="181" t="str">
        <f t="shared" si="17"/>
        <v>--</v>
      </c>
      <c r="M56" s="55"/>
      <c r="N56" s="55"/>
      <c r="O56" s="1"/>
      <c r="P56" s="1"/>
      <c r="Q56" s="1"/>
      <c r="R56" s="1"/>
    </row>
    <row r="57" spans="1:18" ht="11.25" customHeight="1">
      <c r="A57" s="153" t="s">
        <v>185</v>
      </c>
      <c r="B57" s="184" t="s">
        <v>186</v>
      </c>
      <c r="C57" s="293" t="str">
        <f t="shared" si="8"/>
        <v>--</v>
      </c>
      <c r="D57" s="506" t="str">
        <f t="shared" si="10"/>
        <v>--</v>
      </c>
      <c r="E57" s="224" t="str">
        <f t="shared" si="11"/>
        <v>--</v>
      </c>
      <c r="F57" s="293" t="str">
        <f t="shared" si="9"/>
        <v>--</v>
      </c>
      <c r="G57" s="157" t="str">
        <f t="shared" si="12"/>
        <v>--</v>
      </c>
      <c r="H57" s="224" t="str">
        <f t="shared" si="13"/>
        <v>--</v>
      </c>
      <c r="I57" s="276" t="str">
        <f t="shared" si="14"/>
        <v>NV</v>
      </c>
      <c r="J57" s="157" t="str">
        <f t="shared" si="15"/>
        <v>--</v>
      </c>
      <c r="K57" s="157" t="str">
        <f t="shared" si="16"/>
        <v>--</v>
      </c>
      <c r="L57" s="181" t="str">
        <f t="shared" si="17"/>
        <v>--</v>
      </c>
      <c r="M57" s="55"/>
      <c r="N57" s="55"/>
      <c r="O57" s="1"/>
      <c r="P57" s="1"/>
      <c r="Q57" s="1"/>
      <c r="R57" s="1"/>
    </row>
    <row r="58" spans="1:18" ht="11.25" customHeight="1">
      <c r="A58" s="153" t="s">
        <v>187</v>
      </c>
      <c r="B58" s="184" t="s">
        <v>188</v>
      </c>
      <c r="C58" s="293" t="str">
        <f t="shared" si="8"/>
        <v>--</v>
      </c>
      <c r="D58" s="506" t="str">
        <f t="shared" si="10"/>
        <v>--</v>
      </c>
      <c r="E58" s="224" t="str">
        <f t="shared" si="11"/>
        <v>--</v>
      </c>
      <c r="F58" s="293" t="str">
        <f t="shared" si="9"/>
        <v>--</v>
      </c>
      <c r="G58" s="157" t="str">
        <f t="shared" si="12"/>
        <v>--</v>
      </c>
      <c r="H58" s="224" t="str">
        <f t="shared" si="13"/>
        <v>--</v>
      </c>
      <c r="I58" s="276" t="str">
        <f t="shared" si="14"/>
        <v>NV</v>
      </c>
      <c r="J58" s="157" t="str">
        <f t="shared" si="15"/>
        <v>--</v>
      </c>
      <c r="K58" s="157">
        <f t="shared" si="16"/>
        <v>8.8999999999999995E-5</v>
      </c>
      <c r="L58" s="181" t="str">
        <f t="shared" si="17"/>
        <v>--</v>
      </c>
      <c r="M58" s="55"/>
      <c r="N58" s="55"/>
      <c r="O58" s="1"/>
      <c r="P58" s="1"/>
      <c r="Q58" s="1"/>
      <c r="R58" s="1"/>
    </row>
    <row r="59" spans="1:18" ht="11.25" customHeight="1">
      <c r="A59" s="153" t="s">
        <v>189</v>
      </c>
      <c r="B59" s="184" t="s">
        <v>190</v>
      </c>
      <c r="C59" s="293">
        <f t="shared" si="8"/>
        <v>0.56153846153846143</v>
      </c>
      <c r="D59" s="506">
        <f t="shared" si="10"/>
        <v>0.56153846153846143</v>
      </c>
      <c r="E59" s="224">
        <f t="shared" si="11"/>
        <v>31.285714285714285</v>
      </c>
      <c r="F59" s="293">
        <f t="shared" si="9"/>
        <v>2.4527999999999994</v>
      </c>
      <c r="G59" s="157">
        <f t="shared" si="12"/>
        <v>2.4527999999999994</v>
      </c>
      <c r="H59" s="224">
        <f t="shared" si="13"/>
        <v>131.39999999999998</v>
      </c>
      <c r="I59" s="276" t="str">
        <f t="shared" si="14"/>
        <v>V</v>
      </c>
      <c r="J59" s="157" t="str">
        <f t="shared" si="15"/>
        <v>--</v>
      </c>
      <c r="K59" s="157">
        <f t="shared" si="16"/>
        <v>5.0000000000000004E-6</v>
      </c>
      <c r="L59" s="181">
        <f t="shared" si="17"/>
        <v>30</v>
      </c>
      <c r="M59" s="55"/>
      <c r="N59" s="55"/>
      <c r="O59" s="1"/>
      <c r="P59" s="1"/>
      <c r="Q59" s="1"/>
      <c r="R59" s="1"/>
    </row>
    <row r="60" spans="1:18" ht="11.25" customHeight="1">
      <c r="A60" s="153" t="s">
        <v>191</v>
      </c>
      <c r="B60" s="184" t="s">
        <v>192</v>
      </c>
      <c r="C60" s="293">
        <f t="shared" si="8"/>
        <v>7.3886639676113351E-8</v>
      </c>
      <c r="D60" s="506">
        <f t="shared" si="10"/>
        <v>7.3886639676113351E-8</v>
      </c>
      <c r="E60" s="224">
        <f t="shared" si="11"/>
        <v>4.1714285714285721E-5</v>
      </c>
      <c r="F60" s="293">
        <f t="shared" si="9"/>
        <v>3.2273684210526308E-7</v>
      </c>
      <c r="G60" s="157">
        <f t="shared" si="12"/>
        <v>3.2273684210526308E-7</v>
      </c>
      <c r="H60" s="224">
        <f t="shared" si="13"/>
        <v>1.752E-4</v>
      </c>
      <c r="I60" s="276" t="str">
        <f t="shared" si="14"/>
        <v>V</v>
      </c>
      <c r="J60" s="157" t="str">
        <f t="shared" si="15"/>
        <v>--</v>
      </c>
      <c r="K60" s="157">
        <f t="shared" si="16"/>
        <v>38</v>
      </c>
      <c r="L60" s="181">
        <f t="shared" si="17"/>
        <v>4.0000000000000003E-5</v>
      </c>
      <c r="M60" s="55"/>
      <c r="N60" s="55"/>
      <c r="O60" s="1"/>
      <c r="P60" s="1"/>
      <c r="Q60" s="1"/>
      <c r="R60" s="1"/>
    </row>
    <row r="61" spans="1:18" ht="11.25" customHeight="1">
      <c r="A61" s="153" t="s">
        <v>193</v>
      </c>
      <c r="B61" s="184" t="s">
        <v>194</v>
      </c>
      <c r="C61" s="293" t="str">
        <f t="shared" si="8"/>
        <v>--</v>
      </c>
      <c r="D61" s="506" t="str">
        <f t="shared" si="10"/>
        <v>--</v>
      </c>
      <c r="E61" s="224" t="str">
        <f t="shared" si="11"/>
        <v>--</v>
      </c>
      <c r="F61" s="293" t="str">
        <f t="shared" si="9"/>
        <v>--</v>
      </c>
      <c r="G61" s="157" t="str">
        <f t="shared" si="12"/>
        <v>--</v>
      </c>
      <c r="H61" s="224" t="str">
        <f t="shared" si="13"/>
        <v>--</v>
      </c>
      <c r="I61" s="276" t="str">
        <f t="shared" si="14"/>
        <v>V</v>
      </c>
      <c r="J61" s="157" t="str">
        <f t="shared" si="15"/>
        <v>--</v>
      </c>
      <c r="K61" s="157" t="str">
        <f t="shared" si="16"/>
        <v>--</v>
      </c>
      <c r="L61" s="181" t="str">
        <f t="shared" si="17"/>
        <v>--</v>
      </c>
      <c r="M61" s="55"/>
      <c r="N61" s="55"/>
      <c r="O61" s="1"/>
      <c r="P61" s="1"/>
      <c r="Q61" s="1"/>
      <c r="R61" s="1"/>
    </row>
    <row r="62" spans="1:18" ht="11.25" customHeight="1">
      <c r="A62" s="153" t="s">
        <v>195</v>
      </c>
      <c r="B62" s="184" t="s">
        <v>196</v>
      </c>
      <c r="C62" s="293" t="str">
        <f t="shared" si="8"/>
        <v>--</v>
      </c>
      <c r="D62" s="506" t="str">
        <f t="shared" si="10"/>
        <v>--</v>
      </c>
      <c r="E62" s="224" t="str">
        <f t="shared" si="11"/>
        <v>--</v>
      </c>
      <c r="F62" s="293" t="str">
        <f t="shared" si="9"/>
        <v>--</v>
      </c>
      <c r="G62" s="157" t="str">
        <f t="shared" si="12"/>
        <v>--</v>
      </c>
      <c r="H62" s="224" t="str">
        <f t="shared" si="13"/>
        <v>--</v>
      </c>
      <c r="I62" s="276" t="str">
        <f t="shared" si="14"/>
        <v>NV</v>
      </c>
      <c r="J62" s="157" t="str">
        <f t="shared" si="15"/>
        <v>--</v>
      </c>
      <c r="K62" s="157" t="str">
        <f t="shared" si="16"/>
        <v>--</v>
      </c>
      <c r="L62" s="181" t="str">
        <f t="shared" si="17"/>
        <v>--</v>
      </c>
      <c r="M62" s="55"/>
      <c r="N62" s="55"/>
      <c r="O62" s="1"/>
      <c r="P62" s="1"/>
      <c r="Q62" s="1"/>
      <c r="R62" s="1"/>
    </row>
    <row r="63" spans="1:18" ht="11.25" customHeight="1">
      <c r="A63" s="153" t="s">
        <v>197</v>
      </c>
      <c r="B63" s="184" t="s">
        <v>198</v>
      </c>
      <c r="C63" s="293">
        <f t="shared" si="8"/>
        <v>1.1230769230769229</v>
      </c>
      <c r="D63" s="506">
        <f t="shared" si="10"/>
        <v>1.1230769230769229</v>
      </c>
      <c r="E63" s="224">
        <f t="shared" si="11"/>
        <v>1042.8571428571429</v>
      </c>
      <c r="F63" s="293">
        <f t="shared" si="9"/>
        <v>4.9055999999999989</v>
      </c>
      <c r="G63" s="157">
        <f t="shared" si="12"/>
        <v>4.9055999999999989</v>
      </c>
      <c r="H63" s="224">
        <f t="shared" si="13"/>
        <v>4380</v>
      </c>
      <c r="I63" s="276" t="str">
        <f t="shared" si="14"/>
        <v>V</v>
      </c>
      <c r="J63" s="157" t="str">
        <f t="shared" si="15"/>
        <v>--</v>
      </c>
      <c r="K63" s="157">
        <f t="shared" si="16"/>
        <v>2.5000000000000002E-6</v>
      </c>
      <c r="L63" s="181">
        <f t="shared" si="17"/>
        <v>1000</v>
      </c>
      <c r="M63" s="55"/>
      <c r="N63" s="55"/>
      <c r="O63" s="1"/>
      <c r="P63" s="1"/>
      <c r="Q63" s="1"/>
      <c r="R63" s="1"/>
    </row>
    <row r="64" spans="1:18" ht="11.25" customHeight="1">
      <c r="A64" s="153" t="s">
        <v>199</v>
      </c>
      <c r="B64" s="184" t="s">
        <v>200</v>
      </c>
      <c r="C64" s="293">
        <f t="shared" si="8"/>
        <v>2.1597633136094673E-3</v>
      </c>
      <c r="D64" s="506">
        <f t="shared" si="10"/>
        <v>2.1597633136094673E-3</v>
      </c>
      <c r="E64" s="224" t="str">
        <f t="shared" si="11"/>
        <v>--</v>
      </c>
      <c r="F64" s="293">
        <f t="shared" si="9"/>
        <v>9.433846153846152E-3</v>
      </c>
      <c r="G64" s="157">
        <f t="shared" si="12"/>
        <v>9.433846153846152E-3</v>
      </c>
      <c r="H64" s="224" t="str">
        <f t="shared" si="13"/>
        <v>--</v>
      </c>
      <c r="I64" s="276" t="str">
        <f t="shared" si="14"/>
        <v>V</v>
      </c>
      <c r="J64" s="157" t="str">
        <f t="shared" si="15"/>
        <v>--</v>
      </c>
      <c r="K64" s="157">
        <f t="shared" si="16"/>
        <v>1.2999999999999999E-3</v>
      </c>
      <c r="L64" s="181" t="str">
        <f t="shared" si="17"/>
        <v>--</v>
      </c>
      <c r="M64" s="55"/>
      <c r="N64" s="55"/>
      <c r="O64" s="1"/>
      <c r="P64" s="1"/>
      <c r="Q64" s="1"/>
      <c r="R64" s="1"/>
    </row>
    <row r="65" spans="1:18" ht="11.25" customHeight="1">
      <c r="A65" s="153" t="s">
        <v>201</v>
      </c>
      <c r="B65" s="184" t="s">
        <v>202</v>
      </c>
      <c r="C65" s="293">
        <f t="shared" si="8"/>
        <v>1.0798816568047336E-3</v>
      </c>
      <c r="D65" s="506">
        <f t="shared" si="10"/>
        <v>1.0798816568047336E-3</v>
      </c>
      <c r="E65" s="224" t="str">
        <f t="shared" si="11"/>
        <v>--</v>
      </c>
      <c r="F65" s="293">
        <f t="shared" si="9"/>
        <v>4.716923076923076E-3</v>
      </c>
      <c r="G65" s="157">
        <f t="shared" si="12"/>
        <v>4.716923076923076E-3</v>
      </c>
      <c r="H65" s="224" t="str">
        <f t="shared" si="13"/>
        <v>--</v>
      </c>
      <c r="I65" s="276" t="str">
        <f t="shared" si="14"/>
        <v>V</v>
      </c>
      <c r="J65" s="157" t="str">
        <f t="shared" si="15"/>
        <v>--</v>
      </c>
      <c r="K65" s="157">
        <f t="shared" si="16"/>
        <v>2.5999999999999999E-3</v>
      </c>
      <c r="L65" s="181" t="str">
        <f t="shared" si="17"/>
        <v>--</v>
      </c>
      <c r="M65" s="55"/>
      <c r="N65" s="55"/>
      <c r="O65" s="1"/>
      <c r="P65" s="1"/>
      <c r="Q65" s="1"/>
      <c r="R65" s="1"/>
    </row>
    <row r="66" spans="1:18" ht="11.25" customHeight="1">
      <c r="A66" s="153" t="s">
        <v>203</v>
      </c>
      <c r="B66" s="184" t="s">
        <v>204</v>
      </c>
      <c r="C66" s="293">
        <f t="shared" si="8"/>
        <v>5.5052790346907989E-3</v>
      </c>
      <c r="D66" s="506">
        <f t="shared" si="10"/>
        <v>5.5052790346907989E-3</v>
      </c>
      <c r="E66" s="224" t="str">
        <f t="shared" si="11"/>
        <v>--</v>
      </c>
      <c r="F66" s="293">
        <f t="shared" si="9"/>
        <v>2.4047058823529404E-2</v>
      </c>
      <c r="G66" s="157">
        <f t="shared" si="12"/>
        <v>2.4047058823529404E-2</v>
      </c>
      <c r="H66" s="224" t="str">
        <f t="shared" si="13"/>
        <v>--</v>
      </c>
      <c r="I66" s="276" t="str">
        <f t="shared" si="14"/>
        <v>V</v>
      </c>
      <c r="J66" s="157" t="str">
        <f t="shared" si="15"/>
        <v>--</v>
      </c>
      <c r="K66" s="157">
        <f t="shared" si="16"/>
        <v>5.1000000000000004E-4</v>
      </c>
      <c r="L66" s="181" t="str">
        <f t="shared" si="17"/>
        <v>--</v>
      </c>
      <c r="M66" s="55"/>
      <c r="N66" s="55"/>
      <c r="O66" s="1"/>
      <c r="P66" s="1"/>
      <c r="Q66" s="1"/>
      <c r="R66" s="1"/>
    </row>
    <row r="67" spans="1:18" ht="11.25" customHeight="1">
      <c r="A67" s="153" t="s">
        <v>205</v>
      </c>
      <c r="B67" s="184" t="s">
        <v>206</v>
      </c>
      <c r="C67" s="293">
        <f t="shared" si="8"/>
        <v>0.1276223776223776</v>
      </c>
      <c r="D67" s="506">
        <f t="shared" si="10"/>
        <v>0.1276223776223776</v>
      </c>
      <c r="E67" s="224" t="str">
        <f t="shared" si="11"/>
        <v>--</v>
      </c>
      <c r="F67" s="293">
        <f t="shared" si="9"/>
        <v>0.55745454545454531</v>
      </c>
      <c r="G67" s="157">
        <f t="shared" si="12"/>
        <v>0.55745454545454531</v>
      </c>
      <c r="H67" s="224" t="str">
        <f t="shared" si="13"/>
        <v>--</v>
      </c>
      <c r="I67" s="276" t="str">
        <f t="shared" si="14"/>
        <v>V</v>
      </c>
      <c r="J67" s="157" t="str">
        <f t="shared" si="15"/>
        <v>--</v>
      </c>
      <c r="K67" s="157">
        <f t="shared" si="16"/>
        <v>2.1999999999999999E-5</v>
      </c>
      <c r="L67" s="181" t="str">
        <f t="shared" si="17"/>
        <v>--</v>
      </c>
      <c r="M67" s="55"/>
      <c r="N67" s="55"/>
      <c r="O67" s="1"/>
      <c r="P67" s="1"/>
      <c r="Q67" s="1"/>
      <c r="R67" s="1"/>
    </row>
    <row r="68" spans="1:18" ht="11.25" customHeight="1">
      <c r="A68" s="2105" t="s">
        <v>4279</v>
      </c>
      <c r="B68" s="184" t="s">
        <v>208</v>
      </c>
      <c r="C68" s="293" t="str">
        <f t="shared" si="8"/>
        <v>--</v>
      </c>
      <c r="D68" s="506" t="str">
        <f t="shared" si="10"/>
        <v>--</v>
      </c>
      <c r="E68" s="224" t="str">
        <f t="shared" si="11"/>
        <v>--</v>
      </c>
      <c r="F68" s="293" t="str">
        <f t="shared" si="9"/>
        <v>--</v>
      </c>
      <c r="G68" s="157" t="str">
        <f t="shared" si="12"/>
        <v>--</v>
      </c>
      <c r="H68" s="224" t="str">
        <f t="shared" si="13"/>
        <v>--</v>
      </c>
      <c r="I68" s="276" t="str">
        <f t="shared" si="14"/>
        <v>NV</v>
      </c>
      <c r="J68" s="157" t="str">
        <f t="shared" si="15"/>
        <v>--</v>
      </c>
      <c r="K68" s="157">
        <f t="shared" si="16"/>
        <v>3.1E-4</v>
      </c>
      <c r="L68" s="181" t="str">
        <f t="shared" si="17"/>
        <v>--</v>
      </c>
      <c r="M68" s="55"/>
      <c r="N68" s="55"/>
      <c r="O68" s="1"/>
      <c r="P68" s="1"/>
      <c r="Q68" s="1"/>
      <c r="R68" s="1"/>
    </row>
    <row r="69" spans="1:18" ht="11.25" customHeight="1">
      <c r="A69" s="153" t="s">
        <v>209</v>
      </c>
      <c r="B69" s="184" t="s">
        <v>210</v>
      </c>
      <c r="C69" s="293">
        <f t="shared" si="8"/>
        <v>0.25524475524475521</v>
      </c>
      <c r="D69" s="506">
        <f t="shared" si="10"/>
        <v>0.25524475524475521</v>
      </c>
      <c r="E69" s="224">
        <f t="shared" si="11"/>
        <v>31.285714285714285</v>
      </c>
      <c r="F69" s="293">
        <f t="shared" si="9"/>
        <v>1.1149090909090906</v>
      </c>
      <c r="G69" s="157">
        <f t="shared" si="12"/>
        <v>1.1149090909090906</v>
      </c>
      <c r="H69" s="224">
        <f t="shared" si="13"/>
        <v>131.39999999999998</v>
      </c>
      <c r="I69" s="276" t="str">
        <f t="shared" si="14"/>
        <v>V</v>
      </c>
      <c r="J69" s="157" t="str">
        <f t="shared" si="15"/>
        <v>--</v>
      </c>
      <c r="K69" s="157">
        <f t="shared" si="16"/>
        <v>1.1E-5</v>
      </c>
      <c r="L69" s="181">
        <f t="shared" si="17"/>
        <v>30</v>
      </c>
      <c r="M69" s="55"/>
      <c r="N69" s="55"/>
      <c r="O69" s="1"/>
      <c r="P69" s="1"/>
      <c r="Q69" s="1"/>
      <c r="R69" s="1"/>
    </row>
    <row r="70" spans="1:18" ht="11.25" customHeight="1">
      <c r="A70" s="153" t="s">
        <v>211</v>
      </c>
      <c r="B70" s="184" t="s">
        <v>212</v>
      </c>
      <c r="C70" s="293" t="str">
        <f t="shared" si="8"/>
        <v>--</v>
      </c>
      <c r="D70" s="506" t="str">
        <f t="shared" ref="D70:D101" si="18">IF(I70="NV","--",
IF(K70="--","--",
IF(J70="--",
(TR*LT*365)/(EFr*EDr*K70),
(TR*LT*365)/(TETmadj*K70))))</f>
        <v>--</v>
      </c>
      <c r="E70" s="224" t="str">
        <f t="shared" ref="E70:E101" si="19">IF(I70="NV","--",
IF(L70="--","--",(THQ*EDr*365*L70)/(EFr*EDr)))</f>
        <v>--</v>
      </c>
      <c r="F70" s="293" t="str">
        <f t="shared" si="9"/>
        <v>--</v>
      </c>
      <c r="G70" s="157" t="str">
        <f t="shared" ref="G70:G101" si="20">IF(I70="NV","--",
IF(K70="--","--",(TR*LT*365)/(EFci*EDci*ETw/24*K70)))</f>
        <v>--</v>
      </c>
      <c r="H70" s="224" t="str">
        <f t="shared" ref="H70:H101" si="21">IF(I70="NV", "--",
IF(L70="--","--",(THQ*EDci*365*L70)/(EFci*EDci*ETw/24)))</f>
        <v>--</v>
      </c>
      <c r="I70" s="276" t="str">
        <f t="shared" ref="I70:I101" si="22">VLOOKUP($A70,Table_IP_1, MATCH("volatility", heading_IP_1, 0), FALSE)</f>
        <v>NV</v>
      </c>
      <c r="J70" s="157" t="str">
        <f t="shared" ref="J70:J95" si="23">VLOOKUP($A70,Table_IP_2, MATCH("mut", heading_IP_2, 0), FALSE)</f>
        <v>--</v>
      </c>
      <c r="K70" s="157" t="str">
        <f t="shared" ref="K70:K95" si="24">VLOOKUP($A70,Table_IP_2, MATCH("IUR", heading_IP_2, 0), FALSE)</f>
        <v>--</v>
      </c>
      <c r="L70" s="181" t="str">
        <f t="shared" ref="L70:L95" si="25">VLOOKUP($A70,Table_IP_2, MATCH("RfC", heading_IP_2, 0), FALSE)</f>
        <v>--</v>
      </c>
      <c r="M70" s="55"/>
      <c r="N70" s="55"/>
      <c r="O70" s="1"/>
      <c r="P70" s="1"/>
      <c r="Q70" s="1"/>
      <c r="R70" s="1"/>
    </row>
    <row r="71" spans="1:18" ht="11.25" customHeight="1">
      <c r="A71" s="153" t="s">
        <v>213</v>
      </c>
      <c r="B71" s="184" t="s">
        <v>214</v>
      </c>
      <c r="C71" s="293">
        <f t="shared" ref="C71:C134" si="26">IF(MIN(D71,E71)=0,"--",MIN(D71,E71))</f>
        <v>3.1285714285714285E-2</v>
      </c>
      <c r="D71" s="506" t="str">
        <f t="shared" si="18"/>
        <v>--</v>
      </c>
      <c r="E71" s="224">
        <f t="shared" si="19"/>
        <v>3.1285714285714285E-2</v>
      </c>
      <c r="F71" s="293">
        <f t="shared" ref="F71:F134" si="27">IF(MIN(G71,H71)=0,"--",MIN(G71,H71))</f>
        <v>0.13139999999999999</v>
      </c>
      <c r="G71" s="157" t="str">
        <f t="shared" si="20"/>
        <v>--</v>
      </c>
      <c r="H71" s="224">
        <f t="shared" si="21"/>
        <v>0.13139999999999999</v>
      </c>
      <c r="I71" s="276" t="str">
        <f t="shared" si="22"/>
        <v>V</v>
      </c>
      <c r="J71" s="157" t="str">
        <f t="shared" si="23"/>
        <v>--</v>
      </c>
      <c r="K71" s="157" t="str">
        <f t="shared" si="24"/>
        <v>--</v>
      </c>
      <c r="L71" s="181">
        <f t="shared" si="25"/>
        <v>0.03</v>
      </c>
      <c r="M71" s="55"/>
      <c r="N71" s="55"/>
      <c r="O71" s="1"/>
      <c r="P71" s="1"/>
      <c r="Q71" s="1"/>
      <c r="R71" s="1"/>
    </row>
    <row r="72" spans="1:18" ht="11.25" customHeight="1">
      <c r="A72" s="153" t="s">
        <v>215</v>
      </c>
      <c r="B72" s="184" t="s">
        <v>216</v>
      </c>
      <c r="C72" s="293" t="str">
        <f t="shared" si="26"/>
        <v>--</v>
      </c>
      <c r="D72" s="506" t="str">
        <f t="shared" si="18"/>
        <v>--</v>
      </c>
      <c r="E72" s="224" t="str">
        <f t="shared" si="19"/>
        <v>--</v>
      </c>
      <c r="F72" s="293" t="str">
        <f t="shared" si="27"/>
        <v>--</v>
      </c>
      <c r="G72" s="157" t="str">
        <f t="shared" si="20"/>
        <v>--</v>
      </c>
      <c r="H72" s="224" t="str">
        <f t="shared" si="21"/>
        <v>--</v>
      </c>
      <c r="I72" s="276" t="str">
        <f t="shared" si="22"/>
        <v>NV</v>
      </c>
      <c r="J72" s="157" t="str">
        <f t="shared" si="23"/>
        <v>--</v>
      </c>
      <c r="K72" s="157" t="str">
        <f t="shared" si="24"/>
        <v>--</v>
      </c>
      <c r="L72" s="181" t="str">
        <f t="shared" si="25"/>
        <v>--</v>
      </c>
      <c r="M72" s="55"/>
      <c r="N72" s="55"/>
      <c r="O72" s="1"/>
      <c r="P72" s="1"/>
      <c r="Q72" s="1"/>
      <c r="R72" s="1"/>
    </row>
    <row r="73" spans="1:18" ht="11.25" customHeight="1">
      <c r="A73" s="153" t="s">
        <v>217</v>
      </c>
      <c r="B73" s="184" t="s">
        <v>218</v>
      </c>
      <c r="C73" s="293">
        <f t="shared" si="26"/>
        <v>1.0138888888888888</v>
      </c>
      <c r="D73" s="506">
        <f t="shared" si="18"/>
        <v>1.0138888888888888</v>
      </c>
      <c r="E73" s="224">
        <f t="shared" si="19"/>
        <v>417.14285714285717</v>
      </c>
      <c r="F73" s="293">
        <f t="shared" si="27"/>
        <v>12.263999999999998</v>
      </c>
      <c r="G73" s="157">
        <f t="shared" si="20"/>
        <v>12.263999999999998</v>
      </c>
      <c r="H73" s="224">
        <f t="shared" si="21"/>
        <v>1751.9999999999998</v>
      </c>
      <c r="I73" s="276" t="str">
        <f t="shared" si="22"/>
        <v>V</v>
      </c>
      <c r="J73" s="157" t="str">
        <f t="shared" si="23"/>
        <v>Yes</v>
      </c>
      <c r="K73" s="157">
        <f t="shared" si="24"/>
        <v>9.9999999999999995E-7</v>
      </c>
      <c r="L73" s="181">
        <f t="shared" si="25"/>
        <v>400</v>
      </c>
      <c r="M73" s="55"/>
      <c r="N73" s="55"/>
      <c r="O73" s="1"/>
      <c r="P73" s="1"/>
      <c r="Q73" s="1"/>
      <c r="R73" s="1"/>
    </row>
    <row r="74" spans="1:18" ht="11.25" customHeight="1">
      <c r="A74" s="153" t="s">
        <v>219</v>
      </c>
      <c r="B74" s="184" t="s">
        <v>220</v>
      </c>
      <c r="C74" s="293">
        <f t="shared" si="26"/>
        <v>5214.2857142857147</v>
      </c>
      <c r="D74" s="506" t="str">
        <f t="shared" si="18"/>
        <v>--</v>
      </c>
      <c r="E74" s="224">
        <f t="shared" si="19"/>
        <v>5214.2857142857147</v>
      </c>
      <c r="F74" s="293">
        <f t="shared" si="27"/>
        <v>21900</v>
      </c>
      <c r="G74" s="157" t="str">
        <f t="shared" si="20"/>
        <v>--</v>
      </c>
      <c r="H74" s="224">
        <f t="shared" si="21"/>
        <v>21900</v>
      </c>
      <c r="I74" s="276" t="str">
        <f t="shared" si="22"/>
        <v>V</v>
      </c>
      <c r="J74" s="157" t="str">
        <f t="shared" si="23"/>
        <v>--</v>
      </c>
      <c r="K74" s="157" t="str">
        <f t="shared" si="24"/>
        <v>--</v>
      </c>
      <c r="L74" s="181">
        <f t="shared" si="25"/>
        <v>5000</v>
      </c>
      <c r="M74" s="55"/>
      <c r="N74" s="55"/>
      <c r="O74" s="1"/>
      <c r="P74" s="1"/>
      <c r="Q74" s="1"/>
      <c r="R74" s="1"/>
    </row>
    <row r="75" spans="1:18" ht="11.25" customHeight="1">
      <c r="A75" s="153" t="s">
        <v>221</v>
      </c>
      <c r="B75" s="184" t="s">
        <v>222</v>
      </c>
      <c r="C75" s="293">
        <f t="shared" si="26"/>
        <v>3128.5714285714284</v>
      </c>
      <c r="D75" s="506" t="str">
        <f t="shared" si="18"/>
        <v>--</v>
      </c>
      <c r="E75" s="224">
        <f t="shared" si="19"/>
        <v>3128.5714285714284</v>
      </c>
      <c r="F75" s="293">
        <f t="shared" si="27"/>
        <v>13139.999999999998</v>
      </c>
      <c r="G75" s="157" t="str">
        <f t="shared" si="20"/>
        <v>--</v>
      </c>
      <c r="H75" s="224">
        <f t="shared" si="21"/>
        <v>13139.999999999998</v>
      </c>
      <c r="I75" s="276" t="str">
        <f t="shared" si="22"/>
        <v>V</v>
      </c>
      <c r="J75" s="157" t="str">
        <f t="shared" si="23"/>
        <v>--</v>
      </c>
      <c r="K75" s="157" t="str">
        <f t="shared" si="24"/>
        <v>--</v>
      </c>
      <c r="L75" s="181">
        <f t="shared" si="25"/>
        <v>3000</v>
      </c>
      <c r="M75" s="55"/>
      <c r="N75" s="55"/>
      <c r="O75" s="1"/>
      <c r="P75" s="1"/>
      <c r="Q75" s="1"/>
      <c r="R75" s="1"/>
    </row>
    <row r="76" spans="1:18" ht="11.25" customHeight="1">
      <c r="A76" s="153" t="s">
        <v>223</v>
      </c>
      <c r="B76" s="184" t="s">
        <v>224</v>
      </c>
      <c r="C76" s="293" t="str">
        <f t="shared" si="26"/>
        <v>--</v>
      </c>
      <c r="D76" s="506" t="str">
        <f t="shared" si="18"/>
        <v>--</v>
      </c>
      <c r="E76" s="224" t="str">
        <f t="shared" si="19"/>
        <v>--</v>
      </c>
      <c r="F76" s="293" t="str">
        <f t="shared" si="27"/>
        <v>--</v>
      </c>
      <c r="G76" s="157" t="str">
        <f t="shared" si="20"/>
        <v>--</v>
      </c>
      <c r="H76" s="224" t="str">
        <f t="shared" si="21"/>
        <v>--</v>
      </c>
      <c r="I76" s="276" t="str">
        <f t="shared" si="22"/>
        <v>NV</v>
      </c>
      <c r="J76" s="157" t="str">
        <f t="shared" si="23"/>
        <v>--</v>
      </c>
      <c r="K76" s="157" t="str">
        <f t="shared" si="24"/>
        <v>--</v>
      </c>
      <c r="L76" s="181" t="str">
        <f t="shared" si="25"/>
        <v>--</v>
      </c>
      <c r="M76" s="55"/>
      <c r="N76" s="55"/>
      <c r="O76" s="1"/>
      <c r="P76" s="1"/>
      <c r="Q76" s="1"/>
      <c r="R76" s="1"/>
    </row>
    <row r="77" spans="1:18" ht="11.25" customHeight="1">
      <c r="A77" s="153" t="s">
        <v>225</v>
      </c>
      <c r="B77" s="184" t="s">
        <v>226</v>
      </c>
      <c r="C77" s="293" t="str">
        <f t="shared" si="26"/>
        <v>--</v>
      </c>
      <c r="D77" s="506" t="str">
        <f t="shared" si="18"/>
        <v>--</v>
      </c>
      <c r="E77" s="224" t="str">
        <f t="shared" si="19"/>
        <v>--</v>
      </c>
      <c r="F77" s="293" t="str">
        <f t="shared" si="27"/>
        <v>--</v>
      </c>
      <c r="G77" s="157" t="str">
        <f t="shared" si="20"/>
        <v>--</v>
      </c>
      <c r="H77" s="224" t="str">
        <f t="shared" si="21"/>
        <v>--</v>
      </c>
      <c r="I77" s="276" t="str">
        <f t="shared" si="22"/>
        <v>V</v>
      </c>
      <c r="J77" s="157" t="str">
        <f t="shared" si="23"/>
        <v>--</v>
      </c>
      <c r="K77" s="157" t="str">
        <f t="shared" si="24"/>
        <v>--</v>
      </c>
      <c r="L77" s="181" t="str">
        <f t="shared" si="25"/>
        <v>--</v>
      </c>
      <c r="M77" s="55"/>
      <c r="N77" s="55"/>
      <c r="O77" s="1"/>
      <c r="P77" s="1"/>
      <c r="Q77" s="1"/>
      <c r="R77" s="1"/>
    </row>
    <row r="78" spans="1:18" ht="11.25" customHeight="1">
      <c r="A78" s="153" t="s">
        <v>227</v>
      </c>
      <c r="B78" s="184" t="s">
        <v>228</v>
      </c>
      <c r="C78" s="293">
        <f t="shared" si="26"/>
        <v>10.798816568047336</v>
      </c>
      <c r="D78" s="506">
        <f t="shared" si="18"/>
        <v>10.798816568047336</v>
      </c>
      <c r="E78" s="224">
        <f t="shared" si="19"/>
        <v>3128.5714285714284</v>
      </c>
      <c r="F78" s="293">
        <f t="shared" si="27"/>
        <v>47.169230769230758</v>
      </c>
      <c r="G78" s="157">
        <f t="shared" si="20"/>
        <v>47.169230769230758</v>
      </c>
      <c r="H78" s="224">
        <f t="shared" si="21"/>
        <v>13139.999999999998</v>
      </c>
      <c r="I78" s="276" t="str">
        <f t="shared" si="22"/>
        <v>V</v>
      </c>
      <c r="J78" s="157" t="str">
        <f t="shared" si="23"/>
        <v>--</v>
      </c>
      <c r="K78" s="157">
        <f t="shared" si="24"/>
        <v>2.6E-7</v>
      </c>
      <c r="L78" s="181">
        <f t="shared" si="25"/>
        <v>3000</v>
      </c>
      <c r="M78" s="55"/>
      <c r="N78" s="55"/>
      <c r="O78" s="1"/>
      <c r="P78" s="1"/>
      <c r="Q78" s="1"/>
      <c r="R78" s="1"/>
    </row>
    <row r="79" spans="1:18" ht="11.25" customHeight="1">
      <c r="A79" s="153" t="s">
        <v>229</v>
      </c>
      <c r="B79" s="184" t="s">
        <v>230</v>
      </c>
      <c r="C79" s="293" t="str">
        <f t="shared" si="26"/>
        <v>--</v>
      </c>
      <c r="D79" s="506" t="str">
        <f t="shared" si="18"/>
        <v>--</v>
      </c>
      <c r="E79" s="224" t="str">
        <f t="shared" si="19"/>
        <v>--</v>
      </c>
      <c r="F79" s="293" t="str">
        <f t="shared" si="27"/>
        <v>--</v>
      </c>
      <c r="G79" s="157" t="str">
        <f t="shared" si="20"/>
        <v>--</v>
      </c>
      <c r="H79" s="224" t="str">
        <f t="shared" si="21"/>
        <v>--</v>
      </c>
      <c r="I79" s="276" t="str">
        <f t="shared" si="22"/>
        <v>NV</v>
      </c>
      <c r="J79" s="157" t="str">
        <f t="shared" si="23"/>
        <v>--</v>
      </c>
      <c r="K79" s="157" t="str">
        <f t="shared" si="24"/>
        <v>--</v>
      </c>
      <c r="L79" s="181">
        <f t="shared" si="25"/>
        <v>2</v>
      </c>
      <c r="M79" s="55"/>
      <c r="N79" s="55"/>
      <c r="O79" s="1"/>
      <c r="P79" s="1"/>
      <c r="Q79" s="1"/>
      <c r="R79" s="1"/>
    </row>
    <row r="80" spans="1:18" ht="11.25" customHeight="1">
      <c r="A80" s="153" t="s">
        <v>231</v>
      </c>
      <c r="B80" s="184" t="s">
        <v>232</v>
      </c>
      <c r="C80" s="293" t="str">
        <f t="shared" si="26"/>
        <v>--</v>
      </c>
      <c r="D80" s="506" t="str">
        <f t="shared" si="18"/>
        <v>--</v>
      </c>
      <c r="E80" s="224" t="str">
        <f t="shared" si="19"/>
        <v>--</v>
      </c>
      <c r="F80" s="293" t="str">
        <f t="shared" si="27"/>
        <v>--</v>
      </c>
      <c r="G80" s="157" t="str">
        <f t="shared" si="20"/>
        <v>--</v>
      </c>
      <c r="H80" s="224" t="str">
        <f t="shared" si="21"/>
        <v>--</v>
      </c>
      <c r="I80" s="276" t="str">
        <f t="shared" si="22"/>
        <v>NV</v>
      </c>
      <c r="J80" s="157" t="str">
        <f t="shared" si="23"/>
        <v>--</v>
      </c>
      <c r="K80" s="157">
        <f t="shared" si="24"/>
        <v>2.5999999999999998E-4</v>
      </c>
      <c r="L80" s="181">
        <f t="shared" si="25"/>
        <v>1.4E-2</v>
      </c>
      <c r="M80" s="55"/>
      <c r="N80" s="55"/>
      <c r="O80" s="1"/>
      <c r="P80" s="1"/>
      <c r="Q80" s="1"/>
      <c r="R80" s="1"/>
    </row>
    <row r="81" spans="1:18" ht="11.25" customHeight="1">
      <c r="A81" s="153" t="s">
        <v>233</v>
      </c>
      <c r="B81" s="184" t="s">
        <v>234</v>
      </c>
      <c r="C81" s="293" t="str">
        <f t="shared" si="26"/>
        <v>--</v>
      </c>
      <c r="D81" s="506" t="str">
        <f t="shared" si="18"/>
        <v>--</v>
      </c>
      <c r="E81" s="224" t="str">
        <f t="shared" si="19"/>
        <v>--</v>
      </c>
      <c r="F81" s="293" t="str">
        <f t="shared" si="27"/>
        <v>--</v>
      </c>
      <c r="G81" s="157" t="str">
        <f t="shared" si="20"/>
        <v>--</v>
      </c>
      <c r="H81" s="224" t="str">
        <f t="shared" si="21"/>
        <v>--</v>
      </c>
      <c r="I81" s="276" t="str">
        <f t="shared" si="22"/>
        <v>V</v>
      </c>
      <c r="J81" s="157" t="str">
        <f t="shared" si="23"/>
        <v>--</v>
      </c>
      <c r="K81" s="157" t="str">
        <f t="shared" si="24"/>
        <v>--</v>
      </c>
      <c r="L81" s="181" t="str">
        <f t="shared" si="25"/>
        <v>--</v>
      </c>
      <c r="M81" s="55"/>
      <c r="N81" s="55"/>
      <c r="O81" s="1"/>
      <c r="P81" s="1"/>
      <c r="Q81" s="1"/>
      <c r="R81" s="1"/>
    </row>
    <row r="82" spans="1:18" ht="11.25" customHeight="1">
      <c r="A82" s="153" t="s">
        <v>235</v>
      </c>
      <c r="B82" s="184" t="s">
        <v>236</v>
      </c>
      <c r="C82" s="293" t="str">
        <f t="shared" si="26"/>
        <v>--</v>
      </c>
      <c r="D82" s="506" t="str">
        <f t="shared" si="18"/>
        <v>--</v>
      </c>
      <c r="E82" s="224" t="str">
        <f t="shared" si="19"/>
        <v>--</v>
      </c>
      <c r="F82" s="293" t="str">
        <f t="shared" si="27"/>
        <v>--</v>
      </c>
      <c r="G82" s="157" t="str">
        <f t="shared" si="20"/>
        <v>--</v>
      </c>
      <c r="H82" s="224" t="str">
        <f t="shared" si="21"/>
        <v>--</v>
      </c>
      <c r="I82" s="276" t="str">
        <f t="shared" si="22"/>
        <v>V</v>
      </c>
      <c r="J82" s="157" t="str">
        <f t="shared" si="23"/>
        <v>--</v>
      </c>
      <c r="K82" s="157" t="str">
        <f t="shared" si="24"/>
        <v>--</v>
      </c>
      <c r="L82" s="181" t="str">
        <f t="shared" si="25"/>
        <v>--</v>
      </c>
      <c r="M82" s="55"/>
      <c r="N82" s="55"/>
      <c r="O82" s="1"/>
      <c r="P82" s="1"/>
      <c r="Q82" s="1"/>
      <c r="R82" s="1"/>
    </row>
    <row r="83" spans="1:18" ht="11.25" customHeight="1">
      <c r="A83" s="153" t="s">
        <v>237</v>
      </c>
      <c r="B83" s="184" t="s">
        <v>238</v>
      </c>
      <c r="C83" s="293">
        <f t="shared" si="26"/>
        <v>9.2171717171717158E-3</v>
      </c>
      <c r="D83" s="506">
        <f t="shared" si="18"/>
        <v>9.2171717171717158E-3</v>
      </c>
      <c r="E83" s="224" t="str">
        <f t="shared" si="19"/>
        <v>--</v>
      </c>
      <c r="F83" s="293">
        <f t="shared" si="27"/>
        <v>0.11149090909090907</v>
      </c>
      <c r="G83" s="157">
        <f t="shared" si="20"/>
        <v>0.11149090909090907</v>
      </c>
      <c r="H83" s="224" t="str">
        <f t="shared" si="21"/>
        <v>--</v>
      </c>
      <c r="I83" s="276" t="str">
        <f t="shared" si="22"/>
        <v>V</v>
      </c>
      <c r="J83" s="157" t="str">
        <f t="shared" si="23"/>
        <v>Yes</v>
      </c>
      <c r="K83" s="157">
        <f t="shared" si="24"/>
        <v>1.1E-4</v>
      </c>
      <c r="L83" s="181" t="str">
        <f t="shared" si="25"/>
        <v>--</v>
      </c>
      <c r="M83" s="55"/>
      <c r="N83" s="55"/>
      <c r="O83" s="1"/>
      <c r="P83" s="1"/>
      <c r="Q83" s="1"/>
      <c r="R83" s="1"/>
    </row>
    <row r="84" spans="1:18" ht="11.25" customHeight="1">
      <c r="A84" s="153" t="s">
        <v>239</v>
      </c>
      <c r="B84" s="184" t="s">
        <v>240</v>
      </c>
      <c r="C84" s="293" t="str">
        <f t="shared" si="26"/>
        <v>--</v>
      </c>
      <c r="D84" s="506" t="str">
        <f t="shared" si="18"/>
        <v>--</v>
      </c>
      <c r="E84" s="224" t="str">
        <f t="shared" si="19"/>
        <v>--</v>
      </c>
      <c r="F84" s="293" t="str">
        <f t="shared" si="27"/>
        <v>--</v>
      </c>
      <c r="G84" s="157" t="str">
        <f t="shared" si="20"/>
        <v>--</v>
      </c>
      <c r="H84" s="224" t="str">
        <f t="shared" si="21"/>
        <v>--</v>
      </c>
      <c r="I84" s="276" t="str">
        <f t="shared" si="22"/>
        <v>NV</v>
      </c>
      <c r="J84" s="157" t="str">
        <f t="shared" si="23"/>
        <v>Yes</v>
      </c>
      <c r="K84" s="157">
        <f t="shared" si="24"/>
        <v>1.1000000000000001E-3</v>
      </c>
      <c r="L84" s="181">
        <f t="shared" si="25"/>
        <v>2E-3</v>
      </c>
      <c r="M84" s="55"/>
      <c r="N84" s="55"/>
      <c r="O84" s="1"/>
      <c r="P84" s="1"/>
      <c r="Q84" s="1"/>
      <c r="R84" s="1"/>
    </row>
    <row r="85" spans="1:18" ht="11.25" customHeight="1">
      <c r="A85" s="153" t="s">
        <v>241</v>
      </c>
      <c r="B85" s="184" t="s">
        <v>242</v>
      </c>
      <c r="C85" s="293" t="str">
        <f t="shared" si="26"/>
        <v>--</v>
      </c>
      <c r="D85" s="506" t="str">
        <f t="shared" si="18"/>
        <v>--</v>
      </c>
      <c r="E85" s="224" t="str">
        <f t="shared" si="19"/>
        <v>--</v>
      </c>
      <c r="F85" s="293" t="str">
        <f t="shared" si="27"/>
        <v>--</v>
      </c>
      <c r="G85" s="157" t="str">
        <f t="shared" si="20"/>
        <v>--</v>
      </c>
      <c r="H85" s="224" t="str">
        <f t="shared" si="21"/>
        <v>--</v>
      </c>
      <c r="I85" s="276" t="str">
        <f t="shared" si="22"/>
        <v>NV</v>
      </c>
      <c r="J85" s="157" t="str">
        <f t="shared" si="23"/>
        <v>Yes</v>
      </c>
      <c r="K85" s="157">
        <f t="shared" si="24"/>
        <v>1.1E-4</v>
      </c>
      <c r="L85" s="181" t="str">
        <f t="shared" si="25"/>
        <v>--</v>
      </c>
      <c r="M85" s="55"/>
      <c r="N85" s="55"/>
      <c r="O85" s="1"/>
      <c r="P85" s="1"/>
      <c r="Q85" s="1"/>
      <c r="R85" s="1"/>
    </row>
    <row r="86" spans="1:18" ht="11.25" customHeight="1">
      <c r="A86" s="153" t="s">
        <v>243</v>
      </c>
      <c r="B86" s="184" t="s">
        <v>244</v>
      </c>
      <c r="C86" s="293" t="str">
        <f t="shared" si="26"/>
        <v>--</v>
      </c>
      <c r="D86" s="506" t="str">
        <f t="shared" si="18"/>
        <v>--</v>
      </c>
      <c r="E86" s="224" t="str">
        <f t="shared" si="19"/>
        <v>--</v>
      </c>
      <c r="F86" s="293" t="str">
        <f t="shared" si="27"/>
        <v>--</v>
      </c>
      <c r="G86" s="157" t="str">
        <f t="shared" si="20"/>
        <v>--</v>
      </c>
      <c r="H86" s="224" t="str">
        <f t="shared" si="21"/>
        <v>--</v>
      </c>
      <c r="I86" s="276" t="str">
        <f t="shared" si="22"/>
        <v>NV</v>
      </c>
      <c r="J86" s="157" t="str">
        <f t="shared" si="23"/>
        <v>Yes</v>
      </c>
      <c r="K86" s="157">
        <f t="shared" si="24"/>
        <v>1.1E-4</v>
      </c>
      <c r="L86" s="181" t="str">
        <f t="shared" si="25"/>
        <v>--</v>
      </c>
      <c r="M86" s="55"/>
      <c r="N86" s="55"/>
      <c r="O86" s="1"/>
      <c r="P86" s="1"/>
      <c r="Q86" s="1"/>
      <c r="R86" s="1"/>
    </row>
    <row r="87" spans="1:18" ht="11.25" customHeight="1">
      <c r="A87" s="153" t="s">
        <v>245</v>
      </c>
      <c r="B87" s="184" t="s">
        <v>246</v>
      </c>
      <c r="C87" s="293" t="str">
        <f t="shared" si="26"/>
        <v>--</v>
      </c>
      <c r="D87" s="506" t="str">
        <f t="shared" si="18"/>
        <v>--</v>
      </c>
      <c r="E87" s="224" t="str">
        <f t="shared" si="19"/>
        <v>--</v>
      </c>
      <c r="F87" s="293" t="str">
        <f t="shared" si="27"/>
        <v>--</v>
      </c>
      <c r="G87" s="157" t="str">
        <f t="shared" si="20"/>
        <v>--</v>
      </c>
      <c r="H87" s="224" t="str">
        <f t="shared" si="21"/>
        <v>--</v>
      </c>
      <c r="I87" s="276" t="str">
        <f t="shared" si="22"/>
        <v>NV</v>
      </c>
      <c r="J87" s="157" t="str">
        <f t="shared" si="23"/>
        <v>Yes</v>
      </c>
      <c r="K87" s="157">
        <f t="shared" si="24"/>
        <v>1.1E-5</v>
      </c>
      <c r="L87" s="181" t="str">
        <f t="shared" si="25"/>
        <v>--</v>
      </c>
      <c r="M87" s="55"/>
      <c r="N87" s="55"/>
      <c r="O87" s="1"/>
      <c r="P87" s="1"/>
      <c r="Q87" s="1"/>
      <c r="R87" s="1"/>
    </row>
    <row r="88" spans="1:18" ht="11.25" customHeight="1">
      <c r="A88" s="153" t="s">
        <v>247</v>
      </c>
      <c r="B88" s="184" t="s">
        <v>248</v>
      </c>
      <c r="C88" s="293" t="str">
        <f t="shared" si="26"/>
        <v>--</v>
      </c>
      <c r="D88" s="506" t="str">
        <f t="shared" si="18"/>
        <v>--</v>
      </c>
      <c r="E88" s="224" t="str">
        <f t="shared" si="19"/>
        <v>--</v>
      </c>
      <c r="F88" s="293" t="str">
        <f t="shared" si="27"/>
        <v>--</v>
      </c>
      <c r="G88" s="157" t="str">
        <f t="shared" si="20"/>
        <v>--</v>
      </c>
      <c r="H88" s="224" t="str">
        <f t="shared" si="21"/>
        <v>--</v>
      </c>
      <c r="I88" s="276" t="str">
        <f t="shared" si="22"/>
        <v>NV</v>
      </c>
      <c r="J88" s="157" t="str">
        <f t="shared" si="23"/>
        <v>Yes</v>
      </c>
      <c r="K88" s="157">
        <f t="shared" si="24"/>
        <v>1.1999999999999999E-3</v>
      </c>
      <c r="L88" s="181" t="str">
        <f t="shared" si="25"/>
        <v>--</v>
      </c>
      <c r="M88" s="55"/>
      <c r="N88" s="55"/>
      <c r="O88" s="1"/>
      <c r="P88" s="1"/>
      <c r="Q88" s="1"/>
      <c r="R88" s="1"/>
    </row>
    <row r="89" spans="1:18" ht="11.25" customHeight="1">
      <c r="A89" s="153" t="s">
        <v>249</v>
      </c>
      <c r="B89" s="184" t="s">
        <v>250</v>
      </c>
      <c r="C89" s="293" t="str">
        <f t="shared" si="26"/>
        <v>--</v>
      </c>
      <c r="D89" s="506" t="str">
        <f t="shared" si="18"/>
        <v>--</v>
      </c>
      <c r="E89" s="224" t="str">
        <f t="shared" si="19"/>
        <v>--</v>
      </c>
      <c r="F89" s="293" t="str">
        <f t="shared" si="27"/>
        <v>--</v>
      </c>
      <c r="G89" s="157" t="str">
        <f t="shared" si="20"/>
        <v>--</v>
      </c>
      <c r="H89" s="224" t="str">
        <f t="shared" si="21"/>
        <v>--</v>
      </c>
      <c r="I89" s="276" t="str">
        <f t="shared" si="22"/>
        <v>NV</v>
      </c>
      <c r="J89" s="157" t="str">
        <f t="shared" si="23"/>
        <v>--</v>
      </c>
      <c r="K89" s="157" t="str">
        <f t="shared" si="24"/>
        <v>--</v>
      </c>
      <c r="L89" s="181" t="str">
        <f t="shared" si="25"/>
        <v>--</v>
      </c>
      <c r="M89" s="55"/>
      <c r="N89" s="55"/>
      <c r="O89" s="1"/>
      <c r="P89" s="1"/>
      <c r="Q89" s="1"/>
      <c r="R89" s="1"/>
    </row>
    <row r="90" spans="1:18" ht="11.25" customHeight="1">
      <c r="A90" s="153" t="s">
        <v>251</v>
      </c>
      <c r="B90" s="184" t="s">
        <v>252</v>
      </c>
      <c r="C90" s="293" t="str">
        <f t="shared" si="26"/>
        <v>--</v>
      </c>
      <c r="D90" s="506" t="str">
        <f t="shared" si="18"/>
        <v>--</v>
      </c>
      <c r="E90" s="224" t="str">
        <f t="shared" si="19"/>
        <v>--</v>
      </c>
      <c r="F90" s="293" t="str">
        <f t="shared" si="27"/>
        <v>--</v>
      </c>
      <c r="G90" s="157" t="str">
        <f t="shared" si="20"/>
        <v>--</v>
      </c>
      <c r="H90" s="224" t="str">
        <f t="shared" si="21"/>
        <v>--</v>
      </c>
      <c r="I90" s="276" t="str">
        <f t="shared" si="22"/>
        <v>V</v>
      </c>
      <c r="J90" s="157" t="str">
        <f t="shared" si="23"/>
        <v>--</v>
      </c>
      <c r="K90" s="157" t="str">
        <f t="shared" si="24"/>
        <v>--</v>
      </c>
      <c r="L90" s="181" t="str">
        <f t="shared" si="25"/>
        <v>--</v>
      </c>
      <c r="M90" s="55"/>
      <c r="N90" s="55"/>
      <c r="O90" s="1"/>
      <c r="P90" s="1"/>
      <c r="Q90" s="1"/>
      <c r="R90" s="1"/>
    </row>
    <row r="91" spans="1:18" ht="11.25" customHeight="1">
      <c r="A91" s="153" t="s">
        <v>253</v>
      </c>
      <c r="B91" s="184" t="s">
        <v>254</v>
      </c>
      <c r="C91" s="293" t="str">
        <f t="shared" si="26"/>
        <v>--</v>
      </c>
      <c r="D91" s="506" t="str">
        <f t="shared" si="18"/>
        <v>--</v>
      </c>
      <c r="E91" s="224" t="str">
        <f t="shared" si="19"/>
        <v>--</v>
      </c>
      <c r="F91" s="293" t="str">
        <f t="shared" si="27"/>
        <v>--</v>
      </c>
      <c r="G91" s="157" t="str">
        <f t="shared" si="20"/>
        <v>--</v>
      </c>
      <c r="H91" s="224" t="str">
        <f t="shared" si="21"/>
        <v>--</v>
      </c>
      <c r="I91" s="276" t="str">
        <f t="shared" si="22"/>
        <v>NV</v>
      </c>
      <c r="J91" s="157" t="str">
        <f t="shared" si="23"/>
        <v>Yes</v>
      </c>
      <c r="K91" s="157">
        <f t="shared" si="24"/>
        <v>1.1E-4</v>
      </c>
      <c r="L91" s="181" t="str">
        <f t="shared" si="25"/>
        <v>--</v>
      </c>
      <c r="M91" s="55"/>
      <c r="N91" s="55"/>
      <c r="O91" s="1"/>
      <c r="P91" s="1"/>
      <c r="Q91" s="1"/>
      <c r="R91" s="1"/>
    </row>
    <row r="92" spans="1:18" ht="11.25" customHeight="1">
      <c r="A92" s="153" t="s">
        <v>255</v>
      </c>
      <c r="B92" s="184" t="s">
        <v>256</v>
      </c>
      <c r="C92" s="293">
        <f t="shared" si="26"/>
        <v>8.2579185520361975E-2</v>
      </c>
      <c r="D92" s="506">
        <f t="shared" si="18"/>
        <v>8.2579185520361975E-2</v>
      </c>
      <c r="E92" s="224">
        <f t="shared" si="19"/>
        <v>3.1285714285714286</v>
      </c>
      <c r="F92" s="293">
        <f t="shared" si="27"/>
        <v>0.36070588235294115</v>
      </c>
      <c r="G92" s="157">
        <f t="shared" si="20"/>
        <v>0.36070588235294115</v>
      </c>
      <c r="H92" s="224">
        <f t="shared" si="21"/>
        <v>13.139999999999999</v>
      </c>
      <c r="I92" s="276" t="str">
        <f t="shared" si="22"/>
        <v>V</v>
      </c>
      <c r="J92" s="157" t="str">
        <f t="shared" si="23"/>
        <v>--</v>
      </c>
      <c r="K92" s="157">
        <f t="shared" si="24"/>
        <v>3.4E-5</v>
      </c>
      <c r="L92" s="181">
        <f t="shared" si="25"/>
        <v>3</v>
      </c>
      <c r="M92" s="55"/>
      <c r="N92" s="55"/>
      <c r="O92" s="1"/>
      <c r="P92" s="1"/>
      <c r="Q92" s="1"/>
      <c r="R92" s="1"/>
    </row>
    <row r="93" spans="1:18" ht="11.25" customHeight="1">
      <c r="A93" s="153" t="s">
        <v>257</v>
      </c>
      <c r="B93" s="184" t="s">
        <v>258</v>
      </c>
      <c r="C93" s="293" t="str">
        <f t="shared" si="26"/>
        <v>--</v>
      </c>
      <c r="D93" s="506" t="str">
        <f t="shared" si="18"/>
        <v>--</v>
      </c>
      <c r="E93" s="224" t="str">
        <f t="shared" si="19"/>
        <v>--</v>
      </c>
      <c r="F93" s="293" t="str">
        <f t="shared" si="27"/>
        <v>--</v>
      </c>
      <c r="G93" s="157" t="str">
        <f t="shared" si="20"/>
        <v>--</v>
      </c>
      <c r="H93" s="224" t="str">
        <f t="shared" si="21"/>
        <v>--</v>
      </c>
      <c r="I93" s="276" t="str">
        <f t="shared" si="22"/>
        <v>V</v>
      </c>
      <c r="J93" s="157" t="str">
        <f t="shared" si="23"/>
        <v>--</v>
      </c>
      <c r="K93" s="157" t="str">
        <f t="shared" si="24"/>
        <v>--</v>
      </c>
      <c r="L93" s="181" t="str">
        <f t="shared" si="25"/>
        <v>--</v>
      </c>
      <c r="M93" s="55"/>
      <c r="N93" s="55"/>
      <c r="O93" s="1"/>
      <c r="P93" s="1"/>
      <c r="Q93" s="1"/>
      <c r="R93" s="1"/>
    </row>
    <row r="94" spans="1:18" ht="11.25" customHeight="1">
      <c r="A94" s="153" t="s">
        <v>259</v>
      </c>
      <c r="B94" s="184" t="s">
        <v>260</v>
      </c>
      <c r="C94" s="293" t="str">
        <f t="shared" si="26"/>
        <v>--</v>
      </c>
      <c r="D94" s="506" t="str">
        <f t="shared" si="18"/>
        <v>--</v>
      </c>
      <c r="E94" s="224" t="str">
        <f t="shared" si="19"/>
        <v>--</v>
      </c>
      <c r="F94" s="293" t="str">
        <f t="shared" si="27"/>
        <v>--</v>
      </c>
      <c r="G94" s="157" t="str">
        <f t="shared" si="20"/>
        <v>--</v>
      </c>
      <c r="H94" s="224" t="str">
        <f t="shared" si="21"/>
        <v>--</v>
      </c>
      <c r="I94" s="276" t="str">
        <f t="shared" si="22"/>
        <v>NV</v>
      </c>
      <c r="J94" s="157" t="str">
        <f t="shared" si="23"/>
        <v>--</v>
      </c>
      <c r="K94" s="157">
        <f t="shared" si="24"/>
        <v>5.1000000000000003E-6</v>
      </c>
      <c r="L94" s="181" t="str">
        <f t="shared" si="25"/>
        <v>--</v>
      </c>
      <c r="M94" s="55"/>
      <c r="N94" s="55"/>
      <c r="O94" s="1"/>
      <c r="P94" s="1"/>
      <c r="Q94" s="1"/>
      <c r="R94" s="1"/>
    </row>
    <row r="95" spans="1:18" ht="11.25" customHeight="1">
      <c r="A95" s="153" t="s">
        <v>261</v>
      </c>
      <c r="B95" s="184" t="s">
        <v>1261</v>
      </c>
      <c r="C95" s="293" t="str">
        <f t="shared" si="26"/>
        <v>--</v>
      </c>
      <c r="D95" s="506" t="str">
        <f t="shared" si="18"/>
        <v>--</v>
      </c>
      <c r="E95" s="224" t="str">
        <f t="shared" si="19"/>
        <v>--</v>
      </c>
      <c r="F95" s="293" t="str">
        <f t="shared" si="27"/>
        <v>--</v>
      </c>
      <c r="G95" s="157" t="str">
        <f t="shared" si="20"/>
        <v>--</v>
      </c>
      <c r="H95" s="224" t="str">
        <f t="shared" si="21"/>
        <v>--</v>
      </c>
      <c r="I95" s="276" t="str">
        <f t="shared" si="22"/>
        <v>NV</v>
      </c>
      <c r="J95" s="157" t="str">
        <f t="shared" si="23"/>
        <v>--</v>
      </c>
      <c r="K95" s="157" t="str">
        <f t="shared" si="24"/>
        <v>--</v>
      </c>
      <c r="L95" s="181" t="str">
        <f t="shared" si="25"/>
        <v>--</v>
      </c>
      <c r="M95" s="55"/>
      <c r="N95" s="55"/>
      <c r="O95" s="1"/>
      <c r="P95" s="1"/>
      <c r="Q95" s="1"/>
      <c r="R95" s="1"/>
    </row>
    <row r="96" spans="1:18" ht="11.25" customHeight="1">
      <c r="A96" s="896" t="s">
        <v>263</v>
      </c>
      <c r="B96" s="184" t="s">
        <v>115</v>
      </c>
      <c r="C96" s="293">
        <f t="shared" si="26"/>
        <v>646.01769911504425</v>
      </c>
      <c r="D96" s="506" t="str">
        <f t="shared" si="18"/>
        <v>--</v>
      </c>
      <c r="E96" s="224">
        <f t="shared" si="19"/>
        <v>646.01769911504425</v>
      </c>
      <c r="F96" s="293">
        <f t="shared" si="27"/>
        <v>2713.2743362831852</v>
      </c>
      <c r="G96" s="157" t="str">
        <f t="shared" si="20"/>
        <v>--</v>
      </c>
      <c r="H96" s="224">
        <f t="shared" si="21"/>
        <v>2713.2743362831852</v>
      </c>
      <c r="I96" s="276" t="str">
        <f t="shared" si="22"/>
        <v>V</v>
      </c>
      <c r="J96" s="347" t="str">
        <f>VLOOKUP("Petroleum: Gasoline (soil)",Table_IP_2, MATCH("mut", heading_IP_2, 0), FALSE)</f>
        <v>--</v>
      </c>
      <c r="K96" s="347" t="str">
        <f>VLOOKUP("Petroleum: Gasoline (soil)",Table_IP_2, MATCH("IUR", heading_IP_2, 0), FALSE)</f>
        <v>--</v>
      </c>
      <c r="L96" s="356">
        <f>VLOOKUP("Petroleum: Gasoline (soil)",Table_IP_2, MATCH("RfC", heading_IP_2, 0), FALSE)</f>
        <v>619.46902654867256</v>
      </c>
      <c r="M96" s="55"/>
      <c r="N96" s="55"/>
      <c r="O96" s="1"/>
      <c r="P96" s="1"/>
      <c r="Q96" s="1"/>
      <c r="R96" s="1"/>
    </row>
    <row r="97" spans="1:18" ht="11.25" customHeight="1">
      <c r="A97" s="896" t="s">
        <v>264</v>
      </c>
      <c r="B97" s="184" t="s">
        <v>115</v>
      </c>
      <c r="C97" s="293">
        <f t="shared" si="26"/>
        <v>309.32203389830511</v>
      </c>
      <c r="D97" s="506" t="str">
        <f t="shared" si="18"/>
        <v>--</v>
      </c>
      <c r="E97" s="224">
        <f t="shared" si="19"/>
        <v>309.32203389830511</v>
      </c>
      <c r="F97" s="293">
        <f t="shared" si="27"/>
        <v>1299.1525423728813</v>
      </c>
      <c r="G97" s="157" t="str">
        <f t="shared" si="20"/>
        <v>--</v>
      </c>
      <c r="H97" s="224">
        <f t="shared" si="21"/>
        <v>1299.1525423728813</v>
      </c>
      <c r="I97" s="276" t="str">
        <f t="shared" si="22"/>
        <v>V</v>
      </c>
      <c r="J97" s="347" t="str">
        <f>VLOOKUP("Petroleum: Stoddard Solvent (soil)",Table_IP_2, MATCH("mut", heading_IP_2, 0), FALSE)</f>
        <v>--</v>
      </c>
      <c r="K97" s="347" t="str">
        <f>VLOOKUP("Petroleum: Stoddard Solvent (soil)",Table_IP_2, MATCH("IUR", heading_IP_2, 0), FALSE)</f>
        <v>--</v>
      </c>
      <c r="L97" s="356">
        <f>VLOOKUP("Petroleum: Stoddard Solvent (soil)",Table_IP_2, MATCH("RfC", heading_IP_2, 0), FALSE)</f>
        <v>296.61016949152543</v>
      </c>
      <c r="M97" s="55"/>
      <c r="N97" s="55"/>
      <c r="O97" s="1"/>
      <c r="P97" s="1"/>
      <c r="Q97" s="1"/>
      <c r="R97" s="1"/>
    </row>
    <row r="98" spans="1:18" ht="11.25" customHeight="1">
      <c r="A98" s="896" t="s">
        <v>265</v>
      </c>
      <c r="B98" s="184" t="s">
        <v>115</v>
      </c>
      <c r="C98" s="293">
        <f t="shared" si="26"/>
        <v>309.32203389830511</v>
      </c>
      <c r="D98" s="506" t="str">
        <f t="shared" si="18"/>
        <v>--</v>
      </c>
      <c r="E98" s="224">
        <f t="shared" si="19"/>
        <v>309.32203389830511</v>
      </c>
      <c r="F98" s="293">
        <f t="shared" si="27"/>
        <v>1299.1525423728813</v>
      </c>
      <c r="G98" s="157" t="str">
        <f t="shared" si="20"/>
        <v>--</v>
      </c>
      <c r="H98" s="224">
        <f t="shared" si="21"/>
        <v>1299.1525423728813</v>
      </c>
      <c r="I98" s="276" t="str">
        <f t="shared" si="22"/>
        <v>V</v>
      </c>
      <c r="J98" s="347" t="str">
        <f>VLOOKUP("Petroleum: Jet Fuel (soil)",Table_IP_2, MATCH("mut", heading_IP_2, 0), FALSE)</f>
        <v>--</v>
      </c>
      <c r="K98" s="347" t="str">
        <f>VLOOKUP("Petroleum: Jet Fuel (soil)",Table_IP_2, MATCH("IUR", heading_IP_2, 0), FALSE)</f>
        <v>--</v>
      </c>
      <c r="L98" s="356">
        <f>VLOOKUP("Petroleum: Jet Fuel (soil)",Table_IP_2, MATCH("RfC", heading_IP_2, 0), FALSE)</f>
        <v>296.61016949152543</v>
      </c>
      <c r="M98" s="55"/>
      <c r="N98" s="55"/>
      <c r="O98" s="1"/>
      <c r="P98" s="1"/>
      <c r="Q98" s="1"/>
      <c r="R98" s="1"/>
    </row>
    <row r="99" spans="1:18" ht="11.25" customHeight="1">
      <c r="A99" s="896" t="s">
        <v>266</v>
      </c>
      <c r="B99" s="184" t="s">
        <v>115</v>
      </c>
      <c r="C99" s="293">
        <f t="shared" si="26"/>
        <v>202.77777777777774</v>
      </c>
      <c r="D99" s="506" t="str">
        <f t="shared" si="18"/>
        <v>--</v>
      </c>
      <c r="E99" s="224">
        <f t="shared" si="19"/>
        <v>202.77777777777774</v>
      </c>
      <c r="F99" s="293">
        <f t="shared" si="27"/>
        <v>851.66666666666663</v>
      </c>
      <c r="G99" s="157" t="str">
        <f t="shared" si="20"/>
        <v>--</v>
      </c>
      <c r="H99" s="224">
        <f t="shared" si="21"/>
        <v>851.66666666666663</v>
      </c>
      <c r="I99" s="276" t="str">
        <f t="shared" si="22"/>
        <v>V</v>
      </c>
      <c r="J99" s="347" t="str">
        <f>VLOOKUP("Petroleum: Diesel (soil)",Table_IP_2, MATCH("mut", heading_IP_2, 0), FALSE)</f>
        <v>--</v>
      </c>
      <c r="K99" s="347" t="str">
        <f>VLOOKUP("Petroleum: Diesel (soil)",Table_IP_2, MATCH("IUR", heading_IP_2, 0), FALSE)</f>
        <v>--</v>
      </c>
      <c r="L99" s="356">
        <f>VLOOKUP("Petroleum: Diesel (soil)",Table_IP_2, MATCH("RfC", heading_IP_2, 0), FALSE)</f>
        <v>194.44444444444443</v>
      </c>
      <c r="M99" s="55"/>
      <c r="N99" s="55"/>
      <c r="O99" s="1"/>
      <c r="P99" s="1"/>
      <c r="Q99" s="1"/>
      <c r="R99" s="1"/>
    </row>
    <row r="100" spans="1:18" ht="11.25" customHeight="1">
      <c r="A100" s="896" t="s">
        <v>267</v>
      </c>
      <c r="B100" s="281" t="s">
        <v>115</v>
      </c>
      <c r="C100" s="293" t="str">
        <f t="shared" si="26"/>
        <v>--</v>
      </c>
      <c r="D100" s="506" t="str">
        <f t="shared" si="18"/>
        <v>--</v>
      </c>
      <c r="E100" s="224" t="str">
        <f t="shared" si="19"/>
        <v>--</v>
      </c>
      <c r="F100" s="293" t="str">
        <f t="shared" si="27"/>
        <v>--</v>
      </c>
      <c r="G100" s="157" t="str">
        <f t="shared" si="20"/>
        <v>--</v>
      </c>
      <c r="H100" s="224" t="str">
        <f t="shared" si="21"/>
        <v>--</v>
      </c>
      <c r="I100" s="276" t="str">
        <f t="shared" si="22"/>
        <v>NV</v>
      </c>
      <c r="J100" s="347" t="str">
        <f>VLOOKUP("Petroleum: HOPS (water)",Table_IP_2, MATCH("mut", heading_IP_2, 0), FALSE)</f>
        <v>--</v>
      </c>
      <c r="K100" s="347" t="str">
        <f>VLOOKUP("Petroleum: HOPS (water)",Table_IP_2, MATCH("IUR", heading_IP_2, 0), FALSE)</f>
        <v>--</v>
      </c>
      <c r="L100" s="356" t="str">
        <f>VLOOKUP("Petroleum: HOPS (water)",Table_IP_2, MATCH("RfC", heading_IP_2, 0), FALSE)</f>
        <v>--</v>
      </c>
      <c r="M100" s="55"/>
      <c r="N100" s="55"/>
      <c r="O100" s="1"/>
      <c r="P100" s="1"/>
      <c r="Q100" s="1"/>
      <c r="R100" s="1"/>
    </row>
    <row r="101" spans="1:18" ht="11.25" customHeight="1">
      <c r="A101" s="896" t="s">
        <v>268</v>
      </c>
      <c r="B101" s="281" t="s">
        <v>115</v>
      </c>
      <c r="C101" s="293" t="str">
        <f t="shared" si="26"/>
        <v>--</v>
      </c>
      <c r="D101" s="506" t="str">
        <f t="shared" si="18"/>
        <v>--</v>
      </c>
      <c r="E101" s="224" t="str">
        <f t="shared" si="19"/>
        <v>--</v>
      </c>
      <c r="F101" s="293" t="str">
        <f t="shared" si="27"/>
        <v>--</v>
      </c>
      <c r="G101" s="157" t="str">
        <f t="shared" si="20"/>
        <v>--</v>
      </c>
      <c r="H101" s="224" t="str">
        <f t="shared" si="21"/>
        <v>--</v>
      </c>
      <c r="I101" s="276" t="str">
        <f t="shared" si="22"/>
        <v>NV</v>
      </c>
      <c r="J101" s="347" t="str">
        <f>VLOOKUP("Petroleum: Motor Oil (soil)",Table_IP_2, MATCH("mut", heading_IP_2, 0), FALSE)</f>
        <v>--</v>
      </c>
      <c r="K101" s="347" t="str">
        <f>VLOOKUP("Petroleum: Motor Oil (soil)",Table_IP_2, MATCH("IUR", heading_IP_2, 0), FALSE)</f>
        <v>--</v>
      </c>
      <c r="L101" s="356" t="str">
        <f>VLOOKUP("Petroleum: Motor Oil (soil)",Table_IP_2, MATCH("RfC", heading_IP_2, 0), FALSE)</f>
        <v>--</v>
      </c>
      <c r="M101" s="55"/>
      <c r="N101" s="55"/>
      <c r="O101" s="1"/>
      <c r="P101" s="1"/>
      <c r="Q101" s="1"/>
      <c r="R101" s="1"/>
    </row>
    <row r="102" spans="1:18" ht="11.25" customHeight="1">
      <c r="A102" s="1470" t="s">
        <v>719</v>
      </c>
      <c r="B102" s="184" t="s">
        <v>115</v>
      </c>
      <c r="C102" s="293">
        <f t="shared" si="26"/>
        <v>730</v>
      </c>
      <c r="D102" s="506" t="str">
        <f t="shared" ref="D102:D137" si="28">IF(I102="NV","--",
IF(K102="--","--",
IF(J102="--",
(TR*LT*365)/(EFr*EDr*K102),
(TR*LT*365)/(TETmadj*K102))))</f>
        <v>--</v>
      </c>
      <c r="E102" s="224">
        <f t="shared" ref="E102:E133" si="29">IF(I102="NV","--",
IF(L102="--","--",(THQ*EDr*365*L102)/(EFr*EDr)))</f>
        <v>730</v>
      </c>
      <c r="F102" s="293">
        <f t="shared" si="27"/>
        <v>3066</v>
      </c>
      <c r="G102" s="157" t="str">
        <f t="shared" ref="G102:G133" si="30">IF(I102="NV","--",
IF(K102="--","--",(TR*LT*365)/(EFci*EDci*ETw/24*K102)))</f>
        <v>--</v>
      </c>
      <c r="H102" s="224">
        <f t="shared" ref="H102:H133" si="31">IF(I102="NV", "--",
IF(L102="--","--",(THQ*EDci*365*L102)/(EFci*EDci*ETw/24)))</f>
        <v>3066</v>
      </c>
      <c r="I102" s="276" t="str">
        <f t="shared" ref="I102:I133" si="32">VLOOKUP($A102,Table_IP_1, MATCH("volatility", heading_IP_1, 0), FALSE)</f>
        <v>V</v>
      </c>
      <c r="J102" s="157" t="str">
        <f t="shared" ref="J102:J145" si="33">VLOOKUP($A102,Table_IP_2, MATCH("mut", heading_IP_2, 0), FALSE)</f>
        <v>--</v>
      </c>
      <c r="K102" s="157" t="str">
        <f t="shared" ref="K102:K145" si="34">VLOOKUP($A102,Table_IP_2, MATCH("IUR", heading_IP_2, 0), FALSE)</f>
        <v>--</v>
      </c>
      <c r="L102" s="181">
        <f t="shared" ref="L102:L145" si="35">VLOOKUP($A102,Table_IP_2, MATCH("RfC", heading_IP_2, 0), FALSE)</f>
        <v>700</v>
      </c>
      <c r="M102" s="55"/>
      <c r="N102" s="55"/>
      <c r="O102" s="1"/>
      <c r="P102" s="1"/>
      <c r="Q102" s="1"/>
      <c r="R102" s="1"/>
    </row>
    <row r="103" spans="1:18" ht="11.25" customHeight="1">
      <c r="A103" s="1470" t="s">
        <v>720</v>
      </c>
      <c r="B103" s="184" t="s">
        <v>115</v>
      </c>
      <c r="C103" s="293">
        <f t="shared" si="26"/>
        <v>104.28571428571429</v>
      </c>
      <c r="D103" s="506" t="str">
        <f t="shared" si="28"/>
        <v>--</v>
      </c>
      <c r="E103" s="224">
        <f t="shared" si="29"/>
        <v>104.28571428571429</v>
      </c>
      <c r="F103" s="293">
        <f t="shared" si="27"/>
        <v>437.99999999999994</v>
      </c>
      <c r="G103" s="157" t="str">
        <f t="shared" si="30"/>
        <v>--</v>
      </c>
      <c r="H103" s="224">
        <f t="shared" si="31"/>
        <v>437.99999999999994</v>
      </c>
      <c r="I103" s="276" t="str">
        <f t="shared" si="32"/>
        <v>V</v>
      </c>
      <c r="J103" s="157" t="str">
        <f t="shared" si="33"/>
        <v>--</v>
      </c>
      <c r="K103" s="157" t="str">
        <f t="shared" si="34"/>
        <v>--</v>
      </c>
      <c r="L103" s="181">
        <f t="shared" si="35"/>
        <v>100</v>
      </c>
      <c r="M103" s="55"/>
      <c r="N103" s="55"/>
      <c r="O103" s="1"/>
      <c r="P103" s="1"/>
      <c r="Q103" s="1"/>
      <c r="R103" s="1"/>
    </row>
    <row r="104" spans="1:18" ht="11.25" customHeight="1">
      <c r="A104" s="1470" t="s">
        <v>721</v>
      </c>
      <c r="B104" s="184" t="s">
        <v>115</v>
      </c>
      <c r="C104" s="293" t="str">
        <f t="shared" si="26"/>
        <v>--</v>
      </c>
      <c r="D104" s="506" t="str">
        <f t="shared" si="28"/>
        <v>--</v>
      </c>
      <c r="E104" s="224" t="str">
        <f t="shared" si="29"/>
        <v>--</v>
      </c>
      <c r="F104" s="293" t="str">
        <f t="shared" si="27"/>
        <v>--</v>
      </c>
      <c r="G104" s="157" t="str">
        <f t="shared" si="30"/>
        <v>--</v>
      </c>
      <c r="H104" s="224" t="str">
        <f t="shared" si="31"/>
        <v>--</v>
      </c>
      <c r="I104" s="276" t="str">
        <f t="shared" si="32"/>
        <v>V</v>
      </c>
      <c r="J104" s="157" t="str">
        <f t="shared" si="33"/>
        <v>--</v>
      </c>
      <c r="K104" s="157" t="str">
        <f t="shared" si="34"/>
        <v>--</v>
      </c>
      <c r="L104" s="181" t="str">
        <f t="shared" si="35"/>
        <v>--</v>
      </c>
      <c r="M104" s="55"/>
      <c r="N104" s="55"/>
      <c r="O104" s="1"/>
      <c r="P104" s="1"/>
      <c r="Q104" s="1"/>
      <c r="R104" s="1"/>
    </row>
    <row r="105" spans="1:18" ht="11.25" customHeight="1">
      <c r="A105" s="1470" t="s">
        <v>722</v>
      </c>
      <c r="B105" s="184" t="s">
        <v>115</v>
      </c>
      <c r="C105" s="293">
        <f t="shared" si="26"/>
        <v>52.142857142857146</v>
      </c>
      <c r="D105" s="506" t="str">
        <f t="shared" si="28"/>
        <v>--</v>
      </c>
      <c r="E105" s="224">
        <f t="shared" si="29"/>
        <v>52.142857142857146</v>
      </c>
      <c r="F105" s="293">
        <f t="shared" si="27"/>
        <v>218.99999999999997</v>
      </c>
      <c r="G105" s="157" t="str">
        <f t="shared" si="30"/>
        <v>--</v>
      </c>
      <c r="H105" s="224">
        <f t="shared" si="31"/>
        <v>218.99999999999997</v>
      </c>
      <c r="I105" s="276" t="str">
        <f t="shared" si="32"/>
        <v>V</v>
      </c>
      <c r="J105" s="157" t="str">
        <f t="shared" si="33"/>
        <v>--</v>
      </c>
      <c r="K105" s="157" t="str">
        <f t="shared" si="34"/>
        <v>--</v>
      </c>
      <c r="L105" s="181">
        <f t="shared" si="35"/>
        <v>50</v>
      </c>
      <c r="M105" s="55"/>
      <c r="N105" s="55"/>
      <c r="O105" s="1"/>
      <c r="P105" s="1"/>
      <c r="Q105" s="1"/>
      <c r="R105" s="1"/>
    </row>
    <row r="106" spans="1:18" ht="11.25" customHeight="1">
      <c r="A106" s="1470" t="s">
        <v>723</v>
      </c>
      <c r="B106" s="184" t="s">
        <v>115</v>
      </c>
      <c r="C106" s="293" t="str">
        <f t="shared" si="26"/>
        <v>--</v>
      </c>
      <c r="D106" s="506" t="str">
        <f t="shared" si="28"/>
        <v>--</v>
      </c>
      <c r="E106" s="224" t="str">
        <f t="shared" si="29"/>
        <v>--</v>
      </c>
      <c r="F106" s="293" t="str">
        <f t="shared" si="27"/>
        <v>--</v>
      </c>
      <c r="G106" s="157" t="str">
        <f t="shared" si="30"/>
        <v>--</v>
      </c>
      <c r="H106" s="224" t="str">
        <f t="shared" si="31"/>
        <v>--</v>
      </c>
      <c r="I106" s="276" t="s">
        <v>1128</v>
      </c>
      <c r="J106" s="157" t="str">
        <f t="shared" si="33"/>
        <v>Yes</v>
      </c>
      <c r="K106" s="157" t="str">
        <f t="shared" si="34"/>
        <v>--</v>
      </c>
      <c r="L106" s="181" t="str">
        <f t="shared" si="35"/>
        <v>--</v>
      </c>
      <c r="M106" s="55"/>
      <c r="N106" s="55"/>
      <c r="O106" s="1"/>
      <c r="P106" s="1"/>
      <c r="Q106" s="1"/>
      <c r="R106" s="1"/>
    </row>
    <row r="107" spans="1:18" ht="11.25" customHeight="1">
      <c r="A107" s="153" t="s">
        <v>269</v>
      </c>
      <c r="B107" s="281" t="s">
        <v>270</v>
      </c>
      <c r="C107" s="293" t="str">
        <f t="shared" si="26"/>
        <v>--</v>
      </c>
      <c r="D107" s="506" t="str">
        <f t="shared" si="28"/>
        <v>--</v>
      </c>
      <c r="E107" s="224" t="str">
        <f t="shared" si="29"/>
        <v>--</v>
      </c>
      <c r="F107" s="293" t="str">
        <f t="shared" si="27"/>
        <v>--</v>
      </c>
      <c r="G107" s="157" t="str">
        <f t="shared" si="30"/>
        <v>--</v>
      </c>
      <c r="H107" s="224" t="str">
        <f t="shared" si="31"/>
        <v>--</v>
      </c>
      <c r="I107" s="276" t="str">
        <f t="shared" si="32"/>
        <v>V</v>
      </c>
      <c r="J107" s="157" t="str">
        <f t="shared" si="33"/>
        <v>--</v>
      </c>
      <c r="K107" s="157" t="str">
        <f t="shared" si="34"/>
        <v>--</v>
      </c>
      <c r="L107" s="181" t="str">
        <f t="shared" si="35"/>
        <v>--</v>
      </c>
      <c r="M107" s="55"/>
      <c r="N107" s="55"/>
      <c r="O107" s="1"/>
      <c r="P107" s="1"/>
      <c r="Q107" s="1"/>
      <c r="R107" s="1"/>
    </row>
    <row r="108" spans="1:18" ht="11.25" customHeight="1">
      <c r="A108" s="153" t="s">
        <v>271</v>
      </c>
      <c r="B108" s="281" t="s">
        <v>272</v>
      </c>
      <c r="C108" s="293" t="str">
        <f t="shared" si="26"/>
        <v>--</v>
      </c>
      <c r="D108" s="506" t="str">
        <f t="shared" si="28"/>
        <v>--</v>
      </c>
      <c r="E108" s="224" t="str">
        <f t="shared" si="29"/>
        <v>--</v>
      </c>
      <c r="F108" s="293" t="str">
        <f t="shared" si="27"/>
        <v>--</v>
      </c>
      <c r="G108" s="157" t="str">
        <f t="shared" si="30"/>
        <v>--</v>
      </c>
      <c r="H108" s="224" t="str">
        <f t="shared" si="31"/>
        <v>--</v>
      </c>
      <c r="I108" s="276" t="str">
        <f t="shared" si="32"/>
        <v>V</v>
      </c>
      <c r="J108" s="157" t="str">
        <f t="shared" si="33"/>
        <v>--</v>
      </c>
      <c r="K108" s="157" t="str">
        <f t="shared" si="34"/>
        <v>--</v>
      </c>
      <c r="L108" s="181" t="str">
        <f t="shared" si="35"/>
        <v>--</v>
      </c>
      <c r="M108" s="55"/>
      <c r="N108" s="55"/>
      <c r="O108" s="1"/>
      <c r="P108" s="1"/>
      <c r="Q108" s="1"/>
      <c r="R108" s="1"/>
    </row>
    <row r="109" spans="1:18" ht="11.25" customHeight="1">
      <c r="A109" s="153" t="s">
        <v>273</v>
      </c>
      <c r="B109" s="281" t="s">
        <v>274</v>
      </c>
      <c r="C109" s="293" t="str">
        <f t="shared" si="26"/>
        <v>--</v>
      </c>
      <c r="D109" s="506" t="str">
        <f t="shared" si="28"/>
        <v>--</v>
      </c>
      <c r="E109" s="224" t="str">
        <f t="shared" si="29"/>
        <v>--</v>
      </c>
      <c r="F109" s="293" t="str">
        <f t="shared" si="27"/>
        <v>--</v>
      </c>
      <c r="G109" s="157" t="str">
        <f t="shared" si="30"/>
        <v>--</v>
      </c>
      <c r="H109" s="224" t="str">
        <f t="shared" si="31"/>
        <v>--</v>
      </c>
      <c r="I109" s="276" t="str">
        <f t="shared" si="32"/>
        <v>V</v>
      </c>
      <c r="J109" s="157" t="str">
        <f t="shared" si="33"/>
        <v>--</v>
      </c>
      <c r="K109" s="157" t="str">
        <f t="shared" si="34"/>
        <v>--</v>
      </c>
      <c r="L109" s="181" t="str">
        <f t="shared" si="35"/>
        <v>--</v>
      </c>
      <c r="M109" s="55"/>
      <c r="N109" s="55"/>
      <c r="O109" s="1"/>
      <c r="P109" s="1"/>
      <c r="Q109" s="1"/>
      <c r="R109" s="1"/>
    </row>
    <row r="110" spans="1:18" ht="11.25" customHeight="1">
      <c r="A110" s="153" t="s">
        <v>275</v>
      </c>
      <c r="B110" s="281" t="s">
        <v>276</v>
      </c>
      <c r="C110" s="293" t="str">
        <f t="shared" si="26"/>
        <v>--</v>
      </c>
      <c r="D110" s="506" t="str">
        <f t="shared" si="28"/>
        <v>--</v>
      </c>
      <c r="E110" s="224" t="str">
        <f t="shared" si="29"/>
        <v>--</v>
      </c>
      <c r="F110" s="293" t="str">
        <f t="shared" si="27"/>
        <v>--</v>
      </c>
      <c r="G110" s="157" t="str">
        <f t="shared" si="30"/>
        <v>--</v>
      </c>
      <c r="H110" s="224" t="str">
        <f t="shared" si="31"/>
        <v>--</v>
      </c>
      <c r="I110" s="276" t="str">
        <f t="shared" si="32"/>
        <v>NV</v>
      </c>
      <c r="J110" s="157" t="str">
        <f t="shared" si="33"/>
        <v>--</v>
      </c>
      <c r="K110" s="157" t="str">
        <f t="shared" si="34"/>
        <v>--</v>
      </c>
      <c r="L110" s="181" t="str">
        <f t="shared" si="35"/>
        <v>--</v>
      </c>
      <c r="M110" s="55"/>
      <c r="N110" s="55"/>
      <c r="O110" s="1"/>
      <c r="P110" s="1"/>
      <c r="Q110" s="1"/>
      <c r="R110" s="1"/>
    </row>
    <row r="111" spans="1:18" ht="11.25" customHeight="1">
      <c r="A111" s="153" t="s">
        <v>277</v>
      </c>
      <c r="B111" s="281" t="s">
        <v>278</v>
      </c>
      <c r="C111" s="293" t="str">
        <f t="shared" si="26"/>
        <v>--</v>
      </c>
      <c r="D111" s="506" t="str">
        <f t="shared" si="28"/>
        <v>--</v>
      </c>
      <c r="E111" s="224" t="str">
        <f t="shared" si="29"/>
        <v>--</v>
      </c>
      <c r="F111" s="293" t="str">
        <f t="shared" si="27"/>
        <v>--</v>
      </c>
      <c r="G111" s="157" t="str">
        <f t="shared" si="30"/>
        <v>--</v>
      </c>
      <c r="H111" s="224" t="str">
        <f t="shared" si="31"/>
        <v>--</v>
      </c>
      <c r="I111" s="276" t="str">
        <f t="shared" si="32"/>
        <v>V</v>
      </c>
      <c r="J111" s="157" t="str">
        <f t="shared" si="33"/>
        <v>--</v>
      </c>
      <c r="K111" s="157" t="str">
        <f t="shared" si="34"/>
        <v>--</v>
      </c>
      <c r="L111" s="181" t="str">
        <f t="shared" si="35"/>
        <v>--</v>
      </c>
      <c r="M111" s="55"/>
      <c r="N111" s="55"/>
      <c r="O111" s="1"/>
      <c r="P111" s="1"/>
      <c r="Q111" s="1"/>
      <c r="R111" s="1"/>
    </row>
    <row r="112" spans="1:18" ht="11.25" customHeight="1">
      <c r="A112" s="153" t="s">
        <v>279</v>
      </c>
      <c r="B112" s="281" t="s">
        <v>280</v>
      </c>
      <c r="C112" s="293" t="str">
        <f t="shared" si="26"/>
        <v>--</v>
      </c>
      <c r="D112" s="506" t="str">
        <f t="shared" si="28"/>
        <v>--</v>
      </c>
      <c r="E112" s="224" t="str">
        <f t="shared" si="29"/>
        <v>--</v>
      </c>
      <c r="F112" s="293" t="str">
        <f t="shared" si="27"/>
        <v>--</v>
      </c>
      <c r="G112" s="157" t="str">
        <f t="shared" si="30"/>
        <v>--</v>
      </c>
      <c r="H112" s="224" t="str">
        <f t="shared" si="31"/>
        <v>--</v>
      </c>
      <c r="I112" s="276" t="str">
        <f t="shared" si="32"/>
        <v>NV</v>
      </c>
      <c r="J112" s="157" t="str">
        <f t="shared" si="33"/>
        <v>--</v>
      </c>
      <c r="K112" s="157" t="str">
        <f t="shared" si="34"/>
        <v>--</v>
      </c>
      <c r="L112" s="181" t="str">
        <f t="shared" si="35"/>
        <v>--</v>
      </c>
      <c r="M112" s="55"/>
      <c r="N112" s="55"/>
      <c r="O112" s="1"/>
      <c r="P112" s="1"/>
      <c r="Q112" s="1"/>
      <c r="R112" s="1"/>
    </row>
    <row r="113" spans="1:18" ht="11.25" customHeight="1">
      <c r="A113" s="153" t="s">
        <v>281</v>
      </c>
      <c r="B113" s="281" t="s">
        <v>282</v>
      </c>
      <c r="C113" s="293" t="str">
        <f t="shared" si="26"/>
        <v>--</v>
      </c>
      <c r="D113" s="506" t="str">
        <f t="shared" si="28"/>
        <v>--</v>
      </c>
      <c r="E113" s="224" t="str">
        <f t="shared" si="29"/>
        <v>--</v>
      </c>
      <c r="F113" s="293" t="str">
        <f t="shared" si="27"/>
        <v>--</v>
      </c>
      <c r="G113" s="157" t="str">
        <f t="shared" si="30"/>
        <v>--</v>
      </c>
      <c r="H113" s="224" t="str">
        <f t="shared" si="31"/>
        <v>--</v>
      </c>
      <c r="I113" s="276" t="str">
        <f t="shared" si="32"/>
        <v>V</v>
      </c>
      <c r="J113" s="157" t="str">
        <f t="shared" si="33"/>
        <v>--</v>
      </c>
      <c r="K113" s="157" t="str">
        <f t="shared" si="34"/>
        <v>--</v>
      </c>
      <c r="L113" s="181" t="str">
        <f t="shared" si="35"/>
        <v>--</v>
      </c>
      <c r="M113" s="55"/>
      <c r="N113" s="55"/>
      <c r="O113" s="1"/>
      <c r="P113" s="1"/>
      <c r="Q113" s="1"/>
      <c r="R113" s="1"/>
    </row>
    <row r="114" spans="1:18" ht="11.25" customHeight="1">
      <c r="A114" s="153" t="s">
        <v>283</v>
      </c>
      <c r="B114" s="281" t="s">
        <v>284</v>
      </c>
      <c r="C114" s="293" t="str">
        <f t="shared" si="26"/>
        <v>--</v>
      </c>
      <c r="D114" s="506" t="str">
        <f t="shared" si="28"/>
        <v>--</v>
      </c>
      <c r="E114" s="224" t="str">
        <f t="shared" si="29"/>
        <v>--</v>
      </c>
      <c r="F114" s="293" t="str">
        <f t="shared" si="27"/>
        <v>--</v>
      </c>
      <c r="G114" s="157" t="str">
        <f t="shared" si="30"/>
        <v>--</v>
      </c>
      <c r="H114" s="224" t="str">
        <f t="shared" si="31"/>
        <v>--</v>
      </c>
      <c r="I114" s="276" t="str">
        <f t="shared" si="32"/>
        <v>NV</v>
      </c>
      <c r="J114" s="157" t="str">
        <f t="shared" si="33"/>
        <v>--</v>
      </c>
      <c r="K114" s="157" t="str">
        <f t="shared" si="34"/>
        <v>--</v>
      </c>
      <c r="L114" s="181" t="str">
        <f t="shared" si="35"/>
        <v>--</v>
      </c>
      <c r="M114" s="55"/>
      <c r="N114" s="55"/>
      <c r="O114" s="1"/>
      <c r="P114" s="1"/>
      <c r="Q114" s="1"/>
      <c r="R114" s="1"/>
    </row>
    <row r="115" spans="1:18" ht="11.25" customHeight="1">
      <c r="A115" s="153" t="s">
        <v>285</v>
      </c>
      <c r="B115" s="281" t="s">
        <v>286</v>
      </c>
      <c r="C115" s="293" t="str">
        <f t="shared" si="26"/>
        <v>--</v>
      </c>
      <c r="D115" s="506" t="str">
        <f t="shared" si="28"/>
        <v>--</v>
      </c>
      <c r="E115" s="224" t="str">
        <f t="shared" si="29"/>
        <v>--</v>
      </c>
      <c r="F115" s="293" t="str">
        <f t="shared" si="27"/>
        <v>--</v>
      </c>
      <c r="G115" s="157" t="str">
        <f t="shared" si="30"/>
        <v>--</v>
      </c>
      <c r="H115" s="224" t="str">
        <f t="shared" si="31"/>
        <v>--</v>
      </c>
      <c r="I115" s="276" t="str">
        <f t="shared" si="32"/>
        <v>NV</v>
      </c>
      <c r="J115" s="157" t="str">
        <f t="shared" si="33"/>
        <v>--</v>
      </c>
      <c r="K115" s="157" t="str">
        <f t="shared" si="34"/>
        <v>--</v>
      </c>
      <c r="L115" s="181" t="str">
        <f t="shared" si="35"/>
        <v>--</v>
      </c>
      <c r="M115" s="55"/>
      <c r="N115" s="55"/>
      <c r="O115" s="1"/>
      <c r="P115" s="1"/>
      <c r="Q115" s="1"/>
      <c r="R115" s="1"/>
    </row>
    <row r="116" spans="1:18" ht="11.25" customHeight="1">
      <c r="A116" s="153" t="s">
        <v>287</v>
      </c>
      <c r="B116" s="281" t="s">
        <v>288</v>
      </c>
      <c r="C116" s="293" t="str">
        <f t="shared" si="26"/>
        <v>--</v>
      </c>
      <c r="D116" s="506" t="str">
        <f t="shared" si="28"/>
        <v>--</v>
      </c>
      <c r="E116" s="224" t="str">
        <f t="shared" si="29"/>
        <v>--</v>
      </c>
      <c r="F116" s="293" t="str">
        <f t="shared" si="27"/>
        <v>--</v>
      </c>
      <c r="G116" s="157" t="str">
        <f t="shared" si="30"/>
        <v>--</v>
      </c>
      <c r="H116" s="224" t="str">
        <f t="shared" si="31"/>
        <v>--</v>
      </c>
      <c r="I116" s="276" t="str">
        <f t="shared" si="32"/>
        <v>NV</v>
      </c>
      <c r="J116" s="157" t="str">
        <f t="shared" si="33"/>
        <v>--</v>
      </c>
      <c r="K116" s="157" t="str">
        <f t="shared" si="34"/>
        <v>--</v>
      </c>
      <c r="L116" s="181" t="str">
        <f t="shared" si="35"/>
        <v>--</v>
      </c>
      <c r="M116" s="55"/>
      <c r="N116" s="55"/>
      <c r="O116" s="1"/>
      <c r="P116" s="1"/>
      <c r="Q116" s="1"/>
      <c r="R116" s="1"/>
    </row>
    <row r="117" spans="1:18" ht="11.25" customHeight="1">
      <c r="A117" s="153" t="s">
        <v>289</v>
      </c>
      <c r="B117" s="281" t="s">
        <v>290</v>
      </c>
      <c r="C117" s="293" t="str">
        <f t="shared" si="26"/>
        <v>--</v>
      </c>
      <c r="D117" s="506" t="str">
        <f t="shared" si="28"/>
        <v>--</v>
      </c>
      <c r="E117" s="224" t="str">
        <f t="shared" si="29"/>
        <v>--</v>
      </c>
      <c r="F117" s="293" t="str">
        <f t="shared" si="27"/>
        <v>--</v>
      </c>
      <c r="G117" s="157" t="str">
        <f t="shared" si="30"/>
        <v>--</v>
      </c>
      <c r="H117" s="224" t="str">
        <f t="shared" si="31"/>
        <v>--</v>
      </c>
      <c r="I117" s="276" t="str">
        <f t="shared" si="32"/>
        <v>NV</v>
      </c>
      <c r="J117" s="157" t="str">
        <f t="shared" si="33"/>
        <v>--</v>
      </c>
      <c r="K117" s="157" t="str">
        <f t="shared" si="34"/>
        <v>--</v>
      </c>
      <c r="L117" s="181" t="str">
        <f t="shared" si="35"/>
        <v>--</v>
      </c>
      <c r="M117" s="55"/>
      <c r="N117" s="55"/>
      <c r="O117" s="1"/>
      <c r="P117" s="1"/>
      <c r="Q117" s="1"/>
      <c r="R117" s="1"/>
    </row>
    <row r="118" spans="1:18" ht="11.25" customHeight="1">
      <c r="A118" s="153" t="s">
        <v>291</v>
      </c>
      <c r="B118" s="281" t="s">
        <v>292</v>
      </c>
      <c r="C118" s="293" t="str">
        <f t="shared" si="26"/>
        <v>--</v>
      </c>
      <c r="D118" s="506" t="str">
        <f t="shared" si="28"/>
        <v>--</v>
      </c>
      <c r="E118" s="224" t="str">
        <f t="shared" si="29"/>
        <v>--</v>
      </c>
      <c r="F118" s="293" t="str">
        <f t="shared" si="27"/>
        <v>--</v>
      </c>
      <c r="G118" s="157" t="str">
        <f t="shared" si="30"/>
        <v>--</v>
      </c>
      <c r="H118" s="224" t="str">
        <f t="shared" si="31"/>
        <v>--</v>
      </c>
      <c r="I118" s="276" t="str">
        <f t="shared" si="32"/>
        <v>NV</v>
      </c>
      <c r="J118" s="157" t="str">
        <f t="shared" si="33"/>
        <v>--</v>
      </c>
      <c r="K118" s="157" t="str">
        <f t="shared" si="34"/>
        <v>--</v>
      </c>
      <c r="L118" s="181" t="str">
        <f t="shared" si="35"/>
        <v>--</v>
      </c>
      <c r="M118" s="55"/>
      <c r="N118" s="55"/>
      <c r="O118" s="1"/>
      <c r="P118" s="1"/>
      <c r="Q118" s="1"/>
      <c r="R118" s="1"/>
    </row>
    <row r="119" spans="1:18" ht="11.25" customHeight="1">
      <c r="A119" s="153" t="s">
        <v>293</v>
      </c>
      <c r="B119" s="281" t="s">
        <v>294</v>
      </c>
      <c r="C119" s="293" t="str">
        <f t="shared" si="26"/>
        <v>--</v>
      </c>
      <c r="D119" s="506" t="str">
        <f t="shared" si="28"/>
        <v>--</v>
      </c>
      <c r="E119" s="224" t="str">
        <f t="shared" si="29"/>
        <v>--</v>
      </c>
      <c r="F119" s="293" t="str">
        <f t="shared" si="27"/>
        <v>--</v>
      </c>
      <c r="G119" s="157" t="str">
        <f t="shared" si="30"/>
        <v>--</v>
      </c>
      <c r="H119" s="224" t="str">
        <f t="shared" si="31"/>
        <v>--</v>
      </c>
      <c r="I119" s="276" t="str">
        <f t="shared" si="32"/>
        <v>NV</v>
      </c>
      <c r="J119" s="157" t="str">
        <f t="shared" si="33"/>
        <v>--</v>
      </c>
      <c r="K119" s="157" t="str">
        <f t="shared" si="34"/>
        <v>--</v>
      </c>
      <c r="L119" s="181" t="str">
        <f t="shared" si="35"/>
        <v>--</v>
      </c>
      <c r="M119" s="55"/>
      <c r="N119" s="55"/>
      <c r="O119" s="1"/>
      <c r="P119" s="1"/>
      <c r="Q119" s="1"/>
      <c r="R119" s="1"/>
    </row>
    <row r="120" spans="1:18" ht="11.25" customHeight="1">
      <c r="A120" s="153" t="s">
        <v>295</v>
      </c>
      <c r="B120" s="281" t="s">
        <v>296</v>
      </c>
      <c r="C120" s="293" t="str">
        <f t="shared" si="26"/>
        <v>--</v>
      </c>
      <c r="D120" s="506" t="str">
        <f t="shared" si="28"/>
        <v>--</v>
      </c>
      <c r="E120" s="224" t="str">
        <f t="shared" si="29"/>
        <v>--</v>
      </c>
      <c r="F120" s="293" t="str">
        <f t="shared" si="27"/>
        <v>--</v>
      </c>
      <c r="G120" s="157" t="str">
        <f t="shared" si="30"/>
        <v>--</v>
      </c>
      <c r="H120" s="224" t="str">
        <f t="shared" si="31"/>
        <v>--</v>
      </c>
      <c r="I120" s="276" t="str">
        <f t="shared" si="32"/>
        <v>V</v>
      </c>
      <c r="J120" s="157" t="str">
        <f t="shared" si="33"/>
        <v>--</v>
      </c>
      <c r="K120" s="157" t="str">
        <f t="shared" si="34"/>
        <v>--</v>
      </c>
      <c r="L120" s="181" t="str">
        <f t="shared" si="35"/>
        <v>--</v>
      </c>
      <c r="M120" s="55"/>
      <c r="N120" s="55"/>
      <c r="O120" s="1"/>
      <c r="P120" s="1"/>
      <c r="Q120" s="1"/>
      <c r="R120" s="1"/>
    </row>
    <row r="121" spans="1:18" ht="11.25" customHeight="1">
      <c r="A121" s="153" t="s">
        <v>297</v>
      </c>
      <c r="B121" s="281" t="s">
        <v>298</v>
      </c>
      <c r="C121" s="293" t="str">
        <f t="shared" si="26"/>
        <v>--</v>
      </c>
      <c r="D121" s="506" t="str">
        <f t="shared" si="28"/>
        <v>--</v>
      </c>
      <c r="E121" s="224" t="str">
        <f t="shared" si="29"/>
        <v>--</v>
      </c>
      <c r="F121" s="293" t="str">
        <f t="shared" si="27"/>
        <v>--</v>
      </c>
      <c r="G121" s="157" t="str">
        <f t="shared" si="30"/>
        <v>--</v>
      </c>
      <c r="H121" s="224" t="str">
        <f t="shared" si="31"/>
        <v>--</v>
      </c>
      <c r="I121" s="276" t="str">
        <f t="shared" si="32"/>
        <v>NV</v>
      </c>
      <c r="J121" s="157" t="str">
        <f t="shared" si="33"/>
        <v>--</v>
      </c>
      <c r="K121" s="157" t="str">
        <f t="shared" si="34"/>
        <v>--</v>
      </c>
      <c r="L121" s="181" t="str">
        <f t="shared" si="35"/>
        <v>--</v>
      </c>
      <c r="M121" s="55"/>
      <c r="N121" s="55"/>
      <c r="O121" s="1"/>
      <c r="P121" s="1"/>
      <c r="Q121" s="1"/>
      <c r="R121" s="1"/>
    </row>
    <row r="122" spans="1:18" ht="11.25" customHeight="1">
      <c r="A122" s="153" t="s">
        <v>299</v>
      </c>
      <c r="B122" s="281" t="s">
        <v>300</v>
      </c>
      <c r="C122" s="293" t="str">
        <f t="shared" si="26"/>
        <v>--</v>
      </c>
      <c r="D122" s="506" t="str">
        <f t="shared" si="28"/>
        <v>--</v>
      </c>
      <c r="E122" s="224" t="str">
        <f t="shared" si="29"/>
        <v>--</v>
      </c>
      <c r="F122" s="293" t="str">
        <f t="shared" si="27"/>
        <v>--</v>
      </c>
      <c r="G122" s="157" t="str">
        <f t="shared" si="30"/>
        <v>--</v>
      </c>
      <c r="H122" s="224" t="str">
        <f t="shared" si="31"/>
        <v>--</v>
      </c>
      <c r="I122" s="276" t="str">
        <f t="shared" si="32"/>
        <v>V</v>
      </c>
      <c r="J122" s="157" t="str">
        <f t="shared" si="33"/>
        <v>--</v>
      </c>
      <c r="K122" s="157" t="str">
        <f t="shared" si="34"/>
        <v>--</v>
      </c>
      <c r="L122" s="181" t="str">
        <f t="shared" si="35"/>
        <v>--</v>
      </c>
      <c r="M122" s="55"/>
      <c r="N122" s="55"/>
      <c r="O122" s="1"/>
      <c r="P122" s="1"/>
      <c r="Q122" s="1"/>
      <c r="R122" s="1"/>
    </row>
    <row r="123" spans="1:18" ht="11.25" customHeight="1">
      <c r="A123" s="153" t="s">
        <v>301</v>
      </c>
      <c r="B123" s="281" t="s">
        <v>302</v>
      </c>
      <c r="C123" s="293" t="str">
        <f t="shared" si="26"/>
        <v>--</v>
      </c>
      <c r="D123" s="506" t="str">
        <f t="shared" si="28"/>
        <v>--</v>
      </c>
      <c r="E123" s="224" t="str">
        <f t="shared" si="29"/>
        <v>--</v>
      </c>
      <c r="F123" s="293" t="str">
        <f t="shared" si="27"/>
        <v>--</v>
      </c>
      <c r="G123" s="157" t="str">
        <f t="shared" si="30"/>
        <v>--</v>
      </c>
      <c r="H123" s="224" t="str">
        <f t="shared" si="31"/>
        <v>--</v>
      </c>
      <c r="I123" s="276" t="str">
        <f t="shared" si="32"/>
        <v>NV</v>
      </c>
      <c r="J123" s="157" t="str">
        <f t="shared" si="33"/>
        <v>--</v>
      </c>
      <c r="K123" s="157" t="str">
        <f t="shared" si="34"/>
        <v>--</v>
      </c>
      <c r="L123" s="181">
        <f t="shared" si="35"/>
        <v>200</v>
      </c>
      <c r="M123" s="55"/>
      <c r="Q123" s="55"/>
      <c r="R123" s="1"/>
    </row>
    <row r="124" spans="1:18" ht="11.25" customHeight="1">
      <c r="A124" s="153" t="s">
        <v>303</v>
      </c>
      <c r="B124" s="281" t="s">
        <v>304</v>
      </c>
      <c r="C124" s="293">
        <f t="shared" si="26"/>
        <v>4.9257759784075575E-3</v>
      </c>
      <c r="D124" s="506">
        <f t="shared" si="28"/>
        <v>4.9257759784075575E-3</v>
      </c>
      <c r="E124" s="224" t="str">
        <f t="shared" si="29"/>
        <v>--</v>
      </c>
      <c r="F124" s="293">
        <f t="shared" si="27"/>
        <v>2.1515789473684207E-2</v>
      </c>
      <c r="G124" s="157">
        <f t="shared" si="30"/>
        <v>2.1515789473684207E-2</v>
      </c>
      <c r="H124" s="224" t="str">
        <f t="shared" si="31"/>
        <v>--</v>
      </c>
      <c r="I124" s="276" t="str">
        <f t="shared" si="32"/>
        <v>V</v>
      </c>
      <c r="J124" s="157" t="str">
        <f t="shared" si="33"/>
        <v>--</v>
      </c>
      <c r="K124" s="157">
        <f t="shared" si="34"/>
        <v>5.6999999999999998E-4</v>
      </c>
      <c r="L124" s="181" t="str">
        <f t="shared" si="35"/>
        <v>--</v>
      </c>
      <c r="M124" s="55"/>
      <c r="N124" s="55"/>
      <c r="O124" s="1"/>
      <c r="P124" s="1"/>
      <c r="Q124" s="1"/>
      <c r="R124" s="1"/>
    </row>
    <row r="125" spans="1:18" ht="11.25" customHeight="1">
      <c r="A125" s="153" t="s">
        <v>305</v>
      </c>
      <c r="B125" s="281" t="s">
        <v>306</v>
      </c>
      <c r="C125" s="293" t="str">
        <f t="shared" si="26"/>
        <v>--</v>
      </c>
      <c r="D125" s="506" t="str">
        <f t="shared" si="28"/>
        <v>--</v>
      </c>
      <c r="E125" s="224" t="str">
        <f t="shared" si="29"/>
        <v>--</v>
      </c>
      <c r="F125" s="293" t="str">
        <f t="shared" si="27"/>
        <v>--</v>
      </c>
      <c r="G125" s="157" t="str">
        <f t="shared" si="30"/>
        <v>--</v>
      </c>
      <c r="H125" s="224" t="str">
        <f t="shared" si="31"/>
        <v>--</v>
      </c>
      <c r="I125" s="276" t="str">
        <f t="shared" si="32"/>
        <v>NV</v>
      </c>
      <c r="J125" s="157" t="str">
        <f t="shared" si="33"/>
        <v>--</v>
      </c>
      <c r="K125" s="157" t="str">
        <f t="shared" si="34"/>
        <v>--</v>
      </c>
      <c r="L125" s="181">
        <f t="shared" si="35"/>
        <v>20</v>
      </c>
      <c r="M125" s="55"/>
      <c r="N125" s="55"/>
      <c r="O125" s="1"/>
      <c r="P125" s="1"/>
      <c r="Q125" s="1"/>
      <c r="R125" s="1"/>
    </row>
    <row r="126" spans="1:18" ht="11.25" customHeight="1">
      <c r="A126" s="153" t="s">
        <v>307</v>
      </c>
      <c r="B126" s="281" t="s">
        <v>308</v>
      </c>
      <c r="C126" s="293" t="str">
        <f t="shared" si="26"/>
        <v>--</v>
      </c>
      <c r="D126" s="506" t="str">
        <f t="shared" si="28"/>
        <v>--</v>
      </c>
      <c r="E126" s="224" t="str">
        <f t="shared" si="29"/>
        <v>--</v>
      </c>
      <c r="F126" s="293" t="str">
        <f t="shared" si="27"/>
        <v>--</v>
      </c>
      <c r="G126" s="157" t="str">
        <f t="shared" si="30"/>
        <v>--</v>
      </c>
      <c r="H126" s="224" t="str">
        <f t="shared" si="31"/>
        <v>--</v>
      </c>
      <c r="I126" s="276" t="str">
        <f t="shared" si="32"/>
        <v>NV</v>
      </c>
      <c r="J126" s="157" t="str">
        <f t="shared" si="33"/>
        <v>--</v>
      </c>
      <c r="K126" s="157" t="str">
        <f t="shared" si="34"/>
        <v>--</v>
      </c>
      <c r="L126" s="181" t="str">
        <f t="shared" si="35"/>
        <v>--</v>
      </c>
      <c r="M126" s="55"/>
      <c r="N126" s="55"/>
      <c r="O126" s="1"/>
      <c r="P126" s="1"/>
      <c r="Q126" s="1"/>
      <c r="R126" s="1"/>
    </row>
    <row r="127" spans="1:18" ht="11.25" customHeight="1">
      <c r="A127" s="153" t="s">
        <v>309</v>
      </c>
      <c r="B127" s="281" t="s">
        <v>310</v>
      </c>
      <c r="C127" s="293">
        <f t="shared" si="26"/>
        <v>938.57142857142856</v>
      </c>
      <c r="D127" s="506" t="str">
        <f t="shared" si="28"/>
        <v>--</v>
      </c>
      <c r="E127" s="224">
        <f t="shared" si="29"/>
        <v>938.57142857142856</v>
      </c>
      <c r="F127" s="293">
        <f t="shared" si="27"/>
        <v>3941.9999999999995</v>
      </c>
      <c r="G127" s="157" t="str">
        <f t="shared" si="30"/>
        <v>--</v>
      </c>
      <c r="H127" s="224">
        <f t="shared" si="31"/>
        <v>3941.9999999999995</v>
      </c>
      <c r="I127" s="276" t="str">
        <f t="shared" si="32"/>
        <v>V</v>
      </c>
      <c r="J127" s="157" t="str">
        <f t="shared" si="33"/>
        <v>--</v>
      </c>
      <c r="K127" s="157" t="str">
        <f t="shared" si="34"/>
        <v>--</v>
      </c>
      <c r="L127" s="181">
        <f t="shared" si="35"/>
        <v>900</v>
      </c>
      <c r="M127" s="55"/>
      <c r="N127" s="55"/>
      <c r="O127" s="1"/>
      <c r="P127" s="1"/>
      <c r="Q127" s="1"/>
      <c r="R127" s="1"/>
    </row>
    <row r="128" spans="1:18" ht="11.25" customHeight="1">
      <c r="A128" s="153" t="s">
        <v>311</v>
      </c>
      <c r="B128" s="281" t="s">
        <v>312</v>
      </c>
      <c r="C128" s="293">
        <f t="shared" si="26"/>
        <v>5214.2857142857147</v>
      </c>
      <c r="D128" s="506" t="str">
        <f t="shared" si="28"/>
        <v>--</v>
      </c>
      <c r="E128" s="224">
        <f t="shared" si="29"/>
        <v>5214.2857142857147</v>
      </c>
      <c r="F128" s="293">
        <f t="shared" si="27"/>
        <v>21900</v>
      </c>
      <c r="G128" s="157" t="str">
        <f t="shared" si="30"/>
        <v>--</v>
      </c>
      <c r="H128" s="224">
        <f t="shared" si="31"/>
        <v>21900</v>
      </c>
      <c r="I128" s="276" t="str">
        <f t="shared" si="32"/>
        <v>V</v>
      </c>
      <c r="J128" s="157" t="str">
        <f t="shared" si="33"/>
        <v>--</v>
      </c>
      <c r="K128" s="157" t="str">
        <f t="shared" si="34"/>
        <v>--</v>
      </c>
      <c r="L128" s="181">
        <f t="shared" si="35"/>
        <v>5000</v>
      </c>
      <c r="M128" s="55"/>
      <c r="Q128" s="55"/>
      <c r="R128" s="1"/>
    </row>
    <row r="129" spans="1:18" ht="11.25" customHeight="1">
      <c r="A129" s="153" t="s">
        <v>313</v>
      </c>
      <c r="B129" s="281" t="s">
        <v>314</v>
      </c>
      <c r="C129" s="293">
        <f t="shared" si="26"/>
        <v>0.37941787941787936</v>
      </c>
      <c r="D129" s="506">
        <f t="shared" si="28"/>
        <v>0.37941787941787936</v>
      </c>
      <c r="E129" s="224" t="str">
        <f t="shared" si="29"/>
        <v>--</v>
      </c>
      <c r="F129" s="293">
        <f t="shared" si="27"/>
        <v>1.6572972972972968</v>
      </c>
      <c r="G129" s="157">
        <f t="shared" si="30"/>
        <v>1.6572972972972968</v>
      </c>
      <c r="H129" s="224" t="str">
        <f t="shared" si="31"/>
        <v>--</v>
      </c>
      <c r="I129" s="276" t="str">
        <f t="shared" si="32"/>
        <v>V</v>
      </c>
      <c r="J129" s="157" t="str">
        <f t="shared" si="33"/>
        <v>--</v>
      </c>
      <c r="K129" s="157">
        <f t="shared" si="34"/>
        <v>7.4000000000000003E-6</v>
      </c>
      <c r="L129" s="181" t="str">
        <f t="shared" si="35"/>
        <v>--</v>
      </c>
      <c r="M129" s="55"/>
      <c r="N129" s="55"/>
      <c r="O129" s="1"/>
      <c r="P129" s="1"/>
      <c r="Q129" s="1"/>
      <c r="R129" s="1"/>
    </row>
    <row r="130" spans="1:18" ht="11.25" customHeight="1">
      <c r="A130" s="153" t="s">
        <v>315</v>
      </c>
      <c r="B130" s="281" t="s">
        <v>316</v>
      </c>
      <c r="C130" s="293">
        <f t="shared" si="26"/>
        <v>4.8408488063660465E-2</v>
      </c>
      <c r="D130" s="506">
        <f t="shared" si="28"/>
        <v>4.8408488063660465E-2</v>
      </c>
      <c r="E130" s="224" t="str">
        <f t="shared" si="29"/>
        <v>--</v>
      </c>
      <c r="F130" s="293">
        <f t="shared" si="27"/>
        <v>0.21144827586206891</v>
      </c>
      <c r="G130" s="157">
        <f t="shared" si="30"/>
        <v>0.21144827586206891</v>
      </c>
      <c r="H130" s="224" t="str">
        <f t="shared" si="31"/>
        <v>--</v>
      </c>
      <c r="I130" s="276" t="str">
        <f t="shared" si="32"/>
        <v>V</v>
      </c>
      <c r="J130" s="157" t="str">
        <f t="shared" si="33"/>
        <v>--</v>
      </c>
      <c r="K130" s="157">
        <f t="shared" si="34"/>
        <v>5.8E-5</v>
      </c>
      <c r="L130" s="181" t="str">
        <f t="shared" si="35"/>
        <v>--</v>
      </c>
      <c r="M130" s="55"/>
      <c r="N130" s="55"/>
      <c r="O130" s="1"/>
      <c r="P130" s="1"/>
      <c r="Q130" s="1"/>
      <c r="R130" s="1"/>
    </row>
    <row r="131" spans="1:18" ht="11.25" customHeight="1">
      <c r="A131" s="153" t="s">
        <v>317</v>
      </c>
      <c r="B131" s="281" t="s">
        <v>318</v>
      </c>
      <c r="C131" s="293">
        <f t="shared" si="26"/>
        <v>0.46027742749054212</v>
      </c>
      <c r="D131" s="506">
        <f t="shared" si="28"/>
        <v>0.46027742749054212</v>
      </c>
      <c r="E131" s="224">
        <f t="shared" si="29"/>
        <v>41.714285714285715</v>
      </c>
      <c r="F131" s="293">
        <f t="shared" si="27"/>
        <v>2.010491803278688</v>
      </c>
      <c r="G131" s="157">
        <f t="shared" si="30"/>
        <v>2.010491803278688</v>
      </c>
      <c r="H131" s="224">
        <f t="shared" si="31"/>
        <v>175.2</v>
      </c>
      <c r="I131" s="276" t="str">
        <f t="shared" si="32"/>
        <v>V</v>
      </c>
      <c r="J131" s="157" t="str">
        <f t="shared" si="33"/>
        <v>--</v>
      </c>
      <c r="K131" s="157">
        <f t="shared" si="34"/>
        <v>6.1E-6</v>
      </c>
      <c r="L131" s="181">
        <f t="shared" si="35"/>
        <v>40</v>
      </c>
      <c r="M131" s="55"/>
      <c r="N131" s="55"/>
      <c r="O131" s="1"/>
      <c r="P131" s="1"/>
      <c r="Q131" s="1"/>
      <c r="R131" s="1"/>
    </row>
    <row r="132" spans="1:18" ht="11.25" customHeight="1">
      <c r="A132" s="153" t="s">
        <v>319</v>
      </c>
      <c r="B132" s="281" t="s">
        <v>320</v>
      </c>
      <c r="C132" s="293" t="str">
        <f t="shared" si="26"/>
        <v>--</v>
      </c>
      <c r="D132" s="506" t="str">
        <f t="shared" si="28"/>
        <v>--</v>
      </c>
      <c r="E132" s="224" t="str">
        <f t="shared" si="29"/>
        <v>--</v>
      </c>
      <c r="F132" s="293" t="str">
        <f t="shared" si="27"/>
        <v>--</v>
      </c>
      <c r="G132" s="157" t="str">
        <f t="shared" si="30"/>
        <v>--</v>
      </c>
      <c r="H132" s="224" t="str">
        <f t="shared" si="31"/>
        <v>--</v>
      </c>
      <c r="I132" s="276" t="str">
        <f t="shared" si="32"/>
        <v>NV</v>
      </c>
      <c r="J132" s="157" t="str">
        <f t="shared" si="33"/>
        <v>--</v>
      </c>
      <c r="K132" s="157" t="str">
        <f t="shared" si="34"/>
        <v>--</v>
      </c>
      <c r="L132" s="181" t="str">
        <f t="shared" si="35"/>
        <v>--</v>
      </c>
      <c r="M132" s="55"/>
      <c r="N132" s="55"/>
      <c r="O132" s="1"/>
      <c r="P132" s="1"/>
      <c r="Q132" s="1"/>
      <c r="R132" s="1"/>
    </row>
    <row r="133" spans="1:18" ht="11.25" customHeight="1">
      <c r="A133" s="153" t="s">
        <v>321</v>
      </c>
      <c r="B133" s="281" t="s">
        <v>322</v>
      </c>
      <c r="C133" s="293">
        <f t="shared" si="26"/>
        <v>438</v>
      </c>
      <c r="D133" s="506" t="str">
        <f t="shared" si="28"/>
        <v>--</v>
      </c>
      <c r="E133" s="224">
        <f t="shared" si="29"/>
        <v>438</v>
      </c>
      <c r="F133" s="293">
        <f t="shared" si="27"/>
        <v>1839.6</v>
      </c>
      <c r="G133" s="157" t="str">
        <f t="shared" si="30"/>
        <v>--</v>
      </c>
      <c r="H133" s="224">
        <f t="shared" si="31"/>
        <v>1839.6</v>
      </c>
      <c r="I133" s="276" t="str">
        <f t="shared" si="32"/>
        <v>V</v>
      </c>
      <c r="J133" s="157" t="str">
        <f t="shared" si="33"/>
        <v>--</v>
      </c>
      <c r="K133" s="157" t="str">
        <f t="shared" si="34"/>
        <v>--</v>
      </c>
      <c r="L133" s="181">
        <f t="shared" si="35"/>
        <v>420</v>
      </c>
      <c r="M133" s="55"/>
      <c r="N133" s="55"/>
      <c r="O133" s="1"/>
      <c r="P133" s="1"/>
      <c r="Q133" s="1"/>
      <c r="R133" s="1"/>
    </row>
    <row r="134" spans="1:18" ht="11.25" customHeight="1">
      <c r="A134" s="153" t="s">
        <v>323</v>
      </c>
      <c r="B134" s="281" t="s">
        <v>324</v>
      </c>
      <c r="C134" s="293" t="str">
        <f t="shared" si="26"/>
        <v>--</v>
      </c>
      <c r="D134" s="506" t="str">
        <f t="shared" si="28"/>
        <v>--</v>
      </c>
      <c r="E134" s="224" t="str">
        <f t="shared" ref="E134:E145" si="36">IF(I134="NV","--",
IF(L134="--","--",(THQ*EDr*365*L134)/(EFr*EDr)))</f>
        <v>--</v>
      </c>
      <c r="F134" s="293" t="str">
        <f t="shared" si="27"/>
        <v>--</v>
      </c>
      <c r="G134" s="157" t="str">
        <f t="shared" ref="G134:G145" si="37">IF(I134="NV","--",
IF(K134="--","--",(TR*LT*365)/(EFci*EDci*ETw/24*K134)))</f>
        <v>--</v>
      </c>
      <c r="H134" s="224" t="str">
        <f t="shared" ref="H134:H145" si="38">IF(I134="NV", "--",
IF(L134="--","--",(THQ*EDci*365*L134)/(EFci*EDci*ETw/24)))</f>
        <v>--</v>
      </c>
      <c r="I134" s="276" t="str">
        <f t="shared" ref="I134:I145" si="39">VLOOKUP($A134,Table_IP_1, MATCH("volatility", heading_IP_1, 0), FALSE)</f>
        <v>NV</v>
      </c>
      <c r="J134" s="157" t="str">
        <f t="shared" si="33"/>
        <v>--</v>
      </c>
      <c r="K134" s="157">
        <f t="shared" si="34"/>
        <v>3.2000000000000003E-4</v>
      </c>
      <c r="L134" s="181" t="str">
        <f t="shared" si="35"/>
        <v>--</v>
      </c>
      <c r="M134" s="55"/>
      <c r="N134" s="55"/>
      <c r="O134" s="1"/>
      <c r="P134" s="1"/>
      <c r="Q134" s="1"/>
      <c r="R134" s="1"/>
    </row>
    <row r="135" spans="1:18" ht="11.25" customHeight="1">
      <c r="A135" s="153" t="s">
        <v>325</v>
      </c>
      <c r="B135" s="281" t="s">
        <v>326</v>
      </c>
      <c r="C135" s="293">
        <f t="shared" ref="C135:C137" si="40">IF(MIN(D135,E135)=0,"--",MIN(D135,E135))</f>
        <v>2.0857142857142859</v>
      </c>
      <c r="D135" s="506" t="str">
        <f t="shared" si="28"/>
        <v>--</v>
      </c>
      <c r="E135" s="224">
        <f t="shared" si="36"/>
        <v>2.0857142857142859</v>
      </c>
      <c r="F135" s="293">
        <f t="shared" ref="F135:F137" si="41">IF(MIN(G135,H135)=0,"--",MIN(G135,H135))</f>
        <v>8.76</v>
      </c>
      <c r="G135" s="157" t="str">
        <f t="shared" si="37"/>
        <v>--</v>
      </c>
      <c r="H135" s="224">
        <f t="shared" si="38"/>
        <v>8.76</v>
      </c>
      <c r="I135" s="276" t="str">
        <f t="shared" si="39"/>
        <v>V</v>
      </c>
      <c r="J135" s="157" t="str">
        <f t="shared" si="33"/>
        <v>--</v>
      </c>
      <c r="K135" s="157" t="str">
        <f t="shared" si="34"/>
        <v>--</v>
      </c>
      <c r="L135" s="181">
        <f t="shared" si="35"/>
        <v>2</v>
      </c>
      <c r="M135" s="55"/>
      <c r="N135" s="55"/>
      <c r="O135" s="1"/>
      <c r="P135" s="1"/>
      <c r="Q135" s="1"/>
      <c r="R135" s="1"/>
    </row>
    <row r="136" spans="1:18" ht="11.25" customHeight="1">
      <c r="A136" s="153" t="s">
        <v>327</v>
      </c>
      <c r="B136" s="281" t="s">
        <v>328</v>
      </c>
      <c r="C136" s="293">
        <f t="shared" si="40"/>
        <v>1042.8571428571429</v>
      </c>
      <c r="D136" s="506" t="str">
        <f t="shared" si="28"/>
        <v>--</v>
      </c>
      <c r="E136" s="224">
        <f t="shared" si="36"/>
        <v>1042.8571428571429</v>
      </c>
      <c r="F136" s="293">
        <f t="shared" si="41"/>
        <v>4380</v>
      </c>
      <c r="G136" s="157" t="str">
        <f t="shared" si="37"/>
        <v>--</v>
      </c>
      <c r="H136" s="224">
        <f t="shared" si="38"/>
        <v>4380</v>
      </c>
      <c r="I136" s="276" t="str">
        <f t="shared" si="39"/>
        <v>V</v>
      </c>
      <c r="J136" s="157" t="str">
        <f t="shared" si="33"/>
        <v>--</v>
      </c>
      <c r="K136" s="157" t="str">
        <f t="shared" si="34"/>
        <v>--</v>
      </c>
      <c r="L136" s="181">
        <f t="shared" si="35"/>
        <v>1000</v>
      </c>
      <c r="M136" s="55"/>
      <c r="N136" s="55"/>
      <c r="O136" s="1"/>
      <c r="P136" s="1"/>
      <c r="Q136" s="1"/>
      <c r="R136" s="1"/>
    </row>
    <row r="137" spans="1:18" ht="11.25" customHeight="1">
      <c r="A137" s="153" t="s">
        <v>329</v>
      </c>
      <c r="B137" s="281" t="s">
        <v>330</v>
      </c>
      <c r="C137" s="293">
        <f t="shared" si="40"/>
        <v>0.17548076923076919</v>
      </c>
      <c r="D137" s="506">
        <f t="shared" si="28"/>
        <v>0.17548076923076919</v>
      </c>
      <c r="E137" s="224">
        <f t="shared" si="36"/>
        <v>0.20857142857142857</v>
      </c>
      <c r="F137" s="293">
        <f t="shared" si="41"/>
        <v>0.76649999999999985</v>
      </c>
      <c r="G137" s="157">
        <f t="shared" si="37"/>
        <v>0.76649999999999985</v>
      </c>
      <c r="H137" s="224">
        <f t="shared" si="38"/>
        <v>0.87599999999999989</v>
      </c>
      <c r="I137" s="276" t="str">
        <f t="shared" si="39"/>
        <v>V</v>
      </c>
      <c r="J137" s="157" t="str">
        <f t="shared" si="33"/>
        <v>--</v>
      </c>
      <c r="K137" s="157">
        <f t="shared" si="34"/>
        <v>1.5999999999999999E-5</v>
      </c>
      <c r="L137" s="181">
        <f t="shared" si="35"/>
        <v>0.2</v>
      </c>
      <c r="M137" s="55"/>
      <c r="N137" s="55"/>
      <c r="O137" s="1"/>
      <c r="P137" s="1"/>
      <c r="Q137" s="1"/>
      <c r="R137" s="1"/>
    </row>
    <row r="138" spans="1:18" ht="11.25" customHeight="1">
      <c r="A138" s="896" t="s">
        <v>331</v>
      </c>
      <c r="B138" s="281" t="s">
        <v>332</v>
      </c>
      <c r="C138" s="293">
        <f>IF(MIN(D138,E138)=0,"--",MIN(D138,E138))</f>
        <v>0.47831716228187426</v>
      </c>
      <c r="D138" s="363">
        <f>(TR*LT*365)/(K138/24*(EDr*EFr*ETr*0.756+((2*EFr*ETr*0.244*10)+
(4*EFr*ETr*0.244*3)+
(10*EFr*ETr*0.244*3)+
(10*EFr*ETr*0.244*1))))</f>
        <v>0.47831716228187426</v>
      </c>
      <c r="E138" s="224">
        <f t="shared" si="36"/>
        <v>2.0857142857142859</v>
      </c>
      <c r="F138" s="293">
        <f>IF(MIN(G138,H138)=0,"--",MIN(G138,H138))</f>
        <v>2.9912195121951215</v>
      </c>
      <c r="G138" s="157">
        <f t="shared" si="37"/>
        <v>2.9912195121951215</v>
      </c>
      <c r="H138" s="224">
        <f t="shared" si="38"/>
        <v>8.76</v>
      </c>
      <c r="I138" s="276" t="str">
        <f t="shared" si="39"/>
        <v>V</v>
      </c>
      <c r="J138" s="157" t="str">
        <f t="shared" si="33"/>
        <v>Yes</v>
      </c>
      <c r="K138" s="157">
        <f t="shared" si="34"/>
        <v>4.0999999999999997E-6</v>
      </c>
      <c r="L138" s="181">
        <f t="shared" si="35"/>
        <v>2</v>
      </c>
      <c r="M138" s="55"/>
      <c r="N138" s="55"/>
      <c r="O138" s="1"/>
      <c r="P138" s="1"/>
      <c r="Q138" s="1"/>
      <c r="R138" s="1"/>
    </row>
    <row r="139" spans="1:18" ht="11.25" customHeight="1">
      <c r="A139" s="153" t="s">
        <v>333</v>
      </c>
      <c r="B139" s="281" t="s">
        <v>334</v>
      </c>
      <c r="C139" s="293" t="str">
        <f>IF(MIN(D139,E139)=0,"--",MIN(D139,E139))</f>
        <v>--</v>
      </c>
      <c r="D139" s="506" t="str">
        <f>IF(I139="NV","--",
IF(K139="--","--",
IF(J139="--",
(TR*LT*365)/(EFr*EDr*K139),
(TR*LT*365)/(TETmadj*K139))))</f>
        <v>--</v>
      </c>
      <c r="E139" s="224" t="str">
        <f t="shared" si="36"/>
        <v>--</v>
      </c>
      <c r="F139" s="293" t="str">
        <f>IF(MIN(G139,H139)=0,"--",MIN(G139,H139))</f>
        <v>--</v>
      </c>
      <c r="G139" s="157" t="str">
        <f t="shared" si="37"/>
        <v>--</v>
      </c>
      <c r="H139" s="224" t="str">
        <f t="shared" si="38"/>
        <v>--</v>
      </c>
      <c r="I139" s="276" t="str">
        <f t="shared" si="39"/>
        <v>NV</v>
      </c>
      <c r="J139" s="157" t="str">
        <f t="shared" si="33"/>
        <v>--</v>
      </c>
      <c r="K139" s="157" t="str">
        <f t="shared" si="34"/>
        <v>--</v>
      </c>
      <c r="L139" s="181" t="str">
        <f t="shared" si="35"/>
        <v>--</v>
      </c>
      <c r="M139" s="55"/>
      <c r="N139" s="55"/>
      <c r="O139" s="1"/>
      <c r="P139" s="1"/>
      <c r="Q139" s="1"/>
      <c r="R139" s="1"/>
    </row>
    <row r="140" spans="1:18" ht="11.25" customHeight="1">
      <c r="A140" s="153" t="s">
        <v>335</v>
      </c>
      <c r="B140" s="281" t="s">
        <v>336</v>
      </c>
      <c r="C140" s="293" t="str">
        <f t="shared" ref="C140:C143" si="42">IF(MIN(D140,E140)=0,"--",MIN(D140,E140))</f>
        <v>--</v>
      </c>
      <c r="D140" s="506" t="str">
        <f>IF(I140="NV","--",
IF(K140="--","--",
IF(J140="--",
(TR*LT*365)/(EFr*EDr*K140),
(TR*LT*365)/(TETmadj*K140))))</f>
        <v>--</v>
      </c>
      <c r="E140" s="224" t="str">
        <f t="shared" si="36"/>
        <v>--</v>
      </c>
      <c r="F140" s="293" t="str">
        <f t="shared" ref="F140:F143" si="43">IF(MIN(G140,H140)=0,"--",MIN(G140,H140))</f>
        <v>--</v>
      </c>
      <c r="G140" s="157" t="str">
        <f t="shared" si="37"/>
        <v>--</v>
      </c>
      <c r="H140" s="224" t="str">
        <f t="shared" si="38"/>
        <v>--</v>
      </c>
      <c r="I140" s="276" t="str">
        <f t="shared" si="39"/>
        <v>NV</v>
      </c>
      <c r="J140" s="157" t="str">
        <f t="shared" si="33"/>
        <v>--</v>
      </c>
      <c r="K140" s="157">
        <f t="shared" si="34"/>
        <v>2.0000000000000002E-5</v>
      </c>
      <c r="L140" s="181" t="str">
        <f t="shared" si="35"/>
        <v>--</v>
      </c>
      <c r="M140" s="55"/>
      <c r="N140" s="55"/>
      <c r="O140" s="1"/>
      <c r="P140" s="1"/>
      <c r="Q140" s="1"/>
      <c r="R140" s="1"/>
    </row>
    <row r="141" spans="1:18" ht="11.25" customHeight="1">
      <c r="A141" s="153" t="s">
        <v>337</v>
      </c>
      <c r="B141" s="281" t="s">
        <v>338</v>
      </c>
      <c r="C141" s="293">
        <f t="shared" si="42"/>
        <v>0.31285714285714283</v>
      </c>
      <c r="D141" s="506" t="str">
        <f>IF(I141="NV","--",
IF(K141="--","--",
IF(J141="--",
(TR*LT*365)/(EFr*EDr*K141),
(TR*LT*365)/(TETmadj*K141))))</f>
        <v>--</v>
      </c>
      <c r="E141" s="224">
        <f t="shared" si="36"/>
        <v>0.31285714285714283</v>
      </c>
      <c r="F141" s="293">
        <f t="shared" si="43"/>
        <v>1.3139999999999998</v>
      </c>
      <c r="G141" s="157" t="str">
        <f t="shared" si="37"/>
        <v>--</v>
      </c>
      <c r="H141" s="224">
        <f t="shared" si="38"/>
        <v>1.3139999999999998</v>
      </c>
      <c r="I141" s="276" t="str">
        <f t="shared" si="39"/>
        <v>V</v>
      </c>
      <c r="J141" s="157" t="str">
        <f t="shared" si="33"/>
        <v>Yes</v>
      </c>
      <c r="K141" s="157" t="str">
        <f t="shared" si="34"/>
        <v>--</v>
      </c>
      <c r="L141" s="181">
        <f t="shared" si="35"/>
        <v>0.3</v>
      </c>
      <c r="M141" s="55"/>
      <c r="N141" s="55"/>
      <c r="O141" s="1"/>
      <c r="P141" s="1"/>
      <c r="Q141" s="1"/>
      <c r="R141" s="1"/>
    </row>
    <row r="142" spans="1:18" ht="11.25" customHeight="1">
      <c r="A142" s="153" t="s">
        <v>339</v>
      </c>
      <c r="B142" s="281" t="s">
        <v>340</v>
      </c>
      <c r="C142" s="293" t="str">
        <f t="shared" si="42"/>
        <v>--</v>
      </c>
      <c r="D142" s="506" t="str">
        <f>IF(I142="NV","--",
IF(K142="--","--",
IF(J142="--",
(TR*LT*365)/(EFr*EDr*K142),
(TR*LT*365)/(TETmadj*K142))))</f>
        <v>--</v>
      </c>
      <c r="E142" s="224" t="str">
        <f t="shared" si="36"/>
        <v>--</v>
      </c>
      <c r="F142" s="293" t="str">
        <f t="shared" si="43"/>
        <v>--</v>
      </c>
      <c r="G142" s="157" t="str">
        <f t="shared" si="37"/>
        <v>--</v>
      </c>
      <c r="H142" s="224" t="str">
        <f t="shared" si="38"/>
        <v>--</v>
      </c>
      <c r="I142" s="276" t="str">
        <f t="shared" si="39"/>
        <v>NV</v>
      </c>
      <c r="J142" s="157" t="str">
        <f t="shared" si="33"/>
        <v>--</v>
      </c>
      <c r="K142" s="157" t="str">
        <f t="shared" si="34"/>
        <v>--</v>
      </c>
      <c r="L142" s="181">
        <f t="shared" si="35"/>
        <v>0.1</v>
      </c>
      <c r="M142" s="55"/>
      <c r="N142" s="55"/>
      <c r="O142" s="1"/>
      <c r="P142" s="1"/>
      <c r="Q142" s="1"/>
      <c r="R142" s="1"/>
    </row>
    <row r="143" spans="1:18" ht="11.25" customHeight="1">
      <c r="A143" s="896" t="s">
        <v>341</v>
      </c>
      <c r="B143" s="281" t="s">
        <v>342</v>
      </c>
      <c r="C143" s="293">
        <f t="shared" si="42"/>
        <v>9.4535094535094528E-3</v>
      </c>
      <c r="D143" s="363">
        <f>TR/(K143+(K143*EFr*EDr*ETr/24/365/LT))</f>
        <v>9.4535094535094528E-3</v>
      </c>
      <c r="E143" s="224">
        <f t="shared" si="36"/>
        <v>53.185714285714283</v>
      </c>
      <c r="F143" s="293">
        <f t="shared" si="43"/>
        <v>0.1572307692307692</v>
      </c>
      <c r="G143" s="157">
        <f t="shared" si="37"/>
        <v>0.1572307692307692</v>
      </c>
      <c r="H143" s="224">
        <f t="shared" si="38"/>
        <v>223.38</v>
      </c>
      <c r="I143" s="276" t="str">
        <f t="shared" si="39"/>
        <v>V</v>
      </c>
      <c r="J143" s="157" t="str">
        <f t="shared" si="33"/>
        <v>Yes</v>
      </c>
      <c r="K143" s="157">
        <f t="shared" si="34"/>
        <v>7.7999999999999999E-5</v>
      </c>
      <c r="L143" s="181">
        <f t="shared" si="35"/>
        <v>51</v>
      </c>
      <c r="M143" s="55"/>
      <c r="N143" s="55"/>
      <c r="O143" s="1"/>
      <c r="P143" s="1"/>
      <c r="Q143" s="1"/>
      <c r="R143" s="1"/>
    </row>
    <row r="144" spans="1:18" ht="11.25" customHeight="1">
      <c r="A144" s="153" t="s">
        <v>343</v>
      </c>
      <c r="B144" s="281" t="s">
        <v>344</v>
      </c>
      <c r="C144" s="293">
        <f>IF(MIN(D144,E144)=0,"--",MIN(D144,E144))</f>
        <v>104.28571428571429</v>
      </c>
      <c r="D144" s="506" t="str">
        <f>IF(I144="NV","--",
IF(K144="--","--",
IF(J144="--",
(TR*LT*365)/(EFr*EDr*K144),
(TR*LT*365)/(TETmadj*K144))))</f>
        <v>--</v>
      </c>
      <c r="E144" s="224">
        <f t="shared" si="36"/>
        <v>104.28571428571429</v>
      </c>
      <c r="F144" s="293">
        <f>IF(MIN(G144,H144)=0,"--",MIN(G144,H144))</f>
        <v>437.99999999999994</v>
      </c>
      <c r="G144" s="157" t="str">
        <f t="shared" si="37"/>
        <v>--</v>
      </c>
      <c r="H144" s="224">
        <f t="shared" si="38"/>
        <v>437.99999999999994</v>
      </c>
      <c r="I144" s="276" t="str">
        <f t="shared" si="39"/>
        <v>V</v>
      </c>
      <c r="J144" s="157" t="str">
        <f t="shared" si="33"/>
        <v>--</v>
      </c>
      <c r="K144" s="157" t="str">
        <f t="shared" si="34"/>
        <v>--</v>
      </c>
      <c r="L144" s="181">
        <f t="shared" si="35"/>
        <v>100</v>
      </c>
      <c r="M144" s="55"/>
      <c r="N144" s="55"/>
      <c r="O144" s="1"/>
      <c r="P144" s="1"/>
      <c r="Q144" s="1"/>
      <c r="R144" s="1"/>
    </row>
    <row r="145" spans="1:18" ht="11.25" customHeight="1" thickBot="1">
      <c r="A145" s="153" t="s">
        <v>345</v>
      </c>
      <c r="B145" s="281" t="s">
        <v>346</v>
      </c>
      <c r="C145" s="293" t="str">
        <f>IF(MIN(D145,E145)=0,"--",MIN(D145,E145))</f>
        <v>--</v>
      </c>
      <c r="D145" s="506" t="str">
        <f>IF(I145="NV","--",
IF(K145="--","--",
IF(J145="--",
(TR*LT*365)/(EFr*EDr*K145),
(TR*LT*365)/(TETmadj*K145))))</f>
        <v>--</v>
      </c>
      <c r="E145" s="224" t="str">
        <f t="shared" si="36"/>
        <v>--</v>
      </c>
      <c r="F145" s="293" t="str">
        <f t="shared" ref="F145" si="44">IF(MIN(G145,H145)=0,"--",MIN(G145,H145))</f>
        <v>--</v>
      </c>
      <c r="G145" s="157" t="str">
        <f t="shared" si="37"/>
        <v>--</v>
      </c>
      <c r="H145" s="224" t="str">
        <f t="shared" si="38"/>
        <v>--</v>
      </c>
      <c r="I145" s="276" t="str">
        <f t="shared" si="39"/>
        <v>NV</v>
      </c>
      <c r="J145" s="157" t="str">
        <f t="shared" si="33"/>
        <v>--</v>
      </c>
      <c r="K145" s="157" t="str">
        <f t="shared" si="34"/>
        <v>--</v>
      </c>
      <c r="L145" s="181" t="str">
        <f t="shared" si="35"/>
        <v>--</v>
      </c>
      <c r="M145" s="55"/>
      <c r="N145" s="55"/>
      <c r="O145" s="1"/>
      <c r="P145" s="1"/>
      <c r="Q145" s="1"/>
      <c r="R145" s="1"/>
    </row>
    <row r="146" spans="1:18" ht="11.25" customHeight="1" thickTop="1">
      <c r="A146" s="29" t="s">
        <v>347</v>
      </c>
      <c r="B146" s="316"/>
      <c r="C146" s="316"/>
      <c r="D146" s="316"/>
      <c r="E146" s="17"/>
      <c r="F146" s="17"/>
      <c r="G146" s="17"/>
      <c r="H146" s="17"/>
      <c r="I146" s="17"/>
      <c r="J146" s="17"/>
      <c r="K146" s="17"/>
      <c r="L146" s="269"/>
      <c r="M146" s="57"/>
      <c r="N146" s="57"/>
      <c r="O146" s="55"/>
      <c r="P146" s="55"/>
      <c r="Q146" s="1"/>
      <c r="R146" s="1"/>
    </row>
    <row r="147" spans="1:18" ht="11.25" customHeight="1">
      <c r="A147" s="2" t="s">
        <v>1056</v>
      </c>
      <c r="B147" s="114"/>
      <c r="C147" s="114"/>
      <c r="D147" s="114"/>
      <c r="L147" s="167"/>
      <c r="M147" s="57"/>
      <c r="N147" s="57"/>
      <c r="O147" s="55"/>
      <c r="P147" s="55"/>
      <c r="Q147" s="1"/>
      <c r="R147" s="1"/>
    </row>
    <row r="148" spans="1:18" ht="14.25" customHeight="1">
      <c r="A148" s="2" t="s">
        <v>1037</v>
      </c>
      <c r="B148" s="23"/>
      <c r="C148" s="23"/>
      <c r="D148" s="23"/>
      <c r="L148" s="167"/>
      <c r="M148" s="57"/>
      <c r="N148" s="57"/>
      <c r="O148" s="55"/>
      <c r="P148" s="55"/>
      <c r="Q148" s="1"/>
      <c r="R148" s="1"/>
    </row>
    <row r="149" spans="1:18" ht="11.25" customHeight="1">
      <c r="A149" s="595" t="s">
        <v>1057</v>
      </c>
      <c r="B149" s="1169"/>
      <c r="C149" s="1169"/>
      <c r="D149" s="1169"/>
      <c r="E149" s="1143"/>
      <c r="F149" s="1143"/>
      <c r="G149" s="1143"/>
      <c r="H149" s="1143"/>
      <c r="I149" s="1143"/>
      <c r="J149" s="1143"/>
      <c r="K149" s="1143"/>
      <c r="L149" s="1170"/>
      <c r="M149" s="57"/>
      <c r="N149" s="57"/>
      <c r="O149" s="55"/>
      <c r="P149" s="55"/>
      <c r="Q149" s="1"/>
      <c r="R149" s="1"/>
    </row>
    <row r="150" spans="1:18" ht="12.75" customHeight="1">
      <c r="A150" s="595" t="s">
        <v>726</v>
      </c>
      <c r="B150" s="881"/>
      <c r="C150" s="881"/>
      <c r="D150" s="881"/>
      <c r="E150" s="1143"/>
      <c r="F150" s="1143"/>
      <c r="G150" s="1143"/>
      <c r="H150" s="1143"/>
      <c r="I150" s="1143"/>
      <c r="J150" s="1143"/>
      <c r="K150" s="1143"/>
      <c r="L150" s="1170"/>
      <c r="M150" s="57"/>
      <c r="N150" s="57"/>
      <c r="O150" s="55"/>
      <c r="P150" s="55"/>
      <c r="Q150" s="1"/>
      <c r="R150" s="1"/>
    </row>
    <row r="151" spans="1:18" ht="22.5" customHeight="1">
      <c r="A151" s="2789" t="s">
        <v>1058</v>
      </c>
      <c r="B151" s="2790"/>
      <c r="C151" s="2790"/>
      <c r="D151" s="2790"/>
      <c r="E151" s="2790"/>
      <c r="F151" s="2790"/>
      <c r="G151" s="2790"/>
      <c r="H151" s="2790"/>
      <c r="I151" s="2790"/>
      <c r="J151" s="2790"/>
      <c r="K151" s="2790"/>
      <c r="L151" s="2791"/>
      <c r="M151" s="57"/>
      <c r="N151" s="57"/>
      <c r="O151" s="55"/>
      <c r="P151" s="55"/>
      <c r="Q151" s="1"/>
      <c r="R151" s="1"/>
    </row>
    <row r="152" spans="1:18" ht="11.25" customHeight="1">
      <c r="A152" s="1132" t="s">
        <v>348</v>
      </c>
      <c r="B152" s="1"/>
      <c r="C152" s="1"/>
      <c r="D152" s="1"/>
      <c r="L152" s="167"/>
      <c r="M152" s="57"/>
      <c r="N152" s="57"/>
      <c r="O152" s="55"/>
      <c r="P152" s="55"/>
      <c r="Q152" s="1"/>
      <c r="R152" s="1"/>
    </row>
    <row r="153" spans="1:18">
      <c r="A153" s="1133" t="s">
        <v>349</v>
      </c>
      <c r="B153" s="1"/>
      <c r="C153" s="1"/>
      <c r="D153" s="1"/>
      <c r="L153" s="167"/>
      <c r="M153" s="57"/>
      <c r="N153" s="57"/>
      <c r="O153" s="55"/>
      <c r="P153" s="55"/>
      <c r="Q153" s="1"/>
      <c r="R153" s="1"/>
    </row>
    <row r="154" spans="1:18">
      <c r="A154" s="1133" t="s">
        <v>350</v>
      </c>
      <c r="B154" s="1"/>
      <c r="C154" s="1"/>
      <c r="D154" s="1"/>
      <c r="L154" s="167"/>
      <c r="N154" s="55"/>
      <c r="Q154" s="55"/>
      <c r="R154" s="55"/>
    </row>
    <row r="155" spans="1:18">
      <c r="A155" s="1133" t="s">
        <v>351</v>
      </c>
      <c r="B155" s="1"/>
      <c r="C155" s="1"/>
      <c r="D155" s="1"/>
      <c r="L155" s="167"/>
      <c r="N155" s="55"/>
      <c r="Q155" s="55"/>
      <c r="R155" s="55"/>
    </row>
    <row r="156" spans="1:18">
      <c r="A156" s="1133" t="s">
        <v>397</v>
      </c>
      <c r="B156" s="1"/>
      <c r="C156" s="1"/>
      <c r="D156" s="1"/>
      <c r="L156" s="167"/>
      <c r="N156" s="55"/>
      <c r="Q156" s="55"/>
      <c r="R156" s="55"/>
    </row>
    <row r="157" spans="1:18">
      <c r="A157" s="1133" t="s">
        <v>353</v>
      </c>
      <c r="B157" s="1"/>
      <c r="C157" s="1"/>
      <c r="D157" s="1"/>
      <c r="L157" s="167"/>
      <c r="N157" s="55"/>
      <c r="Q157" s="55"/>
      <c r="R157" s="55"/>
    </row>
    <row r="158" spans="1:18">
      <c r="A158" s="1133" t="s">
        <v>354</v>
      </c>
      <c r="B158" s="1"/>
      <c r="C158" s="1"/>
      <c r="D158" s="1"/>
      <c r="L158" s="167"/>
      <c r="N158" s="55"/>
      <c r="Q158" s="55"/>
      <c r="R158" s="55"/>
    </row>
    <row r="159" spans="1:18" ht="13.5" thickBot="1">
      <c r="A159" s="9" t="s">
        <v>355</v>
      </c>
      <c r="B159" s="112"/>
      <c r="C159" s="112"/>
      <c r="D159" s="112"/>
      <c r="E159" s="28"/>
      <c r="F159" s="28"/>
      <c r="G159" s="28"/>
      <c r="H159" s="28"/>
      <c r="I159" s="28"/>
      <c r="J159" s="28"/>
      <c r="K159" s="28"/>
      <c r="L159" s="813"/>
      <c r="N159" s="55"/>
      <c r="Q159" s="55"/>
      <c r="R159" s="55"/>
    </row>
    <row r="160" spans="1:18" ht="13.5" thickTop="1">
      <c r="A160" s="1"/>
      <c r="B160" s="1"/>
      <c r="C160" s="1"/>
      <c r="D160" s="1"/>
      <c r="N160" s="55"/>
      <c r="Q160" s="55"/>
      <c r="R160" s="55"/>
    </row>
    <row r="161" spans="1:14">
      <c r="A161" s="1"/>
      <c r="B161" s="1"/>
      <c r="C161" s="1"/>
      <c r="D161" s="1"/>
      <c r="N161" s="55"/>
    </row>
    <row r="162" spans="1:14">
      <c r="A162" s="1"/>
      <c r="B162" s="1"/>
      <c r="C162" s="1"/>
      <c r="D162" s="1"/>
      <c r="N162" s="55"/>
    </row>
    <row r="163" spans="1:14">
      <c r="A163" s="1"/>
      <c r="B163" s="1"/>
      <c r="C163" s="1"/>
      <c r="D163" s="1"/>
      <c r="N163" s="55"/>
    </row>
    <row r="164" spans="1:14">
      <c r="A164" s="1"/>
      <c r="B164" s="1"/>
      <c r="C164" s="1"/>
      <c r="D164" s="1"/>
      <c r="N164" s="55"/>
    </row>
    <row r="165" spans="1:14">
      <c r="A165" s="1"/>
      <c r="B165" s="1"/>
      <c r="C165" s="1"/>
      <c r="D165" s="1"/>
      <c r="N165" s="55"/>
    </row>
    <row r="166" spans="1:14">
      <c r="A166" s="1"/>
      <c r="B166" s="1"/>
      <c r="C166" s="1"/>
      <c r="D166" s="1"/>
      <c r="N166" s="55"/>
    </row>
    <row r="167" spans="1:14">
      <c r="A167" s="1"/>
      <c r="B167" s="1"/>
      <c r="C167" s="1"/>
      <c r="D167" s="1"/>
      <c r="N167" s="55"/>
    </row>
    <row r="168" spans="1:14">
      <c r="A168" s="1"/>
      <c r="B168" s="1"/>
      <c r="C168" s="1"/>
      <c r="D168" s="1"/>
      <c r="N168" s="55"/>
    </row>
    <row r="169" spans="1:14">
      <c r="A169" s="1"/>
      <c r="B169" s="1"/>
      <c r="C169" s="1"/>
      <c r="D169" s="1"/>
      <c r="N169" s="55"/>
    </row>
    <row r="170" spans="1:14">
      <c r="A170" s="1"/>
      <c r="B170" s="1"/>
      <c r="C170" s="1"/>
      <c r="D170" s="1"/>
      <c r="N170" s="55"/>
    </row>
    <row r="171" spans="1:14">
      <c r="A171" s="1"/>
      <c r="B171" s="1"/>
      <c r="C171" s="1"/>
      <c r="D171" s="1"/>
      <c r="N171" s="55"/>
    </row>
    <row r="172" spans="1:14">
      <c r="A172" s="1"/>
      <c r="B172" s="1"/>
      <c r="C172" s="1"/>
      <c r="D172" s="1"/>
      <c r="N172" s="55"/>
    </row>
    <row r="173" spans="1:14">
      <c r="A173" s="1"/>
      <c r="B173" s="1"/>
      <c r="C173" s="1"/>
      <c r="D173" s="1"/>
      <c r="N173" s="55"/>
    </row>
    <row r="174" spans="1:14">
      <c r="A174" s="1"/>
      <c r="B174" s="1"/>
      <c r="C174" s="1"/>
      <c r="D174" s="1"/>
      <c r="N174" s="55"/>
    </row>
    <row r="175" spans="1:14">
      <c r="A175" s="1"/>
      <c r="B175" s="1"/>
      <c r="C175" s="1"/>
      <c r="D175" s="1"/>
      <c r="N175" s="55"/>
    </row>
    <row r="176" spans="1:14">
      <c r="A176" s="1"/>
      <c r="B176" s="1"/>
      <c r="C176" s="1"/>
      <c r="D176" s="1"/>
      <c r="N176" s="55"/>
    </row>
    <row r="177" spans="1:14">
      <c r="A177" s="1"/>
      <c r="B177" s="1"/>
      <c r="C177" s="1"/>
      <c r="D177" s="1"/>
      <c r="N177" s="55"/>
    </row>
    <row r="178" spans="1:14">
      <c r="A178" s="1"/>
      <c r="B178" s="1"/>
      <c r="C178" s="1"/>
      <c r="D178" s="1"/>
      <c r="N178" s="55"/>
    </row>
    <row r="179" spans="1:14">
      <c r="A179" s="1"/>
      <c r="B179" s="1"/>
      <c r="C179" s="1"/>
      <c r="D179" s="1"/>
      <c r="N179" s="55"/>
    </row>
    <row r="180" spans="1:14">
      <c r="A180" s="1"/>
      <c r="B180" s="1"/>
      <c r="C180" s="1"/>
      <c r="D180" s="1"/>
      <c r="N180" s="55"/>
    </row>
    <row r="181" spans="1:14">
      <c r="A181" s="1"/>
      <c r="B181" s="1"/>
      <c r="C181" s="1"/>
      <c r="D181" s="1"/>
      <c r="N181" s="55"/>
    </row>
    <row r="182" spans="1:14">
      <c r="A182" s="1"/>
      <c r="B182" s="1"/>
      <c r="C182" s="1"/>
      <c r="D182" s="1"/>
      <c r="N182" s="55"/>
    </row>
    <row r="183" spans="1:14">
      <c r="A183" s="1"/>
      <c r="B183" s="1"/>
      <c r="C183" s="1"/>
      <c r="D183" s="1"/>
      <c r="N183" s="55"/>
    </row>
    <row r="184" spans="1:14">
      <c r="A184" s="1"/>
      <c r="B184" s="1"/>
      <c r="C184" s="1"/>
      <c r="D184" s="1"/>
      <c r="N184" s="55"/>
    </row>
    <row r="185" spans="1:14">
      <c r="A185" s="1"/>
      <c r="B185" s="1"/>
      <c r="C185" s="1"/>
      <c r="D185" s="1"/>
      <c r="N185" s="55"/>
    </row>
    <row r="186" spans="1:14">
      <c r="A186" s="1"/>
      <c r="B186" s="1"/>
      <c r="C186" s="1"/>
      <c r="D186" s="1"/>
      <c r="N186" s="55"/>
    </row>
    <row r="187" spans="1:14">
      <c r="A187" s="1"/>
      <c r="B187" s="1"/>
      <c r="C187" s="1"/>
      <c r="D187" s="1"/>
      <c r="N187" s="55"/>
    </row>
    <row r="188" spans="1:14">
      <c r="A188" s="1"/>
      <c r="B188" s="1"/>
      <c r="C188" s="1"/>
      <c r="D188" s="1"/>
      <c r="N188" s="55"/>
    </row>
    <row r="189" spans="1:14">
      <c r="A189" s="1"/>
      <c r="B189" s="1"/>
      <c r="C189" s="1"/>
      <c r="D189" s="1"/>
      <c r="N189" s="55"/>
    </row>
    <row r="190" spans="1:14">
      <c r="A190" s="1"/>
      <c r="B190" s="1"/>
      <c r="C190" s="1"/>
      <c r="D190" s="1"/>
      <c r="N190" s="55"/>
    </row>
    <row r="191" spans="1:14">
      <c r="A191" s="1"/>
      <c r="B191" s="1"/>
      <c r="C191" s="1"/>
      <c r="D191" s="1"/>
      <c r="N191" s="55"/>
    </row>
    <row r="192" spans="1:14">
      <c r="A192" s="1"/>
      <c r="B192" s="1"/>
      <c r="C192" s="1"/>
      <c r="D192" s="1"/>
      <c r="N192" s="55"/>
    </row>
    <row r="193" spans="1:14">
      <c r="A193" s="1"/>
      <c r="B193" s="1"/>
      <c r="C193" s="1"/>
      <c r="D193" s="1"/>
      <c r="N193" s="55"/>
    </row>
    <row r="194" spans="1:14">
      <c r="A194" s="1"/>
      <c r="B194" s="1"/>
      <c r="C194" s="1"/>
      <c r="D194" s="1"/>
      <c r="N194" s="55"/>
    </row>
    <row r="195" spans="1:14">
      <c r="A195" s="1"/>
      <c r="B195" s="1"/>
      <c r="C195" s="1"/>
      <c r="D195" s="1"/>
      <c r="N195" s="55"/>
    </row>
    <row r="196" spans="1:14">
      <c r="A196" s="1"/>
      <c r="B196" s="1"/>
      <c r="C196" s="1"/>
      <c r="D196" s="1"/>
      <c r="N196" s="55"/>
    </row>
    <row r="197" spans="1:14">
      <c r="A197" s="1"/>
      <c r="B197" s="1"/>
      <c r="C197" s="1"/>
      <c r="D197" s="1"/>
      <c r="N197" s="55"/>
    </row>
    <row r="198" spans="1:14">
      <c r="A198" s="1"/>
      <c r="B198" s="1"/>
      <c r="C198" s="1"/>
      <c r="D198" s="1"/>
      <c r="N198" s="55"/>
    </row>
    <row r="199" spans="1:14">
      <c r="A199" s="1"/>
      <c r="B199" s="1"/>
      <c r="C199" s="1"/>
      <c r="D199" s="1"/>
      <c r="N199" s="55"/>
    </row>
    <row r="200" spans="1:14">
      <c r="A200" s="1"/>
      <c r="B200" s="1"/>
      <c r="C200" s="1"/>
      <c r="D200" s="1"/>
      <c r="N200" s="55"/>
    </row>
    <row r="201" spans="1:14">
      <c r="A201" s="1"/>
      <c r="B201" s="1"/>
      <c r="C201" s="1"/>
      <c r="D201" s="1"/>
      <c r="N201" s="55"/>
    </row>
    <row r="202" spans="1:14">
      <c r="A202" s="1"/>
      <c r="B202" s="1"/>
      <c r="C202" s="1"/>
      <c r="D202" s="1"/>
      <c r="N202" s="55"/>
    </row>
    <row r="203" spans="1:14">
      <c r="A203" s="1"/>
      <c r="B203" s="1"/>
      <c r="C203" s="1"/>
      <c r="D203" s="1"/>
      <c r="N203" s="55"/>
    </row>
    <row r="204" spans="1:14">
      <c r="A204" s="1"/>
      <c r="B204" s="1"/>
      <c r="C204" s="1"/>
      <c r="D204" s="1"/>
      <c r="N204" s="55"/>
    </row>
    <row r="205" spans="1:14">
      <c r="A205" s="1"/>
      <c r="B205" s="1"/>
      <c r="C205" s="1"/>
      <c r="D205" s="1"/>
      <c r="N205" s="55"/>
    </row>
    <row r="206" spans="1:14">
      <c r="A206" s="1"/>
      <c r="B206" s="1"/>
      <c r="C206" s="1"/>
      <c r="D206" s="1"/>
      <c r="N206" s="55"/>
    </row>
    <row r="207" spans="1:14">
      <c r="A207" s="1"/>
      <c r="B207" s="1"/>
      <c r="C207" s="1"/>
      <c r="D207" s="1"/>
      <c r="N207" s="55"/>
    </row>
    <row r="208" spans="1:14">
      <c r="A208" s="1"/>
      <c r="B208" s="1"/>
      <c r="C208" s="1"/>
      <c r="D208" s="1"/>
      <c r="N208" s="55"/>
    </row>
    <row r="209" spans="1:14">
      <c r="A209" s="1"/>
      <c r="B209" s="1"/>
      <c r="C209" s="1"/>
      <c r="D209" s="1"/>
      <c r="N209" s="55"/>
    </row>
    <row r="210" spans="1:14">
      <c r="A210" s="1"/>
      <c r="B210" s="1"/>
      <c r="C210" s="1"/>
      <c r="D210" s="1"/>
      <c r="N210" s="55"/>
    </row>
    <row r="211" spans="1:14">
      <c r="A211" s="1"/>
      <c r="B211" s="1"/>
      <c r="C211" s="1"/>
      <c r="D211" s="1"/>
      <c r="N211" s="55"/>
    </row>
    <row r="212" spans="1:14">
      <c r="A212" s="1"/>
      <c r="B212" s="1"/>
      <c r="C212" s="1"/>
      <c r="D212" s="1"/>
      <c r="N212" s="55"/>
    </row>
    <row r="213" spans="1:14">
      <c r="A213" s="1"/>
      <c r="B213" s="1"/>
      <c r="C213" s="1"/>
      <c r="D213" s="1"/>
    </row>
    <row r="214" spans="1:14">
      <c r="A214" s="1"/>
      <c r="B214" s="1"/>
      <c r="C214" s="1"/>
      <c r="D214" s="1"/>
    </row>
    <row r="215" spans="1:14">
      <c r="A215" s="1"/>
      <c r="B215" s="1"/>
      <c r="C215" s="1"/>
      <c r="D215" s="1"/>
    </row>
    <row r="216" spans="1:14">
      <c r="A216" s="1"/>
      <c r="B216" s="1"/>
      <c r="C216" s="1"/>
      <c r="D216" s="1"/>
    </row>
    <row r="217" spans="1:14">
      <c r="A217" s="1"/>
      <c r="B217" s="1"/>
      <c r="C217" s="1"/>
      <c r="D217" s="1"/>
    </row>
    <row r="218" spans="1:14">
      <c r="A218" s="1"/>
      <c r="B218" s="1"/>
      <c r="C218" s="1"/>
      <c r="D218" s="1"/>
    </row>
    <row r="219" spans="1:14">
      <c r="A219" s="1"/>
      <c r="B219" s="1"/>
      <c r="C219" s="1"/>
      <c r="D219" s="1"/>
    </row>
    <row r="220" spans="1:14">
      <c r="A220" s="1"/>
      <c r="B220" s="1"/>
      <c r="C220" s="1"/>
      <c r="D220" s="1"/>
    </row>
    <row r="221" spans="1:14">
      <c r="A221" s="1"/>
      <c r="B221" s="1"/>
      <c r="C221" s="1"/>
      <c r="D221" s="1"/>
    </row>
    <row r="222" spans="1:14">
      <c r="A222" s="1"/>
      <c r="B222" s="1"/>
      <c r="C222" s="1"/>
      <c r="D222" s="1"/>
    </row>
    <row r="223" spans="1:14">
      <c r="A223" s="1"/>
      <c r="B223" s="1"/>
      <c r="C223" s="1"/>
      <c r="D223" s="1"/>
    </row>
    <row r="224" spans="1:14">
      <c r="A224" s="1"/>
      <c r="B224" s="1"/>
      <c r="C224" s="1"/>
      <c r="D224" s="1"/>
    </row>
    <row r="225" spans="1:4">
      <c r="A225" s="1"/>
      <c r="B225" s="1"/>
      <c r="C225" s="1"/>
      <c r="D225" s="1"/>
    </row>
    <row r="226" spans="1:4">
      <c r="A226" s="1"/>
      <c r="B226" s="1"/>
      <c r="C226" s="1"/>
      <c r="D226" s="1"/>
    </row>
  </sheetData>
  <sheetProtection algorithmName="SHA-512" hashValue="9UnHO7YV7pCJsfGQ56ttTfWpQsat9kSouXvVjCK7lNNn4gm4GH3mWlSOLwRYzg2w06gVRJRjtSzYDgU3JRnb9Q==" saltValue="Fn/z66zXjCBEDWuQQhwf6g==" spinCount="100000" sheet="1" sort="0" autoFilter="0"/>
  <autoFilter ref="A5:B130" xr:uid="{00000000-0009-0000-0000-000018000000}"/>
  <mergeCells count="10">
    <mergeCell ref="A151:L151"/>
    <mergeCell ref="A2:L2"/>
    <mergeCell ref="I4:I5"/>
    <mergeCell ref="I3:L3"/>
    <mergeCell ref="J4:J5"/>
    <mergeCell ref="A3:B3"/>
    <mergeCell ref="A4:A5"/>
    <mergeCell ref="B4:B5"/>
    <mergeCell ref="C3:E3"/>
    <mergeCell ref="F3:H3"/>
  </mergeCells>
  <phoneticPr fontId="0" type="noConversion"/>
  <printOptions horizontalCentered="1"/>
  <pageMargins left="0.7" right="0.7" top="0.75" bottom="0.5" header="0.3" footer="0.3"/>
  <pageSetup scale="66" fitToHeight="0" orientation="landscape" r:id="rId1"/>
  <headerFooter alignWithMargins="0">
    <oddFooter>&amp;C&amp;P of &amp;N&amp;R&amp;A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L168"/>
  <sheetViews>
    <sheetView showGridLines="0" zoomScale="110" zoomScaleNormal="110" workbookViewId="0">
      <pane xSplit="2" ySplit="4" topLeftCell="C5" activePane="bottomRight" state="frozen"/>
      <selection pane="topRight" activeCell="C1" sqref="C1"/>
      <selection pane="bottomLeft" activeCell="A5" sqref="A5"/>
      <selection pane="bottomRight" activeCell="A3" sqref="A3:B3"/>
    </sheetView>
  </sheetViews>
  <sheetFormatPr defaultColWidth="9.140625" defaultRowHeight="11.25"/>
  <cols>
    <col min="1" max="1" width="40.7109375" style="3" customWidth="1"/>
    <col min="2" max="2" width="15.42578125" style="22" customWidth="1"/>
    <col min="3" max="3" width="24.140625" style="4" customWidth="1"/>
    <col min="4" max="4" width="21.5703125" style="22" customWidth="1"/>
    <col min="5" max="5" width="9.5703125" style="22" bestFit="1" customWidth="1"/>
    <col min="6" max="6" width="9.5703125" style="22" hidden="1" customWidth="1"/>
    <col min="7" max="7" width="12.5703125" style="36" customWidth="1"/>
    <col min="8" max="8" width="11.5703125" style="3" customWidth="1"/>
    <col min="9" max="9" width="12.5703125" style="3" customWidth="1"/>
    <col min="10" max="10" width="12" style="3" customWidth="1"/>
    <col min="11" max="11" width="17.42578125" style="3" bestFit="1" customWidth="1"/>
    <col min="12" max="16384" width="9.140625" style="3"/>
  </cols>
  <sheetData>
    <row r="1" spans="1:12" hidden="1">
      <c r="A1" s="3" t="s">
        <v>1059</v>
      </c>
      <c r="C1" s="4" t="s">
        <v>456</v>
      </c>
    </row>
    <row r="2" spans="1:12" s="23" customFormat="1" ht="65.25" customHeight="1" thickBot="1">
      <c r="A2" s="928" t="s">
        <v>1060</v>
      </c>
      <c r="B2" s="277"/>
      <c r="C2" s="277"/>
      <c r="D2" s="277"/>
      <c r="E2" s="100"/>
      <c r="K2" s="2023"/>
      <c r="L2" s="2023"/>
    </row>
    <row r="3" spans="1:12" s="127" customFormat="1" ht="14.25" thickTop="1" thickBot="1">
      <c r="A3" s="2800" t="str">
        <f>'Tier 1 ESL'!A6:F6</f>
        <v>2025 (Rev 4)</v>
      </c>
      <c r="B3" s="2607"/>
      <c r="C3" s="2801" t="s">
        <v>1061</v>
      </c>
      <c r="D3" s="2802" t="s">
        <v>1062</v>
      </c>
    </row>
    <row r="4" spans="1:12" s="125" customFormat="1" ht="48.75" customHeight="1" thickBot="1">
      <c r="A4" s="1982" t="s">
        <v>661</v>
      </c>
      <c r="B4" s="1983" t="s">
        <v>80</v>
      </c>
      <c r="C4" s="2487"/>
      <c r="D4" s="2803"/>
    </row>
    <row r="5" spans="1:12" ht="11.25" customHeight="1">
      <c r="A5" s="2" t="s">
        <v>391</v>
      </c>
      <c r="B5" s="922" t="s">
        <v>392</v>
      </c>
      <c r="C5" s="297">
        <f t="shared" ref="C5" si="0">D5</f>
        <v>30862</v>
      </c>
      <c r="D5" s="299">
        <f>VLOOKUP($A5,Table_IP_1, MATCH("50p-ORT-m", heading_IP_1, 0), FALSE)</f>
        <v>30862</v>
      </c>
      <c r="E5" s="3"/>
      <c r="F5" s="3"/>
      <c r="G5" s="3"/>
    </row>
    <row r="6" spans="1:12" ht="11.25" customHeight="1">
      <c r="A6" s="136" t="s">
        <v>85</v>
      </c>
      <c r="B6" s="166" t="s">
        <v>86</v>
      </c>
      <c r="C6" s="298">
        <f t="shared" ref="C6:C69" si="1">D6</f>
        <v>263</v>
      </c>
      <c r="D6" s="299">
        <f t="shared" ref="D6:D36" si="2">VLOOKUP($A6,Table_IP_1, MATCH("50p-ORT-m", heading_IP_1, 0), FALSE)</f>
        <v>263</v>
      </c>
      <c r="E6" s="3"/>
      <c r="F6" s="3"/>
      <c r="G6" s="3"/>
    </row>
    <row r="7" spans="1:12" ht="11.25" customHeight="1">
      <c r="A7" s="136" t="s">
        <v>87</v>
      </c>
      <c r="B7" s="166" t="s">
        <v>88</v>
      </c>
      <c r="C7" s="298" t="str">
        <f t="shared" si="1"/>
        <v>--</v>
      </c>
      <c r="D7" s="299" t="str">
        <f t="shared" si="2"/>
        <v>--</v>
      </c>
      <c r="E7" s="3"/>
      <c r="F7" s="3"/>
      <c r="G7" s="3"/>
    </row>
    <row r="8" spans="1:12" ht="11.25" customHeight="1">
      <c r="A8" s="136" t="s">
        <v>89</v>
      </c>
      <c r="B8" s="166" t="s">
        <v>90</v>
      </c>
      <c r="C8" s="298" t="str">
        <f t="shared" si="1"/>
        <v>--</v>
      </c>
      <c r="D8" s="299" t="str">
        <f t="shared" si="2"/>
        <v>--</v>
      </c>
      <c r="E8" s="3"/>
      <c r="F8" s="3"/>
      <c r="G8" s="3"/>
    </row>
    <row r="9" spans="1:12" ht="11.25" customHeight="1">
      <c r="A9" s="136" t="s">
        <v>91</v>
      </c>
      <c r="B9" s="166" t="s">
        <v>92</v>
      </c>
      <c r="C9" s="298" t="str">
        <f t="shared" si="1"/>
        <v>--</v>
      </c>
      <c r="D9" s="299" t="str">
        <f t="shared" si="2"/>
        <v>--</v>
      </c>
      <c r="E9" s="3"/>
      <c r="F9" s="3"/>
      <c r="G9" s="3"/>
    </row>
    <row r="10" spans="1:12" ht="11.25" customHeight="1">
      <c r="A10" s="136" t="s">
        <v>93</v>
      </c>
      <c r="B10" s="166" t="s">
        <v>94</v>
      </c>
      <c r="C10" s="298">
        <f t="shared" si="1"/>
        <v>4890</v>
      </c>
      <c r="D10" s="299">
        <f t="shared" si="2"/>
        <v>4890</v>
      </c>
      <c r="E10" s="3"/>
      <c r="F10" s="3"/>
      <c r="G10" s="3"/>
    </row>
    <row r="11" spans="1:12" ht="11.25" customHeight="1">
      <c r="A11" s="136" t="s">
        <v>95</v>
      </c>
      <c r="B11" s="166" t="s">
        <v>96</v>
      </c>
      <c r="C11" s="298" t="str">
        <f t="shared" si="1"/>
        <v>--</v>
      </c>
      <c r="D11" s="299" t="str">
        <f t="shared" si="2"/>
        <v>--</v>
      </c>
      <c r="E11" s="3"/>
      <c r="F11" s="3"/>
      <c r="G11" s="3"/>
    </row>
    <row r="12" spans="1:12" ht="11.25" customHeight="1">
      <c r="A12" s="136" t="s">
        <v>97</v>
      </c>
      <c r="B12" s="166" t="s">
        <v>98</v>
      </c>
      <c r="C12" s="298">
        <f t="shared" si="1"/>
        <v>60</v>
      </c>
      <c r="D12" s="299">
        <f t="shared" si="2"/>
        <v>60</v>
      </c>
      <c r="E12" s="3"/>
      <c r="F12" s="3"/>
      <c r="G12" s="3"/>
    </row>
    <row r="13" spans="1:12" ht="11.25" customHeight="1">
      <c r="A13" s="136" t="s">
        <v>99</v>
      </c>
      <c r="B13" s="166" t="s">
        <v>100</v>
      </c>
      <c r="C13" s="298">
        <f t="shared" si="1"/>
        <v>287</v>
      </c>
      <c r="D13" s="299">
        <f t="shared" si="2"/>
        <v>287</v>
      </c>
      <c r="E13" s="3"/>
      <c r="F13" s="3"/>
      <c r="G13" s="3"/>
    </row>
    <row r="14" spans="1:12" ht="11.25" customHeight="1">
      <c r="A14" s="136" t="s">
        <v>101</v>
      </c>
      <c r="B14" s="166" t="s">
        <v>102</v>
      </c>
      <c r="C14" s="298">
        <f t="shared" si="1"/>
        <v>2240</v>
      </c>
      <c r="D14" s="299">
        <f t="shared" si="2"/>
        <v>2240</v>
      </c>
      <c r="E14" s="3"/>
      <c r="F14" s="3"/>
      <c r="G14" s="3"/>
    </row>
    <row r="15" spans="1:12" ht="11.25" customHeight="1">
      <c r="A15" s="136" t="s">
        <v>103</v>
      </c>
      <c r="B15" s="166" t="s">
        <v>104</v>
      </c>
      <c r="C15" s="298" t="str">
        <f t="shared" si="1"/>
        <v>--</v>
      </c>
      <c r="D15" s="299" t="str">
        <f t="shared" si="2"/>
        <v>--</v>
      </c>
      <c r="E15" s="3"/>
      <c r="F15" s="3"/>
      <c r="G15" s="3"/>
    </row>
    <row r="16" spans="1:12" ht="11.25" customHeight="1">
      <c r="A16" s="136" t="s">
        <v>105</v>
      </c>
      <c r="B16" s="166" t="s">
        <v>106</v>
      </c>
      <c r="C16" s="298" t="str">
        <f t="shared" si="1"/>
        <v>--</v>
      </c>
      <c r="D16" s="299" t="str">
        <f t="shared" si="2"/>
        <v>--</v>
      </c>
      <c r="E16" s="3"/>
      <c r="F16" s="3"/>
      <c r="G16" s="3"/>
    </row>
    <row r="17" spans="1:7" ht="11.25" customHeight="1">
      <c r="A17" s="136" t="s">
        <v>107</v>
      </c>
      <c r="B17" s="166" t="s">
        <v>108</v>
      </c>
      <c r="C17" s="298">
        <f t="shared" si="1"/>
        <v>11000000</v>
      </c>
      <c r="D17" s="299">
        <f t="shared" si="2"/>
        <v>11000000</v>
      </c>
      <c r="E17" s="3"/>
      <c r="F17" s="3"/>
      <c r="G17" s="3"/>
    </row>
    <row r="18" spans="1:7" ht="11.25" customHeight="1">
      <c r="A18" s="136" t="s">
        <v>109</v>
      </c>
      <c r="B18" s="166" t="s">
        <v>110</v>
      </c>
      <c r="C18" s="298">
        <f t="shared" si="1"/>
        <v>13450</v>
      </c>
      <c r="D18" s="299">
        <f t="shared" si="2"/>
        <v>13450</v>
      </c>
      <c r="E18" s="3"/>
      <c r="F18" s="3"/>
      <c r="G18" s="3"/>
    </row>
    <row r="19" spans="1:7" ht="11.25" customHeight="1">
      <c r="A19" s="136" t="s">
        <v>111</v>
      </c>
      <c r="B19" s="166" t="s">
        <v>112</v>
      </c>
      <c r="C19" s="298">
        <f t="shared" si="1"/>
        <v>80000</v>
      </c>
      <c r="D19" s="299">
        <f t="shared" si="2"/>
        <v>80000</v>
      </c>
      <c r="E19" s="3"/>
      <c r="F19" s="3"/>
      <c r="G19" s="3"/>
    </row>
    <row r="20" spans="1:7" ht="11.25" customHeight="1">
      <c r="A20" s="136" t="s">
        <v>113</v>
      </c>
      <c r="B20" s="166" t="s">
        <v>114</v>
      </c>
      <c r="C20" s="298" t="str">
        <f t="shared" si="1"/>
        <v>--</v>
      </c>
      <c r="D20" s="299" t="str">
        <f t="shared" si="2"/>
        <v>--</v>
      </c>
      <c r="E20" s="3"/>
      <c r="F20" s="3"/>
      <c r="G20" s="3"/>
    </row>
    <row r="21" spans="1:7" ht="11.25" customHeight="1">
      <c r="A21" s="136" t="s">
        <v>116</v>
      </c>
      <c r="B21" s="166" t="s">
        <v>114</v>
      </c>
      <c r="C21" s="298" t="str">
        <f t="shared" si="1"/>
        <v>--</v>
      </c>
      <c r="D21" s="299" t="str">
        <f t="shared" si="2"/>
        <v>--</v>
      </c>
      <c r="E21" s="3"/>
      <c r="F21" s="3"/>
      <c r="G21" s="3"/>
    </row>
    <row r="22" spans="1:7" ht="11.25" customHeight="1">
      <c r="A22" s="136" t="s">
        <v>117</v>
      </c>
      <c r="B22" s="166" t="s">
        <v>118</v>
      </c>
      <c r="C22" s="298">
        <f t="shared" si="1"/>
        <v>63000</v>
      </c>
      <c r="D22" s="299">
        <f t="shared" si="2"/>
        <v>63000</v>
      </c>
      <c r="E22" s="3"/>
      <c r="F22" s="3"/>
      <c r="G22" s="3"/>
    </row>
    <row r="23" spans="1:7" ht="11.25" customHeight="1">
      <c r="A23" s="136" t="s">
        <v>119</v>
      </c>
      <c r="B23" s="166" t="s">
        <v>120</v>
      </c>
      <c r="C23" s="298">
        <f t="shared" si="1"/>
        <v>8.4</v>
      </c>
      <c r="D23" s="299">
        <f t="shared" si="2"/>
        <v>8.4</v>
      </c>
      <c r="E23" s="3"/>
      <c r="F23" s="3"/>
      <c r="G23" s="3"/>
    </row>
    <row r="24" spans="1:7" ht="11.25" customHeight="1">
      <c r="A24" s="136" t="s">
        <v>121</v>
      </c>
      <c r="B24" s="166" t="s">
        <v>122</v>
      </c>
      <c r="C24" s="298" t="str">
        <f t="shared" si="1"/>
        <v>--</v>
      </c>
      <c r="D24" s="299" t="str">
        <f t="shared" si="2"/>
        <v>--</v>
      </c>
      <c r="E24" s="3"/>
      <c r="F24" s="3"/>
      <c r="G24" s="3"/>
    </row>
    <row r="25" spans="1:7" ht="11.25" customHeight="1">
      <c r="A25" s="136" t="s">
        <v>123</v>
      </c>
      <c r="B25" s="166" t="s">
        <v>124</v>
      </c>
      <c r="C25" s="298">
        <f t="shared" si="1"/>
        <v>1000</v>
      </c>
      <c r="D25" s="299">
        <f t="shared" si="2"/>
        <v>1000</v>
      </c>
      <c r="E25" s="3"/>
      <c r="F25" s="3"/>
      <c r="G25" s="3"/>
    </row>
    <row r="26" spans="1:7" ht="11.25" customHeight="1">
      <c r="A26" s="136" t="s">
        <v>125</v>
      </c>
      <c r="B26" s="166" t="s">
        <v>126</v>
      </c>
      <c r="C26" s="298">
        <f t="shared" si="1"/>
        <v>380000</v>
      </c>
      <c r="D26" s="299">
        <f t="shared" si="2"/>
        <v>380000</v>
      </c>
      <c r="E26" s="3"/>
      <c r="F26" s="3"/>
      <c r="G26" s="3"/>
    </row>
    <row r="27" spans="1:7" ht="11.25" customHeight="1">
      <c r="A27" s="136" t="s">
        <v>127</v>
      </c>
      <c r="B27" s="166" t="s">
        <v>128</v>
      </c>
      <c r="C27" s="298">
        <f t="shared" si="1"/>
        <v>421600</v>
      </c>
      <c r="D27" s="299">
        <f t="shared" si="2"/>
        <v>421600</v>
      </c>
      <c r="E27" s="3"/>
      <c r="F27" s="3"/>
      <c r="G27" s="3"/>
    </row>
    <row r="28" spans="1:7" ht="11.25" customHeight="1">
      <c r="A28" s="136" t="s">
        <v>129</v>
      </c>
      <c r="B28" s="166" t="s">
        <v>130</v>
      </c>
      <c r="C28" s="298" t="str">
        <f t="shared" si="1"/>
        <v>--</v>
      </c>
      <c r="D28" s="299" t="str">
        <f t="shared" si="2"/>
        <v>--</v>
      </c>
      <c r="E28" s="3"/>
      <c r="F28" s="3"/>
      <c r="G28" s="3"/>
    </row>
    <row r="29" spans="1:7" ht="11.25" customHeight="1">
      <c r="A29" s="136" t="s">
        <v>131</v>
      </c>
      <c r="B29" s="166" t="s">
        <v>132</v>
      </c>
      <c r="C29" s="298">
        <f t="shared" si="1"/>
        <v>19</v>
      </c>
      <c r="D29" s="299">
        <f t="shared" si="2"/>
        <v>19</v>
      </c>
      <c r="E29" s="3"/>
      <c r="F29" s="3"/>
      <c r="G29" s="3"/>
    </row>
    <row r="30" spans="1:7" ht="11.25" customHeight="1">
      <c r="A30" s="136" t="s">
        <v>133</v>
      </c>
      <c r="B30" s="166" t="s">
        <v>134</v>
      </c>
      <c r="C30" s="298" t="str">
        <f t="shared" si="1"/>
        <v>--</v>
      </c>
      <c r="D30" s="299" t="str">
        <f t="shared" si="2"/>
        <v>--</v>
      </c>
      <c r="E30" s="3"/>
      <c r="F30" s="3"/>
      <c r="G30" s="3"/>
    </row>
    <row r="31" spans="1:7" ht="11.25" customHeight="1">
      <c r="A31" s="136" t="s">
        <v>135</v>
      </c>
      <c r="B31" s="166" t="s">
        <v>136</v>
      </c>
      <c r="C31" s="298" t="str">
        <f t="shared" si="1"/>
        <v>--</v>
      </c>
      <c r="D31" s="299" t="str">
        <f t="shared" si="2"/>
        <v>--</v>
      </c>
      <c r="E31" s="3"/>
      <c r="F31" s="3"/>
      <c r="G31" s="3"/>
    </row>
    <row r="32" spans="1:7" ht="11.25" customHeight="1">
      <c r="A32" s="136" t="s">
        <v>137</v>
      </c>
      <c r="B32" s="166" t="s">
        <v>138</v>
      </c>
      <c r="C32" s="298" t="str">
        <f t="shared" si="1"/>
        <v>--</v>
      </c>
      <c r="D32" s="299" t="str">
        <f t="shared" si="2"/>
        <v>--</v>
      </c>
      <c r="E32" s="3"/>
      <c r="F32" s="3"/>
      <c r="G32" s="3"/>
    </row>
    <row r="33" spans="1:7" ht="11.25" customHeight="1">
      <c r="A33" s="136" t="s">
        <v>139</v>
      </c>
      <c r="B33" s="166" t="s">
        <v>140</v>
      </c>
      <c r="C33" s="298" t="str">
        <f t="shared" si="1"/>
        <v>--</v>
      </c>
      <c r="D33" s="299" t="str">
        <f t="shared" si="2"/>
        <v>--</v>
      </c>
      <c r="E33" s="3"/>
      <c r="F33" s="3"/>
      <c r="G33" s="3"/>
    </row>
    <row r="34" spans="1:7" ht="11.25" customHeight="1">
      <c r="A34" s="136" t="s">
        <v>141</v>
      </c>
      <c r="B34" s="166" t="s">
        <v>142</v>
      </c>
      <c r="C34" s="298" t="str">
        <f t="shared" si="1"/>
        <v>--</v>
      </c>
      <c r="D34" s="299" t="str">
        <f t="shared" si="2"/>
        <v>--</v>
      </c>
      <c r="E34" s="3"/>
      <c r="F34" s="3"/>
      <c r="G34" s="3"/>
    </row>
    <row r="35" spans="1:7" ht="11.25" customHeight="1">
      <c r="A35" s="136" t="s">
        <v>143</v>
      </c>
      <c r="B35" s="166" t="s">
        <v>144</v>
      </c>
      <c r="C35" s="298">
        <f t="shared" si="1"/>
        <v>652</v>
      </c>
      <c r="D35" s="299">
        <f t="shared" si="2"/>
        <v>652</v>
      </c>
      <c r="E35" s="3"/>
      <c r="F35" s="3"/>
      <c r="G35" s="3"/>
    </row>
    <row r="36" spans="1:7" ht="11.25" customHeight="1">
      <c r="A36" s="136" t="s">
        <v>145</v>
      </c>
      <c r="B36" s="166" t="s">
        <v>146</v>
      </c>
      <c r="C36" s="298" t="str">
        <f t="shared" si="1"/>
        <v>--</v>
      </c>
      <c r="D36" s="299" t="str">
        <f t="shared" si="2"/>
        <v>--</v>
      </c>
      <c r="E36" s="3"/>
      <c r="F36" s="3"/>
      <c r="G36" s="3"/>
    </row>
    <row r="37" spans="1:7" ht="11.25" customHeight="1">
      <c r="A37" s="136" t="s">
        <v>147</v>
      </c>
      <c r="B37" s="166" t="s">
        <v>148</v>
      </c>
      <c r="C37" s="298" t="str">
        <f t="shared" si="1"/>
        <v>--</v>
      </c>
      <c r="D37" s="299" t="str">
        <f t="shared" ref="D37:D68" si="3">VLOOKUP($A37,Table_IP_1, MATCH("50p-ORT-m", heading_IP_1, 0), FALSE)</f>
        <v>--</v>
      </c>
      <c r="E37" s="3"/>
      <c r="F37" s="3"/>
      <c r="G37" s="3"/>
    </row>
    <row r="38" spans="1:7" ht="11.25" customHeight="1">
      <c r="A38" s="136" t="s">
        <v>149</v>
      </c>
      <c r="B38" s="166" t="s">
        <v>150</v>
      </c>
      <c r="C38" s="298">
        <f t="shared" si="1"/>
        <v>200000</v>
      </c>
      <c r="D38" s="299">
        <f t="shared" si="3"/>
        <v>200000</v>
      </c>
      <c r="E38" s="3"/>
      <c r="F38" s="3"/>
      <c r="G38" s="3"/>
    </row>
    <row r="39" spans="1:7" ht="11.25" customHeight="1">
      <c r="A39" s="136" t="s">
        <v>151</v>
      </c>
      <c r="B39" s="166" t="s">
        <v>152</v>
      </c>
      <c r="C39" s="298">
        <f t="shared" si="1"/>
        <v>305000</v>
      </c>
      <c r="D39" s="299">
        <f t="shared" si="3"/>
        <v>305000</v>
      </c>
      <c r="E39" s="3"/>
      <c r="F39" s="3"/>
      <c r="G39" s="3"/>
    </row>
    <row r="40" spans="1:7" ht="11.25" customHeight="1">
      <c r="A40" s="136" t="s">
        <v>153</v>
      </c>
      <c r="B40" s="166" t="s">
        <v>154</v>
      </c>
      <c r="C40" s="298">
        <f t="shared" si="1"/>
        <v>1100</v>
      </c>
      <c r="D40" s="299">
        <f t="shared" si="3"/>
        <v>1100</v>
      </c>
      <c r="E40" s="3"/>
      <c r="F40" s="3"/>
      <c r="G40" s="3"/>
    </row>
    <row r="41" spans="1:7" ht="11.25" customHeight="1">
      <c r="A41" s="136" t="s">
        <v>155</v>
      </c>
      <c r="B41" s="166" t="s">
        <v>156</v>
      </c>
      <c r="C41" s="298" t="str">
        <f t="shared" si="1"/>
        <v>--</v>
      </c>
      <c r="D41" s="299" t="str">
        <f t="shared" si="3"/>
        <v>--</v>
      </c>
      <c r="E41" s="3"/>
      <c r="F41" s="3"/>
      <c r="G41" s="3"/>
    </row>
    <row r="42" spans="1:7" ht="11.25" customHeight="1">
      <c r="A42" s="136" t="s">
        <v>157</v>
      </c>
      <c r="B42" s="166" t="s">
        <v>158</v>
      </c>
      <c r="C42" s="298" t="str">
        <f t="shared" si="1"/>
        <v>--</v>
      </c>
      <c r="D42" s="299" t="str">
        <f t="shared" si="3"/>
        <v>--</v>
      </c>
      <c r="E42" s="3"/>
      <c r="F42" s="3"/>
      <c r="G42" s="3"/>
    </row>
    <row r="43" spans="1:7" ht="11.25" customHeight="1">
      <c r="A43" s="136" t="s">
        <v>159</v>
      </c>
      <c r="B43" s="166" t="s">
        <v>160</v>
      </c>
      <c r="C43" s="298" t="str">
        <f t="shared" si="1"/>
        <v>--</v>
      </c>
      <c r="D43" s="299" t="str">
        <f t="shared" si="3"/>
        <v>--</v>
      </c>
      <c r="E43" s="3"/>
      <c r="F43" s="3"/>
      <c r="G43" s="3"/>
    </row>
    <row r="44" spans="1:7" ht="11.25" customHeight="1">
      <c r="A44" s="136" t="s">
        <v>161</v>
      </c>
      <c r="B44" s="166" t="s">
        <v>162</v>
      </c>
      <c r="C44" s="298" t="str">
        <f t="shared" si="1"/>
        <v>--</v>
      </c>
      <c r="D44" s="299" t="str">
        <f t="shared" si="3"/>
        <v>--</v>
      </c>
      <c r="E44" s="3"/>
      <c r="F44" s="3"/>
      <c r="G44" s="3"/>
    </row>
    <row r="45" spans="1:7" ht="11.25" customHeight="1">
      <c r="A45" s="136" t="s">
        <v>163</v>
      </c>
      <c r="B45" s="166" t="s">
        <v>164</v>
      </c>
      <c r="C45" s="298">
        <f t="shared" si="1"/>
        <v>125000</v>
      </c>
      <c r="D45" s="299">
        <f t="shared" si="3"/>
        <v>125000</v>
      </c>
      <c r="E45" s="3"/>
      <c r="F45" s="3"/>
      <c r="G45" s="3"/>
    </row>
    <row r="46" spans="1:7" ht="11.25" customHeight="1">
      <c r="A46" s="136" t="s">
        <v>165</v>
      </c>
      <c r="B46" s="166" t="s">
        <v>166</v>
      </c>
      <c r="C46" s="298">
        <f t="shared" si="1"/>
        <v>2424</v>
      </c>
      <c r="D46" s="299">
        <f t="shared" si="3"/>
        <v>2424</v>
      </c>
      <c r="E46" s="3"/>
      <c r="F46" s="3"/>
      <c r="G46" s="3"/>
    </row>
    <row r="47" spans="1:7" ht="11.25" customHeight="1">
      <c r="A47" s="136" t="s">
        <v>167</v>
      </c>
      <c r="B47" s="166" t="s">
        <v>168</v>
      </c>
      <c r="C47" s="298">
        <f t="shared" si="1"/>
        <v>2000000</v>
      </c>
      <c r="D47" s="299">
        <f t="shared" si="3"/>
        <v>2000000</v>
      </c>
      <c r="E47" s="3"/>
      <c r="F47" s="3"/>
      <c r="G47" s="3"/>
    </row>
    <row r="48" spans="1:7" ht="11.25" customHeight="1">
      <c r="A48" s="136" t="s">
        <v>169</v>
      </c>
      <c r="B48" s="166" t="s">
        <v>170</v>
      </c>
      <c r="C48" s="298" t="str">
        <f t="shared" si="1"/>
        <v>--</v>
      </c>
      <c r="D48" s="299" t="str">
        <f t="shared" si="3"/>
        <v>--</v>
      </c>
      <c r="E48" s="3"/>
      <c r="F48" s="3"/>
      <c r="G48" s="3"/>
    </row>
    <row r="49" spans="1:7" ht="11.25" customHeight="1">
      <c r="A49" s="136" t="s">
        <v>171</v>
      </c>
      <c r="B49" s="166" t="s">
        <v>172</v>
      </c>
      <c r="C49" s="298">
        <f t="shared" si="1"/>
        <v>67320</v>
      </c>
      <c r="D49" s="299">
        <f t="shared" si="3"/>
        <v>67320</v>
      </c>
      <c r="E49" s="3"/>
      <c r="F49" s="3"/>
      <c r="G49" s="3"/>
    </row>
    <row r="50" spans="1:7" ht="11.25" customHeight="1">
      <c r="A50" s="136" t="s">
        <v>173</v>
      </c>
      <c r="B50" s="166" t="s">
        <v>174</v>
      </c>
      <c r="C50" s="298">
        <f t="shared" si="1"/>
        <v>1400</v>
      </c>
      <c r="D50" s="299">
        <f t="shared" si="3"/>
        <v>1400</v>
      </c>
      <c r="E50" s="3"/>
      <c r="F50" s="3"/>
      <c r="G50" s="3"/>
    </row>
    <row r="51" spans="1:7" ht="11.25" customHeight="1">
      <c r="A51" s="136" t="s">
        <v>175</v>
      </c>
      <c r="B51" s="166" t="s">
        <v>176</v>
      </c>
      <c r="C51" s="298">
        <f t="shared" si="1"/>
        <v>1190</v>
      </c>
      <c r="D51" s="299">
        <f t="shared" si="3"/>
        <v>1190</v>
      </c>
      <c r="E51" s="3"/>
      <c r="F51" s="3"/>
      <c r="G51" s="3"/>
    </row>
    <row r="52" spans="1:7" ht="11.25" customHeight="1">
      <c r="A52" s="136" t="s">
        <v>177</v>
      </c>
      <c r="B52" s="166" t="s">
        <v>178</v>
      </c>
      <c r="C52" s="298">
        <f t="shared" si="1"/>
        <v>4160</v>
      </c>
      <c r="D52" s="299">
        <f t="shared" si="3"/>
        <v>4160</v>
      </c>
      <c r="E52" s="3"/>
      <c r="F52" s="3"/>
      <c r="G52" s="3"/>
    </row>
    <row r="53" spans="1:7" ht="11.25" customHeight="1">
      <c r="A53" s="136" t="s">
        <v>179</v>
      </c>
      <c r="B53" s="166" t="s">
        <v>180</v>
      </c>
      <c r="C53" s="298" t="str">
        <f t="shared" si="1"/>
        <v>--</v>
      </c>
      <c r="D53" s="299" t="str">
        <f t="shared" si="3"/>
        <v>--</v>
      </c>
      <c r="E53" s="3"/>
      <c r="F53" s="3"/>
      <c r="G53" s="3"/>
    </row>
    <row r="54" spans="1:7" ht="11.25" customHeight="1">
      <c r="A54" s="136" t="s">
        <v>181</v>
      </c>
      <c r="B54" s="166" t="s">
        <v>182</v>
      </c>
      <c r="C54" s="298" t="str">
        <f t="shared" si="1"/>
        <v>--</v>
      </c>
      <c r="D54" s="299" t="str">
        <f t="shared" si="3"/>
        <v>--</v>
      </c>
      <c r="E54" s="3"/>
      <c r="F54" s="3"/>
      <c r="G54" s="3"/>
    </row>
    <row r="55" spans="1:7" ht="11.25" customHeight="1">
      <c r="A55" s="136" t="s">
        <v>183</v>
      </c>
      <c r="B55" s="166" t="s">
        <v>184</v>
      </c>
      <c r="C55" s="298">
        <f t="shared" si="1"/>
        <v>1</v>
      </c>
      <c r="D55" s="299">
        <f t="shared" si="3"/>
        <v>1</v>
      </c>
      <c r="E55" s="3"/>
      <c r="F55" s="3"/>
      <c r="G55" s="3"/>
    </row>
    <row r="56" spans="1:7" ht="11.25" customHeight="1">
      <c r="A56" s="136" t="s">
        <v>185</v>
      </c>
      <c r="B56" s="166" t="s">
        <v>186</v>
      </c>
      <c r="C56" s="298" t="str">
        <f t="shared" si="1"/>
        <v>--</v>
      </c>
      <c r="D56" s="299" t="str">
        <f t="shared" si="3"/>
        <v>--</v>
      </c>
      <c r="E56" s="3"/>
      <c r="F56" s="3"/>
      <c r="G56" s="3"/>
    </row>
    <row r="57" spans="1:7" ht="11.25" customHeight="1">
      <c r="A57" s="136" t="s">
        <v>187</v>
      </c>
      <c r="B57" s="166" t="s">
        <v>188</v>
      </c>
      <c r="C57" s="298" t="str">
        <f t="shared" si="1"/>
        <v>--</v>
      </c>
      <c r="D57" s="299" t="str">
        <f t="shared" si="3"/>
        <v>--</v>
      </c>
      <c r="E57" s="3"/>
      <c r="F57" s="3"/>
      <c r="G57" s="3"/>
    </row>
    <row r="58" spans="1:7" ht="11.25" customHeight="1">
      <c r="A58" s="136" t="s">
        <v>189</v>
      </c>
      <c r="B58" s="166" t="s">
        <v>190</v>
      </c>
      <c r="C58" s="298">
        <f t="shared" si="1"/>
        <v>612000</v>
      </c>
      <c r="D58" s="299">
        <f t="shared" si="3"/>
        <v>612000</v>
      </c>
      <c r="E58" s="3"/>
      <c r="F58" s="3"/>
      <c r="G58" s="3"/>
    </row>
    <row r="59" spans="1:7" ht="11.25" customHeight="1">
      <c r="A59" s="136" t="s">
        <v>191</v>
      </c>
      <c r="B59" s="166" t="s">
        <v>192</v>
      </c>
      <c r="C59" s="298" t="str">
        <f t="shared" si="1"/>
        <v>--</v>
      </c>
      <c r="D59" s="299" t="str">
        <f t="shared" si="3"/>
        <v>--</v>
      </c>
      <c r="E59" s="3"/>
      <c r="F59" s="3"/>
      <c r="G59" s="3"/>
    </row>
    <row r="60" spans="1:7" ht="11.25" customHeight="1">
      <c r="A60" s="136" t="s">
        <v>193</v>
      </c>
      <c r="B60" s="166" t="s">
        <v>194</v>
      </c>
      <c r="C60" s="298" t="str">
        <f t="shared" si="1"/>
        <v>--</v>
      </c>
      <c r="D60" s="299" t="str">
        <f t="shared" si="3"/>
        <v>--</v>
      </c>
      <c r="E60" s="3"/>
      <c r="F60" s="3"/>
      <c r="G60" s="3"/>
    </row>
    <row r="61" spans="1:7" ht="11.25" customHeight="1">
      <c r="A61" s="136" t="s">
        <v>195</v>
      </c>
      <c r="B61" s="166" t="s">
        <v>196</v>
      </c>
      <c r="C61" s="298" t="str">
        <f t="shared" si="1"/>
        <v>--</v>
      </c>
      <c r="D61" s="299" t="str">
        <f t="shared" si="3"/>
        <v>--</v>
      </c>
      <c r="E61" s="3"/>
      <c r="F61" s="3"/>
      <c r="G61" s="3"/>
    </row>
    <row r="62" spans="1:7" ht="11.25" customHeight="1">
      <c r="A62" s="136" t="s">
        <v>197</v>
      </c>
      <c r="B62" s="166" t="s">
        <v>198</v>
      </c>
      <c r="C62" s="298">
        <f t="shared" si="1"/>
        <v>2000</v>
      </c>
      <c r="D62" s="299">
        <f t="shared" si="3"/>
        <v>2000</v>
      </c>
      <c r="E62" s="3"/>
      <c r="F62" s="3"/>
      <c r="G62" s="3"/>
    </row>
    <row r="63" spans="1:7" ht="11.25" customHeight="1">
      <c r="A63" s="136" t="s">
        <v>199</v>
      </c>
      <c r="B63" s="166" t="s">
        <v>200</v>
      </c>
      <c r="C63" s="298">
        <f t="shared" si="1"/>
        <v>300</v>
      </c>
      <c r="D63" s="299">
        <f t="shared" si="3"/>
        <v>300</v>
      </c>
      <c r="E63" s="3"/>
      <c r="F63" s="3"/>
      <c r="G63" s="3"/>
    </row>
    <row r="64" spans="1:7" ht="11.25" customHeight="1">
      <c r="A64" s="136" t="s">
        <v>201</v>
      </c>
      <c r="B64" s="166" t="s">
        <v>202</v>
      </c>
      <c r="C64" s="298">
        <f t="shared" si="1"/>
        <v>300</v>
      </c>
      <c r="D64" s="299">
        <f t="shared" si="3"/>
        <v>300</v>
      </c>
      <c r="E64" s="3"/>
      <c r="F64" s="3"/>
      <c r="G64" s="3"/>
    </row>
    <row r="65" spans="1:7" ht="11.25" customHeight="1">
      <c r="A65" s="136" t="s">
        <v>203</v>
      </c>
      <c r="B65" s="166" t="s">
        <v>204</v>
      </c>
      <c r="C65" s="298" t="str">
        <f t="shared" si="1"/>
        <v>--</v>
      </c>
      <c r="D65" s="299" t="str">
        <f t="shared" si="3"/>
        <v>--</v>
      </c>
      <c r="E65" s="3"/>
      <c r="F65" s="3"/>
      <c r="G65" s="3"/>
    </row>
    <row r="66" spans="1:7" ht="11.25" customHeight="1">
      <c r="A66" s="136" t="s">
        <v>205</v>
      </c>
      <c r="B66" s="166" t="s">
        <v>206</v>
      </c>
      <c r="C66" s="298">
        <f t="shared" si="1"/>
        <v>12000</v>
      </c>
      <c r="D66" s="299">
        <f t="shared" si="3"/>
        <v>12000</v>
      </c>
      <c r="E66" s="3"/>
      <c r="F66" s="3"/>
      <c r="G66" s="3"/>
    </row>
    <row r="67" spans="1:7" ht="11.25" customHeight="1">
      <c r="A67" s="2106" t="s">
        <v>4279</v>
      </c>
      <c r="B67" s="166" t="s">
        <v>208</v>
      </c>
      <c r="C67" s="298" t="str">
        <f t="shared" si="1"/>
        <v>--</v>
      </c>
      <c r="D67" s="299" t="str">
        <f t="shared" si="3"/>
        <v>--</v>
      </c>
      <c r="E67" s="3"/>
      <c r="F67" s="3"/>
      <c r="G67" s="3"/>
    </row>
    <row r="68" spans="1:7" ht="11.25" customHeight="1">
      <c r="A68" s="136" t="s">
        <v>209</v>
      </c>
      <c r="B68" s="166" t="s">
        <v>210</v>
      </c>
      <c r="C68" s="298" t="str">
        <f t="shared" si="1"/>
        <v>--</v>
      </c>
      <c r="D68" s="299" t="str">
        <f t="shared" si="3"/>
        <v>--</v>
      </c>
      <c r="E68" s="3"/>
      <c r="F68" s="3"/>
      <c r="G68" s="3"/>
    </row>
    <row r="69" spans="1:7" ht="11.25" customHeight="1">
      <c r="A69" s="136" t="s">
        <v>211</v>
      </c>
      <c r="B69" s="166" t="s">
        <v>212</v>
      </c>
      <c r="C69" s="298" t="str">
        <f t="shared" si="1"/>
        <v>--</v>
      </c>
      <c r="D69" s="299" t="str">
        <f t="shared" ref="D69:D100" si="4">VLOOKUP($A69,Table_IP_1, MATCH("50p-ORT-m", heading_IP_1, 0), FALSE)</f>
        <v>--</v>
      </c>
      <c r="E69" s="3"/>
      <c r="F69" s="3"/>
      <c r="G69" s="3"/>
    </row>
    <row r="70" spans="1:7" ht="11.25" customHeight="1">
      <c r="A70" s="136" t="s">
        <v>213</v>
      </c>
      <c r="B70" s="166" t="s">
        <v>214</v>
      </c>
      <c r="C70" s="298" t="str">
        <f t="shared" ref="C70:C118" si="5">D70</f>
        <v>--</v>
      </c>
      <c r="D70" s="299" t="str">
        <f t="shared" si="4"/>
        <v>--</v>
      </c>
      <c r="E70" s="3"/>
      <c r="F70" s="3"/>
      <c r="G70" s="3"/>
    </row>
    <row r="71" spans="1:7" ht="11.25" customHeight="1">
      <c r="A71" s="136" t="s">
        <v>215</v>
      </c>
      <c r="B71" s="166" t="s">
        <v>216</v>
      </c>
      <c r="C71" s="298" t="str">
        <f t="shared" si="5"/>
        <v>--</v>
      </c>
      <c r="D71" s="299" t="str">
        <f t="shared" si="4"/>
        <v>--</v>
      </c>
      <c r="E71" s="3"/>
      <c r="F71" s="3"/>
      <c r="G71" s="3"/>
    </row>
    <row r="72" spans="1:7" ht="11.25" customHeight="1">
      <c r="A72" s="136" t="s">
        <v>217</v>
      </c>
      <c r="B72" s="166" t="s">
        <v>218</v>
      </c>
      <c r="C72" s="298">
        <f t="shared" si="5"/>
        <v>560000</v>
      </c>
      <c r="D72" s="299">
        <f t="shared" si="4"/>
        <v>560000</v>
      </c>
      <c r="E72" s="3"/>
      <c r="F72" s="3"/>
      <c r="G72" s="3"/>
    </row>
    <row r="73" spans="1:7" ht="11.25" customHeight="1">
      <c r="A73" s="136" t="s">
        <v>219</v>
      </c>
      <c r="B73" s="166" t="s">
        <v>220</v>
      </c>
      <c r="C73" s="298">
        <f t="shared" si="5"/>
        <v>32000</v>
      </c>
      <c r="D73" s="299">
        <f t="shared" si="4"/>
        <v>32000</v>
      </c>
      <c r="E73" s="3"/>
      <c r="F73" s="3"/>
      <c r="G73" s="3"/>
    </row>
    <row r="74" spans="1:7" ht="11.25" customHeight="1">
      <c r="A74" s="136" t="s">
        <v>221</v>
      </c>
      <c r="B74" s="166" t="s">
        <v>222</v>
      </c>
      <c r="C74" s="298">
        <f t="shared" si="5"/>
        <v>420</v>
      </c>
      <c r="D74" s="299">
        <f t="shared" si="4"/>
        <v>420</v>
      </c>
      <c r="E74" s="3"/>
      <c r="F74" s="3"/>
      <c r="G74" s="3"/>
    </row>
    <row r="75" spans="1:7" ht="11.25" customHeight="1">
      <c r="A75" s="136" t="s">
        <v>223</v>
      </c>
      <c r="B75" s="166" t="s">
        <v>224</v>
      </c>
      <c r="C75" s="298" t="str">
        <f t="shared" si="5"/>
        <v>--</v>
      </c>
      <c r="D75" s="299" t="str">
        <f t="shared" si="4"/>
        <v>--</v>
      </c>
      <c r="E75" s="3"/>
      <c r="F75" s="3"/>
      <c r="G75" s="3"/>
    </row>
    <row r="76" spans="1:7" ht="11.25" customHeight="1">
      <c r="A76" s="136" t="s">
        <v>225</v>
      </c>
      <c r="B76" s="166" t="s">
        <v>226</v>
      </c>
      <c r="C76" s="298">
        <f t="shared" si="5"/>
        <v>68</v>
      </c>
      <c r="D76" s="299">
        <f t="shared" si="4"/>
        <v>68</v>
      </c>
      <c r="E76" s="3"/>
      <c r="F76" s="3"/>
      <c r="G76" s="3"/>
    </row>
    <row r="77" spans="1:7" ht="11.25" customHeight="1">
      <c r="A77" s="136" t="s">
        <v>227</v>
      </c>
      <c r="B77" s="166" t="s">
        <v>228</v>
      </c>
      <c r="C77" s="298">
        <f t="shared" si="5"/>
        <v>530</v>
      </c>
      <c r="D77" s="299">
        <f t="shared" si="4"/>
        <v>530</v>
      </c>
      <c r="E77" s="3"/>
      <c r="F77" s="3"/>
      <c r="G77" s="3"/>
    </row>
    <row r="78" spans="1:7" ht="11.25" customHeight="1">
      <c r="A78" s="136" t="s">
        <v>229</v>
      </c>
      <c r="B78" s="166" t="s">
        <v>230</v>
      </c>
      <c r="C78" s="298" t="str">
        <f t="shared" si="5"/>
        <v>--</v>
      </c>
      <c r="D78" s="299" t="str">
        <f t="shared" si="4"/>
        <v>--</v>
      </c>
      <c r="E78" s="3"/>
      <c r="F78" s="3"/>
      <c r="G78" s="3"/>
    </row>
    <row r="79" spans="1:7" ht="11.25" customHeight="1">
      <c r="A79" s="136" t="s">
        <v>231</v>
      </c>
      <c r="B79" s="166" t="s">
        <v>232</v>
      </c>
      <c r="C79" s="298" t="str">
        <f t="shared" si="5"/>
        <v>--</v>
      </c>
      <c r="D79" s="299" t="str">
        <f t="shared" si="4"/>
        <v>--</v>
      </c>
      <c r="E79" s="3"/>
      <c r="F79" s="3"/>
      <c r="G79" s="3"/>
    </row>
    <row r="80" spans="1:7" ht="11.25" customHeight="1">
      <c r="A80" s="136" t="s">
        <v>233</v>
      </c>
      <c r="B80" s="166" t="s">
        <v>234</v>
      </c>
      <c r="C80" s="298">
        <f t="shared" si="5"/>
        <v>513</v>
      </c>
      <c r="D80" s="299">
        <f t="shared" si="4"/>
        <v>513</v>
      </c>
      <c r="E80" s="3"/>
      <c r="F80" s="3"/>
      <c r="G80" s="3"/>
    </row>
    <row r="81" spans="1:7" ht="11.25" customHeight="1">
      <c r="A81" s="136" t="s">
        <v>235</v>
      </c>
      <c r="B81" s="166" t="s">
        <v>236</v>
      </c>
      <c r="C81" s="298" t="str">
        <f t="shared" si="5"/>
        <v>--</v>
      </c>
      <c r="D81" s="299" t="str">
        <f t="shared" si="4"/>
        <v>--</v>
      </c>
      <c r="E81" s="3"/>
      <c r="F81" s="3"/>
      <c r="G81" s="3"/>
    </row>
    <row r="82" spans="1:7" ht="11.25" customHeight="1">
      <c r="A82" s="136" t="s">
        <v>237</v>
      </c>
      <c r="B82" s="166" t="s">
        <v>238</v>
      </c>
      <c r="C82" s="298" t="str">
        <f t="shared" si="5"/>
        <v>--</v>
      </c>
      <c r="D82" s="299" t="str">
        <f t="shared" si="4"/>
        <v>--</v>
      </c>
      <c r="E82" s="3"/>
      <c r="F82" s="3"/>
      <c r="G82" s="3"/>
    </row>
    <row r="83" spans="1:7" ht="11.25" customHeight="1">
      <c r="A83" s="136" t="s">
        <v>239</v>
      </c>
      <c r="B83" s="166" t="s">
        <v>240</v>
      </c>
      <c r="C83" s="298" t="str">
        <f t="shared" si="5"/>
        <v>--</v>
      </c>
      <c r="D83" s="299" t="str">
        <f t="shared" si="4"/>
        <v>--</v>
      </c>
      <c r="E83" s="3"/>
      <c r="F83" s="3"/>
      <c r="G83" s="3"/>
    </row>
    <row r="84" spans="1:7" ht="11.25" customHeight="1">
      <c r="A84" s="136" t="s">
        <v>241</v>
      </c>
      <c r="B84" s="166" t="s">
        <v>242</v>
      </c>
      <c r="C84" s="298" t="str">
        <f t="shared" si="5"/>
        <v>--</v>
      </c>
      <c r="D84" s="299" t="str">
        <f t="shared" si="4"/>
        <v>--</v>
      </c>
      <c r="E84" s="3"/>
      <c r="F84" s="3"/>
      <c r="G84" s="3"/>
    </row>
    <row r="85" spans="1:7" ht="11.25" customHeight="1">
      <c r="A85" s="136" t="s">
        <v>243</v>
      </c>
      <c r="B85" s="166" t="s">
        <v>244</v>
      </c>
      <c r="C85" s="298" t="str">
        <f t="shared" si="5"/>
        <v>--</v>
      </c>
      <c r="D85" s="299" t="str">
        <f t="shared" si="4"/>
        <v>--</v>
      </c>
      <c r="E85" s="3"/>
      <c r="F85" s="3"/>
      <c r="G85" s="3"/>
    </row>
    <row r="86" spans="1:7" ht="11.25" customHeight="1">
      <c r="A86" s="136" t="s">
        <v>245</v>
      </c>
      <c r="B86" s="166" t="s">
        <v>246</v>
      </c>
      <c r="C86" s="298" t="str">
        <f t="shared" si="5"/>
        <v>--</v>
      </c>
      <c r="D86" s="299" t="str">
        <f t="shared" si="4"/>
        <v>--</v>
      </c>
      <c r="E86" s="3"/>
      <c r="F86" s="3"/>
      <c r="G86" s="3"/>
    </row>
    <row r="87" spans="1:7" ht="11.25" customHeight="1">
      <c r="A87" s="136" t="s">
        <v>247</v>
      </c>
      <c r="B87" s="166" t="s">
        <v>248</v>
      </c>
      <c r="C87" s="298" t="str">
        <f t="shared" si="5"/>
        <v>--</v>
      </c>
      <c r="D87" s="299" t="str">
        <f t="shared" si="4"/>
        <v>--</v>
      </c>
      <c r="E87" s="3"/>
      <c r="F87" s="3"/>
      <c r="G87" s="3"/>
    </row>
    <row r="88" spans="1:7" ht="11.25" customHeight="1">
      <c r="A88" s="136" t="s">
        <v>249</v>
      </c>
      <c r="B88" s="166" t="s">
        <v>250</v>
      </c>
      <c r="C88" s="298" t="str">
        <f t="shared" si="5"/>
        <v>--</v>
      </c>
      <c r="D88" s="299" t="str">
        <f t="shared" si="4"/>
        <v>--</v>
      </c>
      <c r="E88" s="3"/>
      <c r="F88" s="3"/>
      <c r="G88" s="3"/>
    </row>
    <row r="89" spans="1:7" ht="11.25" customHeight="1">
      <c r="A89" s="136" t="s">
        <v>251</v>
      </c>
      <c r="B89" s="166" t="s">
        <v>252</v>
      </c>
      <c r="C89" s="298" t="str">
        <f t="shared" si="5"/>
        <v>--</v>
      </c>
      <c r="D89" s="299" t="str">
        <f t="shared" si="4"/>
        <v>--</v>
      </c>
      <c r="E89" s="3"/>
      <c r="F89" s="3"/>
      <c r="G89" s="3"/>
    </row>
    <row r="90" spans="1:7" ht="11.25" customHeight="1">
      <c r="A90" s="136" t="s">
        <v>253</v>
      </c>
      <c r="B90" s="166" t="s">
        <v>254</v>
      </c>
      <c r="C90" s="298" t="str">
        <f t="shared" si="5"/>
        <v>--</v>
      </c>
      <c r="D90" s="299" t="str">
        <f t="shared" si="4"/>
        <v>--</v>
      </c>
      <c r="E90" s="3"/>
      <c r="F90" s="3"/>
      <c r="G90" s="3"/>
    </row>
    <row r="91" spans="1:7" ht="11.25" customHeight="1">
      <c r="A91" s="136" t="s">
        <v>255</v>
      </c>
      <c r="B91" s="166" t="s">
        <v>256</v>
      </c>
      <c r="C91" s="298">
        <f t="shared" si="5"/>
        <v>440</v>
      </c>
      <c r="D91" s="299">
        <f t="shared" si="4"/>
        <v>440</v>
      </c>
      <c r="E91" s="3"/>
      <c r="F91" s="3"/>
      <c r="G91" s="3"/>
    </row>
    <row r="92" spans="1:7" ht="11.25" customHeight="1">
      <c r="A92" s="136" t="s">
        <v>257</v>
      </c>
      <c r="B92" s="166" t="s">
        <v>258</v>
      </c>
      <c r="C92" s="298" t="str">
        <f t="shared" si="5"/>
        <v>--</v>
      </c>
      <c r="D92" s="299" t="str">
        <f t="shared" si="4"/>
        <v>--</v>
      </c>
      <c r="E92" s="3"/>
      <c r="F92" s="3"/>
      <c r="G92" s="3"/>
    </row>
    <row r="93" spans="1:7" ht="11.25" customHeight="1">
      <c r="A93" s="136" t="s">
        <v>259</v>
      </c>
      <c r="B93" s="166" t="s">
        <v>260</v>
      </c>
      <c r="C93" s="298" t="str">
        <f t="shared" si="5"/>
        <v>--</v>
      </c>
      <c r="D93" s="299" t="str">
        <f t="shared" si="4"/>
        <v>--</v>
      </c>
      <c r="E93" s="3"/>
      <c r="F93" s="3"/>
      <c r="G93" s="3"/>
    </row>
    <row r="94" spans="1:7" ht="11.25" customHeight="1">
      <c r="A94" s="136" t="s">
        <v>261</v>
      </c>
      <c r="B94" s="166" t="s">
        <v>1261</v>
      </c>
      <c r="C94" s="298" t="str">
        <f t="shared" si="5"/>
        <v>--</v>
      </c>
      <c r="D94" s="299" t="str">
        <f t="shared" si="4"/>
        <v>--</v>
      </c>
      <c r="E94" s="3"/>
      <c r="F94" s="3"/>
      <c r="G94" s="3"/>
    </row>
    <row r="95" spans="1:7" ht="11.25" customHeight="1">
      <c r="A95" s="136" t="s">
        <v>263</v>
      </c>
      <c r="B95" s="166" t="s">
        <v>115</v>
      </c>
      <c r="C95" s="298">
        <f t="shared" si="5"/>
        <v>100</v>
      </c>
      <c r="D95" s="299">
        <f t="shared" si="4"/>
        <v>100</v>
      </c>
      <c r="E95" s="3"/>
      <c r="F95" s="3"/>
      <c r="G95" s="3"/>
    </row>
    <row r="96" spans="1:7" ht="11.25" customHeight="1">
      <c r="A96" s="136" t="s">
        <v>264</v>
      </c>
      <c r="B96" s="166" t="s">
        <v>115</v>
      </c>
      <c r="C96" s="298">
        <f t="shared" si="5"/>
        <v>1000</v>
      </c>
      <c r="D96" s="299">
        <f t="shared" si="4"/>
        <v>1000</v>
      </c>
      <c r="E96" s="3"/>
      <c r="F96" s="3"/>
      <c r="G96" s="3"/>
    </row>
    <row r="97" spans="1:7" ht="11.25" customHeight="1">
      <c r="A97" s="136" t="s">
        <v>265</v>
      </c>
      <c r="B97" s="166" t="s">
        <v>115</v>
      </c>
      <c r="C97" s="298">
        <f t="shared" si="5"/>
        <v>1000</v>
      </c>
      <c r="D97" s="299">
        <f t="shared" si="4"/>
        <v>1000</v>
      </c>
      <c r="E97" s="3"/>
      <c r="F97" s="3"/>
      <c r="G97" s="3"/>
    </row>
    <row r="98" spans="1:7" ht="11.25" customHeight="1">
      <c r="A98" s="136" t="s">
        <v>266</v>
      </c>
      <c r="B98" s="166" t="s">
        <v>115</v>
      </c>
      <c r="C98" s="298">
        <f t="shared" si="5"/>
        <v>1000</v>
      </c>
      <c r="D98" s="299">
        <f t="shared" si="4"/>
        <v>1000</v>
      </c>
      <c r="E98" s="3"/>
      <c r="F98" s="3"/>
      <c r="G98" s="3"/>
    </row>
    <row r="99" spans="1:7" ht="11.25" customHeight="1">
      <c r="A99" s="136" t="s">
        <v>267</v>
      </c>
      <c r="B99" s="166" t="s">
        <v>115</v>
      </c>
      <c r="C99" s="298" t="str">
        <f t="shared" si="5"/>
        <v>--</v>
      </c>
      <c r="D99" s="299" t="str">
        <f>VLOOKUP($A99,Table_IP_1, MATCH("50p-ORT-m", heading_IP_1, 0), FALSE)</f>
        <v>--</v>
      </c>
      <c r="E99" s="3"/>
      <c r="F99" s="3"/>
      <c r="G99" s="3"/>
    </row>
    <row r="100" spans="1:7" ht="11.25" customHeight="1">
      <c r="A100" s="136" t="s">
        <v>268</v>
      </c>
      <c r="B100" s="166" t="s">
        <v>115</v>
      </c>
      <c r="C100" s="298" t="str">
        <f t="shared" si="5"/>
        <v>--</v>
      </c>
      <c r="D100" s="299" t="str">
        <f t="shared" si="4"/>
        <v>--</v>
      </c>
      <c r="E100" s="3"/>
      <c r="F100" s="3"/>
      <c r="G100" s="3"/>
    </row>
    <row r="101" spans="1:7" ht="11.25" customHeight="1">
      <c r="A101" s="136" t="s">
        <v>269</v>
      </c>
      <c r="B101" s="166" t="s">
        <v>270</v>
      </c>
      <c r="C101" s="298" t="str">
        <f t="shared" si="5"/>
        <v>--</v>
      </c>
      <c r="D101" s="299" t="str">
        <f t="shared" ref="D101:D139" si="6">VLOOKUP($A101,Table_IP_1, MATCH("50p-ORT-m", heading_IP_1, 0), FALSE)</f>
        <v>--</v>
      </c>
      <c r="E101" s="3"/>
      <c r="F101" s="3"/>
      <c r="G101" s="3"/>
    </row>
    <row r="102" spans="1:7" ht="11.25" customHeight="1">
      <c r="A102" s="136" t="s">
        <v>271</v>
      </c>
      <c r="B102" s="166" t="s">
        <v>272</v>
      </c>
      <c r="C102" s="298" t="str">
        <f t="shared" si="5"/>
        <v>--</v>
      </c>
      <c r="D102" s="299" t="str">
        <f t="shared" si="6"/>
        <v>--</v>
      </c>
      <c r="E102" s="3"/>
      <c r="F102" s="3"/>
      <c r="G102" s="3"/>
    </row>
    <row r="103" spans="1:7" ht="11.25" customHeight="1">
      <c r="A103" s="136" t="s">
        <v>273</v>
      </c>
      <c r="B103" s="166" t="s">
        <v>274</v>
      </c>
      <c r="C103" s="298" t="str">
        <f t="shared" si="5"/>
        <v>--</v>
      </c>
      <c r="D103" s="299" t="str">
        <f t="shared" si="6"/>
        <v>--</v>
      </c>
      <c r="E103" s="3"/>
      <c r="F103" s="3"/>
      <c r="G103" s="3"/>
    </row>
    <row r="104" spans="1:7" ht="11.25" customHeight="1">
      <c r="A104" s="136" t="s">
        <v>275</v>
      </c>
      <c r="B104" s="166" t="s">
        <v>276</v>
      </c>
      <c r="C104" s="298" t="str">
        <f t="shared" si="5"/>
        <v>--</v>
      </c>
      <c r="D104" s="299" t="str">
        <f t="shared" si="6"/>
        <v>--</v>
      </c>
      <c r="E104" s="3"/>
      <c r="F104" s="3"/>
      <c r="G104" s="3"/>
    </row>
    <row r="105" spans="1:7" ht="11.25" customHeight="1">
      <c r="A105" s="136" t="s">
        <v>277</v>
      </c>
      <c r="B105" s="166" t="s">
        <v>278</v>
      </c>
      <c r="C105" s="298" t="str">
        <f t="shared" si="5"/>
        <v>--</v>
      </c>
      <c r="D105" s="299" t="str">
        <f t="shared" si="6"/>
        <v>--</v>
      </c>
      <c r="E105" s="3"/>
      <c r="F105" s="3"/>
      <c r="G105" s="3"/>
    </row>
    <row r="106" spans="1:7" ht="11.25" customHeight="1">
      <c r="A106" s="136" t="s">
        <v>279</v>
      </c>
      <c r="B106" s="166" t="s">
        <v>280</v>
      </c>
      <c r="C106" s="298" t="str">
        <f t="shared" si="5"/>
        <v>--</v>
      </c>
      <c r="D106" s="299" t="str">
        <f t="shared" si="6"/>
        <v>--</v>
      </c>
      <c r="E106" s="3"/>
      <c r="F106" s="3"/>
      <c r="G106" s="3"/>
    </row>
    <row r="107" spans="1:7" ht="11.25" customHeight="1">
      <c r="A107" s="136" t="s">
        <v>281</v>
      </c>
      <c r="B107" s="166" t="s">
        <v>282</v>
      </c>
      <c r="C107" s="298" t="str">
        <f t="shared" si="5"/>
        <v>--</v>
      </c>
      <c r="D107" s="299" t="str">
        <f t="shared" si="6"/>
        <v>--</v>
      </c>
      <c r="E107" s="3"/>
      <c r="F107" s="3"/>
      <c r="G107" s="3"/>
    </row>
    <row r="108" spans="1:7" ht="11.25" customHeight="1">
      <c r="A108" s="136" t="s">
        <v>283</v>
      </c>
      <c r="B108" s="166" t="s">
        <v>284</v>
      </c>
      <c r="C108" s="298" t="str">
        <f t="shared" si="5"/>
        <v>--</v>
      </c>
      <c r="D108" s="299" t="str">
        <f>VLOOKUP($A108,Table_IP_1, MATCH("50p-ORT-m", heading_IP_1, 0), FALSE)</f>
        <v>--</v>
      </c>
      <c r="E108" s="3"/>
      <c r="F108" s="3"/>
      <c r="G108" s="3"/>
    </row>
    <row r="109" spans="1:7" ht="11.25" customHeight="1">
      <c r="A109" s="136" t="s">
        <v>285</v>
      </c>
      <c r="B109" s="166" t="s">
        <v>286</v>
      </c>
      <c r="C109" s="298" t="str">
        <f t="shared" si="5"/>
        <v>--</v>
      </c>
      <c r="D109" s="299" t="str">
        <f t="shared" si="6"/>
        <v>--</v>
      </c>
      <c r="E109" s="3"/>
      <c r="F109" s="3"/>
      <c r="G109" s="3"/>
    </row>
    <row r="110" spans="1:7" ht="11.25" customHeight="1">
      <c r="A110" s="136" t="s">
        <v>287</v>
      </c>
      <c r="B110" s="166" t="s">
        <v>288</v>
      </c>
      <c r="C110" s="298" t="str">
        <f t="shared" si="5"/>
        <v>--</v>
      </c>
      <c r="D110" s="299" t="str">
        <f t="shared" si="6"/>
        <v>--</v>
      </c>
      <c r="E110" s="3"/>
      <c r="F110" s="3"/>
      <c r="G110" s="3"/>
    </row>
    <row r="111" spans="1:7" ht="11.25" customHeight="1">
      <c r="A111" s="136" t="s">
        <v>289</v>
      </c>
      <c r="B111" s="166" t="s">
        <v>290</v>
      </c>
      <c r="C111" s="298" t="str">
        <f t="shared" si="5"/>
        <v>--</v>
      </c>
      <c r="D111" s="299" t="str">
        <f t="shared" si="6"/>
        <v>--</v>
      </c>
      <c r="E111" s="3"/>
      <c r="F111" s="3"/>
      <c r="G111" s="3"/>
    </row>
    <row r="112" spans="1:7" ht="11.25" customHeight="1">
      <c r="A112" s="136" t="s">
        <v>291</v>
      </c>
      <c r="B112" s="166" t="s">
        <v>292</v>
      </c>
      <c r="C112" s="298" t="str">
        <f t="shared" si="5"/>
        <v>--</v>
      </c>
      <c r="D112" s="299" t="str">
        <f t="shared" si="6"/>
        <v>--</v>
      </c>
      <c r="E112" s="3"/>
      <c r="F112" s="3"/>
      <c r="G112" s="3"/>
    </row>
    <row r="113" spans="1:7" ht="11.25" customHeight="1">
      <c r="A113" s="136" t="s">
        <v>293</v>
      </c>
      <c r="B113" s="166" t="s">
        <v>294</v>
      </c>
      <c r="C113" s="298" t="str">
        <f t="shared" si="5"/>
        <v>--</v>
      </c>
      <c r="D113" s="299" t="str">
        <f t="shared" si="6"/>
        <v>--</v>
      </c>
      <c r="E113" s="3"/>
      <c r="F113" s="3"/>
      <c r="G113" s="3"/>
    </row>
    <row r="114" spans="1:7" ht="11.25" customHeight="1">
      <c r="A114" s="136" t="s">
        <v>295</v>
      </c>
      <c r="B114" s="166" t="s">
        <v>296</v>
      </c>
      <c r="C114" s="298" t="str">
        <f t="shared" si="5"/>
        <v>--</v>
      </c>
      <c r="D114" s="299" t="str">
        <f t="shared" si="6"/>
        <v>--</v>
      </c>
      <c r="E114" s="3"/>
      <c r="F114" s="3"/>
      <c r="G114" s="3"/>
    </row>
    <row r="115" spans="1:7" ht="11.25" customHeight="1">
      <c r="A115" s="136" t="s">
        <v>297</v>
      </c>
      <c r="B115" s="166" t="s">
        <v>298</v>
      </c>
      <c r="C115" s="298" t="str">
        <f t="shared" si="5"/>
        <v>--</v>
      </c>
      <c r="D115" s="299" t="str">
        <f t="shared" si="6"/>
        <v>--</v>
      </c>
      <c r="E115" s="3"/>
      <c r="F115" s="3"/>
      <c r="G115" s="3"/>
    </row>
    <row r="116" spans="1:7" ht="11.25" customHeight="1">
      <c r="A116" s="136" t="s">
        <v>299</v>
      </c>
      <c r="B116" s="166" t="s">
        <v>300</v>
      </c>
      <c r="C116" s="298" t="str">
        <f t="shared" si="5"/>
        <v>--</v>
      </c>
      <c r="D116" s="299" t="str">
        <f t="shared" si="6"/>
        <v>--</v>
      </c>
      <c r="E116" s="3"/>
      <c r="F116" s="3"/>
      <c r="G116" s="3"/>
    </row>
    <row r="117" spans="1:7" ht="11.25" customHeight="1">
      <c r="A117" s="136" t="s">
        <v>301</v>
      </c>
      <c r="B117" s="166" t="s">
        <v>302</v>
      </c>
      <c r="C117" s="298">
        <f t="shared" si="5"/>
        <v>156</v>
      </c>
      <c r="D117" s="299">
        <f t="shared" si="6"/>
        <v>156</v>
      </c>
      <c r="E117" s="3"/>
      <c r="F117" s="3"/>
      <c r="G117" s="3"/>
    </row>
    <row r="118" spans="1:7" ht="11.25" customHeight="1">
      <c r="A118" s="136" t="s">
        <v>303</v>
      </c>
      <c r="B118" s="166" t="s">
        <v>304</v>
      </c>
      <c r="C118" s="298" t="str">
        <f t="shared" si="5"/>
        <v>--</v>
      </c>
      <c r="D118" s="299" t="str">
        <f t="shared" si="6"/>
        <v>--</v>
      </c>
      <c r="E118" s="3"/>
      <c r="F118" s="3"/>
      <c r="G118" s="3"/>
    </row>
    <row r="119" spans="1:7" ht="11.25" customHeight="1">
      <c r="A119" s="136" t="s">
        <v>305</v>
      </c>
      <c r="B119" s="166" t="s">
        <v>306</v>
      </c>
      <c r="C119" s="298" t="str">
        <f t="shared" ref="C119:C123" si="7">D119</f>
        <v>--</v>
      </c>
      <c r="D119" s="299" t="str">
        <f t="shared" si="6"/>
        <v>--</v>
      </c>
      <c r="E119" s="3"/>
      <c r="F119" s="3"/>
      <c r="G119" s="3"/>
    </row>
    <row r="120" spans="1:7" ht="11.25" customHeight="1">
      <c r="A120" s="136" t="s">
        <v>307</v>
      </c>
      <c r="B120" s="166" t="s">
        <v>308</v>
      </c>
      <c r="C120" s="298" t="str">
        <f t="shared" ref="C120" si="8">D120</f>
        <v>--</v>
      </c>
      <c r="D120" s="299" t="str">
        <f t="shared" si="6"/>
        <v>--</v>
      </c>
      <c r="E120" s="3"/>
      <c r="F120" s="3"/>
      <c r="G120" s="3"/>
    </row>
    <row r="121" spans="1:7" ht="11.25" customHeight="1">
      <c r="A121" s="136" t="s">
        <v>309</v>
      </c>
      <c r="B121" s="166" t="s">
        <v>310</v>
      </c>
      <c r="C121" s="298">
        <f t="shared" si="7"/>
        <v>1360</v>
      </c>
      <c r="D121" s="299">
        <f t="shared" si="6"/>
        <v>1360</v>
      </c>
      <c r="E121" s="3"/>
      <c r="F121" s="3"/>
      <c r="G121" s="3"/>
    </row>
    <row r="122" spans="1:7" ht="11.25" customHeight="1">
      <c r="A122" s="136" t="s">
        <v>311</v>
      </c>
      <c r="B122" s="166" t="s">
        <v>312</v>
      </c>
      <c r="C122" s="298" t="str">
        <f t="shared" si="7"/>
        <v>--</v>
      </c>
      <c r="D122" s="299" t="str">
        <f t="shared" si="6"/>
        <v>--</v>
      </c>
      <c r="E122" s="3"/>
      <c r="F122" s="3"/>
      <c r="G122" s="3"/>
    </row>
    <row r="123" spans="1:7" ht="11.25" customHeight="1">
      <c r="A123" s="136" t="s">
        <v>313</v>
      </c>
      <c r="B123" s="166" t="s">
        <v>314</v>
      </c>
      <c r="C123" s="298" t="str">
        <f t="shared" si="7"/>
        <v>--</v>
      </c>
      <c r="D123" s="299" t="str">
        <f t="shared" si="6"/>
        <v>--</v>
      </c>
      <c r="E123" s="3"/>
      <c r="F123" s="3"/>
      <c r="G123" s="3"/>
    </row>
    <row r="124" spans="1:7" ht="11.25" customHeight="1">
      <c r="A124" s="136" t="s">
        <v>315</v>
      </c>
      <c r="B124" s="166" t="s">
        <v>316</v>
      </c>
      <c r="C124" s="298">
        <f t="shared" ref="C124:C139" si="9">D124</f>
        <v>10470</v>
      </c>
      <c r="D124" s="299">
        <f t="shared" si="6"/>
        <v>10470</v>
      </c>
      <c r="E124" s="3"/>
      <c r="F124" s="3"/>
      <c r="G124" s="3"/>
    </row>
    <row r="125" spans="1:7" ht="11.25" customHeight="1">
      <c r="A125" s="136" t="s">
        <v>317</v>
      </c>
      <c r="B125" s="166" t="s">
        <v>318</v>
      </c>
      <c r="C125" s="298">
        <f t="shared" si="9"/>
        <v>31730</v>
      </c>
      <c r="D125" s="299">
        <f t="shared" si="6"/>
        <v>31730</v>
      </c>
      <c r="E125" s="3"/>
      <c r="F125" s="3"/>
      <c r="G125" s="3"/>
    </row>
    <row r="126" spans="1:7" ht="11.25" customHeight="1">
      <c r="A126" s="136" t="s">
        <v>319</v>
      </c>
      <c r="B126" s="166" t="s">
        <v>320</v>
      </c>
      <c r="C126" s="298" t="str">
        <f t="shared" si="9"/>
        <v>--</v>
      </c>
      <c r="D126" s="299" t="str">
        <f t="shared" si="6"/>
        <v>--</v>
      </c>
      <c r="E126" s="3"/>
      <c r="F126" s="3"/>
      <c r="G126" s="3"/>
    </row>
    <row r="127" spans="1:7" ht="11.25" customHeight="1">
      <c r="A127" s="136" t="s">
        <v>321</v>
      </c>
      <c r="B127" s="166" t="s">
        <v>322</v>
      </c>
      <c r="C127" s="298">
        <f t="shared" si="9"/>
        <v>30000</v>
      </c>
      <c r="D127" s="299">
        <f t="shared" si="6"/>
        <v>30000</v>
      </c>
      <c r="E127" s="3"/>
      <c r="F127" s="3"/>
      <c r="G127" s="3"/>
    </row>
    <row r="128" spans="1:7" ht="11.25" customHeight="1">
      <c r="A128" s="136" t="s">
        <v>323</v>
      </c>
      <c r="B128" s="166" t="s">
        <v>324</v>
      </c>
      <c r="C128" s="298" t="str">
        <f t="shared" si="9"/>
        <v>--</v>
      </c>
      <c r="D128" s="299" t="str">
        <f t="shared" si="6"/>
        <v>--</v>
      </c>
      <c r="E128" s="3"/>
      <c r="F128" s="3"/>
      <c r="G128" s="3"/>
    </row>
    <row r="129" spans="1:8" ht="11.25" customHeight="1">
      <c r="A129" s="136" t="s">
        <v>325</v>
      </c>
      <c r="B129" s="166" t="s">
        <v>326</v>
      </c>
      <c r="C129" s="298">
        <f t="shared" si="9"/>
        <v>22000</v>
      </c>
      <c r="D129" s="299">
        <f t="shared" si="6"/>
        <v>22000</v>
      </c>
      <c r="E129" s="3"/>
      <c r="F129" s="3"/>
      <c r="G129" s="3"/>
    </row>
    <row r="130" spans="1:8" ht="11.25" customHeight="1">
      <c r="A130" s="136" t="s">
        <v>327</v>
      </c>
      <c r="B130" s="166" t="s">
        <v>328</v>
      </c>
      <c r="C130" s="298">
        <f t="shared" si="9"/>
        <v>65127</v>
      </c>
      <c r="D130" s="299">
        <f t="shared" si="6"/>
        <v>65127</v>
      </c>
      <c r="E130" s="3"/>
      <c r="F130" s="3"/>
      <c r="G130" s="3"/>
    </row>
    <row r="131" spans="1:8" ht="11.25" customHeight="1">
      <c r="A131" s="136" t="s">
        <v>329</v>
      </c>
      <c r="B131" s="166" t="s">
        <v>330</v>
      </c>
      <c r="C131" s="298" t="str">
        <f t="shared" si="9"/>
        <v>--</v>
      </c>
      <c r="D131" s="299" t="str">
        <f t="shared" si="6"/>
        <v>--</v>
      </c>
      <c r="E131" s="3"/>
      <c r="F131" s="3"/>
      <c r="G131" s="3"/>
    </row>
    <row r="132" spans="1:8" ht="11.25" customHeight="1">
      <c r="A132" s="136" t="s">
        <v>331</v>
      </c>
      <c r="B132" s="166" t="s">
        <v>332</v>
      </c>
      <c r="C132" s="298">
        <f t="shared" si="9"/>
        <v>1360000</v>
      </c>
      <c r="D132" s="299">
        <f t="shared" si="6"/>
        <v>1360000</v>
      </c>
      <c r="E132" s="3"/>
      <c r="F132" s="3"/>
      <c r="G132" s="3"/>
    </row>
    <row r="133" spans="1:8" ht="11.25" customHeight="1">
      <c r="A133" s="136" t="s">
        <v>333</v>
      </c>
      <c r="B133" s="166" t="s">
        <v>334</v>
      </c>
      <c r="C133" s="298" t="str">
        <f t="shared" si="9"/>
        <v>--</v>
      </c>
      <c r="D133" s="299" t="str">
        <f t="shared" si="6"/>
        <v>--</v>
      </c>
      <c r="E133" s="3"/>
      <c r="F133" s="3"/>
      <c r="G133" s="3"/>
    </row>
    <row r="134" spans="1:8" ht="11.25" customHeight="1">
      <c r="A134" s="136" t="s">
        <v>335</v>
      </c>
      <c r="B134" s="166" t="s">
        <v>336</v>
      </c>
      <c r="C134" s="298">
        <f t="shared" si="9"/>
        <v>0.3</v>
      </c>
      <c r="D134" s="299">
        <f t="shared" si="6"/>
        <v>0.3</v>
      </c>
      <c r="E134" s="3"/>
      <c r="F134" s="3"/>
      <c r="G134" s="3"/>
    </row>
    <row r="135" spans="1:8" ht="11.25" customHeight="1">
      <c r="A135" s="136" t="s">
        <v>337</v>
      </c>
      <c r="B135" s="166" t="s">
        <v>338</v>
      </c>
      <c r="C135" s="298" t="str">
        <f t="shared" si="9"/>
        <v>--</v>
      </c>
      <c r="D135" s="299" t="str">
        <f t="shared" si="6"/>
        <v>--</v>
      </c>
      <c r="E135" s="3"/>
      <c r="F135" s="3"/>
      <c r="G135" s="3"/>
    </row>
    <row r="136" spans="1:8" ht="11.25" customHeight="1">
      <c r="A136" s="136" t="s">
        <v>339</v>
      </c>
      <c r="B136" s="166" t="s">
        <v>340</v>
      </c>
      <c r="C136" s="298" t="str">
        <f t="shared" si="9"/>
        <v>--</v>
      </c>
      <c r="D136" s="299" t="str">
        <f t="shared" si="6"/>
        <v>--</v>
      </c>
      <c r="E136" s="3"/>
      <c r="F136" s="3"/>
      <c r="G136" s="3"/>
    </row>
    <row r="137" spans="1:8" ht="11.25" customHeight="1">
      <c r="A137" s="136" t="s">
        <v>341</v>
      </c>
      <c r="B137" s="166" t="s">
        <v>342</v>
      </c>
      <c r="C137" s="298">
        <f t="shared" si="9"/>
        <v>771244</v>
      </c>
      <c r="D137" s="299">
        <f t="shared" si="6"/>
        <v>771244</v>
      </c>
      <c r="E137" s="3"/>
      <c r="F137" s="3"/>
      <c r="G137" s="3"/>
    </row>
    <row r="138" spans="1:8" ht="11.25" customHeight="1">
      <c r="A138" s="136" t="s">
        <v>343</v>
      </c>
      <c r="B138" s="166" t="s">
        <v>344</v>
      </c>
      <c r="C138" s="298">
        <f t="shared" si="9"/>
        <v>441</v>
      </c>
      <c r="D138" s="299">
        <f t="shared" si="6"/>
        <v>441</v>
      </c>
      <c r="E138" s="3"/>
      <c r="F138" s="3"/>
      <c r="G138" s="3"/>
    </row>
    <row r="139" spans="1:8" ht="11.25" customHeight="1" thickBot="1">
      <c r="A139" s="136" t="s">
        <v>345</v>
      </c>
      <c r="B139" s="166" t="s">
        <v>346</v>
      </c>
      <c r="C139" s="298" t="str">
        <f t="shared" si="9"/>
        <v>--</v>
      </c>
      <c r="D139" s="299" t="str">
        <f t="shared" si="6"/>
        <v>--</v>
      </c>
      <c r="E139" s="3"/>
      <c r="F139" s="3"/>
      <c r="G139" s="3"/>
    </row>
    <row r="140" spans="1:8" ht="11.25" customHeight="1" thickTop="1">
      <c r="A140" s="29" t="s">
        <v>347</v>
      </c>
      <c r="B140" s="155"/>
      <c r="C140" s="300"/>
      <c r="D140" s="301"/>
      <c r="E140" s="36"/>
      <c r="F140" s="3"/>
      <c r="G140" s="10"/>
      <c r="H140" s="10"/>
    </row>
    <row r="141" spans="1:8" ht="11.25" customHeight="1">
      <c r="A141" s="2" t="s">
        <v>1063</v>
      </c>
      <c r="B141" s="118"/>
      <c r="C141" s="22"/>
      <c r="D141" s="288"/>
      <c r="E141" s="36"/>
      <c r="F141" s="3"/>
      <c r="G141" s="10"/>
      <c r="H141" s="10"/>
    </row>
    <row r="142" spans="1:8" ht="14.25" customHeight="1">
      <c r="A142" s="2" t="s">
        <v>1037</v>
      </c>
      <c r="C142" s="22"/>
      <c r="D142" s="288"/>
      <c r="E142" s="36"/>
      <c r="F142" s="3"/>
      <c r="G142" s="10"/>
      <c r="H142" s="10"/>
    </row>
    <row r="143" spans="1:8">
      <c r="A143" s="1132" t="s">
        <v>348</v>
      </c>
      <c r="C143" s="22"/>
      <c r="D143" s="288"/>
      <c r="E143" s="36"/>
      <c r="F143" s="3"/>
      <c r="G143" s="3"/>
    </row>
    <row r="144" spans="1:8">
      <c r="A144" s="1133" t="s">
        <v>349</v>
      </c>
      <c r="C144" s="22"/>
      <c r="D144" s="288"/>
      <c r="E144" s="36"/>
      <c r="F144" s="3"/>
      <c r="G144" s="3"/>
    </row>
    <row r="145" spans="1:7">
      <c r="A145" s="1133" t="s">
        <v>350</v>
      </c>
      <c r="C145" s="22"/>
      <c r="D145" s="288"/>
      <c r="E145" s="36"/>
      <c r="F145" s="3"/>
      <c r="G145" s="3"/>
    </row>
    <row r="146" spans="1:7">
      <c r="A146" s="1133" t="s">
        <v>351</v>
      </c>
      <c r="C146" s="22"/>
      <c r="D146" s="288"/>
      <c r="E146" s="36"/>
      <c r="F146" s="3"/>
      <c r="G146" s="3"/>
    </row>
    <row r="147" spans="1:7" ht="25.5" customHeight="1">
      <c r="A147" s="2611" t="s">
        <v>1064</v>
      </c>
      <c r="B147" s="2612"/>
      <c r="C147" s="2612"/>
      <c r="D147" s="2613"/>
      <c r="E147" s="36"/>
      <c r="F147" s="3"/>
      <c r="G147" s="3"/>
    </row>
    <row r="148" spans="1:7" ht="11.25" customHeight="1">
      <c r="A148" s="1133" t="s">
        <v>353</v>
      </c>
      <c r="C148" s="22"/>
      <c r="D148" s="288"/>
      <c r="E148" s="36"/>
      <c r="F148" s="3"/>
      <c r="G148" s="3"/>
    </row>
    <row r="149" spans="1:7" ht="11.25" customHeight="1">
      <c r="A149" s="1133" t="s">
        <v>354</v>
      </c>
      <c r="C149" s="22"/>
      <c r="D149" s="288"/>
      <c r="E149" s="36"/>
      <c r="F149" s="3"/>
      <c r="G149" s="3"/>
    </row>
    <row r="150" spans="1:7" ht="11.25" customHeight="1" thickBot="1">
      <c r="A150" s="2608" t="s">
        <v>355</v>
      </c>
      <c r="B150" s="2609"/>
      <c r="C150" s="2609"/>
      <c r="D150" s="2610"/>
      <c r="E150" s="36"/>
      <c r="F150" s="3"/>
      <c r="G150" s="3"/>
    </row>
    <row r="151" spans="1:7" ht="12" thickTop="1">
      <c r="C151" s="22"/>
      <c r="E151" s="36"/>
      <c r="F151" s="3"/>
      <c r="G151" s="3"/>
    </row>
    <row r="152" spans="1:7">
      <c r="C152" s="22"/>
      <c r="E152" s="36"/>
      <c r="F152" s="3"/>
      <c r="G152" s="3"/>
    </row>
    <row r="153" spans="1:7">
      <c r="C153" s="22"/>
      <c r="E153" s="36"/>
      <c r="F153" s="3"/>
      <c r="G153" s="3"/>
    </row>
    <row r="154" spans="1:7">
      <c r="C154" s="22"/>
      <c r="E154" s="36"/>
      <c r="F154" s="3"/>
      <c r="G154" s="3"/>
    </row>
    <row r="155" spans="1:7">
      <c r="C155" s="22"/>
      <c r="E155" s="36"/>
      <c r="F155" s="3"/>
      <c r="G155" s="3"/>
    </row>
    <row r="156" spans="1:7">
      <c r="C156" s="22"/>
      <c r="E156" s="36"/>
      <c r="F156" s="3"/>
      <c r="G156" s="3"/>
    </row>
    <row r="157" spans="1:7">
      <c r="C157" s="22"/>
      <c r="E157" s="36"/>
      <c r="F157" s="3"/>
      <c r="G157" s="3"/>
    </row>
    <row r="158" spans="1:7">
      <c r="C158" s="22"/>
      <c r="E158" s="36"/>
      <c r="F158" s="3"/>
      <c r="G158" s="3"/>
    </row>
    <row r="159" spans="1:7">
      <c r="C159" s="22"/>
      <c r="E159" s="36"/>
      <c r="F159" s="3"/>
      <c r="G159" s="3"/>
    </row>
    <row r="160" spans="1:7">
      <c r="C160" s="22"/>
      <c r="E160" s="36"/>
      <c r="F160" s="3"/>
      <c r="G160" s="3"/>
    </row>
    <row r="161" spans="3:7">
      <c r="C161" s="22"/>
      <c r="E161" s="36"/>
      <c r="F161" s="3"/>
      <c r="G161" s="3"/>
    </row>
    <row r="162" spans="3:7">
      <c r="C162" s="22"/>
      <c r="E162" s="36"/>
      <c r="F162" s="3"/>
      <c r="G162" s="3"/>
    </row>
    <row r="163" spans="3:7">
      <c r="C163" s="22"/>
      <c r="E163" s="36"/>
      <c r="F163" s="3"/>
      <c r="G163" s="3"/>
    </row>
    <row r="164" spans="3:7">
      <c r="C164" s="22"/>
      <c r="E164" s="36"/>
      <c r="F164" s="3"/>
      <c r="G164" s="3"/>
    </row>
    <row r="165" spans="3:7">
      <c r="C165" s="22"/>
      <c r="E165" s="36"/>
      <c r="F165" s="3"/>
      <c r="G165" s="3"/>
    </row>
    <row r="166" spans="3:7">
      <c r="C166" s="22"/>
      <c r="E166" s="36"/>
      <c r="F166" s="3"/>
      <c r="G166" s="3"/>
    </row>
    <row r="167" spans="3:7">
      <c r="C167" s="22"/>
      <c r="E167" s="36"/>
      <c r="F167" s="3"/>
      <c r="G167" s="3"/>
    </row>
    <row r="168" spans="3:7">
      <c r="C168" s="22"/>
      <c r="E168" s="36"/>
      <c r="F168" s="3"/>
      <c r="G168" s="3"/>
    </row>
  </sheetData>
  <sheetProtection algorithmName="SHA-512" hashValue="XWSKpK+CWgduyzNVnRML4iEBxX9vof11XIGr2kboGxgvIoH0fOw4W4Iw2jzaHpFUhNdGeG7S/uvIctu2IGg4VQ==" saltValue="hNXLkce17qRkeU1EHt/+8A==" spinCount="100000" sheet="1" sort="0" autoFilter="0"/>
  <autoFilter ref="A4:B124" xr:uid="{00000000-0009-0000-0000-000019000000}"/>
  <mergeCells count="5">
    <mergeCell ref="A3:B3"/>
    <mergeCell ref="C3:C4"/>
    <mergeCell ref="D3:D4"/>
    <mergeCell ref="A150:D150"/>
    <mergeCell ref="A147:D147"/>
  </mergeCells>
  <printOptions horizontalCentered="1"/>
  <pageMargins left="0.7" right="0.7" top="0.75" bottom="0.5" header="0.3" footer="0.3"/>
  <pageSetup fitToHeight="0" orientation="portrait" r:id="rId1"/>
  <headerFooter alignWithMargins="0">
    <oddFooter>&amp;C&amp;9&amp;P of &amp;N&amp;R&amp;9&amp;A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3">
    <tabColor theme="9" tint="0.59999389629810485"/>
    <pageSetUpPr fitToPage="1"/>
  </sheetPr>
  <dimension ref="A1:CA217"/>
  <sheetViews>
    <sheetView showGridLines="0" zoomScale="90" zoomScaleNormal="90" workbookViewId="0">
      <pane xSplit="2" ySplit="5" topLeftCell="C6" activePane="bottomRight" state="frozen"/>
      <selection pane="topRight" activeCell="C1" sqref="C1"/>
      <selection pane="bottomLeft" activeCell="A6" sqref="A6"/>
      <selection pane="bottomRight" activeCell="A3" sqref="A3:B3"/>
    </sheetView>
  </sheetViews>
  <sheetFormatPr defaultColWidth="8.85546875" defaultRowHeight="12.75"/>
  <cols>
    <col min="1" max="1" width="42.140625" customWidth="1"/>
    <col min="2" max="2" width="9.85546875" customWidth="1"/>
    <col min="3" max="3" width="11.42578125" style="1" bestFit="1" customWidth="1"/>
    <col min="4" max="4" width="12.7109375" style="1" customWidth="1"/>
    <col min="5" max="5" width="12.42578125" bestFit="1" customWidth="1"/>
    <col min="6" max="6" width="11.42578125" customWidth="1"/>
    <col min="7" max="7" width="13.42578125" style="10" customWidth="1"/>
    <col min="8" max="8" width="9.5703125" bestFit="1" customWidth="1"/>
    <col min="9" max="10" width="9.42578125" bestFit="1" customWidth="1"/>
    <col min="11" max="11" width="11" customWidth="1"/>
    <col min="12" max="12" width="12.85546875" style="4" customWidth="1"/>
    <col min="13" max="13" width="12.5703125" customWidth="1"/>
    <col min="14" max="14" width="10" customWidth="1"/>
    <col min="15" max="15" width="11.5703125" customWidth="1"/>
    <col min="16" max="16" width="11.5703125" style="10" customWidth="1"/>
    <col min="17" max="17" width="11" style="36" customWidth="1"/>
    <col min="18" max="18" width="13.42578125" style="36" customWidth="1"/>
    <col min="19" max="19" width="12.5703125" style="36" customWidth="1"/>
    <col min="20" max="20" width="13.140625" style="36" customWidth="1"/>
    <col min="21" max="21" width="11.42578125" style="10" customWidth="1"/>
    <col min="22" max="22" width="16.5703125" style="65" customWidth="1"/>
    <col min="23" max="23" width="10.140625" style="10" customWidth="1"/>
    <col min="24" max="24" width="16" style="65" customWidth="1"/>
    <col min="25" max="25" width="13.140625" style="11" customWidth="1"/>
    <col min="26" max="26" width="13.140625" style="4" customWidth="1"/>
    <col min="27" max="27" width="14" style="22" customWidth="1"/>
    <col min="30" max="30" width="12.140625" customWidth="1"/>
    <col min="31" max="31" width="15.28515625" customWidth="1"/>
    <col min="37" max="37" width="9.85546875" bestFit="1" customWidth="1"/>
    <col min="38" max="38" width="11.140625" bestFit="1" customWidth="1"/>
  </cols>
  <sheetData>
    <row r="1" spans="1:27" s="4" customFormat="1" ht="15" hidden="1" customHeight="1">
      <c r="A1" s="4" t="s">
        <v>1065</v>
      </c>
      <c r="B1" s="4" t="s">
        <v>1066</v>
      </c>
      <c r="C1" s="4" t="s">
        <v>1067</v>
      </c>
      <c r="D1" s="4" t="s">
        <v>1068</v>
      </c>
      <c r="E1" s="4" t="s">
        <v>1069</v>
      </c>
      <c r="F1" s="4" t="s">
        <v>1070</v>
      </c>
      <c r="G1" s="4" t="s">
        <v>1071</v>
      </c>
      <c r="H1" s="4" t="s">
        <v>1072</v>
      </c>
      <c r="I1" s="4" t="s">
        <v>1073</v>
      </c>
      <c r="J1" s="4" t="s">
        <v>1074</v>
      </c>
      <c r="K1" s="4" t="s">
        <v>1075</v>
      </c>
      <c r="L1" s="86" t="s">
        <v>1076</v>
      </c>
      <c r="M1" s="4" t="s">
        <v>1077</v>
      </c>
      <c r="N1" s="4" t="s">
        <v>1078</v>
      </c>
      <c r="O1" s="4" t="s">
        <v>1079</v>
      </c>
      <c r="P1" s="4" t="s">
        <v>1080</v>
      </c>
      <c r="Q1" s="4" t="s">
        <v>1081</v>
      </c>
      <c r="R1" s="4" t="s">
        <v>1082</v>
      </c>
      <c r="S1" s="4" t="s">
        <v>1083</v>
      </c>
      <c r="T1" s="4" t="s">
        <v>1084</v>
      </c>
      <c r="U1" s="36" t="s">
        <v>1085</v>
      </c>
      <c r="V1" s="4" t="s">
        <v>1086</v>
      </c>
      <c r="W1" s="36" t="s">
        <v>1087</v>
      </c>
      <c r="X1" s="4" t="s">
        <v>1088</v>
      </c>
      <c r="Y1" s="4" t="s">
        <v>1089</v>
      </c>
      <c r="Z1" s="4" t="s">
        <v>1090</v>
      </c>
      <c r="AA1" s="4" t="s">
        <v>1091</v>
      </c>
    </row>
    <row r="2" spans="1:27" s="1212" customFormat="1" ht="42" customHeight="1" thickBot="1">
      <c r="B2" s="1213"/>
      <c r="C2" s="2817" t="s">
        <v>1092</v>
      </c>
      <c r="D2" s="2817"/>
      <c r="E2" s="2817"/>
      <c r="F2" s="2817"/>
      <c r="G2" s="2817"/>
      <c r="H2" s="2817"/>
      <c r="I2" s="2817"/>
      <c r="J2" s="2817"/>
      <c r="K2" s="2817"/>
      <c r="L2" s="1213"/>
      <c r="M2" s="1213"/>
      <c r="N2" s="1213"/>
      <c r="O2" s="1213"/>
      <c r="P2" s="1213"/>
      <c r="Q2" s="1214"/>
      <c r="R2" s="1214"/>
      <c r="S2" s="1214"/>
      <c r="T2" s="1214"/>
      <c r="U2" s="1214"/>
      <c r="V2" s="1213"/>
      <c r="W2" s="1214"/>
      <c r="X2" s="1213"/>
      <c r="Y2" s="1213"/>
      <c r="Z2" s="1213"/>
      <c r="AA2" s="1213"/>
    </row>
    <row r="3" spans="1:27" ht="17.25" customHeight="1" thickTop="1" thickBot="1">
      <c r="A3" s="2819" t="str">
        <f>'Tier 1 ESL'!A6:F6</f>
        <v>2025 (Rev 4)</v>
      </c>
      <c r="B3" s="2820"/>
      <c r="C3" s="2818" t="s">
        <v>1093</v>
      </c>
      <c r="D3" s="2807" t="s">
        <v>1094</v>
      </c>
      <c r="E3" s="2813" t="s">
        <v>1095</v>
      </c>
      <c r="F3" s="2813" t="s">
        <v>1096</v>
      </c>
      <c r="G3" s="2810" t="s">
        <v>1097</v>
      </c>
      <c r="H3" s="2810" t="s">
        <v>1098</v>
      </c>
      <c r="I3" s="2810" t="s">
        <v>1099</v>
      </c>
      <c r="J3" s="2810" t="s">
        <v>1100</v>
      </c>
      <c r="K3" s="2810" t="s">
        <v>1101</v>
      </c>
      <c r="L3" s="2813" t="s">
        <v>1102</v>
      </c>
      <c r="M3" s="2810" t="s">
        <v>1103</v>
      </c>
      <c r="N3" s="2810" t="s">
        <v>1104</v>
      </c>
      <c r="O3" s="2810" t="s">
        <v>1105</v>
      </c>
      <c r="P3" s="2821" t="s">
        <v>1106</v>
      </c>
      <c r="Q3" s="2810" t="s">
        <v>4305</v>
      </c>
      <c r="R3" s="2810" t="s">
        <v>1107</v>
      </c>
      <c r="S3" s="2810" t="s">
        <v>1108</v>
      </c>
      <c r="T3" s="2804" t="s">
        <v>1109</v>
      </c>
      <c r="U3" s="2824" t="s">
        <v>1110</v>
      </c>
      <c r="V3" s="2825"/>
      <c r="W3" s="2825"/>
      <c r="X3" s="2825"/>
      <c r="Y3" s="2825"/>
      <c r="Z3" s="2825"/>
      <c r="AA3" s="2826"/>
    </row>
    <row r="4" spans="1:27" ht="16.350000000000001" customHeight="1">
      <c r="A4" s="2645" t="s">
        <v>661</v>
      </c>
      <c r="B4" s="2646" t="s">
        <v>80</v>
      </c>
      <c r="C4" s="2461"/>
      <c r="D4" s="2808"/>
      <c r="E4" s="2428"/>
      <c r="F4" s="2428"/>
      <c r="G4" s="2811"/>
      <c r="H4" s="2811"/>
      <c r="I4" s="2811"/>
      <c r="J4" s="2811"/>
      <c r="K4" s="2811"/>
      <c r="L4" s="2428"/>
      <c r="M4" s="2811"/>
      <c r="N4" s="2811"/>
      <c r="O4" s="2811"/>
      <c r="P4" s="2822"/>
      <c r="Q4" s="2811"/>
      <c r="R4" s="2811"/>
      <c r="S4" s="2811"/>
      <c r="T4" s="2805"/>
      <c r="U4" s="2827"/>
      <c r="V4" s="2828"/>
      <c r="W4" s="2828"/>
      <c r="X4" s="2828"/>
      <c r="Y4" s="2828"/>
      <c r="Z4" s="2828"/>
      <c r="AA4" s="2829"/>
    </row>
    <row r="5" spans="1:27" s="67" customFormat="1" ht="72.75" customHeight="1" thickBot="1">
      <c r="A5" s="2637"/>
      <c r="B5" s="2647"/>
      <c r="C5" s="2462"/>
      <c r="D5" s="2809"/>
      <c r="E5" s="2429"/>
      <c r="F5" s="2429"/>
      <c r="G5" s="2812"/>
      <c r="H5" s="2812"/>
      <c r="I5" s="2812"/>
      <c r="J5" s="2812"/>
      <c r="K5" s="2812"/>
      <c r="L5" s="2429"/>
      <c r="M5" s="2812"/>
      <c r="N5" s="2812"/>
      <c r="O5" s="2812"/>
      <c r="P5" s="2823"/>
      <c r="Q5" s="2812"/>
      <c r="R5" s="2812"/>
      <c r="S5" s="2812"/>
      <c r="T5" s="2806"/>
      <c r="U5" s="594" t="s">
        <v>1111</v>
      </c>
      <c r="V5" s="1997" t="s">
        <v>1112</v>
      </c>
      <c r="W5" s="1997" t="s">
        <v>1113</v>
      </c>
      <c r="X5" s="1997" t="s">
        <v>1112</v>
      </c>
      <c r="Y5" s="1997" t="s">
        <v>1114</v>
      </c>
      <c r="Z5" s="1997" t="s">
        <v>1115</v>
      </c>
      <c r="AA5" s="1998" t="s">
        <v>1006</v>
      </c>
    </row>
    <row r="6" spans="1:27" ht="15" customHeight="1">
      <c r="A6" s="136" t="s">
        <v>391</v>
      </c>
      <c r="B6" s="486" t="s">
        <v>392</v>
      </c>
      <c r="C6" s="485" t="s">
        <v>1116</v>
      </c>
      <c r="D6" s="1314">
        <v>-94.8</v>
      </c>
      <c r="E6" s="159" t="str">
        <f t="shared" ref="E6:E37" si="0">IF(OR(G6="--",I6="--"),"NV",IF(OR(G6&gt;1,I6&gt;0.00001),"V","NV"))</f>
        <v>V</v>
      </c>
      <c r="F6" s="302">
        <v>58.081000000000003</v>
      </c>
      <c r="G6" s="158">
        <v>231.5</v>
      </c>
      <c r="H6" s="158">
        <v>1000000</v>
      </c>
      <c r="I6" s="158">
        <v>3.4999999999999997E-5</v>
      </c>
      <c r="J6" s="158">
        <v>1.43090760425E-3</v>
      </c>
      <c r="K6" s="203">
        <v>2.3639999999999999</v>
      </c>
      <c r="L6" s="158">
        <f>K6*Foc</f>
        <v>1.4184E-2</v>
      </c>
      <c r="M6" s="158">
        <v>0.10592149838195999</v>
      </c>
      <c r="N6" s="158">
        <v>1.147115345E-5</v>
      </c>
      <c r="O6" s="158">
        <f t="shared" ref="O6:O37" si="1">IF(OR(K6="--",I6="--"), "--",(6207*I6)+(0.166*K6))</f>
        <v>0.60966900000000002</v>
      </c>
      <c r="P6" s="158">
        <f t="shared" ref="P6:P37" si="2">IF(OR(H6="--",J6="--"),"--",((H6/Ds)*((L6*Ds)+Pw+(J6*Pa))))</f>
        <v>114454.88250872909</v>
      </c>
      <c r="Q6" s="161">
        <f t="shared" ref="Q6:Q37" si="3">IF(OR(M6="--",L6="--"),"--",(IF(E6="V",(((((Pa^(10/3))*M6*J6)+((Pw^(10/3))*N6))/(Pt^2))/((Ds*L6)+Pw+(Pa*J6))),"--")))</f>
        <v>7.1186979959614967E-5</v>
      </c>
      <c r="R6" s="158">
        <f>IF(Q6="--","--",IF(E6="V",68.18*(PI()*Q6*26*365*24*60*60)^0.5*0.0001/(2*Ds*Q6),"--"))</f>
        <v>13671.002778744038</v>
      </c>
      <c r="S6" s="158">
        <f t="shared" ref="S6:S37" si="4">IF(Q6="--","--",IF(E6="V",68.18*(PI()*Q6*25*365*24*60*60)^0.5*0.0001/(2*Ds*Q6),"--"))</f>
        <v>13405.521142153275</v>
      </c>
      <c r="T6" s="158">
        <f t="shared" ref="T6:T37" si="5">IF(Q6="--","--",IF(E6="V",(((PI()*Q6*365*24*60*60)^0.5)/(2*Ds*Q6))*14.31*(1/0.18584)*0.0001,"--"))</f>
        <v>3028.0088326911941</v>
      </c>
      <c r="U6" s="307">
        <v>20000</v>
      </c>
      <c r="V6" s="304" t="s">
        <v>1117</v>
      </c>
      <c r="W6" s="303">
        <v>200000</v>
      </c>
      <c r="X6" s="304" t="s">
        <v>1118</v>
      </c>
      <c r="Y6" s="303">
        <v>30862</v>
      </c>
      <c r="Z6" s="303">
        <v>13</v>
      </c>
      <c r="AA6" s="305" t="s">
        <v>115</v>
      </c>
    </row>
    <row r="7" spans="1:27" ht="15" customHeight="1">
      <c r="A7" s="136" t="s">
        <v>85</v>
      </c>
      <c r="B7" s="486" t="s">
        <v>86</v>
      </c>
      <c r="C7" s="485" t="s">
        <v>1116</v>
      </c>
      <c r="D7" s="1314">
        <v>104</v>
      </c>
      <c r="E7" s="159" t="str">
        <f t="shared" si="0"/>
        <v>V</v>
      </c>
      <c r="F7" s="302">
        <v>364.92</v>
      </c>
      <c r="G7" s="158">
        <v>1.2E-4</v>
      </c>
      <c r="H7" s="158">
        <v>1.7000000000000001E-2</v>
      </c>
      <c r="I7" s="158">
        <v>4.3999999999999999E-5</v>
      </c>
      <c r="J7" s="158">
        <v>1.79885527392E-3</v>
      </c>
      <c r="K7" s="203">
        <v>82020</v>
      </c>
      <c r="L7" s="158">
        <f>K7*Foc</f>
        <v>492.12</v>
      </c>
      <c r="M7" s="158">
        <v>2.281156491601E-2</v>
      </c>
      <c r="N7" s="158">
        <v>5.8401655942800002E-6</v>
      </c>
      <c r="O7" s="158">
        <f t="shared" si="1"/>
        <v>13615.593108000001</v>
      </c>
      <c r="P7" s="158">
        <f t="shared" si="2"/>
        <v>8.3677457891461877</v>
      </c>
      <c r="Q7" s="161">
        <f t="shared" si="3"/>
        <v>4.5168433470315454E-9</v>
      </c>
      <c r="R7" s="158">
        <f t="shared" ref="R7:R37" si="6">IF(Q7="--","--",IF(E7="V",68.18*(PI()*Q7*26*365*24*60*60)^0.5*0.0001/(2*Ds*Q7),"--"))</f>
        <v>1716260.2407893832</v>
      </c>
      <c r="S7" s="158">
        <f t="shared" si="4"/>
        <v>1682931.6265747147</v>
      </c>
      <c r="T7" s="158">
        <f t="shared" si="5"/>
        <v>380136.79408998013</v>
      </c>
      <c r="U7" s="307">
        <v>17</v>
      </c>
      <c r="V7" s="304" t="s">
        <v>1118</v>
      </c>
      <c r="W7" s="303">
        <v>170</v>
      </c>
      <c r="X7" s="304" t="s">
        <v>1118</v>
      </c>
      <c r="Y7" s="303">
        <v>263</v>
      </c>
      <c r="Z7" s="303">
        <v>1.7000000000000001E-2</v>
      </c>
      <c r="AA7" s="305" t="s">
        <v>115</v>
      </c>
    </row>
    <row r="8" spans="1:27" ht="15" customHeight="1">
      <c r="A8" s="136" t="s">
        <v>87</v>
      </c>
      <c r="B8" s="486" t="s">
        <v>88</v>
      </c>
      <c r="C8" s="485" t="s">
        <v>1119</v>
      </c>
      <c r="D8" s="1314">
        <v>630</v>
      </c>
      <c r="E8" s="159" t="str">
        <f t="shared" si="0"/>
        <v>NV</v>
      </c>
      <c r="F8" s="302">
        <v>121.76</v>
      </c>
      <c r="G8" s="171" t="s">
        <v>115</v>
      </c>
      <c r="H8" s="171" t="s">
        <v>115</v>
      </c>
      <c r="I8" s="171" t="s">
        <v>115</v>
      </c>
      <c r="J8" s="171" t="s">
        <v>115</v>
      </c>
      <c r="K8" s="171" t="s">
        <v>115</v>
      </c>
      <c r="L8" s="158">
        <v>45</v>
      </c>
      <c r="M8" s="158">
        <v>0.1348237704145</v>
      </c>
      <c r="N8" s="158">
        <v>2.6597135470000001E-5</v>
      </c>
      <c r="O8" s="158" t="str">
        <f t="shared" si="1"/>
        <v>--</v>
      </c>
      <c r="P8" s="158" t="str">
        <f t="shared" si="2"/>
        <v>--</v>
      </c>
      <c r="Q8" s="161" t="str">
        <f t="shared" si="3"/>
        <v>--</v>
      </c>
      <c r="R8" s="158" t="str">
        <f t="shared" si="6"/>
        <v>--</v>
      </c>
      <c r="S8" s="158" t="str">
        <f t="shared" si="4"/>
        <v>--</v>
      </c>
      <c r="T8" s="158" t="str">
        <f t="shared" si="5"/>
        <v>--</v>
      </c>
      <c r="U8" s="307" t="s">
        <v>115</v>
      </c>
      <c r="V8" s="304" t="s">
        <v>115</v>
      </c>
      <c r="W8" s="327" t="s">
        <v>115</v>
      </c>
      <c r="X8" s="304" t="s">
        <v>115</v>
      </c>
      <c r="Y8" s="303" t="s">
        <v>115</v>
      </c>
      <c r="Z8" s="303" t="s">
        <v>115</v>
      </c>
      <c r="AA8" s="305" t="s">
        <v>495</v>
      </c>
    </row>
    <row r="9" spans="1:27" ht="15" customHeight="1">
      <c r="A9" s="136" t="s">
        <v>89</v>
      </c>
      <c r="B9" s="486" t="s">
        <v>90</v>
      </c>
      <c r="C9" s="485" t="s">
        <v>1119</v>
      </c>
      <c r="D9" s="1314">
        <v>270</v>
      </c>
      <c r="E9" s="159" t="str">
        <f t="shared" si="0"/>
        <v>NV</v>
      </c>
      <c r="F9" s="302">
        <v>74.921999999999997</v>
      </c>
      <c r="G9" s="171" t="s">
        <v>115</v>
      </c>
      <c r="H9" s="171" t="s">
        <v>115</v>
      </c>
      <c r="I9" s="171" t="s">
        <v>115</v>
      </c>
      <c r="J9" s="171" t="s">
        <v>115</v>
      </c>
      <c r="K9" s="171" t="s">
        <v>115</v>
      </c>
      <c r="L9" s="158">
        <v>29</v>
      </c>
      <c r="M9" s="158">
        <v>0.17852714281411</v>
      </c>
      <c r="N9" s="158">
        <v>2.9554512650000001E-5</v>
      </c>
      <c r="O9" s="158" t="str">
        <f t="shared" si="1"/>
        <v>--</v>
      </c>
      <c r="P9" s="158" t="str">
        <f t="shared" si="2"/>
        <v>--</v>
      </c>
      <c r="Q9" s="161" t="str">
        <f t="shared" si="3"/>
        <v>--</v>
      </c>
      <c r="R9" s="158" t="str">
        <f t="shared" si="6"/>
        <v>--</v>
      </c>
      <c r="S9" s="158" t="str">
        <f t="shared" si="4"/>
        <v>--</v>
      </c>
      <c r="T9" s="158" t="str">
        <f t="shared" si="5"/>
        <v>--</v>
      </c>
      <c r="U9" s="307" t="s">
        <v>115</v>
      </c>
      <c r="V9" s="304" t="s">
        <v>115</v>
      </c>
      <c r="W9" s="303" t="s">
        <v>115</v>
      </c>
      <c r="X9" s="304" t="s">
        <v>115</v>
      </c>
      <c r="Y9" s="303" t="s">
        <v>115</v>
      </c>
      <c r="Z9" s="303" t="s">
        <v>115</v>
      </c>
      <c r="AA9" s="305" t="s">
        <v>495</v>
      </c>
    </row>
    <row r="10" spans="1:27" ht="15" customHeight="1">
      <c r="A10" s="136" t="s">
        <v>91</v>
      </c>
      <c r="B10" s="486" t="s">
        <v>92</v>
      </c>
      <c r="C10" s="485" t="s">
        <v>1119</v>
      </c>
      <c r="D10" s="1314">
        <v>710</v>
      </c>
      <c r="E10" s="159" t="str">
        <f t="shared" si="0"/>
        <v>NV</v>
      </c>
      <c r="F10" s="302">
        <v>137.33000000000001</v>
      </c>
      <c r="G10" s="171" t="s">
        <v>115</v>
      </c>
      <c r="H10" s="171" t="s">
        <v>115</v>
      </c>
      <c r="I10" s="171" t="s">
        <v>115</v>
      </c>
      <c r="J10" s="171" t="s">
        <v>115</v>
      </c>
      <c r="K10" s="171" t="s">
        <v>115</v>
      </c>
      <c r="L10" s="158">
        <v>41</v>
      </c>
      <c r="M10" s="158">
        <v>9.4060025145760007E-2</v>
      </c>
      <c r="N10" s="158">
        <v>1.7133167540000001E-5</v>
      </c>
      <c r="O10" s="158" t="str">
        <f t="shared" si="1"/>
        <v>--</v>
      </c>
      <c r="P10" s="158" t="str">
        <f t="shared" si="2"/>
        <v>--</v>
      </c>
      <c r="Q10" s="161" t="str">
        <f t="shared" si="3"/>
        <v>--</v>
      </c>
      <c r="R10" s="158" t="str">
        <f t="shared" si="6"/>
        <v>--</v>
      </c>
      <c r="S10" s="158" t="str">
        <f t="shared" si="4"/>
        <v>--</v>
      </c>
      <c r="T10" s="158" t="str">
        <f t="shared" si="5"/>
        <v>--</v>
      </c>
      <c r="U10" s="307" t="s">
        <v>115</v>
      </c>
      <c r="V10" s="304" t="s">
        <v>115</v>
      </c>
      <c r="W10" s="303" t="s">
        <v>115</v>
      </c>
      <c r="X10" s="304" t="s">
        <v>115</v>
      </c>
      <c r="Y10" s="303" t="s">
        <v>115</v>
      </c>
      <c r="Z10" s="303" t="s">
        <v>115</v>
      </c>
      <c r="AA10" s="305" t="s">
        <v>495</v>
      </c>
    </row>
    <row r="11" spans="1:27" ht="15" customHeight="1">
      <c r="A11" s="136" t="s">
        <v>93</v>
      </c>
      <c r="B11" s="486" t="s">
        <v>94</v>
      </c>
      <c r="C11" s="485" t="s">
        <v>1116</v>
      </c>
      <c r="D11" s="1314">
        <v>5.5</v>
      </c>
      <c r="E11" s="159" t="str">
        <f t="shared" si="0"/>
        <v>V</v>
      </c>
      <c r="F11" s="302">
        <v>78.114999999999995</v>
      </c>
      <c r="G11" s="158">
        <v>94.8</v>
      </c>
      <c r="H11" s="158">
        <v>1790</v>
      </c>
      <c r="I11" s="158">
        <v>5.5500000000000002E-3</v>
      </c>
      <c r="J11" s="158">
        <v>0.22690106295994</v>
      </c>
      <c r="K11" s="203">
        <v>145.80000000000001</v>
      </c>
      <c r="L11" s="158">
        <f>K11*Foc</f>
        <v>0.87480000000000013</v>
      </c>
      <c r="M11" s="158">
        <v>8.9534039512060001E-2</v>
      </c>
      <c r="N11" s="158">
        <v>1.026318746E-5</v>
      </c>
      <c r="O11" s="158">
        <f t="shared" si="1"/>
        <v>58.651650000000004</v>
      </c>
      <c r="P11" s="158">
        <f t="shared" si="2"/>
        <v>1821.7800652277899</v>
      </c>
      <c r="Q11" s="161">
        <f t="shared" si="3"/>
        <v>1.0635261651024616E-3</v>
      </c>
      <c r="R11" s="158">
        <f t="shared" si="6"/>
        <v>3536.9308289272244</v>
      </c>
      <c r="S11" s="158">
        <f t="shared" si="4"/>
        <v>3468.2460221015049</v>
      </c>
      <c r="T11" s="158">
        <f t="shared" si="5"/>
        <v>783.39957674950801</v>
      </c>
      <c r="U11" s="307">
        <v>170</v>
      </c>
      <c r="V11" s="304" t="s">
        <v>1117</v>
      </c>
      <c r="W11" s="303">
        <v>20000</v>
      </c>
      <c r="X11" s="304" t="s">
        <v>1118</v>
      </c>
      <c r="Y11" s="303">
        <v>4890</v>
      </c>
      <c r="Z11" s="303">
        <v>1.5</v>
      </c>
      <c r="AA11" s="305" t="s">
        <v>115</v>
      </c>
    </row>
    <row r="12" spans="1:27" ht="15" customHeight="1">
      <c r="A12" s="136" t="s">
        <v>95</v>
      </c>
      <c r="B12" s="486" t="s">
        <v>96</v>
      </c>
      <c r="C12" s="485" t="s">
        <v>1119</v>
      </c>
      <c r="D12" s="1314">
        <v>986</v>
      </c>
      <c r="E12" s="159" t="str">
        <f t="shared" si="0"/>
        <v>NV</v>
      </c>
      <c r="F12" s="302">
        <v>9.01</v>
      </c>
      <c r="G12" s="171" t="s">
        <v>115</v>
      </c>
      <c r="H12" s="171" t="s">
        <v>115</v>
      </c>
      <c r="I12" s="171" t="s">
        <v>115</v>
      </c>
      <c r="J12" s="171" t="s">
        <v>115</v>
      </c>
      <c r="K12" s="171" t="s">
        <v>115</v>
      </c>
      <c r="L12" s="158">
        <v>790</v>
      </c>
      <c r="M12" s="158">
        <v>0.48242590592050999</v>
      </c>
      <c r="N12" s="158">
        <v>5.8713765509999999E-5</v>
      </c>
      <c r="O12" s="158" t="str">
        <f t="shared" si="1"/>
        <v>--</v>
      </c>
      <c r="P12" s="158" t="str">
        <f t="shared" si="2"/>
        <v>--</v>
      </c>
      <c r="Q12" s="161" t="str">
        <f t="shared" si="3"/>
        <v>--</v>
      </c>
      <c r="R12" s="158" t="str">
        <f t="shared" si="6"/>
        <v>--</v>
      </c>
      <c r="S12" s="158" t="str">
        <f t="shared" si="4"/>
        <v>--</v>
      </c>
      <c r="T12" s="158" t="str">
        <f t="shared" si="5"/>
        <v>--</v>
      </c>
      <c r="U12" s="307" t="s">
        <v>115</v>
      </c>
      <c r="V12" s="304" t="s">
        <v>115</v>
      </c>
      <c r="W12" s="303" t="s">
        <v>115</v>
      </c>
      <c r="X12" s="304" t="s">
        <v>115</v>
      </c>
      <c r="Y12" s="303" t="s">
        <v>115</v>
      </c>
      <c r="Z12" s="303" t="s">
        <v>115</v>
      </c>
      <c r="AA12" s="305" t="s">
        <v>495</v>
      </c>
    </row>
    <row r="13" spans="1:27" ht="15" customHeight="1">
      <c r="A13" s="136" t="s">
        <v>97</v>
      </c>
      <c r="B13" s="486" t="s">
        <v>98</v>
      </c>
      <c r="C13" s="485" t="s">
        <v>1116</v>
      </c>
      <c r="D13" s="1314">
        <v>69</v>
      </c>
      <c r="E13" s="159" t="str">
        <f t="shared" si="0"/>
        <v>V</v>
      </c>
      <c r="F13" s="302">
        <v>154.21</v>
      </c>
      <c r="G13" s="158">
        <v>8.9300000000000004E-3</v>
      </c>
      <c r="H13" s="158">
        <v>7.48</v>
      </c>
      <c r="I13" s="158">
        <v>3.0800000000000001E-4</v>
      </c>
      <c r="J13" s="158">
        <v>1.2591986917420001E-2</v>
      </c>
      <c r="K13" s="203">
        <v>5129</v>
      </c>
      <c r="L13" s="158">
        <f>K13*Foc</f>
        <v>30.774000000000001</v>
      </c>
      <c r="M13" s="158">
        <v>4.705923501776E-2</v>
      </c>
      <c r="N13" s="158">
        <v>7.5617837409600001E-6</v>
      </c>
      <c r="O13" s="158">
        <f t="shared" si="1"/>
        <v>853.32575600000007</v>
      </c>
      <c r="P13" s="158">
        <f t="shared" si="2"/>
        <v>230.95535057025464</v>
      </c>
      <c r="Q13" s="161">
        <f t="shared" si="3"/>
        <v>1.0240302447619844E-6</v>
      </c>
      <c r="R13" s="158">
        <f t="shared" si="6"/>
        <v>113984.09728313674</v>
      </c>
      <c r="S13" s="158">
        <f t="shared" si="4"/>
        <v>111770.60313191777</v>
      </c>
      <c r="T13" s="158">
        <f t="shared" si="5"/>
        <v>25246.491347094805</v>
      </c>
      <c r="U13" s="307">
        <v>0.5</v>
      </c>
      <c r="V13" s="304" t="s">
        <v>1117</v>
      </c>
      <c r="W13" s="303">
        <v>5</v>
      </c>
      <c r="X13" s="304" t="s">
        <v>1117</v>
      </c>
      <c r="Y13" s="303">
        <v>60</v>
      </c>
      <c r="Z13" s="303">
        <v>9.4999999999999998E-3</v>
      </c>
      <c r="AA13" s="305" t="s">
        <v>115</v>
      </c>
    </row>
    <row r="14" spans="1:27" ht="15" customHeight="1">
      <c r="A14" s="136" t="s">
        <v>99</v>
      </c>
      <c r="B14" s="486" t="s">
        <v>100</v>
      </c>
      <c r="C14" s="485" t="s">
        <v>1116</v>
      </c>
      <c r="D14" s="1314">
        <v>-51.9</v>
      </c>
      <c r="E14" s="159" t="str">
        <f t="shared" si="0"/>
        <v>V</v>
      </c>
      <c r="F14" s="302">
        <v>143.01</v>
      </c>
      <c r="G14" s="158">
        <v>1.55</v>
      </c>
      <c r="H14" s="158">
        <v>17200</v>
      </c>
      <c r="I14" s="158">
        <v>1.7E-5</v>
      </c>
      <c r="J14" s="158">
        <v>6.9501226491999995E-4</v>
      </c>
      <c r="K14" s="203">
        <v>32.21</v>
      </c>
      <c r="L14" s="158">
        <f>K14*Foc</f>
        <v>0.19326000000000002</v>
      </c>
      <c r="M14" s="158">
        <v>5.6719164820489998E-2</v>
      </c>
      <c r="N14" s="158">
        <v>8.7069855954199998E-6</v>
      </c>
      <c r="O14" s="158">
        <f t="shared" si="1"/>
        <v>5.4523790000000005</v>
      </c>
      <c r="P14" s="158">
        <f t="shared" si="2"/>
        <v>5046.335029872921</v>
      </c>
      <c r="Q14" s="161">
        <f t="shared" si="3"/>
        <v>7.3467746058428289E-6</v>
      </c>
      <c r="R14" s="158">
        <f t="shared" si="6"/>
        <v>42555.166874324765</v>
      </c>
      <c r="S14" s="158">
        <f t="shared" si="4"/>
        <v>41728.774287765249</v>
      </c>
      <c r="T14" s="158">
        <f t="shared" si="5"/>
        <v>9425.6012713605305</v>
      </c>
      <c r="U14" s="307">
        <v>360</v>
      </c>
      <c r="V14" s="304" t="s">
        <v>1117</v>
      </c>
      <c r="W14" s="303">
        <v>3600</v>
      </c>
      <c r="X14" s="304" t="s">
        <v>1117</v>
      </c>
      <c r="Y14" s="303">
        <v>287</v>
      </c>
      <c r="Z14" s="303">
        <v>4.9000000000000002E-2</v>
      </c>
      <c r="AA14" s="305" t="s">
        <v>115</v>
      </c>
    </row>
    <row r="15" spans="1:27" ht="15" customHeight="1">
      <c r="A15" s="136" t="s">
        <v>101</v>
      </c>
      <c r="B15" s="486" t="s">
        <v>102</v>
      </c>
      <c r="C15" s="485" t="s">
        <v>1116</v>
      </c>
      <c r="D15" s="1314">
        <v>-97</v>
      </c>
      <c r="E15" s="159" t="str">
        <f t="shared" si="0"/>
        <v>V</v>
      </c>
      <c r="F15" s="302">
        <v>171.07</v>
      </c>
      <c r="G15" s="158">
        <v>0.56000000000000005</v>
      </c>
      <c r="H15" s="158">
        <v>1700</v>
      </c>
      <c r="I15" s="158">
        <v>7.4200000000000001E-5</v>
      </c>
      <c r="J15" s="158">
        <v>3.0335241210099999E-3</v>
      </c>
      <c r="K15" s="203">
        <v>82.92</v>
      </c>
      <c r="L15" s="158">
        <f>K15*Foc</f>
        <v>0.49752000000000002</v>
      </c>
      <c r="M15" s="158">
        <v>3.9889131750200001E-2</v>
      </c>
      <c r="N15" s="158">
        <v>7.3605923470999996E-6</v>
      </c>
      <c r="O15" s="158">
        <f t="shared" si="1"/>
        <v>14.2252794</v>
      </c>
      <c r="P15" s="158">
        <f t="shared" si="2"/>
        <v>1016.7602605614596</v>
      </c>
      <c r="Q15" s="161">
        <f t="shared" si="3"/>
        <v>1.0856979335439886E-5</v>
      </c>
      <c r="R15" s="158">
        <f t="shared" si="6"/>
        <v>35006.295167128977</v>
      </c>
      <c r="S15" s="158">
        <f t="shared" si="4"/>
        <v>34326.496568419127</v>
      </c>
      <c r="T15" s="158">
        <f t="shared" si="5"/>
        <v>7753.5915017639863</v>
      </c>
      <c r="U15" s="307">
        <v>320</v>
      </c>
      <c r="V15" s="304" t="s">
        <v>1118</v>
      </c>
      <c r="W15" s="303">
        <v>3200</v>
      </c>
      <c r="X15" s="304" t="s">
        <v>1118</v>
      </c>
      <c r="Y15" s="303">
        <v>2240</v>
      </c>
      <c r="Z15" s="303">
        <v>0.32</v>
      </c>
      <c r="AA15" s="305" t="s">
        <v>115</v>
      </c>
    </row>
    <row r="16" spans="1:27" ht="15" customHeight="1">
      <c r="A16" s="136" t="s">
        <v>103</v>
      </c>
      <c r="B16" s="486" t="s">
        <v>104</v>
      </c>
      <c r="C16" s="485" t="s">
        <v>1116</v>
      </c>
      <c r="D16" s="1314">
        <v>-55</v>
      </c>
      <c r="E16" s="159" t="str">
        <f t="shared" si="0"/>
        <v>NV</v>
      </c>
      <c r="F16" s="302">
        <v>390.57</v>
      </c>
      <c r="G16" s="158">
        <v>1.42E-7</v>
      </c>
      <c r="H16" s="158">
        <v>0.27</v>
      </c>
      <c r="I16" s="158">
        <v>2.7000000000000001E-7</v>
      </c>
      <c r="J16" s="158">
        <v>1.103843009E-5</v>
      </c>
      <c r="K16" s="203">
        <v>119600</v>
      </c>
      <c r="L16" s="158">
        <f>K16*Foc</f>
        <v>717.6</v>
      </c>
      <c r="M16" s="158">
        <v>1.7340283185039999E-2</v>
      </c>
      <c r="N16" s="158">
        <v>4.18074661646E-6</v>
      </c>
      <c r="O16" s="158">
        <f t="shared" si="1"/>
        <v>19853.60167589</v>
      </c>
      <c r="P16" s="158">
        <f t="shared" si="2"/>
        <v>193.77900056420961</v>
      </c>
      <c r="Q16" s="161" t="str">
        <f t="shared" si="3"/>
        <v>--</v>
      </c>
      <c r="R16" s="158" t="str">
        <f t="shared" si="6"/>
        <v>--</v>
      </c>
      <c r="S16" s="158" t="str">
        <f t="shared" si="4"/>
        <v>--</v>
      </c>
      <c r="T16" s="158" t="str">
        <f t="shared" si="5"/>
        <v>--</v>
      </c>
      <c r="U16" s="307" t="s">
        <v>115</v>
      </c>
      <c r="V16" s="304" t="s">
        <v>115</v>
      </c>
      <c r="W16" s="303" t="s">
        <v>115</v>
      </c>
      <c r="X16" s="304" t="s">
        <v>115</v>
      </c>
      <c r="Y16" s="303" t="s">
        <v>115</v>
      </c>
      <c r="Z16" s="303" t="s">
        <v>115</v>
      </c>
      <c r="AA16" s="305" t="s">
        <v>115</v>
      </c>
    </row>
    <row r="17" spans="1:27" ht="15" customHeight="1">
      <c r="A17" s="136" t="s">
        <v>105</v>
      </c>
      <c r="B17" s="486" t="s">
        <v>106</v>
      </c>
      <c r="C17" s="485" t="s">
        <v>1119</v>
      </c>
      <c r="D17" s="1314">
        <v>2075</v>
      </c>
      <c r="E17" s="159" t="str">
        <f t="shared" si="0"/>
        <v>NV</v>
      </c>
      <c r="F17" s="302">
        <v>13.84</v>
      </c>
      <c r="G17" s="171" t="s">
        <v>115</v>
      </c>
      <c r="H17" s="171" t="s">
        <v>115</v>
      </c>
      <c r="I17" s="171" t="s">
        <v>115</v>
      </c>
      <c r="J17" s="171" t="s">
        <v>115</v>
      </c>
      <c r="K17" s="171" t="s">
        <v>115</v>
      </c>
      <c r="L17" s="158">
        <v>3</v>
      </c>
      <c r="M17" s="158">
        <v>0.39062788368527002</v>
      </c>
      <c r="N17" s="158">
        <v>5.2254010949999999E-5</v>
      </c>
      <c r="O17" s="158" t="str">
        <f t="shared" si="1"/>
        <v>--</v>
      </c>
      <c r="P17" s="158" t="str">
        <f t="shared" si="2"/>
        <v>--</v>
      </c>
      <c r="Q17" s="161" t="str">
        <f t="shared" si="3"/>
        <v>--</v>
      </c>
      <c r="R17" s="158" t="str">
        <f t="shared" si="6"/>
        <v>--</v>
      </c>
      <c r="S17" s="158" t="str">
        <f t="shared" si="4"/>
        <v>--</v>
      </c>
      <c r="T17" s="158" t="str">
        <f t="shared" si="5"/>
        <v>--</v>
      </c>
      <c r="U17" s="307" t="s">
        <v>115</v>
      </c>
      <c r="V17" s="304" t="s">
        <v>115</v>
      </c>
      <c r="W17" s="303" t="s">
        <v>115</v>
      </c>
      <c r="X17" s="304" t="s">
        <v>115</v>
      </c>
      <c r="Y17" s="303" t="s">
        <v>115</v>
      </c>
      <c r="Z17" s="303" t="s">
        <v>115</v>
      </c>
      <c r="AA17" s="305" t="s">
        <v>495</v>
      </c>
    </row>
    <row r="18" spans="1:27" ht="15" customHeight="1">
      <c r="A18" s="136" t="s">
        <v>107</v>
      </c>
      <c r="B18" s="486" t="s">
        <v>108</v>
      </c>
      <c r="C18" s="485" t="s">
        <v>1116</v>
      </c>
      <c r="D18" s="1314">
        <v>-57</v>
      </c>
      <c r="E18" s="159" t="str">
        <f t="shared" si="0"/>
        <v>V</v>
      </c>
      <c r="F18" s="302">
        <v>163.83000000000001</v>
      </c>
      <c r="G18" s="158">
        <v>50</v>
      </c>
      <c r="H18" s="158">
        <v>3032</v>
      </c>
      <c r="I18" s="158">
        <v>2.1199999999999999E-3</v>
      </c>
      <c r="J18" s="158">
        <v>8.6672117743249996E-2</v>
      </c>
      <c r="K18" s="203">
        <v>31.82</v>
      </c>
      <c r="L18" s="158">
        <f>K18*Foc</f>
        <v>0.19092000000000001</v>
      </c>
      <c r="M18" s="158">
        <v>5.6262890151910001E-2</v>
      </c>
      <c r="N18" s="158">
        <v>1.0730867369999999E-5</v>
      </c>
      <c r="O18" s="158">
        <f t="shared" si="1"/>
        <v>18.44096</v>
      </c>
      <c r="P18" s="158">
        <f t="shared" si="2"/>
        <v>931.81770928318099</v>
      </c>
      <c r="Q18" s="161">
        <f t="shared" si="3"/>
        <v>8.4557821027335519E-4</v>
      </c>
      <c r="R18" s="158">
        <f t="shared" si="6"/>
        <v>3966.6489270101597</v>
      </c>
      <c r="S18" s="158">
        <f t="shared" si="4"/>
        <v>3889.6192850762859</v>
      </c>
      <c r="T18" s="158">
        <f t="shared" si="5"/>
        <v>878.57841751351589</v>
      </c>
      <c r="U18" s="307" t="s">
        <v>115</v>
      </c>
      <c r="V18" s="304" t="s">
        <v>115</v>
      </c>
      <c r="W18" s="303" t="s">
        <v>115</v>
      </c>
      <c r="X18" s="304" t="s">
        <v>115</v>
      </c>
      <c r="Y18" s="303">
        <v>11000000</v>
      </c>
      <c r="Z18" s="303">
        <v>1680</v>
      </c>
      <c r="AA18" s="305" t="s">
        <v>115</v>
      </c>
    </row>
    <row r="19" spans="1:27" ht="15" customHeight="1">
      <c r="A19" s="136" t="s">
        <v>109</v>
      </c>
      <c r="B19" s="486" t="s">
        <v>110</v>
      </c>
      <c r="C19" s="485" t="s">
        <v>1116</v>
      </c>
      <c r="D19" s="1314">
        <v>8</v>
      </c>
      <c r="E19" s="159" t="str">
        <f t="shared" si="0"/>
        <v>V</v>
      </c>
      <c r="F19" s="302">
        <v>252.73</v>
      </c>
      <c r="G19" s="158">
        <v>5.4</v>
      </c>
      <c r="H19" s="158">
        <v>3100</v>
      </c>
      <c r="I19" s="158">
        <v>5.3499999999999999E-4</v>
      </c>
      <c r="J19" s="158">
        <v>2.187244480785E-2</v>
      </c>
      <c r="K19" s="203">
        <v>31.82</v>
      </c>
      <c r="L19" s="158">
        <f>K19*Foc</f>
        <v>0.19092000000000001</v>
      </c>
      <c r="M19" s="158">
        <v>3.5732406462540001E-2</v>
      </c>
      <c r="N19" s="158">
        <v>1.035629921E-5</v>
      </c>
      <c r="O19" s="158">
        <f t="shared" si="1"/>
        <v>8.6028649999999995</v>
      </c>
      <c r="P19" s="158">
        <f t="shared" si="2"/>
        <v>914.68796116365081</v>
      </c>
      <c r="Q19" s="161">
        <f t="shared" si="3"/>
        <v>1.4134281061845642E-4</v>
      </c>
      <c r="R19" s="158">
        <f t="shared" si="6"/>
        <v>9702.0563889255081</v>
      </c>
      <c r="S19" s="158">
        <f t="shared" si="4"/>
        <v>9513.6490094439832</v>
      </c>
      <c r="T19" s="158">
        <f t="shared" si="5"/>
        <v>2148.9215470434897</v>
      </c>
      <c r="U19" s="307">
        <v>510</v>
      </c>
      <c r="V19" s="304" t="s">
        <v>1117</v>
      </c>
      <c r="W19" s="303">
        <v>5100</v>
      </c>
      <c r="X19" s="304" t="s">
        <v>1118</v>
      </c>
      <c r="Y19" s="303">
        <v>13450</v>
      </c>
      <c r="Z19" s="303">
        <v>1.3</v>
      </c>
      <c r="AA19" s="305" t="s">
        <v>115</v>
      </c>
    </row>
    <row r="20" spans="1:27" ht="15" customHeight="1">
      <c r="A20" s="136" t="s">
        <v>111</v>
      </c>
      <c r="B20" s="486" t="s">
        <v>112</v>
      </c>
      <c r="C20" s="485" t="s">
        <v>1116</v>
      </c>
      <c r="D20" s="1314">
        <v>-93.7</v>
      </c>
      <c r="E20" s="159" t="str">
        <f t="shared" si="0"/>
        <v>V</v>
      </c>
      <c r="F20" s="302">
        <v>94.938999999999993</v>
      </c>
      <c r="G20" s="158">
        <v>1616</v>
      </c>
      <c r="H20" s="158">
        <v>15200</v>
      </c>
      <c r="I20" s="158">
        <v>7.3400000000000002E-3</v>
      </c>
      <c r="J20" s="158">
        <v>0.30008176614880999</v>
      </c>
      <c r="K20" s="203">
        <v>13.22</v>
      </c>
      <c r="L20" s="158">
        <f>K20*Foc</f>
        <v>7.9320000000000002E-2</v>
      </c>
      <c r="M20" s="158">
        <v>0.10049762980352001</v>
      </c>
      <c r="N20" s="158">
        <v>1.3467644350000001E-5</v>
      </c>
      <c r="O20" s="158">
        <f t="shared" si="1"/>
        <v>47.753900000000002</v>
      </c>
      <c r="P20" s="158">
        <f t="shared" si="2"/>
        <v>3589.1445638264377</v>
      </c>
      <c r="Q20" s="161">
        <f t="shared" si="3"/>
        <v>6.8047380900703022E-3</v>
      </c>
      <c r="R20" s="158">
        <f t="shared" si="6"/>
        <v>1398.2825855183567</v>
      </c>
      <c r="S20" s="158">
        <f t="shared" si="4"/>
        <v>1371.1288825144368</v>
      </c>
      <c r="T20" s="158">
        <f t="shared" si="5"/>
        <v>309.70749461999935</v>
      </c>
      <c r="U20" s="307" t="s">
        <v>115</v>
      </c>
      <c r="V20" s="304" t="s">
        <v>115</v>
      </c>
      <c r="W20" s="303" t="s">
        <v>115</v>
      </c>
      <c r="X20" s="304" t="s">
        <v>115</v>
      </c>
      <c r="Y20" s="303">
        <v>80000</v>
      </c>
      <c r="Z20" s="303">
        <v>20</v>
      </c>
      <c r="AA20" s="305" t="s">
        <v>115</v>
      </c>
    </row>
    <row r="21" spans="1:27" ht="15" customHeight="1">
      <c r="A21" s="136" t="s">
        <v>113</v>
      </c>
      <c r="B21" s="486" t="s">
        <v>114</v>
      </c>
      <c r="C21" s="485" t="s">
        <v>1119</v>
      </c>
      <c r="D21" s="1314">
        <v>321</v>
      </c>
      <c r="E21" s="159" t="str">
        <f t="shared" si="0"/>
        <v>NV</v>
      </c>
      <c r="F21" s="302">
        <v>112.4</v>
      </c>
      <c r="G21" s="171" t="s">
        <v>115</v>
      </c>
      <c r="H21" s="171" t="s">
        <v>115</v>
      </c>
      <c r="I21" s="171" t="s">
        <v>115</v>
      </c>
      <c r="J21" s="171" t="s">
        <v>115</v>
      </c>
      <c r="K21" s="171" t="s">
        <v>115</v>
      </c>
      <c r="L21" s="158">
        <v>75</v>
      </c>
      <c r="M21" s="158">
        <v>0.15895116425483</v>
      </c>
      <c r="N21" s="158">
        <v>3.2675621039999999E-5</v>
      </c>
      <c r="O21" s="158" t="str">
        <f t="shared" si="1"/>
        <v>--</v>
      </c>
      <c r="P21" s="158" t="str">
        <f t="shared" si="2"/>
        <v>--</v>
      </c>
      <c r="Q21" s="161" t="str">
        <f t="shared" si="3"/>
        <v>--</v>
      </c>
      <c r="R21" s="158" t="str">
        <f t="shared" si="6"/>
        <v>--</v>
      </c>
      <c r="S21" s="158" t="str">
        <f t="shared" si="4"/>
        <v>--</v>
      </c>
      <c r="T21" s="158" t="str">
        <f t="shared" si="5"/>
        <v>--</v>
      </c>
      <c r="U21" s="325" t="s">
        <v>115</v>
      </c>
      <c r="V21" s="326" t="s">
        <v>115</v>
      </c>
      <c r="W21" s="303" t="s">
        <v>115</v>
      </c>
      <c r="X21" s="304" t="s">
        <v>115</v>
      </c>
      <c r="Y21" s="303" t="s">
        <v>115</v>
      </c>
      <c r="Z21" s="303" t="s">
        <v>115</v>
      </c>
      <c r="AA21" s="305" t="s">
        <v>495</v>
      </c>
    </row>
    <row r="22" spans="1:27" ht="15" customHeight="1">
      <c r="A22" s="136" t="s">
        <v>116</v>
      </c>
      <c r="B22" s="486" t="s">
        <v>114</v>
      </c>
      <c r="C22" s="485" t="s">
        <v>1119</v>
      </c>
      <c r="D22" s="1314">
        <v>321</v>
      </c>
      <c r="E22" s="159" t="str">
        <f t="shared" si="0"/>
        <v>NV</v>
      </c>
      <c r="F22" s="302">
        <v>112.4</v>
      </c>
      <c r="G22" s="171" t="s">
        <v>115</v>
      </c>
      <c r="H22" s="171" t="s">
        <v>115</v>
      </c>
      <c r="I22" s="171" t="s">
        <v>115</v>
      </c>
      <c r="J22" s="171" t="s">
        <v>115</v>
      </c>
      <c r="K22" s="171" t="s">
        <v>115</v>
      </c>
      <c r="L22" s="158">
        <v>75</v>
      </c>
      <c r="M22" s="158">
        <v>0.15895116425483</v>
      </c>
      <c r="N22" s="158">
        <v>3.2675621039999999E-5</v>
      </c>
      <c r="O22" s="158" t="str">
        <f t="shared" si="1"/>
        <v>--</v>
      </c>
      <c r="P22" s="158" t="str">
        <f t="shared" si="2"/>
        <v>--</v>
      </c>
      <c r="Q22" s="161" t="str">
        <f t="shared" si="3"/>
        <v>--</v>
      </c>
      <c r="R22" s="158" t="str">
        <f t="shared" si="6"/>
        <v>--</v>
      </c>
      <c r="S22" s="158" t="str">
        <f t="shared" si="4"/>
        <v>--</v>
      </c>
      <c r="T22" s="158" t="str">
        <f t="shared" si="5"/>
        <v>--</v>
      </c>
      <c r="U22" s="307" t="s">
        <v>115</v>
      </c>
      <c r="V22" s="304" t="s">
        <v>115</v>
      </c>
      <c r="W22" s="327" t="s">
        <v>115</v>
      </c>
      <c r="X22" s="326" t="s">
        <v>115</v>
      </c>
      <c r="Y22" s="303" t="s">
        <v>115</v>
      </c>
      <c r="Z22" s="303" t="s">
        <v>115</v>
      </c>
      <c r="AA22" s="305" t="s">
        <v>115</v>
      </c>
    </row>
    <row r="23" spans="1:27" ht="15" customHeight="1">
      <c r="A23" s="136" t="s">
        <v>117</v>
      </c>
      <c r="B23" s="486" t="s">
        <v>118</v>
      </c>
      <c r="C23" s="485" t="s">
        <v>1116</v>
      </c>
      <c r="D23" s="1314">
        <v>-23</v>
      </c>
      <c r="E23" s="159" t="str">
        <f t="shared" si="0"/>
        <v>V</v>
      </c>
      <c r="F23" s="302">
        <v>153.82</v>
      </c>
      <c r="G23" s="158">
        <v>115</v>
      </c>
      <c r="H23" s="158">
        <v>793</v>
      </c>
      <c r="I23" s="158">
        <v>2.76E-2</v>
      </c>
      <c r="J23" s="158">
        <v>1.12837285363859</v>
      </c>
      <c r="K23" s="203">
        <v>43.89</v>
      </c>
      <c r="L23" s="158">
        <f t="shared" ref="L23:L30" si="7">K23*Foc</f>
        <v>0.26334000000000002</v>
      </c>
      <c r="M23" s="158">
        <v>5.714346500735E-2</v>
      </c>
      <c r="N23" s="158">
        <v>9.7849154555900008E-6</v>
      </c>
      <c r="O23" s="158">
        <f t="shared" si="1"/>
        <v>178.59894</v>
      </c>
      <c r="P23" s="158">
        <f t="shared" si="2"/>
        <v>457.52151405884018</v>
      </c>
      <c r="Q23" s="161">
        <f t="shared" si="3"/>
        <v>5.9542760086406547E-3</v>
      </c>
      <c r="R23" s="158">
        <f t="shared" si="6"/>
        <v>1494.8106204229816</v>
      </c>
      <c r="S23" s="158">
        <f t="shared" si="4"/>
        <v>1465.782408204331</v>
      </c>
      <c r="T23" s="158">
        <f t="shared" si="5"/>
        <v>331.08761918174565</v>
      </c>
      <c r="U23" s="307">
        <v>520</v>
      </c>
      <c r="V23" s="304" t="s">
        <v>1117</v>
      </c>
      <c r="W23" s="303">
        <v>5200</v>
      </c>
      <c r="X23" s="304" t="s">
        <v>1118</v>
      </c>
      <c r="Y23" s="303">
        <v>63000</v>
      </c>
      <c r="Z23" s="303">
        <v>10</v>
      </c>
      <c r="AA23" s="305" t="s">
        <v>115</v>
      </c>
    </row>
    <row r="24" spans="1:27" ht="15" customHeight="1">
      <c r="A24" s="136" t="s">
        <v>119</v>
      </c>
      <c r="B24" s="486" t="s">
        <v>120</v>
      </c>
      <c r="C24" s="485" t="s">
        <v>1116</v>
      </c>
      <c r="D24" s="1314">
        <v>106</v>
      </c>
      <c r="E24" s="159" t="str">
        <f t="shared" si="0"/>
        <v>V</v>
      </c>
      <c r="F24" s="302">
        <v>409.78</v>
      </c>
      <c r="G24" s="158">
        <v>9.9799999999999993E-6</v>
      </c>
      <c r="H24" s="158">
        <v>5.6000000000000001E-2</v>
      </c>
      <c r="I24" s="158">
        <v>4.8600000000000002E-5</v>
      </c>
      <c r="J24" s="158">
        <v>1.9869174161899999E-3</v>
      </c>
      <c r="K24" s="203">
        <v>67540</v>
      </c>
      <c r="L24" s="158">
        <f t="shared" si="7"/>
        <v>405.24</v>
      </c>
      <c r="M24" s="158">
        <v>2.1493012115890001E-2</v>
      </c>
      <c r="N24" s="158">
        <v>5.4477015420599998E-6</v>
      </c>
      <c r="O24" s="158">
        <f t="shared" si="1"/>
        <v>11211.941660200002</v>
      </c>
      <c r="P24" s="158">
        <f t="shared" si="2"/>
        <v>22.69906106382388</v>
      </c>
      <c r="Q24" s="161">
        <f t="shared" si="3"/>
        <v>5.6983485007436381E-9</v>
      </c>
      <c r="R24" s="158">
        <f t="shared" si="6"/>
        <v>1528009.8462792819</v>
      </c>
      <c r="S24" s="158">
        <f t="shared" si="4"/>
        <v>1498336.9275269175</v>
      </c>
      <c r="T24" s="158">
        <f t="shared" si="5"/>
        <v>338440.96046609466</v>
      </c>
      <c r="U24" s="307">
        <v>2.5</v>
      </c>
      <c r="V24" s="304" t="s">
        <v>1118</v>
      </c>
      <c r="W24" s="303">
        <v>25</v>
      </c>
      <c r="X24" s="304" t="s">
        <v>1118</v>
      </c>
      <c r="Y24" s="303">
        <v>8.4</v>
      </c>
      <c r="Z24" s="303">
        <v>4.9200000000000003E-4</v>
      </c>
      <c r="AA24" s="305" t="s">
        <v>115</v>
      </c>
    </row>
    <row r="25" spans="1:27" ht="15" customHeight="1">
      <c r="A25" s="136" t="s">
        <v>121</v>
      </c>
      <c r="B25" s="486" t="s">
        <v>122</v>
      </c>
      <c r="C25" s="485" t="s">
        <v>1116</v>
      </c>
      <c r="D25" s="1314">
        <v>72.5</v>
      </c>
      <c r="E25" s="159" t="str">
        <f t="shared" si="0"/>
        <v>NV</v>
      </c>
      <c r="F25" s="302">
        <v>127.57</v>
      </c>
      <c r="G25" s="158">
        <v>2.7E-2</v>
      </c>
      <c r="H25" s="158">
        <v>3900</v>
      </c>
      <c r="I25" s="158">
        <v>1.1599999999999999E-6</v>
      </c>
      <c r="J25" s="158">
        <v>4.7424366309999998E-5</v>
      </c>
      <c r="K25" s="203">
        <v>112.7</v>
      </c>
      <c r="L25" s="158">
        <f t="shared" si="7"/>
        <v>0.67620000000000002</v>
      </c>
      <c r="M25" s="158">
        <v>7.0384718250269998E-2</v>
      </c>
      <c r="N25" s="158">
        <v>1.0252787949999999E-5</v>
      </c>
      <c r="O25" s="158">
        <f t="shared" si="1"/>
        <v>18.715400120000002</v>
      </c>
      <c r="P25" s="158">
        <f t="shared" si="2"/>
        <v>3027.2150134991261</v>
      </c>
      <c r="Q25" s="161" t="str">
        <f t="shared" si="3"/>
        <v>--</v>
      </c>
      <c r="R25" s="158" t="str">
        <f t="shared" si="6"/>
        <v>--</v>
      </c>
      <c r="S25" s="158" t="str">
        <f t="shared" si="4"/>
        <v>--</v>
      </c>
      <c r="T25" s="158" t="str">
        <f t="shared" si="5"/>
        <v>--</v>
      </c>
      <c r="U25" s="307" t="s">
        <v>115</v>
      </c>
      <c r="V25" s="304" t="s">
        <v>115</v>
      </c>
      <c r="W25" s="303" t="s">
        <v>115</v>
      </c>
      <c r="X25" s="304" t="s">
        <v>115</v>
      </c>
      <c r="Y25" s="303" t="s">
        <v>115</v>
      </c>
      <c r="Z25" s="303" t="s">
        <v>115</v>
      </c>
      <c r="AA25" s="305" t="s">
        <v>115</v>
      </c>
    </row>
    <row r="26" spans="1:27" ht="15" customHeight="1">
      <c r="A26" s="136" t="s">
        <v>123</v>
      </c>
      <c r="B26" s="486" t="s">
        <v>124</v>
      </c>
      <c r="C26" s="485" t="s">
        <v>1116</v>
      </c>
      <c r="D26" s="1314">
        <v>-45.31</v>
      </c>
      <c r="E26" s="159" t="str">
        <f t="shared" si="0"/>
        <v>V</v>
      </c>
      <c r="F26" s="302">
        <v>112.56</v>
      </c>
      <c r="G26" s="158">
        <v>11.97</v>
      </c>
      <c r="H26" s="158">
        <v>498</v>
      </c>
      <c r="I26" s="158">
        <v>3.1099999999999999E-3</v>
      </c>
      <c r="J26" s="158">
        <v>0.12714636140638</v>
      </c>
      <c r="K26" s="203">
        <v>233.9</v>
      </c>
      <c r="L26" s="158">
        <f t="shared" si="7"/>
        <v>1.4034</v>
      </c>
      <c r="M26" s="158">
        <v>7.2130615287710004E-2</v>
      </c>
      <c r="N26" s="158">
        <v>9.4764848418399994E-6</v>
      </c>
      <c r="O26" s="158">
        <f t="shared" si="1"/>
        <v>58.131170000000004</v>
      </c>
      <c r="P26" s="158">
        <f t="shared" si="2"/>
        <v>760.67998319628521</v>
      </c>
      <c r="Q26" s="161">
        <f t="shared" si="3"/>
        <v>3.1992239100077277E-4</v>
      </c>
      <c r="R26" s="158">
        <f t="shared" si="6"/>
        <v>6448.7915267513763</v>
      </c>
      <c r="S26" s="158">
        <f t="shared" si="4"/>
        <v>6323.5603526917439</v>
      </c>
      <c r="T26" s="158">
        <f t="shared" si="5"/>
        <v>1428.3515276251926</v>
      </c>
      <c r="U26" s="307">
        <v>50</v>
      </c>
      <c r="V26" s="304" t="s">
        <v>1117</v>
      </c>
      <c r="W26" s="303">
        <v>500</v>
      </c>
      <c r="X26" s="304" t="s">
        <v>1118</v>
      </c>
      <c r="Y26" s="303">
        <v>1000</v>
      </c>
      <c r="Z26" s="303">
        <v>0.22</v>
      </c>
      <c r="AA26" s="305" t="s">
        <v>115</v>
      </c>
    </row>
    <row r="27" spans="1:27" ht="15" customHeight="1">
      <c r="A27" s="136" t="s">
        <v>125</v>
      </c>
      <c r="B27" s="486" t="s">
        <v>126</v>
      </c>
      <c r="C27" s="485" t="s">
        <v>1116</v>
      </c>
      <c r="D27" s="1314">
        <v>-138.69999999999999</v>
      </c>
      <c r="E27" s="159" t="str">
        <f t="shared" si="0"/>
        <v>V</v>
      </c>
      <c r="F27" s="302">
        <v>64.515000000000001</v>
      </c>
      <c r="G27" s="158">
        <v>1008</v>
      </c>
      <c r="H27" s="158">
        <v>6710</v>
      </c>
      <c r="I27" s="158">
        <v>1.11E-2</v>
      </c>
      <c r="J27" s="158">
        <v>0.45380212591987001</v>
      </c>
      <c r="K27" s="203">
        <v>21.73</v>
      </c>
      <c r="L27" s="158">
        <f t="shared" si="7"/>
        <v>0.13038</v>
      </c>
      <c r="M27" s="158">
        <v>0.10375966598687</v>
      </c>
      <c r="N27" s="158">
        <v>1.161897734E-5</v>
      </c>
      <c r="O27" s="158">
        <f t="shared" si="1"/>
        <v>72.50488</v>
      </c>
      <c r="P27" s="158">
        <f t="shared" si="2"/>
        <v>2122.2955180764907</v>
      </c>
      <c r="Q27" s="161">
        <f t="shared" si="3"/>
        <v>7.9316723536405464E-3</v>
      </c>
      <c r="R27" s="158">
        <f t="shared" si="6"/>
        <v>1295.1446415704422</v>
      </c>
      <c r="S27" s="158">
        <f t="shared" si="4"/>
        <v>1269.993807748619</v>
      </c>
      <c r="T27" s="158">
        <f t="shared" si="5"/>
        <v>286.8633323947185</v>
      </c>
      <c r="U27" s="307">
        <v>16</v>
      </c>
      <c r="V27" s="304" t="s">
        <v>1117</v>
      </c>
      <c r="W27" s="303">
        <v>160</v>
      </c>
      <c r="X27" s="304" t="s">
        <v>1117</v>
      </c>
      <c r="Y27" s="303">
        <v>380000</v>
      </c>
      <c r="Z27" s="303">
        <v>140</v>
      </c>
      <c r="AA27" s="305" t="s">
        <v>115</v>
      </c>
    </row>
    <row r="28" spans="1:27" ht="15" customHeight="1">
      <c r="A28" s="136" t="s">
        <v>127</v>
      </c>
      <c r="B28" s="486" t="s">
        <v>128</v>
      </c>
      <c r="C28" s="485" t="s">
        <v>1116</v>
      </c>
      <c r="D28" s="1314">
        <v>-63.6</v>
      </c>
      <c r="E28" s="159" t="str">
        <f t="shared" si="0"/>
        <v>V</v>
      </c>
      <c r="F28" s="302">
        <v>119.38</v>
      </c>
      <c r="G28" s="158">
        <v>197</v>
      </c>
      <c r="H28" s="158">
        <v>7950</v>
      </c>
      <c r="I28" s="158">
        <v>3.6700000000000001E-3</v>
      </c>
      <c r="J28" s="158">
        <v>0.15004088307440999</v>
      </c>
      <c r="K28" s="203">
        <v>31.82</v>
      </c>
      <c r="L28" s="158">
        <f t="shared" si="7"/>
        <v>0.19092000000000001</v>
      </c>
      <c r="M28" s="158">
        <v>7.6919657359430002E-2</v>
      </c>
      <c r="N28" s="158">
        <v>1.089076763E-5</v>
      </c>
      <c r="O28" s="158">
        <f t="shared" si="1"/>
        <v>28.061810000000001</v>
      </c>
      <c r="P28" s="158">
        <f t="shared" si="2"/>
        <v>2538.6255290269874</v>
      </c>
      <c r="Q28" s="161">
        <f t="shared" si="3"/>
        <v>1.9257704090666463E-3</v>
      </c>
      <c r="R28" s="158">
        <f t="shared" si="6"/>
        <v>2628.4420194271593</v>
      </c>
      <c r="S28" s="158">
        <f t="shared" si="4"/>
        <v>2577.3994514242913</v>
      </c>
      <c r="T28" s="158">
        <f t="shared" si="5"/>
        <v>582.17716577578756</v>
      </c>
      <c r="U28" s="307">
        <v>2400</v>
      </c>
      <c r="V28" s="304" t="s">
        <v>1117</v>
      </c>
      <c r="W28" s="303">
        <v>24000</v>
      </c>
      <c r="X28" s="304" t="s">
        <v>1118</v>
      </c>
      <c r="Y28" s="303">
        <v>421600</v>
      </c>
      <c r="Z28" s="303">
        <v>85</v>
      </c>
      <c r="AA28" s="305" t="s">
        <v>115</v>
      </c>
    </row>
    <row r="29" spans="1:27" ht="15" customHeight="1">
      <c r="A29" s="136" t="s">
        <v>129</v>
      </c>
      <c r="B29" s="486" t="s">
        <v>130</v>
      </c>
      <c r="C29" s="485" t="s">
        <v>1116</v>
      </c>
      <c r="D29" s="1314">
        <v>-97.7</v>
      </c>
      <c r="E29" s="159" t="str">
        <f t="shared" si="0"/>
        <v>V</v>
      </c>
      <c r="F29" s="302">
        <v>50.488</v>
      </c>
      <c r="G29" s="158">
        <v>4300</v>
      </c>
      <c r="H29" s="158">
        <v>5320</v>
      </c>
      <c r="I29" s="158">
        <v>8.8199999999999997E-3</v>
      </c>
      <c r="J29" s="158">
        <v>0.36058871627146</v>
      </c>
      <c r="K29" s="203">
        <v>13.22</v>
      </c>
      <c r="L29" s="158">
        <f t="shared" si="7"/>
        <v>7.9320000000000002E-2</v>
      </c>
      <c r="M29" s="158">
        <v>0.12396507727202</v>
      </c>
      <c r="N29" s="158">
        <v>1.3648027769999999E-5</v>
      </c>
      <c r="O29" s="158">
        <f t="shared" si="1"/>
        <v>56.940259999999995</v>
      </c>
      <c r="P29" s="158">
        <f t="shared" si="2"/>
        <v>1317.1383265030277</v>
      </c>
      <c r="Q29" s="161">
        <f t="shared" si="3"/>
        <v>9.6193953617314445E-3</v>
      </c>
      <c r="R29" s="158">
        <f t="shared" si="6"/>
        <v>1176.0526600775852</v>
      </c>
      <c r="S29" s="158">
        <f t="shared" si="4"/>
        <v>1153.214512066982</v>
      </c>
      <c r="T29" s="158">
        <f t="shared" si="5"/>
        <v>260.48548888906464</v>
      </c>
      <c r="U29" s="325" t="s">
        <v>115</v>
      </c>
      <c r="V29" s="304" t="s">
        <v>115</v>
      </c>
      <c r="W29" s="303" t="s">
        <v>115</v>
      </c>
      <c r="X29" s="304" t="s">
        <v>115</v>
      </c>
      <c r="Y29" s="303" t="s">
        <v>115</v>
      </c>
      <c r="Z29" s="303" t="s">
        <v>115</v>
      </c>
      <c r="AA29" s="305" t="s">
        <v>115</v>
      </c>
    </row>
    <row r="30" spans="1:27" ht="15" customHeight="1">
      <c r="A30" s="136" t="s">
        <v>131</v>
      </c>
      <c r="B30" s="486" t="s">
        <v>132</v>
      </c>
      <c r="C30" s="485" t="s">
        <v>1116</v>
      </c>
      <c r="D30" s="1314">
        <v>9.8000000000000007</v>
      </c>
      <c r="E30" s="159" t="str">
        <f>IF(OR(G30="--",I30="--"),"NV",IF(OR(G30&gt;1,I30&gt;0.00001),"V","NV"))</f>
        <v>V</v>
      </c>
      <c r="F30" s="302">
        <v>128.56</v>
      </c>
      <c r="G30" s="158">
        <v>2.5299999999999998</v>
      </c>
      <c r="H30" s="158">
        <v>11300</v>
      </c>
      <c r="I30" s="158">
        <v>1.1199999999999999E-5</v>
      </c>
      <c r="J30" s="158">
        <v>4.5789043335999998E-4</v>
      </c>
      <c r="K30" s="203">
        <v>388</v>
      </c>
      <c r="L30" s="158">
        <f t="shared" si="7"/>
        <v>2.3279999999999998</v>
      </c>
      <c r="M30" s="158">
        <v>6.6117503717829998E-2</v>
      </c>
      <c r="N30" s="158">
        <v>9.4783507706700002E-6</v>
      </c>
      <c r="O30" s="158">
        <f t="shared" si="1"/>
        <v>64.477518400000008</v>
      </c>
      <c r="P30" s="158">
        <f t="shared" si="2"/>
        <v>27437.379511151565</v>
      </c>
      <c r="Q30" s="161">
        <f t="shared" si="3"/>
        <v>6.8906498024632344E-7</v>
      </c>
      <c r="R30" s="158">
        <f t="shared" si="6"/>
        <v>138953.8443454752</v>
      </c>
      <c r="S30" s="158">
        <f t="shared" si="4"/>
        <v>136255.45457813703</v>
      </c>
      <c r="T30" s="158">
        <f t="shared" si="5"/>
        <v>30777.074280804962</v>
      </c>
      <c r="U30" s="307">
        <v>0.18</v>
      </c>
      <c r="V30" s="304" t="s">
        <v>1118</v>
      </c>
      <c r="W30" s="303">
        <v>1.8</v>
      </c>
      <c r="X30" s="304" t="s">
        <v>1118</v>
      </c>
      <c r="Y30" s="303">
        <v>19</v>
      </c>
      <c r="Z30" s="303">
        <v>3.5999999999999999E-3</v>
      </c>
      <c r="AA30" s="305" t="s">
        <v>115</v>
      </c>
    </row>
    <row r="31" spans="1:27" ht="15" customHeight="1">
      <c r="A31" s="136" t="s">
        <v>133</v>
      </c>
      <c r="B31" s="486" t="s">
        <v>134</v>
      </c>
      <c r="C31" s="485" t="s">
        <v>1119</v>
      </c>
      <c r="D31" s="1314">
        <v>1900</v>
      </c>
      <c r="E31" s="159" t="str">
        <f t="shared" si="0"/>
        <v>NV</v>
      </c>
      <c r="F31" s="302">
        <v>51.996000000000002</v>
      </c>
      <c r="G31" s="171" t="s">
        <v>115</v>
      </c>
      <c r="H31" s="171" t="s">
        <v>115</v>
      </c>
      <c r="I31" s="171" t="s">
        <v>115</v>
      </c>
      <c r="J31" s="171" t="s">
        <v>115</v>
      </c>
      <c r="K31" s="171" t="s">
        <v>115</v>
      </c>
      <c r="L31" s="158">
        <v>1800000</v>
      </c>
      <c r="M31" s="158">
        <v>0.25062427794642</v>
      </c>
      <c r="N31" s="158">
        <v>4.6160811560000001E-5</v>
      </c>
      <c r="O31" s="158" t="str">
        <f t="shared" si="1"/>
        <v>--</v>
      </c>
      <c r="P31" s="158" t="str">
        <f t="shared" si="2"/>
        <v>--</v>
      </c>
      <c r="Q31" s="161" t="str">
        <f t="shared" si="3"/>
        <v>--</v>
      </c>
      <c r="R31" s="158" t="str">
        <f t="shared" si="6"/>
        <v>--</v>
      </c>
      <c r="S31" s="158" t="str">
        <f t="shared" si="4"/>
        <v>--</v>
      </c>
      <c r="T31" s="158" t="str">
        <f t="shared" si="5"/>
        <v>--</v>
      </c>
      <c r="U31" s="307" t="s">
        <v>115</v>
      </c>
      <c r="V31" s="304" t="s">
        <v>115</v>
      </c>
      <c r="W31" s="303" t="s">
        <v>115</v>
      </c>
      <c r="X31" s="304" t="s">
        <v>115</v>
      </c>
      <c r="Y31" s="303" t="s">
        <v>115</v>
      </c>
      <c r="Z31" s="303" t="s">
        <v>115</v>
      </c>
      <c r="AA31" s="305" t="s">
        <v>495</v>
      </c>
    </row>
    <row r="32" spans="1:27" ht="15" customHeight="1">
      <c r="A32" s="136" t="s">
        <v>135</v>
      </c>
      <c r="B32" s="486" t="s">
        <v>136</v>
      </c>
      <c r="C32" s="485" t="s">
        <v>1119</v>
      </c>
      <c r="D32" s="1314">
        <v>1907</v>
      </c>
      <c r="E32" s="159" t="str">
        <f t="shared" si="0"/>
        <v>NV</v>
      </c>
      <c r="F32" s="302">
        <v>51.996099999999998</v>
      </c>
      <c r="G32" s="171" t="s">
        <v>115</v>
      </c>
      <c r="H32" s="171" t="s">
        <v>115</v>
      </c>
      <c r="I32" s="171" t="s">
        <v>115</v>
      </c>
      <c r="J32" s="171" t="s">
        <v>115</v>
      </c>
      <c r="K32" s="171" t="s">
        <v>115</v>
      </c>
      <c r="L32" s="158">
        <v>1800000</v>
      </c>
      <c r="M32" s="158">
        <v>0.25062400817312003</v>
      </c>
      <c r="N32" s="158">
        <v>4.6160758289999997E-5</v>
      </c>
      <c r="O32" s="158" t="str">
        <f t="shared" si="1"/>
        <v>--</v>
      </c>
      <c r="P32" s="158" t="str">
        <f t="shared" si="2"/>
        <v>--</v>
      </c>
      <c r="Q32" s="161" t="str">
        <f t="shared" si="3"/>
        <v>--</v>
      </c>
      <c r="R32" s="158" t="str">
        <f t="shared" si="6"/>
        <v>--</v>
      </c>
      <c r="S32" s="158" t="str">
        <f t="shared" si="4"/>
        <v>--</v>
      </c>
      <c r="T32" s="158" t="str">
        <f t="shared" si="5"/>
        <v>--</v>
      </c>
      <c r="U32" s="307" t="s">
        <v>115</v>
      </c>
      <c r="V32" s="304" t="s">
        <v>115</v>
      </c>
      <c r="W32" s="303" t="s">
        <v>115</v>
      </c>
      <c r="X32" s="304" t="s">
        <v>115</v>
      </c>
      <c r="Y32" s="303" t="s">
        <v>115</v>
      </c>
      <c r="Z32" s="303" t="s">
        <v>115</v>
      </c>
      <c r="AA32" s="305" t="s">
        <v>495</v>
      </c>
    </row>
    <row r="33" spans="1:27" ht="15" customHeight="1">
      <c r="A33" s="136" t="s">
        <v>137</v>
      </c>
      <c r="B33" s="486" t="s">
        <v>138</v>
      </c>
      <c r="C33" s="485" t="s">
        <v>1119</v>
      </c>
      <c r="D33" s="1314" t="s">
        <v>635</v>
      </c>
      <c r="E33" s="159" t="str">
        <f t="shared" si="0"/>
        <v>NV</v>
      </c>
      <c r="F33" s="302">
        <v>52</v>
      </c>
      <c r="G33" s="171" t="s">
        <v>115</v>
      </c>
      <c r="H33" s="171">
        <v>1690000</v>
      </c>
      <c r="I33" s="171" t="s">
        <v>115</v>
      </c>
      <c r="J33" s="171" t="s">
        <v>115</v>
      </c>
      <c r="K33" s="171" t="s">
        <v>115</v>
      </c>
      <c r="L33" s="158">
        <v>19</v>
      </c>
      <c r="M33" s="158">
        <v>0.13638021534524999</v>
      </c>
      <c r="N33" s="158">
        <v>1.593495148E-5</v>
      </c>
      <c r="O33" s="158" t="str">
        <f t="shared" si="1"/>
        <v>--</v>
      </c>
      <c r="P33" s="158" t="str">
        <f t="shared" si="2"/>
        <v>--</v>
      </c>
      <c r="Q33" s="161" t="str">
        <f t="shared" si="3"/>
        <v>--</v>
      </c>
      <c r="R33" s="158" t="str">
        <f t="shared" si="6"/>
        <v>--</v>
      </c>
      <c r="S33" s="158" t="str">
        <f t="shared" si="4"/>
        <v>--</v>
      </c>
      <c r="T33" s="158" t="str">
        <f t="shared" si="5"/>
        <v>--</v>
      </c>
      <c r="U33" s="307" t="s">
        <v>115</v>
      </c>
      <c r="V33" s="304" t="s">
        <v>115</v>
      </c>
      <c r="W33" s="303" t="s">
        <v>115</v>
      </c>
      <c r="X33" s="304" t="s">
        <v>115</v>
      </c>
      <c r="Y33" s="303" t="s">
        <v>115</v>
      </c>
      <c r="Z33" s="303" t="s">
        <v>115</v>
      </c>
      <c r="AA33" s="305" t="s">
        <v>495</v>
      </c>
    </row>
    <row r="34" spans="1:27" ht="15" customHeight="1">
      <c r="A34" s="136" t="s">
        <v>139</v>
      </c>
      <c r="B34" s="486" t="s">
        <v>140</v>
      </c>
      <c r="C34" s="485" t="s">
        <v>1119</v>
      </c>
      <c r="D34" s="1314">
        <v>1495</v>
      </c>
      <c r="E34" s="159" t="str">
        <f t="shared" si="0"/>
        <v>NV</v>
      </c>
      <c r="F34" s="302">
        <v>58.93</v>
      </c>
      <c r="G34" s="171" t="s">
        <v>115</v>
      </c>
      <c r="H34" s="171" t="s">
        <v>115</v>
      </c>
      <c r="I34" s="171" t="s">
        <v>115</v>
      </c>
      <c r="J34" s="171" t="s">
        <v>115</v>
      </c>
      <c r="K34" s="171" t="s">
        <v>115</v>
      </c>
      <c r="L34" s="158">
        <v>45</v>
      </c>
      <c r="M34" s="158">
        <v>0.24868918068376999</v>
      </c>
      <c r="N34" s="158">
        <v>4.8700132189999999E-5</v>
      </c>
      <c r="O34" s="158" t="str">
        <f t="shared" si="1"/>
        <v>--</v>
      </c>
      <c r="P34" s="158" t="str">
        <f t="shared" si="2"/>
        <v>--</v>
      </c>
      <c r="Q34" s="161" t="str">
        <f t="shared" si="3"/>
        <v>--</v>
      </c>
      <c r="R34" s="158" t="str">
        <f t="shared" si="6"/>
        <v>--</v>
      </c>
      <c r="S34" s="158" t="str">
        <f t="shared" si="4"/>
        <v>--</v>
      </c>
      <c r="T34" s="158" t="str">
        <f t="shared" si="5"/>
        <v>--</v>
      </c>
      <c r="U34" s="307" t="s">
        <v>115</v>
      </c>
      <c r="V34" s="304" t="s">
        <v>115</v>
      </c>
      <c r="W34" s="303" t="s">
        <v>115</v>
      </c>
      <c r="X34" s="304" t="s">
        <v>115</v>
      </c>
      <c r="Y34" s="303" t="s">
        <v>115</v>
      </c>
      <c r="Z34" s="303" t="s">
        <v>115</v>
      </c>
      <c r="AA34" s="305" t="s">
        <v>495</v>
      </c>
    </row>
    <row r="35" spans="1:27" ht="15" customHeight="1">
      <c r="A35" s="136" t="s">
        <v>141</v>
      </c>
      <c r="B35" s="486" t="s">
        <v>142</v>
      </c>
      <c r="C35" s="485" t="s">
        <v>1119</v>
      </c>
      <c r="D35" s="1314">
        <v>1083</v>
      </c>
      <c r="E35" s="159" t="str">
        <f t="shared" si="0"/>
        <v>NV</v>
      </c>
      <c r="F35" s="302">
        <v>63.545999999999999</v>
      </c>
      <c r="G35" s="171" t="s">
        <v>115</v>
      </c>
      <c r="H35" s="171" t="s">
        <v>115</v>
      </c>
      <c r="I35" s="171" t="s">
        <v>115</v>
      </c>
      <c r="J35" s="171" t="s">
        <v>115</v>
      </c>
      <c r="K35" s="171" t="s">
        <v>115</v>
      </c>
      <c r="L35" s="158">
        <v>35</v>
      </c>
      <c r="M35" s="158">
        <v>0.23895433803249999</v>
      </c>
      <c r="N35" s="158">
        <v>4.6860146959999998E-5</v>
      </c>
      <c r="O35" s="158" t="str">
        <f t="shared" si="1"/>
        <v>--</v>
      </c>
      <c r="P35" s="158" t="str">
        <f t="shared" si="2"/>
        <v>--</v>
      </c>
      <c r="Q35" s="161" t="str">
        <f t="shared" si="3"/>
        <v>--</v>
      </c>
      <c r="R35" s="158" t="str">
        <f t="shared" si="6"/>
        <v>--</v>
      </c>
      <c r="S35" s="158" t="str">
        <f t="shared" si="4"/>
        <v>--</v>
      </c>
      <c r="T35" s="158" t="str">
        <f t="shared" si="5"/>
        <v>--</v>
      </c>
      <c r="U35" s="307">
        <v>1000</v>
      </c>
      <c r="V35" s="304" t="s">
        <v>1120</v>
      </c>
      <c r="W35" s="303" t="s">
        <v>115</v>
      </c>
      <c r="X35" s="304" t="s">
        <v>115</v>
      </c>
      <c r="Y35" s="303" t="s">
        <v>115</v>
      </c>
      <c r="Z35" s="303" t="s">
        <v>115</v>
      </c>
      <c r="AA35" s="305" t="s">
        <v>495</v>
      </c>
    </row>
    <row r="36" spans="1:27" ht="15" customHeight="1">
      <c r="A36" s="136" t="s">
        <v>143</v>
      </c>
      <c r="B36" s="486" t="s">
        <v>144</v>
      </c>
      <c r="C36" s="485" t="s">
        <v>1119</v>
      </c>
      <c r="D36" s="1314" t="s">
        <v>635</v>
      </c>
      <c r="E36" s="159" t="str">
        <f t="shared" si="0"/>
        <v>V</v>
      </c>
      <c r="F36" s="302">
        <v>26.018000000000001</v>
      </c>
      <c r="G36" s="158">
        <v>308</v>
      </c>
      <c r="H36" s="158">
        <v>95400</v>
      </c>
      <c r="I36" s="158">
        <v>1.01E-4</v>
      </c>
      <c r="J36" s="158">
        <v>4.15E-3</v>
      </c>
      <c r="K36" s="171" t="s">
        <v>115</v>
      </c>
      <c r="L36" s="158">
        <v>9.9</v>
      </c>
      <c r="M36" s="158">
        <v>0.17286419943081999</v>
      </c>
      <c r="N36" s="158">
        <v>1.727023745E-5</v>
      </c>
      <c r="O36" s="158" t="str">
        <f t="shared" si="1"/>
        <v>--</v>
      </c>
      <c r="P36" s="158">
        <f t="shared" si="2"/>
        <v>954074.94900000002</v>
      </c>
      <c r="Q36" s="161">
        <f t="shared" si="3"/>
        <v>3.8326860765852791E-6</v>
      </c>
      <c r="R36" s="158">
        <f t="shared" si="6"/>
        <v>58918.140464935648</v>
      </c>
      <c r="S36" s="158">
        <f t="shared" si="4"/>
        <v>57773.989987559136</v>
      </c>
      <c r="T36" s="158">
        <f t="shared" si="5"/>
        <v>13049.858347695821</v>
      </c>
      <c r="U36" s="307">
        <v>170</v>
      </c>
      <c r="V36" s="304" t="s">
        <v>1117</v>
      </c>
      <c r="W36" s="303">
        <v>1700</v>
      </c>
      <c r="X36" s="304" t="s">
        <v>1118</v>
      </c>
      <c r="Y36" s="303">
        <v>652</v>
      </c>
      <c r="Z36" s="303">
        <v>0.57999999999999996</v>
      </c>
      <c r="AA36" s="305" t="s">
        <v>115</v>
      </c>
    </row>
    <row r="37" spans="1:27" ht="15" customHeight="1">
      <c r="A37" s="136" t="s">
        <v>145</v>
      </c>
      <c r="B37" s="486" t="s">
        <v>146</v>
      </c>
      <c r="C37" s="485" t="s">
        <v>1116</v>
      </c>
      <c r="D37" s="1314">
        <v>-20</v>
      </c>
      <c r="E37" s="159" t="str">
        <f t="shared" si="0"/>
        <v>V</v>
      </c>
      <c r="F37" s="302">
        <v>208.28</v>
      </c>
      <c r="G37" s="158">
        <v>5.54</v>
      </c>
      <c r="H37" s="158">
        <v>2700</v>
      </c>
      <c r="I37" s="158">
        <v>7.8299999999999995E-4</v>
      </c>
      <c r="J37" s="158">
        <v>3.2011447260830002E-2</v>
      </c>
      <c r="K37" s="203">
        <v>31.82</v>
      </c>
      <c r="L37" s="158">
        <f t="shared" ref="L37:L69" si="8">K37*Foc</f>
        <v>0.19092000000000001</v>
      </c>
      <c r="M37" s="158">
        <v>3.663560512248E-2</v>
      </c>
      <c r="N37" s="158">
        <v>1.056061516E-5</v>
      </c>
      <c r="O37" s="158">
        <f t="shared" si="1"/>
        <v>10.142201</v>
      </c>
      <c r="P37" s="158">
        <f t="shared" si="2"/>
        <v>801.84607747728091</v>
      </c>
      <c r="Q37" s="161">
        <f t="shared" si="3"/>
        <v>2.1061408235021993E-4</v>
      </c>
      <c r="R37" s="158">
        <f t="shared" si="6"/>
        <v>7947.9834275357962</v>
      </c>
      <c r="S37" s="158">
        <f t="shared" si="4"/>
        <v>7793.6389597532852</v>
      </c>
      <c r="T37" s="158">
        <f t="shared" si="5"/>
        <v>1760.4095624997476</v>
      </c>
      <c r="U37" s="307" t="s">
        <v>115</v>
      </c>
      <c r="V37" s="304" t="s">
        <v>115</v>
      </c>
      <c r="W37" s="303" t="s">
        <v>115</v>
      </c>
      <c r="X37" s="304" t="s">
        <v>115</v>
      </c>
      <c r="Y37" s="303" t="s">
        <v>115</v>
      </c>
      <c r="Z37" s="303" t="s">
        <v>115</v>
      </c>
      <c r="AA37" s="305" t="s">
        <v>115</v>
      </c>
    </row>
    <row r="38" spans="1:27" ht="15" customHeight="1">
      <c r="A38" s="136" t="s">
        <v>147</v>
      </c>
      <c r="B38" s="486" t="s">
        <v>148</v>
      </c>
      <c r="C38" s="485" t="s">
        <v>1116</v>
      </c>
      <c r="D38" s="1314">
        <v>6</v>
      </c>
      <c r="E38" s="159" t="str">
        <f t="shared" ref="E38:E69" si="9">IF(OR(G38="--",I38="--"),"NV",IF(OR(G38&gt;1,I38&gt;0.00001),"V","NV"))</f>
        <v>V</v>
      </c>
      <c r="F38" s="302">
        <v>236.33</v>
      </c>
      <c r="G38" s="158">
        <v>0.57999999999999996</v>
      </c>
      <c r="H38" s="158">
        <v>1230</v>
      </c>
      <c r="I38" s="158">
        <v>1.47E-4</v>
      </c>
      <c r="J38" s="158">
        <v>6.0098119378600001E-3</v>
      </c>
      <c r="K38" s="203">
        <v>115.8</v>
      </c>
      <c r="L38" s="158">
        <f t="shared" si="8"/>
        <v>0.69479999999999997</v>
      </c>
      <c r="M38" s="158">
        <v>3.2135053870100003E-2</v>
      </c>
      <c r="N38" s="158">
        <v>8.9047554209699996E-6</v>
      </c>
      <c r="O38" s="158">
        <f t="shared" ref="O38:O69" si="10">IF(OR(K38="--",I38="--"), "--",(6207*I38)+(0.166*K38))</f>
        <v>20.135228999999999</v>
      </c>
      <c r="P38" s="158">
        <f t="shared" ref="P38:P69" si="11">IF(OR(H38="--",J38="--"),"--",((H38/Ds)*((L38*Ds)+Pw+(J38*Pa))))</f>
        <v>979.00337904009689</v>
      </c>
      <c r="Q38" s="161">
        <f t="shared" ref="Q38:Q69" si="12">IF(OR(M38="--",L38="--"),"--",(IF(E38="V",(((((Pa^(10/3))*M38*J38)+((Pw^(10/3))*N38))/(Pt^2))/((Ds*L38)+Pw+(Pa*J38))),"--")))</f>
        <v>1.2998119831683189E-5</v>
      </c>
      <c r="R38" s="158">
        <f t="shared" ref="R38:R69" si="13">IF(Q38="--","--",IF(E38="V",68.18*(PI()*Q38*26*365*24*60*60)^0.5*0.0001/(2*Ds*Q38),"--"))</f>
        <v>31993.399402557188</v>
      </c>
      <c r="S38" s="158">
        <f t="shared" ref="S38:S69" si="14">IF(Q38="--","--",IF(E38="V",68.18*(PI()*Q38*25*365*24*60*60)^0.5*0.0001/(2*Ds*Q38),"--"))</f>
        <v>31372.109203809017</v>
      </c>
      <c r="T38" s="158">
        <f t="shared" ref="T38:T69" si="15">IF(Q38="--","--",IF(E38="V",(((PI()*Q38*365*24*60*60)^0.5)/(2*Ds*Q38))*14.31*(1/0.18584)*0.0001,"--"))</f>
        <v>7086.261157768593</v>
      </c>
      <c r="U38" s="307">
        <v>10</v>
      </c>
      <c r="V38" s="304" t="s">
        <v>1117</v>
      </c>
      <c r="W38" s="303">
        <v>100</v>
      </c>
      <c r="X38" s="304" t="s">
        <v>1117</v>
      </c>
      <c r="Y38" s="303" t="s">
        <v>115</v>
      </c>
      <c r="Z38" s="303" t="s">
        <v>115</v>
      </c>
      <c r="AA38" s="305" t="s">
        <v>115</v>
      </c>
    </row>
    <row r="39" spans="1:27" ht="15" customHeight="1">
      <c r="A39" s="136" t="s">
        <v>149</v>
      </c>
      <c r="B39" s="486" t="s">
        <v>150</v>
      </c>
      <c r="C39" s="485" t="s">
        <v>1116</v>
      </c>
      <c r="D39" s="1314">
        <v>9.9</v>
      </c>
      <c r="E39" s="159" t="str">
        <f t="shared" si="9"/>
        <v>V</v>
      </c>
      <c r="F39" s="302">
        <v>187.86</v>
      </c>
      <c r="G39" s="158">
        <v>11.2</v>
      </c>
      <c r="H39" s="158">
        <v>3910</v>
      </c>
      <c r="I39" s="158">
        <v>6.4999999999999997E-4</v>
      </c>
      <c r="J39" s="158">
        <v>2.6573998364679999E-2</v>
      </c>
      <c r="K39" s="203">
        <v>39.6</v>
      </c>
      <c r="L39" s="158">
        <f t="shared" si="8"/>
        <v>0.23760000000000001</v>
      </c>
      <c r="M39" s="158">
        <v>4.3034841244550003E-2</v>
      </c>
      <c r="N39" s="158">
        <v>1.043861314E-5</v>
      </c>
      <c r="O39" s="158">
        <f t="shared" si="10"/>
        <v>10.60815</v>
      </c>
      <c r="P39" s="158">
        <f t="shared" si="11"/>
        <v>1339.6859398838837</v>
      </c>
      <c r="Q39" s="161">
        <f t="shared" si="12"/>
        <v>1.7801770183852286E-4</v>
      </c>
      <c r="R39" s="158">
        <f t="shared" si="13"/>
        <v>8645.0808839817801</v>
      </c>
      <c r="S39" s="158">
        <f t="shared" si="14"/>
        <v>8477.1992546175115</v>
      </c>
      <c r="T39" s="158">
        <f t="shared" si="15"/>
        <v>1914.8106177498389</v>
      </c>
      <c r="U39" s="307" t="s">
        <v>115</v>
      </c>
      <c r="V39" s="304" t="s">
        <v>115</v>
      </c>
      <c r="W39" s="303" t="s">
        <v>115</v>
      </c>
      <c r="X39" s="304" t="s">
        <v>115</v>
      </c>
      <c r="Y39" s="303">
        <v>200000</v>
      </c>
      <c r="Z39" s="303">
        <v>26</v>
      </c>
      <c r="AA39" s="305" t="s">
        <v>115</v>
      </c>
    </row>
    <row r="40" spans="1:27" ht="15" customHeight="1">
      <c r="A40" s="136" t="s">
        <v>151</v>
      </c>
      <c r="B40" s="486" t="s">
        <v>152</v>
      </c>
      <c r="C40" s="485" t="s">
        <v>1116</v>
      </c>
      <c r="D40" s="1314">
        <v>-16.7</v>
      </c>
      <c r="E40" s="159" t="str">
        <f t="shared" si="9"/>
        <v>V</v>
      </c>
      <c r="F40" s="302">
        <v>147</v>
      </c>
      <c r="G40" s="158">
        <v>1.36</v>
      </c>
      <c r="H40" s="158">
        <v>156</v>
      </c>
      <c r="I40" s="158">
        <v>1.92E-3</v>
      </c>
      <c r="J40" s="158">
        <v>7.8495502861819999E-2</v>
      </c>
      <c r="K40" s="203">
        <v>382.9</v>
      </c>
      <c r="L40" s="158">
        <f t="shared" si="8"/>
        <v>2.2974000000000001</v>
      </c>
      <c r="M40" s="158">
        <v>5.6170340489030003E-2</v>
      </c>
      <c r="N40" s="158">
        <v>8.9212831562199998E-6</v>
      </c>
      <c r="O40" s="158">
        <f t="shared" si="10"/>
        <v>75.478840000000005</v>
      </c>
      <c r="P40" s="158">
        <f t="shared" si="11"/>
        <v>376.31253511470419</v>
      </c>
      <c r="Q40" s="161">
        <f t="shared" si="12"/>
        <v>9.7403077606950152E-5</v>
      </c>
      <c r="R40" s="158">
        <f t="shared" si="13"/>
        <v>11687.303344216289</v>
      </c>
      <c r="S40" s="158">
        <f t="shared" si="14"/>
        <v>11460.343810276363</v>
      </c>
      <c r="T40" s="158">
        <f t="shared" si="15"/>
        <v>2588.6365710972004</v>
      </c>
      <c r="U40" s="307">
        <v>100</v>
      </c>
      <c r="V40" s="304" t="s">
        <v>1121</v>
      </c>
      <c r="W40" s="303">
        <v>100</v>
      </c>
      <c r="X40" s="304" t="s">
        <v>1118</v>
      </c>
      <c r="Y40" s="303">
        <v>305000</v>
      </c>
      <c r="Z40" s="303">
        <v>50</v>
      </c>
      <c r="AA40" s="305" t="s">
        <v>115</v>
      </c>
    </row>
    <row r="41" spans="1:27" ht="15" customHeight="1">
      <c r="A41" s="136" t="s">
        <v>153</v>
      </c>
      <c r="B41" s="486" t="s">
        <v>154</v>
      </c>
      <c r="C41" s="485" t="s">
        <v>1116</v>
      </c>
      <c r="D41" s="1314">
        <v>52.09</v>
      </c>
      <c r="E41" s="159" t="str">
        <f t="shared" si="9"/>
        <v>V</v>
      </c>
      <c r="F41" s="302">
        <v>147</v>
      </c>
      <c r="G41" s="158">
        <v>1.74</v>
      </c>
      <c r="H41" s="158">
        <v>81.3</v>
      </c>
      <c r="I41" s="158">
        <v>2.4099999999999998E-3</v>
      </c>
      <c r="J41" s="158">
        <v>9.8528209321340002E-2</v>
      </c>
      <c r="K41" s="203">
        <v>375.3</v>
      </c>
      <c r="L41" s="158">
        <f t="shared" si="8"/>
        <v>2.2518000000000002</v>
      </c>
      <c r="M41" s="158">
        <v>5.5042894256450002E-2</v>
      </c>
      <c r="N41" s="158">
        <v>8.6797197569099999E-6</v>
      </c>
      <c r="O41" s="158">
        <f t="shared" si="10"/>
        <v>77.258670000000009</v>
      </c>
      <c r="P41" s="158">
        <f t="shared" si="11"/>
        <v>192.71776350236811</v>
      </c>
      <c r="Q41" s="161">
        <f t="shared" si="12"/>
        <v>1.2191403460460637E-4</v>
      </c>
      <c r="R41" s="158">
        <f t="shared" si="13"/>
        <v>10446.572051027288</v>
      </c>
      <c r="S41" s="158">
        <f t="shared" si="14"/>
        <v>10243.706680450219</v>
      </c>
      <c r="T41" s="158">
        <f t="shared" si="15"/>
        <v>2313.8253245795672</v>
      </c>
      <c r="U41" s="307">
        <v>5</v>
      </c>
      <c r="V41" s="304" t="s">
        <v>1121</v>
      </c>
      <c r="W41" s="303">
        <v>110</v>
      </c>
      <c r="X41" s="304" t="s">
        <v>1118</v>
      </c>
      <c r="Y41" s="303">
        <v>1100</v>
      </c>
      <c r="Z41" s="303">
        <v>0.18</v>
      </c>
      <c r="AA41" s="305" t="s">
        <v>115</v>
      </c>
    </row>
    <row r="42" spans="1:27" ht="15" customHeight="1">
      <c r="A42" s="136" t="s">
        <v>155</v>
      </c>
      <c r="B42" s="486" t="s">
        <v>156</v>
      </c>
      <c r="C42" s="485" t="s">
        <v>1116</v>
      </c>
      <c r="D42" s="1314">
        <v>132</v>
      </c>
      <c r="E42" s="159" t="str">
        <f t="shared" si="9"/>
        <v>NV</v>
      </c>
      <c r="F42" s="302">
        <v>253.13</v>
      </c>
      <c r="G42" s="158">
        <v>2.5600000000000002E-7</v>
      </c>
      <c r="H42" s="158">
        <v>3.1</v>
      </c>
      <c r="I42" s="158">
        <v>2.84E-11</v>
      </c>
      <c r="J42" s="158">
        <v>1.16107931316E-9</v>
      </c>
      <c r="K42" s="203">
        <v>3190</v>
      </c>
      <c r="L42" s="158">
        <f t="shared" si="8"/>
        <v>19.14</v>
      </c>
      <c r="M42" s="158">
        <v>4.7481509962950003E-2</v>
      </c>
      <c r="N42" s="158">
        <v>5.5478395851399997E-6</v>
      </c>
      <c r="O42" s="158">
        <f t="shared" si="10"/>
        <v>529.54000017627891</v>
      </c>
      <c r="P42" s="158">
        <f t="shared" si="11"/>
        <v>59.644000000681388</v>
      </c>
      <c r="Q42" s="161" t="str">
        <f t="shared" si="12"/>
        <v>--</v>
      </c>
      <c r="R42" s="158" t="str">
        <f t="shared" si="13"/>
        <v>--</v>
      </c>
      <c r="S42" s="158" t="str">
        <f t="shared" si="14"/>
        <v>--</v>
      </c>
      <c r="T42" s="158" t="str">
        <f t="shared" si="15"/>
        <v>--</v>
      </c>
      <c r="U42" s="307" t="s">
        <v>115</v>
      </c>
      <c r="V42" s="304" t="s">
        <v>115</v>
      </c>
      <c r="W42" s="303" t="s">
        <v>115</v>
      </c>
      <c r="X42" s="304" t="s">
        <v>115</v>
      </c>
      <c r="Y42" s="303" t="s">
        <v>115</v>
      </c>
      <c r="Z42" s="303" t="s">
        <v>115</v>
      </c>
      <c r="AA42" s="305" t="s">
        <v>115</v>
      </c>
    </row>
    <row r="43" spans="1:27" ht="15" customHeight="1">
      <c r="A43" s="136" t="s">
        <v>157</v>
      </c>
      <c r="B43" s="486" t="s">
        <v>158</v>
      </c>
      <c r="C43" s="485" t="s">
        <v>1116</v>
      </c>
      <c r="D43" s="1314">
        <v>109.5</v>
      </c>
      <c r="E43" s="159" t="str">
        <f t="shared" si="9"/>
        <v>NV</v>
      </c>
      <c r="F43" s="302">
        <v>320.05</v>
      </c>
      <c r="G43" s="158">
        <v>1.35E-6</v>
      </c>
      <c r="H43" s="158">
        <v>0.09</v>
      </c>
      <c r="I43" s="158">
        <v>6.6000000000000003E-6</v>
      </c>
      <c r="J43" s="158">
        <v>2.6982829108999998E-4</v>
      </c>
      <c r="K43" s="203">
        <v>117500</v>
      </c>
      <c r="L43" s="158">
        <f t="shared" si="8"/>
        <v>705</v>
      </c>
      <c r="M43" s="158">
        <v>4.0607698875089998E-2</v>
      </c>
      <c r="N43" s="158">
        <v>4.7446890264600002E-6</v>
      </c>
      <c r="O43" s="158">
        <f t="shared" si="10"/>
        <v>19505.040966199998</v>
      </c>
      <c r="P43" s="158">
        <f t="shared" si="11"/>
        <v>63.459004597263146</v>
      </c>
      <c r="Q43" s="161" t="str">
        <f t="shared" si="12"/>
        <v>--</v>
      </c>
      <c r="R43" s="158" t="str">
        <f t="shared" si="13"/>
        <v>--</v>
      </c>
      <c r="S43" s="158" t="str">
        <f t="shared" si="14"/>
        <v>--</v>
      </c>
      <c r="T43" s="158" t="str">
        <f t="shared" si="15"/>
        <v>--</v>
      </c>
      <c r="U43" s="307" t="s">
        <v>115</v>
      </c>
      <c r="V43" s="304" t="s">
        <v>115</v>
      </c>
      <c r="W43" s="303" t="s">
        <v>115</v>
      </c>
      <c r="X43" s="304" t="s">
        <v>115</v>
      </c>
      <c r="Y43" s="303" t="s">
        <v>115</v>
      </c>
      <c r="Z43" s="303" t="s">
        <v>115</v>
      </c>
      <c r="AA43" s="305" t="s">
        <v>115</v>
      </c>
    </row>
    <row r="44" spans="1:27" ht="15" customHeight="1">
      <c r="A44" s="136" t="s">
        <v>159</v>
      </c>
      <c r="B44" s="486" t="s">
        <v>160</v>
      </c>
      <c r="C44" s="485" t="s">
        <v>1116</v>
      </c>
      <c r="D44" s="1314">
        <v>89</v>
      </c>
      <c r="E44" s="159" t="str">
        <f t="shared" si="9"/>
        <v>V</v>
      </c>
      <c r="F44" s="302">
        <v>318.02999999999997</v>
      </c>
      <c r="G44" s="158">
        <v>6.0000000000000002E-6</v>
      </c>
      <c r="H44" s="158">
        <v>0.04</v>
      </c>
      <c r="I44" s="158">
        <v>4.1600000000000002E-5</v>
      </c>
      <c r="J44" s="158">
        <v>1.7007358953399999E-3</v>
      </c>
      <c r="K44" s="203">
        <v>117500</v>
      </c>
      <c r="L44" s="158">
        <f t="shared" si="8"/>
        <v>705</v>
      </c>
      <c r="M44" s="158">
        <v>2.299592570658E-2</v>
      </c>
      <c r="N44" s="158">
        <v>5.85921893614E-6</v>
      </c>
      <c r="O44" s="158">
        <f t="shared" si="10"/>
        <v>19505.258211199998</v>
      </c>
      <c r="P44" s="158">
        <f t="shared" si="11"/>
        <v>28.204012878528417</v>
      </c>
      <c r="Q44" s="161">
        <f t="shared" si="12"/>
        <v>3.0078845496996192E-9</v>
      </c>
      <c r="R44" s="158">
        <f t="shared" si="13"/>
        <v>2103149.1581312744</v>
      </c>
      <c r="S44" s="158">
        <f t="shared" si="14"/>
        <v>2062307.4225591547</v>
      </c>
      <c r="T44" s="158">
        <f t="shared" si="15"/>
        <v>465829.34188194294</v>
      </c>
      <c r="U44" s="307" t="s">
        <v>115</v>
      </c>
      <c r="V44" s="304" t="s">
        <v>115</v>
      </c>
      <c r="W44" s="303" t="s">
        <v>115</v>
      </c>
      <c r="X44" s="304" t="s">
        <v>115</v>
      </c>
      <c r="Y44" s="303" t="s">
        <v>115</v>
      </c>
      <c r="Z44" s="303" t="s">
        <v>115</v>
      </c>
      <c r="AA44" s="305" t="s">
        <v>115</v>
      </c>
    </row>
    <row r="45" spans="1:27" ht="15" customHeight="1">
      <c r="A45" s="136" t="s">
        <v>161</v>
      </c>
      <c r="B45" s="486" t="s">
        <v>162</v>
      </c>
      <c r="C45" s="485" t="s">
        <v>1116</v>
      </c>
      <c r="D45" s="1314">
        <v>108.5</v>
      </c>
      <c r="E45" s="159" t="str">
        <f t="shared" si="9"/>
        <v>NV</v>
      </c>
      <c r="F45" s="302">
        <v>354.49</v>
      </c>
      <c r="G45" s="158">
        <v>1.6E-7</v>
      </c>
      <c r="H45" s="158">
        <v>5.4999999999999997E-3</v>
      </c>
      <c r="I45" s="158">
        <v>8.32E-6</v>
      </c>
      <c r="J45" s="158">
        <v>3.4014717906999999E-4</v>
      </c>
      <c r="K45" s="203">
        <v>168600</v>
      </c>
      <c r="L45" s="158">
        <f t="shared" si="8"/>
        <v>1011.6</v>
      </c>
      <c r="M45" s="158">
        <v>3.7933036477480003E-2</v>
      </c>
      <c r="N45" s="158">
        <v>4.43217584105E-6</v>
      </c>
      <c r="O45" s="158">
        <f t="shared" si="10"/>
        <v>27987.651642240002</v>
      </c>
      <c r="P45" s="158">
        <f t="shared" si="11"/>
        <v>5.5643503541595321</v>
      </c>
      <c r="Q45" s="161" t="str">
        <f t="shared" si="12"/>
        <v>--</v>
      </c>
      <c r="R45" s="158" t="str">
        <f t="shared" si="13"/>
        <v>--</v>
      </c>
      <c r="S45" s="158" t="str">
        <f t="shared" si="14"/>
        <v>--</v>
      </c>
      <c r="T45" s="158" t="str">
        <f t="shared" si="15"/>
        <v>--</v>
      </c>
      <c r="U45" s="307">
        <v>350</v>
      </c>
      <c r="V45" s="304" t="s">
        <v>1118</v>
      </c>
      <c r="W45" s="303">
        <v>3500</v>
      </c>
      <c r="X45" s="304" t="s">
        <v>1118</v>
      </c>
      <c r="Y45" s="303" t="s">
        <v>115</v>
      </c>
      <c r="Z45" s="303" t="s">
        <v>115</v>
      </c>
      <c r="AA45" s="305" t="s">
        <v>115</v>
      </c>
    </row>
    <row r="46" spans="1:27" ht="15" customHeight="1">
      <c r="A46" s="136" t="s">
        <v>163</v>
      </c>
      <c r="B46" s="486" t="s">
        <v>164</v>
      </c>
      <c r="C46" s="485" t="s">
        <v>1116</v>
      </c>
      <c r="D46" s="1314">
        <v>-96.9</v>
      </c>
      <c r="E46" s="159" t="str">
        <f t="shared" si="9"/>
        <v>V</v>
      </c>
      <c r="F46" s="302">
        <v>98.96</v>
      </c>
      <c r="G46" s="158">
        <v>227.3</v>
      </c>
      <c r="H46" s="158">
        <v>5040</v>
      </c>
      <c r="I46" s="158">
        <v>5.62E-3</v>
      </c>
      <c r="J46" s="158">
        <v>0.22976287816843999</v>
      </c>
      <c r="K46" s="203">
        <v>31.82</v>
      </c>
      <c r="L46" s="158">
        <f t="shared" si="8"/>
        <v>0.19092000000000001</v>
      </c>
      <c r="M46" s="158">
        <v>8.3644611321010004E-2</v>
      </c>
      <c r="N46" s="158">
        <v>1.0621206939999999E-5</v>
      </c>
      <c r="O46" s="158">
        <f t="shared" si="10"/>
        <v>40.165459999999996</v>
      </c>
      <c r="P46" s="158">
        <f t="shared" si="11"/>
        <v>1685.45659666456</v>
      </c>
      <c r="Q46" s="161">
        <f t="shared" si="12"/>
        <v>3.0619608504017311E-3</v>
      </c>
      <c r="R46" s="158">
        <f t="shared" si="13"/>
        <v>2084.4949109004815</v>
      </c>
      <c r="S46" s="158">
        <f t="shared" si="14"/>
        <v>2044.0154282050787</v>
      </c>
      <c r="T46" s="158">
        <f t="shared" si="15"/>
        <v>461.69758751862219</v>
      </c>
      <c r="U46" s="307" t="s">
        <v>115</v>
      </c>
      <c r="V46" s="304" t="s">
        <v>115</v>
      </c>
      <c r="W46" s="303" t="s">
        <v>115</v>
      </c>
      <c r="X46" s="304" t="s">
        <v>115</v>
      </c>
      <c r="Y46" s="303">
        <v>125000</v>
      </c>
      <c r="Z46" s="303">
        <v>30</v>
      </c>
      <c r="AA46" s="305" t="s">
        <v>115</v>
      </c>
    </row>
    <row r="47" spans="1:27" ht="15" customHeight="1">
      <c r="A47" s="136" t="s">
        <v>165</v>
      </c>
      <c r="B47" s="486" t="s">
        <v>166</v>
      </c>
      <c r="C47" s="485" t="s">
        <v>1116</v>
      </c>
      <c r="D47" s="1314">
        <v>-35.5</v>
      </c>
      <c r="E47" s="159" t="str">
        <f t="shared" si="9"/>
        <v>V</v>
      </c>
      <c r="F47" s="302">
        <v>98.96</v>
      </c>
      <c r="G47" s="158">
        <v>78.900000000000006</v>
      </c>
      <c r="H47" s="158">
        <v>8600</v>
      </c>
      <c r="I47" s="158">
        <v>1.1800000000000001E-3</v>
      </c>
      <c r="J47" s="158">
        <v>4.824202780049E-2</v>
      </c>
      <c r="K47" s="203">
        <v>39.6</v>
      </c>
      <c r="L47" s="158">
        <f t="shared" si="8"/>
        <v>0.23760000000000001</v>
      </c>
      <c r="M47" s="158">
        <v>8.5722058078229996E-2</v>
      </c>
      <c r="N47" s="158">
        <v>1.0994646649999999E-5</v>
      </c>
      <c r="O47" s="158">
        <f t="shared" si="10"/>
        <v>13.897860000000001</v>
      </c>
      <c r="P47" s="158">
        <f t="shared" si="11"/>
        <v>2981.9004485310361</v>
      </c>
      <c r="Q47" s="161">
        <f t="shared" si="12"/>
        <v>6.3562541497525914E-4</v>
      </c>
      <c r="R47" s="158">
        <f t="shared" si="13"/>
        <v>4575.0940795679344</v>
      </c>
      <c r="S47" s="158">
        <f t="shared" si="14"/>
        <v>4486.2488438922519</v>
      </c>
      <c r="T47" s="158">
        <f t="shared" si="15"/>
        <v>1013.3437544804311</v>
      </c>
      <c r="U47" s="307">
        <v>7000</v>
      </c>
      <c r="V47" s="304" t="s">
        <v>1117</v>
      </c>
      <c r="W47" s="303">
        <v>200000</v>
      </c>
      <c r="X47" s="304" t="s">
        <v>1118</v>
      </c>
      <c r="Y47" s="303">
        <v>2424</v>
      </c>
      <c r="Z47" s="303">
        <v>0.59</v>
      </c>
      <c r="AA47" s="305" t="s">
        <v>115</v>
      </c>
    </row>
    <row r="48" spans="1:27" ht="15" customHeight="1">
      <c r="A48" s="136" t="s">
        <v>167</v>
      </c>
      <c r="B48" s="486" t="s">
        <v>168</v>
      </c>
      <c r="C48" s="485" t="s">
        <v>1116</v>
      </c>
      <c r="D48" s="1314">
        <v>-122.5</v>
      </c>
      <c r="E48" s="159" t="str">
        <f t="shared" si="9"/>
        <v>V</v>
      </c>
      <c r="F48" s="302">
        <v>96.944000000000003</v>
      </c>
      <c r="G48" s="158">
        <v>600</v>
      </c>
      <c r="H48" s="158">
        <v>2420</v>
      </c>
      <c r="I48" s="158">
        <v>2.6100000000000002E-2</v>
      </c>
      <c r="J48" s="158">
        <v>1.0670482420278</v>
      </c>
      <c r="K48" s="203">
        <v>31.82</v>
      </c>
      <c r="L48" s="158">
        <f t="shared" si="8"/>
        <v>0.19092000000000001</v>
      </c>
      <c r="M48" s="158">
        <v>8.6310687359099997E-2</v>
      </c>
      <c r="N48" s="158">
        <v>1.095659708E-5</v>
      </c>
      <c r="O48" s="158">
        <f t="shared" si="10"/>
        <v>167.28482</v>
      </c>
      <c r="P48" s="158">
        <f t="shared" si="11"/>
        <v>1192.8687147533901</v>
      </c>
      <c r="Q48" s="161">
        <f t="shared" si="12"/>
        <v>9.9544609220462259E-3</v>
      </c>
      <c r="R48" s="158">
        <f t="shared" si="13"/>
        <v>1156.0903682375708</v>
      </c>
      <c r="S48" s="158">
        <f t="shared" si="14"/>
        <v>1133.6398744461619</v>
      </c>
      <c r="T48" s="158">
        <f t="shared" si="15"/>
        <v>256.06401396212641</v>
      </c>
      <c r="U48" s="307">
        <v>1500</v>
      </c>
      <c r="V48" s="304" t="s">
        <v>1117</v>
      </c>
      <c r="W48" s="303">
        <v>15000</v>
      </c>
      <c r="X48" s="304" t="s">
        <v>1117</v>
      </c>
      <c r="Y48" s="303">
        <v>2000000</v>
      </c>
      <c r="Z48" s="303">
        <v>500</v>
      </c>
      <c r="AA48" s="305" t="s">
        <v>115</v>
      </c>
    </row>
    <row r="49" spans="1:27" ht="15" customHeight="1">
      <c r="A49" s="136" t="s">
        <v>169</v>
      </c>
      <c r="B49" s="486" t="s">
        <v>170</v>
      </c>
      <c r="C49" s="485" t="s">
        <v>1116</v>
      </c>
      <c r="D49" s="1314">
        <v>-80</v>
      </c>
      <c r="E49" s="159" t="str">
        <f t="shared" si="9"/>
        <v>V</v>
      </c>
      <c r="F49" s="302">
        <v>96.944000000000003</v>
      </c>
      <c r="G49" s="158">
        <v>200</v>
      </c>
      <c r="H49" s="158">
        <v>6410</v>
      </c>
      <c r="I49" s="158">
        <v>4.0800000000000003E-3</v>
      </c>
      <c r="J49" s="158">
        <v>0.16680294358136</v>
      </c>
      <c r="K49" s="203">
        <v>39.6</v>
      </c>
      <c r="L49" s="158">
        <f t="shared" si="8"/>
        <v>0.23760000000000001</v>
      </c>
      <c r="M49" s="158">
        <v>8.8405643037459999E-2</v>
      </c>
      <c r="N49" s="158">
        <v>1.133541266E-5</v>
      </c>
      <c r="O49" s="158">
        <f t="shared" si="10"/>
        <v>31.898160000000004</v>
      </c>
      <c r="P49" s="158">
        <f t="shared" si="11"/>
        <v>2366.4256021228371</v>
      </c>
      <c r="Q49" s="161">
        <f t="shared" si="12"/>
        <v>2.1282806206662469E-3</v>
      </c>
      <c r="R49" s="158">
        <f t="shared" si="13"/>
        <v>2500.2659744561442</v>
      </c>
      <c r="S49" s="158">
        <f t="shared" si="14"/>
        <v>2451.7124986392228</v>
      </c>
      <c r="T49" s="158">
        <f t="shared" si="15"/>
        <v>553.78728080589269</v>
      </c>
      <c r="U49" s="307" t="s">
        <v>115</v>
      </c>
      <c r="V49" s="304" t="s">
        <v>115</v>
      </c>
      <c r="W49" s="303" t="s">
        <v>115</v>
      </c>
      <c r="X49" s="304" t="s">
        <v>115</v>
      </c>
      <c r="Y49" s="303" t="s">
        <v>115</v>
      </c>
      <c r="Z49" s="303" t="s">
        <v>115</v>
      </c>
      <c r="AA49" s="305" t="s">
        <v>115</v>
      </c>
    </row>
    <row r="50" spans="1:27" ht="15" customHeight="1">
      <c r="A50" s="136" t="s">
        <v>171</v>
      </c>
      <c r="B50" s="486" t="s">
        <v>172</v>
      </c>
      <c r="C50" s="485" t="s">
        <v>1116</v>
      </c>
      <c r="D50" s="1314">
        <v>-49.8</v>
      </c>
      <c r="E50" s="159" t="str">
        <f t="shared" si="9"/>
        <v>V</v>
      </c>
      <c r="F50" s="302">
        <v>96.944000000000003</v>
      </c>
      <c r="G50" s="158">
        <v>331</v>
      </c>
      <c r="H50" s="158">
        <v>4520</v>
      </c>
      <c r="I50" s="158">
        <v>9.3799999999999994E-3</v>
      </c>
      <c r="J50" s="158">
        <v>0.38348323793949002</v>
      </c>
      <c r="K50" s="203">
        <v>39.6</v>
      </c>
      <c r="L50" s="158">
        <f t="shared" si="8"/>
        <v>0.23760000000000001</v>
      </c>
      <c r="M50" s="158">
        <v>8.7609432305390006E-2</v>
      </c>
      <c r="N50" s="158">
        <v>1.11906859E-5</v>
      </c>
      <c r="O50" s="158">
        <f t="shared" si="10"/>
        <v>64.795259999999999</v>
      </c>
      <c r="P50" s="158">
        <f t="shared" si="11"/>
        <v>1854.0882357744872</v>
      </c>
      <c r="Q50" s="161">
        <f t="shared" si="12"/>
        <v>4.3637791904492249E-3</v>
      </c>
      <c r="R50" s="158">
        <f t="shared" si="13"/>
        <v>1746.1006439477785</v>
      </c>
      <c r="S50" s="158">
        <f t="shared" si="14"/>
        <v>1712.1925492666637</v>
      </c>
      <c r="T50" s="158">
        <f t="shared" si="15"/>
        <v>386.74618520759276</v>
      </c>
      <c r="U50" s="307">
        <v>260</v>
      </c>
      <c r="V50" s="304" t="s">
        <v>1117</v>
      </c>
      <c r="W50" s="303">
        <v>2600</v>
      </c>
      <c r="X50" s="304" t="s">
        <v>1118</v>
      </c>
      <c r="Y50" s="303">
        <v>67320</v>
      </c>
      <c r="Z50" s="303">
        <v>17</v>
      </c>
      <c r="AA50" s="305" t="s">
        <v>115</v>
      </c>
    </row>
    <row r="51" spans="1:27" ht="15" customHeight="1">
      <c r="A51" s="136" t="s">
        <v>173</v>
      </c>
      <c r="B51" s="486" t="s">
        <v>174</v>
      </c>
      <c r="C51" s="485" t="s">
        <v>1116</v>
      </c>
      <c r="D51" s="1314">
        <v>45</v>
      </c>
      <c r="E51" s="159" t="str">
        <f t="shared" si="9"/>
        <v>NV</v>
      </c>
      <c r="F51" s="302">
        <v>163</v>
      </c>
      <c r="G51" s="158">
        <v>0.09</v>
      </c>
      <c r="H51" s="158">
        <v>5550</v>
      </c>
      <c r="I51" s="158">
        <v>4.2899999999999996E-6</v>
      </c>
      <c r="J51" s="158">
        <v>1.7538838921000001E-4</v>
      </c>
      <c r="K51" s="203">
        <v>147</v>
      </c>
      <c r="L51" s="158">
        <f t="shared" si="8"/>
        <v>0.88200000000000001</v>
      </c>
      <c r="M51" s="158">
        <v>4.8576831463819997E-2</v>
      </c>
      <c r="N51" s="158">
        <v>8.6786568514900008E-6</v>
      </c>
      <c r="O51" s="158">
        <f t="shared" si="10"/>
        <v>24.428628030000002</v>
      </c>
      <c r="P51" s="158">
        <f t="shared" si="11"/>
        <v>5450.2842736311914</v>
      </c>
      <c r="Q51" s="161" t="str">
        <f t="shared" si="12"/>
        <v>--</v>
      </c>
      <c r="R51" s="158" t="str">
        <f t="shared" si="13"/>
        <v>--</v>
      </c>
      <c r="S51" s="158" t="str">
        <f t="shared" si="14"/>
        <v>--</v>
      </c>
      <c r="T51" s="158" t="str">
        <f t="shared" si="15"/>
        <v>--</v>
      </c>
      <c r="U51" s="307">
        <v>0.3</v>
      </c>
      <c r="V51" s="304" t="s">
        <v>1118</v>
      </c>
      <c r="W51" s="303">
        <v>3</v>
      </c>
      <c r="X51" s="304" t="s">
        <v>1118</v>
      </c>
      <c r="Y51" s="303">
        <v>1400</v>
      </c>
      <c r="Z51" s="303">
        <v>0.21</v>
      </c>
      <c r="AA51" s="305" t="s">
        <v>115</v>
      </c>
    </row>
    <row r="52" spans="1:27" ht="15" customHeight="1">
      <c r="A52" s="136" t="s">
        <v>175</v>
      </c>
      <c r="B52" s="486" t="s">
        <v>176</v>
      </c>
      <c r="C52" s="485" t="s">
        <v>1116</v>
      </c>
      <c r="D52" s="1314">
        <v>-100</v>
      </c>
      <c r="E52" s="159" t="str">
        <f t="shared" si="9"/>
        <v>V</v>
      </c>
      <c r="F52" s="302">
        <v>112.99</v>
      </c>
      <c r="G52" s="158">
        <v>53.3</v>
      </c>
      <c r="H52" s="158">
        <v>2800</v>
      </c>
      <c r="I52" s="158">
        <v>2.82E-3</v>
      </c>
      <c r="J52" s="158">
        <v>0.11529026982829001</v>
      </c>
      <c r="K52" s="203">
        <v>60.7</v>
      </c>
      <c r="L52" s="158">
        <f t="shared" si="8"/>
        <v>0.36420000000000002</v>
      </c>
      <c r="M52" s="158">
        <v>7.3340244461150006E-2</v>
      </c>
      <c r="N52" s="158">
        <v>9.7251840234299995E-6</v>
      </c>
      <c r="O52" s="158">
        <f t="shared" si="10"/>
        <v>27.579940000000001</v>
      </c>
      <c r="P52" s="158">
        <f t="shared" si="11"/>
        <v>1360.8710939693603</v>
      </c>
      <c r="Q52" s="161">
        <f t="shared" si="12"/>
        <v>9.2699161838526059E-4</v>
      </c>
      <c r="R52" s="158">
        <f t="shared" si="13"/>
        <v>3788.4604022906269</v>
      </c>
      <c r="S52" s="158">
        <f t="shared" si="14"/>
        <v>3714.8910611064389</v>
      </c>
      <c r="T52" s="158">
        <f t="shared" si="15"/>
        <v>839.11120099199843</v>
      </c>
      <c r="U52" s="307">
        <v>10</v>
      </c>
      <c r="V52" s="304" t="s">
        <v>1118</v>
      </c>
      <c r="W52" s="303">
        <v>100</v>
      </c>
      <c r="X52" s="304" t="s">
        <v>1118</v>
      </c>
      <c r="Y52" s="303">
        <v>1190</v>
      </c>
      <c r="Z52" s="303">
        <v>0.25</v>
      </c>
      <c r="AA52" s="305" t="s">
        <v>115</v>
      </c>
    </row>
    <row r="53" spans="1:27" ht="15" customHeight="1">
      <c r="A53" s="136" t="s">
        <v>177</v>
      </c>
      <c r="B53" s="486" t="s">
        <v>178</v>
      </c>
      <c r="C53" s="485" t="s">
        <v>1116</v>
      </c>
      <c r="D53" s="1314">
        <v>-50</v>
      </c>
      <c r="E53" s="159" t="str">
        <f t="shared" si="9"/>
        <v>V</v>
      </c>
      <c r="F53" s="302">
        <v>110.97</v>
      </c>
      <c r="G53" s="158">
        <v>34</v>
      </c>
      <c r="H53" s="158">
        <v>2800</v>
      </c>
      <c r="I53" s="158">
        <v>3.5500000000000002E-3</v>
      </c>
      <c r="J53" s="158">
        <v>0.14513491414554</v>
      </c>
      <c r="K53" s="203">
        <v>72.17</v>
      </c>
      <c r="L53" s="158">
        <f t="shared" si="8"/>
        <v>0.43302000000000002</v>
      </c>
      <c r="M53" s="158">
        <v>7.6272488447510001E-2</v>
      </c>
      <c r="N53" s="158">
        <v>1.012331538E-5</v>
      </c>
      <c r="O53" s="158">
        <f t="shared" si="10"/>
        <v>34.015070000000001</v>
      </c>
      <c r="P53" s="158">
        <f t="shared" si="11"/>
        <v>1569.3866324791582</v>
      </c>
      <c r="Q53" s="161">
        <f t="shared" si="12"/>
        <v>1.0523385038852999E-3</v>
      </c>
      <c r="R53" s="158">
        <f t="shared" si="13"/>
        <v>3555.6821003054051</v>
      </c>
      <c r="S53" s="158">
        <f t="shared" si="14"/>
        <v>3486.6331564595839</v>
      </c>
      <c r="T53" s="158">
        <f t="shared" si="15"/>
        <v>787.55282112201303</v>
      </c>
      <c r="U53" s="307" t="s">
        <v>115</v>
      </c>
      <c r="V53" s="304" t="s">
        <v>115</v>
      </c>
      <c r="W53" s="303" t="s">
        <v>115</v>
      </c>
      <c r="X53" s="304" t="s">
        <v>115</v>
      </c>
      <c r="Y53" s="303">
        <v>4160</v>
      </c>
      <c r="Z53" s="303">
        <v>1</v>
      </c>
      <c r="AA53" s="305" t="s">
        <v>115</v>
      </c>
    </row>
    <row r="54" spans="1:27" ht="15" customHeight="1">
      <c r="A54" s="136" t="s">
        <v>179</v>
      </c>
      <c r="B54" s="486" t="s">
        <v>180</v>
      </c>
      <c r="C54" s="485" t="s">
        <v>1116</v>
      </c>
      <c r="D54" s="1314">
        <v>175.5</v>
      </c>
      <c r="E54" s="159" t="str">
        <f t="shared" si="9"/>
        <v>NV</v>
      </c>
      <c r="F54" s="302">
        <v>380.91</v>
      </c>
      <c r="G54" s="158">
        <v>5.8900000000000004E-6</v>
      </c>
      <c r="H54" s="158">
        <v>0.19500000000000001</v>
      </c>
      <c r="I54" s="158">
        <v>1.0000000000000001E-5</v>
      </c>
      <c r="J54" s="158">
        <v>4.0883074407E-4</v>
      </c>
      <c r="K54" s="203">
        <v>20090</v>
      </c>
      <c r="L54" s="158">
        <f t="shared" si="8"/>
        <v>120.54</v>
      </c>
      <c r="M54" s="158">
        <v>2.3286453600050001E-2</v>
      </c>
      <c r="N54" s="158">
        <v>6.0062191756200001E-6</v>
      </c>
      <c r="O54" s="158">
        <f t="shared" si="10"/>
        <v>3335.00207</v>
      </c>
      <c r="P54" s="158">
        <f t="shared" si="11"/>
        <v>23.524815092025488</v>
      </c>
      <c r="Q54" s="161" t="str">
        <f t="shared" si="12"/>
        <v>--</v>
      </c>
      <c r="R54" s="158" t="str">
        <f t="shared" si="13"/>
        <v>--</v>
      </c>
      <c r="S54" s="158" t="str">
        <f t="shared" si="14"/>
        <v>--</v>
      </c>
      <c r="T54" s="158" t="str">
        <f t="shared" si="15"/>
        <v>--</v>
      </c>
      <c r="U54" s="307">
        <v>41</v>
      </c>
      <c r="V54" s="304" t="s">
        <v>1118</v>
      </c>
      <c r="W54" s="303">
        <v>410</v>
      </c>
      <c r="X54" s="304" t="s">
        <v>1118</v>
      </c>
      <c r="Y54" s="303" t="s">
        <v>115</v>
      </c>
      <c r="Z54" s="303" t="s">
        <v>115</v>
      </c>
      <c r="AA54" s="305" t="s">
        <v>115</v>
      </c>
    </row>
    <row r="55" spans="1:27" ht="15" customHeight="1">
      <c r="A55" s="136" t="s">
        <v>181</v>
      </c>
      <c r="B55" s="486" t="s">
        <v>182</v>
      </c>
      <c r="C55" s="485" t="s">
        <v>1116</v>
      </c>
      <c r="D55" s="1314">
        <v>-40.5</v>
      </c>
      <c r="E55" s="159" t="str">
        <f t="shared" si="9"/>
        <v>NV</v>
      </c>
      <c r="F55" s="302">
        <v>222.24</v>
      </c>
      <c r="G55" s="158">
        <v>2.0999999999999999E-3</v>
      </c>
      <c r="H55" s="158">
        <v>1080</v>
      </c>
      <c r="I55" s="158">
        <v>6.0999999999999998E-7</v>
      </c>
      <c r="J55" s="158">
        <v>2.493867539E-5</v>
      </c>
      <c r="K55" s="203">
        <v>104.9</v>
      </c>
      <c r="L55" s="158">
        <f t="shared" si="8"/>
        <v>0.62940000000000007</v>
      </c>
      <c r="M55" s="158">
        <v>2.6074058665390001E-2</v>
      </c>
      <c r="N55" s="158">
        <v>6.7227174593399998E-6</v>
      </c>
      <c r="O55" s="158">
        <f t="shared" si="10"/>
        <v>17.417186270000002</v>
      </c>
      <c r="P55" s="158">
        <f t="shared" si="11"/>
        <v>787.75709878276473</v>
      </c>
      <c r="Q55" s="161" t="str">
        <f t="shared" si="12"/>
        <v>--</v>
      </c>
      <c r="R55" s="158" t="str">
        <f t="shared" si="13"/>
        <v>--</v>
      </c>
      <c r="S55" s="158" t="str">
        <f t="shared" si="14"/>
        <v>--</v>
      </c>
      <c r="T55" s="158" t="str">
        <f t="shared" si="15"/>
        <v>--</v>
      </c>
      <c r="U55" s="307" t="s">
        <v>115</v>
      </c>
      <c r="V55" s="304" t="s">
        <v>115</v>
      </c>
      <c r="W55" s="303" t="s">
        <v>115</v>
      </c>
      <c r="X55" s="304" t="s">
        <v>115</v>
      </c>
      <c r="Y55" s="303" t="s">
        <v>115</v>
      </c>
      <c r="Z55" s="303" t="s">
        <v>115</v>
      </c>
      <c r="AA55" s="305" t="s">
        <v>115</v>
      </c>
    </row>
    <row r="56" spans="1:27" ht="15" customHeight="1">
      <c r="A56" s="136" t="s">
        <v>183</v>
      </c>
      <c r="B56" s="486" t="s">
        <v>184</v>
      </c>
      <c r="C56" s="485" t="s">
        <v>1116</v>
      </c>
      <c r="D56" s="1314">
        <v>24.5</v>
      </c>
      <c r="E56" s="159" t="str">
        <f t="shared" si="9"/>
        <v>NV</v>
      </c>
      <c r="F56" s="302">
        <v>122.17</v>
      </c>
      <c r="G56" s="158">
        <v>0.10199999999999999</v>
      </c>
      <c r="H56" s="158">
        <v>7870</v>
      </c>
      <c r="I56" s="158">
        <v>9.5099999999999998E-7</v>
      </c>
      <c r="J56" s="158">
        <v>3.8879803760000002E-5</v>
      </c>
      <c r="K56" s="203">
        <v>491.8</v>
      </c>
      <c r="L56" s="158">
        <f t="shared" si="8"/>
        <v>2.9508000000000001</v>
      </c>
      <c r="M56" s="158">
        <v>6.2245058879930003E-2</v>
      </c>
      <c r="N56" s="158">
        <v>8.3139884193999994E-6</v>
      </c>
      <c r="O56" s="158">
        <f t="shared" si="10"/>
        <v>81.644702856999999</v>
      </c>
      <c r="P56" s="158">
        <f t="shared" si="11"/>
        <v>24009.853925283485</v>
      </c>
      <c r="Q56" s="161" t="str">
        <f t="shared" si="12"/>
        <v>--</v>
      </c>
      <c r="R56" s="158" t="str">
        <f t="shared" si="13"/>
        <v>--</v>
      </c>
      <c r="S56" s="158" t="str">
        <f t="shared" si="14"/>
        <v>--</v>
      </c>
      <c r="T56" s="158" t="str">
        <f t="shared" si="15"/>
        <v>--</v>
      </c>
      <c r="U56" s="307">
        <v>400</v>
      </c>
      <c r="V56" s="304" t="s">
        <v>1122</v>
      </c>
      <c r="W56" s="303">
        <v>4000</v>
      </c>
      <c r="X56" s="304" t="s">
        <v>1118</v>
      </c>
      <c r="Y56" s="303">
        <v>1</v>
      </c>
      <c r="Z56" s="303">
        <v>1.9699999999999999E-4</v>
      </c>
      <c r="AA56" s="305" t="s">
        <v>115</v>
      </c>
    </row>
    <row r="57" spans="1:27" ht="15" customHeight="1">
      <c r="A57" s="136" t="s">
        <v>185</v>
      </c>
      <c r="B57" s="486" t="s">
        <v>186</v>
      </c>
      <c r="C57" s="485" t="s">
        <v>1116</v>
      </c>
      <c r="D57" s="1314">
        <v>114.8</v>
      </c>
      <c r="E57" s="159" t="str">
        <f t="shared" si="9"/>
        <v>NV</v>
      </c>
      <c r="F57" s="302">
        <v>184.11</v>
      </c>
      <c r="G57" s="158">
        <v>3.8999999999999999E-4</v>
      </c>
      <c r="H57" s="158">
        <v>2790</v>
      </c>
      <c r="I57" s="158">
        <v>8.6000000000000002E-8</v>
      </c>
      <c r="J57" s="158">
        <v>3.51594439902E-6</v>
      </c>
      <c r="K57" s="203">
        <v>460.8</v>
      </c>
      <c r="L57" s="158">
        <f t="shared" si="8"/>
        <v>2.7648000000000001</v>
      </c>
      <c r="M57" s="158">
        <v>4.0669921011750002E-2</v>
      </c>
      <c r="N57" s="158">
        <v>9.0756097778499994E-6</v>
      </c>
      <c r="O57" s="158">
        <f t="shared" si="10"/>
        <v>76.493333802000009</v>
      </c>
      <c r="P57" s="158">
        <f t="shared" si="11"/>
        <v>7992.7938570156903</v>
      </c>
      <c r="Q57" s="161" t="str">
        <f t="shared" si="12"/>
        <v>--</v>
      </c>
      <c r="R57" s="158" t="str">
        <f t="shared" si="13"/>
        <v>--</v>
      </c>
      <c r="S57" s="158" t="str">
        <f t="shared" si="14"/>
        <v>--</v>
      </c>
      <c r="T57" s="158" t="str">
        <f t="shared" si="15"/>
        <v>--</v>
      </c>
      <c r="U57" s="307" t="s">
        <v>115</v>
      </c>
      <c r="V57" s="304" t="s">
        <v>115</v>
      </c>
      <c r="W57" s="303" t="s">
        <v>115</v>
      </c>
      <c r="X57" s="304" t="s">
        <v>115</v>
      </c>
      <c r="Y57" s="303" t="s">
        <v>115</v>
      </c>
      <c r="Z57" s="303" t="s">
        <v>115</v>
      </c>
      <c r="AA57" s="305" t="s">
        <v>115</v>
      </c>
    </row>
    <row r="58" spans="1:27" ht="15" customHeight="1">
      <c r="A58" s="136" t="s">
        <v>187</v>
      </c>
      <c r="B58" s="486" t="s">
        <v>188</v>
      </c>
      <c r="C58" s="485" t="s">
        <v>1116</v>
      </c>
      <c r="D58" s="1314">
        <v>71</v>
      </c>
      <c r="E58" s="159" t="str">
        <f t="shared" si="9"/>
        <v>NV</v>
      </c>
      <c r="F58" s="302">
        <v>182.14</v>
      </c>
      <c r="G58" s="158">
        <v>1.47E-4</v>
      </c>
      <c r="H58" s="158">
        <v>200</v>
      </c>
      <c r="I58" s="158">
        <v>5.4E-8</v>
      </c>
      <c r="J58" s="158">
        <v>2.2076860179899999E-6</v>
      </c>
      <c r="K58" s="203">
        <v>575.6</v>
      </c>
      <c r="L58" s="158">
        <f t="shared" si="8"/>
        <v>3.4536000000000002</v>
      </c>
      <c r="M58" s="158">
        <v>3.7511504073990003E-2</v>
      </c>
      <c r="N58" s="158">
        <v>7.8982487671299997E-6</v>
      </c>
      <c r="O58" s="158">
        <f t="shared" si="10"/>
        <v>95.549935178000013</v>
      </c>
      <c r="P58" s="158">
        <f t="shared" si="11"/>
        <v>710.72008358660287</v>
      </c>
      <c r="Q58" s="161" t="str">
        <f t="shared" si="12"/>
        <v>--</v>
      </c>
      <c r="R58" s="158" t="str">
        <f t="shared" si="13"/>
        <v>--</v>
      </c>
      <c r="S58" s="158" t="str">
        <f t="shared" si="14"/>
        <v>--</v>
      </c>
      <c r="T58" s="158" t="str">
        <f t="shared" si="15"/>
        <v>--</v>
      </c>
      <c r="U58" s="307" t="s">
        <v>115</v>
      </c>
      <c r="V58" s="304" t="s">
        <v>115</v>
      </c>
      <c r="W58" s="303" t="s">
        <v>115</v>
      </c>
      <c r="X58" s="304" t="s">
        <v>115</v>
      </c>
      <c r="Y58" s="303" t="s">
        <v>115</v>
      </c>
      <c r="Z58" s="303" t="s">
        <v>115</v>
      </c>
      <c r="AA58" s="305" t="s">
        <v>115</v>
      </c>
    </row>
    <row r="59" spans="1:27" ht="15" customHeight="1">
      <c r="A59" s="136" t="s">
        <v>189</v>
      </c>
      <c r="B59" s="486" t="s">
        <v>190</v>
      </c>
      <c r="C59" s="485" t="s">
        <v>1116</v>
      </c>
      <c r="D59" s="1314">
        <v>11.8</v>
      </c>
      <c r="E59" s="159" t="str">
        <f t="shared" si="9"/>
        <v>V</v>
      </c>
      <c r="F59" s="302">
        <v>88.106999999999999</v>
      </c>
      <c r="G59" s="158">
        <v>38.090000000000003</v>
      </c>
      <c r="H59" s="158">
        <v>1000000</v>
      </c>
      <c r="I59" s="158">
        <v>4.7999999999999998E-6</v>
      </c>
      <c r="J59" s="158">
        <v>1.9623875715000001E-4</v>
      </c>
      <c r="K59" s="203">
        <v>2.633</v>
      </c>
      <c r="L59" s="158">
        <f t="shared" si="8"/>
        <v>1.5798E-2</v>
      </c>
      <c r="M59" s="158">
        <v>8.7373925367260005E-2</v>
      </c>
      <c r="N59" s="158">
        <v>1.0541495629999999E-5</v>
      </c>
      <c r="O59" s="158">
        <f t="shared" si="10"/>
        <v>0.4668716</v>
      </c>
      <c r="P59" s="158">
        <f t="shared" si="11"/>
        <v>115835.14960119633</v>
      </c>
      <c r="Q59" s="161">
        <f t="shared" si="12"/>
        <v>8.4638792714907864E-6</v>
      </c>
      <c r="R59" s="158">
        <f t="shared" si="13"/>
        <v>39647.510790985703</v>
      </c>
      <c r="S59" s="158">
        <f t="shared" si="14"/>
        <v>38877.582920887813</v>
      </c>
      <c r="T59" s="158">
        <f t="shared" si="15"/>
        <v>8781.5806062145712</v>
      </c>
      <c r="U59" s="307">
        <v>230000</v>
      </c>
      <c r="V59" s="304" t="s">
        <v>1117</v>
      </c>
      <c r="W59" s="303" t="s">
        <v>115</v>
      </c>
      <c r="X59" s="304" t="s">
        <v>115</v>
      </c>
      <c r="Y59" s="303">
        <v>612000</v>
      </c>
      <c r="Z59" s="303">
        <v>170</v>
      </c>
      <c r="AA59" s="305" t="s">
        <v>115</v>
      </c>
    </row>
    <row r="60" spans="1:27" ht="15" customHeight="1">
      <c r="A60" s="136" t="s">
        <v>191</v>
      </c>
      <c r="B60" s="486" t="s">
        <v>192</v>
      </c>
      <c r="C60" s="485" t="s">
        <v>1116</v>
      </c>
      <c r="D60" s="1314">
        <v>305</v>
      </c>
      <c r="E60" s="159" t="str">
        <f t="shared" si="9"/>
        <v>V</v>
      </c>
      <c r="F60" s="302">
        <v>321.98</v>
      </c>
      <c r="G60" s="171">
        <v>1.5E-9</v>
      </c>
      <c r="H60" s="158">
        <v>2.0000000000000001E-4</v>
      </c>
      <c r="I60" s="158">
        <v>5.0000000000000002E-5</v>
      </c>
      <c r="J60" s="158">
        <v>2.0441537203599999E-3</v>
      </c>
      <c r="K60" s="203">
        <v>249100</v>
      </c>
      <c r="L60" s="158">
        <f t="shared" si="8"/>
        <v>1494.6000000000001</v>
      </c>
      <c r="M60" s="158">
        <v>4.702781760086E-2</v>
      </c>
      <c r="N60" s="158">
        <v>6.7567513486299998E-6</v>
      </c>
      <c r="O60" s="158">
        <f t="shared" si="10"/>
        <v>41350.910349999998</v>
      </c>
      <c r="P60" s="158">
        <f t="shared" si="11"/>
        <v>0.29894007739500256</v>
      </c>
      <c r="Q60" s="161">
        <f t="shared" si="12"/>
        <v>3.4552257925868625E-9</v>
      </c>
      <c r="R60" s="158">
        <f t="shared" si="13"/>
        <v>1962286.6059655673</v>
      </c>
      <c r="S60" s="158">
        <f t="shared" si="14"/>
        <v>1924180.3259769583</v>
      </c>
      <c r="T60" s="158">
        <f t="shared" si="15"/>
        <v>434629.505333276</v>
      </c>
      <c r="U60" s="307" t="s">
        <v>115</v>
      </c>
      <c r="V60" s="304" t="s">
        <v>115</v>
      </c>
      <c r="W60" s="303" t="s">
        <v>115</v>
      </c>
      <c r="X60" s="304" t="s">
        <v>115</v>
      </c>
      <c r="Y60" s="303" t="s">
        <v>115</v>
      </c>
      <c r="Z60" s="303" t="s">
        <v>115</v>
      </c>
      <c r="AA60" s="305" t="s">
        <v>115</v>
      </c>
    </row>
    <row r="61" spans="1:27" ht="15" customHeight="1">
      <c r="A61" s="136" t="s">
        <v>193</v>
      </c>
      <c r="B61" s="486" t="s">
        <v>194</v>
      </c>
      <c r="C61" s="485" t="s">
        <v>1116</v>
      </c>
      <c r="D61" s="1314">
        <v>106</v>
      </c>
      <c r="E61" s="159" t="str">
        <f t="shared" si="9"/>
        <v>V</v>
      </c>
      <c r="F61" s="302">
        <v>406.93</v>
      </c>
      <c r="G61" s="158">
        <v>1.73E-7</v>
      </c>
      <c r="H61" s="158">
        <v>0.32500000000000001</v>
      </c>
      <c r="I61" s="158">
        <v>6.4999999999999994E-5</v>
      </c>
      <c r="J61" s="158">
        <v>2.65739983647E-3</v>
      </c>
      <c r="K61" s="203">
        <v>6761</v>
      </c>
      <c r="L61" s="158">
        <f t="shared" si="8"/>
        <v>40.566000000000003</v>
      </c>
      <c r="M61" s="158">
        <v>2.2484548455469999E-2</v>
      </c>
      <c r="N61" s="158">
        <v>5.76284853659E-6</v>
      </c>
      <c r="O61" s="158">
        <f t="shared" si="10"/>
        <v>1122.7294549999999</v>
      </c>
      <c r="P61" s="158">
        <f t="shared" si="11"/>
        <v>13.21661349694277</v>
      </c>
      <c r="Q61" s="161">
        <f t="shared" si="12"/>
        <v>7.9178445281364012E-8</v>
      </c>
      <c r="R61" s="158">
        <f t="shared" si="13"/>
        <v>409918.17169956153</v>
      </c>
      <c r="S61" s="158">
        <f t="shared" si="14"/>
        <v>401957.83778314269</v>
      </c>
      <c r="T61" s="158">
        <f t="shared" si="15"/>
        <v>90793.328380914245</v>
      </c>
      <c r="U61" s="307" t="s">
        <v>115</v>
      </c>
      <c r="V61" s="304" t="s">
        <v>115</v>
      </c>
      <c r="W61" s="303" t="s">
        <v>115</v>
      </c>
      <c r="X61" s="304" t="s">
        <v>115</v>
      </c>
      <c r="Y61" s="303" t="s">
        <v>115</v>
      </c>
      <c r="Z61" s="303" t="s">
        <v>115</v>
      </c>
      <c r="AA61" s="305" t="s">
        <v>115</v>
      </c>
    </row>
    <row r="62" spans="1:27" ht="15" customHeight="1">
      <c r="A62" s="136" t="s">
        <v>195</v>
      </c>
      <c r="B62" s="486" t="s">
        <v>196</v>
      </c>
      <c r="C62" s="485" t="s">
        <v>1116</v>
      </c>
      <c r="D62" s="1314">
        <v>226</v>
      </c>
      <c r="E62" s="159" t="str">
        <f t="shared" si="9"/>
        <v>NV</v>
      </c>
      <c r="F62" s="302">
        <v>380.91</v>
      </c>
      <c r="G62" s="158">
        <v>3.0000000000000001E-6</v>
      </c>
      <c r="H62" s="158">
        <v>0.25</v>
      </c>
      <c r="I62" s="158">
        <v>6.3600000000000001E-6</v>
      </c>
      <c r="J62" s="158">
        <v>2.6001635323E-4</v>
      </c>
      <c r="K62" s="203">
        <v>20090</v>
      </c>
      <c r="L62" s="158">
        <f t="shared" si="8"/>
        <v>120.54</v>
      </c>
      <c r="M62" s="158">
        <v>3.615807917628E-2</v>
      </c>
      <c r="N62" s="158">
        <v>4.22478609323E-6</v>
      </c>
      <c r="O62" s="158">
        <f t="shared" si="10"/>
        <v>3334.9794765199999</v>
      </c>
      <c r="P62" s="158">
        <f t="shared" si="11"/>
        <v>30.160012305805399</v>
      </c>
      <c r="Q62" s="161" t="str">
        <f t="shared" si="12"/>
        <v>--</v>
      </c>
      <c r="R62" s="158" t="str">
        <f t="shared" si="13"/>
        <v>--</v>
      </c>
      <c r="S62" s="158" t="str">
        <f t="shared" si="14"/>
        <v>--</v>
      </c>
      <c r="T62" s="158" t="str">
        <f t="shared" si="15"/>
        <v>--</v>
      </c>
      <c r="U62" s="307">
        <v>41</v>
      </c>
      <c r="V62" s="304" t="s">
        <v>1118</v>
      </c>
      <c r="W62" s="303">
        <v>410</v>
      </c>
      <c r="X62" s="304" t="s">
        <v>1118</v>
      </c>
      <c r="Y62" s="303" t="s">
        <v>115</v>
      </c>
      <c r="Z62" s="303" t="s">
        <v>115</v>
      </c>
      <c r="AA62" s="305" t="s">
        <v>115</v>
      </c>
    </row>
    <row r="63" spans="1:27" ht="15" customHeight="1">
      <c r="A63" s="136" t="s">
        <v>197</v>
      </c>
      <c r="B63" s="486" t="s">
        <v>198</v>
      </c>
      <c r="C63" s="485" t="s">
        <v>1116</v>
      </c>
      <c r="D63" s="1314">
        <v>-94.9</v>
      </c>
      <c r="E63" s="159" t="str">
        <f t="shared" si="9"/>
        <v>V</v>
      </c>
      <c r="F63" s="302">
        <v>106.17</v>
      </c>
      <c r="G63" s="158">
        <v>9.6</v>
      </c>
      <c r="H63" s="158">
        <v>169</v>
      </c>
      <c r="I63" s="158">
        <v>7.8799999999999999E-3</v>
      </c>
      <c r="J63" s="158">
        <v>0.32215862632870002</v>
      </c>
      <c r="K63" s="203">
        <v>446.1</v>
      </c>
      <c r="L63" s="158">
        <f t="shared" si="8"/>
        <v>2.6766000000000001</v>
      </c>
      <c r="M63" s="158">
        <v>6.8465204860710005E-2</v>
      </c>
      <c r="N63" s="158">
        <v>8.45583214768E-6</v>
      </c>
      <c r="O63" s="158">
        <f t="shared" si="10"/>
        <v>122.96376000000001</v>
      </c>
      <c r="P63" s="158">
        <f t="shared" si="11"/>
        <v>479.55224727214767</v>
      </c>
      <c r="Q63" s="161">
        <f t="shared" si="12"/>
        <v>4.1414319648574522E-4</v>
      </c>
      <c r="R63" s="158">
        <f t="shared" si="13"/>
        <v>5667.9419074566149</v>
      </c>
      <c r="S63" s="158">
        <f t="shared" si="14"/>
        <v>5557.874305390691</v>
      </c>
      <c r="T63" s="158">
        <f t="shared" si="15"/>
        <v>1255.4000929356805</v>
      </c>
      <c r="U63" s="307">
        <v>30</v>
      </c>
      <c r="V63" s="304" t="s">
        <v>1121</v>
      </c>
      <c r="W63" s="303">
        <v>300</v>
      </c>
      <c r="X63" s="304" t="s">
        <v>1121</v>
      </c>
      <c r="Y63" s="303">
        <v>2000</v>
      </c>
      <c r="Z63" s="303">
        <v>0.45</v>
      </c>
      <c r="AA63" s="305" t="s">
        <v>115</v>
      </c>
    </row>
    <row r="64" spans="1:27" ht="15" customHeight="1">
      <c r="A64" s="136" t="s">
        <v>199</v>
      </c>
      <c r="B64" s="486" t="s">
        <v>200</v>
      </c>
      <c r="C64" s="485" t="s">
        <v>1116</v>
      </c>
      <c r="D64" s="1314">
        <v>95.5</v>
      </c>
      <c r="E64" s="159" t="str">
        <f t="shared" si="9"/>
        <v>V</v>
      </c>
      <c r="F64" s="302">
        <v>373.32</v>
      </c>
      <c r="G64" s="158">
        <v>4.0000000000000002E-4</v>
      </c>
      <c r="H64" s="158">
        <v>0.18</v>
      </c>
      <c r="I64" s="158">
        <v>2.9399999999999999E-4</v>
      </c>
      <c r="J64" s="158">
        <v>1.201962387572E-2</v>
      </c>
      <c r="K64" s="203">
        <v>41260</v>
      </c>
      <c r="L64" s="158">
        <f t="shared" si="8"/>
        <v>247.56</v>
      </c>
      <c r="M64" s="158">
        <v>2.2344145812679999E-2</v>
      </c>
      <c r="N64" s="158">
        <v>5.6959059373100003E-6</v>
      </c>
      <c r="O64" s="158">
        <f t="shared" si="10"/>
        <v>6850.9848580000007</v>
      </c>
      <c r="P64" s="158">
        <f t="shared" si="11"/>
        <v>44.5792095743532</v>
      </c>
      <c r="Q64" s="161">
        <f t="shared" si="12"/>
        <v>5.7920340840273969E-8</v>
      </c>
      <c r="R64" s="158">
        <f t="shared" si="13"/>
        <v>479275.35941156687</v>
      </c>
      <c r="S64" s="158">
        <f t="shared" si="14"/>
        <v>469968.15577380289</v>
      </c>
      <c r="T64" s="158">
        <f t="shared" si="15"/>
        <v>106155.34537421829</v>
      </c>
      <c r="U64" s="307">
        <v>20</v>
      </c>
      <c r="V64" s="304" t="s">
        <v>1118</v>
      </c>
      <c r="W64" s="303">
        <v>200</v>
      </c>
      <c r="X64" s="304" t="s">
        <v>1118</v>
      </c>
      <c r="Y64" s="303">
        <v>300</v>
      </c>
      <c r="Z64" s="303">
        <v>0.02</v>
      </c>
      <c r="AA64" s="305" t="s">
        <v>115</v>
      </c>
    </row>
    <row r="65" spans="1:27" ht="15" customHeight="1">
      <c r="A65" s="136" t="s">
        <v>201</v>
      </c>
      <c r="B65" s="486" t="s">
        <v>202</v>
      </c>
      <c r="C65" s="485" t="s">
        <v>1116</v>
      </c>
      <c r="D65" s="1314">
        <v>160</v>
      </c>
      <c r="E65" s="159" t="str">
        <f t="shared" si="9"/>
        <v>V</v>
      </c>
      <c r="F65" s="302">
        <v>389.32</v>
      </c>
      <c r="G65" s="158">
        <v>1.95E-5</v>
      </c>
      <c r="H65" s="158">
        <v>0.2</v>
      </c>
      <c r="I65" s="158">
        <v>2.0999999999999999E-5</v>
      </c>
      <c r="J65" s="158">
        <v>8.5854456255E-4</v>
      </c>
      <c r="K65" s="203">
        <v>10110</v>
      </c>
      <c r="L65" s="158">
        <f t="shared" si="8"/>
        <v>60.660000000000004</v>
      </c>
      <c r="M65" s="158">
        <v>2.4000609906139999E-2</v>
      </c>
      <c r="N65" s="158">
        <v>6.2475215534999998E-6</v>
      </c>
      <c r="O65" s="158">
        <f t="shared" si="10"/>
        <v>1678.390347</v>
      </c>
      <c r="P65" s="158">
        <f t="shared" si="11"/>
        <v>12.152032505901049</v>
      </c>
      <c r="Q65" s="161">
        <f t="shared" si="12"/>
        <v>1.8720574708705885E-8</v>
      </c>
      <c r="R65" s="158">
        <f t="shared" si="13"/>
        <v>843026.19095226168</v>
      </c>
      <c r="S65" s="158">
        <f t="shared" si="14"/>
        <v>826655.19194911129</v>
      </c>
      <c r="T65" s="158">
        <f t="shared" si="15"/>
        <v>186723.00735410862</v>
      </c>
      <c r="U65" s="307" t="s">
        <v>115</v>
      </c>
      <c r="V65" s="304" t="s">
        <v>115</v>
      </c>
      <c r="W65" s="303" t="s">
        <v>115</v>
      </c>
      <c r="X65" s="304" t="s">
        <v>115</v>
      </c>
      <c r="Y65" s="303">
        <v>300</v>
      </c>
      <c r="Z65" s="303">
        <v>1.9E-2</v>
      </c>
      <c r="AA65" s="305" t="s">
        <v>115</v>
      </c>
    </row>
    <row r="66" spans="1:27" ht="15" customHeight="1">
      <c r="A66" s="136" t="s">
        <v>203</v>
      </c>
      <c r="B66" s="486" t="s">
        <v>204</v>
      </c>
      <c r="C66" s="485" t="s">
        <v>1116</v>
      </c>
      <c r="D66" s="1314">
        <v>231.8</v>
      </c>
      <c r="E66" s="159" t="str">
        <f t="shared" si="9"/>
        <v>V</v>
      </c>
      <c r="F66" s="302">
        <v>284.77999999999997</v>
      </c>
      <c r="G66" s="158">
        <v>1.8E-5</v>
      </c>
      <c r="H66" s="158">
        <v>6.1999999999999998E-3</v>
      </c>
      <c r="I66" s="158">
        <v>1.6999999999999999E-3</v>
      </c>
      <c r="J66" s="158">
        <v>6.9501226492230006E-2</v>
      </c>
      <c r="K66" s="203">
        <v>6195</v>
      </c>
      <c r="L66" s="158">
        <f t="shared" si="8"/>
        <v>37.17</v>
      </c>
      <c r="M66" s="158">
        <v>2.8974507367290001E-2</v>
      </c>
      <c r="N66" s="158">
        <v>7.8497281212200001E-6</v>
      </c>
      <c r="O66" s="158">
        <f t="shared" si="10"/>
        <v>1038.9219000000001</v>
      </c>
      <c r="P66" s="158">
        <f t="shared" si="11"/>
        <v>0.23115557433262882</v>
      </c>
      <c r="Q66" s="161">
        <f t="shared" si="12"/>
        <v>2.8789740876044931E-6</v>
      </c>
      <c r="R66" s="158">
        <f t="shared" si="13"/>
        <v>67980.096692635067</v>
      </c>
      <c r="S66" s="158">
        <f t="shared" si="14"/>
        <v>66659.969148398173</v>
      </c>
      <c r="T66" s="158">
        <f t="shared" si="15"/>
        <v>15057.00324723447</v>
      </c>
      <c r="U66" s="307">
        <v>3000</v>
      </c>
      <c r="V66" s="304" t="s">
        <v>1118</v>
      </c>
      <c r="W66" s="303">
        <v>30000</v>
      </c>
      <c r="X66" s="304" t="s">
        <v>1118</v>
      </c>
      <c r="Y66" s="303" t="s">
        <v>115</v>
      </c>
      <c r="Z66" s="303" t="s">
        <v>115</v>
      </c>
      <c r="AA66" s="305" t="s">
        <v>115</v>
      </c>
    </row>
    <row r="67" spans="1:27" ht="15" customHeight="1">
      <c r="A67" s="136" t="s">
        <v>205</v>
      </c>
      <c r="B67" s="486" t="s">
        <v>206</v>
      </c>
      <c r="C67" s="485" t="s">
        <v>1116</v>
      </c>
      <c r="D67" s="1314">
        <v>-21</v>
      </c>
      <c r="E67" s="159" t="str">
        <f t="shared" si="9"/>
        <v>V</v>
      </c>
      <c r="F67" s="302">
        <v>260.76</v>
      </c>
      <c r="G67" s="158">
        <v>0.22</v>
      </c>
      <c r="H67" s="158">
        <v>3.2</v>
      </c>
      <c r="I67" s="158">
        <v>1.03E-2</v>
      </c>
      <c r="J67" s="158">
        <v>0.42109566639411</v>
      </c>
      <c r="K67" s="203">
        <v>845.2</v>
      </c>
      <c r="L67" s="158">
        <f t="shared" si="8"/>
        <v>5.0712000000000002</v>
      </c>
      <c r="M67" s="158">
        <v>2.674452464823E-2</v>
      </c>
      <c r="N67" s="158">
        <v>7.0264011970200003E-6</v>
      </c>
      <c r="O67" s="158">
        <f t="shared" si="10"/>
        <v>204.2353</v>
      </c>
      <c r="P67" s="158">
        <f t="shared" si="11"/>
        <v>16.802933928220632</v>
      </c>
      <c r="Q67" s="161">
        <f t="shared" si="12"/>
        <v>1.1427547638886722E-4</v>
      </c>
      <c r="R67" s="158">
        <f t="shared" si="13"/>
        <v>10790.066859545672</v>
      </c>
      <c r="S67" s="158">
        <f t="shared" si="14"/>
        <v>10580.531051883499</v>
      </c>
      <c r="T67" s="158">
        <f t="shared" si="15"/>
        <v>2389.9064527170303</v>
      </c>
      <c r="U67" s="307">
        <v>6</v>
      </c>
      <c r="V67" s="304" t="s">
        <v>1118</v>
      </c>
      <c r="W67" s="303">
        <v>60</v>
      </c>
      <c r="X67" s="304" t="s">
        <v>1118</v>
      </c>
      <c r="Y67" s="303">
        <v>12000</v>
      </c>
      <c r="Z67" s="303">
        <v>1.1000000000000001</v>
      </c>
      <c r="AA67" s="305" t="s">
        <v>115</v>
      </c>
    </row>
    <row r="68" spans="1:27" ht="15" customHeight="1">
      <c r="A68" s="306" t="s">
        <v>1123</v>
      </c>
      <c r="B68" s="486" t="s">
        <v>208</v>
      </c>
      <c r="C68" s="485" t="s">
        <v>1116</v>
      </c>
      <c r="D68" s="1314">
        <v>112.5</v>
      </c>
      <c r="E68" s="159" t="str">
        <f t="shared" si="9"/>
        <v>NV</v>
      </c>
      <c r="F68" s="302">
        <v>290.83</v>
      </c>
      <c r="G68" s="158">
        <v>4.1999999999999998E-5</v>
      </c>
      <c r="H68" s="158">
        <v>7.3</v>
      </c>
      <c r="I68" s="158">
        <v>5.1399999999999999E-6</v>
      </c>
      <c r="J68" s="158">
        <v>2.1013900245E-4</v>
      </c>
      <c r="K68" s="203">
        <v>2807</v>
      </c>
      <c r="L68" s="158">
        <f t="shared" si="8"/>
        <v>16.841999999999999</v>
      </c>
      <c r="M68" s="158">
        <v>4.3284007679819998E-2</v>
      </c>
      <c r="N68" s="158">
        <v>5.0573945815400002E-6</v>
      </c>
      <c r="O68" s="158">
        <f t="shared" si="10"/>
        <v>465.99390398000003</v>
      </c>
      <c r="P68" s="158">
        <f t="shared" si="11"/>
        <v>123.67689040152833</v>
      </c>
      <c r="Q68" s="161" t="str">
        <f t="shared" si="12"/>
        <v>--</v>
      </c>
      <c r="R68" s="158" t="str">
        <f t="shared" si="13"/>
        <v>--</v>
      </c>
      <c r="S68" s="158" t="str">
        <f t="shared" si="14"/>
        <v>--</v>
      </c>
      <c r="T68" s="158" t="str">
        <f t="shared" si="15"/>
        <v>--</v>
      </c>
      <c r="U68" s="307">
        <v>12000</v>
      </c>
      <c r="V68" s="304" t="s">
        <v>1118</v>
      </c>
      <c r="W68" s="303">
        <v>120000</v>
      </c>
      <c r="X68" s="304" t="s">
        <v>1118</v>
      </c>
      <c r="Y68" s="303" t="s">
        <v>115</v>
      </c>
      <c r="Z68" s="303" t="s">
        <v>115</v>
      </c>
      <c r="AA68" s="305" t="s">
        <v>115</v>
      </c>
    </row>
    <row r="69" spans="1:27" ht="15" customHeight="1">
      <c r="A69" s="136" t="s">
        <v>209</v>
      </c>
      <c r="B69" s="486" t="s">
        <v>210</v>
      </c>
      <c r="C69" s="485" t="s">
        <v>1116</v>
      </c>
      <c r="D69" s="1314">
        <v>187</v>
      </c>
      <c r="E69" s="159" t="str">
        <f t="shared" si="9"/>
        <v>V</v>
      </c>
      <c r="F69" s="302">
        <v>236.74</v>
      </c>
      <c r="G69" s="158">
        <v>0.21</v>
      </c>
      <c r="H69" s="158">
        <v>50</v>
      </c>
      <c r="I69" s="158">
        <v>3.8899999999999998E-3</v>
      </c>
      <c r="J69" s="158">
        <v>0.15903515944398999</v>
      </c>
      <c r="K69" s="203">
        <v>196.8</v>
      </c>
      <c r="L69" s="158">
        <f t="shared" si="8"/>
        <v>1.1808000000000001</v>
      </c>
      <c r="M69" s="158">
        <v>3.2093777507060002E-2</v>
      </c>
      <c r="N69" s="158">
        <v>8.89039803366E-6</v>
      </c>
      <c r="O69" s="158">
        <f t="shared" si="10"/>
        <v>56.814030000000002</v>
      </c>
      <c r="P69" s="158">
        <f t="shared" si="11"/>
        <v>65.545332798510728</v>
      </c>
      <c r="Q69" s="161">
        <f t="shared" si="12"/>
        <v>2.0747825457514973E-4</v>
      </c>
      <c r="R69" s="158">
        <f t="shared" si="13"/>
        <v>8007.8211168902399</v>
      </c>
      <c r="S69" s="158">
        <f t="shared" si="14"/>
        <v>7852.3146416122499</v>
      </c>
      <c r="T69" s="158">
        <f t="shared" si="15"/>
        <v>1773.6630929704463</v>
      </c>
      <c r="U69" s="307">
        <v>10</v>
      </c>
      <c r="V69" s="304" t="s">
        <v>1117</v>
      </c>
      <c r="W69" s="303">
        <v>100</v>
      </c>
      <c r="X69" s="304" t="s">
        <v>1118</v>
      </c>
      <c r="Y69" s="303" t="s">
        <v>115</v>
      </c>
      <c r="Z69" s="303" t="s">
        <v>115</v>
      </c>
      <c r="AA69" s="305" t="s">
        <v>115</v>
      </c>
    </row>
    <row r="70" spans="1:27" ht="15" customHeight="1">
      <c r="A70" s="136" t="s">
        <v>211</v>
      </c>
      <c r="B70" s="486" t="s">
        <v>212</v>
      </c>
      <c r="C70" s="485" t="s">
        <v>1119</v>
      </c>
      <c r="D70" s="1314">
        <v>327.46199999999999</v>
      </c>
      <c r="E70" s="159" t="str">
        <f t="shared" ref="E70:E111" si="16">IF(OR(G70="--",I70="--"),"NV",IF(OR(G70&gt;1,I70&gt;0.00001),"V","NV"))</f>
        <v>NV</v>
      </c>
      <c r="F70" s="302">
        <v>207.2</v>
      </c>
      <c r="G70" s="171" t="s">
        <v>115</v>
      </c>
      <c r="H70" s="171" t="s">
        <v>115</v>
      </c>
      <c r="I70" s="171" t="s">
        <v>115</v>
      </c>
      <c r="J70" s="171" t="s">
        <v>115</v>
      </c>
      <c r="K70" s="171" t="s">
        <v>115</v>
      </c>
      <c r="L70" s="158">
        <v>900</v>
      </c>
      <c r="M70" s="158">
        <v>6.6375585418489993E-2</v>
      </c>
      <c r="N70" s="158">
        <v>2.6502386730000001E-5</v>
      </c>
      <c r="O70" s="158" t="str">
        <f t="shared" ref="O70:O94" si="17">IF(OR(K70="--",I70="--"), "--",(6207*I70)+(0.166*K70))</f>
        <v>--</v>
      </c>
      <c r="P70" s="158" t="str">
        <f t="shared" ref="P70:P95" si="18">IF(OR(H70="--",J70="--"),"--",((H70/Ds)*((L70*Ds)+Pw+(J70*Pa))))</f>
        <v>--</v>
      </c>
      <c r="Q70" s="161" t="str">
        <f t="shared" ref="Q70:Q101" si="19">IF(OR(M70="--",L70="--"),"--",(IF(E70="V",(((((Pa^(10/3))*M70*J70)+((Pw^(10/3))*N70))/(Pt^2))/((Ds*L70)+Pw+(Pa*J70))),"--")))</f>
        <v>--</v>
      </c>
      <c r="R70" s="158" t="str">
        <f t="shared" ref="R70:R101" si="20">IF(Q70="--","--",IF(E70="V",68.18*(PI()*Q70*26*365*24*60*60)^0.5*0.0001/(2*Ds*Q70),"--"))</f>
        <v>--</v>
      </c>
      <c r="S70" s="158" t="str">
        <f t="shared" ref="S70:S101" si="21">IF(Q70="--","--",IF(E70="V",68.18*(PI()*Q70*25*365*24*60*60)^0.5*0.0001/(2*Ds*Q70),"--"))</f>
        <v>--</v>
      </c>
      <c r="T70" s="158" t="str">
        <f t="shared" ref="T70:T101" si="22">IF(Q70="--","--",IF(E70="V",(((PI()*Q70*365*24*60*60)^0.5)/(2*Ds*Q70))*14.31*(1/0.18584)*0.0001,"--"))</f>
        <v>--</v>
      </c>
      <c r="U70" s="307" t="s">
        <v>115</v>
      </c>
      <c r="V70" s="304" t="s">
        <v>115</v>
      </c>
      <c r="W70" s="303" t="s">
        <v>115</v>
      </c>
      <c r="X70" s="304" t="s">
        <v>115</v>
      </c>
      <c r="Y70" s="303" t="s">
        <v>115</v>
      </c>
      <c r="Z70" s="303" t="s">
        <v>115</v>
      </c>
      <c r="AA70" s="305" t="s">
        <v>495</v>
      </c>
    </row>
    <row r="71" spans="1:27" ht="15" customHeight="1">
      <c r="A71" s="136" t="s">
        <v>213</v>
      </c>
      <c r="B71" s="486" t="s">
        <v>214</v>
      </c>
      <c r="C71" s="485" t="s">
        <v>1119</v>
      </c>
      <c r="D71" s="1314">
        <v>-38.799999999999997</v>
      </c>
      <c r="E71" s="159" t="str">
        <f>IF(OR(G71="--",I71="--"),"NV",IF(OR(G71&gt;1,I71&gt;0.00001),"V","NV"))</f>
        <v>V</v>
      </c>
      <c r="F71" s="302">
        <v>200.59</v>
      </c>
      <c r="G71" s="158">
        <v>1.9580000000000001E-3</v>
      </c>
      <c r="H71" s="171">
        <v>0.06</v>
      </c>
      <c r="I71" s="171">
        <v>8.6219999999999995E-3</v>
      </c>
      <c r="J71" s="171">
        <v>0.35199999999999998</v>
      </c>
      <c r="K71" s="171" t="s">
        <v>115</v>
      </c>
      <c r="L71" s="158">
        <v>52</v>
      </c>
      <c r="M71" s="158">
        <v>7.1497446729660005E-2</v>
      </c>
      <c r="N71" s="158">
        <v>3.0111625910000001E-5</v>
      </c>
      <c r="O71" s="158" t="str">
        <f t="shared" si="17"/>
        <v>--</v>
      </c>
      <c r="P71" s="158">
        <f t="shared" si="18"/>
        <v>3.1299981886792456</v>
      </c>
      <c r="Q71" s="161">
        <f t="shared" si="19"/>
        <v>2.5706474070503171E-5</v>
      </c>
      <c r="R71" s="158">
        <f t="shared" si="20"/>
        <v>22749.895168777199</v>
      </c>
      <c r="S71" s="158">
        <f t="shared" si="21"/>
        <v>22308.107576497147</v>
      </c>
      <c r="T71" s="158">
        <f t="shared" si="22"/>
        <v>5038.9049456535013</v>
      </c>
      <c r="U71" s="307" t="s">
        <v>115</v>
      </c>
      <c r="V71" s="304" t="s">
        <v>115</v>
      </c>
      <c r="W71" s="303" t="s">
        <v>115</v>
      </c>
      <c r="X71" s="304" t="s">
        <v>115</v>
      </c>
      <c r="Y71" s="303" t="s">
        <v>115</v>
      </c>
      <c r="Z71" s="303" t="s">
        <v>115</v>
      </c>
      <c r="AA71" s="305" t="s">
        <v>115</v>
      </c>
    </row>
    <row r="72" spans="1:27" ht="15" customHeight="1">
      <c r="A72" s="136" t="s">
        <v>215</v>
      </c>
      <c r="B72" s="486" t="s">
        <v>216</v>
      </c>
      <c r="C72" s="485" t="s">
        <v>1116</v>
      </c>
      <c r="D72" s="1314">
        <v>87</v>
      </c>
      <c r="E72" s="159" t="str">
        <f t="shared" si="16"/>
        <v>NV</v>
      </c>
      <c r="F72" s="302">
        <v>345.66</v>
      </c>
      <c r="G72" s="158">
        <v>2.5799999999999999E-6</v>
      </c>
      <c r="H72" s="158">
        <v>0.1</v>
      </c>
      <c r="I72" s="158">
        <v>2.03E-7</v>
      </c>
      <c r="J72" s="158">
        <v>8.2992641046599993E-6</v>
      </c>
      <c r="K72" s="203">
        <v>26890</v>
      </c>
      <c r="L72" s="158">
        <f>K72*Foc</f>
        <v>161.34</v>
      </c>
      <c r="M72" s="158">
        <v>2.208485798774E-2</v>
      </c>
      <c r="N72" s="158">
        <v>5.5926000699000002E-6</v>
      </c>
      <c r="O72" s="158">
        <f t="shared" si="17"/>
        <v>4463.741260021</v>
      </c>
      <c r="P72" s="158">
        <f t="shared" si="18"/>
        <v>16.144000157111854</v>
      </c>
      <c r="Q72" s="161" t="str">
        <f t="shared" si="19"/>
        <v>--</v>
      </c>
      <c r="R72" s="158" t="str">
        <f t="shared" si="20"/>
        <v>--</v>
      </c>
      <c r="S72" s="158" t="str">
        <f t="shared" si="21"/>
        <v>--</v>
      </c>
      <c r="T72" s="158" t="str">
        <f t="shared" si="22"/>
        <v>--</v>
      </c>
      <c r="U72" s="307">
        <v>4700</v>
      </c>
      <c r="V72" s="304" t="s">
        <v>1117</v>
      </c>
      <c r="W72" s="303">
        <v>47000</v>
      </c>
      <c r="X72" s="304" t="s">
        <v>1118</v>
      </c>
      <c r="Y72" s="303" t="s">
        <v>115</v>
      </c>
      <c r="Z72" s="303" t="s">
        <v>115</v>
      </c>
      <c r="AA72" s="305" t="s">
        <v>115</v>
      </c>
    </row>
    <row r="73" spans="1:27" ht="15" customHeight="1">
      <c r="A73" s="136" t="s">
        <v>217</v>
      </c>
      <c r="B73" s="486" t="s">
        <v>218</v>
      </c>
      <c r="C73" s="485" t="s">
        <v>1116</v>
      </c>
      <c r="D73" s="1314">
        <v>-95.1</v>
      </c>
      <c r="E73" s="159" t="str">
        <f t="shared" si="16"/>
        <v>V</v>
      </c>
      <c r="F73" s="302">
        <v>84.933000000000007</v>
      </c>
      <c r="G73" s="158">
        <v>435</v>
      </c>
      <c r="H73" s="158">
        <v>13000</v>
      </c>
      <c r="I73" s="158">
        <v>3.2499999999999999E-3</v>
      </c>
      <c r="J73" s="158">
        <v>0.13286999182338999</v>
      </c>
      <c r="K73" s="203">
        <v>21.73</v>
      </c>
      <c r="L73" s="158">
        <f>K73*Foc</f>
        <v>0.13038</v>
      </c>
      <c r="M73" s="158">
        <v>9.9936173679349996E-2</v>
      </c>
      <c r="N73" s="158">
        <v>1.251612491E-5</v>
      </c>
      <c r="O73" s="158">
        <f t="shared" si="17"/>
        <v>23.77993</v>
      </c>
      <c r="P73" s="158">
        <f t="shared" si="18"/>
        <v>3321.9338855376891</v>
      </c>
      <c r="Q73" s="161">
        <f t="shared" si="19"/>
        <v>2.7687963199346821E-3</v>
      </c>
      <c r="R73" s="158">
        <f t="shared" si="20"/>
        <v>2192.0736995712005</v>
      </c>
      <c r="S73" s="158">
        <f t="shared" si="21"/>
        <v>2149.5051094898226</v>
      </c>
      <c r="T73" s="158">
        <f t="shared" si="22"/>
        <v>485.52535842739837</v>
      </c>
      <c r="U73" s="307">
        <v>9100</v>
      </c>
      <c r="V73" s="304" t="s">
        <v>1118</v>
      </c>
      <c r="W73" s="303">
        <v>91000</v>
      </c>
      <c r="X73" s="304" t="s">
        <v>1118</v>
      </c>
      <c r="Y73" s="303">
        <v>560000</v>
      </c>
      <c r="Z73" s="303">
        <v>160</v>
      </c>
      <c r="AA73" s="305" t="s">
        <v>115</v>
      </c>
    </row>
    <row r="74" spans="1:27" ht="15" customHeight="1">
      <c r="A74" s="136" t="s">
        <v>219</v>
      </c>
      <c r="B74" s="486" t="s">
        <v>220</v>
      </c>
      <c r="C74" s="485" t="s">
        <v>1116</v>
      </c>
      <c r="D74" s="1314">
        <v>-86.6</v>
      </c>
      <c r="E74" s="159" t="str">
        <f t="shared" si="16"/>
        <v>V</v>
      </c>
      <c r="F74" s="302">
        <v>72.108000000000004</v>
      </c>
      <c r="G74" s="158">
        <v>90.6</v>
      </c>
      <c r="H74" s="158">
        <v>223000</v>
      </c>
      <c r="I74" s="158">
        <v>5.6900000000000001E-5</v>
      </c>
      <c r="J74" s="158">
        <v>2.3262469337699998E-3</v>
      </c>
      <c r="K74" s="203">
        <v>4.51</v>
      </c>
      <c r="L74" s="158">
        <f>K74*Foc</f>
        <v>2.7060000000000001E-2</v>
      </c>
      <c r="M74" s="158">
        <v>9.1446171641679994E-2</v>
      </c>
      <c r="N74" s="158">
        <v>1.019302571E-5</v>
      </c>
      <c r="O74" s="158">
        <f t="shared" si="17"/>
        <v>1.1018383</v>
      </c>
      <c r="P74" s="158">
        <f t="shared" si="18"/>
        <v>28432.584196814751</v>
      </c>
      <c r="Q74" s="161">
        <f t="shared" si="19"/>
        <v>8.9396926100971934E-5</v>
      </c>
      <c r="R74" s="158">
        <f t="shared" si="20"/>
        <v>12199.425045651595</v>
      </c>
      <c r="S74" s="158">
        <f t="shared" si="21"/>
        <v>11962.520454305772</v>
      </c>
      <c r="T74" s="158">
        <f t="shared" si="22"/>
        <v>2702.0670970400392</v>
      </c>
      <c r="U74" s="307">
        <v>8400</v>
      </c>
      <c r="V74" s="304" t="s">
        <v>1117</v>
      </c>
      <c r="W74" s="303">
        <v>84000</v>
      </c>
      <c r="X74" s="304" t="s">
        <v>1117</v>
      </c>
      <c r="Y74" s="303">
        <v>32000</v>
      </c>
      <c r="Z74" s="303">
        <v>11</v>
      </c>
      <c r="AA74" s="305" t="s">
        <v>115</v>
      </c>
    </row>
    <row r="75" spans="1:27" ht="15" customHeight="1">
      <c r="A75" s="136" t="s">
        <v>221</v>
      </c>
      <c r="B75" s="486" t="s">
        <v>222</v>
      </c>
      <c r="C75" s="485" t="s">
        <v>1116</v>
      </c>
      <c r="D75" s="1314">
        <v>-84</v>
      </c>
      <c r="E75" s="159" t="str">
        <f t="shared" si="16"/>
        <v>V</v>
      </c>
      <c r="F75" s="302">
        <v>100.16</v>
      </c>
      <c r="G75" s="158">
        <v>19.86</v>
      </c>
      <c r="H75" s="158">
        <v>19000</v>
      </c>
      <c r="I75" s="158">
        <v>1.3799999999999999E-4</v>
      </c>
      <c r="J75" s="158">
        <v>5.6418642681899996E-3</v>
      </c>
      <c r="K75" s="203">
        <v>12.6</v>
      </c>
      <c r="L75" s="158">
        <f>K75*Foc</f>
        <v>7.5600000000000001E-2</v>
      </c>
      <c r="M75" s="158">
        <v>6.9779655947430005E-2</v>
      </c>
      <c r="N75" s="158">
        <v>8.3476964852300003E-6</v>
      </c>
      <c r="O75" s="158">
        <f t="shared" si="17"/>
        <v>2.9481660000000001</v>
      </c>
      <c r="P75" s="158">
        <f t="shared" si="18"/>
        <v>3356.6929696539487</v>
      </c>
      <c r="Q75" s="161">
        <f t="shared" si="19"/>
        <v>1.1902262882484791E-4</v>
      </c>
      <c r="R75" s="158">
        <f t="shared" si="20"/>
        <v>10572.699454323003</v>
      </c>
      <c r="S75" s="158">
        <f t="shared" si="21"/>
        <v>10367.384774797076</v>
      </c>
      <c r="T75" s="158">
        <f t="shared" si="22"/>
        <v>2341.7614531434247</v>
      </c>
      <c r="U75" s="307">
        <v>1300</v>
      </c>
      <c r="V75" s="304" t="s">
        <v>1117</v>
      </c>
      <c r="W75" s="303">
        <v>13000</v>
      </c>
      <c r="X75" s="304" t="s">
        <v>1117</v>
      </c>
      <c r="Y75" s="303">
        <v>420</v>
      </c>
      <c r="Z75" s="303">
        <v>0.1</v>
      </c>
      <c r="AA75" s="305" t="s">
        <v>115</v>
      </c>
    </row>
    <row r="76" spans="1:27" ht="15" customHeight="1">
      <c r="A76" s="136" t="s">
        <v>223</v>
      </c>
      <c r="B76" s="486" t="s">
        <v>224</v>
      </c>
      <c r="C76" s="485" t="s">
        <v>1119</v>
      </c>
      <c r="D76" s="1404" t="s">
        <v>115</v>
      </c>
      <c r="E76" s="159" t="str">
        <f t="shared" si="16"/>
        <v>NV</v>
      </c>
      <c r="F76" s="302">
        <v>216.6326</v>
      </c>
      <c r="G76" s="171" t="s">
        <v>115</v>
      </c>
      <c r="H76" s="171" t="s">
        <v>115</v>
      </c>
      <c r="I76" s="171" t="s">
        <v>115</v>
      </c>
      <c r="J76" s="171" t="s">
        <v>115</v>
      </c>
      <c r="K76" s="171" t="s">
        <v>115</v>
      </c>
      <c r="L76" s="158">
        <v>7000</v>
      </c>
      <c r="M76" s="158">
        <v>5.2674981637709999E-2</v>
      </c>
      <c r="N76" s="158">
        <v>6.1546557492500001E-6</v>
      </c>
      <c r="O76" s="158" t="str">
        <f t="shared" si="17"/>
        <v>--</v>
      </c>
      <c r="P76" s="158" t="str">
        <f t="shared" si="18"/>
        <v>--</v>
      </c>
      <c r="Q76" s="161" t="str">
        <f t="shared" si="19"/>
        <v>--</v>
      </c>
      <c r="R76" s="158" t="str">
        <f t="shared" si="20"/>
        <v>--</v>
      </c>
      <c r="S76" s="158" t="str">
        <f t="shared" si="21"/>
        <v>--</v>
      </c>
      <c r="T76" s="158" t="str">
        <f t="shared" si="22"/>
        <v>--</v>
      </c>
      <c r="U76" s="307" t="s">
        <v>115</v>
      </c>
      <c r="V76" s="304" t="s">
        <v>115</v>
      </c>
      <c r="W76" s="303" t="s">
        <v>115</v>
      </c>
      <c r="X76" s="304" t="s">
        <v>115</v>
      </c>
      <c r="Y76" s="303" t="s">
        <v>115</v>
      </c>
      <c r="Z76" s="303" t="s">
        <v>115</v>
      </c>
      <c r="AA76" s="305" t="s">
        <v>115</v>
      </c>
    </row>
    <row r="77" spans="1:27" ht="15" customHeight="1">
      <c r="A77" s="136" t="s">
        <v>225</v>
      </c>
      <c r="B77" s="486" t="s">
        <v>226</v>
      </c>
      <c r="C77" s="485" t="s">
        <v>1116</v>
      </c>
      <c r="D77" s="1314">
        <v>34.4</v>
      </c>
      <c r="E77" s="159" t="str">
        <f t="shared" si="16"/>
        <v>V</v>
      </c>
      <c r="F77" s="302">
        <v>142.19999999999999</v>
      </c>
      <c r="G77" s="158">
        <v>5.5E-2</v>
      </c>
      <c r="H77" s="158">
        <v>24.6</v>
      </c>
      <c r="I77" s="158">
        <v>5.1800000000000001E-4</v>
      </c>
      <c r="J77" s="158">
        <v>2.1177432542929999E-2</v>
      </c>
      <c r="K77" s="203">
        <v>2478</v>
      </c>
      <c r="L77" s="158">
        <f>K77*Foc</f>
        <v>14.868</v>
      </c>
      <c r="M77" s="158">
        <v>5.2431868394069998E-2</v>
      </c>
      <c r="N77" s="158">
        <v>7.7810640904800008E-6</v>
      </c>
      <c r="O77" s="158">
        <f t="shared" si="17"/>
        <v>414.56322599999999</v>
      </c>
      <c r="P77" s="158">
        <f t="shared" si="18"/>
        <v>368.31142290377824</v>
      </c>
      <c r="Q77" s="161">
        <f t="shared" si="19"/>
        <v>3.9544972250442562E-6</v>
      </c>
      <c r="R77" s="158">
        <f t="shared" si="20"/>
        <v>58003.609279094686</v>
      </c>
      <c r="S77" s="158">
        <f t="shared" si="21"/>
        <v>56877.218379406797</v>
      </c>
      <c r="T77" s="158">
        <f t="shared" si="22"/>
        <v>12847.2976026418</v>
      </c>
      <c r="U77" s="307">
        <v>10</v>
      </c>
      <c r="V77" s="304" t="s">
        <v>1118</v>
      </c>
      <c r="W77" s="303">
        <v>100</v>
      </c>
      <c r="X77" s="304" t="s">
        <v>1118</v>
      </c>
      <c r="Y77" s="303">
        <v>68</v>
      </c>
      <c r="Z77" s="303">
        <v>1.15E-2</v>
      </c>
      <c r="AA77" s="305" t="s">
        <v>115</v>
      </c>
    </row>
    <row r="78" spans="1:27" ht="15" customHeight="1">
      <c r="A78" s="136" t="s">
        <v>227</v>
      </c>
      <c r="B78" s="486" t="s">
        <v>228</v>
      </c>
      <c r="C78" s="485" t="s">
        <v>1116</v>
      </c>
      <c r="D78" s="1314">
        <v>-108.6</v>
      </c>
      <c r="E78" s="159" t="str">
        <f t="shared" si="16"/>
        <v>V</v>
      </c>
      <c r="F78" s="302">
        <v>88.150999999999996</v>
      </c>
      <c r="G78" s="158">
        <v>250</v>
      </c>
      <c r="H78" s="158">
        <v>51000</v>
      </c>
      <c r="I78" s="158">
        <v>5.8699999999999996E-4</v>
      </c>
      <c r="J78" s="158">
        <v>2.399836467702E-2</v>
      </c>
      <c r="K78" s="203">
        <v>11.56</v>
      </c>
      <c r="L78" s="158">
        <f>K78*Foc</f>
        <v>6.9360000000000005E-2</v>
      </c>
      <c r="M78" s="158">
        <v>7.5267202926059998E-2</v>
      </c>
      <c r="N78" s="158">
        <v>8.5904153988199992E-6</v>
      </c>
      <c r="O78" s="158">
        <f t="shared" si="17"/>
        <v>5.5624690000000001</v>
      </c>
      <c r="P78" s="158">
        <f t="shared" si="18"/>
        <v>8869.0574189666277</v>
      </c>
      <c r="Q78" s="161">
        <f t="shared" si="19"/>
        <v>5.5368965444951314E-4</v>
      </c>
      <c r="R78" s="158">
        <f t="shared" si="20"/>
        <v>4901.933909002606</v>
      </c>
      <c r="S78" s="158">
        <f t="shared" si="21"/>
        <v>4806.7416646820084</v>
      </c>
      <c r="T78" s="158">
        <f t="shared" si="22"/>
        <v>1085.7359488512961</v>
      </c>
      <c r="U78" s="307">
        <v>5</v>
      </c>
      <c r="V78" s="304" t="s">
        <v>1120</v>
      </c>
      <c r="W78" s="303">
        <v>1800</v>
      </c>
      <c r="X78" s="304" t="s">
        <v>1124</v>
      </c>
      <c r="Y78" s="303">
        <v>530</v>
      </c>
      <c r="Z78" s="303">
        <v>0.13</v>
      </c>
      <c r="AA78" s="305" t="s">
        <v>115</v>
      </c>
    </row>
    <row r="79" spans="1:27" ht="15" customHeight="1">
      <c r="A79" s="136" t="s">
        <v>229</v>
      </c>
      <c r="B79" s="486" t="s">
        <v>230</v>
      </c>
      <c r="C79" s="485" t="s">
        <v>1119</v>
      </c>
      <c r="D79" s="1314">
        <v>2622</v>
      </c>
      <c r="E79" s="159" t="str">
        <f t="shared" si="16"/>
        <v>NV</v>
      </c>
      <c r="F79" s="302">
        <v>95.94</v>
      </c>
      <c r="G79" s="171" t="s">
        <v>115</v>
      </c>
      <c r="H79" s="171" t="s">
        <v>115</v>
      </c>
      <c r="I79" s="171" t="s">
        <v>115</v>
      </c>
      <c r="J79" s="171" t="s">
        <v>115</v>
      </c>
      <c r="K79" s="171" t="s">
        <v>115</v>
      </c>
      <c r="L79" s="158">
        <v>20</v>
      </c>
      <c r="M79" s="158">
        <v>0.19032577117832999</v>
      </c>
      <c r="N79" s="158">
        <v>3.9557792329999998E-5</v>
      </c>
      <c r="O79" s="158" t="str">
        <f t="shared" si="17"/>
        <v>--</v>
      </c>
      <c r="P79" s="158" t="str">
        <f t="shared" si="18"/>
        <v>--</v>
      </c>
      <c r="Q79" s="161" t="str">
        <f t="shared" si="19"/>
        <v>--</v>
      </c>
      <c r="R79" s="158" t="str">
        <f t="shared" si="20"/>
        <v>--</v>
      </c>
      <c r="S79" s="158" t="str">
        <f t="shared" si="21"/>
        <v>--</v>
      </c>
      <c r="T79" s="158" t="str">
        <f t="shared" si="22"/>
        <v>--</v>
      </c>
      <c r="U79" s="307" t="s">
        <v>115</v>
      </c>
      <c r="V79" s="304" t="s">
        <v>115</v>
      </c>
      <c r="W79" s="303" t="s">
        <v>115</v>
      </c>
      <c r="X79" s="304" t="s">
        <v>115</v>
      </c>
      <c r="Y79" s="303" t="s">
        <v>115</v>
      </c>
      <c r="Z79" s="303" t="s">
        <v>115</v>
      </c>
      <c r="AA79" s="305" t="s">
        <v>495</v>
      </c>
    </row>
    <row r="80" spans="1:27" ht="15" customHeight="1">
      <c r="A80" s="136" t="s">
        <v>231</v>
      </c>
      <c r="B80" s="486" t="s">
        <v>232</v>
      </c>
      <c r="C80" s="485" t="s">
        <v>1119</v>
      </c>
      <c r="D80" s="1314">
        <v>1455</v>
      </c>
      <c r="E80" s="159" t="str">
        <f t="shared" si="16"/>
        <v>NV</v>
      </c>
      <c r="F80" s="302">
        <v>58.71</v>
      </c>
      <c r="G80" s="171" t="s">
        <v>115</v>
      </c>
      <c r="H80" s="171" t="s">
        <v>115</v>
      </c>
      <c r="I80" s="171" t="s">
        <v>115</v>
      </c>
      <c r="J80" s="171" t="s">
        <v>115</v>
      </c>
      <c r="K80" s="171" t="s">
        <v>115</v>
      </c>
      <c r="L80" s="158">
        <v>65</v>
      </c>
      <c r="M80" s="158">
        <v>0.24954089593928999</v>
      </c>
      <c r="N80" s="158">
        <v>4.8941641030000001E-5</v>
      </c>
      <c r="O80" s="158" t="str">
        <f t="shared" si="17"/>
        <v>--</v>
      </c>
      <c r="P80" s="158" t="str">
        <f t="shared" si="18"/>
        <v>--</v>
      </c>
      <c r="Q80" s="161" t="str">
        <f t="shared" si="19"/>
        <v>--</v>
      </c>
      <c r="R80" s="158" t="str">
        <f t="shared" si="20"/>
        <v>--</v>
      </c>
      <c r="S80" s="158" t="str">
        <f t="shared" si="21"/>
        <v>--</v>
      </c>
      <c r="T80" s="158" t="str">
        <f t="shared" si="22"/>
        <v>--</v>
      </c>
      <c r="U80" s="307" t="s">
        <v>115</v>
      </c>
      <c r="V80" s="304" t="s">
        <v>115</v>
      </c>
      <c r="W80" s="303" t="s">
        <v>115</v>
      </c>
      <c r="X80" s="304" t="s">
        <v>115</v>
      </c>
      <c r="Y80" s="303" t="s">
        <v>115</v>
      </c>
      <c r="Z80" s="303" t="s">
        <v>115</v>
      </c>
      <c r="AA80" s="305" t="s">
        <v>495</v>
      </c>
    </row>
    <row r="81" spans="1:31" ht="15" customHeight="1">
      <c r="A81" s="2" t="s">
        <v>233</v>
      </c>
      <c r="B81" s="486" t="s">
        <v>234</v>
      </c>
      <c r="C81" s="485" t="s">
        <v>1116</v>
      </c>
      <c r="D81" s="1314">
        <v>93.4</v>
      </c>
      <c r="E81" s="159" t="str">
        <f t="shared" si="16"/>
        <v>V</v>
      </c>
      <c r="F81" s="302">
        <v>154.21</v>
      </c>
      <c r="G81" s="158">
        <v>2.15E-3</v>
      </c>
      <c r="H81" s="158">
        <v>3.9</v>
      </c>
      <c r="I81" s="158">
        <v>1.84E-4</v>
      </c>
      <c r="J81" s="158">
        <v>7.5224856909199998E-3</v>
      </c>
      <c r="K81" s="203">
        <v>5027</v>
      </c>
      <c r="L81" s="158">
        <f t="shared" ref="L81:L94" si="23">K81*Foc</f>
        <v>30.161999999999999</v>
      </c>
      <c r="M81" s="158">
        <v>5.0614313354230001E-2</v>
      </c>
      <c r="N81" s="158">
        <v>8.3300378125399998E-6</v>
      </c>
      <c r="O81" s="158">
        <f t="shared" si="17"/>
        <v>835.62408800000003</v>
      </c>
      <c r="P81" s="158">
        <f t="shared" si="18"/>
        <v>118.02735386537897</v>
      </c>
      <c r="Q81" s="161">
        <f t="shared" si="19"/>
        <v>6.7202829965710872E-7</v>
      </c>
      <c r="R81" s="158">
        <f t="shared" si="20"/>
        <v>140704.13965866429</v>
      </c>
      <c r="S81" s="158">
        <f t="shared" si="21"/>
        <v>137971.76033900262</v>
      </c>
      <c r="T81" s="158">
        <f t="shared" si="22"/>
        <v>31164.749548956835</v>
      </c>
      <c r="U81" s="307">
        <v>20</v>
      </c>
      <c r="V81" s="304" t="s">
        <v>1118</v>
      </c>
      <c r="W81" s="303">
        <v>200</v>
      </c>
      <c r="X81" s="304" t="s">
        <v>1118</v>
      </c>
      <c r="Y81" s="303">
        <v>513</v>
      </c>
      <c r="Z81" s="303">
        <v>0.08</v>
      </c>
      <c r="AA81" s="305" t="s">
        <v>115</v>
      </c>
    </row>
    <row r="82" spans="1:31" ht="15" customHeight="1">
      <c r="A82" s="136" t="s">
        <v>235</v>
      </c>
      <c r="B82" s="486" t="s">
        <v>236</v>
      </c>
      <c r="C82" s="485" t="s">
        <v>1116</v>
      </c>
      <c r="D82" s="1314">
        <v>215</v>
      </c>
      <c r="E82" s="159" t="str">
        <f t="shared" si="16"/>
        <v>V</v>
      </c>
      <c r="F82" s="302">
        <v>178.24</v>
      </c>
      <c r="G82" s="158">
        <v>6.5300000000000002E-6</v>
      </c>
      <c r="H82" s="158">
        <v>4.3400000000000001E-2</v>
      </c>
      <c r="I82" s="158">
        <v>5.5600000000000003E-5</v>
      </c>
      <c r="J82" s="158">
        <v>2.2730989370400002E-3</v>
      </c>
      <c r="K82" s="203">
        <v>16360</v>
      </c>
      <c r="L82" s="158">
        <f t="shared" si="23"/>
        <v>98.16</v>
      </c>
      <c r="M82" s="158">
        <v>3.8973167043099999E-2</v>
      </c>
      <c r="N82" s="158">
        <v>7.8522596013299994E-6</v>
      </c>
      <c r="O82" s="158">
        <f t="shared" si="17"/>
        <v>2716.1051092000002</v>
      </c>
      <c r="P82" s="158">
        <f t="shared" si="18"/>
        <v>4.2645026757236826</v>
      </c>
      <c r="Q82" s="161">
        <f t="shared" si="19"/>
        <v>4.8540945615167627E-8</v>
      </c>
      <c r="R82" s="158">
        <f t="shared" si="20"/>
        <v>523535.98701313284</v>
      </c>
      <c r="S82" s="158">
        <f t="shared" si="21"/>
        <v>513369.27189385064</v>
      </c>
      <c r="T82" s="158">
        <f t="shared" si="22"/>
        <v>115958.69144085627</v>
      </c>
      <c r="U82" s="307" t="s">
        <v>115</v>
      </c>
      <c r="V82" s="304" t="s">
        <v>115</v>
      </c>
      <c r="W82" s="303" t="s">
        <v>115</v>
      </c>
      <c r="X82" s="304" t="s">
        <v>115</v>
      </c>
      <c r="Y82" s="303" t="s">
        <v>115</v>
      </c>
      <c r="Z82" s="303" t="s">
        <v>115</v>
      </c>
      <c r="AA82" s="305" t="s">
        <v>115</v>
      </c>
    </row>
    <row r="83" spans="1:31" ht="15" customHeight="1">
      <c r="A83" s="136" t="s">
        <v>237</v>
      </c>
      <c r="B83" s="486" t="s">
        <v>238</v>
      </c>
      <c r="C83" s="485" t="s">
        <v>1116</v>
      </c>
      <c r="D83" s="1314">
        <v>84</v>
      </c>
      <c r="E83" s="159" t="str">
        <f t="shared" si="16"/>
        <v>V</v>
      </c>
      <c r="F83" s="302">
        <v>228.3</v>
      </c>
      <c r="G83" s="158">
        <v>2.1E-7</v>
      </c>
      <c r="H83" s="158">
        <v>9.4000000000000004E-3</v>
      </c>
      <c r="I83" s="158">
        <v>1.2E-5</v>
      </c>
      <c r="J83" s="158">
        <v>4.9059689289000005E-4</v>
      </c>
      <c r="K83" s="203">
        <v>176900</v>
      </c>
      <c r="L83" s="158">
        <f t="shared" si="23"/>
        <v>1061.4000000000001</v>
      </c>
      <c r="M83" s="158">
        <v>2.6113777679239999E-2</v>
      </c>
      <c r="N83" s="158">
        <v>6.7494732657100002E-6</v>
      </c>
      <c r="O83" s="158">
        <f t="shared" si="17"/>
        <v>29365.474484000002</v>
      </c>
      <c r="P83" s="158">
        <f t="shared" si="18"/>
        <v>9.9781008730156291</v>
      </c>
      <c r="Q83" s="161">
        <f t="shared" si="19"/>
        <v>6.833693336496253E-10</v>
      </c>
      <c r="R83" s="158">
        <f t="shared" si="20"/>
        <v>4412380.0575060016</v>
      </c>
      <c r="S83" s="158">
        <f t="shared" si="21"/>
        <v>4326694.618194377</v>
      </c>
      <c r="T83" s="158">
        <f t="shared" si="22"/>
        <v>977304.00641072146</v>
      </c>
      <c r="U83" s="307" t="s">
        <v>115</v>
      </c>
      <c r="V83" s="304" t="s">
        <v>115</v>
      </c>
      <c r="W83" s="303" t="s">
        <v>115</v>
      </c>
      <c r="X83" s="304" t="s">
        <v>115</v>
      </c>
      <c r="Y83" s="303" t="s">
        <v>115</v>
      </c>
      <c r="Z83" s="303" t="s">
        <v>115</v>
      </c>
      <c r="AA83" s="305" t="s">
        <v>115</v>
      </c>
    </row>
    <row r="84" spans="1:31" ht="15" customHeight="1">
      <c r="A84" s="136" t="s">
        <v>239</v>
      </c>
      <c r="B84" s="486" t="s">
        <v>240</v>
      </c>
      <c r="C84" s="485" t="s">
        <v>1116</v>
      </c>
      <c r="D84" s="1314">
        <v>176.5</v>
      </c>
      <c r="E84" s="159" t="str">
        <f t="shared" si="16"/>
        <v>NV</v>
      </c>
      <c r="F84" s="302">
        <v>252.32</v>
      </c>
      <c r="G84" s="158">
        <v>5.4899999999999999E-9</v>
      </c>
      <c r="H84" s="158">
        <v>1.6199999999999999E-3</v>
      </c>
      <c r="I84" s="158">
        <v>4.5699999999999998E-7</v>
      </c>
      <c r="J84" s="158">
        <v>1.8683564999999999E-5</v>
      </c>
      <c r="K84" s="203">
        <v>587400</v>
      </c>
      <c r="L84" s="158">
        <f t="shared" si="23"/>
        <v>3524.4</v>
      </c>
      <c r="M84" s="158">
        <v>2.547643760558E-2</v>
      </c>
      <c r="N84" s="158">
        <v>6.58406296339E-6</v>
      </c>
      <c r="O84" s="158">
        <f t="shared" si="17"/>
        <v>97508.402836599009</v>
      </c>
      <c r="P84" s="158">
        <f t="shared" si="18"/>
        <v>5.7096900057298612</v>
      </c>
      <c r="Q84" s="161" t="str">
        <f t="shared" si="19"/>
        <v>--</v>
      </c>
      <c r="R84" s="158" t="str">
        <f t="shared" si="20"/>
        <v>--</v>
      </c>
      <c r="S84" s="158" t="str">
        <f t="shared" si="21"/>
        <v>--</v>
      </c>
      <c r="T84" s="158" t="str">
        <f t="shared" si="22"/>
        <v>--</v>
      </c>
      <c r="U84" s="307" t="s">
        <v>115</v>
      </c>
      <c r="V84" s="304" t="s">
        <v>115</v>
      </c>
      <c r="W84" s="303" t="s">
        <v>115</v>
      </c>
      <c r="X84" s="304" t="s">
        <v>115</v>
      </c>
      <c r="Y84" s="303" t="s">
        <v>115</v>
      </c>
      <c r="Z84" s="303" t="s">
        <v>115</v>
      </c>
      <c r="AA84" s="305" t="s">
        <v>115</v>
      </c>
    </row>
    <row r="85" spans="1:31" ht="15" customHeight="1">
      <c r="A85" s="136" t="s">
        <v>241</v>
      </c>
      <c r="B85" s="486" t="s">
        <v>242</v>
      </c>
      <c r="C85" s="485" t="s">
        <v>1116</v>
      </c>
      <c r="D85" s="1314">
        <v>168</v>
      </c>
      <c r="E85" s="159" t="str">
        <f t="shared" si="16"/>
        <v>NV</v>
      </c>
      <c r="F85" s="302">
        <v>252.32</v>
      </c>
      <c r="G85" s="158">
        <v>4.9999999999999998E-7</v>
      </c>
      <c r="H85" s="158">
        <v>1.5E-3</v>
      </c>
      <c r="I85" s="158">
        <v>6.5700000000000002E-7</v>
      </c>
      <c r="J85" s="158">
        <v>2.6860179890000001E-5</v>
      </c>
      <c r="K85" s="203">
        <v>599400</v>
      </c>
      <c r="L85" s="158">
        <f t="shared" si="23"/>
        <v>3596.4</v>
      </c>
      <c r="M85" s="158">
        <v>2.502243175992E-2</v>
      </c>
      <c r="N85" s="158">
        <v>6.4337884593199996E-6</v>
      </c>
      <c r="O85" s="158">
        <f t="shared" si="17"/>
        <v>99500.404077999003</v>
      </c>
      <c r="P85" s="158">
        <f t="shared" si="18"/>
        <v>5.3947500076272776</v>
      </c>
      <c r="Q85" s="161" t="str">
        <f t="shared" si="19"/>
        <v>--</v>
      </c>
      <c r="R85" s="158" t="str">
        <f t="shared" si="20"/>
        <v>--</v>
      </c>
      <c r="S85" s="158" t="str">
        <f t="shared" si="21"/>
        <v>--</v>
      </c>
      <c r="T85" s="158" t="str">
        <f t="shared" si="22"/>
        <v>--</v>
      </c>
      <c r="U85" s="307" t="s">
        <v>115</v>
      </c>
      <c r="V85" s="304" t="s">
        <v>115</v>
      </c>
      <c r="W85" s="303" t="s">
        <v>115</v>
      </c>
      <c r="X85" s="304" t="s">
        <v>115</v>
      </c>
      <c r="Y85" s="303" t="s">
        <v>115</v>
      </c>
      <c r="Z85" s="303" t="s">
        <v>115</v>
      </c>
      <c r="AA85" s="305" t="s">
        <v>115</v>
      </c>
    </row>
    <row r="86" spans="1:31" ht="15" customHeight="1">
      <c r="A86" s="136" t="s">
        <v>243</v>
      </c>
      <c r="B86" s="486" t="s">
        <v>244</v>
      </c>
      <c r="C86" s="485" t="s">
        <v>1116</v>
      </c>
      <c r="D86" s="1314">
        <v>217</v>
      </c>
      <c r="E86" s="159" t="str">
        <f t="shared" si="16"/>
        <v>NV</v>
      </c>
      <c r="F86" s="302">
        <v>252.32</v>
      </c>
      <c r="G86" s="158">
        <v>9.6500000000000008E-10</v>
      </c>
      <c r="H86" s="158">
        <v>8.0000000000000004E-4</v>
      </c>
      <c r="I86" s="158">
        <v>5.8400000000000004E-7</v>
      </c>
      <c r="J86" s="158">
        <v>2.3875715449999999E-5</v>
      </c>
      <c r="K86" s="203">
        <v>587400</v>
      </c>
      <c r="L86" s="158">
        <f t="shared" si="23"/>
        <v>3524.4</v>
      </c>
      <c r="M86" s="158">
        <v>2.502243175992E-2</v>
      </c>
      <c r="N86" s="158">
        <v>6.4337884593199996E-6</v>
      </c>
      <c r="O86" s="158">
        <f t="shared" si="17"/>
        <v>97508.403624888015</v>
      </c>
      <c r="P86" s="158">
        <f t="shared" si="18"/>
        <v>2.8196000036158946</v>
      </c>
      <c r="Q86" s="161" t="str">
        <f t="shared" si="19"/>
        <v>--</v>
      </c>
      <c r="R86" s="158" t="str">
        <f t="shared" si="20"/>
        <v>--</v>
      </c>
      <c r="S86" s="158" t="str">
        <f t="shared" si="21"/>
        <v>--</v>
      </c>
      <c r="T86" s="158" t="str">
        <f t="shared" si="22"/>
        <v>--</v>
      </c>
      <c r="U86" s="307" t="s">
        <v>115</v>
      </c>
      <c r="V86" s="304" t="s">
        <v>115</v>
      </c>
      <c r="W86" s="303" t="s">
        <v>115</v>
      </c>
      <c r="X86" s="304" t="s">
        <v>115</v>
      </c>
      <c r="Y86" s="303" t="s">
        <v>115</v>
      </c>
      <c r="Z86" s="303" t="s">
        <v>115</v>
      </c>
      <c r="AA86" s="305" t="s">
        <v>115</v>
      </c>
      <c r="AC86" s="675"/>
    </row>
    <row r="87" spans="1:31" ht="15" customHeight="1">
      <c r="A87" s="136" t="s">
        <v>245</v>
      </c>
      <c r="B87" s="486" t="s">
        <v>246</v>
      </c>
      <c r="C87" s="485" t="s">
        <v>1116</v>
      </c>
      <c r="D87" s="1314">
        <v>258.2</v>
      </c>
      <c r="E87" s="159" t="str">
        <f t="shared" si="16"/>
        <v>NV</v>
      </c>
      <c r="F87" s="302">
        <v>228.3</v>
      </c>
      <c r="G87" s="158">
        <v>6.2300000000000002E-9</v>
      </c>
      <c r="H87" s="158">
        <v>2E-3</v>
      </c>
      <c r="I87" s="158">
        <v>5.2299999999999999E-6</v>
      </c>
      <c r="J87" s="158">
        <v>2.1381847915000001E-4</v>
      </c>
      <c r="K87" s="203">
        <v>180500</v>
      </c>
      <c r="L87" s="158">
        <f t="shared" si="23"/>
        <v>1083</v>
      </c>
      <c r="M87" s="158">
        <v>2.6113777679239999E-2</v>
      </c>
      <c r="N87" s="158">
        <v>6.7494732657100002E-6</v>
      </c>
      <c r="O87" s="158">
        <f t="shared" si="17"/>
        <v>29963.032462610001</v>
      </c>
      <c r="P87" s="158">
        <f t="shared" si="18"/>
        <v>2.1662000809551727</v>
      </c>
      <c r="Q87" s="161" t="str">
        <f t="shared" si="19"/>
        <v>--</v>
      </c>
      <c r="R87" s="158" t="str">
        <f t="shared" si="20"/>
        <v>--</v>
      </c>
      <c r="S87" s="158" t="str">
        <f t="shared" si="21"/>
        <v>--</v>
      </c>
      <c r="T87" s="158" t="str">
        <f t="shared" si="22"/>
        <v>--</v>
      </c>
      <c r="U87" s="307" t="s">
        <v>115</v>
      </c>
      <c r="V87" s="304" t="s">
        <v>115</v>
      </c>
      <c r="W87" s="303" t="s">
        <v>115</v>
      </c>
      <c r="X87" s="304" t="s">
        <v>115</v>
      </c>
      <c r="Y87" s="303" t="s">
        <v>115</v>
      </c>
      <c r="Z87" s="303" t="s">
        <v>115</v>
      </c>
      <c r="AA87" s="305" t="s">
        <v>115</v>
      </c>
      <c r="AC87" s="675"/>
    </row>
    <row r="88" spans="1:31" ht="15" customHeight="1">
      <c r="A88" s="136" t="s">
        <v>247</v>
      </c>
      <c r="B88" s="486" t="s">
        <v>248</v>
      </c>
      <c r="C88" s="485" t="s">
        <v>1116</v>
      </c>
      <c r="D88" s="1314">
        <v>269.5</v>
      </c>
      <c r="E88" s="159" t="str">
        <f t="shared" si="16"/>
        <v>NV</v>
      </c>
      <c r="F88" s="302">
        <v>278.36</v>
      </c>
      <c r="G88" s="158">
        <v>9.5499999999999991E-10</v>
      </c>
      <c r="H88" s="158">
        <v>2.49E-3</v>
      </c>
      <c r="I88" s="158">
        <v>1.4100000000000001E-7</v>
      </c>
      <c r="J88" s="158">
        <v>5.7645134914099999E-6</v>
      </c>
      <c r="K88" s="203">
        <v>1912000</v>
      </c>
      <c r="L88" s="158">
        <f t="shared" si="23"/>
        <v>11472</v>
      </c>
      <c r="M88" s="158">
        <v>2.3619333430940002E-2</v>
      </c>
      <c r="N88" s="158">
        <v>6.0150672880599997E-6</v>
      </c>
      <c r="O88" s="158">
        <f t="shared" si="17"/>
        <v>317392.00087518699</v>
      </c>
      <c r="P88" s="158">
        <f t="shared" si="18"/>
        <v>28.565529002717266</v>
      </c>
      <c r="Q88" s="161" t="str">
        <f t="shared" si="19"/>
        <v>--</v>
      </c>
      <c r="R88" s="158" t="str">
        <f t="shared" si="20"/>
        <v>--</v>
      </c>
      <c r="S88" s="158" t="str">
        <f t="shared" si="21"/>
        <v>--</v>
      </c>
      <c r="T88" s="158" t="str">
        <f t="shared" si="22"/>
        <v>--</v>
      </c>
      <c r="U88" s="307" t="s">
        <v>115</v>
      </c>
      <c r="V88" s="304" t="s">
        <v>115</v>
      </c>
      <c r="W88" s="303" t="s">
        <v>115</v>
      </c>
      <c r="X88" s="304" t="s">
        <v>115</v>
      </c>
      <c r="Y88" s="303" t="s">
        <v>115</v>
      </c>
      <c r="Z88" s="303" t="s">
        <v>115</v>
      </c>
      <c r="AA88" s="305" t="s">
        <v>115</v>
      </c>
      <c r="AC88" s="675"/>
    </row>
    <row r="89" spans="1:31" ht="15" customHeight="1">
      <c r="A89" s="136" t="s">
        <v>249</v>
      </c>
      <c r="B89" s="486" t="s">
        <v>250</v>
      </c>
      <c r="C89" s="485" t="s">
        <v>1116</v>
      </c>
      <c r="D89" s="1314">
        <v>107.8</v>
      </c>
      <c r="E89" s="159" t="str">
        <f t="shared" si="16"/>
        <v>NV</v>
      </c>
      <c r="F89" s="302">
        <v>202.26</v>
      </c>
      <c r="G89" s="158">
        <v>9.2199999999999998E-6</v>
      </c>
      <c r="H89" s="158">
        <v>0.26</v>
      </c>
      <c r="I89" s="158">
        <v>8.8599999999999999E-6</v>
      </c>
      <c r="J89" s="158">
        <v>3.6222403925000003E-4</v>
      </c>
      <c r="K89" s="203">
        <v>55450</v>
      </c>
      <c r="L89" s="158">
        <f t="shared" si="23"/>
        <v>332.7</v>
      </c>
      <c r="M89" s="158">
        <v>2.7595746957609999E-2</v>
      </c>
      <c r="N89" s="158">
        <v>7.1827105768400001E-6</v>
      </c>
      <c r="O89" s="158">
        <f t="shared" si="17"/>
        <v>9204.7549940200006</v>
      </c>
      <c r="P89" s="158">
        <f t="shared" si="18"/>
        <v>86.528017828712763</v>
      </c>
      <c r="Q89" s="161" t="str">
        <f t="shared" si="19"/>
        <v>--</v>
      </c>
      <c r="R89" s="158" t="str">
        <f t="shared" si="20"/>
        <v>--</v>
      </c>
      <c r="S89" s="158" t="str">
        <f t="shared" si="21"/>
        <v>--</v>
      </c>
      <c r="T89" s="158" t="str">
        <f t="shared" si="22"/>
        <v>--</v>
      </c>
      <c r="U89" s="307" t="s">
        <v>115</v>
      </c>
      <c r="V89" s="304" t="s">
        <v>115</v>
      </c>
      <c r="W89" s="303" t="s">
        <v>115</v>
      </c>
      <c r="X89" s="304" t="s">
        <v>115</v>
      </c>
      <c r="Y89" s="303" t="s">
        <v>115</v>
      </c>
      <c r="Z89" s="303" t="s">
        <v>115</v>
      </c>
      <c r="AA89" s="305" t="s">
        <v>115</v>
      </c>
      <c r="AC89" s="675"/>
    </row>
    <row r="90" spans="1:31" ht="15" customHeight="1">
      <c r="A90" s="136" t="s">
        <v>251</v>
      </c>
      <c r="B90" s="486" t="s">
        <v>252</v>
      </c>
      <c r="C90" s="485" t="s">
        <v>1116</v>
      </c>
      <c r="D90" s="1314">
        <v>114.8</v>
      </c>
      <c r="E90" s="159" t="str">
        <f t="shared" si="16"/>
        <v>V</v>
      </c>
      <c r="F90" s="302">
        <v>166.22</v>
      </c>
      <c r="G90" s="158">
        <v>5.9999999999999995E-4</v>
      </c>
      <c r="H90" s="158">
        <v>1.69</v>
      </c>
      <c r="I90" s="158">
        <v>9.6199999999999994E-5</v>
      </c>
      <c r="J90" s="158">
        <v>3.9329517579699998E-3</v>
      </c>
      <c r="K90" s="203">
        <v>9160</v>
      </c>
      <c r="L90" s="158">
        <f t="shared" si="23"/>
        <v>54.96</v>
      </c>
      <c r="M90" s="158">
        <v>4.3974282206059999E-2</v>
      </c>
      <c r="N90" s="158">
        <v>7.8889859242199994E-6</v>
      </c>
      <c r="O90" s="158">
        <f t="shared" si="17"/>
        <v>1521.1571134000001</v>
      </c>
      <c r="P90" s="158">
        <f t="shared" si="18"/>
        <v>93.052658272471547</v>
      </c>
      <c r="Q90" s="161">
        <f t="shared" si="19"/>
        <v>1.6825561834773298E-7</v>
      </c>
      <c r="R90" s="158">
        <f t="shared" si="20"/>
        <v>281200.3574987824</v>
      </c>
      <c r="S90" s="158">
        <f t="shared" si="21"/>
        <v>275739.63656068442</v>
      </c>
      <c r="T90" s="158">
        <f t="shared" si="22"/>
        <v>62283.446214064803</v>
      </c>
      <c r="U90" s="307" t="s">
        <v>115</v>
      </c>
      <c r="V90" s="304" t="s">
        <v>115</v>
      </c>
      <c r="W90" s="303" t="s">
        <v>115</v>
      </c>
      <c r="X90" s="304" t="s">
        <v>115</v>
      </c>
      <c r="Y90" s="303" t="s">
        <v>115</v>
      </c>
      <c r="Z90" s="303" t="s">
        <v>115</v>
      </c>
      <c r="AA90" s="305" t="s">
        <v>115</v>
      </c>
      <c r="AC90" s="675"/>
    </row>
    <row r="91" spans="1:31" ht="15" customHeight="1">
      <c r="A91" s="136" t="s">
        <v>253</v>
      </c>
      <c r="B91" s="486" t="s">
        <v>254</v>
      </c>
      <c r="C91" s="485" t="s">
        <v>1116</v>
      </c>
      <c r="D91" s="1314">
        <v>163.6</v>
      </c>
      <c r="E91" s="159" t="str">
        <f t="shared" si="16"/>
        <v>NV</v>
      </c>
      <c r="F91" s="302">
        <v>276.33999999999997</v>
      </c>
      <c r="G91" s="158">
        <v>1.2500000000000001E-10</v>
      </c>
      <c r="H91" s="158">
        <v>1.9000000000000001E-4</v>
      </c>
      <c r="I91" s="158">
        <v>3.4799999999999999E-7</v>
      </c>
      <c r="J91" s="158">
        <v>1.4227309889999999E-5</v>
      </c>
      <c r="K91" s="203">
        <v>1951000</v>
      </c>
      <c r="L91" s="158">
        <f t="shared" si="23"/>
        <v>11706</v>
      </c>
      <c r="M91" s="158">
        <v>2.471303505976E-2</v>
      </c>
      <c r="N91" s="158">
        <v>6.3691626699499999E-6</v>
      </c>
      <c r="O91" s="158">
        <f t="shared" si="17"/>
        <v>323866.00216003601</v>
      </c>
      <c r="P91" s="158">
        <f t="shared" si="18"/>
        <v>2.2241590005117358</v>
      </c>
      <c r="Q91" s="161" t="str">
        <f t="shared" si="19"/>
        <v>--</v>
      </c>
      <c r="R91" s="158" t="str">
        <f t="shared" si="20"/>
        <v>--</v>
      </c>
      <c r="S91" s="158" t="str">
        <f t="shared" si="21"/>
        <v>--</v>
      </c>
      <c r="T91" s="158" t="str">
        <f t="shared" si="22"/>
        <v>--</v>
      </c>
      <c r="U91" s="307" t="s">
        <v>115</v>
      </c>
      <c r="V91" s="304" t="s">
        <v>115</v>
      </c>
      <c r="W91" s="303" t="s">
        <v>115</v>
      </c>
      <c r="X91" s="304" t="s">
        <v>115</v>
      </c>
      <c r="Y91" s="303" t="s">
        <v>115</v>
      </c>
      <c r="Z91" s="303" t="s">
        <v>115</v>
      </c>
      <c r="AA91" s="305" t="s">
        <v>115</v>
      </c>
      <c r="AC91" s="675"/>
      <c r="AD91" s="675"/>
      <c r="AE91" s="675"/>
    </row>
    <row r="92" spans="1:31" ht="15" customHeight="1">
      <c r="A92" s="136" t="s">
        <v>255</v>
      </c>
      <c r="B92" s="486" t="s">
        <v>256</v>
      </c>
      <c r="C92" s="485" t="s">
        <v>1116</v>
      </c>
      <c r="D92" s="1314">
        <v>80.2</v>
      </c>
      <c r="E92" s="159" t="str">
        <f t="shared" si="16"/>
        <v>V</v>
      </c>
      <c r="F92" s="302">
        <v>128.18</v>
      </c>
      <c r="G92" s="158">
        <v>8.5000000000000006E-2</v>
      </c>
      <c r="H92" s="158">
        <v>31</v>
      </c>
      <c r="I92" s="158">
        <v>4.4000000000000002E-4</v>
      </c>
      <c r="J92" s="158">
        <v>1.7988552739170001E-2</v>
      </c>
      <c r="K92" s="203">
        <v>1544</v>
      </c>
      <c r="L92" s="158">
        <f t="shared" si="23"/>
        <v>9.2639999999999993</v>
      </c>
      <c r="M92" s="158">
        <v>6.0499398843050001E-2</v>
      </c>
      <c r="N92" s="158">
        <v>8.3770322160000004E-6</v>
      </c>
      <c r="O92" s="158">
        <f t="shared" si="17"/>
        <v>259.03508000000005</v>
      </c>
      <c r="P92" s="158">
        <f t="shared" si="18"/>
        <v>290.38956678340202</v>
      </c>
      <c r="Q92" s="161">
        <f t="shared" si="19"/>
        <v>6.1953571192215736E-6</v>
      </c>
      <c r="R92" s="158">
        <f t="shared" si="20"/>
        <v>46341.2221544887</v>
      </c>
      <c r="S92" s="158">
        <f t="shared" si="21"/>
        <v>45441.306932591557</v>
      </c>
      <c r="T92" s="158">
        <f t="shared" si="22"/>
        <v>10264.179758610804</v>
      </c>
      <c r="U92" s="307">
        <v>21</v>
      </c>
      <c r="V92" s="304" t="s">
        <v>1117</v>
      </c>
      <c r="W92" s="303">
        <v>210</v>
      </c>
      <c r="X92" s="304" t="s">
        <v>1118</v>
      </c>
      <c r="Y92" s="303">
        <v>440</v>
      </c>
      <c r="Z92" s="303">
        <v>8.4000000000000005E-2</v>
      </c>
      <c r="AA92" s="305" t="s">
        <v>115</v>
      </c>
      <c r="AC92" s="675"/>
      <c r="AD92" s="675"/>
      <c r="AE92" s="675"/>
    </row>
    <row r="93" spans="1:31" ht="15" customHeight="1">
      <c r="A93" s="136" t="s">
        <v>257</v>
      </c>
      <c r="B93" s="486" t="s">
        <v>258</v>
      </c>
      <c r="C93" s="485" t="s">
        <v>1116</v>
      </c>
      <c r="D93" s="1314">
        <v>151.19999999999999</v>
      </c>
      <c r="E93" s="159" t="str">
        <f t="shared" si="16"/>
        <v>V</v>
      </c>
      <c r="F93" s="302">
        <v>202.26</v>
      </c>
      <c r="G93" s="158">
        <v>4.5000000000000001E-6</v>
      </c>
      <c r="H93" s="158">
        <v>0.13500000000000001</v>
      </c>
      <c r="I93" s="158">
        <v>1.19E-5</v>
      </c>
      <c r="J93" s="158">
        <v>4.8650858544999997E-4</v>
      </c>
      <c r="K93" s="203">
        <v>54340</v>
      </c>
      <c r="L93" s="158">
        <f t="shared" si="23"/>
        <v>326.04000000000002</v>
      </c>
      <c r="M93" s="158">
        <v>2.7787275434940001E-2</v>
      </c>
      <c r="N93" s="158">
        <v>7.2479151442499996E-6</v>
      </c>
      <c r="O93" s="158">
        <f t="shared" si="17"/>
        <v>9020.5138633000006</v>
      </c>
      <c r="P93" s="158">
        <f t="shared" si="18"/>
        <v>44.028912433507159</v>
      </c>
      <c r="Q93" s="161">
        <f t="shared" si="19"/>
        <v>2.3494488896368745E-9</v>
      </c>
      <c r="R93" s="158">
        <f t="shared" si="20"/>
        <v>2379675.0384497549</v>
      </c>
      <c r="S93" s="158">
        <f t="shared" si="21"/>
        <v>2333463.3571278774</v>
      </c>
      <c r="T93" s="158">
        <f t="shared" si="22"/>
        <v>527077.43184458674</v>
      </c>
      <c r="U93" s="307" t="s">
        <v>115</v>
      </c>
      <c r="V93" s="304" t="s">
        <v>115</v>
      </c>
      <c r="W93" s="303" t="s">
        <v>115</v>
      </c>
      <c r="X93" s="304" t="s">
        <v>115</v>
      </c>
      <c r="Y93" s="303" t="s">
        <v>115</v>
      </c>
      <c r="Z93" s="303" t="s">
        <v>115</v>
      </c>
      <c r="AA93" s="305" t="s">
        <v>115</v>
      </c>
      <c r="AC93" s="675"/>
      <c r="AD93" s="675"/>
      <c r="AE93" s="675"/>
    </row>
    <row r="94" spans="1:31" ht="15" customHeight="1">
      <c r="A94" s="136" t="s">
        <v>259</v>
      </c>
      <c r="B94" s="486" t="s">
        <v>260</v>
      </c>
      <c r="C94" s="485" t="s">
        <v>1116</v>
      </c>
      <c r="D94" s="1314">
        <v>174</v>
      </c>
      <c r="E94" s="159" t="str">
        <f t="shared" si="16"/>
        <v>NV</v>
      </c>
      <c r="F94" s="302">
        <v>266.33999999999997</v>
      </c>
      <c r="G94" s="158">
        <v>1.1E-4</v>
      </c>
      <c r="H94" s="158">
        <v>14</v>
      </c>
      <c r="I94" s="158">
        <v>2.4500000000000001E-8</v>
      </c>
      <c r="J94" s="158">
        <v>1.0016353229800001E-6</v>
      </c>
      <c r="K94" s="203">
        <v>592</v>
      </c>
      <c r="L94" s="158">
        <f t="shared" si="23"/>
        <v>3.552</v>
      </c>
      <c r="M94" s="158">
        <v>2.9519689785330001E-2</v>
      </c>
      <c r="N94" s="158">
        <v>8.0120879260399998E-6</v>
      </c>
      <c r="O94" s="158">
        <f t="shared" si="17"/>
        <v>98.272152071500003</v>
      </c>
      <c r="P94" s="158">
        <f t="shared" si="18"/>
        <v>51.128002654648597</v>
      </c>
      <c r="Q94" s="161" t="str">
        <f t="shared" si="19"/>
        <v>--</v>
      </c>
      <c r="R94" s="158" t="str">
        <f t="shared" si="20"/>
        <v>--</v>
      </c>
      <c r="S94" s="158" t="str">
        <f t="shared" si="21"/>
        <v>--</v>
      </c>
      <c r="T94" s="158" t="str">
        <f t="shared" si="22"/>
        <v>--</v>
      </c>
      <c r="U94" s="307">
        <v>30</v>
      </c>
      <c r="V94" s="304" t="s">
        <v>1117</v>
      </c>
      <c r="W94" s="303">
        <v>5900</v>
      </c>
      <c r="X94" s="304" t="s">
        <v>1118</v>
      </c>
      <c r="Y94" s="303" t="s">
        <v>115</v>
      </c>
      <c r="Z94" s="303" t="s">
        <v>115</v>
      </c>
      <c r="AA94" s="305" t="s">
        <v>115</v>
      </c>
      <c r="AC94" s="675"/>
      <c r="AD94" s="675"/>
      <c r="AE94" s="675"/>
    </row>
    <row r="95" spans="1:31" ht="15" customHeight="1">
      <c r="A95" s="136" t="s">
        <v>261</v>
      </c>
      <c r="B95" s="486" t="s">
        <v>1261</v>
      </c>
      <c r="C95" s="485" t="s">
        <v>1119</v>
      </c>
      <c r="D95" s="1404" t="s">
        <v>115</v>
      </c>
      <c r="E95" s="159" t="str">
        <f t="shared" si="16"/>
        <v>NV</v>
      </c>
      <c r="F95" s="302">
        <v>117.49</v>
      </c>
      <c r="G95" s="171" t="s">
        <v>115</v>
      </c>
      <c r="H95" s="158">
        <v>245000</v>
      </c>
      <c r="I95" s="171" t="s">
        <v>115</v>
      </c>
      <c r="J95" s="171" t="s">
        <v>115</v>
      </c>
      <c r="K95" s="1403" t="s">
        <v>115</v>
      </c>
      <c r="L95" s="171" t="s">
        <v>115</v>
      </c>
      <c r="M95" s="158">
        <v>7.9205072971129997E-2</v>
      </c>
      <c r="N95" s="158">
        <v>9.2544874734699998E-6</v>
      </c>
      <c r="O95" s="158">
        <v>20</v>
      </c>
      <c r="P95" s="158" t="str">
        <f t="shared" si="18"/>
        <v>--</v>
      </c>
      <c r="Q95" s="161" t="str">
        <f t="shared" si="19"/>
        <v>--</v>
      </c>
      <c r="R95" s="158" t="str">
        <f t="shared" si="20"/>
        <v>--</v>
      </c>
      <c r="S95" s="158" t="str">
        <f t="shared" si="21"/>
        <v>--</v>
      </c>
      <c r="T95" s="158" t="str">
        <f t="shared" si="22"/>
        <v>--</v>
      </c>
      <c r="U95" s="307" t="s">
        <v>115</v>
      </c>
      <c r="V95" s="304" t="s">
        <v>115</v>
      </c>
      <c r="W95" s="303" t="s">
        <v>115</v>
      </c>
      <c r="X95" s="304" t="s">
        <v>115</v>
      </c>
      <c r="Y95" s="303" t="s">
        <v>115</v>
      </c>
      <c r="Z95" s="303" t="s">
        <v>115</v>
      </c>
      <c r="AA95" s="305" t="s">
        <v>495</v>
      </c>
      <c r="AC95" s="675"/>
      <c r="AD95" s="675"/>
      <c r="AE95" s="675"/>
    </row>
    <row r="96" spans="1:31" ht="15" customHeight="1">
      <c r="A96" s="919" t="s">
        <v>263</v>
      </c>
      <c r="B96" s="2126" t="s">
        <v>115</v>
      </c>
      <c r="C96" s="485" t="s">
        <v>1116</v>
      </c>
      <c r="D96" s="1404">
        <v>-90</v>
      </c>
      <c r="E96" s="159" t="str">
        <f t="shared" si="16"/>
        <v>V</v>
      </c>
      <c r="F96" s="2125">
        <v>108</v>
      </c>
      <c r="G96" s="347">
        <v>300</v>
      </c>
      <c r="H96" s="347">
        <v>240</v>
      </c>
      <c r="I96" s="347">
        <v>1.79</v>
      </c>
      <c r="J96" s="347">
        <f>'Petroleum Fractions (IP-9)'!L17</f>
        <v>73.262600000000006</v>
      </c>
      <c r="K96" s="360">
        <v>130</v>
      </c>
      <c r="L96" s="353">
        <f>K96*Foc</f>
        <v>0.78</v>
      </c>
      <c r="M96" s="347">
        <v>7.2999999999999995E-2</v>
      </c>
      <c r="N96" s="347">
        <v>8.1999999999999994E-6</v>
      </c>
      <c r="O96" s="158">
        <f>IF(OR(K96="--",I96="--"), "--",(6207*I96)+(0.166*K96))</f>
        <v>11132.11</v>
      </c>
      <c r="P96" s="347">
        <v>1000</v>
      </c>
      <c r="Q96" s="161">
        <f>IF(OR(M96="--",L96="--"),"--",(IF(E96="V",(((((Pa^(10/3))*M96*J96)+((Pw^(10/3))*N96))/(Pt^2))/((Ds*L96)+Pw+(Pa*J96))),"--")))</f>
        <v>1.9318649987988549E-2</v>
      </c>
      <c r="R96" s="158">
        <f>IF(Q96="--","--",IF(E96="V",68.18*(PI()*Q96*26*365*24*60*60)^0.5*0.0001/(2*Ds*Q96),"--"))</f>
        <v>829.87421134325189</v>
      </c>
      <c r="S96" s="158">
        <f t="shared" si="21"/>
        <v>813.75861489743534</v>
      </c>
      <c r="T96" s="158">
        <f t="shared" si="22"/>
        <v>183.80995766287631</v>
      </c>
      <c r="U96" s="307">
        <v>100</v>
      </c>
      <c r="V96" s="304" t="s">
        <v>1125</v>
      </c>
      <c r="W96" s="303">
        <v>5000</v>
      </c>
      <c r="X96" s="304" t="s">
        <v>1126</v>
      </c>
      <c r="Y96" s="303">
        <v>100</v>
      </c>
      <c r="Z96" s="303">
        <v>2.1999999999999999E-2</v>
      </c>
      <c r="AA96" s="305" t="s">
        <v>115</v>
      </c>
      <c r="AC96" s="675"/>
      <c r="AD96" s="675"/>
      <c r="AE96" s="675"/>
    </row>
    <row r="97" spans="1:31" ht="15" customHeight="1">
      <c r="A97" s="919" t="s">
        <v>264</v>
      </c>
      <c r="B97" s="2126" t="s">
        <v>115</v>
      </c>
      <c r="C97" s="485" t="s">
        <v>1116</v>
      </c>
      <c r="D97" s="1404">
        <v>-40</v>
      </c>
      <c r="E97" s="159" t="str">
        <f t="shared" si="16"/>
        <v>V</v>
      </c>
      <c r="F97" s="2125">
        <v>142</v>
      </c>
      <c r="G97" s="347">
        <v>3</v>
      </c>
      <c r="H97" s="347">
        <v>5</v>
      </c>
      <c r="I97" s="347">
        <v>1.96</v>
      </c>
      <c r="J97" s="347">
        <f>'Petroleum Fractions (IP-9)'!L20</f>
        <v>80.290400000000005</v>
      </c>
      <c r="K97" s="360">
        <v>800</v>
      </c>
      <c r="L97" s="353">
        <f>K97*Foc</f>
        <v>4.8</v>
      </c>
      <c r="M97" s="347">
        <v>5.0999999999999997E-2</v>
      </c>
      <c r="N97" s="347">
        <v>6.8000000000000001E-6</v>
      </c>
      <c r="O97" s="158">
        <f>IF(OR(K97="--",I97="--"), "--",(6207*I97)+(0.166*K97))</f>
        <v>12298.519999999999</v>
      </c>
      <c r="P97" s="347">
        <v>2286</v>
      </c>
      <c r="Q97" s="161">
        <f t="shared" si="19"/>
        <v>1.0853906620899256E-2</v>
      </c>
      <c r="R97" s="158">
        <f t="shared" si="20"/>
        <v>1107.1529346063164</v>
      </c>
      <c r="S97" s="158">
        <f t="shared" si="21"/>
        <v>1085.6527727094469</v>
      </c>
      <c r="T97" s="158">
        <f t="shared" si="22"/>
        <v>245.22479582407752</v>
      </c>
      <c r="U97" s="307">
        <v>100</v>
      </c>
      <c r="V97" s="304" t="s">
        <v>1125</v>
      </c>
      <c r="W97" s="303">
        <v>5000</v>
      </c>
      <c r="X97" s="304" t="s">
        <v>1126</v>
      </c>
      <c r="Y97" s="303">
        <v>1000</v>
      </c>
      <c r="Z97" s="303">
        <v>1.41E-2</v>
      </c>
      <c r="AA97" s="305" t="s">
        <v>115</v>
      </c>
      <c r="AC97" s="675"/>
      <c r="AD97" s="675"/>
      <c r="AE97" s="675"/>
    </row>
    <row r="98" spans="1:31" ht="15" customHeight="1">
      <c r="A98" s="919" t="s">
        <v>265</v>
      </c>
      <c r="B98" s="2126" t="s">
        <v>115</v>
      </c>
      <c r="C98" s="485" t="s">
        <v>1116</v>
      </c>
      <c r="D98" s="1404">
        <v>-47</v>
      </c>
      <c r="E98" s="159" t="str">
        <f t="shared" si="16"/>
        <v>V</v>
      </c>
      <c r="F98" s="2125">
        <v>184</v>
      </c>
      <c r="G98" s="347">
        <v>7.5</v>
      </c>
      <c r="H98" s="347">
        <v>5</v>
      </c>
      <c r="I98" s="347">
        <v>1.96</v>
      </c>
      <c r="J98" s="347">
        <f>'Petroleum Fractions (IP-9)'!L23</f>
        <v>80.290400000000005</v>
      </c>
      <c r="K98" s="360">
        <v>800</v>
      </c>
      <c r="L98" s="353">
        <f>K98*Foc</f>
        <v>4.8</v>
      </c>
      <c r="M98" s="347">
        <v>5.0999999999999997E-2</v>
      </c>
      <c r="N98" s="347">
        <v>6.8000000000000001E-6</v>
      </c>
      <c r="O98" s="158">
        <f>IF(OR(K98="--",I98="--"), "--",(6207*I98)+(0.166*K98))</f>
        <v>12298.519999999999</v>
      </c>
      <c r="P98" s="347">
        <v>2286</v>
      </c>
      <c r="Q98" s="161">
        <f t="shared" si="19"/>
        <v>1.0853906620899256E-2</v>
      </c>
      <c r="R98" s="158">
        <f t="shared" si="20"/>
        <v>1107.1529346063164</v>
      </c>
      <c r="S98" s="158">
        <f t="shared" si="21"/>
        <v>1085.6527727094469</v>
      </c>
      <c r="T98" s="158">
        <f t="shared" si="22"/>
        <v>245.22479582407752</v>
      </c>
      <c r="U98" s="307">
        <v>100</v>
      </c>
      <c r="V98" s="304" t="s">
        <v>1125</v>
      </c>
      <c r="W98" s="303">
        <v>5000</v>
      </c>
      <c r="X98" s="304" t="s">
        <v>1126</v>
      </c>
      <c r="Y98" s="303">
        <v>1000</v>
      </c>
      <c r="Z98" s="303">
        <v>1.41E-2</v>
      </c>
      <c r="AA98" s="305" t="s">
        <v>115</v>
      </c>
      <c r="AC98" s="675"/>
      <c r="AD98" s="675"/>
      <c r="AE98" s="675"/>
    </row>
    <row r="99" spans="1:31" ht="15" customHeight="1">
      <c r="A99" s="919" t="s">
        <v>266</v>
      </c>
      <c r="B99" s="2126" t="s">
        <v>115</v>
      </c>
      <c r="C99" s="485" t="s">
        <v>1116</v>
      </c>
      <c r="D99" s="1404">
        <v>-30</v>
      </c>
      <c r="E99" s="159" t="str">
        <f t="shared" si="16"/>
        <v>V</v>
      </c>
      <c r="F99" s="2125">
        <v>200</v>
      </c>
      <c r="G99" s="347">
        <v>0.5</v>
      </c>
      <c r="H99" s="347">
        <v>5</v>
      </c>
      <c r="I99" s="347">
        <v>1.76</v>
      </c>
      <c r="J99" s="347">
        <f>'Petroleum Fractions (IP-9)'!L26</f>
        <v>72.256399999999999</v>
      </c>
      <c r="K99" s="360">
        <v>1500</v>
      </c>
      <c r="L99" s="353">
        <f>K99*Foc</f>
        <v>9</v>
      </c>
      <c r="M99" s="347">
        <v>0.06</v>
      </c>
      <c r="N99" s="347">
        <v>8.3999999999999992E-6</v>
      </c>
      <c r="O99" s="158">
        <f>IF(OR(K99="--",I99="--"), "--",(6207*I99)+(0.166*K99))</f>
        <v>11173.32</v>
      </c>
      <c r="P99" s="353">
        <v>2286</v>
      </c>
      <c r="Q99" s="161">
        <f t="shared" si="19"/>
        <v>1.0140011743866289E-2</v>
      </c>
      <c r="R99" s="158">
        <f t="shared" si="20"/>
        <v>1145.4639535361009</v>
      </c>
      <c r="S99" s="158">
        <f t="shared" si="21"/>
        <v>1123.2198175380222</v>
      </c>
      <c r="T99" s="158">
        <f t="shared" si="22"/>
        <v>253.71035504648916</v>
      </c>
      <c r="U99" s="307">
        <v>100</v>
      </c>
      <c r="V99" s="304" t="s">
        <v>1125</v>
      </c>
      <c r="W99" s="303">
        <v>5000</v>
      </c>
      <c r="X99" s="304" t="s">
        <v>1126</v>
      </c>
      <c r="Y99" s="303">
        <v>1000</v>
      </c>
      <c r="Z99" s="303">
        <v>1.41E-2</v>
      </c>
      <c r="AA99" s="305" t="s">
        <v>115</v>
      </c>
      <c r="AC99" s="675"/>
      <c r="AD99" s="675"/>
      <c r="AE99" s="675"/>
    </row>
    <row r="100" spans="1:31" ht="15" customHeight="1">
      <c r="A100" s="919" t="s">
        <v>267</v>
      </c>
      <c r="B100" s="2126" t="s">
        <v>115</v>
      </c>
      <c r="C100" s="485" t="s">
        <v>1116</v>
      </c>
      <c r="D100" s="1404">
        <v>0</v>
      </c>
      <c r="E100" s="159" t="str">
        <f>IF(OR(G100="--",I100="--"),"NV",IF(OR(G100&gt;1,I100&gt;0.00001),"V","NV"))</f>
        <v>NV</v>
      </c>
      <c r="F100" s="2125">
        <v>188</v>
      </c>
      <c r="G100" s="353">
        <v>1.3E-7</v>
      </c>
      <c r="H100" s="353">
        <v>228.7</v>
      </c>
      <c r="I100" s="353">
        <v>1.4600000000000001E-10</v>
      </c>
      <c r="J100" s="353">
        <v>5.9600000000000001E-9</v>
      </c>
      <c r="K100" s="347">
        <v>234.5</v>
      </c>
      <c r="L100" s="353">
        <f>K100*Foc</f>
        <v>1.407</v>
      </c>
      <c r="M100" s="353" t="s">
        <v>115</v>
      </c>
      <c r="N100" s="353" t="s">
        <v>115</v>
      </c>
      <c r="O100" s="171" t="s">
        <v>115</v>
      </c>
      <c r="P100" s="353" t="s">
        <v>115</v>
      </c>
      <c r="Q100" s="161" t="str">
        <f t="shared" si="19"/>
        <v>--</v>
      </c>
      <c r="R100" s="158" t="str">
        <f t="shared" si="20"/>
        <v>--</v>
      </c>
      <c r="S100" s="158" t="str">
        <f t="shared" si="21"/>
        <v>--</v>
      </c>
      <c r="T100" s="158" t="str">
        <f t="shared" si="22"/>
        <v>--</v>
      </c>
      <c r="U100" s="307">
        <v>100</v>
      </c>
      <c r="V100" s="304" t="s">
        <v>1125</v>
      </c>
      <c r="W100" s="303">
        <v>5000</v>
      </c>
      <c r="X100" s="304" t="s">
        <v>1126</v>
      </c>
      <c r="Y100" s="303" t="s">
        <v>115</v>
      </c>
      <c r="Z100" s="303" t="s">
        <v>115</v>
      </c>
      <c r="AA100" s="305" t="s">
        <v>115</v>
      </c>
      <c r="AC100" s="675"/>
      <c r="AD100" s="675"/>
      <c r="AE100" s="675"/>
    </row>
    <row r="101" spans="1:31" ht="15" customHeight="1">
      <c r="A101" s="919" t="s">
        <v>268</v>
      </c>
      <c r="B101" s="2126" t="s">
        <v>115</v>
      </c>
      <c r="C101" s="485" t="s">
        <v>1116</v>
      </c>
      <c r="D101" s="1404">
        <v>-10</v>
      </c>
      <c r="E101" s="159" t="str">
        <f t="shared" si="16"/>
        <v>NV</v>
      </c>
      <c r="F101" s="2125">
        <v>366</v>
      </c>
      <c r="G101" s="353" t="s">
        <v>115</v>
      </c>
      <c r="H101" s="353" t="s">
        <v>115</v>
      </c>
      <c r="I101" s="353" t="s">
        <v>115</v>
      </c>
      <c r="J101" s="353" t="str">
        <f>'Petroleum Fractions (IP-9)'!L29</f>
        <v>--</v>
      </c>
      <c r="K101" s="347" t="s">
        <v>115</v>
      </c>
      <c r="L101" s="353" t="s">
        <v>115</v>
      </c>
      <c r="M101" s="347" t="s">
        <v>115</v>
      </c>
      <c r="N101" s="347" t="s">
        <v>115</v>
      </c>
      <c r="O101" s="158" t="str">
        <f t="shared" ref="O101:O145" si="24">IF(OR(K101="--",I101="--"), "--",(6207*I101)+(0.166*K101))</f>
        <v>--</v>
      </c>
      <c r="P101" s="347">
        <v>5143</v>
      </c>
      <c r="Q101" s="161" t="str">
        <f t="shared" si="19"/>
        <v>--</v>
      </c>
      <c r="R101" s="158" t="str">
        <f t="shared" si="20"/>
        <v>--</v>
      </c>
      <c r="S101" s="158" t="str">
        <f t="shared" si="21"/>
        <v>--</v>
      </c>
      <c r="T101" s="158" t="str">
        <f t="shared" si="22"/>
        <v>--</v>
      </c>
      <c r="U101" s="307" t="s">
        <v>115</v>
      </c>
      <c r="V101" s="304" t="s">
        <v>115</v>
      </c>
      <c r="W101" s="303" t="s">
        <v>115</v>
      </c>
      <c r="X101" s="304" t="s">
        <v>115</v>
      </c>
      <c r="Y101" s="303" t="s">
        <v>115</v>
      </c>
      <c r="Z101" s="303" t="s">
        <v>115</v>
      </c>
      <c r="AA101" s="305" t="s">
        <v>495</v>
      </c>
      <c r="AC101" s="675"/>
      <c r="AD101" s="675"/>
      <c r="AE101" s="675"/>
    </row>
    <row r="102" spans="1:31" ht="15" customHeight="1">
      <c r="A102" s="919" t="s">
        <v>719</v>
      </c>
      <c r="B102" s="2126" t="s">
        <v>115</v>
      </c>
      <c r="C102" s="485" t="s">
        <v>1116</v>
      </c>
      <c r="D102" s="1404">
        <v>-96.47</v>
      </c>
      <c r="E102" s="159" t="s">
        <v>1127</v>
      </c>
      <c r="F102" s="2125">
        <v>89.5</v>
      </c>
      <c r="G102" s="353">
        <v>95.43</v>
      </c>
      <c r="H102" s="353">
        <v>75.3</v>
      </c>
      <c r="I102" s="353">
        <v>1.81</v>
      </c>
      <c r="J102" s="353">
        <f>'Petroleum Fractions (IP-9)'!D10</f>
        <v>74</v>
      </c>
      <c r="K102" s="347">
        <v>172.4</v>
      </c>
      <c r="L102" s="353">
        <f>K102*Foc</f>
        <v>1.0344</v>
      </c>
      <c r="M102" s="347">
        <v>7.3483287836679997E-2</v>
      </c>
      <c r="N102" s="347">
        <v>8.3847369791600002E-6</v>
      </c>
      <c r="O102" s="158">
        <f t="shared" si="24"/>
        <v>11263.288399999999</v>
      </c>
      <c r="P102" s="158">
        <f t="shared" ref="P102:P133" si="25">IF(OR(H102="--",J102="--"),"--",((H102/Ds)*((L102*Ds)+Pw+(J102*Pa))))</f>
        <v>1140.2833388679244</v>
      </c>
      <c r="Q102" s="161">
        <f>IF(OR(M102="--",L102="--"),"--",(IF(E102="V",(((((Pa^(10/3))*M102*J102)+((Pw^(10/3))*N102))/(Pt^2))/((Ds*L102)+Pw+(Pa*J102))),"--")))</f>
        <v>1.9131226747727402E-2</v>
      </c>
      <c r="R102" s="158">
        <f>IF(Q102="--","--",IF(E102="V",68.18*(PI()*Q102*26*365*24*60*60)^0.5*0.0001/(2*Ds*Q102),"--"))</f>
        <v>833.92932580569038</v>
      </c>
      <c r="S102" s="158">
        <f t="shared" ref="S102:S133" si="26">IF(Q102="--","--",IF(E102="V",68.18*(PI()*Q102*25*365*24*60*60)^0.5*0.0001/(2*Ds*Q102),"--"))</f>
        <v>817.73498177701742</v>
      </c>
      <c r="T102" s="158">
        <f t="shared" ref="T102:T133" si="27">IF(Q102="--","--",IF(E102="V",(((PI()*Q102*365*24*60*60)^0.5)/(2*Ds*Q102))*14.31*(1/0.18584)*0.0001,"--"))</f>
        <v>184.70813043107509</v>
      </c>
      <c r="U102" s="307"/>
      <c r="V102" s="304"/>
      <c r="W102" s="303"/>
      <c r="X102" s="304"/>
      <c r="Y102" s="303"/>
      <c r="Z102" s="303"/>
      <c r="AA102" s="305"/>
      <c r="AC102" s="675"/>
      <c r="AD102" s="675"/>
      <c r="AE102" s="675"/>
    </row>
    <row r="103" spans="1:31" ht="15" customHeight="1">
      <c r="A103" s="919" t="s">
        <v>720</v>
      </c>
      <c r="B103" s="2126" t="s">
        <v>115</v>
      </c>
      <c r="C103" s="485" t="s">
        <v>1116</v>
      </c>
      <c r="D103" s="1404">
        <v>-53.5</v>
      </c>
      <c r="E103" s="159" t="s">
        <v>1127</v>
      </c>
      <c r="F103" s="2125">
        <v>128.26</v>
      </c>
      <c r="G103" s="353">
        <v>4.45</v>
      </c>
      <c r="H103" s="353">
        <v>0.22</v>
      </c>
      <c r="I103" s="353">
        <v>3.42</v>
      </c>
      <c r="J103" s="353">
        <f>'Petroleum Fractions (IP-9)'!E10</f>
        <v>140</v>
      </c>
      <c r="K103" s="347">
        <v>796</v>
      </c>
      <c r="L103" s="353">
        <f>K103*Foc</f>
        <v>4.7759999999999998</v>
      </c>
      <c r="M103" s="347">
        <v>5.1431994696579997E-2</v>
      </c>
      <c r="N103" s="347">
        <v>6.7690362122699998E-6</v>
      </c>
      <c r="O103" s="158">
        <f t="shared" si="24"/>
        <v>21360.075999999997</v>
      </c>
      <c r="P103" s="158">
        <f t="shared" si="25"/>
        <v>6.9034118238993711</v>
      </c>
      <c r="Q103" s="161">
        <f t="shared" ref="Q103:Q133" si="28">IF(OR(M103="--",L103="--"),"--",(IF(E103="V",(((((Pa^(10/3))*M103*J103)+((Pw^(10/3))*N103))/(Pt^2))/((Ds*L103)+Pw+(Pa*J103))),"--")))</f>
        <v>1.2225330075497174E-2</v>
      </c>
      <c r="R103" s="158">
        <f>IF(Q103="--","--",IF(E103="V",68.18*(PI()*Q103*26*365*24*60*60)^0.5*0.0001/(2*Ds*Q103),"--"))</f>
        <v>1043.2066796188317</v>
      </c>
      <c r="S103" s="158">
        <f t="shared" si="26"/>
        <v>1022.9483107859152</v>
      </c>
      <c r="T103" s="158">
        <f t="shared" si="27"/>
        <v>231.06125361335637</v>
      </c>
      <c r="U103" s="307"/>
      <c r="V103" s="304"/>
      <c r="W103" s="303"/>
      <c r="X103" s="304"/>
      <c r="Y103" s="303"/>
      <c r="Z103" s="303"/>
      <c r="AA103" s="305"/>
      <c r="AC103" s="675"/>
      <c r="AD103" s="675"/>
      <c r="AE103" s="675"/>
    </row>
    <row r="104" spans="1:31" ht="15" customHeight="1">
      <c r="A104" s="919" t="s">
        <v>721</v>
      </c>
      <c r="B104" s="2126" t="s">
        <v>115</v>
      </c>
      <c r="C104" s="485" t="s">
        <v>1116</v>
      </c>
      <c r="D104" s="1404">
        <v>-9.6</v>
      </c>
      <c r="E104" s="159" t="s">
        <v>1127</v>
      </c>
      <c r="F104" s="2125">
        <v>170.34</v>
      </c>
      <c r="G104" s="353">
        <v>0.13500000000000001</v>
      </c>
      <c r="H104" s="353">
        <v>3.7000000000000002E-3</v>
      </c>
      <c r="I104" s="353">
        <v>8.07</v>
      </c>
      <c r="J104" s="353">
        <f>'Petroleum Fractions (IP-9)'!F10</f>
        <v>330</v>
      </c>
      <c r="K104" s="347">
        <v>4818</v>
      </c>
      <c r="L104" s="353">
        <f>K104*Foc</f>
        <v>28.908000000000001</v>
      </c>
      <c r="M104" s="347">
        <v>3.6194044102260001E-2</v>
      </c>
      <c r="N104" s="347">
        <v>6.4310449015000002E-6</v>
      </c>
      <c r="O104" s="158">
        <f t="shared" si="24"/>
        <v>50890.278000000006</v>
      </c>
      <c r="P104" s="158">
        <f t="shared" si="25"/>
        <v>0.33847488301886802</v>
      </c>
      <c r="Q104" s="161">
        <f t="shared" si="28"/>
        <v>6.9561125259370981E-3</v>
      </c>
      <c r="R104" s="158">
        <f t="shared" ref="R104:R133" si="29">IF(Q104="--","--",IF(E104="V",68.18*(PI()*Q104*26*365*24*60*60)^0.5*0.0001/(2*Ds*Q104),"--"))</f>
        <v>1382.9846396928767</v>
      </c>
      <c r="S104" s="158">
        <f t="shared" si="26"/>
        <v>1356.1280124602044</v>
      </c>
      <c r="T104" s="158">
        <f t="shared" si="27"/>
        <v>306.31913197892021</v>
      </c>
      <c r="U104" s="307"/>
      <c r="V104" s="304"/>
      <c r="W104" s="303"/>
      <c r="X104" s="304"/>
      <c r="Y104" s="303"/>
      <c r="Z104" s="303"/>
      <c r="AA104" s="305"/>
      <c r="AC104" s="675"/>
      <c r="AD104" s="675"/>
      <c r="AE104" s="675"/>
    </row>
    <row r="105" spans="1:31" ht="15" customHeight="1">
      <c r="A105" s="919" t="s">
        <v>722</v>
      </c>
      <c r="B105" s="2126" t="s">
        <v>115</v>
      </c>
      <c r="C105" s="485" t="s">
        <v>1116</v>
      </c>
      <c r="D105" s="1404">
        <v>-37.966666670000002</v>
      </c>
      <c r="E105" s="159" t="s">
        <v>1127</v>
      </c>
      <c r="F105" s="2125">
        <v>120.2</v>
      </c>
      <c r="G105" s="353">
        <v>2.0895333329999999</v>
      </c>
      <c r="H105" s="353">
        <v>60.133333329999999</v>
      </c>
      <c r="I105" s="353">
        <v>6.3600000000000002E-3</v>
      </c>
      <c r="J105" s="353">
        <f>'Petroleum Fractions (IP-9)'!H10</f>
        <v>0.26</v>
      </c>
      <c r="K105" s="347">
        <v>614.43333329999996</v>
      </c>
      <c r="L105" s="353">
        <f>K105*Foc</f>
        <v>3.6865999997999999</v>
      </c>
      <c r="M105" s="347">
        <v>6.072024173019E-2</v>
      </c>
      <c r="N105" s="347">
        <v>7.9286302722500004E-6</v>
      </c>
      <c r="O105" s="158">
        <f t="shared" si="24"/>
        <v>141.4724533278</v>
      </c>
      <c r="P105" s="158">
        <f t="shared" si="25"/>
        <v>230.66065020579524</v>
      </c>
      <c r="Q105" s="161">
        <f t="shared" si="28"/>
        <v>2.1928798474249537E-4</v>
      </c>
      <c r="R105" s="158">
        <f t="shared" si="29"/>
        <v>7789.2068618945659</v>
      </c>
      <c r="S105" s="158">
        <f t="shared" si="26"/>
        <v>7637.9457277329266</v>
      </c>
      <c r="T105" s="158">
        <f t="shared" si="27"/>
        <v>1725.2419269599807</v>
      </c>
      <c r="U105" s="307"/>
      <c r="V105" s="304"/>
      <c r="W105" s="303"/>
      <c r="X105" s="304"/>
      <c r="Y105" s="303"/>
      <c r="Z105" s="303"/>
      <c r="AA105" s="305"/>
      <c r="AC105" s="675"/>
      <c r="AD105" s="675"/>
      <c r="AE105" s="675"/>
    </row>
    <row r="106" spans="1:31" ht="15" customHeight="1">
      <c r="A106" s="919" t="s">
        <v>723</v>
      </c>
      <c r="B106" s="2126" t="s">
        <v>115</v>
      </c>
      <c r="C106" s="485" t="s">
        <v>1116</v>
      </c>
      <c r="D106" s="1404">
        <v>176.5</v>
      </c>
      <c r="E106" s="159" t="str">
        <f>IF(OR(G106="--",I106="--"),"NV",IF(OR(G106&gt;1,I106&gt;0.00001),"V","NV"))</f>
        <v>NV</v>
      </c>
      <c r="F106" s="2125">
        <v>252.32</v>
      </c>
      <c r="G106" s="353">
        <v>5.4899999999999999E-9</v>
      </c>
      <c r="H106" s="353">
        <v>1.6199999999999999E-3</v>
      </c>
      <c r="I106" s="353">
        <v>8.8000000000000004E-6</v>
      </c>
      <c r="J106" s="353">
        <f>'Petroleum Fractions (IP-9)'!I10</f>
        <v>3.6000000000000002E-4</v>
      </c>
      <c r="K106" s="347">
        <v>587400</v>
      </c>
      <c r="L106" s="353">
        <f>K106*Foc</f>
        <v>3524.4</v>
      </c>
      <c r="M106" s="347">
        <v>2.547643760558E-2</v>
      </c>
      <c r="N106" s="347">
        <v>6.58406296339E-6</v>
      </c>
      <c r="O106" s="158">
        <f t="shared" si="24"/>
        <v>97508.454621600002</v>
      </c>
      <c r="P106" s="158">
        <f t="shared" si="25"/>
        <v>5.7096901104045283</v>
      </c>
      <c r="Q106" s="161" t="str">
        <f>IF(OR(M106="--",L106="--"),"--",(IF(E106="V",(((((Pa^(10/3))*M106*J106)+((Pw^(10/3))*N106))/(Pt^2))/((Ds*L106)+Pw+(Pa*J106))),"--")))</f>
        <v>--</v>
      </c>
      <c r="R106" s="158" t="str">
        <f>IF(Q106="--","--",IF(E106="V",68.18*(PI()*Q106*26*365*24*60*60)^0.5*0.0001/(2*Ds*Q106),"--"))</f>
        <v>--</v>
      </c>
      <c r="S106" s="158" t="str">
        <f t="shared" si="26"/>
        <v>--</v>
      </c>
      <c r="T106" s="158" t="str">
        <f t="shared" si="27"/>
        <v>--</v>
      </c>
      <c r="U106" s="307"/>
      <c r="V106" s="304"/>
      <c r="W106" s="303"/>
      <c r="X106" s="304"/>
      <c r="Y106" s="303"/>
      <c r="Z106" s="303"/>
      <c r="AA106" s="305"/>
      <c r="AC106" s="675"/>
      <c r="AD106" s="675"/>
      <c r="AE106" s="675"/>
    </row>
    <row r="107" spans="1:31" ht="15" customHeight="1">
      <c r="A107" s="136" t="s">
        <v>269</v>
      </c>
      <c r="B107" s="486" t="s">
        <v>270</v>
      </c>
      <c r="C107" s="485" t="s">
        <v>1116</v>
      </c>
      <c r="D107" s="1314">
        <v>-1.5</v>
      </c>
      <c r="E107" s="159" t="str">
        <f t="shared" si="16"/>
        <v>V</v>
      </c>
      <c r="F107" s="158">
        <v>164</v>
      </c>
      <c r="G107" s="158">
        <v>40</v>
      </c>
      <c r="H107" s="158">
        <v>100000</v>
      </c>
      <c r="I107" s="158">
        <v>2.27E-5</v>
      </c>
      <c r="J107" s="158">
        <v>9.2699999999999998E-4</v>
      </c>
      <c r="K107" s="158">
        <v>5.89</v>
      </c>
      <c r="L107" s="158">
        <f t="shared" ref="L107:L124" si="30">K107*Foc</f>
        <v>3.5339999999999996E-2</v>
      </c>
      <c r="M107" s="158">
        <v>5.0665361035689999E-2</v>
      </c>
      <c r="N107" s="158">
        <v>9.2983781565900005E-6</v>
      </c>
      <c r="O107" s="158">
        <f t="shared" si="24"/>
        <v>1.1186388999999999</v>
      </c>
      <c r="P107" s="158">
        <f t="shared" si="25"/>
        <v>13551.548867924532</v>
      </c>
      <c r="Q107" s="158">
        <f t="shared" si="28"/>
        <v>1.890026954799744E-5</v>
      </c>
      <c r="R107" s="158">
        <f t="shared" si="29"/>
        <v>26531.796464351719</v>
      </c>
      <c r="S107" s="158">
        <f t="shared" si="26"/>
        <v>26016.566904307976</v>
      </c>
      <c r="T107" s="158">
        <f t="shared" si="27"/>
        <v>5876.5633612578895</v>
      </c>
      <c r="U107" s="307" t="s">
        <v>115</v>
      </c>
      <c r="V107" s="304" t="s">
        <v>115</v>
      </c>
      <c r="W107" s="303" t="s">
        <v>115</v>
      </c>
      <c r="X107" s="304" t="s">
        <v>115</v>
      </c>
      <c r="Y107" s="303" t="s">
        <v>115</v>
      </c>
      <c r="Z107" s="303" t="s">
        <v>115</v>
      </c>
      <c r="AA107" s="305" t="s">
        <v>115</v>
      </c>
      <c r="AB107" t="s">
        <v>635</v>
      </c>
      <c r="AC107" s="675"/>
      <c r="AD107" s="675"/>
      <c r="AE107" s="675"/>
    </row>
    <row r="108" spans="1:31" ht="15" customHeight="1">
      <c r="A108" s="136" t="s">
        <v>271</v>
      </c>
      <c r="B108" s="486" t="s">
        <v>272</v>
      </c>
      <c r="C108" s="485" t="s">
        <v>1116</v>
      </c>
      <c r="D108" s="1314">
        <v>-19.95</v>
      </c>
      <c r="E108" s="1411" t="str">
        <f t="shared" si="16"/>
        <v>V</v>
      </c>
      <c r="F108" s="158">
        <v>214</v>
      </c>
      <c r="G108" s="158">
        <v>15</v>
      </c>
      <c r="H108" s="158">
        <v>4614</v>
      </c>
      <c r="I108" s="158">
        <v>1.1900000000000001E-4</v>
      </c>
      <c r="J108" s="158">
        <v>4.8650860000000002E-3</v>
      </c>
      <c r="K108" s="158">
        <v>75.86</v>
      </c>
      <c r="L108" s="158">
        <f>K108*Foc</f>
        <v>0.45516000000000001</v>
      </c>
      <c r="M108" s="158">
        <v>3.031015778763E-2</v>
      </c>
      <c r="N108" s="158">
        <v>8.1674908419499994E-6</v>
      </c>
      <c r="O108" s="1327">
        <f t="shared" si="24"/>
        <v>13.331393</v>
      </c>
      <c r="P108" s="158">
        <f t="shared" si="25"/>
        <v>2565.7577365710717</v>
      </c>
      <c r="Q108" s="1327">
        <f t="shared" si="28"/>
        <v>1.4221245098130114E-5</v>
      </c>
      <c r="R108" s="1327">
        <f t="shared" si="29"/>
        <v>30586.645193075441</v>
      </c>
      <c r="S108" s="158">
        <f t="shared" si="26"/>
        <v>29992.673210544352</v>
      </c>
      <c r="T108" s="1327">
        <f t="shared" si="27"/>
        <v>6774.677271737989</v>
      </c>
      <c r="U108" s="307" t="s">
        <v>115</v>
      </c>
      <c r="V108" s="304" t="s">
        <v>115</v>
      </c>
      <c r="W108" s="303" t="s">
        <v>115</v>
      </c>
      <c r="X108" s="304" t="s">
        <v>115</v>
      </c>
      <c r="Y108" s="303" t="s">
        <v>115</v>
      </c>
      <c r="Z108" s="303" t="s">
        <v>115</v>
      </c>
      <c r="AA108" s="305" t="s">
        <v>115</v>
      </c>
      <c r="AB108" t="s">
        <v>635</v>
      </c>
      <c r="AC108" s="675"/>
      <c r="AD108" s="675"/>
      <c r="AE108" s="675"/>
    </row>
    <row r="109" spans="1:31" ht="15" customHeight="1">
      <c r="A109" s="919" t="s">
        <v>273</v>
      </c>
      <c r="B109" s="486" t="s">
        <v>274</v>
      </c>
      <c r="C109" s="485" t="s">
        <v>1116</v>
      </c>
      <c r="D109" s="1467">
        <v>-13.2</v>
      </c>
      <c r="E109" s="1411" t="str">
        <f>IF(OR(G109="--",I109="--"),"NV",IF(OR(G109&gt;1,I109&gt;0.00001),"V","NV"))</f>
        <v>V</v>
      </c>
      <c r="F109" s="1327">
        <v>264</v>
      </c>
      <c r="G109" s="347">
        <v>20</v>
      </c>
      <c r="H109" s="347">
        <v>9812</v>
      </c>
      <c r="I109" s="347">
        <v>1.5E-5</v>
      </c>
      <c r="J109" s="347">
        <f>I109/0.0245</f>
        <v>6.1224489795918364E-4</v>
      </c>
      <c r="K109" s="347">
        <v>147.9</v>
      </c>
      <c r="L109" s="1327">
        <f>K109*Foc</f>
        <v>0.88740000000000008</v>
      </c>
      <c r="M109" s="1410" t="s">
        <v>115</v>
      </c>
      <c r="N109" s="1410" t="s">
        <v>115</v>
      </c>
      <c r="O109" s="1410">
        <f t="shared" si="24"/>
        <v>24.644505000000002</v>
      </c>
      <c r="P109" s="158">
        <f>IF(OR(H109="--",J109="--"),"--",((H109/Ds)*((L109*Ds)+Pw+(J109*Pa))))</f>
        <v>9689.5060398921833</v>
      </c>
      <c r="Q109" s="1410" t="str">
        <f t="shared" si="28"/>
        <v>--</v>
      </c>
      <c r="R109" s="1410" t="str">
        <f t="shared" si="29"/>
        <v>--</v>
      </c>
      <c r="S109" s="158" t="str">
        <f t="shared" si="26"/>
        <v>--</v>
      </c>
      <c r="T109" s="1410" t="str">
        <f t="shared" si="27"/>
        <v>--</v>
      </c>
      <c r="U109" s="307" t="s">
        <v>115</v>
      </c>
      <c r="V109" s="304" t="s">
        <v>115</v>
      </c>
      <c r="W109" s="303" t="s">
        <v>115</v>
      </c>
      <c r="X109" s="304" t="s">
        <v>115</v>
      </c>
      <c r="Y109" s="303" t="s">
        <v>115</v>
      </c>
      <c r="Z109" s="303" t="s">
        <v>115</v>
      </c>
      <c r="AA109" s="305" t="s">
        <v>115</v>
      </c>
    </row>
    <row r="110" spans="1:31" ht="15" customHeight="1">
      <c r="A110" s="136" t="s">
        <v>275</v>
      </c>
      <c r="B110" s="486" t="s">
        <v>276</v>
      </c>
      <c r="C110" s="485" t="s">
        <v>1116</v>
      </c>
      <c r="D110" s="1467">
        <v>12</v>
      </c>
      <c r="E110" s="1411" t="str">
        <f>IF(OR(G110="--",I110="--"),"NV",IF(OR(G110&gt;1,I110&gt;0.00001),"V","NV"))</f>
        <v>NV</v>
      </c>
      <c r="F110" s="1327">
        <v>314.10000000000002</v>
      </c>
      <c r="G110" s="158">
        <v>0.33</v>
      </c>
      <c r="H110" s="158">
        <v>250000</v>
      </c>
      <c r="I110" s="158">
        <v>2.3500000000000002E-10</v>
      </c>
      <c r="J110" s="1327">
        <v>9.6099999999999997E-9</v>
      </c>
      <c r="K110" s="158">
        <v>20.420000000000002</v>
      </c>
      <c r="L110" s="1327">
        <f t="shared" si="30"/>
        <v>0.12252000000000002</v>
      </c>
      <c r="M110" s="1327">
        <v>2.5766087591470001E-2</v>
      </c>
      <c r="N110" s="1327">
        <v>6.7707152924800003E-6</v>
      </c>
      <c r="O110" s="1327">
        <f t="shared" si="24"/>
        <v>3.3897214586450004</v>
      </c>
      <c r="P110" s="158">
        <f t="shared" si="25"/>
        <v>55630.0004548129</v>
      </c>
      <c r="Q110" s="1410" t="str">
        <f t="shared" si="28"/>
        <v>--</v>
      </c>
      <c r="R110" s="1410" t="str">
        <f t="shared" si="29"/>
        <v>--</v>
      </c>
      <c r="S110" s="158" t="str">
        <f t="shared" si="26"/>
        <v>--</v>
      </c>
      <c r="T110" s="1410" t="str">
        <f t="shared" si="27"/>
        <v>--</v>
      </c>
      <c r="U110" s="307" t="s">
        <v>115</v>
      </c>
      <c r="V110" s="304" t="s">
        <v>115</v>
      </c>
      <c r="W110" s="303" t="s">
        <v>115</v>
      </c>
      <c r="X110" s="304" t="s">
        <v>115</v>
      </c>
      <c r="Y110" s="303" t="s">
        <v>115</v>
      </c>
      <c r="Z110" s="303" t="s">
        <v>115</v>
      </c>
      <c r="AA110" s="305" t="s">
        <v>115</v>
      </c>
      <c r="AB110" t="s">
        <v>635</v>
      </c>
    </row>
    <row r="111" spans="1:31" ht="15" customHeight="1">
      <c r="A111" s="919" t="s">
        <v>277</v>
      </c>
      <c r="B111" s="486" t="s">
        <v>278</v>
      </c>
      <c r="C111" s="485" t="s">
        <v>1116</v>
      </c>
      <c r="D111" s="1467">
        <v>1.8</v>
      </c>
      <c r="E111" s="1411" t="str">
        <f t="shared" si="16"/>
        <v>V</v>
      </c>
      <c r="F111" s="1327">
        <v>364</v>
      </c>
      <c r="G111" s="347">
        <v>15</v>
      </c>
      <c r="H111" s="347">
        <v>118000</v>
      </c>
      <c r="I111" s="347">
        <v>5.66E-6</v>
      </c>
      <c r="J111" s="347">
        <f>I111/0.0245</f>
        <v>2.3102040816326531E-4</v>
      </c>
      <c r="K111" s="347">
        <v>575.4</v>
      </c>
      <c r="L111" s="1327">
        <f>K111*Foc</f>
        <v>3.4523999999999999</v>
      </c>
      <c r="M111" s="1410" t="s">
        <v>115</v>
      </c>
      <c r="N111" s="1410" t="s">
        <v>115</v>
      </c>
      <c r="O111" s="1410">
        <f t="shared" si="24"/>
        <v>95.551531620000006</v>
      </c>
      <c r="P111" s="158">
        <f t="shared" si="25"/>
        <v>419188.36061814916</v>
      </c>
      <c r="Q111" s="1410" t="str">
        <f t="shared" si="28"/>
        <v>--</v>
      </c>
      <c r="R111" s="1410" t="str">
        <f t="shared" si="29"/>
        <v>--</v>
      </c>
      <c r="S111" s="158" t="str">
        <f t="shared" si="26"/>
        <v>--</v>
      </c>
      <c r="T111" s="1410" t="str">
        <f t="shared" si="27"/>
        <v>--</v>
      </c>
      <c r="U111" s="307" t="s">
        <v>115</v>
      </c>
      <c r="V111" s="304" t="s">
        <v>115</v>
      </c>
      <c r="W111" s="303" t="s">
        <v>115</v>
      </c>
      <c r="X111" s="304" t="s">
        <v>115</v>
      </c>
      <c r="Y111" s="303" t="s">
        <v>115</v>
      </c>
      <c r="Z111" s="303" t="s">
        <v>115</v>
      </c>
      <c r="AA111" s="305" t="s">
        <v>115</v>
      </c>
    </row>
    <row r="112" spans="1:31" ht="15" customHeight="1">
      <c r="A112" s="136" t="s">
        <v>279</v>
      </c>
      <c r="B112" s="486" t="s">
        <v>280</v>
      </c>
      <c r="C112" s="485" t="s">
        <v>1116</v>
      </c>
      <c r="D112" s="1467">
        <v>53</v>
      </c>
      <c r="E112" s="1411" t="str">
        <f t="shared" ref="E112:E121" si="31">IF(OR(G112="--",I112="--"),"NV",IF(OR(G112&gt;1,I112&gt;0.00001),"V","NV"))</f>
        <v>NV</v>
      </c>
      <c r="F112" s="1327">
        <v>414.4</v>
      </c>
      <c r="G112" s="158">
        <v>0.03</v>
      </c>
      <c r="H112" s="158">
        <v>9500</v>
      </c>
      <c r="I112" s="158">
        <v>3.5727000000000001E-6</v>
      </c>
      <c r="J112" s="1327">
        <v>1.4603399999999999E-4</v>
      </c>
      <c r="K112" s="158">
        <v>114.8</v>
      </c>
      <c r="L112" s="1327">
        <v>15</v>
      </c>
      <c r="M112" s="1327">
        <v>2.2560846153160001E-2</v>
      </c>
      <c r="N112" s="1327">
        <v>5.7919222953000001E-6</v>
      </c>
      <c r="O112" s="1327">
        <f t="shared" si="24"/>
        <v>19.0789757489</v>
      </c>
      <c r="P112" s="158">
        <f t="shared" si="25"/>
        <v>143450.26263158678</v>
      </c>
      <c r="Q112" s="1410" t="str">
        <f t="shared" si="28"/>
        <v>--</v>
      </c>
      <c r="R112" s="1410" t="str">
        <f t="shared" si="29"/>
        <v>--</v>
      </c>
      <c r="S112" s="158" t="str">
        <f t="shared" si="26"/>
        <v>--</v>
      </c>
      <c r="T112" s="1410" t="str">
        <f t="shared" si="27"/>
        <v>--</v>
      </c>
      <c r="U112" s="307" t="s">
        <v>115</v>
      </c>
      <c r="V112" s="304" t="s">
        <v>115</v>
      </c>
      <c r="W112" s="303" t="s">
        <v>115</v>
      </c>
      <c r="X112" s="304" t="s">
        <v>115</v>
      </c>
      <c r="Y112" s="303" t="s">
        <v>115</v>
      </c>
      <c r="Z112" s="303" t="s">
        <v>115</v>
      </c>
      <c r="AA112" s="305" t="s">
        <v>115</v>
      </c>
    </row>
    <row r="113" spans="1:28" ht="15" customHeight="1">
      <c r="A113" s="919" t="s">
        <v>281</v>
      </c>
      <c r="B113" s="486" t="s">
        <v>282</v>
      </c>
      <c r="C113" s="485" t="s">
        <v>1116</v>
      </c>
      <c r="D113" s="1467">
        <v>68</v>
      </c>
      <c r="E113" s="1411" t="str">
        <f t="shared" si="31"/>
        <v>V</v>
      </c>
      <c r="F113" s="1327">
        <v>464.1</v>
      </c>
      <c r="G113" s="158">
        <v>9.5300000000000003E-3</v>
      </c>
      <c r="H113" s="158">
        <v>1299</v>
      </c>
      <c r="I113" s="347">
        <v>1.9E-3</v>
      </c>
      <c r="J113" s="347">
        <f>I113/0.0245</f>
        <v>7.7551020408163265E-2</v>
      </c>
      <c r="K113" s="158">
        <v>245.5</v>
      </c>
      <c r="L113" s="1327">
        <v>4</v>
      </c>
      <c r="M113" s="1327">
        <v>2.1339777797830001E-2</v>
      </c>
      <c r="N113" s="1327">
        <v>5.4258568744099996E-6</v>
      </c>
      <c r="O113" s="1327">
        <f t="shared" si="24"/>
        <v>52.546300000000002</v>
      </c>
      <c r="P113" s="158">
        <f t="shared" si="25"/>
        <v>5344.9706738544483</v>
      </c>
      <c r="Q113" s="1327">
        <f t="shared" si="28"/>
        <v>2.143636299012265E-5</v>
      </c>
      <c r="R113" s="1327">
        <f t="shared" si="29"/>
        <v>24912.947035663088</v>
      </c>
      <c r="S113" s="158">
        <f t="shared" si="26"/>
        <v>24429.154437682617</v>
      </c>
      <c r="T113" s="1327">
        <f t="shared" si="27"/>
        <v>5518.0022192407268</v>
      </c>
      <c r="U113" s="307" t="s">
        <v>115</v>
      </c>
      <c r="V113" s="304" t="s">
        <v>115</v>
      </c>
      <c r="W113" s="303" t="s">
        <v>115</v>
      </c>
      <c r="X113" s="304" t="s">
        <v>115</v>
      </c>
      <c r="Y113" s="303" t="s">
        <v>115</v>
      </c>
      <c r="Z113" s="303" t="s">
        <v>115</v>
      </c>
      <c r="AA113" s="305" t="s">
        <v>115</v>
      </c>
    </row>
    <row r="114" spans="1:28" ht="15" customHeight="1">
      <c r="A114" s="136" t="s">
        <v>283</v>
      </c>
      <c r="B114" s="486" t="s">
        <v>284</v>
      </c>
      <c r="C114" s="485" t="s">
        <v>1116</v>
      </c>
      <c r="D114" s="1467">
        <v>77</v>
      </c>
      <c r="E114" s="1411" t="str">
        <f t="shared" si="31"/>
        <v>NV</v>
      </c>
      <c r="F114" s="1327">
        <v>514</v>
      </c>
      <c r="G114" s="158">
        <v>1.5299999999999999E-3</v>
      </c>
      <c r="H114" s="171">
        <v>2690</v>
      </c>
      <c r="I114" s="171">
        <v>1.51E-10</v>
      </c>
      <c r="J114" s="1327">
        <v>6.1730000000000001E-9</v>
      </c>
      <c r="K114" s="158">
        <v>912</v>
      </c>
      <c r="L114" s="1410">
        <f t="shared" si="30"/>
        <v>5.4720000000000004</v>
      </c>
      <c r="M114" s="1410">
        <v>1.9734960432579999E-2</v>
      </c>
      <c r="N114" s="1410">
        <v>4.9429170447400003E-6</v>
      </c>
      <c r="O114" s="1410">
        <f t="shared" si="24"/>
        <v>151.392000937257</v>
      </c>
      <c r="P114" s="158">
        <f t="shared" si="25"/>
        <v>14988.68000314353</v>
      </c>
      <c r="Q114" s="1327" t="str">
        <f t="shared" si="28"/>
        <v>--</v>
      </c>
      <c r="R114" s="1327" t="str">
        <f t="shared" si="29"/>
        <v>--</v>
      </c>
      <c r="S114" s="158" t="str">
        <f t="shared" si="26"/>
        <v>--</v>
      </c>
      <c r="T114" s="1327" t="str">
        <f t="shared" si="27"/>
        <v>--</v>
      </c>
      <c r="U114" s="307" t="s">
        <v>115</v>
      </c>
      <c r="V114" s="304" t="s">
        <v>115</v>
      </c>
      <c r="W114" s="303" t="s">
        <v>115</v>
      </c>
      <c r="X114" s="304" t="s">
        <v>115</v>
      </c>
      <c r="Y114" s="303" t="s">
        <v>115</v>
      </c>
      <c r="Z114" s="303" t="s">
        <v>115</v>
      </c>
      <c r="AA114" s="305" t="s">
        <v>115</v>
      </c>
    </row>
    <row r="115" spans="1:28" ht="15" customHeight="1">
      <c r="A115" s="136" t="s">
        <v>285</v>
      </c>
      <c r="B115" s="486" t="s">
        <v>286</v>
      </c>
      <c r="C115" s="485" t="s">
        <v>1116</v>
      </c>
      <c r="D115" s="1467">
        <v>112</v>
      </c>
      <c r="E115" s="1411" t="str">
        <f t="shared" si="31"/>
        <v>NV</v>
      </c>
      <c r="F115" s="158">
        <v>564.1</v>
      </c>
      <c r="G115" s="158">
        <v>7.4100000000000001E-4</v>
      </c>
      <c r="H115" s="158">
        <v>91.9</v>
      </c>
      <c r="I115" s="158">
        <v>3.3099999999999999E-10</v>
      </c>
      <c r="J115" s="1327">
        <v>1.35E-8</v>
      </c>
      <c r="K115" s="158">
        <v>3631</v>
      </c>
      <c r="L115" s="158">
        <f t="shared" si="30"/>
        <v>21.786000000000001</v>
      </c>
      <c r="M115" s="1327">
        <v>1.9361069150969999E-2</v>
      </c>
      <c r="N115" s="1327">
        <v>4.8424512429599998E-6</v>
      </c>
      <c r="O115" s="1327">
        <f t="shared" si="24"/>
        <v>602.74600205451702</v>
      </c>
      <c r="P115" s="158">
        <f t="shared" si="25"/>
        <v>2011.3234002348654</v>
      </c>
      <c r="Q115" s="1327" t="str">
        <f t="shared" si="28"/>
        <v>--</v>
      </c>
      <c r="R115" s="1327" t="str">
        <f t="shared" si="29"/>
        <v>--</v>
      </c>
      <c r="S115" s="158" t="str">
        <f t="shared" si="26"/>
        <v>--</v>
      </c>
      <c r="T115" s="1327" t="str">
        <f t="shared" si="27"/>
        <v>--</v>
      </c>
      <c r="U115" s="307" t="s">
        <v>115</v>
      </c>
      <c r="V115" s="304" t="s">
        <v>115</v>
      </c>
      <c r="W115" s="303" t="s">
        <v>115</v>
      </c>
      <c r="X115" s="304" t="s">
        <v>115</v>
      </c>
      <c r="Y115" s="303" t="s">
        <v>115</v>
      </c>
      <c r="Z115" s="303" t="s">
        <v>115</v>
      </c>
      <c r="AA115" s="305" t="s">
        <v>115</v>
      </c>
    </row>
    <row r="116" spans="1:28" ht="15" customHeight="1">
      <c r="A116" s="136" t="s">
        <v>287</v>
      </c>
      <c r="B116" s="486" t="s">
        <v>288</v>
      </c>
      <c r="C116" s="485" t="s">
        <v>1116</v>
      </c>
      <c r="D116" s="1314">
        <v>108</v>
      </c>
      <c r="E116" s="1411" t="str">
        <f t="shared" si="31"/>
        <v>NV</v>
      </c>
      <c r="F116" s="158">
        <v>614.1</v>
      </c>
      <c r="G116" s="158">
        <v>2.0999999999999999E-5</v>
      </c>
      <c r="H116" s="158">
        <v>82.9</v>
      </c>
      <c r="I116" s="158">
        <v>3.3900000000000002E-10</v>
      </c>
      <c r="J116" s="1327">
        <v>1.39E-8</v>
      </c>
      <c r="K116" s="158">
        <v>85100</v>
      </c>
      <c r="L116" s="158">
        <f t="shared" si="30"/>
        <v>510.6</v>
      </c>
      <c r="M116" s="158">
        <v>1.8582906855979998E-2</v>
      </c>
      <c r="N116" s="158">
        <v>4.6171198278899998E-6</v>
      </c>
      <c r="O116" s="1327">
        <f t="shared" si="24"/>
        <v>14126.600002104173</v>
      </c>
      <c r="P116" s="158">
        <f t="shared" si="25"/>
        <v>42337.030000218154</v>
      </c>
      <c r="Q116" s="1327" t="str">
        <f t="shared" si="28"/>
        <v>--</v>
      </c>
      <c r="R116" s="1327" t="str">
        <f t="shared" si="29"/>
        <v>--</v>
      </c>
      <c r="S116" s="158" t="str">
        <f t="shared" si="26"/>
        <v>--</v>
      </c>
      <c r="T116" s="1327" t="str">
        <f t="shared" si="27"/>
        <v>--</v>
      </c>
      <c r="U116" s="307" t="s">
        <v>115</v>
      </c>
      <c r="V116" s="304" t="s">
        <v>115</v>
      </c>
      <c r="W116" s="303" t="s">
        <v>115</v>
      </c>
      <c r="X116" s="304" t="s">
        <v>115</v>
      </c>
      <c r="Y116" s="303" t="s">
        <v>115</v>
      </c>
      <c r="Z116" s="303" t="s">
        <v>115</v>
      </c>
      <c r="AA116" s="305" t="s">
        <v>115</v>
      </c>
    </row>
    <row r="117" spans="1:28" ht="15" customHeight="1">
      <c r="A117" s="136" t="s">
        <v>289</v>
      </c>
      <c r="B117" s="486" t="s">
        <v>290</v>
      </c>
      <c r="C117" s="485" t="s">
        <v>1116</v>
      </c>
      <c r="D117" s="1314">
        <v>130</v>
      </c>
      <c r="E117" s="1411" t="str">
        <f t="shared" si="31"/>
        <v>NV</v>
      </c>
      <c r="F117" s="158">
        <v>714.1</v>
      </c>
      <c r="G117" s="158">
        <v>4.2400000000000001E-4</v>
      </c>
      <c r="H117" s="158">
        <v>0.29599999999999999</v>
      </c>
      <c r="I117" s="158">
        <v>3.5500000000000001E-10</v>
      </c>
      <c r="J117" s="1327">
        <v>1.4500000000000001E-8</v>
      </c>
      <c r="K117" s="158">
        <v>234000</v>
      </c>
      <c r="L117" s="158">
        <f t="shared" si="30"/>
        <v>1404</v>
      </c>
      <c r="M117" s="158">
        <v>1.7375246313909999E-2</v>
      </c>
      <c r="N117" s="158">
        <v>4.27291366833E-6</v>
      </c>
      <c r="O117" s="1327">
        <f t="shared" si="24"/>
        <v>38844.000002203487</v>
      </c>
      <c r="P117" s="158">
        <f t="shared" si="25"/>
        <v>415.61360000081248</v>
      </c>
      <c r="Q117" s="1327" t="str">
        <f t="shared" si="28"/>
        <v>--</v>
      </c>
      <c r="R117" s="1327" t="str">
        <f t="shared" si="29"/>
        <v>--</v>
      </c>
      <c r="S117" s="158" t="str">
        <f t="shared" si="26"/>
        <v>--</v>
      </c>
      <c r="T117" s="1327" t="str">
        <f t="shared" si="27"/>
        <v>--</v>
      </c>
      <c r="U117" s="307" t="s">
        <v>115</v>
      </c>
      <c r="V117" s="304" t="s">
        <v>115</v>
      </c>
      <c r="W117" s="303" t="s">
        <v>115</v>
      </c>
      <c r="X117" s="304" t="s">
        <v>115</v>
      </c>
      <c r="Y117" s="303" t="s">
        <v>115</v>
      </c>
      <c r="Z117" s="303" t="s">
        <v>115</v>
      </c>
      <c r="AA117" s="305" t="s">
        <v>115</v>
      </c>
    </row>
    <row r="118" spans="1:28" ht="15" customHeight="1">
      <c r="A118" s="136" t="s">
        <v>291</v>
      </c>
      <c r="B118" s="486" t="s">
        <v>292</v>
      </c>
      <c r="C118" s="485" t="s">
        <v>1116</v>
      </c>
      <c r="D118" s="1314">
        <v>113</v>
      </c>
      <c r="E118" s="1411" t="str">
        <f t="shared" si="31"/>
        <v>NV</v>
      </c>
      <c r="F118" s="158">
        <v>914.1</v>
      </c>
      <c r="G118" s="158">
        <v>1.26E-5</v>
      </c>
      <c r="H118" s="158">
        <v>4.7000000000000002E-3</v>
      </c>
      <c r="I118" s="158">
        <v>1.3799999999999999E-10</v>
      </c>
      <c r="J118" s="1327">
        <v>5.6400000000000004E-9</v>
      </c>
      <c r="K118" s="158">
        <v>135000</v>
      </c>
      <c r="L118" s="158">
        <f t="shared" si="30"/>
        <v>810</v>
      </c>
      <c r="M118" s="158">
        <v>1.5810432933440002E-2</v>
      </c>
      <c r="N118" s="158">
        <v>3.8369610628699997E-6</v>
      </c>
      <c r="O118" s="1327">
        <f t="shared" si="24"/>
        <v>22410.000000856566</v>
      </c>
      <c r="P118" s="158">
        <f t="shared" si="25"/>
        <v>3.807470000005019</v>
      </c>
      <c r="Q118" s="1327" t="str">
        <f t="shared" si="28"/>
        <v>--</v>
      </c>
      <c r="R118" s="1327" t="str">
        <f t="shared" si="29"/>
        <v>--</v>
      </c>
      <c r="S118" s="158" t="str">
        <f t="shared" si="26"/>
        <v>--</v>
      </c>
      <c r="T118" s="1327" t="str">
        <f t="shared" si="27"/>
        <v>--</v>
      </c>
      <c r="U118" s="307" t="s">
        <v>115</v>
      </c>
      <c r="V118" s="304" t="s">
        <v>115</v>
      </c>
      <c r="W118" s="303" t="s">
        <v>115</v>
      </c>
      <c r="X118" s="304" t="s">
        <v>115</v>
      </c>
      <c r="Y118" s="303" t="s">
        <v>115</v>
      </c>
      <c r="Z118" s="303" t="s">
        <v>115</v>
      </c>
      <c r="AA118" s="305" t="s">
        <v>115</v>
      </c>
    </row>
    <row r="119" spans="1:28" ht="15" customHeight="1">
      <c r="A119" s="1400" t="s">
        <v>293</v>
      </c>
      <c r="B119" s="486" t="s">
        <v>294</v>
      </c>
      <c r="C119" s="485" t="s">
        <v>1116</v>
      </c>
      <c r="D119" s="1314">
        <v>-21</v>
      </c>
      <c r="E119" s="1411" t="str">
        <f t="shared" si="31"/>
        <v>NV</v>
      </c>
      <c r="F119" s="158">
        <v>300.10000000000002</v>
      </c>
      <c r="G119" s="158">
        <v>0.05</v>
      </c>
      <c r="H119" s="158">
        <v>256600</v>
      </c>
      <c r="I119" s="171">
        <v>2.9500000000000002E-10</v>
      </c>
      <c r="J119" s="1327">
        <f>I119/0.0245</f>
        <v>1.2040816326530613E-8</v>
      </c>
      <c r="K119" s="158">
        <v>61.66</v>
      </c>
      <c r="L119" s="158">
        <v>0.3</v>
      </c>
      <c r="M119" s="158">
        <v>2.6792467805000001E-2</v>
      </c>
      <c r="N119" s="158">
        <v>7.1043945869699999E-6</v>
      </c>
      <c r="O119" s="1327">
        <f t="shared" si="24"/>
        <v>10.235561831064999</v>
      </c>
      <c r="P119" s="158">
        <f t="shared" si="25"/>
        <v>102640.00058490044</v>
      </c>
      <c r="Q119" s="1327" t="str">
        <f t="shared" si="28"/>
        <v>--</v>
      </c>
      <c r="R119" s="1327" t="str">
        <f t="shared" si="29"/>
        <v>--</v>
      </c>
      <c r="S119" s="158" t="str">
        <f t="shared" si="26"/>
        <v>--</v>
      </c>
      <c r="T119" s="1327" t="str">
        <f t="shared" si="27"/>
        <v>--</v>
      </c>
      <c r="U119" s="307" t="s">
        <v>115</v>
      </c>
      <c r="V119" s="304" t="s">
        <v>115</v>
      </c>
      <c r="W119" s="303" t="s">
        <v>115</v>
      </c>
      <c r="X119" s="304" t="s">
        <v>115</v>
      </c>
      <c r="Y119" s="303" t="s">
        <v>115</v>
      </c>
      <c r="Z119" s="303" t="s">
        <v>115</v>
      </c>
      <c r="AA119" s="305" t="s">
        <v>115</v>
      </c>
    </row>
    <row r="120" spans="1:28" ht="15" customHeight="1">
      <c r="A120" s="919" t="s">
        <v>295</v>
      </c>
      <c r="B120" s="486" t="s">
        <v>296</v>
      </c>
      <c r="C120" s="485" t="s">
        <v>1116</v>
      </c>
      <c r="D120" s="1314">
        <v>41</v>
      </c>
      <c r="E120" s="1411" t="str">
        <f t="shared" si="31"/>
        <v>V</v>
      </c>
      <c r="F120" s="158">
        <v>400.1</v>
      </c>
      <c r="G120" s="347">
        <v>0.36</v>
      </c>
      <c r="H120" s="158">
        <v>243</v>
      </c>
      <c r="I120" s="347">
        <v>1E-4</v>
      </c>
      <c r="J120" s="347">
        <f>I120/0.0245</f>
        <v>4.0816326530612249E-3</v>
      </c>
      <c r="K120" s="158">
        <v>112.2</v>
      </c>
      <c r="L120" s="158">
        <f t="shared" si="30"/>
        <v>0.67320000000000002</v>
      </c>
      <c r="M120" s="158">
        <v>2.3263362763010002E-2</v>
      </c>
      <c r="N120" s="158">
        <v>6.0117777098300001E-6</v>
      </c>
      <c r="O120" s="1327">
        <f t="shared" si="24"/>
        <v>19.245900000000002</v>
      </c>
      <c r="P120" s="158">
        <f t="shared" si="25"/>
        <v>188.0753628032345</v>
      </c>
      <c r="Q120" s="1327">
        <f t="shared" si="28"/>
        <v>6.5854432956474988E-6</v>
      </c>
      <c r="R120" s="1327">
        <f t="shared" si="29"/>
        <v>44947.769874712569</v>
      </c>
      <c r="S120" s="158">
        <f t="shared" si="26"/>
        <v>44074.914554545627</v>
      </c>
      <c r="T120" s="1327">
        <f t="shared" si="27"/>
        <v>9955.5421349204498</v>
      </c>
      <c r="U120" s="307" t="s">
        <v>115</v>
      </c>
      <c r="V120" s="304" t="s">
        <v>115</v>
      </c>
      <c r="W120" s="303" t="s">
        <v>115</v>
      </c>
      <c r="X120" s="304" t="s">
        <v>115</v>
      </c>
      <c r="Y120" s="303" t="s">
        <v>115</v>
      </c>
      <c r="Z120" s="303" t="s">
        <v>115</v>
      </c>
      <c r="AA120" s="305" t="s">
        <v>115</v>
      </c>
    </row>
    <row r="121" spans="1:28" ht="15" customHeight="1">
      <c r="A121" s="136" t="s">
        <v>297</v>
      </c>
      <c r="B121" s="486" t="s">
        <v>298</v>
      </c>
      <c r="C121" s="485" t="s">
        <v>1116</v>
      </c>
      <c r="D121" s="1314">
        <v>84</v>
      </c>
      <c r="E121" s="1411" t="str">
        <f t="shared" si="31"/>
        <v>NV</v>
      </c>
      <c r="F121" s="158">
        <v>500.1</v>
      </c>
      <c r="G121" s="158">
        <v>6.5300000000000004E-4</v>
      </c>
      <c r="H121" s="158">
        <v>680</v>
      </c>
      <c r="I121" s="158">
        <v>4.34E-7</v>
      </c>
      <c r="J121" s="158">
        <v>1.7743254289999999E-5</v>
      </c>
      <c r="K121" s="158">
        <v>371.5</v>
      </c>
      <c r="L121" s="158">
        <v>7.42</v>
      </c>
      <c r="M121" s="158">
        <v>2.0813768112350001E-2</v>
      </c>
      <c r="N121" s="158">
        <v>5.2740069270300003E-6</v>
      </c>
      <c r="O121" s="1327">
        <f t="shared" si="24"/>
        <v>61.671693838000003</v>
      </c>
      <c r="P121" s="158">
        <f t="shared" si="25"/>
        <v>5113.602284081313</v>
      </c>
      <c r="Q121" s="1327" t="str">
        <f t="shared" si="28"/>
        <v>--</v>
      </c>
      <c r="R121" s="1327" t="str">
        <f t="shared" si="29"/>
        <v>--</v>
      </c>
      <c r="S121" s="158" t="str">
        <f t="shared" si="26"/>
        <v>--</v>
      </c>
      <c r="T121" s="1327" t="str">
        <f t="shared" si="27"/>
        <v>--</v>
      </c>
      <c r="U121" s="307" t="s">
        <v>115</v>
      </c>
      <c r="V121" s="304" t="s">
        <v>115</v>
      </c>
      <c r="W121" s="303" t="s">
        <v>115</v>
      </c>
      <c r="X121" s="304" t="s">
        <v>115</v>
      </c>
      <c r="Y121" s="303" t="s">
        <v>115</v>
      </c>
      <c r="Z121" s="303" t="s">
        <v>115</v>
      </c>
      <c r="AA121" s="305" t="s">
        <v>115</v>
      </c>
    </row>
    <row r="122" spans="1:28" ht="15" customHeight="1">
      <c r="A122" s="136" t="s">
        <v>299</v>
      </c>
      <c r="B122" s="486" t="s">
        <v>300</v>
      </c>
      <c r="C122" s="485" t="s">
        <v>1116</v>
      </c>
      <c r="D122" s="1314">
        <v>-40</v>
      </c>
      <c r="E122" s="1411" t="str">
        <f t="shared" ref="E122:E140" si="32">IF(OR(G122="--",I122="--"),"NV",IF(OR(G122&gt;1,I122&gt;0.00001),"V","NV"))</f>
        <v>V</v>
      </c>
      <c r="F122" s="158">
        <v>330.1</v>
      </c>
      <c r="G122" s="158">
        <v>2.2949999999999999</v>
      </c>
      <c r="H122" s="158">
        <v>756000</v>
      </c>
      <c r="I122" s="158">
        <v>2.5000000000000001E-4</v>
      </c>
      <c r="J122" s="158">
        <v>1.022E-2</v>
      </c>
      <c r="K122" s="158">
        <v>407</v>
      </c>
      <c r="L122" s="158">
        <f t="shared" si="30"/>
        <v>2.4420000000000002</v>
      </c>
      <c r="M122" s="158">
        <v>2.504486907312E-2</v>
      </c>
      <c r="N122" s="158">
        <v>6.5449643628700004E-6</v>
      </c>
      <c r="O122" s="158">
        <f t="shared" si="24"/>
        <v>69.113749999999996</v>
      </c>
      <c r="P122" s="158">
        <f t="shared" si="25"/>
        <v>1923214.6555471697</v>
      </c>
      <c r="Q122" s="158">
        <f t="shared" si="28"/>
        <v>5.3768153669210263E-6</v>
      </c>
      <c r="R122" s="158">
        <f t="shared" si="29"/>
        <v>49743.700991434998</v>
      </c>
      <c r="S122" s="158">
        <f t="shared" si="26"/>
        <v>48777.711929548423</v>
      </c>
      <c r="T122" s="158">
        <f t="shared" si="27"/>
        <v>11017.799382427806</v>
      </c>
      <c r="U122" s="307" t="s">
        <v>115</v>
      </c>
      <c r="V122" s="304" t="s">
        <v>115</v>
      </c>
      <c r="W122" s="303" t="s">
        <v>115</v>
      </c>
      <c r="X122" s="304" t="s">
        <v>115</v>
      </c>
      <c r="Y122" s="303" t="s">
        <v>115</v>
      </c>
      <c r="Z122" s="303" t="s">
        <v>115</v>
      </c>
      <c r="AA122" s="305" t="s">
        <v>115</v>
      </c>
      <c r="AB122" t="s">
        <v>635</v>
      </c>
    </row>
    <row r="123" spans="1:28" ht="15" customHeight="1">
      <c r="A123" s="136" t="s">
        <v>301</v>
      </c>
      <c r="B123" s="486" t="s">
        <v>302</v>
      </c>
      <c r="C123" s="485" t="s">
        <v>1116</v>
      </c>
      <c r="D123" s="1314">
        <v>40.9</v>
      </c>
      <c r="E123" s="1411" t="str">
        <f t="shared" si="32"/>
        <v>NV</v>
      </c>
      <c r="F123" s="302">
        <v>94.114000000000004</v>
      </c>
      <c r="G123" s="158">
        <v>0.35</v>
      </c>
      <c r="H123" s="158">
        <v>82800</v>
      </c>
      <c r="I123" s="158">
        <v>3.3299999999999998E-7</v>
      </c>
      <c r="J123" s="158">
        <v>1.3614063779999999E-5</v>
      </c>
      <c r="K123" s="203">
        <v>187.2</v>
      </c>
      <c r="L123" s="158">
        <f t="shared" si="30"/>
        <v>1.1232</v>
      </c>
      <c r="M123" s="158">
        <v>8.3398295459199995E-2</v>
      </c>
      <c r="N123" s="158">
        <v>1.025432748E-5</v>
      </c>
      <c r="O123" s="158">
        <f t="shared" si="24"/>
        <v>31.077266931</v>
      </c>
      <c r="P123" s="158">
        <f t="shared" si="25"/>
        <v>101281.17339659671</v>
      </c>
      <c r="Q123" s="161" t="str">
        <f t="shared" si="28"/>
        <v>--</v>
      </c>
      <c r="R123" s="158" t="str">
        <f t="shared" si="29"/>
        <v>--</v>
      </c>
      <c r="S123" s="158" t="str">
        <f t="shared" si="26"/>
        <v>--</v>
      </c>
      <c r="T123" s="158" t="str">
        <f t="shared" si="27"/>
        <v>--</v>
      </c>
      <c r="U123" s="307">
        <v>300</v>
      </c>
      <c r="V123" s="304" t="s">
        <v>1129</v>
      </c>
      <c r="W123" s="303">
        <v>79000</v>
      </c>
      <c r="X123" s="304" t="s">
        <v>1118</v>
      </c>
      <c r="Y123" s="303">
        <v>156</v>
      </c>
      <c r="Z123" s="303">
        <v>0.04</v>
      </c>
      <c r="AA123" s="305" t="s">
        <v>115</v>
      </c>
    </row>
    <row r="124" spans="1:28" ht="15" customHeight="1">
      <c r="A124" s="136" t="s">
        <v>303</v>
      </c>
      <c r="B124" s="486" t="s">
        <v>304</v>
      </c>
      <c r="C124" s="485" t="s">
        <v>1116</v>
      </c>
      <c r="D124" s="1314">
        <v>122.32</v>
      </c>
      <c r="E124" s="1411" t="str">
        <f t="shared" si="32"/>
        <v>V</v>
      </c>
      <c r="F124" s="302">
        <v>291.99</v>
      </c>
      <c r="G124" s="158">
        <v>4.9399999999999997E-4</v>
      </c>
      <c r="H124" s="158">
        <v>0.7</v>
      </c>
      <c r="I124" s="158">
        <v>4.15E-4</v>
      </c>
      <c r="J124" s="158">
        <v>1.6966475878990001E-2</v>
      </c>
      <c r="K124" s="203">
        <v>78100</v>
      </c>
      <c r="L124" s="158">
        <f t="shared" si="30"/>
        <v>468.6</v>
      </c>
      <c r="M124" s="158">
        <v>2.4339655398689999E-2</v>
      </c>
      <c r="N124" s="158">
        <v>6.2671267752199998E-6</v>
      </c>
      <c r="O124" s="158">
        <f t="shared" si="24"/>
        <v>12967.175905</v>
      </c>
      <c r="P124" s="158">
        <f t="shared" si="25"/>
        <v>328.09224832482249</v>
      </c>
      <c r="Q124" s="161">
        <f t="shared" si="28"/>
        <v>4.7025453973914123E-8</v>
      </c>
      <c r="R124" s="158">
        <f t="shared" si="29"/>
        <v>531905.10382762493</v>
      </c>
      <c r="S124" s="158">
        <f t="shared" si="26"/>
        <v>521575.86611474142</v>
      </c>
      <c r="T124" s="158">
        <f t="shared" si="27"/>
        <v>117812.37840488122</v>
      </c>
      <c r="U124" s="307" t="s">
        <v>115</v>
      </c>
      <c r="V124" s="304" t="s">
        <v>115</v>
      </c>
      <c r="W124" s="303" t="s">
        <v>115</v>
      </c>
      <c r="X124" s="304" t="s">
        <v>115</v>
      </c>
      <c r="Y124" s="303" t="s">
        <v>115</v>
      </c>
      <c r="Z124" s="303" t="s">
        <v>115</v>
      </c>
      <c r="AA124" s="305" t="s">
        <v>115</v>
      </c>
    </row>
    <row r="125" spans="1:28" ht="15" customHeight="1">
      <c r="A125" s="136" t="s">
        <v>305</v>
      </c>
      <c r="B125" s="486" t="s">
        <v>306</v>
      </c>
      <c r="C125" s="485" t="s">
        <v>1119</v>
      </c>
      <c r="D125" s="1314">
        <v>221</v>
      </c>
      <c r="E125" s="1411" t="str">
        <f t="shared" si="32"/>
        <v>NV</v>
      </c>
      <c r="F125" s="302">
        <v>78.959999999999994</v>
      </c>
      <c r="G125" s="171">
        <v>1.42E-10</v>
      </c>
      <c r="H125" s="171" t="s">
        <v>115</v>
      </c>
      <c r="I125" s="171" t="s">
        <v>115</v>
      </c>
      <c r="J125" s="171" t="s">
        <v>115</v>
      </c>
      <c r="K125" s="171" t="s">
        <v>115</v>
      </c>
      <c r="L125" s="158">
        <v>5</v>
      </c>
      <c r="M125" s="158">
        <v>0.17126393562896</v>
      </c>
      <c r="N125" s="158">
        <v>2.8317855019999999E-5</v>
      </c>
      <c r="O125" s="158" t="str">
        <f t="shared" si="24"/>
        <v>--</v>
      </c>
      <c r="P125" s="158" t="str">
        <f t="shared" si="25"/>
        <v>--</v>
      </c>
      <c r="Q125" s="161" t="str">
        <f t="shared" si="28"/>
        <v>--</v>
      </c>
      <c r="R125" s="158" t="str">
        <f t="shared" si="29"/>
        <v>--</v>
      </c>
      <c r="S125" s="158" t="str">
        <f t="shared" si="26"/>
        <v>--</v>
      </c>
      <c r="T125" s="158" t="str">
        <f t="shared" si="27"/>
        <v>--</v>
      </c>
      <c r="U125" s="307" t="s">
        <v>115</v>
      </c>
      <c r="V125" s="304" t="s">
        <v>115</v>
      </c>
      <c r="W125" s="303" t="s">
        <v>115</v>
      </c>
      <c r="X125" s="304" t="s">
        <v>115</v>
      </c>
      <c r="Y125" s="303" t="s">
        <v>115</v>
      </c>
      <c r="Z125" s="303" t="s">
        <v>115</v>
      </c>
      <c r="AA125" s="305" t="s">
        <v>495</v>
      </c>
    </row>
    <row r="126" spans="1:28" ht="15" customHeight="1">
      <c r="A126" s="136" t="s">
        <v>307</v>
      </c>
      <c r="B126" s="486" t="s">
        <v>308</v>
      </c>
      <c r="C126" s="485" t="s">
        <v>1119</v>
      </c>
      <c r="D126" s="1314">
        <v>960.5</v>
      </c>
      <c r="E126" s="1411" t="str">
        <f t="shared" si="32"/>
        <v>NV</v>
      </c>
      <c r="F126" s="302">
        <v>107.87</v>
      </c>
      <c r="G126" s="171" t="s">
        <v>115</v>
      </c>
      <c r="H126" s="171" t="s">
        <v>115</v>
      </c>
      <c r="I126" s="171" t="s">
        <v>115</v>
      </c>
      <c r="J126" s="171" t="s">
        <v>115</v>
      </c>
      <c r="K126" s="171" t="s">
        <v>115</v>
      </c>
      <c r="L126" s="158">
        <v>8.3000000000000007</v>
      </c>
      <c r="M126" s="158">
        <v>0.17502234991880999</v>
      </c>
      <c r="N126" s="158">
        <v>3.751845481E-5</v>
      </c>
      <c r="O126" s="158" t="str">
        <f t="shared" si="24"/>
        <v>--</v>
      </c>
      <c r="P126" s="158" t="str">
        <f t="shared" si="25"/>
        <v>--</v>
      </c>
      <c r="Q126" s="161" t="str">
        <f t="shared" si="28"/>
        <v>--</v>
      </c>
      <c r="R126" s="158" t="str">
        <f t="shared" si="29"/>
        <v>--</v>
      </c>
      <c r="S126" s="158" t="str">
        <f t="shared" si="26"/>
        <v>--</v>
      </c>
      <c r="T126" s="158" t="str">
        <f t="shared" si="27"/>
        <v>--</v>
      </c>
      <c r="U126" s="307">
        <v>100</v>
      </c>
      <c r="V126" s="304" t="s">
        <v>1120</v>
      </c>
      <c r="W126" s="303" t="s">
        <v>115</v>
      </c>
      <c r="X126" s="304" t="s">
        <v>115</v>
      </c>
      <c r="Y126" s="303" t="s">
        <v>115</v>
      </c>
      <c r="Z126" s="303" t="s">
        <v>115</v>
      </c>
      <c r="AA126" s="305" t="s">
        <v>495</v>
      </c>
    </row>
    <row r="127" spans="1:28" ht="15" customHeight="1">
      <c r="A127" s="136" t="s">
        <v>309</v>
      </c>
      <c r="B127" s="486" t="s">
        <v>310</v>
      </c>
      <c r="C127" s="485" t="s">
        <v>1116</v>
      </c>
      <c r="D127" s="1314">
        <v>-31</v>
      </c>
      <c r="E127" s="1411" t="str">
        <f t="shared" si="32"/>
        <v>V</v>
      </c>
      <c r="F127" s="302">
        <v>104.15</v>
      </c>
      <c r="G127" s="158">
        <v>6.4</v>
      </c>
      <c r="H127" s="158">
        <v>310</v>
      </c>
      <c r="I127" s="158">
        <v>2.7499999999999998E-3</v>
      </c>
      <c r="J127" s="158">
        <v>0.11242845461978999</v>
      </c>
      <c r="K127" s="203">
        <v>446.1</v>
      </c>
      <c r="L127" s="158">
        <f>K127*Foc</f>
        <v>2.6766000000000001</v>
      </c>
      <c r="M127" s="158">
        <v>7.1114019006519993E-2</v>
      </c>
      <c r="N127" s="158">
        <v>8.7838426783500005E-6</v>
      </c>
      <c r="O127" s="158">
        <f t="shared" si="24"/>
        <v>91.121850000000009</v>
      </c>
      <c r="P127" s="158">
        <f t="shared" si="25"/>
        <v>867.34392396262422</v>
      </c>
      <c r="Q127" s="161">
        <f t="shared" si="28"/>
        <v>1.5226458669316049E-4</v>
      </c>
      <c r="R127" s="158">
        <f t="shared" si="29"/>
        <v>9347.6232902671545</v>
      </c>
      <c r="S127" s="158">
        <f t="shared" si="26"/>
        <v>9166.0987620743472</v>
      </c>
      <c r="T127" s="158">
        <f t="shared" si="27"/>
        <v>2070.4176822791378</v>
      </c>
      <c r="U127" s="307">
        <v>10</v>
      </c>
      <c r="V127" s="304" t="s">
        <v>1121</v>
      </c>
      <c r="W127" s="303">
        <v>110</v>
      </c>
      <c r="X127" s="304" t="s">
        <v>1118</v>
      </c>
      <c r="Y127" s="303">
        <v>1360</v>
      </c>
      <c r="Z127" s="303">
        <v>0.3</v>
      </c>
      <c r="AA127" s="305" t="s">
        <v>115</v>
      </c>
    </row>
    <row r="128" spans="1:28" ht="15" customHeight="1">
      <c r="A128" s="136" t="s">
        <v>311</v>
      </c>
      <c r="B128" s="486" t="s">
        <v>312</v>
      </c>
      <c r="C128" s="485" t="s">
        <v>1116</v>
      </c>
      <c r="D128" s="1314">
        <v>25.4</v>
      </c>
      <c r="E128" s="1411" t="str">
        <f t="shared" si="32"/>
        <v>V</v>
      </c>
      <c r="F128" s="302">
        <v>74.123999999999995</v>
      </c>
      <c r="G128" s="158">
        <v>40.700000000000003</v>
      </c>
      <c r="H128" s="158">
        <v>1000000</v>
      </c>
      <c r="I128" s="158">
        <v>9.0499999999999997E-6</v>
      </c>
      <c r="J128" s="158">
        <v>3.6999182339000002E-4</v>
      </c>
      <c r="K128" s="203">
        <v>2.1110000000000002</v>
      </c>
      <c r="L128" s="158">
        <f>K128*Foc</f>
        <v>1.2666000000000002E-2</v>
      </c>
      <c r="M128" s="158">
        <v>8.9030987241509998E-2</v>
      </c>
      <c r="N128" s="158">
        <v>9.9413088784600001E-6</v>
      </c>
      <c r="O128" s="158">
        <f t="shared" si="24"/>
        <v>0.40659935000000008</v>
      </c>
      <c r="P128" s="158">
        <f t="shared" si="25"/>
        <v>112736.04247725812</v>
      </c>
      <c r="Q128" s="161">
        <f t="shared" si="28"/>
        <v>1.6126997010141869E-5</v>
      </c>
      <c r="R128" s="158">
        <f t="shared" si="29"/>
        <v>28722.610126324369</v>
      </c>
      <c r="S128" s="158">
        <f t="shared" si="26"/>
        <v>28164.836445278015</v>
      </c>
      <c r="T128" s="158">
        <f t="shared" si="27"/>
        <v>6361.8096322591737</v>
      </c>
      <c r="U128" s="307" t="s">
        <v>115</v>
      </c>
      <c r="V128" s="304" t="s">
        <v>115</v>
      </c>
      <c r="W128" s="303" t="s">
        <v>115</v>
      </c>
      <c r="X128" s="304" t="s">
        <v>115</v>
      </c>
      <c r="Y128" s="303" t="s">
        <v>115</v>
      </c>
      <c r="Z128" s="303" t="s">
        <v>115</v>
      </c>
      <c r="AA128" s="305" t="s">
        <v>115</v>
      </c>
    </row>
    <row r="129" spans="1:27" ht="15" customHeight="1">
      <c r="A129" s="136" t="s">
        <v>313</v>
      </c>
      <c r="B129" s="486" t="s">
        <v>314</v>
      </c>
      <c r="C129" s="485" t="s">
        <v>1116</v>
      </c>
      <c r="D129" s="1314">
        <v>-70.2</v>
      </c>
      <c r="E129" s="1411" t="str">
        <f t="shared" si="32"/>
        <v>V</v>
      </c>
      <c r="F129" s="302">
        <v>167.85</v>
      </c>
      <c r="G129" s="158">
        <v>12</v>
      </c>
      <c r="H129" s="158">
        <v>1070</v>
      </c>
      <c r="I129" s="158">
        <v>2.5000000000000001E-3</v>
      </c>
      <c r="J129" s="158">
        <v>0.10220768601799</v>
      </c>
      <c r="K129" s="203">
        <v>86.03</v>
      </c>
      <c r="L129" s="158">
        <f>K129*Foc</f>
        <v>0.51617999999999997</v>
      </c>
      <c r="M129" s="158">
        <v>4.8176070236370001E-2</v>
      </c>
      <c r="N129" s="158">
        <v>9.0977269942199995E-6</v>
      </c>
      <c r="O129" s="158">
        <f t="shared" si="24"/>
        <v>29.798480000000001</v>
      </c>
      <c r="P129" s="158">
        <f t="shared" si="25"/>
        <v>680.01576316717876</v>
      </c>
      <c r="Q129" s="161">
        <f t="shared" si="28"/>
        <v>4.1287212944672873E-4</v>
      </c>
      <c r="R129" s="158">
        <f t="shared" si="29"/>
        <v>5676.6598582844317</v>
      </c>
      <c r="S129" s="158">
        <f t="shared" si="26"/>
        <v>5566.4229595040706</v>
      </c>
      <c r="T129" s="158">
        <f t="shared" si="27"/>
        <v>1257.331043615512</v>
      </c>
      <c r="U129" s="307" t="s">
        <v>115</v>
      </c>
      <c r="V129" s="304" t="s">
        <v>115</v>
      </c>
      <c r="W129" s="303" t="s">
        <v>115</v>
      </c>
      <c r="X129" s="304" t="s">
        <v>115</v>
      </c>
      <c r="Y129" s="303" t="s">
        <v>115</v>
      </c>
      <c r="Z129" s="303" t="s">
        <v>115</v>
      </c>
      <c r="AA129" s="305" t="s">
        <v>115</v>
      </c>
    </row>
    <row r="130" spans="1:27" ht="15" customHeight="1">
      <c r="A130" s="136" t="s">
        <v>315</v>
      </c>
      <c r="B130" s="486" t="s">
        <v>316</v>
      </c>
      <c r="C130" s="485" t="s">
        <v>1116</v>
      </c>
      <c r="D130" s="1314">
        <v>-43.8</v>
      </c>
      <c r="E130" s="1411" t="str">
        <f t="shared" si="32"/>
        <v>V</v>
      </c>
      <c r="F130" s="302">
        <v>167.85</v>
      </c>
      <c r="G130" s="158">
        <v>4.62</v>
      </c>
      <c r="H130" s="158">
        <v>2830</v>
      </c>
      <c r="I130" s="158">
        <v>3.6699999999999998E-4</v>
      </c>
      <c r="J130" s="158">
        <v>1.5004088307439999E-2</v>
      </c>
      <c r="K130" s="203">
        <v>94.94</v>
      </c>
      <c r="L130" s="158">
        <f>K130*Foc</f>
        <v>0.56964000000000004</v>
      </c>
      <c r="M130" s="158">
        <v>4.8920615325250001E-2</v>
      </c>
      <c r="N130" s="158">
        <v>9.2901854476699995E-6</v>
      </c>
      <c r="O130" s="158">
        <f t="shared" si="24"/>
        <v>18.038008999999999</v>
      </c>
      <c r="P130" s="158">
        <f t="shared" si="25"/>
        <v>1903.1195223540417</v>
      </c>
      <c r="Q130" s="161">
        <f t="shared" si="28"/>
        <v>5.8239360106405106E-5</v>
      </c>
      <c r="R130" s="158">
        <f t="shared" si="29"/>
        <v>15114.450362613026</v>
      </c>
      <c r="S130" s="158">
        <f t="shared" si="26"/>
        <v>14820.937949267956</v>
      </c>
      <c r="T130" s="158">
        <f t="shared" si="27"/>
        <v>3347.7199836740492</v>
      </c>
      <c r="U130" s="307">
        <v>500</v>
      </c>
      <c r="V130" s="304" t="s">
        <v>1117</v>
      </c>
      <c r="W130" s="303">
        <v>5000</v>
      </c>
      <c r="X130" s="304" t="s">
        <v>1118</v>
      </c>
      <c r="Y130" s="303">
        <v>10470</v>
      </c>
      <c r="Z130" s="303">
        <v>1.5</v>
      </c>
      <c r="AA130" s="305" t="s">
        <v>115</v>
      </c>
    </row>
    <row r="131" spans="1:27" ht="15" customHeight="1">
      <c r="A131" s="136" t="s">
        <v>317</v>
      </c>
      <c r="B131" s="486" t="s">
        <v>318</v>
      </c>
      <c r="C131" s="485" t="s">
        <v>1116</v>
      </c>
      <c r="D131" s="1314">
        <v>-22.3</v>
      </c>
      <c r="E131" s="1411" t="str">
        <f t="shared" si="32"/>
        <v>V</v>
      </c>
      <c r="F131" s="302">
        <v>165.83</v>
      </c>
      <c r="G131" s="158">
        <v>18.5</v>
      </c>
      <c r="H131" s="158">
        <v>206</v>
      </c>
      <c r="I131" s="158">
        <v>1.77E-2</v>
      </c>
      <c r="J131" s="158">
        <v>0.72363041700735997</v>
      </c>
      <c r="K131" s="203">
        <v>94.94</v>
      </c>
      <c r="L131" s="158">
        <f>K131*Foc</f>
        <v>0.56964000000000004</v>
      </c>
      <c r="M131" s="158">
        <v>5.0466374151020003E-2</v>
      </c>
      <c r="N131" s="158">
        <v>9.4550759772300007E-6</v>
      </c>
      <c r="O131" s="158">
        <f t="shared" si="24"/>
        <v>125.62394</v>
      </c>
      <c r="P131" s="158">
        <f t="shared" si="25"/>
        <v>166.16560580940779</v>
      </c>
      <c r="Q131" s="161">
        <f t="shared" si="28"/>
        <v>2.4121185138982026E-3</v>
      </c>
      <c r="R131" s="158">
        <f t="shared" si="29"/>
        <v>2348.5582431127432</v>
      </c>
      <c r="S131" s="158">
        <f t="shared" si="26"/>
        <v>2302.9508289309742</v>
      </c>
      <c r="T131" s="158">
        <f t="shared" si="27"/>
        <v>520.18533090287576</v>
      </c>
      <c r="U131" s="307">
        <v>170</v>
      </c>
      <c r="V131" s="304" t="s">
        <v>1117</v>
      </c>
      <c r="W131" s="303">
        <v>3000</v>
      </c>
      <c r="X131" s="304" t="s">
        <v>1118</v>
      </c>
      <c r="Y131" s="303">
        <v>31730</v>
      </c>
      <c r="Z131" s="303">
        <v>4.68</v>
      </c>
      <c r="AA131" s="305" t="s">
        <v>115</v>
      </c>
    </row>
    <row r="132" spans="1:27" ht="15" customHeight="1">
      <c r="A132" s="136" t="s">
        <v>319</v>
      </c>
      <c r="B132" s="486" t="s">
        <v>320</v>
      </c>
      <c r="C132" s="485" t="s">
        <v>1119</v>
      </c>
      <c r="D132" s="1314">
        <v>303.5</v>
      </c>
      <c r="E132" s="1411" t="str">
        <f t="shared" si="32"/>
        <v>NV</v>
      </c>
      <c r="F132" s="302">
        <v>204.38</v>
      </c>
      <c r="G132" s="171" t="s">
        <v>115</v>
      </c>
      <c r="H132" s="171" t="s">
        <v>115</v>
      </c>
      <c r="I132" s="171" t="s">
        <v>115</v>
      </c>
      <c r="J132" s="171" t="s">
        <v>115</v>
      </c>
      <c r="K132" s="171" t="s">
        <v>115</v>
      </c>
      <c r="L132" s="171">
        <v>71</v>
      </c>
      <c r="M132" s="158">
        <v>6.7748058159589994E-2</v>
      </c>
      <c r="N132" s="158">
        <v>2.7424450790000001E-5</v>
      </c>
      <c r="O132" s="158" t="str">
        <f t="shared" si="24"/>
        <v>--</v>
      </c>
      <c r="P132" s="158" t="str">
        <f t="shared" si="25"/>
        <v>--</v>
      </c>
      <c r="Q132" s="161" t="str">
        <f t="shared" si="28"/>
        <v>--</v>
      </c>
      <c r="R132" s="158" t="str">
        <f t="shared" si="29"/>
        <v>--</v>
      </c>
      <c r="S132" s="158" t="str">
        <f t="shared" si="26"/>
        <v>--</v>
      </c>
      <c r="T132" s="158" t="str">
        <f t="shared" si="27"/>
        <v>--</v>
      </c>
      <c r="U132" s="307" t="s">
        <v>115</v>
      </c>
      <c r="V132" s="304" t="s">
        <v>115</v>
      </c>
      <c r="W132" s="303" t="s">
        <v>115</v>
      </c>
      <c r="X132" s="304" t="s">
        <v>115</v>
      </c>
      <c r="Y132" s="303" t="s">
        <v>115</v>
      </c>
      <c r="Z132" s="303" t="s">
        <v>115</v>
      </c>
      <c r="AA132" s="305" t="s">
        <v>495</v>
      </c>
    </row>
    <row r="133" spans="1:27" ht="15" customHeight="1">
      <c r="A133" s="136" t="s">
        <v>321</v>
      </c>
      <c r="B133" s="486" t="s">
        <v>322</v>
      </c>
      <c r="C133" s="485" t="s">
        <v>1116</v>
      </c>
      <c r="D133" s="1314">
        <v>-94.9</v>
      </c>
      <c r="E133" s="1411" t="str">
        <f t="shared" si="32"/>
        <v>V</v>
      </c>
      <c r="F133" s="302">
        <v>92.141999999999996</v>
      </c>
      <c r="G133" s="158">
        <v>28.4</v>
      </c>
      <c r="H133" s="158">
        <v>526</v>
      </c>
      <c r="I133" s="158">
        <v>6.6400000000000001E-3</v>
      </c>
      <c r="J133" s="158">
        <v>0.27146361406378</v>
      </c>
      <c r="K133" s="203">
        <v>233.9</v>
      </c>
      <c r="L133" s="158">
        <f t="shared" ref="L133:L141" si="33">K133*Foc</f>
        <v>1.4034</v>
      </c>
      <c r="M133" s="158">
        <v>7.7803873565410006E-2</v>
      </c>
      <c r="N133" s="158">
        <v>9.2043308800900001E-6</v>
      </c>
      <c r="O133" s="158">
        <f t="shared" si="24"/>
        <v>80.041880000000006</v>
      </c>
      <c r="P133" s="158">
        <f t="shared" si="25"/>
        <v>817.81968815110827</v>
      </c>
      <c r="Q133" s="161">
        <f t="shared" si="28"/>
        <v>7.2377540608785287E-4</v>
      </c>
      <c r="R133" s="158">
        <f t="shared" si="29"/>
        <v>4287.4468090011242</v>
      </c>
      <c r="S133" s="158">
        <f t="shared" si="26"/>
        <v>4204.1874889592036</v>
      </c>
      <c r="T133" s="158">
        <f t="shared" si="27"/>
        <v>949.63237280109661</v>
      </c>
      <c r="U133" s="307">
        <v>40</v>
      </c>
      <c r="V133" s="304" t="s">
        <v>1121</v>
      </c>
      <c r="W133" s="303">
        <v>400</v>
      </c>
      <c r="X133" s="304" t="s">
        <v>1118</v>
      </c>
      <c r="Y133" s="303">
        <v>30000</v>
      </c>
      <c r="Z133" s="303">
        <v>8</v>
      </c>
      <c r="AA133" s="305" t="s">
        <v>115</v>
      </c>
    </row>
    <row r="134" spans="1:27" ht="15" customHeight="1">
      <c r="A134" s="136" t="s">
        <v>323</v>
      </c>
      <c r="B134" s="486" t="s">
        <v>324</v>
      </c>
      <c r="C134" s="485" t="s">
        <v>1116</v>
      </c>
      <c r="D134" s="1314">
        <v>77</v>
      </c>
      <c r="E134" s="1411" t="str">
        <f t="shared" si="32"/>
        <v>NV</v>
      </c>
      <c r="F134" s="302">
        <v>448.26</v>
      </c>
      <c r="G134" s="158">
        <v>6.6900000000000003E-6</v>
      </c>
      <c r="H134" s="158">
        <v>0.55000000000000004</v>
      </c>
      <c r="I134" s="158">
        <v>6.0000000000000002E-6</v>
      </c>
      <c r="J134" s="158">
        <v>2.4529844644000001E-4</v>
      </c>
      <c r="K134" s="203">
        <v>77200</v>
      </c>
      <c r="L134" s="158">
        <f t="shared" si="33"/>
        <v>463.2</v>
      </c>
      <c r="M134" s="158">
        <v>2.083036168457E-2</v>
      </c>
      <c r="N134" s="158">
        <v>5.2582852998400003E-6</v>
      </c>
      <c r="O134" s="158">
        <f t="shared" si="24"/>
        <v>12815.237242000001</v>
      </c>
      <c r="P134" s="158">
        <f t="shared" ref="P134:P145" si="34">IF(OR(H134="--",J134="--"),"--",((H134/Ds)*((L134*Ds)+Pw+(J134*Pa))))</f>
        <v>254.8150255403508</v>
      </c>
      <c r="Q134" s="161" t="str">
        <f t="shared" ref="Q134:Q145" si="35">IF(OR(M134="--",L134="--"),"--",(IF(E134="V",(((((Pa^(10/3))*M134*J134)+((Pw^(10/3))*N134))/(Pt^2))/((Ds*L134)+Pw+(Pa*J134))),"--")))</f>
        <v>--</v>
      </c>
      <c r="R134" s="158" t="str">
        <f t="shared" ref="R134:R145" si="36">IF(Q134="--","--",IF(E134="V",68.18*(PI()*Q134*26*365*24*60*60)^0.5*0.0001/(2*Ds*Q134),"--"))</f>
        <v>--</v>
      </c>
      <c r="S134" s="158" t="str">
        <f t="shared" ref="S134:S145" si="37">IF(Q134="--","--",IF(E134="V",68.18*(PI()*Q134*25*365*24*60*60)^0.5*0.0001/(2*Ds*Q134),"--"))</f>
        <v>--</v>
      </c>
      <c r="T134" s="158" t="str">
        <f t="shared" ref="T134:T145" si="38">IF(Q134="--","--",IF(E134="V",(((PI()*Q134*365*24*60*60)^0.5)/(2*Ds*Q134))*14.31*(1/0.18584)*0.0001,"--"))</f>
        <v>--</v>
      </c>
      <c r="U134" s="307">
        <v>140</v>
      </c>
      <c r="V134" s="304" t="s">
        <v>1121</v>
      </c>
      <c r="W134" s="303">
        <v>140</v>
      </c>
      <c r="X134" s="304" t="s">
        <v>1121</v>
      </c>
      <c r="Y134" s="303" t="s">
        <v>115</v>
      </c>
      <c r="Z134" s="303" t="s">
        <v>115</v>
      </c>
      <c r="AA134" s="305" t="s">
        <v>115</v>
      </c>
    </row>
    <row r="135" spans="1:27" ht="15" customHeight="1">
      <c r="A135" s="136" t="s">
        <v>325</v>
      </c>
      <c r="B135" s="486" t="s">
        <v>326</v>
      </c>
      <c r="C135" s="485" t="s">
        <v>1116</v>
      </c>
      <c r="D135" s="1314">
        <v>17</v>
      </c>
      <c r="E135" s="1411" t="str">
        <f t="shared" si="32"/>
        <v>V</v>
      </c>
      <c r="F135" s="302">
        <v>181.45</v>
      </c>
      <c r="G135" s="158">
        <v>0.46</v>
      </c>
      <c r="H135" s="158">
        <v>49</v>
      </c>
      <c r="I135" s="158">
        <v>1.42E-3</v>
      </c>
      <c r="J135" s="158">
        <v>5.8053965658219998E-2</v>
      </c>
      <c r="K135" s="203">
        <v>1356</v>
      </c>
      <c r="L135" s="158">
        <f t="shared" si="33"/>
        <v>8.136000000000001</v>
      </c>
      <c r="M135" s="158">
        <v>3.9599247847320003E-2</v>
      </c>
      <c r="N135" s="158">
        <v>8.4033173162499994E-6</v>
      </c>
      <c r="O135" s="158">
        <f t="shared" si="24"/>
        <v>233.90994000000001</v>
      </c>
      <c r="P135" s="158">
        <f t="shared" si="34"/>
        <v>404.10251442735415</v>
      </c>
      <c r="Q135" s="161">
        <f t="shared" si="35"/>
        <v>1.4857738573010236E-5</v>
      </c>
      <c r="R135" s="158">
        <f t="shared" si="36"/>
        <v>29924.320649551075</v>
      </c>
      <c r="S135" s="158">
        <f t="shared" si="37"/>
        <v>29343.210562128545</v>
      </c>
      <c r="T135" s="158">
        <f t="shared" si="38"/>
        <v>6627.9781158415235</v>
      </c>
      <c r="U135" s="307">
        <v>3000</v>
      </c>
      <c r="V135" s="304" t="s">
        <v>1130</v>
      </c>
      <c r="W135" s="303">
        <v>30000</v>
      </c>
      <c r="X135" s="304" t="s">
        <v>1130</v>
      </c>
      <c r="Y135" s="303">
        <v>22000</v>
      </c>
      <c r="Z135" s="303">
        <v>2.96</v>
      </c>
      <c r="AA135" s="305" t="s">
        <v>115</v>
      </c>
    </row>
    <row r="136" spans="1:27" ht="15" customHeight="1">
      <c r="A136" s="136" t="s">
        <v>327</v>
      </c>
      <c r="B136" s="486" t="s">
        <v>328</v>
      </c>
      <c r="C136" s="485" t="s">
        <v>1116</v>
      </c>
      <c r="D136" s="1314">
        <v>-30.41</v>
      </c>
      <c r="E136" s="1411" t="str">
        <f t="shared" si="32"/>
        <v>V</v>
      </c>
      <c r="F136" s="302">
        <v>133.41</v>
      </c>
      <c r="G136" s="158">
        <v>124</v>
      </c>
      <c r="H136" s="158">
        <v>1290</v>
      </c>
      <c r="I136" s="158">
        <v>1.72E-2</v>
      </c>
      <c r="J136" s="158">
        <v>0.70318887980375999</v>
      </c>
      <c r="K136" s="203">
        <v>43.89</v>
      </c>
      <c r="L136" s="158">
        <f t="shared" si="33"/>
        <v>0.26334000000000002</v>
      </c>
      <c r="M136" s="158">
        <v>6.4817409072139995E-2</v>
      </c>
      <c r="N136" s="158">
        <v>9.5990242153400001E-6</v>
      </c>
      <c r="O136" s="158">
        <f t="shared" si="24"/>
        <v>114.04614000000001</v>
      </c>
      <c r="P136" s="158">
        <f t="shared" si="34"/>
        <v>640.43263153396356</v>
      </c>
      <c r="Q136" s="161">
        <f t="shared" si="35"/>
        <v>4.891376131313816E-3</v>
      </c>
      <c r="R136" s="158">
        <f t="shared" si="36"/>
        <v>1649.2448096615076</v>
      </c>
      <c r="S136" s="158">
        <f t="shared" si="37"/>
        <v>1617.2175898376245</v>
      </c>
      <c r="T136" s="158">
        <f t="shared" si="38"/>
        <v>365.29345591896276</v>
      </c>
      <c r="U136" s="307">
        <v>970</v>
      </c>
      <c r="V136" s="304" t="s">
        <v>1117</v>
      </c>
      <c r="W136" s="303">
        <v>500000</v>
      </c>
      <c r="X136" s="304" t="s">
        <v>1118</v>
      </c>
      <c r="Y136" s="303">
        <v>65127</v>
      </c>
      <c r="Z136" s="303">
        <v>12</v>
      </c>
      <c r="AA136" s="305" t="s">
        <v>115</v>
      </c>
    </row>
    <row r="137" spans="1:27" ht="15" customHeight="1">
      <c r="A137" s="136" t="s">
        <v>329</v>
      </c>
      <c r="B137" s="486" t="s">
        <v>330</v>
      </c>
      <c r="C137" s="485" t="s">
        <v>1116</v>
      </c>
      <c r="D137" s="1314">
        <v>-36.6</v>
      </c>
      <c r="E137" s="1411" t="str">
        <f t="shared" si="32"/>
        <v>V</v>
      </c>
      <c r="F137" s="302">
        <v>133.41</v>
      </c>
      <c r="G137" s="158">
        <v>23</v>
      </c>
      <c r="H137" s="158">
        <v>4590</v>
      </c>
      <c r="I137" s="158">
        <v>8.2399999999999997E-4</v>
      </c>
      <c r="J137" s="158">
        <v>3.3687653311530001E-2</v>
      </c>
      <c r="K137" s="203">
        <v>60.7</v>
      </c>
      <c r="L137" s="158">
        <f t="shared" si="33"/>
        <v>0.36420000000000002</v>
      </c>
      <c r="M137" s="158">
        <v>6.6890387936720003E-2</v>
      </c>
      <c r="N137" s="158">
        <v>1.0025867109999999E-5</v>
      </c>
      <c r="O137" s="158">
        <f t="shared" si="24"/>
        <v>15.190768000000002</v>
      </c>
      <c r="P137" s="158">
        <f t="shared" si="34"/>
        <v>2159.9500282633189</v>
      </c>
      <c r="Q137" s="161">
        <f t="shared" si="35"/>
        <v>2.5525477405977245E-4</v>
      </c>
      <c r="R137" s="158">
        <f t="shared" si="36"/>
        <v>7219.6096909635653</v>
      </c>
      <c r="S137" s="158">
        <f t="shared" si="37"/>
        <v>7079.4097489897695</v>
      </c>
      <c r="T137" s="158">
        <f t="shared" si="38"/>
        <v>1599.0810818070076</v>
      </c>
      <c r="U137" s="307" t="s">
        <v>115</v>
      </c>
      <c r="V137" s="304" t="s">
        <v>115</v>
      </c>
      <c r="W137" s="303" t="s">
        <v>115</v>
      </c>
      <c r="X137" s="304" t="s">
        <v>115</v>
      </c>
      <c r="Y137" s="303" t="s">
        <v>115</v>
      </c>
      <c r="Z137" s="303" t="s">
        <v>115</v>
      </c>
      <c r="AA137" s="305" t="s">
        <v>115</v>
      </c>
    </row>
    <row r="138" spans="1:27" ht="15" customHeight="1">
      <c r="A138" s="136" t="s">
        <v>331</v>
      </c>
      <c r="B138" s="486" t="s">
        <v>332</v>
      </c>
      <c r="C138" s="485" t="s">
        <v>1116</v>
      </c>
      <c r="D138" s="1314">
        <v>-84.7</v>
      </c>
      <c r="E138" s="1411" t="str">
        <f t="shared" si="32"/>
        <v>V</v>
      </c>
      <c r="F138" s="302">
        <v>131.38999999999999</v>
      </c>
      <c r="G138" s="158">
        <v>69</v>
      </c>
      <c r="H138" s="158">
        <v>1280</v>
      </c>
      <c r="I138" s="158">
        <v>9.8499999999999994E-3</v>
      </c>
      <c r="J138" s="158">
        <v>0.40269828291088</v>
      </c>
      <c r="K138" s="203">
        <v>60.7</v>
      </c>
      <c r="L138" s="158">
        <f t="shared" si="33"/>
        <v>0.36420000000000002</v>
      </c>
      <c r="M138" s="158">
        <v>6.8661810409549995E-2</v>
      </c>
      <c r="N138" s="158">
        <v>1.022102912E-5</v>
      </c>
      <c r="O138" s="158">
        <f t="shared" si="24"/>
        <v>71.215149999999994</v>
      </c>
      <c r="P138" s="158">
        <f t="shared" si="34"/>
        <v>691.75561914459365</v>
      </c>
      <c r="Q138" s="161">
        <f t="shared" si="35"/>
        <v>2.7259110050931257E-3</v>
      </c>
      <c r="R138" s="158">
        <f t="shared" si="36"/>
        <v>2209.2497752330314</v>
      </c>
      <c r="S138" s="158">
        <f t="shared" si="37"/>
        <v>2166.3476373680192</v>
      </c>
      <c r="T138" s="158">
        <f t="shared" si="38"/>
        <v>489.32971057747352</v>
      </c>
      <c r="U138" s="307">
        <v>310</v>
      </c>
      <c r="V138" s="304" t="s">
        <v>1117</v>
      </c>
      <c r="W138" s="303">
        <v>100000</v>
      </c>
      <c r="X138" s="304" t="s">
        <v>1118</v>
      </c>
      <c r="Y138" s="303">
        <v>1360000</v>
      </c>
      <c r="Z138" s="303">
        <v>249</v>
      </c>
      <c r="AA138" s="305" t="s">
        <v>115</v>
      </c>
    </row>
    <row r="139" spans="1:27" ht="15" customHeight="1">
      <c r="A139" s="136" t="s">
        <v>333</v>
      </c>
      <c r="B139" s="486" t="s">
        <v>334</v>
      </c>
      <c r="C139" s="485" t="s">
        <v>1116</v>
      </c>
      <c r="D139" s="1314">
        <v>69</v>
      </c>
      <c r="E139" s="1411" t="str">
        <f t="shared" si="32"/>
        <v>NV</v>
      </c>
      <c r="F139" s="302">
        <v>197.45</v>
      </c>
      <c r="G139" s="171">
        <v>7.4999999999999997E-3</v>
      </c>
      <c r="H139" s="158">
        <v>1200</v>
      </c>
      <c r="I139" s="158">
        <v>1.6199999999999999E-6</v>
      </c>
      <c r="J139" s="158">
        <v>6.6230580540000005E-5</v>
      </c>
      <c r="K139" s="203">
        <v>1597</v>
      </c>
      <c r="L139" s="158">
        <f t="shared" si="33"/>
        <v>9.5820000000000007</v>
      </c>
      <c r="M139" s="158">
        <v>3.1393813646519997E-2</v>
      </c>
      <c r="N139" s="158">
        <v>8.0892684804699997E-6</v>
      </c>
      <c r="O139" s="158">
        <f t="shared" si="24"/>
        <v>265.11205534000004</v>
      </c>
      <c r="P139" s="158">
        <f t="shared" si="34"/>
        <v>11618.415045588486</v>
      </c>
      <c r="Q139" s="161" t="str">
        <f t="shared" si="35"/>
        <v>--</v>
      </c>
      <c r="R139" s="158" t="str">
        <f t="shared" si="36"/>
        <v>--</v>
      </c>
      <c r="S139" s="158" t="str">
        <f t="shared" si="37"/>
        <v>--</v>
      </c>
      <c r="T139" s="158" t="str">
        <f t="shared" si="38"/>
        <v>--</v>
      </c>
      <c r="U139" s="307">
        <v>200</v>
      </c>
      <c r="V139" s="304" t="s">
        <v>1118</v>
      </c>
      <c r="W139" s="303">
        <v>2000</v>
      </c>
      <c r="X139" s="304" t="s">
        <v>1118</v>
      </c>
      <c r="Y139" s="303" t="s">
        <v>115</v>
      </c>
      <c r="Z139" s="303" t="s">
        <v>115</v>
      </c>
      <c r="AA139" s="305" t="s">
        <v>115</v>
      </c>
    </row>
    <row r="140" spans="1:27" ht="15" customHeight="1">
      <c r="A140" s="136" t="s">
        <v>335</v>
      </c>
      <c r="B140" s="486" t="s">
        <v>336</v>
      </c>
      <c r="C140" s="485" t="s">
        <v>1116</v>
      </c>
      <c r="D140" s="1314">
        <v>69</v>
      </c>
      <c r="E140" s="159" t="str">
        <f t="shared" si="32"/>
        <v>NV</v>
      </c>
      <c r="F140" s="302">
        <v>197.45</v>
      </c>
      <c r="G140" s="158">
        <v>8.0000000000000002E-3</v>
      </c>
      <c r="H140" s="158">
        <v>800</v>
      </c>
      <c r="I140" s="158">
        <v>2.6000000000000001E-6</v>
      </c>
      <c r="J140" s="158">
        <v>1.0629599346E-4</v>
      </c>
      <c r="K140" s="203">
        <v>381</v>
      </c>
      <c r="L140" s="158">
        <f t="shared" si="33"/>
        <v>2.286</v>
      </c>
      <c r="M140" s="158">
        <v>3.1394761881899998E-2</v>
      </c>
      <c r="N140" s="158">
        <v>8.0895942184600003E-6</v>
      </c>
      <c r="O140" s="158">
        <f t="shared" si="24"/>
        <v>63.262138200000003</v>
      </c>
      <c r="P140" s="158">
        <f t="shared" si="34"/>
        <v>1908.816098160519</v>
      </c>
      <c r="Q140" s="161" t="str">
        <f t="shared" si="35"/>
        <v>--</v>
      </c>
      <c r="R140" s="158" t="str">
        <f t="shared" si="36"/>
        <v>--</v>
      </c>
      <c r="S140" s="158" t="str">
        <f t="shared" si="37"/>
        <v>--</v>
      </c>
      <c r="T140" s="158" t="str">
        <f t="shared" si="38"/>
        <v>--</v>
      </c>
      <c r="U140" s="307">
        <v>100</v>
      </c>
      <c r="V140" s="304" t="s">
        <v>1118</v>
      </c>
      <c r="W140" s="303">
        <v>1000</v>
      </c>
      <c r="X140" s="304" t="s">
        <v>1118</v>
      </c>
      <c r="Y140" s="303">
        <v>0.3</v>
      </c>
      <c r="Z140" s="303">
        <v>3.6000000000000001E-5</v>
      </c>
      <c r="AA140" s="305" t="s">
        <v>115</v>
      </c>
    </row>
    <row r="141" spans="1:27" ht="15" customHeight="1">
      <c r="A141" s="136" t="s">
        <v>337</v>
      </c>
      <c r="B141" s="486" t="s">
        <v>338</v>
      </c>
      <c r="C141" s="485" t="s">
        <v>1116</v>
      </c>
      <c r="D141" s="1314">
        <v>-14.7</v>
      </c>
      <c r="E141" s="159" t="s">
        <v>1127</v>
      </c>
      <c r="F141" s="302">
        <v>147.43</v>
      </c>
      <c r="G141" s="158">
        <v>3.69</v>
      </c>
      <c r="H141" s="158">
        <v>1750</v>
      </c>
      <c r="I141" s="158">
        <v>3.4299999999999999E-4</v>
      </c>
      <c r="J141" s="158">
        <v>1.402289452167E-2</v>
      </c>
      <c r="K141" s="203">
        <v>115.8</v>
      </c>
      <c r="L141" s="158">
        <f t="shared" si="33"/>
        <v>0.69479999999999997</v>
      </c>
      <c r="M141" s="158">
        <v>5.7466054964980001E-2</v>
      </c>
      <c r="N141" s="158">
        <v>9.2410823201399999E-6</v>
      </c>
      <c r="O141" s="158">
        <f t="shared" si="24"/>
        <v>21.351800999999998</v>
      </c>
      <c r="P141" s="158">
        <f t="shared" si="34"/>
        <v>1395.5456350247107</v>
      </c>
      <c r="Q141" s="161">
        <f t="shared" si="35"/>
        <v>5.3910866474775139E-5</v>
      </c>
      <c r="R141" s="158">
        <f t="shared" si="36"/>
        <v>15709.504969126343</v>
      </c>
      <c r="S141" s="158">
        <f t="shared" si="37"/>
        <v>15404.436997395778</v>
      </c>
      <c r="T141" s="158">
        <f t="shared" si="38"/>
        <v>3479.5194305483819</v>
      </c>
      <c r="U141" s="307" t="s">
        <v>115</v>
      </c>
      <c r="V141" s="304" t="s">
        <v>115</v>
      </c>
      <c r="W141" s="303" t="s">
        <v>115</v>
      </c>
      <c r="X141" s="304" t="s">
        <v>115</v>
      </c>
      <c r="Y141" s="303" t="s">
        <v>115</v>
      </c>
      <c r="Z141" s="303" t="s">
        <v>115</v>
      </c>
      <c r="AA141" s="940" t="s">
        <v>115</v>
      </c>
    </row>
    <row r="142" spans="1:27" ht="15" customHeight="1">
      <c r="A142" s="136" t="s">
        <v>339</v>
      </c>
      <c r="B142" s="486" t="s">
        <v>340</v>
      </c>
      <c r="C142" s="485" t="s">
        <v>1119</v>
      </c>
      <c r="D142" s="1314">
        <v>1910</v>
      </c>
      <c r="E142" s="159" t="str">
        <f>IF(OR(G142="--",I142="--"),"NV",IF(OR(G142&gt;1,I142&gt;0.00001),"V","NV"))</f>
        <v>NV</v>
      </c>
      <c r="F142" s="302">
        <v>50.94</v>
      </c>
      <c r="G142" s="171" t="s">
        <v>115</v>
      </c>
      <c r="H142" s="171" t="s">
        <v>115</v>
      </c>
      <c r="I142" s="171" t="s">
        <v>115</v>
      </c>
      <c r="J142" s="171" t="s">
        <v>115</v>
      </c>
      <c r="K142" s="171" t="s">
        <v>115</v>
      </c>
      <c r="L142" s="158">
        <v>1000</v>
      </c>
      <c r="M142" s="158">
        <v>0.24059783064699999</v>
      </c>
      <c r="N142" s="158">
        <v>4.2065606740000003E-5</v>
      </c>
      <c r="O142" s="158" t="str">
        <f t="shared" si="24"/>
        <v>--</v>
      </c>
      <c r="P142" s="158" t="str">
        <f t="shared" si="34"/>
        <v>--</v>
      </c>
      <c r="Q142" s="161" t="str">
        <f t="shared" si="35"/>
        <v>--</v>
      </c>
      <c r="R142" s="158" t="str">
        <f t="shared" si="36"/>
        <v>--</v>
      </c>
      <c r="S142" s="158" t="str">
        <f t="shared" si="37"/>
        <v>--</v>
      </c>
      <c r="T142" s="158" t="str">
        <f t="shared" si="38"/>
        <v>--</v>
      </c>
      <c r="U142" s="307" t="s">
        <v>115</v>
      </c>
      <c r="V142" s="304" t="s">
        <v>115</v>
      </c>
      <c r="W142" s="303" t="s">
        <v>115</v>
      </c>
      <c r="X142" s="304" t="s">
        <v>115</v>
      </c>
      <c r="Y142" s="303" t="s">
        <v>115</v>
      </c>
      <c r="Z142" s="303" t="s">
        <v>115</v>
      </c>
      <c r="AA142" s="305" t="s">
        <v>495</v>
      </c>
    </row>
    <row r="143" spans="1:27" ht="15" customHeight="1">
      <c r="A143" s="136" t="s">
        <v>341</v>
      </c>
      <c r="B143" s="486" t="s">
        <v>342</v>
      </c>
      <c r="C143" s="485" t="s">
        <v>1116</v>
      </c>
      <c r="D143" s="1314">
        <v>-153.69999999999999</v>
      </c>
      <c r="E143" s="159" t="str">
        <f>IF(OR(G143="--",I143="--"),"NV",IF(OR(G143&gt;1,I143&gt;0.00001),"V","NV"))</f>
        <v>V</v>
      </c>
      <c r="F143" s="302">
        <v>62.499000000000002</v>
      </c>
      <c r="G143" s="158">
        <v>2980</v>
      </c>
      <c r="H143" s="158">
        <v>8800</v>
      </c>
      <c r="I143" s="158">
        <v>2.7799999999999998E-2</v>
      </c>
      <c r="J143" s="158">
        <v>1.1365494685200299</v>
      </c>
      <c r="K143" s="203">
        <v>21.73</v>
      </c>
      <c r="L143" s="158">
        <f>K143*Foc</f>
        <v>0.13038</v>
      </c>
      <c r="M143" s="158">
        <v>0.10712015187484999</v>
      </c>
      <c r="N143" s="158">
        <v>1.2004512220000001E-5</v>
      </c>
      <c r="O143" s="158">
        <f t="shared" si="24"/>
        <v>176.16177999999999</v>
      </c>
      <c r="P143" s="158">
        <f t="shared" si="34"/>
        <v>3920.7353410162614</v>
      </c>
      <c r="Q143" s="161">
        <f t="shared" si="35"/>
        <v>1.4558613366338508E-2</v>
      </c>
      <c r="R143" s="158">
        <f t="shared" si="36"/>
        <v>955.96204509217148</v>
      </c>
      <c r="S143" s="158">
        <f t="shared" si="37"/>
        <v>937.39790811135538</v>
      </c>
      <c r="T143" s="158">
        <f t="shared" si="38"/>
        <v>211.73732191447681</v>
      </c>
      <c r="U143" s="307">
        <v>3400</v>
      </c>
      <c r="V143" s="304" t="s">
        <v>1117</v>
      </c>
      <c r="W143" s="303">
        <v>34000</v>
      </c>
      <c r="X143" s="304" t="s">
        <v>1118</v>
      </c>
      <c r="Y143" s="303">
        <v>771244</v>
      </c>
      <c r="Z143" s="303">
        <v>294</v>
      </c>
      <c r="AA143" s="305" t="s">
        <v>115</v>
      </c>
    </row>
    <row r="144" spans="1:27" ht="15" customHeight="1">
      <c r="A144" s="136" t="s">
        <v>343</v>
      </c>
      <c r="B144" s="486" t="s">
        <v>344</v>
      </c>
      <c r="C144" s="485" t="s">
        <v>1116</v>
      </c>
      <c r="D144" s="1314">
        <v>-25.2</v>
      </c>
      <c r="E144" s="159" t="str">
        <f>IF(OR(G144="--",I144="--"),"NV",IF(OR(G144&gt;1,I144&gt;0.00001),"V","NV"))</f>
        <v>V</v>
      </c>
      <c r="F144" s="302">
        <v>106.17</v>
      </c>
      <c r="G144" s="158">
        <v>7.99</v>
      </c>
      <c r="H144" s="158">
        <v>106</v>
      </c>
      <c r="I144" s="158">
        <v>6.6299999999999996E-3</v>
      </c>
      <c r="J144" s="158">
        <v>0.27105478331971</v>
      </c>
      <c r="K144" s="203">
        <v>382.9</v>
      </c>
      <c r="L144" s="158">
        <f>K144*Foc</f>
        <v>2.2974000000000001</v>
      </c>
      <c r="M144" s="158">
        <v>6.8514787582670003E-2</v>
      </c>
      <c r="N144" s="158">
        <v>8.4640637673699996E-6</v>
      </c>
      <c r="O144" s="158">
        <f t="shared" si="24"/>
        <v>104.71381</v>
      </c>
      <c r="P144" s="158">
        <f t="shared" si="34"/>
        <v>259.56356598528225</v>
      </c>
      <c r="Q144" s="161">
        <f t="shared" si="35"/>
        <v>4.0407999562589483E-4</v>
      </c>
      <c r="R144" s="158">
        <f t="shared" si="36"/>
        <v>5738.0850433077449</v>
      </c>
      <c r="S144" s="158">
        <f t="shared" si="37"/>
        <v>5626.6553089386725</v>
      </c>
      <c r="T144" s="158">
        <f t="shared" si="38"/>
        <v>1270.9361906417034</v>
      </c>
      <c r="U144" s="307">
        <v>20</v>
      </c>
      <c r="V144" s="304" t="s">
        <v>1121</v>
      </c>
      <c r="W144" s="303">
        <v>5300</v>
      </c>
      <c r="X144" s="304" t="s">
        <v>1118</v>
      </c>
      <c r="Y144" s="303">
        <v>441</v>
      </c>
      <c r="Z144" s="303">
        <v>0.1</v>
      </c>
      <c r="AA144" s="305" t="s">
        <v>115</v>
      </c>
    </row>
    <row r="145" spans="1:27" ht="15" customHeight="1" thickBot="1">
      <c r="A145" s="2" t="s">
        <v>345</v>
      </c>
      <c r="B145" s="1175" t="s">
        <v>346</v>
      </c>
      <c r="C145" s="1176" t="s">
        <v>1119</v>
      </c>
      <c r="D145" s="1315">
        <v>419.5</v>
      </c>
      <c r="E145" s="1177" t="str">
        <f>IF(OR(G145="--",I145="--"),"NV",IF(OR(G145&gt;1,I145&gt;0.00001),"V","NV"))</f>
        <v>NV</v>
      </c>
      <c r="F145" s="158">
        <v>65.37</v>
      </c>
      <c r="G145" s="171" t="s">
        <v>115</v>
      </c>
      <c r="H145" s="171" t="s">
        <v>115</v>
      </c>
      <c r="I145" s="171" t="s">
        <v>115</v>
      </c>
      <c r="J145" s="171" t="s">
        <v>115</v>
      </c>
      <c r="K145" s="171" t="s">
        <v>115</v>
      </c>
      <c r="L145" s="158">
        <v>62</v>
      </c>
      <c r="M145" s="158">
        <v>0.21946149089093001</v>
      </c>
      <c r="N145" s="158">
        <v>4.0183202279999999E-5</v>
      </c>
      <c r="O145" s="158" t="str">
        <f t="shared" si="24"/>
        <v>--</v>
      </c>
      <c r="P145" s="158" t="str">
        <f t="shared" si="34"/>
        <v>--</v>
      </c>
      <c r="Q145" s="158" t="str">
        <f t="shared" si="35"/>
        <v>--</v>
      </c>
      <c r="R145" s="158" t="str">
        <f t="shared" si="36"/>
        <v>--</v>
      </c>
      <c r="S145" s="158" t="str">
        <f t="shared" si="37"/>
        <v>--</v>
      </c>
      <c r="T145" s="158" t="str">
        <f t="shared" si="38"/>
        <v>--</v>
      </c>
      <c r="U145" s="307">
        <v>5000</v>
      </c>
      <c r="V145" s="304" t="s">
        <v>1120</v>
      </c>
      <c r="W145" s="303" t="s">
        <v>115</v>
      </c>
      <c r="X145" s="304" t="s">
        <v>115</v>
      </c>
      <c r="Y145" s="303" t="s">
        <v>115</v>
      </c>
      <c r="Z145" s="303" t="s">
        <v>115</v>
      </c>
      <c r="AA145" s="305" t="s">
        <v>495</v>
      </c>
    </row>
    <row r="146" spans="1:27" ht="13.5" thickTop="1">
      <c r="A146" s="29" t="s">
        <v>347</v>
      </c>
      <c r="B146" s="113"/>
      <c r="C146" s="2057"/>
      <c r="D146" s="2057"/>
      <c r="E146" s="113"/>
      <c r="F146" s="1173"/>
      <c r="G146" s="300"/>
      <c r="H146" s="2057"/>
      <c r="I146" s="2057"/>
      <c r="J146" s="2057"/>
      <c r="K146" s="2057"/>
      <c r="L146" s="2059"/>
      <c r="M146" s="2057"/>
      <c r="N146" s="2057"/>
      <c r="O146" s="2057"/>
      <c r="P146" s="2067"/>
      <c r="Q146" s="2068"/>
      <c r="R146" s="2068"/>
      <c r="S146" s="2068"/>
      <c r="T146" s="2068"/>
      <c r="U146" s="17"/>
      <c r="V146" s="227"/>
      <c r="W146" s="17"/>
      <c r="X146" s="227"/>
      <c r="Y146" s="1174"/>
      <c r="Z146" s="300"/>
      <c r="AA146" s="301"/>
    </row>
    <row r="147" spans="1:27">
      <c r="A147" s="2" t="s">
        <v>1131</v>
      </c>
      <c r="B147" s="23"/>
      <c r="C147" s="55"/>
      <c r="D147" s="55"/>
      <c r="E147" s="23"/>
      <c r="F147" s="5"/>
      <c r="G147" s="22"/>
      <c r="H147" s="55"/>
      <c r="I147" s="55"/>
      <c r="J147" s="55"/>
      <c r="K147" s="55"/>
      <c r="L147" s="349"/>
      <c r="M147" s="55"/>
      <c r="N147" s="55"/>
      <c r="O147" s="55"/>
      <c r="P147" s="607"/>
      <c r="Q147" s="2069"/>
      <c r="R147" s="2069"/>
      <c r="S147" s="2069"/>
      <c r="T147" s="2069"/>
      <c r="Z147" s="22"/>
      <c r="AA147" s="288"/>
    </row>
    <row r="148" spans="1:27">
      <c r="A148" s="2" t="s">
        <v>4293</v>
      </c>
      <c r="B148" s="3"/>
      <c r="C148" s="55"/>
      <c r="D148" s="55"/>
      <c r="E148" s="23"/>
      <c r="F148" s="5"/>
      <c r="G148" s="22"/>
      <c r="H148" s="55"/>
      <c r="I148" s="55"/>
      <c r="J148" s="55"/>
      <c r="K148" s="55"/>
      <c r="L148" s="349"/>
      <c r="M148" s="55"/>
      <c r="N148" s="55"/>
      <c r="O148" s="55"/>
      <c r="P148" s="607"/>
      <c r="Q148" s="2069"/>
      <c r="R148" s="2069"/>
      <c r="S148" s="2069"/>
      <c r="T148" s="2069"/>
      <c r="Z148" s="22"/>
      <c r="AA148" s="288"/>
    </row>
    <row r="149" spans="1:27">
      <c r="A149" s="2" t="s">
        <v>4294</v>
      </c>
      <c r="B149" s="3"/>
      <c r="C149" s="55"/>
      <c r="D149" s="55"/>
      <c r="E149" s="23"/>
      <c r="F149" s="5"/>
      <c r="G149" s="22"/>
      <c r="H149" s="55"/>
      <c r="I149" s="55"/>
      <c r="J149" s="55"/>
      <c r="K149" s="55"/>
      <c r="L149" s="349"/>
      <c r="M149" s="55"/>
      <c r="N149" s="55"/>
      <c r="O149" s="55"/>
      <c r="P149" s="607"/>
      <c r="Q149" s="2069"/>
      <c r="R149" s="2069"/>
      <c r="S149" s="2069"/>
      <c r="T149" s="2069"/>
      <c r="Z149" s="22"/>
      <c r="AA149" s="288"/>
    </row>
    <row r="150" spans="1:27">
      <c r="A150" s="2" t="s">
        <v>1132</v>
      </c>
      <c r="B150" s="3"/>
      <c r="C150" s="55"/>
      <c r="D150" s="55"/>
      <c r="E150" s="23"/>
      <c r="F150" s="5"/>
      <c r="G150" s="22"/>
      <c r="H150" s="55"/>
      <c r="I150" s="55"/>
      <c r="J150" s="55"/>
      <c r="K150" s="55"/>
      <c r="L150" s="349"/>
      <c r="M150" s="55"/>
      <c r="N150" s="55"/>
      <c r="O150" s="55"/>
      <c r="P150" s="607"/>
      <c r="Q150" s="2069"/>
      <c r="R150" s="2069"/>
      <c r="S150" s="2069"/>
      <c r="T150" s="2069"/>
      <c r="Z150" s="22"/>
      <c r="AA150" s="288"/>
    </row>
    <row r="151" spans="1:27">
      <c r="A151" s="2" t="s">
        <v>1133</v>
      </c>
      <c r="B151" s="3"/>
      <c r="C151" s="55"/>
      <c r="D151" s="55"/>
      <c r="E151" s="23"/>
      <c r="F151" s="5"/>
      <c r="G151" s="22"/>
      <c r="H151" s="55"/>
      <c r="I151" s="55"/>
      <c r="J151" s="55"/>
      <c r="K151" s="55"/>
      <c r="L151" s="349"/>
      <c r="M151" s="55"/>
      <c r="N151" s="55"/>
      <c r="O151" s="55"/>
      <c r="P151" s="607"/>
      <c r="Q151" s="2069"/>
      <c r="R151" s="2069"/>
      <c r="S151" s="2069"/>
      <c r="T151" s="2069"/>
      <c r="Z151" s="22"/>
      <c r="AA151" s="288"/>
    </row>
    <row r="152" spans="1:27">
      <c r="A152" s="2" t="s">
        <v>1134</v>
      </c>
      <c r="B152" s="3"/>
      <c r="C152" s="55"/>
      <c r="D152" s="55"/>
      <c r="E152" s="23"/>
      <c r="F152" s="5"/>
      <c r="G152" s="22"/>
      <c r="H152" s="55"/>
      <c r="I152" s="55"/>
      <c r="J152" s="55"/>
      <c r="K152" s="55"/>
      <c r="L152" s="349"/>
      <c r="M152" s="55"/>
      <c r="N152" s="55"/>
      <c r="O152" s="55"/>
      <c r="P152" s="607"/>
      <c r="Q152" s="2069"/>
      <c r="R152" s="2069"/>
      <c r="S152" s="2069"/>
      <c r="T152" s="2069"/>
      <c r="Z152" s="22"/>
      <c r="AA152" s="288"/>
    </row>
    <row r="153" spans="1:27">
      <c r="A153" s="2" t="s">
        <v>1135</v>
      </c>
      <c r="B153" s="3"/>
      <c r="C153" s="55"/>
      <c r="D153" s="55"/>
      <c r="E153" s="23"/>
      <c r="F153" s="5"/>
      <c r="G153" s="22"/>
      <c r="H153" s="55"/>
      <c r="I153" s="55"/>
      <c r="J153" s="55"/>
      <c r="K153" s="55"/>
      <c r="L153" s="349"/>
      <c r="M153" s="55"/>
      <c r="N153" s="55"/>
      <c r="O153" s="55"/>
      <c r="P153" s="607"/>
      <c r="Q153" s="2069"/>
      <c r="R153" s="2069"/>
      <c r="S153" s="2069"/>
      <c r="T153" s="2069"/>
      <c r="Z153" s="22"/>
      <c r="AA153" s="288"/>
    </row>
    <row r="154" spans="1:27">
      <c r="A154" s="2" t="s">
        <v>1136</v>
      </c>
      <c r="B154" s="3"/>
      <c r="C154" s="55"/>
      <c r="D154" s="55"/>
      <c r="E154" s="23"/>
      <c r="F154" s="5"/>
      <c r="G154" s="22"/>
      <c r="H154" s="55"/>
      <c r="I154" s="55"/>
      <c r="J154" s="55"/>
      <c r="K154" s="55"/>
      <c r="L154" s="349"/>
      <c r="M154" s="55"/>
      <c r="N154" s="55"/>
      <c r="O154" s="55"/>
      <c r="P154" s="607"/>
      <c r="Q154" s="2069"/>
      <c r="R154" s="2069"/>
      <c r="S154" s="2069"/>
      <c r="T154" s="2069"/>
      <c r="Z154" s="22"/>
      <c r="AA154" s="288"/>
    </row>
    <row r="155" spans="1:27">
      <c r="A155" s="2" t="s">
        <v>1137</v>
      </c>
      <c r="B155" s="3"/>
      <c r="C155" s="55"/>
      <c r="D155" s="55"/>
      <c r="E155" s="23"/>
      <c r="F155" s="5"/>
      <c r="G155" s="22"/>
      <c r="H155" s="55"/>
      <c r="I155" s="55"/>
      <c r="J155" s="55"/>
      <c r="K155" s="55"/>
      <c r="L155" s="349"/>
      <c r="M155" s="55"/>
      <c r="N155" s="55"/>
      <c r="O155" s="55"/>
      <c r="P155" s="607"/>
      <c r="Q155" s="2069"/>
      <c r="R155" s="2069"/>
      <c r="S155" s="2069"/>
      <c r="T155" s="2069"/>
      <c r="Z155" s="22"/>
      <c r="AA155" s="288"/>
    </row>
    <row r="156" spans="1:27">
      <c r="A156" s="2" t="s">
        <v>1138</v>
      </c>
      <c r="B156" s="3"/>
      <c r="C156" s="55"/>
      <c r="D156" s="55"/>
      <c r="E156" s="23"/>
      <c r="F156" s="5"/>
      <c r="G156" s="22"/>
      <c r="H156" s="55"/>
      <c r="I156" s="55"/>
      <c r="J156" s="55"/>
      <c r="K156" s="55"/>
      <c r="L156" s="349"/>
      <c r="M156" s="55"/>
      <c r="N156" s="55"/>
      <c r="O156" s="55"/>
      <c r="P156" s="607"/>
      <c r="Q156" s="2069"/>
      <c r="R156" s="2069"/>
      <c r="S156" s="2069"/>
      <c r="T156" s="2069"/>
      <c r="Z156" s="22"/>
      <c r="AA156" s="288"/>
    </row>
    <row r="157" spans="1:27">
      <c r="A157" s="595" t="s">
        <v>1139</v>
      </c>
      <c r="B157" s="881"/>
      <c r="C157" s="1137"/>
      <c r="D157" s="1137"/>
      <c r="E157" s="1169"/>
      <c r="F157" s="1171"/>
      <c r="G157" s="1142"/>
      <c r="H157" s="1137"/>
      <c r="I157" s="1137"/>
      <c r="J157" s="1137"/>
      <c r="K157" s="1137"/>
      <c r="L157" s="2063"/>
      <c r="M157" s="1137"/>
      <c r="N157" s="1137"/>
      <c r="O157" s="1137"/>
      <c r="P157" s="1140"/>
      <c r="Q157" s="2070"/>
      <c r="R157" s="2070"/>
      <c r="S157" s="2070"/>
      <c r="T157" s="2070"/>
      <c r="U157" s="1143"/>
      <c r="V157" s="1172"/>
      <c r="W157" s="1143"/>
      <c r="X157" s="1172"/>
      <c r="Y157" s="1159"/>
      <c r="Z157" s="1142"/>
      <c r="AA157" s="1168"/>
    </row>
    <row r="158" spans="1:27">
      <c r="A158" s="595" t="s">
        <v>1140</v>
      </c>
      <c r="B158" s="881"/>
      <c r="C158" s="1137"/>
      <c r="D158" s="1137"/>
      <c r="E158" s="1169"/>
      <c r="F158" s="1171"/>
      <c r="G158" s="1142"/>
      <c r="H158" s="1137"/>
      <c r="I158" s="1137"/>
      <c r="J158" s="1137"/>
      <c r="K158" s="1137"/>
      <c r="L158" s="2063"/>
      <c r="M158" s="1137"/>
      <c r="N158" s="1137"/>
      <c r="O158" s="1137"/>
      <c r="P158" s="1140"/>
      <c r="Q158" s="2070"/>
      <c r="R158" s="2070"/>
      <c r="S158" s="2070"/>
      <c r="T158" s="2070"/>
      <c r="U158" s="1143"/>
      <c r="V158" s="1172"/>
      <c r="W158" s="1143"/>
      <c r="X158" s="1172"/>
      <c r="Y158" s="1159"/>
      <c r="Z158" s="1142"/>
      <c r="AA158" s="1168"/>
    </row>
    <row r="159" spans="1:27">
      <c r="A159" s="595" t="s">
        <v>1141</v>
      </c>
      <c r="B159" s="881"/>
      <c r="C159" s="1137"/>
      <c r="D159" s="1137"/>
      <c r="E159" s="1169"/>
      <c r="F159" s="1171"/>
      <c r="G159" s="1142"/>
      <c r="H159" s="1137"/>
      <c r="I159" s="1137"/>
      <c r="J159" s="1137"/>
      <c r="K159" s="1137"/>
      <c r="L159" s="2063"/>
      <c r="M159" s="1137"/>
      <c r="N159" s="1137"/>
      <c r="O159" s="1137"/>
      <c r="P159" s="1140"/>
      <c r="Q159" s="2070"/>
      <c r="R159" s="2070"/>
      <c r="S159" s="2070"/>
      <c r="T159" s="2070"/>
      <c r="U159" s="1143"/>
      <c r="V159" s="1172"/>
      <c r="W159" s="1143"/>
      <c r="X159" s="1172"/>
      <c r="Y159" s="1159"/>
      <c r="Z159" s="1142"/>
      <c r="AA159" s="1168"/>
    </row>
    <row r="160" spans="1:27">
      <c r="A160" s="595" t="s">
        <v>1142</v>
      </c>
      <c r="B160" s="881"/>
      <c r="C160" s="1137"/>
      <c r="D160" s="1137"/>
      <c r="E160" s="1169"/>
      <c r="F160" s="1171"/>
      <c r="G160" s="1142"/>
      <c r="H160" s="1137"/>
      <c r="I160" s="1137"/>
      <c r="J160" s="1137"/>
      <c r="K160" s="1137"/>
      <c r="L160" s="2063"/>
      <c r="M160" s="1137"/>
      <c r="N160" s="1137"/>
      <c r="O160" s="1137"/>
      <c r="P160" s="1140"/>
      <c r="Q160" s="2070"/>
      <c r="R160" s="2070"/>
      <c r="S160" s="2070"/>
      <c r="T160" s="2070"/>
      <c r="U160" s="1143"/>
      <c r="V160" s="1172"/>
      <c r="W160" s="1143"/>
      <c r="X160" s="1172"/>
      <c r="Y160" s="1159"/>
      <c r="Z160" s="1142"/>
      <c r="AA160" s="1168"/>
    </row>
    <row r="161" spans="1:79">
      <c r="A161" s="595" t="s">
        <v>1143</v>
      </c>
      <c r="B161" s="881"/>
      <c r="C161" s="1137"/>
      <c r="D161" s="1137"/>
      <c r="E161" s="1169"/>
      <c r="F161" s="1171"/>
      <c r="G161" s="1142"/>
      <c r="H161" s="1137"/>
      <c r="I161" s="1137"/>
      <c r="J161" s="1137"/>
      <c r="K161" s="1137"/>
      <c r="L161" s="2063"/>
      <c r="M161" s="1137"/>
      <c r="N161" s="1137"/>
      <c r="O161" s="1137"/>
      <c r="P161" s="1140"/>
      <c r="Q161" s="2070"/>
      <c r="R161" s="2070"/>
      <c r="S161" s="2070"/>
      <c r="T161" s="2070"/>
      <c r="U161" s="1143"/>
      <c r="V161" s="1172"/>
      <c r="W161" s="1143"/>
      <c r="X161" s="1172"/>
      <c r="Y161" s="1159"/>
      <c r="Z161" s="1142"/>
      <c r="AA161" s="1168"/>
    </row>
    <row r="162" spans="1:79" ht="12.75" customHeight="1">
      <c r="A162" s="2814" t="s">
        <v>1144</v>
      </c>
      <c r="B162" s="2815"/>
      <c r="C162" s="2815"/>
      <c r="D162" s="2815"/>
      <c r="E162" s="2815"/>
      <c r="F162" s="2815"/>
      <c r="G162" s="2815"/>
      <c r="H162" s="2815"/>
      <c r="I162" s="2815"/>
      <c r="J162" s="2815"/>
      <c r="K162" s="2815"/>
      <c r="L162" s="2815"/>
      <c r="M162" s="2815"/>
      <c r="N162" s="2815"/>
      <c r="O162" s="2815"/>
      <c r="P162" s="2815"/>
      <c r="Q162" s="2815"/>
      <c r="R162" s="2815"/>
      <c r="S162" s="2815"/>
      <c r="T162" s="2815"/>
      <c r="U162" s="2815"/>
      <c r="V162" s="2815"/>
      <c r="W162" s="2815"/>
      <c r="X162" s="2815"/>
      <c r="Y162" s="2815"/>
      <c r="Z162" s="2815"/>
      <c r="AA162" s="2816"/>
    </row>
    <row r="163" spans="1:79" s="1421" customFormat="1" ht="12.75" customHeight="1">
      <c r="A163" s="2814" t="s">
        <v>1145</v>
      </c>
      <c r="B163" s="2815"/>
      <c r="C163" s="2815"/>
      <c r="D163" s="2815"/>
      <c r="E163" s="2815"/>
      <c r="F163" s="2815"/>
      <c r="G163" s="2815"/>
      <c r="H163" s="2815"/>
      <c r="I163" s="2815"/>
      <c r="J163" s="2815"/>
      <c r="K163" s="2815"/>
      <c r="L163" s="2815"/>
      <c r="M163" s="2815"/>
      <c r="N163" s="2815"/>
      <c r="O163" s="2815"/>
      <c r="P163" s="2815"/>
      <c r="Q163" s="2815"/>
      <c r="R163" s="2815"/>
      <c r="S163" s="2815"/>
      <c r="T163" s="2815"/>
      <c r="U163" s="2815"/>
      <c r="V163" s="2815"/>
      <c r="W163" s="2815"/>
      <c r="X163" s="2815"/>
      <c r="Y163" s="2815"/>
      <c r="Z163" s="2815"/>
      <c r="AA163" s="2816"/>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row>
    <row r="164" spans="1:79" ht="15">
      <c r="A164" s="1132" t="s">
        <v>348</v>
      </c>
      <c r="C164" s="55"/>
      <c r="D164" s="55"/>
      <c r="G164" s="22"/>
      <c r="L164" s="349"/>
      <c r="P164" s="607"/>
      <c r="Q164" s="2069"/>
      <c r="R164" s="2069"/>
      <c r="S164" s="2069"/>
      <c r="T164" s="2069"/>
      <c r="Z164" s="22"/>
      <c r="AA164" s="407"/>
      <c r="AM164" s="1421"/>
      <c r="AN164" s="1421"/>
      <c r="AO164" s="1421"/>
      <c r="AP164" s="1421"/>
      <c r="AQ164" s="1421"/>
      <c r="AR164" s="1421"/>
      <c r="AS164" s="1421"/>
      <c r="AT164" s="1421"/>
      <c r="AU164" s="1421"/>
      <c r="AV164" s="1421"/>
      <c r="AW164" s="1421"/>
      <c r="AX164" s="1421"/>
      <c r="AY164" s="1421"/>
      <c r="AZ164" s="1421"/>
      <c r="BA164" s="1421"/>
      <c r="BB164" s="1421"/>
      <c r="BC164" s="1421"/>
      <c r="BD164" s="1421"/>
      <c r="BE164" s="1421"/>
      <c r="BF164" s="1421"/>
      <c r="BG164" s="1421"/>
      <c r="BH164" s="1421"/>
      <c r="BI164" s="1421"/>
      <c r="BJ164" s="1421"/>
      <c r="BK164" s="1421"/>
      <c r="BL164" s="1421"/>
      <c r="BM164" s="1421"/>
      <c r="BN164" s="1421"/>
      <c r="BO164" s="1421"/>
      <c r="BP164" s="1421"/>
      <c r="BQ164" s="1421"/>
      <c r="BR164" s="1421"/>
      <c r="BS164" s="1421"/>
      <c r="BT164" s="1421"/>
      <c r="BU164" s="1421"/>
      <c r="BV164" s="1421"/>
      <c r="BW164" s="1421"/>
      <c r="BX164" s="1421"/>
      <c r="BY164" s="1421"/>
      <c r="BZ164" s="1421"/>
      <c r="CA164" s="1421"/>
    </row>
    <row r="165" spans="1:79">
      <c r="A165" s="1133" t="s">
        <v>349</v>
      </c>
      <c r="C165" s="55"/>
      <c r="D165" s="55"/>
      <c r="G165" s="22"/>
      <c r="L165" s="349"/>
      <c r="P165" s="607"/>
      <c r="Q165" s="2069"/>
      <c r="R165" s="2069"/>
      <c r="S165" s="2069"/>
      <c r="T165" s="2069"/>
      <c r="Z165" s="22"/>
      <c r="AA165" s="407"/>
    </row>
    <row r="166" spans="1:79">
      <c r="A166" s="1133" t="s">
        <v>350</v>
      </c>
      <c r="C166" s="55"/>
      <c r="D166" s="55"/>
      <c r="G166" s="22"/>
      <c r="L166" s="349"/>
      <c r="P166" s="607"/>
      <c r="Q166" s="2069"/>
      <c r="R166" s="2069"/>
      <c r="S166" s="2069"/>
      <c r="T166" s="2069"/>
      <c r="Z166" s="22"/>
      <c r="AA166" s="407"/>
    </row>
    <row r="167" spans="1:79">
      <c r="A167" s="1133" t="s">
        <v>351</v>
      </c>
      <c r="C167" s="55"/>
      <c r="D167" s="55"/>
      <c r="G167" s="22"/>
      <c r="L167" s="349"/>
      <c r="P167" s="607"/>
      <c r="Q167" s="2069"/>
      <c r="R167" s="2069"/>
      <c r="S167" s="2069"/>
      <c r="T167" s="2069"/>
      <c r="Z167" s="22"/>
      <c r="AA167" s="407"/>
    </row>
    <row r="168" spans="1:79">
      <c r="A168" s="1133" t="s">
        <v>397</v>
      </c>
      <c r="C168" s="55"/>
      <c r="D168" s="55"/>
      <c r="G168" s="22"/>
      <c r="L168" s="349"/>
      <c r="P168" s="607"/>
      <c r="Q168" s="2069"/>
      <c r="R168" s="2069"/>
      <c r="S168" s="2069"/>
      <c r="T168" s="2069"/>
      <c r="Z168" s="22"/>
      <c r="AA168" s="407"/>
    </row>
    <row r="169" spans="1:79">
      <c r="A169" s="1133" t="s">
        <v>353</v>
      </c>
      <c r="C169" s="55"/>
      <c r="D169" s="55"/>
      <c r="G169" s="22"/>
      <c r="L169" s="349"/>
      <c r="P169" s="607"/>
      <c r="Q169" s="2069"/>
      <c r="R169" s="2069"/>
      <c r="S169" s="2069"/>
      <c r="T169" s="2069"/>
      <c r="Z169" s="22"/>
      <c r="AA169" s="407"/>
    </row>
    <row r="170" spans="1:79">
      <c r="A170" s="1133" t="s">
        <v>354</v>
      </c>
      <c r="C170" s="55"/>
      <c r="D170" s="55"/>
      <c r="G170" s="22"/>
      <c r="L170" s="349"/>
      <c r="P170" s="607"/>
      <c r="Q170" s="2069"/>
      <c r="R170" s="2069"/>
      <c r="S170" s="2069"/>
      <c r="T170" s="2069"/>
      <c r="Z170" s="22"/>
      <c r="AA170" s="407"/>
    </row>
    <row r="171" spans="1:79" ht="13.5" thickBot="1">
      <c r="A171" s="9" t="s">
        <v>355</v>
      </c>
      <c r="B171" s="408"/>
      <c r="C171" s="1149"/>
      <c r="D171" s="1149"/>
      <c r="E171" s="408"/>
      <c r="F171" s="408"/>
      <c r="G171" s="35"/>
      <c r="H171" s="408"/>
      <c r="I171" s="408"/>
      <c r="J171" s="408"/>
      <c r="K171" s="408"/>
      <c r="L171" s="2066"/>
      <c r="M171" s="408"/>
      <c r="N171" s="408"/>
      <c r="O171" s="408"/>
      <c r="P171" s="2056"/>
      <c r="Q171" s="2071"/>
      <c r="R171" s="2071"/>
      <c r="S171" s="2071"/>
      <c r="T171" s="2071"/>
      <c r="U171" s="28"/>
      <c r="V171" s="66"/>
      <c r="W171" s="28"/>
      <c r="X171" s="66"/>
      <c r="Y171" s="20"/>
      <c r="Z171" s="35"/>
      <c r="AA171" s="410"/>
    </row>
    <row r="172" spans="1:79" ht="13.5" thickTop="1">
      <c r="C172" s="55"/>
      <c r="D172" s="55"/>
      <c r="G172" s="22"/>
      <c r="L172" s="349"/>
      <c r="P172" s="607"/>
      <c r="Q172" s="2069"/>
      <c r="R172" s="2069"/>
      <c r="S172" s="2069"/>
      <c r="T172" s="2069"/>
      <c r="Z172" s="22"/>
      <c r="AA172"/>
    </row>
    <row r="173" spans="1:79">
      <c r="C173" s="55"/>
      <c r="D173" s="55"/>
      <c r="G173" s="22"/>
      <c r="L173" s="349"/>
      <c r="P173" s="607"/>
      <c r="Q173" s="2069"/>
      <c r="R173" s="2069"/>
      <c r="S173" s="2069"/>
      <c r="T173" s="2069"/>
      <c r="Z173" s="22"/>
      <c r="AA173"/>
    </row>
    <row r="175" spans="1:79">
      <c r="C175" s="55"/>
      <c r="D175" s="55"/>
      <c r="G175" s="22"/>
      <c r="L175" s="349"/>
      <c r="P175" s="607"/>
      <c r="Q175" s="2069"/>
      <c r="R175" s="2069"/>
      <c r="S175" s="2069"/>
      <c r="T175" s="2069"/>
      <c r="Z175" s="22"/>
      <c r="AA175"/>
    </row>
    <row r="176" spans="1:79">
      <c r="A176" s="3"/>
      <c r="C176" s="55"/>
      <c r="D176" s="55"/>
      <c r="G176" s="22"/>
      <c r="L176" s="349"/>
      <c r="P176" s="607"/>
      <c r="Q176" s="2069"/>
      <c r="R176" s="2069"/>
      <c r="S176" s="2069"/>
      <c r="T176" s="2069"/>
      <c r="Z176" s="22"/>
      <c r="AA176"/>
    </row>
    <row r="177" spans="3:27">
      <c r="C177" s="55"/>
      <c r="D177" s="55"/>
      <c r="G177" s="22"/>
      <c r="L177" s="349"/>
      <c r="P177" s="607"/>
      <c r="Q177" s="2069"/>
      <c r="R177" s="2069"/>
      <c r="S177" s="2069"/>
      <c r="T177" s="2069"/>
      <c r="Z177" s="22"/>
      <c r="AA177"/>
    </row>
    <row r="178" spans="3:27">
      <c r="C178" s="55"/>
      <c r="D178" s="55"/>
      <c r="G178" s="22"/>
      <c r="L178" s="349"/>
      <c r="P178" s="607"/>
      <c r="Q178" s="2069"/>
      <c r="R178" s="2069"/>
      <c r="S178" s="2069"/>
      <c r="T178" s="2069"/>
      <c r="Z178" s="22"/>
      <c r="AA178"/>
    </row>
    <row r="179" spans="3:27">
      <c r="C179" s="55"/>
      <c r="D179" s="55"/>
      <c r="G179" s="22"/>
      <c r="L179" s="349"/>
      <c r="P179" s="607"/>
      <c r="Q179" s="2069"/>
      <c r="R179" s="2069"/>
      <c r="S179" s="2069"/>
      <c r="T179" s="2069"/>
      <c r="Z179" s="22"/>
      <c r="AA179"/>
    </row>
    <row r="180" spans="3:27">
      <c r="C180" s="55"/>
      <c r="D180" s="55"/>
      <c r="G180" s="22"/>
      <c r="L180" s="349"/>
      <c r="P180" s="607"/>
      <c r="Q180" s="2069"/>
      <c r="R180" s="2069"/>
      <c r="S180" s="2069"/>
      <c r="T180" s="2069"/>
      <c r="Z180" s="22"/>
      <c r="AA180"/>
    </row>
    <row r="181" spans="3:27">
      <c r="C181" s="55"/>
      <c r="D181" s="55"/>
      <c r="G181" s="22"/>
      <c r="L181" s="349"/>
      <c r="P181" s="607"/>
      <c r="Q181" s="2069"/>
      <c r="R181" s="2069"/>
      <c r="S181" s="2069"/>
      <c r="T181" s="2069"/>
      <c r="Z181" s="22"/>
      <c r="AA181"/>
    </row>
    <row r="182" spans="3:27">
      <c r="C182" s="55"/>
      <c r="D182" s="55"/>
      <c r="G182" s="22"/>
      <c r="L182" s="349"/>
      <c r="P182" s="607"/>
      <c r="Q182" s="2069"/>
      <c r="R182" s="2069"/>
      <c r="S182" s="2069"/>
      <c r="T182" s="2069"/>
      <c r="Z182" s="22"/>
      <c r="AA182"/>
    </row>
    <row r="183" spans="3:27">
      <c r="C183" s="55"/>
      <c r="D183" s="55"/>
      <c r="G183" s="22"/>
      <c r="L183" s="349"/>
      <c r="P183" s="607"/>
      <c r="Q183" s="2069"/>
      <c r="R183" s="2069"/>
      <c r="S183" s="2069"/>
      <c r="T183" s="2069"/>
      <c r="Z183" s="22"/>
      <c r="AA183"/>
    </row>
    <row r="184" spans="3:27">
      <c r="C184" s="55"/>
      <c r="D184" s="55"/>
      <c r="G184" s="22"/>
      <c r="L184" s="349"/>
      <c r="P184" s="607"/>
      <c r="Q184" s="2069"/>
      <c r="R184" s="2069"/>
      <c r="S184" s="2069"/>
      <c r="T184" s="2069"/>
      <c r="Z184" s="22"/>
      <c r="AA184"/>
    </row>
    <row r="185" spans="3:27">
      <c r="C185" s="55"/>
      <c r="D185" s="55"/>
      <c r="G185" s="22"/>
      <c r="L185" s="349"/>
      <c r="P185" s="607"/>
      <c r="Q185" s="2069"/>
      <c r="R185" s="2069"/>
      <c r="S185" s="2069"/>
      <c r="T185" s="2069"/>
      <c r="Z185" s="22"/>
      <c r="AA185"/>
    </row>
    <row r="186" spans="3:27">
      <c r="C186" s="55"/>
      <c r="D186" s="55"/>
      <c r="G186" s="22"/>
      <c r="L186" s="349"/>
      <c r="P186" s="607"/>
      <c r="Q186" s="2069"/>
      <c r="R186" s="2069"/>
      <c r="S186" s="2069"/>
      <c r="T186" s="2069"/>
      <c r="Z186" s="22"/>
      <c r="AA186"/>
    </row>
    <row r="187" spans="3:27">
      <c r="C187" s="55"/>
      <c r="D187" s="55"/>
      <c r="G187" s="22"/>
      <c r="L187" s="349"/>
      <c r="P187" s="607"/>
      <c r="Q187" s="2069"/>
      <c r="R187" s="2069"/>
      <c r="S187" s="2069"/>
      <c r="T187" s="2069"/>
      <c r="Z187" s="22"/>
      <c r="AA187"/>
    </row>
    <row r="188" spans="3:27">
      <c r="C188" s="55"/>
      <c r="D188" s="55"/>
      <c r="G188" s="22"/>
      <c r="L188" s="349"/>
      <c r="P188" s="607"/>
      <c r="Q188" s="2069"/>
      <c r="R188" s="2069"/>
      <c r="S188" s="2069"/>
      <c r="T188" s="2069"/>
      <c r="Z188" s="22"/>
      <c r="AA188"/>
    </row>
    <row r="189" spans="3:27">
      <c r="C189" s="55"/>
      <c r="D189" s="55"/>
      <c r="G189" s="22"/>
      <c r="L189" s="349"/>
      <c r="P189" s="607"/>
      <c r="Q189" s="2069"/>
      <c r="R189" s="2069"/>
      <c r="S189" s="2069"/>
      <c r="T189" s="2069"/>
      <c r="Z189" s="22"/>
      <c r="AA189"/>
    </row>
    <row r="190" spans="3:27">
      <c r="C190" s="55"/>
      <c r="D190" s="55"/>
      <c r="G190" s="22"/>
      <c r="L190" s="349"/>
      <c r="P190" s="607"/>
      <c r="Q190" s="2069"/>
      <c r="R190" s="2069"/>
      <c r="S190" s="2069"/>
      <c r="T190" s="2069"/>
      <c r="Z190" s="22"/>
      <c r="AA190"/>
    </row>
    <row r="191" spans="3:27">
      <c r="C191" s="55"/>
      <c r="D191" s="55"/>
      <c r="G191" s="22"/>
      <c r="L191" s="349"/>
      <c r="P191" s="607"/>
      <c r="Q191" s="2069"/>
      <c r="R191" s="2069"/>
      <c r="S191" s="2069"/>
      <c r="T191" s="2069"/>
      <c r="Z191" s="22"/>
      <c r="AA191"/>
    </row>
    <row r="192" spans="3:27">
      <c r="C192" s="55"/>
      <c r="D192" s="55"/>
      <c r="L192" s="349"/>
      <c r="P192" s="607"/>
      <c r="Q192" s="2069"/>
      <c r="R192" s="2069"/>
      <c r="S192" s="2069"/>
      <c r="T192" s="2069"/>
      <c r="AA192"/>
    </row>
    <row r="193" spans="3:27">
      <c r="C193" s="55"/>
      <c r="D193" s="55"/>
      <c r="L193" s="349"/>
      <c r="P193" s="607"/>
      <c r="Q193" s="2069"/>
      <c r="R193" s="2069"/>
      <c r="S193" s="2069"/>
      <c r="T193" s="2069"/>
      <c r="AA193"/>
    </row>
    <row r="194" spans="3:27">
      <c r="C194" s="55"/>
      <c r="D194" s="55"/>
      <c r="L194" s="349"/>
      <c r="P194" s="607"/>
      <c r="Q194" s="2069"/>
      <c r="R194" s="2069"/>
      <c r="S194" s="2069"/>
      <c r="T194" s="2069"/>
      <c r="AA194"/>
    </row>
    <row r="195" spans="3:27">
      <c r="C195" s="55"/>
      <c r="D195" s="55"/>
      <c r="L195" s="349"/>
      <c r="P195" s="607"/>
      <c r="Q195" s="2069"/>
      <c r="R195" s="2069"/>
      <c r="S195" s="2069"/>
      <c r="T195" s="2069"/>
      <c r="U195"/>
      <c r="V195"/>
      <c r="W195"/>
      <c r="X195"/>
      <c r="Y195"/>
      <c r="Z195"/>
      <c r="AA195"/>
    </row>
    <row r="196" spans="3:27">
      <c r="C196" s="55"/>
      <c r="D196" s="55"/>
      <c r="L196" s="349"/>
      <c r="P196" s="607"/>
      <c r="Q196" s="2069"/>
      <c r="R196" s="2069"/>
      <c r="S196" s="2069"/>
      <c r="T196" s="2069"/>
      <c r="U196"/>
      <c r="V196"/>
      <c r="W196"/>
      <c r="X196"/>
      <c r="Y196"/>
      <c r="Z196"/>
      <c r="AA196"/>
    </row>
    <row r="197" spans="3:27">
      <c r="C197" s="55"/>
      <c r="D197" s="55"/>
      <c r="L197" s="349"/>
      <c r="P197" s="607"/>
      <c r="Q197" s="2069"/>
      <c r="R197" s="2069"/>
      <c r="S197" s="2069"/>
      <c r="T197" s="2069"/>
      <c r="U197"/>
      <c r="V197"/>
      <c r="W197"/>
      <c r="X197"/>
      <c r="Y197"/>
      <c r="Z197"/>
      <c r="AA197"/>
    </row>
    <row r="198" spans="3:27">
      <c r="C198" s="55"/>
      <c r="D198" s="55"/>
      <c r="L198" s="349"/>
      <c r="P198" s="607"/>
      <c r="Q198" s="2069"/>
      <c r="R198" s="2069"/>
      <c r="S198" s="2069"/>
      <c r="T198" s="2069"/>
      <c r="U198"/>
      <c r="V198"/>
      <c r="W198"/>
      <c r="X198"/>
      <c r="Y198"/>
      <c r="Z198"/>
      <c r="AA198"/>
    </row>
    <row r="199" spans="3:27">
      <c r="C199" s="55"/>
      <c r="D199" s="55"/>
      <c r="L199" s="349"/>
      <c r="P199" s="607"/>
      <c r="Q199" s="2069"/>
      <c r="R199" s="2069"/>
      <c r="S199" s="2069"/>
      <c r="T199" s="2069"/>
      <c r="U199"/>
      <c r="V199"/>
      <c r="W199"/>
      <c r="X199"/>
      <c r="Y199"/>
      <c r="Z199"/>
      <c r="AA199"/>
    </row>
    <row r="200" spans="3:27">
      <c r="C200" s="55"/>
      <c r="D200" s="55"/>
      <c r="L200" s="349"/>
      <c r="P200" s="607"/>
      <c r="Q200" s="2069"/>
      <c r="R200" s="2069"/>
      <c r="S200" s="2069"/>
      <c r="T200" s="2069"/>
      <c r="U200"/>
      <c r="V200"/>
      <c r="W200"/>
      <c r="X200"/>
      <c r="Y200"/>
      <c r="Z200"/>
      <c r="AA200"/>
    </row>
    <row r="201" spans="3:27">
      <c r="C201" s="55"/>
      <c r="D201" s="55"/>
      <c r="L201" s="349"/>
      <c r="P201" s="607"/>
      <c r="Q201" s="2069"/>
      <c r="R201" s="2069"/>
      <c r="S201" s="2069"/>
      <c r="T201" s="2069"/>
      <c r="U201"/>
      <c r="V201"/>
      <c r="W201"/>
      <c r="X201"/>
      <c r="Y201"/>
      <c r="Z201"/>
      <c r="AA201"/>
    </row>
    <row r="202" spans="3:27">
      <c r="C202" s="55"/>
      <c r="D202" s="55"/>
      <c r="L202" s="349"/>
      <c r="P202" s="607"/>
      <c r="Q202" s="2069"/>
      <c r="R202" s="2069"/>
      <c r="S202" s="2069"/>
      <c r="T202" s="2069"/>
      <c r="U202"/>
      <c r="V202"/>
      <c r="W202"/>
      <c r="X202"/>
      <c r="Y202"/>
      <c r="Z202"/>
      <c r="AA202"/>
    </row>
    <row r="203" spans="3:27">
      <c r="C203" s="55"/>
      <c r="D203" s="55"/>
      <c r="L203" s="349"/>
      <c r="P203" s="607"/>
      <c r="Q203" s="2069"/>
      <c r="R203" s="2069"/>
      <c r="S203" s="2069"/>
      <c r="T203" s="2069"/>
      <c r="U203"/>
      <c r="V203"/>
      <c r="W203"/>
      <c r="X203"/>
      <c r="Y203"/>
      <c r="Z203"/>
      <c r="AA203"/>
    </row>
    <row r="204" spans="3:27">
      <c r="C204" s="55"/>
      <c r="D204" s="55"/>
      <c r="L204" s="349"/>
      <c r="P204" s="607"/>
      <c r="Q204" s="2069"/>
      <c r="R204" s="2069"/>
      <c r="S204" s="2069"/>
      <c r="T204" s="2069"/>
      <c r="U204"/>
      <c r="V204"/>
      <c r="W204"/>
      <c r="X204"/>
      <c r="Y204"/>
      <c r="Z204"/>
      <c r="AA204"/>
    </row>
    <row r="205" spans="3:27">
      <c r="C205" s="55"/>
      <c r="D205" s="55"/>
      <c r="L205" s="349"/>
      <c r="P205" s="607"/>
      <c r="Q205" s="2069"/>
      <c r="R205" s="2069"/>
      <c r="S205" s="2069"/>
      <c r="T205" s="2069"/>
      <c r="U205"/>
      <c r="V205"/>
      <c r="W205"/>
      <c r="X205"/>
      <c r="Y205"/>
      <c r="Z205"/>
      <c r="AA205"/>
    </row>
    <row r="206" spans="3:27">
      <c r="C206" s="55"/>
      <c r="D206" s="55"/>
      <c r="L206" s="349"/>
      <c r="P206" s="607"/>
      <c r="Q206" s="2069"/>
      <c r="R206" s="2069"/>
      <c r="S206" s="2069"/>
      <c r="T206" s="2069"/>
      <c r="U206"/>
      <c r="V206"/>
      <c r="W206"/>
      <c r="X206"/>
      <c r="Y206"/>
      <c r="Z206"/>
      <c r="AA206"/>
    </row>
    <row r="207" spans="3:27">
      <c r="C207" s="55"/>
      <c r="D207" s="55"/>
      <c r="L207" s="349"/>
      <c r="P207" s="607"/>
      <c r="Q207" s="2069"/>
      <c r="R207" s="2069"/>
      <c r="S207" s="2069"/>
      <c r="T207" s="2069"/>
      <c r="U207"/>
      <c r="V207"/>
      <c r="W207"/>
      <c r="X207"/>
      <c r="Y207"/>
      <c r="Z207"/>
      <c r="AA207"/>
    </row>
    <row r="208" spans="3:27">
      <c r="C208" s="55"/>
      <c r="D208" s="55"/>
      <c r="L208" s="349"/>
      <c r="P208" s="607"/>
      <c r="Q208" s="2069"/>
      <c r="R208" s="2069"/>
      <c r="S208" s="2069"/>
      <c r="T208" s="2069"/>
      <c r="U208"/>
      <c r="V208"/>
      <c r="W208"/>
      <c r="X208"/>
      <c r="Y208"/>
      <c r="Z208"/>
      <c r="AA208"/>
    </row>
    <row r="209" spans="3:27">
      <c r="C209" s="55"/>
      <c r="D209" s="55"/>
      <c r="L209" s="349"/>
      <c r="P209" s="607"/>
      <c r="Q209" s="2069"/>
      <c r="R209" s="2069"/>
      <c r="S209" s="2069"/>
      <c r="T209" s="2069"/>
      <c r="U209"/>
      <c r="V209"/>
      <c r="W209"/>
      <c r="X209"/>
      <c r="Y209"/>
      <c r="Z209"/>
      <c r="AA209"/>
    </row>
    <row r="210" spans="3:27">
      <c r="C210" s="55"/>
      <c r="D210" s="55"/>
      <c r="L210" s="349"/>
      <c r="P210" s="607"/>
      <c r="Q210" s="2069"/>
      <c r="R210" s="2069"/>
      <c r="S210" s="2069"/>
      <c r="T210" s="2069"/>
      <c r="U210"/>
      <c r="V210"/>
      <c r="W210"/>
      <c r="X210"/>
      <c r="Y210"/>
      <c r="Z210"/>
      <c r="AA210"/>
    </row>
    <row r="211" spans="3:27">
      <c r="C211" s="55"/>
      <c r="D211" s="55"/>
      <c r="L211" s="349"/>
      <c r="P211" s="607"/>
      <c r="Q211" s="2069"/>
      <c r="R211" s="2069"/>
      <c r="S211" s="2069"/>
      <c r="T211" s="2069"/>
      <c r="U211"/>
      <c r="V211"/>
      <c r="W211"/>
      <c r="X211"/>
      <c r="Y211"/>
      <c r="Z211"/>
      <c r="AA211"/>
    </row>
    <row r="212" spans="3:27">
      <c r="C212" s="55"/>
      <c r="D212" s="55"/>
      <c r="L212" s="349"/>
      <c r="P212" s="607"/>
      <c r="Q212" s="2069"/>
      <c r="R212" s="2069"/>
      <c r="S212" s="2069"/>
      <c r="T212" s="2069"/>
      <c r="U212"/>
      <c r="V212"/>
      <c r="W212"/>
      <c r="X212"/>
      <c r="Y212"/>
      <c r="Z212"/>
      <c r="AA212"/>
    </row>
    <row r="213" spans="3:27">
      <c r="C213" s="55"/>
      <c r="D213" s="55"/>
      <c r="L213" s="349"/>
      <c r="P213" s="607"/>
      <c r="Q213" s="2069"/>
      <c r="R213" s="2069"/>
      <c r="S213" s="2069"/>
      <c r="T213" s="2069"/>
      <c r="U213"/>
      <c r="V213"/>
      <c r="W213"/>
      <c r="X213"/>
      <c r="Y213"/>
      <c r="Z213"/>
      <c r="AA213"/>
    </row>
    <row r="214" spans="3:27">
      <c r="C214" s="55"/>
      <c r="D214" s="55"/>
      <c r="U214"/>
      <c r="V214"/>
      <c r="W214"/>
      <c r="X214"/>
      <c r="Y214"/>
      <c r="Z214"/>
      <c r="AA214"/>
    </row>
    <row r="215" spans="3:27">
      <c r="C215" s="55"/>
      <c r="D215" s="55"/>
      <c r="U215"/>
      <c r="V215"/>
      <c r="W215"/>
      <c r="X215"/>
      <c r="Y215"/>
      <c r="Z215"/>
      <c r="AA215"/>
    </row>
    <row r="216" spans="3:27">
      <c r="C216" s="55"/>
      <c r="D216" s="55"/>
      <c r="U216"/>
      <c r="V216"/>
      <c r="W216"/>
      <c r="X216"/>
      <c r="Y216"/>
      <c r="Z216"/>
      <c r="AA216"/>
    </row>
    <row r="217" spans="3:27">
      <c r="C217" s="55"/>
      <c r="D217" s="55"/>
      <c r="U217"/>
      <c r="V217"/>
      <c r="W217"/>
      <c r="X217"/>
      <c r="Y217"/>
      <c r="Z217"/>
      <c r="AA217"/>
    </row>
  </sheetData>
  <sheetProtection algorithmName="SHA-512" hashValue="eLrGaBwC5XLzgz5q49/oQJs5a2q4rhp+TgtJbFKnopM8krjrBcRMaQs0dHjltljPzVeiNU7dhYJnImLhIFC7VA==" saltValue="2xXSnCyRstIvJmt+ZZfoxA==" spinCount="100000" sheet="1" sort="0" autoFilter="0"/>
  <autoFilter ref="A5:AA163" xr:uid="{00000000-0001-0000-1A00-000000000000}"/>
  <mergeCells count="25">
    <mergeCell ref="A163:AA163"/>
    <mergeCell ref="A162:AA162"/>
    <mergeCell ref="C2:K2"/>
    <mergeCell ref="C3:C5"/>
    <mergeCell ref="E3:E5"/>
    <mergeCell ref="F3:F5"/>
    <mergeCell ref="G3:G5"/>
    <mergeCell ref="H3:H5"/>
    <mergeCell ref="I3:I5"/>
    <mergeCell ref="J3:J5"/>
    <mergeCell ref="A3:B3"/>
    <mergeCell ref="A4:A5"/>
    <mergeCell ref="B4:B5"/>
    <mergeCell ref="P3:P5"/>
    <mergeCell ref="Q3:Q5"/>
    <mergeCell ref="U3:AA4"/>
    <mergeCell ref="T3:T5"/>
    <mergeCell ref="D3:D5"/>
    <mergeCell ref="R3:R5"/>
    <mergeCell ref="S3:S5"/>
    <mergeCell ref="K3:K5"/>
    <mergeCell ref="L3:L5"/>
    <mergeCell ref="M3:M5"/>
    <mergeCell ref="N3:N5"/>
    <mergeCell ref="O3:O5"/>
  </mergeCells>
  <printOptions horizontalCentered="1"/>
  <pageMargins left="0.7" right="0.7" top="0.75" bottom="0.5" header="0.3" footer="0.3"/>
  <pageSetup scale="36" fitToHeight="0" orientation="landscape" r:id="rId1"/>
  <headerFooter alignWithMargins="0">
    <oddFooter>&amp;C&amp;P of &amp;N&amp;R&amp;A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pageSetUpPr fitToPage="1"/>
  </sheetPr>
  <dimension ref="A1:AW1041"/>
  <sheetViews>
    <sheetView showGridLines="0" zoomScale="110" zoomScaleNormal="110" workbookViewId="0">
      <pane xSplit="2" ySplit="5" topLeftCell="C6" activePane="bottomRight" state="frozen"/>
      <selection pane="topRight" activeCell="C1" sqref="C1"/>
      <selection pane="bottomLeft" activeCell="A6" sqref="A6"/>
      <selection pane="bottomRight" activeCell="A4" sqref="A4:B4"/>
    </sheetView>
  </sheetViews>
  <sheetFormatPr defaultColWidth="9.140625" defaultRowHeight="12.75"/>
  <cols>
    <col min="1" max="1" width="42.7109375" style="13" customWidth="1"/>
    <col min="2" max="2" width="13" style="13" customWidth="1"/>
    <col min="3" max="35" width="15.140625" style="13" customWidth="1"/>
    <col min="36" max="36" width="10.5703125" style="13" customWidth="1"/>
    <col min="38" max="38" width="11.85546875" style="75" customWidth="1"/>
    <col min="39" max="39" width="14.140625" style="13" customWidth="1"/>
    <col min="40" max="40" width="11.140625" style="13" customWidth="1"/>
    <col min="41" max="41" width="10.85546875" style="95" customWidth="1"/>
    <col min="42" max="42" width="11.140625" customWidth="1"/>
    <col min="43" max="43" width="10" customWidth="1"/>
    <col min="44" max="44" width="10.5703125" customWidth="1"/>
    <col min="45" max="45" width="9.140625" style="13"/>
    <col min="46" max="46" width="9.140625" style="13" customWidth="1"/>
    <col min="47" max="16384" width="9.140625" style="13"/>
  </cols>
  <sheetData>
    <row r="1" spans="1:45" s="4" customFormat="1" ht="12" hidden="1" customHeight="1">
      <c r="A1" s="7" t="s">
        <v>1146</v>
      </c>
      <c r="B1" s="7" t="s">
        <v>1066</v>
      </c>
      <c r="C1" s="1455" t="s">
        <v>1147</v>
      </c>
      <c r="D1" s="1456" t="s">
        <v>1148</v>
      </c>
      <c r="E1" s="1455"/>
      <c r="F1" s="1455"/>
      <c r="G1" s="1455"/>
      <c r="H1" s="1455"/>
      <c r="I1" s="1455"/>
      <c r="J1" s="1455"/>
      <c r="K1" s="1455"/>
      <c r="L1" s="1456" t="s">
        <v>704</v>
      </c>
      <c r="M1" s="1456" t="s">
        <v>1149</v>
      </c>
      <c r="N1" s="1455"/>
      <c r="O1" s="1455"/>
      <c r="P1" s="1455"/>
      <c r="Q1" s="1455"/>
      <c r="R1" s="1455"/>
      <c r="S1" s="1455"/>
      <c r="T1" s="1456" t="s">
        <v>1150</v>
      </c>
      <c r="U1" s="1456" t="s">
        <v>1151</v>
      </c>
      <c r="V1" s="1455"/>
      <c r="W1" s="1455"/>
      <c r="X1" s="1455"/>
      <c r="Y1" s="1455"/>
      <c r="Z1" s="1455"/>
      <c r="AA1" s="1455"/>
      <c r="AB1" s="1456" t="s">
        <v>706</v>
      </c>
      <c r="AC1" s="1456" t="s">
        <v>1152</v>
      </c>
      <c r="AD1" s="1455"/>
      <c r="AE1" s="1455"/>
      <c r="AF1" s="1455"/>
      <c r="AG1" s="1455"/>
      <c r="AH1" s="1455"/>
      <c r="AI1" s="1455"/>
      <c r="AJ1" s="337" t="s">
        <v>707</v>
      </c>
      <c r="AK1" s="337" t="s">
        <v>1153</v>
      </c>
      <c r="AL1" s="337" t="s">
        <v>683</v>
      </c>
      <c r="AM1" s="7" t="s">
        <v>1154</v>
      </c>
      <c r="AO1" s="67" t="s">
        <v>760</v>
      </c>
      <c r="AP1" s="337" t="s">
        <v>1155</v>
      </c>
      <c r="AQ1" s="7" t="s">
        <v>1156</v>
      </c>
      <c r="AR1" s="337" t="s">
        <v>1157</v>
      </c>
      <c r="AS1" s="7" t="s">
        <v>1158</v>
      </c>
    </row>
    <row r="2" spans="1:45" s="7" customFormat="1" ht="3.75" customHeight="1">
      <c r="A2" s="88"/>
      <c r="B2" s="88"/>
      <c r="C2" s="86"/>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7"/>
      <c r="AL2" s="490"/>
      <c r="AM2" s="89"/>
      <c r="AN2" s="89"/>
      <c r="AO2" s="93"/>
      <c r="AP2" s="87"/>
      <c r="AQ2" s="87"/>
      <c r="AR2" s="87"/>
      <c r="AS2" s="78"/>
    </row>
    <row r="3" spans="1:45" s="84" customFormat="1" ht="30.75" thickBot="1">
      <c r="A3" s="1423" t="s">
        <v>1159</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1178"/>
      <c r="AK3" s="1178"/>
      <c r="AL3" s="489"/>
      <c r="AM3" s="315"/>
      <c r="AN3" s="315"/>
      <c r="AO3" s="315"/>
      <c r="AP3" s="315"/>
      <c r="AQ3" s="315"/>
      <c r="AR3" s="315"/>
      <c r="AS3" s="1"/>
    </row>
    <row r="4" spans="1:45" s="84" customFormat="1" ht="29.25" customHeight="1" thickTop="1" thickBot="1">
      <c r="A4" s="2819" t="str">
        <f>'Tier 1 ESL'!A6:F6</f>
        <v>2025 (Rev 4)</v>
      </c>
      <c r="B4" s="2836"/>
      <c r="C4" s="2837" t="s">
        <v>1160</v>
      </c>
      <c r="D4" s="2838"/>
      <c r="E4" s="2838"/>
      <c r="F4" s="2838"/>
      <c r="G4" s="2838"/>
      <c r="H4" s="2838"/>
      <c r="I4" s="2838"/>
      <c r="J4" s="2838"/>
      <c r="K4" s="2839"/>
      <c r="L4" s="2837" t="s">
        <v>1161</v>
      </c>
      <c r="M4" s="2838"/>
      <c r="N4" s="2838"/>
      <c r="O4" s="2838"/>
      <c r="P4" s="2838"/>
      <c r="Q4" s="2838"/>
      <c r="R4" s="2838"/>
      <c r="S4" s="2839"/>
      <c r="T4" s="2837" t="s">
        <v>1162</v>
      </c>
      <c r="U4" s="2838"/>
      <c r="V4" s="2838"/>
      <c r="W4" s="2838"/>
      <c r="X4" s="2838"/>
      <c r="Y4" s="2838"/>
      <c r="Z4" s="2838"/>
      <c r="AA4" s="2839"/>
      <c r="AB4" s="2837" t="s">
        <v>1163</v>
      </c>
      <c r="AC4" s="2838"/>
      <c r="AD4" s="2838"/>
      <c r="AE4" s="2838"/>
      <c r="AF4" s="2838"/>
      <c r="AG4" s="2838"/>
      <c r="AH4" s="2838"/>
      <c r="AI4" s="2839"/>
      <c r="AJ4" s="2832" t="s">
        <v>1164</v>
      </c>
      <c r="AK4" s="2833"/>
      <c r="AL4" s="2834" t="s">
        <v>1165</v>
      </c>
      <c r="AM4" s="2834"/>
      <c r="AN4" s="2834"/>
      <c r="AO4" s="2834"/>
      <c r="AP4" s="2834"/>
      <c r="AQ4" s="2834"/>
      <c r="AR4" s="2835"/>
      <c r="AS4" s="2830" t="s">
        <v>677</v>
      </c>
    </row>
    <row r="5" spans="1:45" s="85" customFormat="1" ht="90.75" thickBot="1">
      <c r="A5" s="576" t="s">
        <v>661</v>
      </c>
      <c r="B5" s="1331" t="s">
        <v>80</v>
      </c>
      <c r="C5" s="1424" t="s">
        <v>4296</v>
      </c>
      <c r="D5" s="1425" t="s">
        <v>1167</v>
      </c>
      <c r="E5" s="1422" t="s">
        <v>1168</v>
      </c>
      <c r="F5" s="1426" t="s">
        <v>1169</v>
      </c>
      <c r="G5" s="1427" t="s">
        <v>1170</v>
      </c>
      <c r="H5" s="1426" t="s">
        <v>1169</v>
      </c>
      <c r="I5" s="1428" t="s">
        <v>1171</v>
      </c>
      <c r="J5" s="1426" t="s">
        <v>1169</v>
      </c>
      <c r="K5" s="1428" t="s">
        <v>1172</v>
      </c>
      <c r="L5" s="1424" t="s">
        <v>1173</v>
      </c>
      <c r="M5" s="1425" t="s">
        <v>1174</v>
      </c>
      <c r="N5" s="1422" t="s">
        <v>1175</v>
      </c>
      <c r="O5" s="908" t="s">
        <v>1169</v>
      </c>
      <c r="P5" s="1429" t="s">
        <v>1176</v>
      </c>
      <c r="Q5" s="1426" t="s">
        <v>1169</v>
      </c>
      <c r="R5" s="1430" t="s">
        <v>1177</v>
      </c>
      <c r="S5" s="1426" t="s">
        <v>1169</v>
      </c>
      <c r="T5" s="1424" t="s">
        <v>1178</v>
      </c>
      <c r="U5" s="1425" t="s">
        <v>1179</v>
      </c>
      <c r="V5" s="1422" t="s">
        <v>1180</v>
      </c>
      <c r="W5" s="1426" t="s">
        <v>1169</v>
      </c>
      <c r="X5" s="1429" t="s">
        <v>1181</v>
      </c>
      <c r="Y5" s="1426" t="s">
        <v>1169</v>
      </c>
      <c r="Z5" s="1428" t="s">
        <v>1182</v>
      </c>
      <c r="AA5" s="1426" t="s">
        <v>1169</v>
      </c>
      <c r="AB5" s="1424" t="s">
        <v>1183</v>
      </c>
      <c r="AC5" s="1425" t="s">
        <v>1184</v>
      </c>
      <c r="AD5" s="1429" t="s">
        <v>1185</v>
      </c>
      <c r="AE5" s="1426" t="s">
        <v>1169</v>
      </c>
      <c r="AF5" s="1429" t="s">
        <v>1186</v>
      </c>
      <c r="AG5" s="1426" t="s">
        <v>1169</v>
      </c>
      <c r="AH5" s="1428" t="s">
        <v>1187</v>
      </c>
      <c r="AI5" s="1426" t="s">
        <v>1169</v>
      </c>
      <c r="AJ5" s="1984" t="s">
        <v>1188</v>
      </c>
      <c r="AK5" s="2002" t="s">
        <v>1189</v>
      </c>
      <c r="AL5" s="2017" t="s">
        <v>1190</v>
      </c>
      <c r="AM5" s="2014" t="s">
        <v>1191</v>
      </c>
      <c r="AN5" s="2014" t="s">
        <v>1192</v>
      </c>
      <c r="AO5" s="1985" t="s">
        <v>1193</v>
      </c>
      <c r="AP5" s="2014" t="s">
        <v>1194</v>
      </c>
      <c r="AQ5" s="2014" t="s">
        <v>1195</v>
      </c>
      <c r="AR5" s="992" t="s">
        <v>1196</v>
      </c>
      <c r="AS5" s="2831"/>
    </row>
    <row r="6" spans="1:45" s="14" customFormat="1" ht="12" customHeight="1">
      <c r="A6" s="309" t="s">
        <v>391</v>
      </c>
      <c r="B6" s="427" t="s">
        <v>392</v>
      </c>
      <c r="C6" s="1431" t="str">
        <f>IF(AND(E6&lt;&gt;"--",G6&lt;&gt;"--"),MAX(E6,G6),IF(G6&lt;&gt;"--",G6,IF(AND(E6&lt;&gt;"--",I6&lt;&gt;"--"),MAX(E6,I6),IF(I6&lt;&gt;"--",I6,E6))))</f>
        <v>--</v>
      </c>
      <c r="D6" s="1432" t="str">
        <f>IF(C6="--"," ",IF(C6=G6,H6,IF(C6=E6,F6,J6)))</f>
        <v xml:space="preserve"> </v>
      </c>
      <c r="E6" s="217" t="s">
        <v>115</v>
      </c>
      <c r="F6" s="1345"/>
      <c r="G6" s="217" t="s">
        <v>115</v>
      </c>
      <c r="H6" s="165"/>
      <c r="I6" s="687" t="s">
        <v>115</v>
      </c>
      <c r="J6" s="165"/>
      <c r="K6" s="1433"/>
      <c r="L6" s="1431" t="str">
        <f>IF(AND(N6&lt;&gt;"--",P6&lt;&gt;"--"),MAX(N6,P6),IF(P6&lt;&gt;"--",P6,IF(AND(N6&lt;&gt;"--",R6&lt;&gt;"--"),MAX(N6,R6),IF(R6&lt;&gt;"--",R6,N6))))</f>
        <v>--</v>
      </c>
      <c r="M6" s="1432" t="str">
        <f>IF(L6="--"," ",IF(L6=P6,Q6,IF(L6=N6,O6,S6)))</f>
        <v xml:space="preserve"> </v>
      </c>
      <c r="N6" s="217" t="s">
        <v>115</v>
      </c>
      <c r="O6" s="161"/>
      <c r="P6" s="507" t="s">
        <v>115</v>
      </c>
      <c r="Q6" s="165"/>
      <c r="R6" s="178" t="s">
        <v>115</v>
      </c>
      <c r="S6" s="225"/>
      <c r="T6" s="1431">
        <f>IF(AND(V6&lt;&gt;"--",X6&lt;&gt;"--"),MIN(V6,X6),IF(X6&lt;&gt;"--",X6,IF(AND(V6&lt;&gt;"--",Z6&lt;&gt;"--"),MIN(V6,Z6),IF(Z6&lt;&gt;"--",Z6,V6))))</f>
        <v>0.9</v>
      </c>
      <c r="U6" s="1432" t="str">
        <f>IF(T6="--"," ",IF(T6=X6,Y6,IF(T6=V6,W6,AA6)))</f>
        <v>IRIS 2023</v>
      </c>
      <c r="V6" s="217" t="s">
        <v>115</v>
      </c>
      <c r="W6" s="161"/>
      <c r="X6" s="179">
        <v>0.9</v>
      </c>
      <c r="Y6" s="165" t="s">
        <v>1197</v>
      </c>
      <c r="Z6" s="687" t="s">
        <v>115</v>
      </c>
      <c r="AA6" s="328"/>
      <c r="AB6" s="1431">
        <f>IF(AND(AD6&lt;&gt;"--",AF6&lt;&gt;"--"),MIN(AD6,AF6),IF(AF6&lt;&gt;"--",AF6,IF(AND(AD6&lt;&gt;"--",AH6&lt;&gt;"--"),MIN(AD6,AH6),IF(AH6&lt;&gt;"--",AH6,AD6))))</f>
        <v>31000</v>
      </c>
      <c r="AC6" s="1432" t="str">
        <f>IF(AB6="--"," ",IF(AB6=AF6,AG6,IF(AB6=AD6,AE6,AI6)))</f>
        <v>ATSDR 1994</v>
      </c>
      <c r="AD6" s="179" t="s">
        <v>115</v>
      </c>
      <c r="AE6" s="165"/>
      <c r="AF6" s="179" t="s">
        <v>115</v>
      </c>
      <c r="AG6" s="165"/>
      <c r="AH6" s="485">
        <v>31000</v>
      </c>
      <c r="AI6" s="1434" t="s">
        <v>1198</v>
      </c>
      <c r="AJ6" s="402">
        <v>1</v>
      </c>
      <c r="AK6" s="312" t="s">
        <v>115</v>
      </c>
      <c r="AL6" s="402" t="s">
        <v>495</v>
      </c>
      <c r="AM6" s="328">
        <v>5.1199999999999998E-4</v>
      </c>
      <c r="AN6" s="492" t="s">
        <v>1199</v>
      </c>
      <c r="AO6" s="314">
        <v>1</v>
      </c>
      <c r="AP6" s="158">
        <v>1.50076832709E-3</v>
      </c>
      <c r="AQ6" s="158">
        <v>0.22238339169509</v>
      </c>
      <c r="AR6" s="165">
        <v>0.53372014006821</v>
      </c>
      <c r="AS6" s="168" t="s">
        <v>115</v>
      </c>
    </row>
    <row r="7" spans="1:45" ht="12" customHeight="1">
      <c r="A7" s="309" t="s">
        <v>85</v>
      </c>
      <c r="B7" s="427" t="s">
        <v>86</v>
      </c>
      <c r="C7" s="1431">
        <f>IF(AND(E7&lt;&gt;"--",G7&lt;&gt;"--"),MAX(E7,G7),IF(G7&lt;&gt;"--",G7,IF(AND(E7&lt;&gt;"--",I7&lt;&gt;"--"),MAX(E7,I7),IF(I7&lt;&gt;"--",I7,E7))))</f>
        <v>17</v>
      </c>
      <c r="D7" s="1432" t="str">
        <f t="shared" ref="D7:D71" si="0">IF(C7="--"," ",IF(C7=G7,H7,IF(C7=E7,F7,J7)))</f>
        <v>IRIS 1991</v>
      </c>
      <c r="E7" s="328">
        <v>17</v>
      </c>
      <c r="F7" s="1345" t="s">
        <v>1200</v>
      </c>
      <c r="G7" s="328">
        <v>17</v>
      </c>
      <c r="H7" s="165" t="s">
        <v>1201</v>
      </c>
      <c r="I7" s="687" t="s">
        <v>115</v>
      </c>
      <c r="J7" s="165"/>
      <c r="K7" s="1433"/>
      <c r="L7" s="1431">
        <f t="shared" ref="L7:L71" si="1">IF(AND(N7&lt;&gt;"--",P7&lt;&gt;"--"),MAX(N7,P7),IF(P7&lt;&gt;"--",P7,IF(AND(N7&lt;&gt;"--",R7&lt;&gt;"--"),MAX(N7,R7),IF(R7&lt;&gt;"--",R7,N7))))</f>
        <v>4.8999999999999998E-3</v>
      </c>
      <c r="M7" s="1432" t="str">
        <f t="shared" ref="M7:M71" si="2">IF(L7="--"," ",IF(L7=P7,Q7,IF(L7=N7,O7,S7)))</f>
        <v>IRIS 1991</v>
      </c>
      <c r="N7" s="328">
        <v>4.8999999999999998E-3</v>
      </c>
      <c r="O7" s="161" t="s">
        <v>1200</v>
      </c>
      <c r="P7" s="179">
        <v>4.8999999999999998E-3</v>
      </c>
      <c r="Q7" s="165" t="s">
        <v>1201</v>
      </c>
      <c r="R7" s="178" t="s">
        <v>115</v>
      </c>
      <c r="S7" s="225"/>
      <c r="T7" s="1431">
        <f t="shared" ref="T7:T71" si="3">IF(AND(V7&lt;&gt;"--",X7&lt;&gt;"--"),MIN(V7,X7),IF(X7&lt;&gt;"--",X7,IF(AND(V7&lt;&gt;"--",Z7&lt;&gt;"--"),MIN(V7,Z7),IF(Z7&lt;&gt;"--",Z7,V7))))</f>
        <v>3.0000000000000001E-5</v>
      </c>
      <c r="U7" s="1432" t="str">
        <f t="shared" ref="U7:U71" si="4">IF(T7="--"," ",IF(T7=X7,Y7,IF(T7=V7,W7,AA7)))</f>
        <v>IRIS 1991</v>
      </c>
      <c r="V7" s="217" t="s">
        <v>115</v>
      </c>
      <c r="W7" s="161"/>
      <c r="X7" s="179">
        <v>3.0000000000000001E-5</v>
      </c>
      <c r="Y7" s="165" t="s">
        <v>1201</v>
      </c>
      <c r="Z7" s="687" t="s">
        <v>115</v>
      </c>
      <c r="AA7" s="328"/>
      <c r="AB7" s="1431" t="str">
        <f t="shared" ref="AB7:AB71" si="5">IF(AND(AD7&lt;&gt;"--",AF7&lt;&gt;"--"),MIN(AD7,AF7),IF(AF7&lt;&gt;"--",AF7,IF(AND(AD7&lt;&gt;"--",AH7&lt;&gt;"--"),MIN(AD7,AH7),IF(AH7&lt;&gt;"--",AH7,AD7))))</f>
        <v>--</v>
      </c>
      <c r="AC7" s="1432" t="str">
        <f t="shared" ref="AC7:AC71" si="6">IF(AB7="--"," ",IF(AB7=AF7,AG7,IF(AB7=AD7,AE7,AI7)))</f>
        <v xml:space="preserve"> </v>
      </c>
      <c r="AD7" s="507" t="s">
        <v>115</v>
      </c>
      <c r="AE7" s="165"/>
      <c r="AF7" s="507" t="s">
        <v>115</v>
      </c>
      <c r="AG7" s="165"/>
      <c r="AH7" s="1435" t="s">
        <v>115</v>
      </c>
      <c r="AI7" s="1434"/>
      <c r="AJ7" s="402">
        <v>1</v>
      </c>
      <c r="AK7" s="312" t="s">
        <v>115</v>
      </c>
      <c r="AL7" s="402" t="s">
        <v>496</v>
      </c>
      <c r="AM7" s="328">
        <v>0.29299999999999998</v>
      </c>
      <c r="AN7" s="492" t="s">
        <v>1199</v>
      </c>
      <c r="AO7" s="314">
        <v>1</v>
      </c>
      <c r="AP7" s="158">
        <v>2.15274755911009</v>
      </c>
      <c r="AQ7" s="158">
        <v>11.6252084690171</v>
      </c>
      <c r="AR7" s="165">
        <v>47.726506161858701</v>
      </c>
      <c r="AS7" s="168" t="s">
        <v>115</v>
      </c>
    </row>
    <row r="8" spans="1:45" ht="12" customHeight="1">
      <c r="A8" s="309" t="s">
        <v>87</v>
      </c>
      <c r="B8" s="427" t="s">
        <v>88</v>
      </c>
      <c r="C8" s="1431" t="str">
        <f t="shared" ref="C8:C72" si="7">IF(AND(E8&lt;&gt;"--",G8&lt;&gt;"--"),MAX(E8,G8),IF(G8&lt;&gt;"--",G8,IF(AND(E8&lt;&gt;"--",I8&lt;&gt;"--"),MAX(E8,I8),IF(I8&lt;&gt;"--",I8,E8))))</f>
        <v>--</v>
      </c>
      <c r="D8" s="1432" t="str">
        <f t="shared" si="0"/>
        <v xml:space="preserve"> </v>
      </c>
      <c r="E8" s="217" t="s">
        <v>115</v>
      </c>
      <c r="F8" s="1345"/>
      <c r="G8" s="217" t="s">
        <v>115</v>
      </c>
      <c r="H8" s="165"/>
      <c r="I8" s="687" t="s">
        <v>115</v>
      </c>
      <c r="J8" s="165"/>
      <c r="K8" s="1433"/>
      <c r="L8" s="1431" t="str">
        <f t="shared" si="1"/>
        <v>--</v>
      </c>
      <c r="M8" s="1432" t="str">
        <f t="shared" si="2"/>
        <v xml:space="preserve"> </v>
      </c>
      <c r="N8" s="217" t="s">
        <v>115</v>
      </c>
      <c r="O8" s="1436"/>
      <c r="P8" s="507" t="s">
        <v>115</v>
      </c>
      <c r="Q8" s="165"/>
      <c r="R8" s="178" t="s">
        <v>115</v>
      </c>
      <c r="S8" s="225"/>
      <c r="T8" s="1431">
        <f t="shared" si="3"/>
        <v>4.0000000000000002E-4</v>
      </c>
      <c r="U8" s="1432" t="str">
        <f t="shared" si="4"/>
        <v>IRIS 1991</v>
      </c>
      <c r="V8" s="217" t="s">
        <v>115</v>
      </c>
      <c r="W8" s="161"/>
      <c r="X8" s="179">
        <v>4.0000000000000002E-4</v>
      </c>
      <c r="Y8" s="165" t="s">
        <v>1201</v>
      </c>
      <c r="Z8" s="687" t="s">
        <v>115</v>
      </c>
      <c r="AA8" s="328"/>
      <c r="AB8" s="1431">
        <f t="shared" si="5"/>
        <v>0.3</v>
      </c>
      <c r="AC8" s="1432" t="str">
        <f t="shared" si="6"/>
        <v>ATSDR 2019</v>
      </c>
      <c r="AD8" s="179" t="s">
        <v>115</v>
      </c>
      <c r="AE8" s="165"/>
      <c r="AF8" s="179" t="s">
        <v>115</v>
      </c>
      <c r="AG8" s="165"/>
      <c r="AH8" s="1437">
        <v>0.3</v>
      </c>
      <c r="AI8" s="1434" t="s">
        <v>1202</v>
      </c>
      <c r="AJ8" s="402">
        <v>0.15</v>
      </c>
      <c r="AK8" s="312" t="s">
        <v>115</v>
      </c>
      <c r="AL8" s="402" t="s">
        <v>495</v>
      </c>
      <c r="AM8" s="328">
        <v>1E-3</v>
      </c>
      <c r="AN8" s="492" t="s">
        <v>1203</v>
      </c>
      <c r="AO8" s="314">
        <v>1</v>
      </c>
      <c r="AP8" s="158">
        <v>4.2440351458899999E-3</v>
      </c>
      <c r="AQ8" s="158">
        <v>0.50548089946876995</v>
      </c>
      <c r="AR8" s="165">
        <v>1.2131541587250401</v>
      </c>
      <c r="AS8" s="168" t="s">
        <v>115</v>
      </c>
    </row>
    <row r="9" spans="1:45" ht="12" customHeight="1">
      <c r="A9" s="309" t="s">
        <v>89</v>
      </c>
      <c r="B9" s="427" t="s">
        <v>90</v>
      </c>
      <c r="C9" s="1431">
        <f t="shared" si="7"/>
        <v>32</v>
      </c>
      <c r="D9" s="1432" t="str">
        <f t="shared" si="0"/>
        <v>IRIS 2025</v>
      </c>
      <c r="E9" s="328">
        <v>9.5</v>
      </c>
      <c r="F9" s="1345" t="s">
        <v>1204</v>
      </c>
      <c r="G9" s="328">
        <v>32</v>
      </c>
      <c r="H9" s="165" t="s">
        <v>1205</v>
      </c>
      <c r="I9" s="687" t="s">
        <v>115</v>
      </c>
      <c r="J9" s="165"/>
      <c r="K9" s="1433"/>
      <c r="L9" s="1431">
        <f t="shared" si="1"/>
        <v>4.3E-3</v>
      </c>
      <c r="M9" s="1432" t="str">
        <f t="shared" si="2"/>
        <v>IRIS 1995</v>
      </c>
      <c r="N9" s="328">
        <v>3.3E-3</v>
      </c>
      <c r="O9" s="161" t="s">
        <v>1204</v>
      </c>
      <c r="P9" s="179">
        <v>4.3E-3</v>
      </c>
      <c r="Q9" s="165" t="s">
        <v>1206</v>
      </c>
      <c r="R9" s="178" t="s">
        <v>115</v>
      </c>
      <c r="S9" s="225"/>
      <c r="T9" s="1431">
        <f t="shared" si="3"/>
        <v>3.4999999999999999E-6</v>
      </c>
      <c r="U9" s="1432" t="str">
        <f t="shared" si="4"/>
        <v>OEHHA 2008</v>
      </c>
      <c r="V9" s="328">
        <v>3.4999999999999999E-6</v>
      </c>
      <c r="W9" s="161" t="s">
        <v>1207</v>
      </c>
      <c r="X9" s="179">
        <v>2.9999999999999997E-4</v>
      </c>
      <c r="Y9" s="165" t="s">
        <v>1206</v>
      </c>
      <c r="Z9" s="687" t="s">
        <v>115</v>
      </c>
      <c r="AA9" s="328"/>
      <c r="AB9" s="1431">
        <f t="shared" si="5"/>
        <v>1.4999999999999999E-2</v>
      </c>
      <c r="AC9" s="1432" t="str">
        <f t="shared" si="6"/>
        <v>OEHHA 2008</v>
      </c>
      <c r="AD9" s="179">
        <v>1.4999999999999999E-2</v>
      </c>
      <c r="AE9" s="165" t="s">
        <v>1207</v>
      </c>
      <c r="AF9" s="507" t="s">
        <v>115</v>
      </c>
      <c r="AG9" s="165"/>
      <c r="AH9" s="1437" t="s">
        <v>115</v>
      </c>
      <c r="AI9" s="1434"/>
      <c r="AJ9" s="402">
        <v>1</v>
      </c>
      <c r="AK9" s="308">
        <v>0.03</v>
      </c>
      <c r="AL9" s="402" t="s">
        <v>495</v>
      </c>
      <c r="AM9" s="328">
        <v>1E-3</v>
      </c>
      <c r="AN9" s="492" t="s">
        <v>1203</v>
      </c>
      <c r="AO9" s="314">
        <v>1</v>
      </c>
      <c r="AP9" s="158">
        <v>3.32913443626E-3</v>
      </c>
      <c r="AQ9" s="158">
        <v>0.27631976420125998</v>
      </c>
      <c r="AR9" s="165">
        <v>0.66316743408303003</v>
      </c>
      <c r="AS9" s="168" t="s">
        <v>115</v>
      </c>
    </row>
    <row r="10" spans="1:45" ht="12" customHeight="1">
      <c r="A10" s="309" t="s">
        <v>91</v>
      </c>
      <c r="B10" s="427" t="s">
        <v>92</v>
      </c>
      <c r="C10" s="1431" t="str">
        <f t="shared" si="7"/>
        <v>--</v>
      </c>
      <c r="D10" s="1432" t="str">
        <f t="shared" si="0"/>
        <v xml:space="preserve"> </v>
      </c>
      <c r="E10" s="217" t="s">
        <v>115</v>
      </c>
      <c r="F10" s="1345"/>
      <c r="G10" s="217" t="s">
        <v>115</v>
      </c>
      <c r="H10" s="165"/>
      <c r="I10" s="687" t="s">
        <v>115</v>
      </c>
      <c r="J10" s="165"/>
      <c r="K10" s="1433"/>
      <c r="L10" s="1431" t="str">
        <f t="shared" si="1"/>
        <v>--</v>
      </c>
      <c r="M10" s="1432" t="str">
        <f t="shared" si="2"/>
        <v xml:space="preserve"> </v>
      </c>
      <c r="N10" s="217" t="s">
        <v>115</v>
      </c>
      <c r="O10" s="1436"/>
      <c r="P10" s="507" t="s">
        <v>115</v>
      </c>
      <c r="Q10" s="165"/>
      <c r="R10" s="178" t="s">
        <v>115</v>
      </c>
      <c r="S10" s="225"/>
      <c r="T10" s="1431">
        <f t="shared" si="3"/>
        <v>0.2</v>
      </c>
      <c r="U10" s="1432" t="str">
        <f t="shared" si="4"/>
        <v>IRIS 2005</v>
      </c>
      <c r="V10" s="217" t="s">
        <v>115</v>
      </c>
      <c r="W10" s="161"/>
      <c r="X10" s="179">
        <v>0.2</v>
      </c>
      <c r="Y10" s="165" t="s">
        <v>1208</v>
      </c>
      <c r="Z10" s="687" t="s">
        <v>115</v>
      </c>
      <c r="AA10" s="328"/>
      <c r="AB10" s="1431">
        <f t="shared" si="5"/>
        <v>0.5</v>
      </c>
      <c r="AC10" s="1432" t="str">
        <f t="shared" si="6"/>
        <v>HEAST 1997</v>
      </c>
      <c r="AD10" s="507" t="s">
        <v>115</v>
      </c>
      <c r="AE10" s="165"/>
      <c r="AF10" s="507" t="s">
        <v>115</v>
      </c>
      <c r="AG10" s="165"/>
      <c r="AH10" s="1437">
        <v>0.5</v>
      </c>
      <c r="AI10" s="1434" t="s">
        <v>1209</v>
      </c>
      <c r="AJ10" s="402">
        <v>7.0000000000000007E-2</v>
      </c>
      <c r="AK10" s="312" t="s">
        <v>115</v>
      </c>
      <c r="AL10" s="402" t="s">
        <v>495</v>
      </c>
      <c r="AM10" s="328">
        <v>1E-3</v>
      </c>
      <c r="AN10" s="492" t="s">
        <v>1203</v>
      </c>
      <c r="AO10" s="314">
        <v>1</v>
      </c>
      <c r="AP10" s="158">
        <v>4.5072262820299996E-3</v>
      </c>
      <c r="AQ10" s="158">
        <v>0.61786948865683999</v>
      </c>
      <c r="AR10" s="165">
        <v>1.4828867727764099</v>
      </c>
      <c r="AS10" s="168" t="s">
        <v>115</v>
      </c>
    </row>
    <row r="11" spans="1:45" ht="12" customHeight="1">
      <c r="A11" s="309" t="s">
        <v>93</v>
      </c>
      <c r="B11" s="427" t="s">
        <v>94</v>
      </c>
      <c r="C11" s="1431">
        <f t="shared" si="7"/>
        <v>0.1</v>
      </c>
      <c r="D11" s="1432" t="str">
        <f t="shared" si="0"/>
        <v>OEHHA 1984</v>
      </c>
      <c r="E11" s="328">
        <v>0.1</v>
      </c>
      <c r="F11" s="1345" t="s">
        <v>1210</v>
      </c>
      <c r="G11" s="328">
        <v>5.5E-2</v>
      </c>
      <c r="H11" s="165" t="s">
        <v>1211</v>
      </c>
      <c r="I11" s="687" t="s">
        <v>115</v>
      </c>
      <c r="J11" s="165"/>
      <c r="K11" s="1433"/>
      <c r="L11" s="1431">
        <f t="shared" si="1"/>
        <v>2.9E-5</v>
      </c>
      <c r="M11" s="1432" t="str">
        <f t="shared" si="2"/>
        <v>OEHHA 1984</v>
      </c>
      <c r="N11" s="328">
        <v>2.9E-5</v>
      </c>
      <c r="O11" s="161" t="s">
        <v>1210</v>
      </c>
      <c r="P11" s="179">
        <v>7.7999999999999999E-6</v>
      </c>
      <c r="Q11" s="165" t="s">
        <v>1211</v>
      </c>
      <c r="R11" s="178" t="s">
        <v>115</v>
      </c>
      <c r="S11" s="225"/>
      <c r="T11" s="1431">
        <f t="shared" si="3"/>
        <v>4.0000000000000001E-3</v>
      </c>
      <c r="U11" s="1432" t="str">
        <f>IF(T11="--"," ",IF(T11=X11,Y11,IF(T11=V11,W11,AA11)))</f>
        <v>IRIS 2003</v>
      </c>
      <c r="V11" s="217" t="s">
        <v>115</v>
      </c>
      <c r="W11" s="161"/>
      <c r="X11" s="179">
        <v>4.0000000000000001E-3</v>
      </c>
      <c r="Y11" s="165" t="s">
        <v>1211</v>
      </c>
      <c r="Z11" s="687" t="s">
        <v>115</v>
      </c>
      <c r="AA11" s="328"/>
      <c r="AB11" s="1431">
        <f t="shared" si="5"/>
        <v>3</v>
      </c>
      <c r="AC11" s="1432" t="str">
        <f t="shared" si="6"/>
        <v>OEHHA 2014</v>
      </c>
      <c r="AD11" s="179">
        <v>3</v>
      </c>
      <c r="AE11" s="165" t="s">
        <v>1212</v>
      </c>
      <c r="AF11" s="179">
        <v>30</v>
      </c>
      <c r="AG11" s="165" t="s">
        <v>1211</v>
      </c>
      <c r="AH11" s="1435" t="s">
        <v>115</v>
      </c>
      <c r="AI11" s="1434"/>
      <c r="AJ11" s="402">
        <v>1</v>
      </c>
      <c r="AK11" s="312" t="s">
        <v>115</v>
      </c>
      <c r="AL11" s="402" t="s">
        <v>495</v>
      </c>
      <c r="AM11" s="328">
        <v>1.49E-2</v>
      </c>
      <c r="AN11" s="492" t="s">
        <v>1199</v>
      </c>
      <c r="AO11" s="314">
        <v>1</v>
      </c>
      <c r="AP11" s="158">
        <v>5.065008038978E-2</v>
      </c>
      <c r="AQ11" s="158">
        <v>0.28793386679265998</v>
      </c>
      <c r="AR11" s="165">
        <v>0.69104128030237</v>
      </c>
      <c r="AS11" s="168" t="s">
        <v>115</v>
      </c>
    </row>
    <row r="12" spans="1:45" ht="12" customHeight="1">
      <c r="A12" s="309" t="s">
        <v>95</v>
      </c>
      <c r="B12" s="427" t="s">
        <v>96</v>
      </c>
      <c r="C12" s="1431" t="str">
        <f t="shared" si="7"/>
        <v>--</v>
      </c>
      <c r="D12" s="1432" t="str">
        <f t="shared" si="0"/>
        <v xml:space="preserve"> </v>
      </c>
      <c r="E12" s="217" t="s">
        <v>115</v>
      </c>
      <c r="F12" s="1345"/>
      <c r="G12" s="217" t="s">
        <v>115</v>
      </c>
      <c r="H12" s="165"/>
      <c r="I12" s="687" t="s">
        <v>115</v>
      </c>
      <c r="J12" s="165"/>
      <c r="K12" s="1433"/>
      <c r="L12" s="1431">
        <f t="shared" si="1"/>
        <v>2.3999999999999998E-3</v>
      </c>
      <c r="M12" s="1432" t="str">
        <f t="shared" si="2"/>
        <v>IRIS 1998</v>
      </c>
      <c r="N12" s="328">
        <v>2.3999999999999998E-3</v>
      </c>
      <c r="O12" s="161" t="s">
        <v>1204</v>
      </c>
      <c r="P12" s="179">
        <v>2.3999999999999998E-3</v>
      </c>
      <c r="Q12" s="165" t="s">
        <v>1213</v>
      </c>
      <c r="R12" s="163"/>
      <c r="S12" s="225"/>
      <c r="T12" s="1431">
        <f t="shared" si="3"/>
        <v>2.0000000000000001E-4</v>
      </c>
      <c r="U12" s="1432" t="str">
        <f t="shared" si="4"/>
        <v>OEHHA 2009</v>
      </c>
      <c r="V12" s="328">
        <v>2.0000000000000001E-4</v>
      </c>
      <c r="W12" s="161" t="s">
        <v>1204</v>
      </c>
      <c r="X12" s="179">
        <v>2E-3</v>
      </c>
      <c r="Y12" s="165" t="s">
        <v>1213</v>
      </c>
      <c r="Z12" s="687" t="s">
        <v>115</v>
      </c>
      <c r="AA12" s="328"/>
      <c r="AB12" s="1431">
        <f t="shared" si="5"/>
        <v>7.0000000000000001E-3</v>
      </c>
      <c r="AC12" s="1432" t="str">
        <f t="shared" si="6"/>
        <v>OEHHA 2008</v>
      </c>
      <c r="AD12" s="179">
        <v>7.0000000000000001E-3</v>
      </c>
      <c r="AE12" s="165" t="s">
        <v>1207</v>
      </c>
      <c r="AF12" s="179">
        <v>0.02</v>
      </c>
      <c r="AG12" s="165" t="s">
        <v>1213</v>
      </c>
      <c r="AH12" s="1435" t="s">
        <v>115</v>
      </c>
      <c r="AI12" s="1434"/>
      <c r="AJ12" s="402">
        <v>7.0000000000000001E-3</v>
      </c>
      <c r="AK12" s="312" t="s">
        <v>115</v>
      </c>
      <c r="AL12" s="402" t="s">
        <v>495</v>
      </c>
      <c r="AM12" s="328">
        <v>1E-3</v>
      </c>
      <c r="AN12" s="492" t="s">
        <v>1203</v>
      </c>
      <c r="AO12" s="314">
        <v>1</v>
      </c>
      <c r="AP12" s="158">
        <v>1.1544870015200001E-3</v>
      </c>
      <c r="AQ12" s="158">
        <v>0.11811491713783</v>
      </c>
      <c r="AR12" s="165">
        <v>0.28347580113079002</v>
      </c>
      <c r="AS12" s="168" t="s">
        <v>115</v>
      </c>
    </row>
    <row r="13" spans="1:45" ht="12" customHeight="1">
      <c r="A13" s="309" t="s">
        <v>97</v>
      </c>
      <c r="B13" s="427" t="s">
        <v>98</v>
      </c>
      <c r="C13" s="1431">
        <f t="shared" si="7"/>
        <v>8.0000000000000002E-3</v>
      </c>
      <c r="D13" s="1432" t="str">
        <f t="shared" si="0"/>
        <v>IRIS 2013</v>
      </c>
      <c r="E13" s="217" t="s">
        <v>115</v>
      </c>
      <c r="F13" s="1345"/>
      <c r="G13" s="328">
        <v>8.0000000000000002E-3</v>
      </c>
      <c r="H13" s="165" t="s">
        <v>1214</v>
      </c>
      <c r="I13" s="687" t="s">
        <v>115</v>
      </c>
      <c r="J13" s="165"/>
      <c r="K13" s="1433"/>
      <c r="L13" s="1431" t="str">
        <f t="shared" si="1"/>
        <v>--</v>
      </c>
      <c r="M13" s="1432" t="str">
        <f>IF(L13="--"," ",IF(L13=P13,Q13,IF(L13=N13,O13,S13)))</f>
        <v xml:space="preserve"> </v>
      </c>
      <c r="N13" s="217" t="s">
        <v>115</v>
      </c>
      <c r="O13" s="1436"/>
      <c r="P13" s="507" t="s">
        <v>115</v>
      </c>
      <c r="Q13" s="165"/>
      <c r="R13" s="178" t="s">
        <v>115</v>
      </c>
      <c r="S13" s="225"/>
      <c r="T13" s="1431">
        <f t="shared" si="3"/>
        <v>0.5</v>
      </c>
      <c r="U13" s="1432" t="str">
        <f t="shared" si="4"/>
        <v>IRIS 2013</v>
      </c>
      <c r="V13" s="217" t="s">
        <v>115</v>
      </c>
      <c r="W13" s="161"/>
      <c r="X13" s="179">
        <v>0.5</v>
      </c>
      <c r="Y13" s="165" t="s">
        <v>1214</v>
      </c>
      <c r="Z13" s="687" t="s">
        <v>115</v>
      </c>
      <c r="AA13" s="328"/>
      <c r="AB13" s="1431">
        <f t="shared" si="5"/>
        <v>0.4</v>
      </c>
      <c r="AC13" s="1432" t="str">
        <f t="shared" si="6"/>
        <v>PPRTV 2011</v>
      </c>
      <c r="AD13" s="507" t="s">
        <v>115</v>
      </c>
      <c r="AE13" s="165"/>
      <c r="AF13" s="507" t="s">
        <v>115</v>
      </c>
      <c r="AG13" s="165"/>
      <c r="AH13" s="1437">
        <v>0.4</v>
      </c>
      <c r="AI13" s="1434" t="s">
        <v>1215</v>
      </c>
      <c r="AJ13" s="402">
        <v>1</v>
      </c>
      <c r="AK13" s="312" t="s">
        <v>115</v>
      </c>
      <c r="AL13" s="402" t="s">
        <v>495</v>
      </c>
      <c r="AM13" s="328">
        <v>9.4299999999999995E-2</v>
      </c>
      <c r="AN13" s="492" t="s">
        <v>1199</v>
      </c>
      <c r="AO13" s="314">
        <v>1</v>
      </c>
      <c r="AP13" s="158">
        <v>0.45039609177062001</v>
      </c>
      <c r="AQ13" s="158">
        <v>0.76811235300464997</v>
      </c>
      <c r="AR13" s="165">
        <v>1.84346964721115</v>
      </c>
      <c r="AS13" s="168" t="s">
        <v>115</v>
      </c>
    </row>
    <row r="14" spans="1:45" ht="12" customHeight="1">
      <c r="A14" s="309" t="s">
        <v>99</v>
      </c>
      <c r="B14" s="427" t="s">
        <v>100</v>
      </c>
      <c r="C14" s="1431">
        <f t="shared" si="7"/>
        <v>2.5</v>
      </c>
      <c r="D14" s="1432" t="str">
        <f t="shared" si="0"/>
        <v>OEHHA 2009</v>
      </c>
      <c r="E14" s="328">
        <v>2.5</v>
      </c>
      <c r="F14" s="1345" t="s">
        <v>1204</v>
      </c>
      <c r="G14" s="328">
        <v>1.1000000000000001</v>
      </c>
      <c r="H14" s="165" t="s">
        <v>1201</v>
      </c>
      <c r="I14" s="687" t="s">
        <v>115</v>
      </c>
      <c r="J14" s="165"/>
      <c r="K14" s="1433"/>
      <c r="L14" s="1431">
        <f t="shared" si="1"/>
        <v>7.1000000000000002E-4</v>
      </c>
      <c r="M14" s="1432" t="str">
        <f t="shared" si="2"/>
        <v>OEHHA 2009</v>
      </c>
      <c r="N14" s="328">
        <v>7.1000000000000002E-4</v>
      </c>
      <c r="O14" s="161" t="s">
        <v>1204</v>
      </c>
      <c r="P14" s="179">
        <v>3.3E-4</v>
      </c>
      <c r="Q14" s="165" t="s">
        <v>1201</v>
      </c>
      <c r="R14" s="178" t="s">
        <v>115</v>
      </c>
      <c r="S14" s="225"/>
      <c r="T14" s="1431" t="str">
        <f t="shared" si="3"/>
        <v>--</v>
      </c>
      <c r="U14" s="1432" t="str">
        <f>IF(T14="--"," ",IF(T14=X14,Y14,IF(T14=V14,W14,AA14)))</f>
        <v xml:space="preserve"> </v>
      </c>
      <c r="V14" s="217" t="s">
        <v>115</v>
      </c>
      <c r="W14" s="161"/>
      <c r="X14" s="507" t="s">
        <v>115</v>
      </c>
      <c r="Y14" s="165"/>
      <c r="Z14" s="687" t="s">
        <v>115</v>
      </c>
      <c r="AA14" s="328"/>
      <c r="AB14" s="1431" t="str">
        <f t="shared" si="5"/>
        <v>--</v>
      </c>
      <c r="AC14" s="1432" t="str">
        <f t="shared" si="6"/>
        <v xml:space="preserve"> </v>
      </c>
      <c r="AD14" s="507" t="s">
        <v>115</v>
      </c>
      <c r="AE14" s="165"/>
      <c r="AF14" s="507" t="s">
        <v>115</v>
      </c>
      <c r="AG14" s="165"/>
      <c r="AH14" s="1435" t="s">
        <v>115</v>
      </c>
      <c r="AI14" s="1434"/>
      <c r="AJ14" s="402">
        <v>1</v>
      </c>
      <c r="AK14" s="312" t="s">
        <v>115</v>
      </c>
      <c r="AL14" s="402" t="s">
        <v>495</v>
      </c>
      <c r="AM14" s="328">
        <v>1.7799999999999999E-3</v>
      </c>
      <c r="AN14" s="492" t="s">
        <v>1199</v>
      </c>
      <c r="AO14" s="314">
        <v>1</v>
      </c>
      <c r="AP14" s="158">
        <v>8.1870955250399995E-3</v>
      </c>
      <c r="AQ14" s="158">
        <v>0.66482103118018998</v>
      </c>
      <c r="AR14" s="165">
        <v>1.59557047483245</v>
      </c>
      <c r="AS14" s="168" t="s">
        <v>115</v>
      </c>
    </row>
    <row r="15" spans="1:45" ht="12" customHeight="1">
      <c r="A15" s="136" t="s">
        <v>101</v>
      </c>
      <c r="B15" s="427" t="s">
        <v>102</v>
      </c>
      <c r="C15" s="1431" t="str">
        <f t="shared" si="7"/>
        <v>--</v>
      </c>
      <c r="D15" s="1432" t="str">
        <f t="shared" si="0"/>
        <v xml:space="preserve"> </v>
      </c>
      <c r="E15" s="217" t="s">
        <v>115</v>
      </c>
      <c r="F15" s="1345"/>
      <c r="G15" s="217" t="s">
        <v>115</v>
      </c>
      <c r="H15" s="165"/>
      <c r="I15" s="1435" t="s">
        <v>115</v>
      </c>
      <c r="J15" s="165"/>
      <c r="K15" s="1433"/>
      <c r="L15" s="1431" t="str">
        <f t="shared" si="1"/>
        <v>--</v>
      </c>
      <c r="M15" s="1432" t="str">
        <f t="shared" si="2"/>
        <v xml:space="preserve"> </v>
      </c>
      <c r="N15" s="217" t="s">
        <v>115</v>
      </c>
      <c r="O15" s="161"/>
      <c r="P15" s="507" t="s">
        <v>115</v>
      </c>
      <c r="Q15" s="165"/>
      <c r="R15" s="178" t="s">
        <v>115</v>
      </c>
      <c r="S15" s="225"/>
      <c r="T15" s="1431">
        <f t="shared" si="3"/>
        <v>0.04</v>
      </c>
      <c r="U15" s="1432" t="str">
        <f t="shared" si="4"/>
        <v>IRIS 1989</v>
      </c>
      <c r="V15" s="217" t="s">
        <v>115</v>
      </c>
      <c r="W15" s="161"/>
      <c r="X15" s="179">
        <v>0.04</v>
      </c>
      <c r="Y15" s="165" t="s">
        <v>1216</v>
      </c>
      <c r="Z15" s="687" t="s">
        <v>115</v>
      </c>
      <c r="AA15" s="328"/>
      <c r="AB15" s="1431" t="str">
        <f t="shared" si="5"/>
        <v>--</v>
      </c>
      <c r="AC15" s="1432" t="str">
        <f t="shared" si="6"/>
        <v xml:space="preserve"> </v>
      </c>
      <c r="AD15" s="507" t="s">
        <v>115</v>
      </c>
      <c r="AE15" s="165"/>
      <c r="AF15" s="507" t="s">
        <v>115</v>
      </c>
      <c r="AG15" s="165"/>
      <c r="AH15" s="1435" t="s">
        <v>115</v>
      </c>
      <c r="AI15" s="1434"/>
      <c r="AJ15" s="402">
        <v>1</v>
      </c>
      <c r="AK15" s="312" t="s">
        <v>115</v>
      </c>
      <c r="AL15" s="402" t="s">
        <v>495</v>
      </c>
      <c r="AM15" s="328">
        <v>7.6400000000000001E-3</v>
      </c>
      <c r="AN15" s="492" t="s">
        <v>1199</v>
      </c>
      <c r="AO15" s="314">
        <v>1</v>
      </c>
      <c r="AP15" s="158">
        <v>3.8433234724140002E-2</v>
      </c>
      <c r="AQ15" s="158">
        <v>0.95464246631699001</v>
      </c>
      <c r="AR15" s="165">
        <v>2.29114191916076</v>
      </c>
      <c r="AS15" s="168" t="s">
        <v>115</v>
      </c>
    </row>
    <row r="16" spans="1:45" ht="12" customHeight="1">
      <c r="A16" s="309" t="s">
        <v>103</v>
      </c>
      <c r="B16" s="427" t="s">
        <v>104</v>
      </c>
      <c r="C16" s="1431">
        <f t="shared" si="7"/>
        <v>1.4E-2</v>
      </c>
      <c r="D16" s="1432" t="str">
        <f t="shared" si="0"/>
        <v>IRIS 1988</v>
      </c>
      <c r="E16" s="328">
        <v>3.0000000000000001E-3</v>
      </c>
      <c r="F16" s="1345" t="s">
        <v>1204</v>
      </c>
      <c r="G16" s="328">
        <v>1.4E-2</v>
      </c>
      <c r="H16" s="165" t="s">
        <v>1217</v>
      </c>
      <c r="I16" s="687" t="s">
        <v>115</v>
      </c>
      <c r="J16" s="165"/>
      <c r="K16" s="1433"/>
      <c r="L16" s="1431">
        <f t="shared" si="1"/>
        <v>2.3999999999999999E-6</v>
      </c>
      <c r="M16" s="1432" t="str">
        <f t="shared" si="2"/>
        <v>OEHHA 2009</v>
      </c>
      <c r="N16" s="328">
        <v>2.3999999999999999E-6</v>
      </c>
      <c r="O16" s="161" t="s">
        <v>1204</v>
      </c>
      <c r="P16" s="507" t="s">
        <v>115</v>
      </c>
      <c r="Q16" s="165"/>
      <c r="R16" s="178" t="s">
        <v>115</v>
      </c>
      <c r="S16" s="225"/>
      <c r="T16" s="1431">
        <f t="shared" si="3"/>
        <v>0.02</v>
      </c>
      <c r="U16" s="1432" t="str">
        <f t="shared" si="4"/>
        <v>IRIS 1988</v>
      </c>
      <c r="V16" s="217" t="s">
        <v>115</v>
      </c>
      <c r="W16" s="161"/>
      <c r="X16" s="179">
        <v>0.02</v>
      </c>
      <c r="Y16" s="165" t="s">
        <v>1217</v>
      </c>
      <c r="Z16" s="687" t="s">
        <v>115</v>
      </c>
      <c r="AA16" s="328"/>
      <c r="AB16" s="1431" t="str">
        <f t="shared" si="5"/>
        <v>--</v>
      </c>
      <c r="AC16" s="1432" t="str">
        <f t="shared" si="6"/>
        <v xml:space="preserve"> </v>
      </c>
      <c r="AD16" s="507" t="s">
        <v>115</v>
      </c>
      <c r="AE16" s="165"/>
      <c r="AF16" s="507" t="s">
        <v>115</v>
      </c>
      <c r="AG16" s="165"/>
      <c r="AH16" s="1435" t="s">
        <v>115</v>
      </c>
      <c r="AI16" s="1434"/>
      <c r="AJ16" s="402">
        <v>1</v>
      </c>
      <c r="AK16" s="312">
        <v>0.1</v>
      </c>
      <c r="AL16" s="402" t="s">
        <v>496</v>
      </c>
      <c r="AM16" s="328">
        <v>1.1299999999999999</v>
      </c>
      <c r="AN16" s="492" t="s">
        <v>1199</v>
      </c>
      <c r="AO16" s="314">
        <v>0.8</v>
      </c>
      <c r="AP16" s="158">
        <v>8.5892360135147108</v>
      </c>
      <c r="AQ16" s="158">
        <v>16.182318683408699</v>
      </c>
      <c r="AR16" s="165">
        <v>72.882394847308603</v>
      </c>
      <c r="AS16" s="168" t="s">
        <v>115</v>
      </c>
    </row>
    <row r="17" spans="1:45" ht="12" customHeight="1">
      <c r="A17" s="309" t="s">
        <v>105</v>
      </c>
      <c r="B17" s="427" t="s">
        <v>106</v>
      </c>
      <c r="C17" s="1431" t="str">
        <f t="shared" si="7"/>
        <v>--</v>
      </c>
      <c r="D17" s="1432" t="str">
        <f t="shared" si="0"/>
        <v xml:space="preserve"> </v>
      </c>
      <c r="E17" s="217" t="s">
        <v>115</v>
      </c>
      <c r="F17" s="1345"/>
      <c r="G17" s="217" t="s">
        <v>115</v>
      </c>
      <c r="H17" s="165"/>
      <c r="I17" s="687" t="s">
        <v>115</v>
      </c>
      <c r="J17" s="165"/>
      <c r="K17" s="1433"/>
      <c r="L17" s="1431" t="str">
        <f t="shared" si="1"/>
        <v>--</v>
      </c>
      <c r="M17" s="1432" t="str">
        <f>IF(L17="--"," ",IF(L17=P17,Q17,IF(L17=N17,O17,S17)))</f>
        <v xml:space="preserve"> </v>
      </c>
      <c r="N17" s="217" t="s">
        <v>115</v>
      </c>
      <c r="O17" s="1436"/>
      <c r="P17" s="507" t="s">
        <v>115</v>
      </c>
      <c r="Q17" s="165"/>
      <c r="R17" s="178" t="s">
        <v>115</v>
      </c>
      <c r="S17" s="225"/>
      <c r="T17" s="1431">
        <f t="shared" si="3"/>
        <v>0.2</v>
      </c>
      <c r="U17" s="1432" t="str">
        <f t="shared" si="4"/>
        <v>IRIS 2004</v>
      </c>
      <c r="V17" s="217" t="s">
        <v>115</v>
      </c>
      <c r="W17" s="161"/>
      <c r="X17" s="179">
        <v>0.2</v>
      </c>
      <c r="Y17" s="165" t="s">
        <v>1218</v>
      </c>
      <c r="Z17" s="687" t="s">
        <v>115</v>
      </c>
      <c r="AA17" s="328"/>
      <c r="AB17" s="1431">
        <f t="shared" si="5"/>
        <v>20</v>
      </c>
      <c r="AC17" s="1432" t="str">
        <f t="shared" si="6"/>
        <v>HEAST 1997</v>
      </c>
      <c r="AD17" s="507" t="s">
        <v>115</v>
      </c>
      <c r="AE17" s="165"/>
      <c r="AF17" s="507" t="s">
        <v>115</v>
      </c>
      <c r="AG17" s="165"/>
      <c r="AH17" s="1437">
        <v>20</v>
      </c>
      <c r="AI17" s="1434" t="s">
        <v>1209</v>
      </c>
      <c r="AJ17" s="402">
        <v>1</v>
      </c>
      <c r="AK17" s="312" t="s">
        <v>115</v>
      </c>
      <c r="AL17" s="402" t="s">
        <v>495</v>
      </c>
      <c r="AM17" s="328">
        <v>1E-3</v>
      </c>
      <c r="AN17" s="492" t="s">
        <v>1203</v>
      </c>
      <c r="AO17" s="314">
        <v>1</v>
      </c>
      <c r="AP17" s="158">
        <v>1.4308519413600001E-3</v>
      </c>
      <c r="AQ17" s="158">
        <v>0.12570505708895999</v>
      </c>
      <c r="AR17" s="165">
        <v>0.30169213701350001</v>
      </c>
      <c r="AS17" s="168" t="s">
        <v>115</v>
      </c>
    </row>
    <row r="18" spans="1:45" ht="12" customHeight="1">
      <c r="A18" s="309" t="s">
        <v>107</v>
      </c>
      <c r="B18" s="427" t="s">
        <v>108</v>
      </c>
      <c r="C18" s="1431">
        <f t="shared" si="7"/>
        <v>6.2E-2</v>
      </c>
      <c r="D18" s="1432" t="str">
        <f t="shared" si="0"/>
        <v>IRIS 1993</v>
      </c>
      <c r="E18" s="217" t="s">
        <v>115</v>
      </c>
      <c r="F18" s="1345"/>
      <c r="G18" s="1438">
        <v>6.2E-2</v>
      </c>
      <c r="H18" s="165" t="s">
        <v>1219</v>
      </c>
      <c r="I18" s="687" t="s">
        <v>115</v>
      </c>
      <c r="J18" s="165"/>
      <c r="K18" s="1433"/>
      <c r="L18" s="1431">
        <f t="shared" si="1"/>
        <v>3.6999999999999998E-5</v>
      </c>
      <c r="M18" s="1432" t="str">
        <f t="shared" si="2"/>
        <v>OEHHA 1987</v>
      </c>
      <c r="N18" s="328">
        <v>3.6999999999999998E-5</v>
      </c>
      <c r="O18" s="161" t="s">
        <v>1220</v>
      </c>
      <c r="P18" s="507" t="s">
        <v>115</v>
      </c>
      <c r="Q18" s="165"/>
      <c r="R18" s="178" t="s">
        <v>115</v>
      </c>
      <c r="S18" s="225"/>
      <c r="T18" s="1431">
        <f>Z18</f>
        <v>8.0000000000000002E-3</v>
      </c>
      <c r="U18" s="1432" t="str">
        <f t="shared" si="4"/>
        <v>PPRTV 2009*</v>
      </c>
      <c r="V18" s="217" t="s">
        <v>115</v>
      </c>
      <c r="W18" s="161"/>
      <c r="X18" s="1439">
        <v>0.02</v>
      </c>
      <c r="Y18" s="692" t="s">
        <v>1221</v>
      </c>
      <c r="Z18" s="688">
        <v>8.0000000000000002E-3</v>
      </c>
      <c r="AA18" s="2000" t="s">
        <v>1222</v>
      </c>
      <c r="AB18" s="1431" t="str">
        <f t="shared" si="5"/>
        <v>--</v>
      </c>
      <c r="AC18" s="1432" t="str">
        <f t="shared" si="6"/>
        <v xml:space="preserve"> </v>
      </c>
      <c r="AD18" s="507" t="s">
        <v>115</v>
      </c>
      <c r="AE18" s="165"/>
      <c r="AF18" s="507" t="s">
        <v>115</v>
      </c>
      <c r="AG18" s="165"/>
      <c r="AH18" s="1435" t="s">
        <v>115</v>
      </c>
      <c r="AI18" s="1434"/>
      <c r="AJ18" s="402">
        <v>1</v>
      </c>
      <c r="AK18" s="312" t="s">
        <v>115</v>
      </c>
      <c r="AL18" s="402" t="s">
        <v>495</v>
      </c>
      <c r="AM18" s="328">
        <v>4.0200000000000001E-3</v>
      </c>
      <c r="AN18" s="492" t="s">
        <v>1199</v>
      </c>
      <c r="AO18" s="314">
        <v>1</v>
      </c>
      <c r="AP18" s="158">
        <v>1.9790165255210001E-2</v>
      </c>
      <c r="AQ18" s="158">
        <v>0.86955438523746997</v>
      </c>
      <c r="AR18" s="165">
        <v>2.0869305245699201</v>
      </c>
      <c r="AS18" s="168" t="s">
        <v>115</v>
      </c>
    </row>
    <row r="19" spans="1:45" ht="12" customHeight="1">
      <c r="A19" s="309" t="s">
        <v>109</v>
      </c>
      <c r="B19" s="427" t="s">
        <v>110</v>
      </c>
      <c r="C19" s="1431">
        <f t="shared" si="7"/>
        <v>7.9000000000000008E-3</v>
      </c>
      <c r="D19" s="1432" t="str">
        <f t="shared" si="0"/>
        <v>IRIS 1993</v>
      </c>
      <c r="E19" s="217" t="s">
        <v>115</v>
      </c>
      <c r="F19" s="1345"/>
      <c r="G19" s="1438">
        <v>7.9000000000000008E-3</v>
      </c>
      <c r="H19" s="165" t="s">
        <v>1219</v>
      </c>
      <c r="I19" s="687" t="s">
        <v>115</v>
      </c>
      <c r="J19" s="165"/>
      <c r="K19" s="1433"/>
      <c r="L19" s="1431">
        <f t="shared" si="1"/>
        <v>1.1000000000000001E-6</v>
      </c>
      <c r="M19" s="1432" t="str">
        <f t="shared" si="2"/>
        <v>IRIS 1993</v>
      </c>
      <c r="N19" s="217" t="s">
        <v>115</v>
      </c>
      <c r="O19" s="161"/>
      <c r="P19" s="179">
        <v>1.1000000000000001E-6</v>
      </c>
      <c r="Q19" s="165" t="s">
        <v>1219</v>
      </c>
      <c r="R19" s="178" t="s">
        <v>115</v>
      </c>
      <c r="S19" s="225"/>
      <c r="T19" s="1431">
        <f t="shared" si="3"/>
        <v>0.02</v>
      </c>
      <c r="U19" s="1432" t="str">
        <f t="shared" si="4"/>
        <v>IRIS 1993</v>
      </c>
      <c r="V19" s="217" t="s">
        <v>115</v>
      </c>
      <c r="W19" s="161"/>
      <c r="X19" s="179">
        <v>0.02</v>
      </c>
      <c r="Y19" s="165" t="s">
        <v>1219</v>
      </c>
      <c r="Z19" s="687" t="s">
        <v>115</v>
      </c>
      <c r="AA19" s="328"/>
      <c r="AB19" s="1431" t="str">
        <f t="shared" si="5"/>
        <v>--</v>
      </c>
      <c r="AC19" s="1432" t="str">
        <f t="shared" si="6"/>
        <v xml:space="preserve"> </v>
      </c>
      <c r="AD19" s="507" t="s">
        <v>115</v>
      </c>
      <c r="AE19" s="165"/>
      <c r="AF19" s="507" t="s">
        <v>115</v>
      </c>
      <c r="AG19" s="165"/>
      <c r="AH19" s="1435" t="s">
        <v>115</v>
      </c>
      <c r="AI19" s="1434"/>
      <c r="AJ19" s="402">
        <v>1</v>
      </c>
      <c r="AK19" s="312" t="s">
        <v>115</v>
      </c>
      <c r="AL19" s="402" t="s">
        <v>495</v>
      </c>
      <c r="AM19" s="328">
        <v>2.3500000000000001E-3</v>
      </c>
      <c r="AN19" s="492" t="s">
        <v>1199</v>
      </c>
      <c r="AO19" s="314">
        <v>1</v>
      </c>
      <c r="AP19" s="158">
        <v>1.4368879839439999E-2</v>
      </c>
      <c r="AQ19" s="158">
        <v>2.7361301368477902</v>
      </c>
      <c r="AR19" s="165">
        <v>6.5667123284346998</v>
      </c>
      <c r="AS19" s="168" t="s">
        <v>115</v>
      </c>
    </row>
    <row r="20" spans="1:45" s="1" customFormat="1" ht="12" customHeight="1">
      <c r="A20" s="309" t="s">
        <v>111</v>
      </c>
      <c r="B20" s="427" t="s">
        <v>112</v>
      </c>
      <c r="C20" s="1431" t="str">
        <f t="shared" si="7"/>
        <v>--</v>
      </c>
      <c r="D20" s="1432" t="str">
        <f t="shared" si="0"/>
        <v xml:space="preserve"> </v>
      </c>
      <c r="E20" s="217" t="s">
        <v>115</v>
      </c>
      <c r="F20" s="1345"/>
      <c r="G20" s="1440" t="s">
        <v>115</v>
      </c>
      <c r="H20" s="165"/>
      <c r="I20" s="687" t="s">
        <v>115</v>
      </c>
      <c r="J20" s="165"/>
      <c r="K20" s="1433"/>
      <c r="L20" s="1431" t="str">
        <f t="shared" si="1"/>
        <v>--</v>
      </c>
      <c r="M20" s="1432" t="str">
        <f t="shared" si="2"/>
        <v xml:space="preserve"> </v>
      </c>
      <c r="N20" s="217" t="s">
        <v>115</v>
      </c>
      <c r="O20" s="1436"/>
      <c r="P20" s="507" t="s">
        <v>115</v>
      </c>
      <c r="Q20" s="165"/>
      <c r="R20" s="178" t="s">
        <v>115</v>
      </c>
      <c r="S20" s="225"/>
      <c r="T20" s="1431">
        <f t="shared" si="3"/>
        <v>1.4E-3</v>
      </c>
      <c r="U20" s="1432" t="str">
        <f t="shared" si="4"/>
        <v>IRIS 1992</v>
      </c>
      <c r="V20" s="217" t="s">
        <v>115</v>
      </c>
      <c r="W20" s="161"/>
      <c r="X20" s="179">
        <v>1.4E-3</v>
      </c>
      <c r="Y20" s="165" t="s">
        <v>1223</v>
      </c>
      <c r="Z20" s="687" t="s">
        <v>115</v>
      </c>
      <c r="AA20" s="328"/>
      <c r="AB20" s="1431">
        <f t="shared" si="5"/>
        <v>5</v>
      </c>
      <c r="AC20" s="1432" t="str">
        <f t="shared" si="6"/>
        <v>IRIS 1992</v>
      </c>
      <c r="AD20" s="179">
        <v>5</v>
      </c>
      <c r="AE20" s="165" t="s">
        <v>1207</v>
      </c>
      <c r="AF20" s="179">
        <v>5</v>
      </c>
      <c r="AG20" s="165" t="s">
        <v>1223</v>
      </c>
      <c r="AH20" s="1435" t="s">
        <v>115</v>
      </c>
      <c r="AI20" s="1434"/>
      <c r="AJ20" s="402">
        <v>1</v>
      </c>
      <c r="AK20" s="312" t="s">
        <v>115</v>
      </c>
      <c r="AL20" s="402" t="s">
        <v>495</v>
      </c>
      <c r="AM20" s="328">
        <v>2.8400000000000001E-3</v>
      </c>
      <c r="AN20" s="492" t="s">
        <v>1199</v>
      </c>
      <c r="AO20" s="314">
        <v>1</v>
      </c>
      <c r="AP20" s="158">
        <v>1.0643079802969999E-2</v>
      </c>
      <c r="AQ20" s="158">
        <v>0.35769028904016997</v>
      </c>
      <c r="AR20" s="165">
        <v>0.85845669369641997</v>
      </c>
      <c r="AS20" s="168" t="s">
        <v>115</v>
      </c>
    </row>
    <row r="21" spans="1:45" ht="12" customHeight="1">
      <c r="A21" s="309" t="s">
        <v>113</v>
      </c>
      <c r="B21" s="427" t="s">
        <v>114</v>
      </c>
      <c r="C21" s="1431" t="str">
        <f t="shared" si="7"/>
        <v>--</v>
      </c>
      <c r="D21" s="1432" t="str">
        <f t="shared" si="0"/>
        <v xml:space="preserve"> </v>
      </c>
      <c r="E21" s="217" t="s">
        <v>115</v>
      </c>
      <c r="F21" s="1345"/>
      <c r="G21" s="1440" t="s">
        <v>115</v>
      </c>
      <c r="H21" s="165"/>
      <c r="I21" s="687" t="s">
        <v>115</v>
      </c>
      <c r="J21" s="165"/>
      <c r="K21" s="1433"/>
      <c r="L21" s="1431">
        <f t="shared" si="1"/>
        <v>4.1999999999999997E-3</v>
      </c>
      <c r="M21" s="1432" t="str">
        <f t="shared" si="2"/>
        <v>OEHHA 2009</v>
      </c>
      <c r="N21" s="328">
        <v>4.1999999999999997E-3</v>
      </c>
      <c r="O21" s="161" t="s">
        <v>1204</v>
      </c>
      <c r="P21" s="179">
        <v>1.8E-3</v>
      </c>
      <c r="Q21" s="165" t="s">
        <v>1201</v>
      </c>
      <c r="R21" s="178" t="s">
        <v>115</v>
      </c>
      <c r="S21" s="225"/>
      <c r="T21" s="1431">
        <f>Z21</f>
        <v>1E-4</v>
      </c>
      <c r="U21" s="1432" t="str">
        <f t="shared" si="4"/>
        <v>ATSDR 2012*</v>
      </c>
      <c r="V21" s="217" t="s">
        <v>115</v>
      </c>
      <c r="W21" s="161"/>
      <c r="X21" s="1439">
        <v>1E-3</v>
      </c>
      <c r="Y21" s="692" t="s">
        <v>1216</v>
      </c>
      <c r="Z21" s="688">
        <v>1E-4</v>
      </c>
      <c r="AA21" s="2000" t="s">
        <v>1224</v>
      </c>
      <c r="AB21" s="1431">
        <f t="shared" si="5"/>
        <v>0.01</v>
      </c>
      <c r="AC21" s="1432" t="str">
        <f t="shared" si="6"/>
        <v>ATSDR 2012</v>
      </c>
      <c r="AD21" s="179">
        <v>0.02</v>
      </c>
      <c r="AE21" s="165" t="s">
        <v>1207</v>
      </c>
      <c r="AF21" s="507" t="s">
        <v>115</v>
      </c>
      <c r="AG21" s="165"/>
      <c r="AH21" s="1437">
        <v>0.01</v>
      </c>
      <c r="AI21" s="1434" t="s">
        <v>1225</v>
      </c>
      <c r="AJ21" s="402">
        <v>2.5000000000000001E-2</v>
      </c>
      <c r="AK21" s="312">
        <v>1E-3</v>
      </c>
      <c r="AL21" s="403" t="s">
        <v>495</v>
      </c>
      <c r="AM21" s="328">
        <v>1E-3</v>
      </c>
      <c r="AN21" s="492" t="s">
        <v>1203</v>
      </c>
      <c r="AO21" s="314">
        <v>1</v>
      </c>
      <c r="AP21" s="158">
        <v>4.0776487017499998E-3</v>
      </c>
      <c r="AQ21" s="158">
        <v>0.44801107455104</v>
      </c>
      <c r="AR21" s="165">
        <v>1.07522657892249</v>
      </c>
      <c r="AS21" s="168" t="s">
        <v>115</v>
      </c>
    </row>
    <row r="22" spans="1:45" s="1" customFormat="1" ht="12" customHeight="1">
      <c r="A22" s="309" t="s">
        <v>116</v>
      </c>
      <c r="B22" s="427" t="s">
        <v>114</v>
      </c>
      <c r="C22" s="1431" t="str">
        <f t="shared" si="7"/>
        <v>--</v>
      </c>
      <c r="D22" s="1432" t="str">
        <f t="shared" si="0"/>
        <v xml:space="preserve"> </v>
      </c>
      <c r="E22" s="217" t="s">
        <v>115</v>
      </c>
      <c r="F22" s="1345"/>
      <c r="G22" s="1440" t="s">
        <v>115</v>
      </c>
      <c r="H22" s="165"/>
      <c r="I22" s="687" t="s">
        <v>115</v>
      </c>
      <c r="J22" s="165"/>
      <c r="K22" s="1433"/>
      <c r="L22" s="1431">
        <f t="shared" si="1"/>
        <v>4.1999999999999997E-3</v>
      </c>
      <c r="M22" s="1432" t="str">
        <f>IF(L22="--"," ",IF(L22=P22,Q22,IF(L22=N22,O22,S22)))</f>
        <v>OEHHA 2009</v>
      </c>
      <c r="N22" s="328">
        <v>4.1999999999999997E-3</v>
      </c>
      <c r="O22" s="161" t="s">
        <v>1204</v>
      </c>
      <c r="P22" s="179">
        <v>1.8E-3</v>
      </c>
      <c r="Q22" s="165" t="s">
        <v>1201</v>
      </c>
      <c r="R22" s="178" t="s">
        <v>115</v>
      </c>
      <c r="S22" s="225"/>
      <c r="T22" s="1431">
        <f>Z22</f>
        <v>1E-4</v>
      </c>
      <c r="U22" s="1432" t="str">
        <f t="shared" si="4"/>
        <v>ATSDR 2012*</v>
      </c>
      <c r="V22" s="217" t="s">
        <v>115</v>
      </c>
      <c r="W22" s="161"/>
      <c r="X22" s="1439">
        <v>5.0000000000000001E-4</v>
      </c>
      <c r="Y22" s="692" t="s">
        <v>1216</v>
      </c>
      <c r="Z22" s="688">
        <v>1E-4</v>
      </c>
      <c r="AA22" s="2000" t="s">
        <v>1224</v>
      </c>
      <c r="AB22" s="1431">
        <f t="shared" si="5"/>
        <v>0.01</v>
      </c>
      <c r="AC22" s="1432" t="str">
        <f t="shared" si="6"/>
        <v>ATSDR 2012</v>
      </c>
      <c r="AD22" s="179">
        <v>0.02</v>
      </c>
      <c r="AE22" s="165" t="s">
        <v>1207</v>
      </c>
      <c r="AF22" s="507" t="s">
        <v>115</v>
      </c>
      <c r="AG22" s="165"/>
      <c r="AH22" s="1437">
        <v>0.01</v>
      </c>
      <c r="AI22" s="1434" t="s">
        <v>1225</v>
      </c>
      <c r="AJ22" s="402">
        <v>2.5000000000000001E-2</v>
      </c>
      <c r="AK22" s="312">
        <v>1E-3</v>
      </c>
      <c r="AL22" s="402" t="s">
        <v>495</v>
      </c>
      <c r="AM22" s="328">
        <v>1E-3</v>
      </c>
      <c r="AN22" s="492" t="s">
        <v>1203</v>
      </c>
      <c r="AO22" s="313">
        <v>1</v>
      </c>
      <c r="AP22" s="158">
        <v>4.0776487017499998E-3</v>
      </c>
      <c r="AQ22" s="158">
        <v>0.44801107455104</v>
      </c>
      <c r="AR22" s="165">
        <v>1.07522657892249</v>
      </c>
      <c r="AS22" s="168" t="s">
        <v>115</v>
      </c>
    </row>
    <row r="23" spans="1:45" ht="12" customHeight="1">
      <c r="A23" s="309" t="s">
        <v>117</v>
      </c>
      <c r="B23" s="427" t="s">
        <v>118</v>
      </c>
      <c r="C23" s="1431">
        <f t="shared" si="7"/>
        <v>7.0000000000000007E-2</v>
      </c>
      <c r="D23" s="1432" t="str">
        <f t="shared" si="0"/>
        <v>IRIS 2010</v>
      </c>
      <c r="E23" s="217" t="s">
        <v>115</v>
      </c>
      <c r="F23" s="1345"/>
      <c r="G23" s="1438">
        <v>7.0000000000000007E-2</v>
      </c>
      <c r="H23" s="165" t="s">
        <v>1226</v>
      </c>
      <c r="I23" s="687" t="s">
        <v>115</v>
      </c>
      <c r="J23" s="165"/>
      <c r="K23" s="1433"/>
      <c r="L23" s="1431">
        <f t="shared" si="1"/>
        <v>6.0000000000000002E-6</v>
      </c>
      <c r="M23" s="1432" t="str">
        <f t="shared" si="2"/>
        <v>IRIS 2010</v>
      </c>
      <c r="N23" s="217" t="s">
        <v>115</v>
      </c>
      <c r="O23" s="161"/>
      <c r="P23" s="179">
        <v>6.0000000000000002E-6</v>
      </c>
      <c r="Q23" s="165" t="s">
        <v>1226</v>
      </c>
      <c r="R23" s="178" t="s">
        <v>115</v>
      </c>
      <c r="S23" s="225"/>
      <c r="T23" s="1431">
        <f t="shared" si="3"/>
        <v>4.0000000000000001E-3</v>
      </c>
      <c r="U23" s="1432" t="str">
        <f t="shared" si="4"/>
        <v>IRIS 2010</v>
      </c>
      <c r="V23" s="217" t="s">
        <v>115</v>
      </c>
      <c r="W23" s="161"/>
      <c r="X23" s="179">
        <v>4.0000000000000001E-3</v>
      </c>
      <c r="Y23" s="165" t="s">
        <v>1226</v>
      </c>
      <c r="Z23" s="687" t="s">
        <v>115</v>
      </c>
      <c r="AA23" s="328"/>
      <c r="AB23" s="1431">
        <f t="shared" si="5"/>
        <v>40</v>
      </c>
      <c r="AC23" s="1432" t="str">
        <f t="shared" si="6"/>
        <v>OEHHA 2008</v>
      </c>
      <c r="AD23" s="179">
        <v>40</v>
      </c>
      <c r="AE23" s="165" t="s">
        <v>1207</v>
      </c>
      <c r="AF23" s="179">
        <v>100</v>
      </c>
      <c r="AG23" s="165" t="s">
        <v>1226</v>
      </c>
      <c r="AH23" s="1435" t="s">
        <v>115</v>
      </c>
      <c r="AI23" s="1434"/>
      <c r="AJ23" s="402">
        <v>1</v>
      </c>
      <c r="AK23" s="312" t="s">
        <v>115</v>
      </c>
      <c r="AL23" s="402" t="s">
        <v>495</v>
      </c>
      <c r="AM23" s="328">
        <v>1.6299999999999999E-2</v>
      </c>
      <c r="AN23" s="492" t="s">
        <v>1199</v>
      </c>
      <c r="AO23" s="314">
        <v>1</v>
      </c>
      <c r="AP23" s="158">
        <v>7.7753627552890003E-2</v>
      </c>
      <c r="AQ23" s="158">
        <v>0.76425933063897</v>
      </c>
      <c r="AR23" s="165">
        <v>1.83422239353354</v>
      </c>
      <c r="AS23" s="168" t="s">
        <v>115</v>
      </c>
    </row>
    <row r="24" spans="1:45" ht="12" customHeight="1">
      <c r="A24" s="309" t="s">
        <v>119</v>
      </c>
      <c r="B24" s="427" t="s">
        <v>120</v>
      </c>
      <c r="C24" s="1431">
        <f t="shared" si="7"/>
        <v>0.35</v>
      </c>
      <c r="D24" s="1432" t="str">
        <f t="shared" si="0"/>
        <v>IRIS 1998</v>
      </c>
      <c r="E24" s="217" t="s">
        <v>115</v>
      </c>
      <c r="F24" s="1345"/>
      <c r="G24" s="1438">
        <v>0.35</v>
      </c>
      <c r="H24" s="165" t="s">
        <v>1213</v>
      </c>
      <c r="I24" s="687" t="s">
        <v>115</v>
      </c>
      <c r="J24" s="165"/>
      <c r="K24" s="1433"/>
      <c r="L24" s="1431">
        <f t="shared" si="1"/>
        <v>1E-4</v>
      </c>
      <c r="M24" s="1432" t="str">
        <f t="shared" si="2"/>
        <v>IRIS 1998</v>
      </c>
      <c r="N24" s="217" t="s">
        <v>115</v>
      </c>
      <c r="O24" s="161"/>
      <c r="P24" s="179">
        <v>1E-4</v>
      </c>
      <c r="Q24" s="165" t="s">
        <v>1213</v>
      </c>
      <c r="R24" s="178" t="s">
        <v>115</v>
      </c>
      <c r="S24" s="225"/>
      <c r="T24" s="1431">
        <f t="shared" si="3"/>
        <v>5.0000000000000001E-4</v>
      </c>
      <c r="U24" s="1432" t="str">
        <f t="shared" si="4"/>
        <v>IRIS 1988</v>
      </c>
      <c r="V24" s="217" t="s">
        <v>115</v>
      </c>
      <c r="W24" s="161"/>
      <c r="X24" s="179">
        <v>5.0000000000000001E-4</v>
      </c>
      <c r="Y24" s="165" t="s">
        <v>1217</v>
      </c>
      <c r="Z24" s="687" t="s">
        <v>115</v>
      </c>
      <c r="AA24" s="328"/>
      <c r="AB24" s="1431">
        <f t="shared" si="5"/>
        <v>0.7</v>
      </c>
      <c r="AC24" s="1432" t="str">
        <f t="shared" si="6"/>
        <v>IRIS 1998</v>
      </c>
      <c r="AD24" s="507" t="s">
        <v>115</v>
      </c>
      <c r="AE24" s="165"/>
      <c r="AF24" s="179">
        <v>0.7</v>
      </c>
      <c r="AG24" s="165" t="s">
        <v>1213</v>
      </c>
      <c r="AH24" s="1435" t="s">
        <v>115</v>
      </c>
      <c r="AI24" s="1434"/>
      <c r="AJ24" s="402">
        <v>1</v>
      </c>
      <c r="AK24" s="308">
        <v>0.04</v>
      </c>
      <c r="AL24" s="402" t="s">
        <v>495</v>
      </c>
      <c r="AM24" s="328">
        <v>0.107</v>
      </c>
      <c r="AN24" s="492" t="s">
        <v>1199</v>
      </c>
      <c r="AO24" s="314">
        <v>0.7</v>
      </c>
      <c r="AP24" s="158">
        <v>0.83307827437919002</v>
      </c>
      <c r="AQ24" s="158">
        <v>20.730832832149101</v>
      </c>
      <c r="AR24" s="165">
        <v>79.689721818315903</v>
      </c>
      <c r="AS24" s="168" t="s">
        <v>115</v>
      </c>
    </row>
    <row r="25" spans="1:45" ht="12" customHeight="1">
      <c r="A25" s="309" t="s">
        <v>121</v>
      </c>
      <c r="B25" s="427" t="s">
        <v>122</v>
      </c>
      <c r="C25" s="1431">
        <f t="shared" si="7"/>
        <v>0.2</v>
      </c>
      <c r="D25" s="1432" t="str">
        <f t="shared" si="0"/>
        <v>PPRTV 2008</v>
      </c>
      <c r="E25" s="217" t="s">
        <v>115</v>
      </c>
      <c r="F25" s="1345"/>
      <c r="G25" s="217" t="s">
        <v>115</v>
      </c>
      <c r="H25" s="165"/>
      <c r="I25" s="485">
        <v>0.2</v>
      </c>
      <c r="J25" s="165" t="s">
        <v>1227</v>
      </c>
      <c r="K25" s="1433"/>
      <c r="L25" s="1431" t="str">
        <f t="shared" si="1"/>
        <v>--</v>
      </c>
      <c r="M25" s="1432" t="str">
        <f t="shared" si="2"/>
        <v xml:space="preserve"> </v>
      </c>
      <c r="N25" s="217" t="s">
        <v>115</v>
      </c>
      <c r="O25" s="1436"/>
      <c r="P25" s="507" t="s">
        <v>115</v>
      </c>
      <c r="Q25" s="165"/>
      <c r="R25" s="178" t="s">
        <v>115</v>
      </c>
      <c r="S25" s="225"/>
      <c r="T25" s="1431">
        <f>Z25</f>
        <v>5.0000000000000001E-4</v>
      </c>
      <c r="U25" s="1432" t="str">
        <f t="shared" si="4"/>
        <v>PPRTV 2008*</v>
      </c>
      <c r="V25" s="217" t="s">
        <v>115</v>
      </c>
      <c r="W25" s="161"/>
      <c r="X25" s="1439">
        <v>4.0000000000000001E-3</v>
      </c>
      <c r="Y25" s="692" t="s">
        <v>1217</v>
      </c>
      <c r="Z25" s="688">
        <v>5.0000000000000001E-4</v>
      </c>
      <c r="AA25" s="2000" t="s">
        <v>1228</v>
      </c>
      <c r="AB25" s="1431" t="str">
        <f t="shared" si="5"/>
        <v>--</v>
      </c>
      <c r="AC25" s="1432" t="str">
        <f t="shared" si="6"/>
        <v xml:space="preserve"> </v>
      </c>
      <c r="AD25" s="507" t="s">
        <v>115</v>
      </c>
      <c r="AE25" s="165"/>
      <c r="AF25" s="507" t="s">
        <v>115</v>
      </c>
      <c r="AG25" s="165"/>
      <c r="AH25" s="1435" t="s">
        <v>115</v>
      </c>
      <c r="AI25" s="1434"/>
      <c r="AJ25" s="402">
        <v>1</v>
      </c>
      <c r="AK25" s="312">
        <v>0.1</v>
      </c>
      <c r="AL25" s="402" t="s">
        <v>495</v>
      </c>
      <c r="AM25" s="328">
        <v>4.96E-3</v>
      </c>
      <c r="AN25" s="492" t="s">
        <v>1199</v>
      </c>
      <c r="AO25" s="314">
        <v>1</v>
      </c>
      <c r="AP25" s="158">
        <v>2.154679135629E-2</v>
      </c>
      <c r="AQ25" s="158">
        <v>0.54480457964845996</v>
      </c>
      <c r="AR25" s="165">
        <v>1.3075309911563</v>
      </c>
      <c r="AS25" s="168" t="s">
        <v>115</v>
      </c>
    </row>
    <row r="26" spans="1:45" ht="12" customHeight="1">
      <c r="A26" s="309" t="s">
        <v>123</v>
      </c>
      <c r="B26" s="427" t="s">
        <v>124</v>
      </c>
      <c r="C26" s="1431" t="str">
        <f t="shared" si="7"/>
        <v>--</v>
      </c>
      <c r="D26" s="1432" t="str">
        <f t="shared" si="0"/>
        <v xml:space="preserve"> </v>
      </c>
      <c r="E26" s="217" t="s">
        <v>115</v>
      </c>
      <c r="F26" s="1345"/>
      <c r="G26" s="217" t="s">
        <v>115</v>
      </c>
      <c r="H26" s="165"/>
      <c r="I26" s="687" t="s">
        <v>115</v>
      </c>
      <c r="J26" s="165"/>
      <c r="K26" s="1433"/>
      <c r="L26" s="1431" t="str">
        <f t="shared" si="1"/>
        <v>--</v>
      </c>
      <c r="M26" s="1432" t="str">
        <f t="shared" si="2"/>
        <v xml:space="preserve"> </v>
      </c>
      <c r="N26" s="217" t="s">
        <v>115</v>
      </c>
      <c r="O26" s="1436"/>
      <c r="P26" s="507" t="s">
        <v>115</v>
      </c>
      <c r="Q26" s="165"/>
      <c r="R26" s="178" t="s">
        <v>115</v>
      </c>
      <c r="S26" s="225"/>
      <c r="T26" s="1431">
        <f t="shared" si="3"/>
        <v>0.02</v>
      </c>
      <c r="U26" s="1432" t="str">
        <f t="shared" si="4"/>
        <v>IRIS 1990</v>
      </c>
      <c r="V26" s="217" t="s">
        <v>115</v>
      </c>
      <c r="W26" s="161"/>
      <c r="X26" s="179">
        <v>0.02</v>
      </c>
      <c r="Y26" s="165" t="s">
        <v>1229</v>
      </c>
      <c r="Z26" s="687" t="s">
        <v>115</v>
      </c>
      <c r="AA26" s="328"/>
      <c r="AB26" s="1431">
        <f t="shared" si="5"/>
        <v>50</v>
      </c>
      <c r="AC26" s="1432" t="str">
        <f t="shared" si="6"/>
        <v>PPRTV 2006</v>
      </c>
      <c r="AD26" s="179">
        <v>1000</v>
      </c>
      <c r="AE26" s="165" t="s">
        <v>1207</v>
      </c>
      <c r="AF26" s="507" t="s">
        <v>115</v>
      </c>
      <c r="AG26" s="165"/>
      <c r="AH26" s="1437">
        <v>50</v>
      </c>
      <c r="AI26" s="1434" t="s">
        <v>1230</v>
      </c>
      <c r="AJ26" s="402">
        <v>1</v>
      </c>
      <c r="AK26" s="312" t="s">
        <v>115</v>
      </c>
      <c r="AL26" s="402" t="s">
        <v>495</v>
      </c>
      <c r="AM26" s="328">
        <v>2.8199999999999999E-2</v>
      </c>
      <c r="AN26" s="492" t="s">
        <v>1199</v>
      </c>
      <c r="AO26" s="314">
        <v>1</v>
      </c>
      <c r="AP26" s="158">
        <v>0.11507150748261</v>
      </c>
      <c r="AQ26" s="158">
        <v>0.44893632760023999</v>
      </c>
      <c r="AR26" s="165">
        <v>1.0774471862405699</v>
      </c>
      <c r="AS26" s="168" t="s">
        <v>115</v>
      </c>
    </row>
    <row r="27" spans="1:45" ht="12" customHeight="1">
      <c r="A27" s="309" t="s">
        <v>125</v>
      </c>
      <c r="B27" s="427" t="s">
        <v>126</v>
      </c>
      <c r="C27" s="1431" t="str">
        <f t="shared" si="7"/>
        <v>--</v>
      </c>
      <c r="D27" s="1432" t="str">
        <f t="shared" si="0"/>
        <v xml:space="preserve"> </v>
      </c>
      <c r="E27" s="217" t="s">
        <v>115</v>
      </c>
      <c r="F27" s="1345"/>
      <c r="G27" s="217" t="s">
        <v>115</v>
      </c>
      <c r="H27" s="165"/>
      <c r="I27" s="687" t="s">
        <v>115</v>
      </c>
      <c r="J27" s="165"/>
      <c r="K27" s="1433"/>
      <c r="L27" s="1431" t="str">
        <f t="shared" si="1"/>
        <v>--</v>
      </c>
      <c r="M27" s="1432" t="str">
        <f>IF(L27="--"," ",IF(L27=P27,Q27,IF(L27=N27,O27,S27)))</f>
        <v xml:space="preserve"> </v>
      </c>
      <c r="N27" s="217" t="s">
        <v>115</v>
      </c>
      <c r="O27" s="161"/>
      <c r="P27" s="507" t="s">
        <v>115</v>
      </c>
      <c r="Q27" s="165"/>
      <c r="R27" s="178" t="s">
        <v>115</v>
      </c>
      <c r="S27" s="225"/>
      <c r="T27" s="1431" t="str">
        <f t="shared" si="3"/>
        <v>--</v>
      </c>
      <c r="U27" s="1432" t="str">
        <f t="shared" si="4"/>
        <v xml:space="preserve"> </v>
      </c>
      <c r="V27" s="217" t="s">
        <v>115</v>
      </c>
      <c r="W27" s="161"/>
      <c r="X27" s="507" t="s">
        <v>115</v>
      </c>
      <c r="Y27" s="165"/>
      <c r="Z27" s="687" t="s">
        <v>115</v>
      </c>
      <c r="AA27" s="328"/>
      <c r="AB27" s="1431">
        <f>AH27</f>
        <v>4000</v>
      </c>
      <c r="AC27" s="1432" t="str">
        <f>IF(AB27="--"," ",IF(AB27=AF27,AG27,IF(AB27=AD27,AE27,AI27)))</f>
        <v>PPRTV 2006*</v>
      </c>
      <c r="AD27" s="179">
        <v>30000</v>
      </c>
      <c r="AE27" s="165" t="s">
        <v>1207</v>
      </c>
      <c r="AF27" s="1439">
        <v>10000</v>
      </c>
      <c r="AG27" s="692" t="s">
        <v>1201</v>
      </c>
      <c r="AH27" s="688">
        <v>4000</v>
      </c>
      <c r="AI27" s="355" t="s">
        <v>1231</v>
      </c>
      <c r="AJ27" s="402">
        <v>1</v>
      </c>
      <c r="AK27" s="312" t="s">
        <v>115</v>
      </c>
      <c r="AL27" s="403" t="s">
        <v>495</v>
      </c>
      <c r="AM27" s="328">
        <v>6.0699999999999999E-3</v>
      </c>
      <c r="AN27" s="492" t="s">
        <v>1199</v>
      </c>
      <c r="AO27" s="314">
        <v>1</v>
      </c>
      <c r="AP27" s="158">
        <v>1.8751917943330001E-2</v>
      </c>
      <c r="AQ27" s="158">
        <v>0.24161992746596</v>
      </c>
      <c r="AR27" s="165">
        <v>0.57988782591830002</v>
      </c>
      <c r="AS27" s="168" t="s">
        <v>115</v>
      </c>
    </row>
    <row r="28" spans="1:45" ht="12" customHeight="1">
      <c r="A28" s="309" t="s">
        <v>127</v>
      </c>
      <c r="B28" s="427" t="s">
        <v>128</v>
      </c>
      <c r="C28" s="1431">
        <f t="shared" si="7"/>
        <v>3.1E-2</v>
      </c>
      <c r="D28" s="1432" t="str">
        <f t="shared" si="0"/>
        <v>OEHHA 2009</v>
      </c>
      <c r="E28" s="328">
        <v>3.1E-2</v>
      </c>
      <c r="F28" s="1345" t="s">
        <v>1204</v>
      </c>
      <c r="G28" s="217" t="s">
        <v>115</v>
      </c>
      <c r="H28" s="165"/>
      <c r="I28" s="687" t="s">
        <v>115</v>
      </c>
      <c r="J28" s="165"/>
      <c r="K28" s="1433"/>
      <c r="L28" s="1431">
        <f t="shared" si="1"/>
        <v>2.3E-5</v>
      </c>
      <c r="M28" s="1432" t="str">
        <f t="shared" si="2"/>
        <v>IRIS 2001</v>
      </c>
      <c r="N28" s="328">
        <v>5.3000000000000001E-6</v>
      </c>
      <c r="O28" s="161" t="s">
        <v>1204</v>
      </c>
      <c r="P28" s="179">
        <v>2.3E-5</v>
      </c>
      <c r="Q28" s="165" t="s">
        <v>1232</v>
      </c>
      <c r="R28" s="178" t="s">
        <v>115</v>
      </c>
      <c r="S28" s="225"/>
      <c r="T28" s="1431">
        <f t="shared" si="3"/>
        <v>0.01</v>
      </c>
      <c r="U28" s="1432" t="str">
        <f t="shared" si="4"/>
        <v>IRIS 2001</v>
      </c>
      <c r="V28" s="217" t="s">
        <v>115</v>
      </c>
      <c r="W28" s="161"/>
      <c r="X28" s="179">
        <v>0.01</v>
      </c>
      <c r="Y28" s="165" t="s">
        <v>1232</v>
      </c>
      <c r="Z28" s="687" t="s">
        <v>115</v>
      </c>
      <c r="AA28" s="328"/>
      <c r="AB28" s="1431">
        <f t="shared" si="5"/>
        <v>1.95</v>
      </c>
      <c r="AC28" s="1432" t="str">
        <f t="shared" si="6"/>
        <v>ATSDR Draft</v>
      </c>
      <c r="AD28" s="179">
        <v>300</v>
      </c>
      <c r="AE28" s="165" t="s">
        <v>1207</v>
      </c>
      <c r="AF28" s="507" t="s">
        <v>115</v>
      </c>
      <c r="AG28" s="165"/>
      <c r="AH28" s="485">
        <v>1.95</v>
      </c>
      <c r="AI28" s="225" t="s">
        <v>1233</v>
      </c>
      <c r="AJ28" s="402">
        <v>1</v>
      </c>
      <c r="AK28" s="312" t="s">
        <v>115</v>
      </c>
      <c r="AL28" s="402" t="s">
        <v>495</v>
      </c>
      <c r="AM28" s="328">
        <v>6.8300000000000001E-3</v>
      </c>
      <c r="AN28" s="492" t="s">
        <v>1199</v>
      </c>
      <c r="AO28" s="314">
        <v>1</v>
      </c>
      <c r="AP28" s="158">
        <v>2.8702064957770002E-2</v>
      </c>
      <c r="AQ28" s="158">
        <v>0.49020388588490998</v>
      </c>
      <c r="AR28" s="165">
        <v>1.1764893261237901</v>
      </c>
      <c r="AS28" s="168" t="s">
        <v>115</v>
      </c>
    </row>
    <row r="29" spans="1:45" ht="12" customHeight="1">
      <c r="A29" s="309" t="s">
        <v>129</v>
      </c>
      <c r="B29" s="427" t="s">
        <v>130</v>
      </c>
      <c r="C29" s="1431" t="str">
        <f t="shared" si="7"/>
        <v>--</v>
      </c>
      <c r="D29" s="1432" t="str">
        <f t="shared" si="0"/>
        <v xml:space="preserve"> </v>
      </c>
      <c r="E29" s="217" t="s">
        <v>115</v>
      </c>
      <c r="F29" s="1345"/>
      <c r="G29" s="217" t="s">
        <v>115</v>
      </c>
      <c r="H29" s="165"/>
      <c r="I29" s="687" t="s">
        <v>115</v>
      </c>
      <c r="J29" s="165"/>
      <c r="K29" s="1433"/>
      <c r="L29" s="1431" t="str">
        <f t="shared" si="1"/>
        <v>--</v>
      </c>
      <c r="M29" s="1432" t="str">
        <f t="shared" si="2"/>
        <v xml:space="preserve"> </v>
      </c>
      <c r="N29" s="217" t="s">
        <v>115</v>
      </c>
      <c r="O29" s="1436"/>
      <c r="P29" s="507" t="s">
        <v>115</v>
      </c>
      <c r="Q29" s="165"/>
      <c r="R29" s="178" t="s">
        <v>115</v>
      </c>
      <c r="S29" s="225"/>
      <c r="T29" s="1431" t="str">
        <f t="shared" si="3"/>
        <v>--</v>
      </c>
      <c r="U29" s="1432" t="str">
        <f t="shared" si="4"/>
        <v xml:space="preserve"> </v>
      </c>
      <c r="V29" s="217" t="s">
        <v>115</v>
      </c>
      <c r="W29" s="161"/>
      <c r="X29" s="507" t="s">
        <v>115</v>
      </c>
      <c r="Y29" s="165"/>
      <c r="Z29" s="687" t="s">
        <v>115</v>
      </c>
      <c r="AA29" s="328"/>
      <c r="AB29" s="1431">
        <f t="shared" si="5"/>
        <v>90</v>
      </c>
      <c r="AC29" s="1432" t="str">
        <f t="shared" si="6"/>
        <v>IRIS 2001</v>
      </c>
      <c r="AD29" s="507" t="s">
        <v>115</v>
      </c>
      <c r="AE29" s="165"/>
      <c r="AF29" s="179">
        <v>90</v>
      </c>
      <c r="AG29" s="165" t="s">
        <v>1232</v>
      </c>
      <c r="AH29" s="687" t="s">
        <v>115</v>
      </c>
      <c r="AI29" s="225"/>
      <c r="AJ29" s="402">
        <v>1</v>
      </c>
      <c r="AK29" s="312" t="s">
        <v>115</v>
      </c>
      <c r="AL29" s="403" t="s">
        <v>495</v>
      </c>
      <c r="AM29" s="328">
        <v>3.2799999999999999E-3</v>
      </c>
      <c r="AN29" s="492" t="s">
        <v>1199</v>
      </c>
      <c r="AO29" s="314">
        <v>1</v>
      </c>
      <c r="AP29" s="158">
        <v>8.9638499759099998E-3</v>
      </c>
      <c r="AQ29" s="158">
        <v>0.20164225687262999</v>
      </c>
      <c r="AR29" s="165">
        <v>0.4839414164943</v>
      </c>
      <c r="AS29" s="168" t="s">
        <v>115</v>
      </c>
    </row>
    <row r="30" spans="1:45" ht="12" customHeight="1">
      <c r="A30" s="309" t="s">
        <v>131</v>
      </c>
      <c r="B30" s="427" t="s">
        <v>132</v>
      </c>
      <c r="C30" s="1431" t="str">
        <f t="shared" si="7"/>
        <v>--</v>
      </c>
      <c r="D30" s="1432" t="str">
        <f t="shared" si="0"/>
        <v xml:space="preserve"> </v>
      </c>
      <c r="E30" s="217" t="s">
        <v>115</v>
      </c>
      <c r="F30" s="1345"/>
      <c r="G30" s="217" t="s">
        <v>115</v>
      </c>
      <c r="H30" s="165"/>
      <c r="I30" s="687" t="s">
        <v>115</v>
      </c>
      <c r="J30" s="165"/>
      <c r="K30" s="1433"/>
      <c r="L30" s="1431" t="str">
        <f t="shared" si="1"/>
        <v>--</v>
      </c>
      <c r="M30" s="1432" t="str">
        <f t="shared" si="2"/>
        <v xml:space="preserve"> </v>
      </c>
      <c r="N30" s="217" t="s">
        <v>115</v>
      </c>
      <c r="O30" s="1436"/>
      <c r="P30" s="507" t="s">
        <v>115</v>
      </c>
      <c r="Q30" s="165"/>
      <c r="R30" s="178" t="s">
        <v>115</v>
      </c>
      <c r="S30" s="225"/>
      <c r="T30" s="1431">
        <f t="shared" si="3"/>
        <v>5.0000000000000001E-3</v>
      </c>
      <c r="U30" s="1432" t="str">
        <f t="shared" si="4"/>
        <v>IRIS 1988</v>
      </c>
      <c r="V30" s="217" t="s">
        <v>115</v>
      </c>
      <c r="W30" s="161"/>
      <c r="X30" s="179">
        <v>5.0000000000000001E-3</v>
      </c>
      <c r="Y30" s="165" t="s">
        <v>1217</v>
      </c>
      <c r="Z30" s="687" t="s">
        <v>115</v>
      </c>
      <c r="AA30" s="328"/>
      <c r="AB30" s="1431" t="str">
        <f t="shared" si="5"/>
        <v>--</v>
      </c>
      <c r="AC30" s="1432" t="str">
        <f t="shared" si="6"/>
        <v xml:space="preserve"> </v>
      </c>
      <c r="AD30" s="507" t="s">
        <v>115</v>
      </c>
      <c r="AE30" s="165"/>
      <c r="AF30" s="507" t="s">
        <v>115</v>
      </c>
      <c r="AG30" s="165"/>
      <c r="AH30" s="1435" t="s">
        <v>115</v>
      </c>
      <c r="AI30" s="1434"/>
      <c r="AJ30" s="402">
        <v>1</v>
      </c>
      <c r="AK30" s="312" t="s">
        <v>115</v>
      </c>
      <c r="AL30" s="402" t="s">
        <v>495</v>
      </c>
      <c r="AM30" s="328">
        <v>7.9900000000000006E-3</v>
      </c>
      <c r="AN30" s="492" t="s">
        <v>1199</v>
      </c>
      <c r="AO30" s="314">
        <v>1</v>
      </c>
      <c r="AP30" s="158">
        <v>3.4843868272809997E-2</v>
      </c>
      <c r="AQ30" s="158">
        <v>0.55180387965424005</v>
      </c>
      <c r="AR30" s="165">
        <v>1.3243293111701799</v>
      </c>
      <c r="AS30" s="168" t="s">
        <v>115</v>
      </c>
    </row>
    <row r="31" spans="1:45" ht="12" customHeight="1">
      <c r="A31" s="309" t="s">
        <v>133</v>
      </c>
      <c r="B31" s="427" t="s">
        <v>134</v>
      </c>
      <c r="C31" s="1431" t="str">
        <f t="shared" si="7"/>
        <v>--</v>
      </c>
      <c r="D31" s="1432" t="str">
        <f t="shared" si="0"/>
        <v xml:space="preserve"> </v>
      </c>
      <c r="E31" s="217" t="s">
        <v>115</v>
      </c>
      <c r="F31" s="1345"/>
      <c r="G31" s="217" t="s">
        <v>115</v>
      </c>
      <c r="H31" s="165"/>
      <c r="I31" s="687" t="s">
        <v>115</v>
      </c>
      <c r="J31" s="165"/>
      <c r="K31" s="1433"/>
      <c r="L31" s="1431" t="str">
        <f t="shared" si="1"/>
        <v>--</v>
      </c>
      <c r="M31" s="1432" t="str">
        <f t="shared" si="2"/>
        <v xml:space="preserve"> </v>
      </c>
      <c r="N31" s="217" t="s">
        <v>115</v>
      </c>
      <c r="O31" s="1436"/>
      <c r="P31" s="507" t="s">
        <v>115</v>
      </c>
      <c r="Q31" s="165"/>
      <c r="R31" s="178" t="s">
        <v>115</v>
      </c>
      <c r="S31" s="225"/>
      <c r="T31" s="1431" t="str">
        <f t="shared" si="3"/>
        <v>--</v>
      </c>
      <c r="U31" s="1432" t="str">
        <f t="shared" si="4"/>
        <v xml:space="preserve"> </v>
      </c>
      <c r="V31" s="217" t="s">
        <v>115</v>
      </c>
      <c r="W31" s="161"/>
      <c r="X31" s="507" t="s">
        <v>115</v>
      </c>
      <c r="Y31" s="165"/>
      <c r="Z31" s="687" t="s">
        <v>115</v>
      </c>
      <c r="AA31" s="328"/>
      <c r="AB31" s="1431" t="str">
        <f t="shared" si="5"/>
        <v>--</v>
      </c>
      <c r="AC31" s="1432" t="str">
        <f t="shared" si="6"/>
        <v xml:space="preserve"> </v>
      </c>
      <c r="AD31" s="507" t="s">
        <v>115</v>
      </c>
      <c r="AE31" s="165"/>
      <c r="AF31" s="507" t="s">
        <v>115</v>
      </c>
      <c r="AG31" s="165"/>
      <c r="AH31" s="1435" t="s">
        <v>115</v>
      </c>
      <c r="AI31" s="1434"/>
      <c r="AJ31" s="402">
        <v>1.2999999999999999E-2</v>
      </c>
      <c r="AK31" s="312" t="s">
        <v>115</v>
      </c>
      <c r="AL31" s="403" t="s">
        <v>115</v>
      </c>
      <c r="AM31" s="328">
        <v>1E-3</v>
      </c>
      <c r="AN31" s="492" t="s">
        <v>1203</v>
      </c>
      <c r="AO31" s="314">
        <v>1</v>
      </c>
      <c r="AP31" s="158">
        <v>2.7733943059600002E-3</v>
      </c>
      <c r="AQ31" s="158">
        <v>0.20560153352432001</v>
      </c>
      <c r="AR31" s="165">
        <v>0.49344368045836001</v>
      </c>
      <c r="AS31" s="168" t="s">
        <v>115</v>
      </c>
    </row>
    <row r="32" spans="1:45" ht="12" customHeight="1">
      <c r="A32" s="309" t="s">
        <v>439</v>
      </c>
      <c r="B32" s="427" t="s">
        <v>136</v>
      </c>
      <c r="C32" s="1431" t="str">
        <f t="shared" si="7"/>
        <v>--</v>
      </c>
      <c r="D32" s="1432" t="str">
        <f t="shared" si="0"/>
        <v xml:space="preserve"> </v>
      </c>
      <c r="E32" s="217" t="s">
        <v>115</v>
      </c>
      <c r="F32" s="1345"/>
      <c r="G32" s="217" t="s">
        <v>115</v>
      </c>
      <c r="H32" s="165"/>
      <c r="I32" s="687" t="s">
        <v>115</v>
      </c>
      <c r="J32" s="165"/>
      <c r="K32" s="1433"/>
      <c r="L32" s="1431" t="str">
        <f t="shared" si="1"/>
        <v>--</v>
      </c>
      <c r="M32" s="1432" t="str">
        <f t="shared" si="2"/>
        <v xml:space="preserve"> </v>
      </c>
      <c r="N32" s="217" t="s">
        <v>115</v>
      </c>
      <c r="O32" s="1436"/>
      <c r="P32" s="507" t="s">
        <v>115</v>
      </c>
      <c r="Q32" s="165"/>
      <c r="R32" s="178" t="s">
        <v>115</v>
      </c>
      <c r="S32" s="225"/>
      <c r="T32" s="1431" t="str">
        <f t="shared" si="3"/>
        <v>--</v>
      </c>
      <c r="U32" s="1432" t="str">
        <f t="shared" si="4"/>
        <v xml:space="preserve"> </v>
      </c>
      <c r="V32" s="217" t="s">
        <v>115</v>
      </c>
      <c r="W32" s="161"/>
      <c r="X32" s="507" t="s">
        <v>115</v>
      </c>
      <c r="Y32" s="165"/>
      <c r="Z32" s="687" t="s">
        <v>115</v>
      </c>
      <c r="AA32" s="328"/>
      <c r="AB32" s="1431">
        <f t="shared" si="5"/>
        <v>0.06</v>
      </c>
      <c r="AC32" s="1432" t="str">
        <f t="shared" si="6"/>
        <v>OEHHA</v>
      </c>
      <c r="AD32" s="507">
        <v>0.06</v>
      </c>
      <c r="AE32" s="165" t="s">
        <v>1234</v>
      </c>
      <c r="AF32" s="507" t="s">
        <v>115</v>
      </c>
      <c r="AG32" s="165"/>
      <c r="AH32" s="1435" t="s">
        <v>115</v>
      </c>
      <c r="AI32" s="1434"/>
      <c r="AJ32" s="402">
        <v>1.2999999999999999E-2</v>
      </c>
      <c r="AK32" s="312" t="s">
        <v>115</v>
      </c>
      <c r="AL32" s="402" t="s">
        <v>495</v>
      </c>
      <c r="AM32" s="328">
        <v>1E-3</v>
      </c>
      <c r="AN32" s="492" t="s">
        <v>1203</v>
      </c>
      <c r="AO32" s="314">
        <v>1</v>
      </c>
      <c r="AP32" s="158">
        <v>2.7733969728899999E-3</v>
      </c>
      <c r="AQ32" s="158">
        <v>0.20560179863690001</v>
      </c>
      <c r="AR32" s="165">
        <v>0.49344431672856998</v>
      </c>
      <c r="AS32" s="168" t="s">
        <v>115</v>
      </c>
    </row>
    <row r="33" spans="1:45" ht="12" customHeight="1">
      <c r="A33" s="309" t="s">
        <v>440</v>
      </c>
      <c r="B33" s="427" t="s">
        <v>136</v>
      </c>
      <c r="C33" s="1431" t="str">
        <f t="shared" ref="C33" si="8">IF(AND(E33&lt;&gt;"--",G33&lt;&gt;"--"),MAX(E33,G33),IF(G33&lt;&gt;"--",G33,IF(AND(E33&lt;&gt;"--",I33&lt;&gt;"--"),MAX(E33,I33),IF(I33&lt;&gt;"--",I33,E33))))</f>
        <v>--</v>
      </c>
      <c r="D33" s="1432" t="str">
        <f t="shared" ref="D33" si="9">IF(C33="--"," ",IF(C33=G33,H33,IF(C33=E33,F33,J33)))</f>
        <v xml:space="preserve"> </v>
      </c>
      <c r="E33" s="217" t="s">
        <v>115</v>
      </c>
      <c r="F33" s="1345"/>
      <c r="G33" s="217" t="s">
        <v>115</v>
      </c>
      <c r="H33" s="165"/>
      <c r="I33" s="687" t="s">
        <v>115</v>
      </c>
      <c r="J33" s="165"/>
      <c r="K33" s="1433"/>
      <c r="L33" s="1431" t="str">
        <f t="shared" ref="L33" si="10">IF(AND(N33&lt;&gt;"--",P33&lt;&gt;"--"),MAX(N33,P33),IF(P33&lt;&gt;"--",P33,IF(AND(N33&lt;&gt;"--",R33&lt;&gt;"--"),MAX(N33,R33),IF(R33&lt;&gt;"--",R33,N33))))</f>
        <v>--</v>
      </c>
      <c r="M33" s="1432" t="str">
        <f t="shared" ref="M33" si="11">IF(L33="--"," ",IF(L33=P33,Q33,IF(L33=N33,O33,S33)))</f>
        <v xml:space="preserve"> </v>
      </c>
      <c r="N33" s="217" t="s">
        <v>115</v>
      </c>
      <c r="O33" s="1436"/>
      <c r="P33" s="507" t="s">
        <v>115</v>
      </c>
      <c r="Q33" s="165"/>
      <c r="R33" s="178" t="s">
        <v>115</v>
      </c>
      <c r="S33" s="225"/>
      <c r="T33" s="1431">
        <f t="shared" ref="T33" si="12">IF(AND(V33&lt;&gt;"--",X33&lt;&gt;"--"),MIN(V33,X33),IF(X33&lt;&gt;"--",X33,IF(AND(V33&lt;&gt;"--",Z33&lt;&gt;"--"),MIN(V33,Z33),IF(Z33&lt;&gt;"--",Z33,V33))))</f>
        <v>1.5</v>
      </c>
      <c r="U33" s="1432" t="str">
        <f t="shared" ref="U33" si="13">IF(T33="--"," ",IF(T33=X33,Y33,IF(T33=V33,W33,AA33)))</f>
        <v>IRIS 1998</v>
      </c>
      <c r="V33" s="217" t="s">
        <v>115</v>
      </c>
      <c r="W33" s="161"/>
      <c r="X33" s="179">
        <v>1.5</v>
      </c>
      <c r="Y33" s="165" t="s">
        <v>1213</v>
      </c>
      <c r="Z33" s="687" t="s">
        <v>115</v>
      </c>
      <c r="AA33" s="328"/>
      <c r="AB33" s="1431" t="str">
        <f t="shared" ref="AB33" si="14">IF(AND(AD33&lt;&gt;"--",AF33&lt;&gt;"--"),MIN(AD33,AF33),IF(AF33&lt;&gt;"--",AF33,IF(AND(AD33&lt;&gt;"--",AH33&lt;&gt;"--"),MIN(AD33,AH33),IF(AH33&lt;&gt;"--",AH33,AD33))))</f>
        <v>--</v>
      </c>
      <c r="AC33" s="1432" t="str">
        <f t="shared" ref="AC33" si="15">IF(AB33="--"," ",IF(AB33=AF33,AG33,IF(AB33=AD33,AE33,AI33)))</f>
        <v xml:space="preserve"> </v>
      </c>
      <c r="AD33" s="507" t="s">
        <v>115</v>
      </c>
      <c r="AE33" s="165"/>
      <c r="AF33" s="507" t="s">
        <v>115</v>
      </c>
      <c r="AG33" s="165"/>
      <c r="AH33" s="1435" t="s">
        <v>115</v>
      </c>
      <c r="AI33" s="1434"/>
      <c r="AJ33" s="402">
        <v>1.2999999999999999E-2</v>
      </c>
      <c r="AK33" s="312" t="s">
        <v>115</v>
      </c>
      <c r="AL33" s="402" t="s">
        <v>495</v>
      </c>
      <c r="AM33" s="328">
        <v>1E-3</v>
      </c>
      <c r="AN33" s="492" t="s">
        <v>1203</v>
      </c>
      <c r="AO33" s="314">
        <v>1</v>
      </c>
      <c r="AP33" s="158">
        <v>2.7733969728899999E-3</v>
      </c>
      <c r="AQ33" s="158">
        <v>0.20560179863690001</v>
      </c>
      <c r="AR33" s="165">
        <v>0.49344431672856998</v>
      </c>
      <c r="AS33" s="168" t="s">
        <v>115</v>
      </c>
    </row>
    <row r="34" spans="1:45" ht="12" customHeight="1">
      <c r="A34" s="309" t="s">
        <v>137</v>
      </c>
      <c r="B34" s="427" t="s">
        <v>138</v>
      </c>
      <c r="C34" s="1431">
        <f t="shared" si="7"/>
        <v>0.5</v>
      </c>
      <c r="D34" s="1432" t="str">
        <f t="shared" si="0"/>
        <v>OEHHA 2011</v>
      </c>
      <c r="E34" s="217">
        <v>0.5</v>
      </c>
      <c r="F34" s="1345" t="s">
        <v>1235</v>
      </c>
      <c r="G34" s="217" t="s">
        <v>115</v>
      </c>
      <c r="H34" s="165"/>
      <c r="I34" s="687" t="s">
        <v>115</v>
      </c>
      <c r="J34" s="165"/>
      <c r="K34" s="1433"/>
      <c r="L34" s="1431">
        <f t="shared" si="1"/>
        <v>0.15</v>
      </c>
      <c r="M34" s="1432" t="str">
        <f t="shared" si="2"/>
        <v>OEHHA 2011</v>
      </c>
      <c r="N34" s="328">
        <v>0.15</v>
      </c>
      <c r="O34" s="161" t="s">
        <v>1235</v>
      </c>
      <c r="P34" s="179">
        <v>1.2E-2</v>
      </c>
      <c r="Q34" s="165" t="s">
        <v>1213</v>
      </c>
      <c r="R34" s="178" t="s">
        <v>115</v>
      </c>
      <c r="S34" s="225"/>
      <c r="T34" s="1431">
        <f t="shared" si="3"/>
        <v>8.9999999999999998E-4</v>
      </c>
      <c r="U34" s="1432" t="str">
        <f t="shared" si="4"/>
        <v>IRIS 2024</v>
      </c>
      <c r="V34" s="328">
        <v>0.02</v>
      </c>
      <c r="W34" s="161" t="s">
        <v>1207</v>
      </c>
      <c r="X34" s="179">
        <v>8.9999999999999998E-4</v>
      </c>
      <c r="Y34" s="165" t="s">
        <v>1236</v>
      </c>
      <c r="Z34" s="687" t="s">
        <v>115</v>
      </c>
      <c r="AA34" s="328"/>
      <c r="AB34" s="1431">
        <f t="shared" si="5"/>
        <v>0.03</v>
      </c>
      <c r="AC34" s="1432" t="str">
        <f t="shared" si="6"/>
        <v>IRIS 2024</v>
      </c>
      <c r="AD34" s="179">
        <v>0.2</v>
      </c>
      <c r="AE34" s="165" t="s">
        <v>1207</v>
      </c>
      <c r="AF34" s="1326">
        <v>0.03</v>
      </c>
      <c r="AG34" s="1441" t="s">
        <v>1236</v>
      </c>
      <c r="AH34" s="1435" t="s">
        <v>115</v>
      </c>
      <c r="AI34" s="1434"/>
      <c r="AJ34" s="402">
        <v>2.5000000000000001E-2</v>
      </c>
      <c r="AK34" s="312" t="s">
        <v>115</v>
      </c>
      <c r="AL34" s="402" t="s">
        <v>495</v>
      </c>
      <c r="AM34" s="328">
        <v>2E-3</v>
      </c>
      <c r="AN34" s="492" t="s">
        <v>1203</v>
      </c>
      <c r="AO34" s="314">
        <v>1</v>
      </c>
      <c r="AP34" s="158">
        <v>5.5470019622500004E-3</v>
      </c>
      <c r="AQ34" s="158">
        <v>0.20561213829439001</v>
      </c>
      <c r="AR34" s="165">
        <v>0.49346913190653002</v>
      </c>
      <c r="AS34" s="168" t="s">
        <v>495</v>
      </c>
    </row>
    <row r="35" spans="1:45" ht="12" customHeight="1">
      <c r="A35" s="309" t="s">
        <v>139</v>
      </c>
      <c r="B35" s="427" t="s">
        <v>140</v>
      </c>
      <c r="C35" s="1431" t="str">
        <f t="shared" si="7"/>
        <v>--</v>
      </c>
      <c r="D35" s="1432" t="str">
        <f t="shared" si="0"/>
        <v xml:space="preserve"> </v>
      </c>
      <c r="E35" s="328" t="s">
        <v>115</v>
      </c>
      <c r="F35" s="1345"/>
      <c r="G35" s="328" t="s">
        <v>115</v>
      </c>
      <c r="H35" s="165"/>
      <c r="I35" s="485" t="s">
        <v>115</v>
      </c>
      <c r="J35" s="165"/>
      <c r="K35" s="1433"/>
      <c r="L35" s="1431">
        <f t="shared" si="1"/>
        <v>8.9999999999999993E-3</v>
      </c>
      <c r="M35" s="1432" t="str">
        <f>IF(L35="--"," ",IF(L35=P35,Q35,IF(L35=N35,O35,S35)))</f>
        <v>PPRTV 2008</v>
      </c>
      <c r="N35" s="217" t="s">
        <v>115</v>
      </c>
      <c r="O35" s="1436"/>
      <c r="P35" s="507" t="s">
        <v>115</v>
      </c>
      <c r="Q35" s="165"/>
      <c r="R35" s="163">
        <v>8.9999999999999993E-3</v>
      </c>
      <c r="S35" s="225" t="s">
        <v>1227</v>
      </c>
      <c r="T35" s="1431">
        <f t="shared" si="3"/>
        <v>2.9999999999999997E-4</v>
      </c>
      <c r="U35" s="1432" t="str">
        <f t="shared" si="4"/>
        <v>PPRTV 2008</v>
      </c>
      <c r="V35" s="217" t="s">
        <v>115</v>
      </c>
      <c r="W35" s="161"/>
      <c r="X35" s="507" t="s">
        <v>115</v>
      </c>
      <c r="Y35" s="165"/>
      <c r="Z35" s="485">
        <v>2.9999999999999997E-4</v>
      </c>
      <c r="AA35" s="328" t="s">
        <v>1227</v>
      </c>
      <c r="AB35" s="1431">
        <f t="shared" si="5"/>
        <v>6.0000000000000001E-3</v>
      </c>
      <c r="AC35" s="1432" t="str">
        <f t="shared" si="6"/>
        <v>PPRTV 2008</v>
      </c>
      <c r="AD35" s="507" t="s">
        <v>115</v>
      </c>
      <c r="AE35" s="165"/>
      <c r="AF35" s="507" t="s">
        <v>115</v>
      </c>
      <c r="AG35" s="165"/>
      <c r="AH35" s="1437">
        <v>6.0000000000000001E-3</v>
      </c>
      <c r="AI35" s="1434" t="s">
        <v>1227</v>
      </c>
      <c r="AJ35" s="402">
        <v>1</v>
      </c>
      <c r="AK35" s="312" t="s">
        <v>115</v>
      </c>
      <c r="AL35" s="402" t="s">
        <v>495</v>
      </c>
      <c r="AM35" s="328">
        <v>4.0000000000000002E-4</v>
      </c>
      <c r="AN35" s="492" t="s">
        <v>1203</v>
      </c>
      <c r="AO35" s="314">
        <v>1</v>
      </c>
      <c r="AP35" s="158">
        <v>1.1810135051799999E-3</v>
      </c>
      <c r="AQ35" s="158">
        <v>0.22483128860585</v>
      </c>
      <c r="AR35" s="165">
        <v>0.53959509265405003</v>
      </c>
      <c r="AS35" s="168" t="s">
        <v>115</v>
      </c>
    </row>
    <row r="36" spans="1:45" s="1" customFormat="1" ht="12" customHeight="1">
      <c r="A36" s="309" t="s">
        <v>141</v>
      </c>
      <c r="B36" s="427" t="s">
        <v>142</v>
      </c>
      <c r="C36" s="1431" t="str">
        <f t="shared" si="7"/>
        <v>--</v>
      </c>
      <c r="D36" s="1432" t="str">
        <f t="shared" si="0"/>
        <v xml:space="preserve"> </v>
      </c>
      <c r="E36" s="328" t="s">
        <v>115</v>
      </c>
      <c r="F36" s="1345"/>
      <c r="G36" s="328" t="s">
        <v>115</v>
      </c>
      <c r="H36" s="165"/>
      <c r="I36" s="485" t="s">
        <v>115</v>
      </c>
      <c r="J36" s="165"/>
      <c r="K36" s="1433"/>
      <c r="L36" s="1431" t="str">
        <f t="shared" si="1"/>
        <v>--</v>
      </c>
      <c r="M36" s="1432" t="str">
        <f t="shared" si="2"/>
        <v xml:space="preserve"> </v>
      </c>
      <c r="N36" s="217" t="s">
        <v>115</v>
      </c>
      <c r="O36" s="1436"/>
      <c r="P36" s="507" t="s">
        <v>115</v>
      </c>
      <c r="Q36" s="165"/>
      <c r="R36" s="178" t="s">
        <v>115</v>
      </c>
      <c r="S36" s="225"/>
      <c r="T36" s="1431">
        <f t="shared" si="3"/>
        <v>0.04</v>
      </c>
      <c r="U36" s="1432" t="str">
        <f t="shared" si="4"/>
        <v>HEAST 1997</v>
      </c>
      <c r="V36" s="217" t="s">
        <v>115</v>
      </c>
      <c r="W36" s="161"/>
      <c r="X36" s="507" t="s">
        <v>115</v>
      </c>
      <c r="Y36" s="165"/>
      <c r="Z36" s="485">
        <v>0.04</v>
      </c>
      <c r="AA36" s="328" t="s">
        <v>1209</v>
      </c>
      <c r="AB36" s="1431" t="str">
        <f t="shared" si="5"/>
        <v>--</v>
      </c>
      <c r="AC36" s="1432" t="str">
        <f t="shared" si="6"/>
        <v xml:space="preserve"> </v>
      </c>
      <c r="AD36" s="507" t="s">
        <v>115</v>
      </c>
      <c r="AE36" s="165"/>
      <c r="AF36" s="507" t="s">
        <v>115</v>
      </c>
      <c r="AG36" s="165"/>
      <c r="AH36" s="1435" t="s">
        <v>115</v>
      </c>
      <c r="AI36" s="1434"/>
      <c r="AJ36" s="402">
        <v>1</v>
      </c>
      <c r="AK36" s="312" t="s">
        <v>115</v>
      </c>
      <c r="AL36" s="402" t="s">
        <v>495</v>
      </c>
      <c r="AM36" s="328">
        <v>1E-3</v>
      </c>
      <c r="AN36" s="492" t="s">
        <v>1203</v>
      </c>
      <c r="AO36" s="314">
        <v>1</v>
      </c>
      <c r="AP36" s="158">
        <v>3.0659901920899999E-3</v>
      </c>
      <c r="AQ36" s="158">
        <v>0.23861972980983001</v>
      </c>
      <c r="AR36" s="165">
        <v>0.57268735154359995</v>
      </c>
      <c r="AS36" s="168" t="s">
        <v>115</v>
      </c>
    </row>
    <row r="37" spans="1:45" ht="12" customHeight="1">
      <c r="A37" s="309" t="s">
        <v>143</v>
      </c>
      <c r="B37" s="427" t="s">
        <v>144</v>
      </c>
      <c r="C37" s="1431" t="str">
        <f t="shared" si="7"/>
        <v>--</v>
      </c>
      <c r="D37" s="1432" t="str">
        <f t="shared" si="0"/>
        <v xml:space="preserve"> </v>
      </c>
      <c r="E37" s="328" t="s">
        <v>115</v>
      </c>
      <c r="F37" s="1345"/>
      <c r="G37" s="328" t="s">
        <v>115</v>
      </c>
      <c r="H37" s="165"/>
      <c r="I37" s="485" t="s">
        <v>115</v>
      </c>
      <c r="J37" s="165"/>
      <c r="K37" s="1433"/>
      <c r="L37" s="1431" t="str">
        <f t="shared" si="1"/>
        <v>--</v>
      </c>
      <c r="M37" s="1432" t="str">
        <f t="shared" si="2"/>
        <v xml:space="preserve"> </v>
      </c>
      <c r="N37" s="217" t="s">
        <v>115</v>
      </c>
      <c r="O37" s="1436"/>
      <c r="P37" s="507" t="s">
        <v>115</v>
      </c>
      <c r="Q37" s="165"/>
      <c r="R37" s="178" t="s">
        <v>115</v>
      </c>
      <c r="S37" s="225"/>
      <c r="T37" s="1431">
        <f t="shared" si="3"/>
        <v>5.9999999999999995E-4</v>
      </c>
      <c r="U37" s="1432" t="str">
        <f t="shared" si="4"/>
        <v>IRIS 2010</v>
      </c>
      <c r="V37" s="217" t="s">
        <v>115</v>
      </c>
      <c r="W37" s="161"/>
      <c r="X37" s="179">
        <v>5.9999999999999995E-4</v>
      </c>
      <c r="Y37" s="165" t="s">
        <v>1226</v>
      </c>
      <c r="Z37" s="687" t="s">
        <v>115</v>
      </c>
      <c r="AA37" s="328"/>
      <c r="AB37" s="1431">
        <f t="shared" si="5"/>
        <v>0.8</v>
      </c>
      <c r="AC37" s="1432" t="str">
        <f t="shared" si="6"/>
        <v>IRIS 2010</v>
      </c>
      <c r="AD37" s="507" t="s">
        <v>115</v>
      </c>
      <c r="AE37" s="165"/>
      <c r="AF37" s="179">
        <v>0.8</v>
      </c>
      <c r="AG37" s="165" t="s">
        <v>1226</v>
      </c>
      <c r="AH37" s="1435" t="s">
        <v>115</v>
      </c>
      <c r="AI37" s="1434"/>
      <c r="AJ37" s="402">
        <v>1</v>
      </c>
      <c r="AK37" s="312" t="s">
        <v>115</v>
      </c>
      <c r="AL37" s="402" t="s">
        <v>495</v>
      </c>
      <c r="AM37" s="328">
        <v>1E-3</v>
      </c>
      <c r="AN37" s="492" t="s">
        <v>1203</v>
      </c>
      <c r="AO37" s="314">
        <v>1</v>
      </c>
      <c r="AP37" s="158">
        <v>1.9618400974699998E-3</v>
      </c>
      <c r="AQ37" s="158">
        <v>0.14707862110785999</v>
      </c>
      <c r="AR37" s="165">
        <v>0.35298869065886002</v>
      </c>
      <c r="AS37" s="168" t="s">
        <v>115</v>
      </c>
    </row>
    <row r="38" spans="1:45" ht="12" customHeight="1">
      <c r="A38" s="309" t="s">
        <v>145</v>
      </c>
      <c r="B38" s="427" t="s">
        <v>146</v>
      </c>
      <c r="C38" s="1431">
        <f t="shared" si="7"/>
        <v>8.4000000000000005E-2</v>
      </c>
      <c r="D38" s="1432" t="str">
        <f t="shared" si="0"/>
        <v>IRIS 1992</v>
      </c>
      <c r="E38" s="217" t="s">
        <v>115</v>
      </c>
      <c r="F38" s="1345"/>
      <c r="G38" s="328">
        <v>8.4000000000000005E-2</v>
      </c>
      <c r="H38" s="165" t="s">
        <v>1223</v>
      </c>
      <c r="I38" s="687" t="s">
        <v>115</v>
      </c>
      <c r="J38" s="165"/>
      <c r="K38" s="1433"/>
      <c r="L38" s="1431" t="str">
        <f t="shared" si="1"/>
        <v>--</v>
      </c>
      <c r="M38" s="1432" t="str">
        <f t="shared" si="2"/>
        <v xml:space="preserve"> </v>
      </c>
      <c r="N38" s="217" t="s">
        <v>115</v>
      </c>
      <c r="O38" s="161"/>
      <c r="P38" s="507" t="s">
        <v>115</v>
      </c>
      <c r="Q38" s="165"/>
      <c r="R38" s="178" t="s">
        <v>115</v>
      </c>
      <c r="S38" s="225"/>
      <c r="T38" s="1431">
        <f t="shared" si="3"/>
        <v>0.02</v>
      </c>
      <c r="U38" s="1432" t="str">
        <f t="shared" si="4"/>
        <v>IRIS 1992</v>
      </c>
      <c r="V38" s="217" t="s">
        <v>115</v>
      </c>
      <c r="W38" s="161"/>
      <c r="X38" s="507">
        <v>0.02</v>
      </c>
      <c r="Y38" s="165" t="s">
        <v>1223</v>
      </c>
      <c r="Z38" s="687" t="s">
        <v>115</v>
      </c>
      <c r="AA38" s="328"/>
      <c r="AB38" s="1431" t="str">
        <f t="shared" si="5"/>
        <v>--</v>
      </c>
      <c r="AC38" s="1432" t="str">
        <f t="shared" si="6"/>
        <v xml:space="preserve"> </v>
      </c>
      <c r="AD38" s="507" t="s">
        <v>115</v>
      </c>
      <c r="AE38" s="165"/>
      <c r="AF38" s="507" t="s">
        <v>115</v>
      </c>
      <c r="AG38" s="165"/>
      <c r="AH38" s="1435" t="s">
        <v>115</v>
      </c>
      <c r="AI38" s="1434"/>
      <c r="AJ38" s="402">
        <v>1</v>
      </c>
      <c r="AK38" s="312" t="s">
        <v>115</v>
      </c>
      <c r="AL38" s="402" t="s">
        <v>495</v>
      </c>
      <c r="AM38" s="328">
        <v>2.8900000000000002E-3</v>
      </c>
      <c r="AN38" s="492" t="s">
        <v>1199</v>
      </c>
      <c r="AO38" s="314">
        <v>1</v>
      </c>
      <c r="AP38" s="158">
        <v>1.6041622027649999E-2</v>
      </c>
      <c r="AQ38" s="158">
        <v>1.54247008368927</v>
      </c>
      <c r="AR38" s="165">
        <v>3.7019282008542498</v>
      </c>
      <c r="AS38" s="168" t="s">
        <v>115</v>
      </c>
    </row>
    <row r="39" spans="1:45" ht="12" customHeight="1">
      <c r="A39" s="309" t="s">
        <v>147</v>
      </c>
      <c r="B39" s="427" t="s">
        <v>148</v>
      </c>
      <c r="C39" s="1431">
        <f t="shared" si="7"/>
        <v>7</v>
      </c>
      <c r="D39" s="1432" t="str">
        <f t="shared" si="0"/>
        <v>OEHHA 2009</v>
      </c>
      <c r="E39" s="328">
        <v>7</v>
      </c>
      <c r="F39" s="1345" t="s">
        <v>1204</v>
      </c>
      <c r="G39" s="217" t="s">
        <v>115</v>
      </c>
      <c r="H39" s="165"/>
      <c r="I39" s="485">
        <v>0.8</v>
      </c>
      <c r="J39" s="165" t="s">
        <v>1230</v>
      </c>
      <c r="K39" s="1433"/>
      <c r="L39" s="1431">
        <f t="shared" si="1"/>
        <v>6.0000000000000001E-3</v>
      </c>
      <c r="M39" s="1432" t="str">
        <f>IF(L39="--"," ",IF(L39=P39,Q39,IF(L39=N39,O39,S39)))</f>
        <v>PPRTV 2006</v>
      </c>
      <c r="N39" s="328">
        <v>2E-3</v>
      </c>
      <c r="O39" s="161" t="s">
        <v>1204</v>
      </c>
      <c r="P39" s="507" t="s">
        <v>115</v>
      </c>
      <c r="Q39" s="165"/>
      <c r="R39" s="163">
        <v>6.0000000000000001E-3</v>
      </c>
      <c r="S39" s="225" t="s">
        <v>1230</v>
      </c>
      <c r="T39" s="1431">
        <f t="shared" si="3"/>
        <v>2.0000000000000001E-4</v>
      </c>
      <c r="U39" s="1432" t="str">
        <f t="shared" si="4"/>
        <v>PPRTV 2006</v>
      </c>
      <c r="V39" s="217" t="s">
        <v>115</v>
      </c>
      <c r="W39" s="161"/>
      <c r="X39" s="507" t="s">
        <v>115</v>
      </c>
      <c r="Y39" s="165"/>
      <c r="Z39" s="485">
        <v>2.0000000000000001E-4</v>
      </c>
      <c r="AA39" s="328" t="s">
        <v>1230</v>
      </c>
      <c r="AB39" s="1431">
        <f t="shared" si="5"/>
        <v>0.2</v>
      </c>
      <c r="AC39" s="1432" t="str">
        <f t="shared" si="6"/>
        <v>IRIS 1991</v>
      </c>
      <c r="AD39" s="507" t="s">
        <v>115</v>
      </c>
      <c r="AE39" s="165"/>
      <c r="AF39" s="179">
        <v>0.2</v>
      </c>
      <c r="AG39" s="165" t="s">
        <v>1201</v>
      </c>
      <c r="AH39" s="1435" t="s">
        <v>115</v>
      </c>
      <c r="AI39" s="1434"/>
      <c r="AJ39" s="402">
        <v>1</v>
      </c>
      <c r="AK39" s="312" t="s">
        <v>115</v>
      </c>
      <c r="AL39" s="402" t="s">
        <v>495</v>
      </c>
      <c r="AM39" s="328">
        <v>6.8500000000000002E-3</v>
      </c>
      <c r="AN39" s="492" t="s">
        <v>1199</v>
      </c>
      <c r="AO39" s="314">
        <v>1</v>
      </c>
      <c r="AP39" s="158">
        <v>4.0502016943349997E-2</v>
      </c>
      <c r="AQ39" s="158">
        <v>2.2146074145907599</v>
      </c>
      <c r="AR39" s="165">
        <v>5.3150577950178297</v>
      </c>
      <c r="AS39" s="168" t="s">
        <v>495</v>
      </c>
    </row>
    <row r="40" spans="1:45" ht="12" customHeight="1">
      <c r="A40" s="309" t="s">
        <v>149</v>
      </c>
      <c r="B40" s="427" t="s">
        <v>150</v>
      </c>
      <c r="C40" s="1431">
        <f t="shared" si="7"/>
        <v>2</v>
      </c>
      <c r="D40" s="1432" t="str">
        <f t="shared" si="0"/>
        <v>IRIS 2004</v>
      </c>
      <c r="E40" s="328">
        <v>0.25</v>
      </c>
      <c r="F40" s="1345" t="s">
        <v>1204</v>
      </c>
      <c r="G40" s="328">
        <v>2</v>
      </c>
      <c r="H40" s="165" t="s">
        <v>1218</v>
      </c>
      <c r="I40" s="485"/>
      <c r="J40" s="165"/>
      <c r="K40" s="1433"/>
      <c r="L40" s="1431">
        <f t="shared" si="1"/>
        <v>5.9999999999999995E-4</v>
      </c>
      <c r="M40" s="1432" t="str">
        <f t="shared" si="2"/>
        <v>IRIS 2004</v>
      </c>
      <c r="N40" s="328">
        <v>7.1000000000000005E-5</v>
      </c>
      <c r="O40" s="161" t="s">
        <v>1204</v>
      </c>
      <c r="P40" s="179">
        <v>5.9999999999999995E-4</v>
      </c>
      <c r="Q40" s="165" t="s">
        <v>1218</v>
      </c>
      <c r="R40" s="178" t="s">
        <v>115</v>
      </c>
      <c r="S40" s="225"/>
      <c r="T40" s="1431">
        <f t="shared" si="3"/>
        <v>8.9999999999999993E-3</v>
      </c>
      <c r="U40" s="1432" t="str">
        <f t="shared" si="4"/>
        <v>IRIS 2004</v>
      </c>
      <c r="V40" s="217" t="s">
        <v>115</v>
      </c>
      <c r="W40" s="161"/>
      <c r="X40" s="179">
        <v>8.9999999999999993E-3</v>
      </c>
      <c r="Y40" s="165" t="s">
        <v>1218</v>
      </c>
      <c r="Z40" s="687" t="s">
        <v>115</v>
      </c>
      <c r="AA40" s="328"/>
      <c r="AB40" s="1431">
        <f t="shared" si="5"/>
        <v>0.8</v>
      </c>
      <c r="AC40" s="1432" t="str">
        <f t="shared" si="6"/>
        <v>OEHHA 2008</v>
      </c>
      <c r="AD40" s="179">
        <v>0.8</v>
      </c>
      <c r="AE40" s="165" t="s">
        <v>1207</v>
      </c>
      <c r="AF40" s="179">
        <v>9</v>
      </c>
      <c r="AG40" s="165" t="s">
        <v>1218</v>
      </c>
      <c r="AH40" s="1435" t="s">
        <v>115</v>
      </c>
      <c r="AI40" s="1434"/>
      <c r="AJ40" s="402">
        <v>1</v>
      </c>
      <c r="AK40" s="312" t="s">
        <v>115</v>
      </c>
      <c r="AL40" s="402" t="s">
        <v>495</v>
      </c>
      <c r="AM40" s="328">
        <v>2.7799999999999999E-3</v>
      </c>
      <c r="AN40" s="492" t="s">
        <v>1199</v>
      </c>
      <c r="AO40" s="314">
        <v>1</v>
      </c>
      <c r="AP40" s="158">
        <v>1.465509395051E-2</v>
      </c>
      <c r="AQ40" s="158">
        <v>1.18539952701691</v>
      </c>
      <c r="AR40" s="165">
        <v>2.8449588648405899</v>
      </c>
      <c r="AS40" s="168" t="s">
        <v>115</v>
      </c>
    </row>
    <row r="41" spans="1:45" ht="12" customHeight="1">
      <c r="A41" s="309" t="s">
        <v>151</v>
      </c>
      <c r="B41" s="427" t="s">
        <v>152</v>
      </c>
      <c r="C41" s="1431" t="str">
        <f t="shared" si="7"/>
        <v>--</v>
      </c>
      <c r="D41" s="1432" t="str">
        <f t="shared" si="0"/>
        <v xml:space="preserve"> </v>
      </c>
      <c r="E41" s="328" t="s">
        <v>115</v>
      </c>
      <c r="F41" s="1345"/>
      <c r="G41" s="328" t="s">
        <v>115</v>
      </c>
      <c r="H41" s="165"/>
      <c r="I41" s="485" t="s">
        <v>115</v>
      </c>
      <c r="J41" s="165"/>
      <c r="K41" s="1433"/>
      <c r="L41" s="1431" t="str">
        <f t="shared" si="1"/>
        <v>--</v>
      </c>
      <c r="M41" s="1432" t="str">
        <f t="shared" si="2"/>
        <v xml:space="preserve"> </v>
      </c>
      <c r="N41" s="217" t="s">
        <v>115</v>
      </c>
      <c r="O41" s="1436"/>
      <c r="P41" s="507" t="s">
        <v>115</v>
      </c>
      <c r="Q41" s="165"/>
      <c r="R41" s="178" t="s">
        <v>115</v>
      </c>
      <c r="S41" s="225"/>
      <c r="T41" s="1431">
        <f t="shared" si="3"/>
        <v>0.09</v>
      </c>
      <c r="U41" s="1432" t="str">
        <f t="shared" si="4"/>
        <v>IRIS 1990</v>
      </c>
      <c r="V41" s="217" t="s">
        <v>115</v>
      </c>
      <c r="W41" s="161"/>
      <c r="X41" s="179">
        <v>0.09</v>
      </c>
      <c r="Y41" s="165" t="s">
        <v>1229</v>
      </c>
      <c r="Z41" s="687" t="s">
        <v>115</v>
      </c>
      <c r="AA41" s="328"/>
      <c r="AB41" s="1431">
        <f t="shared" si="5"/>
        <v>200</v>
      </c>
      <c r="AC41" s="1432" t="str">
        <f t="shared" si="6"/>
        <v>HEAST 1997</v>
      </c>
      <c r="AD41" s="507" t="s">
        <v>115</v>
      </c>
      <c r="AE41" s="165"/>
      <c r="AF41" s="507" t="s">
        <v>115</v>
      </c>
      <c r="AG41" s="165"/>
      <c r="AH41" s="1437">
        <v>200</v>
      </c>
      <c r="AI41" s="1434" t="s">
        <v>1209</v>
      </c>
      <c r="AJ41" s="402">
        <v>1</v>
      </c>
      <c r="AK41" s="312" t="s">
        <v>115</v>
      </c>
      <c r="AL41" s="402" t="s">
        <v>495</v>
      </c>
      <c r="AM41" s="328">
        <v>4.4600000000000001E-2</v>
      </c>
      <c r="AN41" s="492" t="s">
        <v>1199</v>
      </c>
      <c r="AO41" s="314">
        <v>1</v>
      </c>
      <c r="AP41" s="158">
        <v>0.20797933158577001</v>
      </c>
      <c r="AQ41" s="158">
        <v>0.69992055777343998</v>
      </c>
      <c r="AR41" s="165">
        <v>1.67980933865626</v>
      </c>
      <c r="AS41" s="168" t="s">
        <v>115</v>
      </c>
    </row>
    <row r="42" spans="1:45" ht="12" customHeight="1">
      <c r="A42" s="309" t="s">
        <v>153</v>
      </c>
      <c r="B42" s="427" t="s">
        <v>154</v>
      </c>
      <c r="C42" s="1431">
        <f t="shared" si="7"/>
        <v>5.4000000000000003E-3</v>
      </c>
      <c r="D42" s="1432" t="str">
        <f t="shared" si="0"/>
        <v>OEHHA 2009</v>
      </c>
      <c r="E42" s="328">
        <v>5.4000000000000003E-3</v>
      </c>
      <c r="F42" s="1345" t="s">
        <v>1204</v>
      </c>
      <c r="G42" s="217" t="s">
        <v>115</v>
      </c>
      <c r="H42" s="165"/>
      <c r="I42" s="687" t="s">
        <v>115</v>
      </c>
      <c r="J42" s="165"/>
      <c r="K42" s="1433"/>
      <c r="L42" s="1431">
        <f t="shared" si="1"/>
        <v>1.1E-5</v>
      </c>
      <c r="M42" s="1432" t="str">
        <f t="shared" si="2"/>
        <v>OEHHA 2009</v>
      </c>
      <c r="N42" s="217">
        <v>1.1E-5</v>
      </c>
      <c r="O42" s="1436" t="s">
        <v>1204</v>
      </c>
      <c r="P42" s="507" t="s">
        <v>115</v>
      </c>
      <c r="Q42" s="165"/>
      <c r="R42" s="178" t="s">
        <v>115</v>
      </c>
      <c r="S42" s="225"/>
      <c r="T42" s="1431">
        <f t="shared" si="3"/>
        <v>7.0000000000000007E-2</v>
      </c>
      <c r="U42" s="1432" t="str">
        <f t="shared" si="4"/>
        <v>ATSDR MRL</v>
      </c>
      <c r="V42" s="217" t="s">
        <v>115</v>
      </c>
      <c r="W42" s="161"/>
      <c r="X42" s="507" t="s">
        <v>115</v>
      </c>
      <c r="Y42" s="165"/>
      <c r="Z42" s="485">
        <v>7.0000000000000007E-2</v>
      </c>
      <c r="AA42" s="328" t="s">
        <v>1237</v>
      </c>
      <c r="AB42" s="1431">
        <f t="shared" si="5"/>
        <v>800</v>
      </c>
      <c r="AC42" s="1432" t="str">
        <f t="shared" si="6"/>
        <v>IRIS 1994</v>
      </c>
      <c r="AD42" s="179">
        <v>800</v>
      </c>
      <c r="AE42" s="165" t="s">
        <v>1207</v>
      </c>
      <c r="AF42" s="179">
        <v>800</v>
      </c>
      <c r="AG42" s="165" t="s">
        <v>1238</v>
      </c>
      <c r="AH42" s="1435" t="s">
        <v>115</v>
      </c>
      <c r="AI42" s="1434"/>
      <c r="AJ42" s="402">
        <v>1</v>
      </c>
      <c r="AK42" s="312" t="s">
        <v>115</v>
      </c>
      <c r="AL42" s="402" t="s">
        <v>495</v>
      </c>
      <c r="AM42" s="328">
        <v>4.53E-2</v>
      </c>
      <c r="AN42" s="492" t="s">
        <v>1199</v>
      </c>
      <c r="AO42" s="314">
        <v>1</v>
      </c>
      <c r="AP42" s="158">
        <v>0.21124358118465</v>
      </c>
      <c r="AQ42" s="158">
        <v>0.69992055777343998</v>
      </c>
      <c r="AR42" s="165">
        <v>1.67980933865626</v>
      </c>
      <c r="AS42" s="168" t="s">
        <v>115</v>
      </c>
    </row>
    <row r="43" spans="1:45" ht="12" customHeight="1">
      <c r="A43" s="309" t="s">
        <v>155</v>
      </c>
      <c r="B43" s="427" t="s">
        <v>156</v>
      </c>
      <c r="C43" s="1431">
        <f t="shared" si="7"/>
        <v>1.2</v>
      </c>
      <c r="D43" s="1432" t="str">
        <f t="shared" si="0"/>
        <v>OEHHA 2009</v>
      </c>
      <c r="E43" s="328">
        <v>1.2</v>
      </c>
      <c r="F43" s="1345" t="s">
        <v>1204</v>
      </c>
      <c r="G43" s="328">
        <v>0.45</v>
      </c>
      <c r="H43" s="165" t="s">
        <v>1201</v>
      </c>
      <c r="I43" s="687" t="s">
        <v>115</v>
      </c>
      <c r="J43" s="165"/>
      <c r="K43" s="1433"/>
      <c r="L43" s="1431">
        <f t="shared" si="1"/>
        <v>3.4000000000000002E-4</v>
      </c>
      <c r="M43" s="1432" t="str">
        <f t="shared" si="2"/>
        <v>OEHHA 2009</v>
      </c>
      <c r="N43" s="328">
        <v>3.4000000000000002E-4</v>
      </c>
      <c r="O43" s="1436" t="s">
        <v>1204</v>
      </c>
      <c r="P43" s="507" t="s">
        <v>115</v>
      </c>
      <c r="Q43" s="165"/>
      <c r="R43" s="178" t="s">
        <v>115</v>
      </c>
      <c r="S43" s="225"/>
      <c r="T43" s="1431" t="str">
        <f t="shared" si="3"/>
        <v>--</v>
      </c>
      <c r="U43" s="1432" t="str">
        <f t="shared" si="4"/>
        <v xml:space="preserve"> </v>
      </c>
      <c r="V43" s="217" t="s">
        <v>115</v>
      </c>
      <c r="W43" s="161"/>
      <c r="X43" s="507" t="s">
        <v>115</v>
      </c>
      <c r="Y43" s="165"/>
      <c r="Z43" s="687" t="s">
        <v>115</v>
      </c>
      <c r="AA43" s="328"/>
      <c r="AB43" s="1431" t="str">
        <f t="shared" si="5"/>
        <v>--</v>
      </c>
      <c r="AC43" s="1432" t="str">
        <f t="shared" si="6"/>
        <v xml:space="preserve"> </v>
      </c>
      <c r="AD43" s="507" t="s">
        <v>115</v>
      </c>
      <c r="AE43" s="165"/>
      <c r="AF43" s="507" t="s">
        <v>115</v>
      </c>
      <c r="AG43" s="165"/>
      <c r="AH43" s="1435" t="s">
        <v>115</v>
      </c>
      <c r="AI43" s="1434"/>
      <c r="AJ43" s="402">
        <v>1</v>
      </c>
      <c r="AK43" s="312">
        <v>0.1</v>
      </c>
      <c r="AL43" s="402" t="s">
        <v>495</v>
      </c>
      <c r="AM43" s="328">
        <v>1.2800000000000001E-2</v>
      </c>
      <c r="AN43" s="492" t="s">
        <v>1199</v>
      </c>
      <c r="AO43" s="314">
        <v>1</v>
      </c>
      <c r="AP43" s="158">
        <v>7.8326447806829999E-2</v>
      </c>
      <c r="AQ43" s="158">
        <v>2.7502789801898202</v>
      </c>
      <c r="AR43" s="165">
        <v>6.6006695524555701</v>
      </c>
      <c r="AS43" s="168" t="s">
        <v>115</v>
      </c>
    </row>
    <row r="44" spans="1:45" ht="12" customHeight="1">
      <c r="A44" s="309" t="s">
        <v>157</v>
      </c>
      <c r="B44" s="427" t="s">
        <v>158</v>
      </c>
      <c r="C44" s="1431">
        <f t="shared" si="7"/>
        <v>0.24</v>
      </c>
      <c r="D44" s="1432" t="str">
        <f t="shared" si="0"/>
        <v>IRIS 1988</v>
      </c>
      <c r="E44" s="328">
        <v>0.24</v>
      </c>
      <c r="F44" s="1345" t="s">
        <v>1239</v>
      </c>
      <c r="G44" s="328">
        <v>0.24</v>
      </c>
      <c r="H44" s="165" t="s">
        <v>1217</v>
      </c>
      <c r="I44" s="687" t="s">
        <v>115</v>
      </c>
      <c r="J44" s="165"/>
      <c r="K44" s="1433"/>
      <c r="L44" s="1431">
        <f t="shared" si="1"/>
        <v>6.8999999999999997E-5</v>
      </c>
      <c r="M44" s="1432" t="str">
        <f t="shared" si="2"/>
        <v>OEHHA</v>
      </c>
      <c r="N44" s="328">
        <v>6.8999999999999997E-5</v>
      </c>
      <c r="O44" s="161" t="s">
        <v>1234</v>
      </c>
      <c r="P44" s="507" t="s">
        <v>115</v>
      </c>
      <c r="Q44" s="165"/>
      <c r="R44" s="178" t="s">
        <v>115</v>
      </c>
      <c r="S44" s="225"/>
      <c r="T44" s="1431">
        <f t="shared" si="3"/>
        <v>5.0000000000000001E-4</v>
      </c>
      <c r="U44" s="1432" t="str">
        <f t="shared" si="4"/>
        <v xml:space="preserve">ATSDR  </v>
      </c>
      <c r="V44" s="217" t="s">
        <v>115</v>
      </c>
      <c r="W44" s="161"/>
      <c r="X44" s="507" t="s">
        <v>115</v>
      </c>
      <c r="Y44" s="165"/>
      <c r="Z44" s="687">
        <v>5.0000000000000001E-4</v>
      </c>
      <c r="AA44" s="328" t="s">
        <v>1240</v>
      </c>
      <c r="AB44" s="1431" t="str">
        <f t="shared" si="5"/>
        <v>--</v>
      </c>
      <c r="AC44" s="1432" t="str">
        <f t="shared" si="6"/>
        <v xml:space="preserve"> </v>
      </c>
      <c r="AD44" s="507" t="s">
        <v>115</v>
      </c>
      <c r="AE44" s="165"/>
      <c r="AF44" s="507" t="s">
        <v>115</v>
      </c>
      <c r="AG44" s="165"/>
      <c r="AH44" s="1435" t="s">
        <v>115</v>
      </c>
      <c r="AI44" s="1434"/>
      <c r="AJ44" s="402">
        <v>1</v>
      </c>
      <c r="AK44" s="312">
        <v>0.1</v>
      </c>
      <c r="AL44" s="402" t="s">
        <v>495</v>
      </c>
      <c r="AM44" s="328">
        <v>0.251</v>
      </c>
      <c r="AN44" s="492" t="s">
        <v>1199</v>
      </c>
      <c r="AO44" s="314">
        <v>0.8</v>
      </c>
      <c r="AP44" s="158">
        <v>1.72706741087775</v>
      </c>
      <c r="AQ44" s="158">
        <v>6.5182160246292398</v>
      </c>
      <c r="AR44" s="165">
        <v>26.2267968690931</v>
      </c>
      <c r="AS44" s="168" t="s">
        <v>115</v>
      </c>
    </row>
    <row r="45" spans="1:45" ht="12" customHeight="1">
      <c r="A45" s="309" t="s">
        <v>159</v>
      </c>
      <c r="B45" s="427" t="s">
        <v>160</v>
      </c>
      <c r="C45" s="1431">
        <f t="shared" si="7"/>
        <v>0.34</v>
      </c>
      <c r="D45" s="1432" t="str">
        <f t="shared" si="0"/>
        <v>IRIS 1988</v>
      </c>
      <c r="E45" s="328">
        <v>0.34</v>
      </c>
      <c r="F45" s="1345" t="s">
        <v>1234</v>
      </c>
      <c r="G45" s="328">
        <v>0.34</v>
      </c>
      <c r="H45" s="165" t="s">
        <v>1217</v>
      </c>
      <c r="I45" s="687" t="s">
        <v>115</v>
      </c>
      <c r="J45" s="165"/>
      <c r="K45" s="1433"/>
      <c r="L45" s="1431">
        <f t="shared" si="1"/>
        <v>9.7E-5</v>
      </c>
      <c r="M45" s="1432" t="str">
        <f t="shared" si="2"/>
        <v>OEHHA</v>
      </c>
      <c r="N45" s="328">
        <v>9.7E-5</v>
      </c>
      <c r="O45" s="161" t="s">
        <v>1234</v>
      </c>
      <c r="P45" s="507" t="s">
        <v>115</v>
      </c>
      <c r="Q45" s="165"/>
      <c r="R45" s="178" t="s">
        <v>115</v>
      </c>
      <c r="S45" s="225"/>
      <c r="T45" s="1431">
        <f t="shared" si="3"/>
        <v>5.0000000000000001E-4</v>
      </c>
      <c r="U45" s="1432" t="str">
        <f t="shared" si="4"/>
        <v xml:space="preserve">ATSDR  </v>
      </c>
      <c r="V45" s="217" t="s">
        <v>115</v>
      </c>
      <c r="W45" s="161"/>
      <c r="X45" s="507" t="s">
        <v>115</v>
      </c>
      <c r="Y45" s="165"/>
      <c r="Z45" s="687">
        <v>5.0000000000000001E-4</v>
      </c>
      <c r="AA45" s="328" t="s">
        <v>1240</v>
      </c>
      <c r="AB45" s="1431" t="str">
        <f t="shared" si="5"/>
        <v>--</v>
      </c>
      <c r="AC45" s="1432" t="str">
        <f t="shared" si="6"/>
        <v xml:space="preserve"> </v>
      </c>
      <c r="AD45" s="507" t="s">
        <v>115</v>
      </c>
      <c r="AE45" s="165"/>
      <c r="AF45" s="507" t="s">
        <v>115</v>
      </c>
      <c r="AG45" s="165"/>
      <c r="AH45" s="1435" t="s">
        <v>115</v>
      </c>
      <c r="AI45" s="1434"/>
      <c r="AJ45" s="402">
        <v>1</v>
      </c>
      <c r="AK45" s="312" t="s">
        <v>115</v>
      </c>
      <c r="AL45" s="402" t="s">
        <v>496</v>
      </c>
      <c r="AM45" s="328">
        <v>0.54500000000000004</v>
      </c>
      <c r="AN45" s="492" t="s">
        <v>1199</v>
      </c>
      <c r="AO45" s="314">
        <v>0.8</v>
      </c>
      <c r="AP45" s="158">
        <v>3.7381540857667899</v>
      </c>
      <c r="AQ45" s="158">
        <v>6.3506291076779702</v>
      </c>
      <c r="AR45" s="165">
        <v>27.291554395341301</v>
      </c>
      <c r="AS45" s="168" t="s">
        <v>115</v>
      </c>
    </row>
    <row r="46" spans="1:45" ht="12" customHeight="1">
      <c r="A46" s="309" t="s">
        <v>161</v>
      </c>
      <c r="B46" s="427" t="s">
        <v>162</v>
      </c>
      <c r="C46" s="1431">
        <f t="shared" si="7"/>
        <v>0.34</v>
      </c>
      <c r="D46" s="1432" t="str">
        <f t="shared" si="0"/>
        <v>IRIS 1991</v>
      </c>
      <c r="E46" s="328">
        <v>0.34</v>
      </c>
      <c r="F46" s="1345" t="s">
        <v>1234</v>
      </c>
      <c r="G46" s="328">
        <v>0.34</v>
      </c>
      <c r="H46" s="165" t="s">
        <v>1201</v>
      </c>
      <c r="I46" s="687" t="s">
        <v>115</v>
      </c>
      <c r="J46" s="165"/>
      <c r="K46" s="1433"/>
      <c r="L46" s="1431">
        <f t="shared" si="1"/>
        <v>9.7E-5</v>
      </c>
      <c r="M46" s="1432" t="str">
        <f>IF(L46="--"," ",IF(L46=P46,Q46,IF(L46=N46,O46,S46)))</f>
        <v>OEHHA</v>
      </c>
      <c r="N46" s="328">
        <v>9.7E-5</v>
      </c>
      <c r="O46" s="161" t="s">
        <v>1234</v>
      </c>
      <c r="P46" s="507" t="s">
        <v>115</v>
      </c>
      <c r="Q46" s="165"/>
      <c r="R46" s="178" t="s">
        <v>115</v>
      </c>
      <c r="S46" s="225"/>
      <c r="T46" s="1431">
        <f t="shared" si="3"/>
        <v>5.0000000000000001E-4</v>
      </c>
      <c r="U46" s="1432" t="str">
        <f t="shared" si="4"/>
        <v>IRIS 1991</v>
      </c>
      <c r="V46" s="217" t="s">
        <v>115</v>
      </c>
      <c r="W46" s="161"/>
      <c r="X46" s="179">
        <v>5.0000000000000001E-4</v>
      </c>
      <c r="Y46" s="165" t="s">
        <v>1201</v>
      </c>
      <c r="Z46" s="687" t="s">
        <v>115</v>
      </c>
      <c r="AA46" s="328"/>
      <c r="AB46" s="1431" t="str">
        <f t="shared" si="5"/>
        <v>--</v>
      </c>
      <c r="AC46" s="1432" t="str">
        <f t="shared" si="6"/>
        <v xml:space="preserve"> </v>
      </c>
      <c r="AD46" s="507" t="s">
        <v>115</v>
      </c>
      <c r="AE46" s="165"/>
      <c r="AF46" s="507" t="s">
        <v>115</v>
      </c>
      <c r="AG46" s="165"/>
      <c r="AH46" s="1435" t="s">
        <v>115</v>
      </c>
      <c r="AI46" s="1434"/>
      <c r="AJ46" s="402">
        <v>1</v>
      </c>
      <c r="AK46" s="312">
        <v>0.03</v>
      </c>
      <c r="AL46" s="402" t="s">
        <v>496</v>
      </c>
      <c r="AM46" s="328">
        <v>0.628</v>
      </c>
      <c r="AN46" s="492" t="s">
        <v>1199</v>
      </c>
      <c r="AO46" s="314">
        <v>0.7</v>
      </c>
      <c r="AP46" s="158">
        <v>4.5476631647863996</v>
      </c>
      <c r="AQ46" s="158">
        <v>10.1623172712118</v>
      </c>
      <c r="AR46" s="165">
        <v>44.266796804437</v>
      </c>
      <c r="AS46" s="168" t="s">
        <v>115</v>
      </c>
    </row>
    <row r="47" spans="1:45" s="1" customFormat="1" ht="12" customHeight="1">
      <c r="A47" s="309" t="s">
        <v>163</v>
      </c>
      <c r="B47" s="427" t="s">
        <v>164</v>
      </c>
      <c r="C47" s="1431">
        <f t="shared" si="7"/>
        <v>5.7000000000000002E-3</v>
      </c>
      <c r="D47" s="1432" t="str">
        <f t="shared" si="0"/>
        <v>OEHHA 2009</v>
      </c>
      <c r="E47" s="328">
        <v>5.7000000000000002E-3</v>
      </c>
      <c r="F47" s="1345" t="s">
        <v>1204</v>
      </c>
      <c r="G47" s="217" t="s">
        <v>115</v>
      </c>
      <c r="H47" s="165"/>
      <c r="I47" s="687" t="s">
        <v>115</v>
      </c>
      <c r="J47" s="165"/>
      <c r="K47" s="1433"/>
      <c r="L47" s="1431">
        <f t="shared" si="1"/>
        <v>1.5999999999999999E-6</v>
      </c>
      <c r="M47" s="1432" t="str">
        <f t="shared" si="2"/>
        <v>OEHHA 2009</v>
      </c>
      <c r="N47" s="328">
        <v>1.5999999999999999E-6</v>
      </c>
      <c r="O47" s="161" t="s">
        <v>1204</v>
      </c>
      <c r="P47" s="507" t="s">
        <v>115</v>
      </c>
      <c r="Q47" s="165"/>
      <c r="R47" s="178" t="s">
        <v>115</v>
      </c>
      <c r="S47" s="225"/>
      <c r="T47" s="1431">
        <f t="shared" si="3"/>
        <v>0.2</v>
      </c>
      <c r="U47" s="1432" t="str">
        <f t="shared" si="4"/>
        <v>PPRTV 2006</v>
      </c>
      <c r="V47" s="217" t="s">
        <v>115</v>
      </c>
      <c r="W47" s="161"/>
      <c r="X47" s="507" t="s">
        <v>115</v>
      </c>
      <c r="Y47" s="165"/>
      <c r="Z47" s="485">
        <v>0.2</v>
      </c>
      <c r="AA47" s="328" t="s">
        <v>1230</v>
      </c>
      <c r="AB47" s="1431" t="str">
        <f t="shared" si="5"/>
        <v>--</v>
      </c>
      <c r="AC47" s="1432" t="str">
        <f t="shared" si="6"/>
        <v xml:space="preserve"> </v>
      </c>
      <c r="AD47" s="507" t="s">
        <v>115</v>
      </c>
      <c r="AE47" s="165"/>
      <c r="AF47" s="507" t="s">
        <v>115</v>
      </c>
      <c r="AG47" s="165"/>
      <c r="AH47" s="1435" t="s">
        <v>115</v>
      </c>
      <c r="AI47" s="1434"/>
      <c r="AJ47" s="402">
        <v>1</v>
      </c>
      <c r="AK47" s="312" t="s">
        <v>115</v>
      </c>
      <c r="AL47" s="402" t="s">
        <v>495</v>
      </c>
      <c r="AM47" s="328">
        <v>6.7499999999999999E-3</v>
      </c>
      <c r="AN47" s="492" t="s">
        <v>1199</v>
      </c>
      <c r="AO47" s="314">
        <v>1</v>
      </c>
      <c r="AP47" s="158">
        <v>2.582618562439E-2</v>
      </c>
      <c r="AQ47" s="158">
        <v>0.37672526722851002</v>
      </c>
      <c r="AR47" s="165">
        <v>0.90414064134842997</v>
      </c>
      <c r="AS47" s="168" t="s">
        <v>115</v>
      </c>
    </row>
    <row r="48" spans="1:45" ht="12" customHeight="1">
      <c r="A48" s="309" t="s">
        <v>165</v>
      </c>
      <c r="B48" s="427" t="s">
        <v>166</v>
      </c>
      <c r="C48" s="1431">
        <f t="shared" si="7"/>
        <v>9.0999999999999998E-2</v>
      </c>
      <c r="D48" s="1432" t="str">
        <f t="shared" si="0"/>
        <v>IRIS 1991</v>
      </c>
      <c r="E48" s="328">
        <v>4.7E-2</v>
      </c>
      <c r="F48" s="1345" t="s">
        <v>1204</v>
      </c>
      <c r="G48" s="328">
        <v>9.0999999999999998E-2</v>
      </c>
      <c r="H48" s="165" t="s">
        <v>1201</v>
      </c>
      <c r="I48" s="687" t="s">
        <v>115</v>
      </c>
      <c r="J48" s="165"/>
      <c r="K48" s="1433"/>
      <c r="L48" s="1431">
        <f t="shared" si="1"/>
        <v>2.5999999999999998E-5</v>
      </c>
      <c r="M48" s="1432" t="str">
        <f t="shared" si="2"/>
        <v>IRIS 1991</v>
      </c>
      <c r="N48" s="328">
        <v>2.0999999999999999E-5</v>
      </c>
      <c r="O48" s="161" t="s">
        <v>1204</v>
      </c>
      <c r="P48" s="179">
        <v>2.5999999999999998E-5</v>
      </c>
      <c r="Q48" s="165" t="s">
        <v>1201</v>
      </c>
      <c r="R48" s="178" t="s">
        <v>115</v>
      </c>
      <c r="S48" s="225"/>
      <c r="T48" s="1431">
        <f t="shared" si="3"/>
        <v>6.0000000000000001E-3</v>
      </c>
      <c r="U48" s="1432" t="str">
        <f t="shared" si="4"/>
        <v>PPRTV 2010</v>
      </c>
      <c r="V48" s="217" t="s">
        <v>115</v>
      </c>
      <c r="W48" s="161"/>
      <c r="X48" s="507" t="s">
        <v>115</v>
      </c>
      <c r="Y48" s="165"/>
      <c r="Z48" s="485">
        <v>6.0000000000000001E-3</v>
      </c>
      <c r="AA48" s="328" t="s">
        <v>1241</v>
      </c>
      <c r="AB48" s="1431">
        <f t="shared" si="5"/>
        <v>7</v>
      </c>
      <c r="AC48" s="1432" t="str">
        <f t="shared" si="6"/>
        <v>PPRTV 2010</v>
      </c>
      <c r="AD48" s="179">
        <v>400</v>
      </c>
      <c r="AE48" s="165" t="s">
        <v>1207</v>
      </c>
      <c r="AF48" s="507" t="s">
        <v>115</v>
      </c>
      <c r="AG48" s="165"/>
      <c r="AH48" s="1437">
        <v>7</v>
      </c>
      <c r="AI48" s="1434" t="s">
        <v>1241</v>
      </c>
      <c r="AJ48" s="402">
        <v>1</v>
      </c>
      <c r="AK48" s="312" t="s">
        <v>115</v>
      </c>
      <c r="AL48" s="402" t="s">
        <v>495</v>
      </c>
      <c r="AM48" s="328">
        <v>4.1999999999999997E-3</v>
      </c>
      <c r="AN48" s="492" t="s">
        <v>1199</v>
      </c>
      <c r="AO48" s="314">
        <v>1</v>
      </c>
      <c r="AP48" s="158">
        <v>1.6069626610730001E-2</v>
      </c>
      <c r="AQ48" s="158">
        <v>0.37672526722851002</v>
      </c>
      <c r="AR48" s="165">
        <v>0.90414064134842997</v>
      </c>
      <c r="AS48" s="168" t="s">
        <v>115</v>
      </c>
    </row>
    <row r="49" spans="1:45" ht="12" customHeight="1">
      <c r="A49" s="309" t="s">
        <v>167</v>
      </c>
      <c r="B49" s="427" t="s">
        <v>168</v>
      </c>
      <c r="C49" s="1431" t="str">
        <f t="shared" si="7"/>
        <v>--</v>
      </c>
      <c r="D49" s="1432" t="str">
        <f t="shared" si="0"/>
        <v xml:space="preserve"> </v>
      </c>
      <c r="E49" s="687" t="s">
        <v>115</v>
      </c>
      <c r="F49" s="1345"/>
      <c r="G49" s="687" t="s">
        <v>115</v>
      </c>
      <c r="H49" s="165"/>
      <c r="I49" s="687" t="s">
        <v>115</v>
      </c>
      <c r="J49" s="165"/>
      <c r="K49" s="1433"/>
      <c r="L49" s="1431" t="str">
        <f t="shared" si="1"/>
        <v>--</v>
      </c>
      <c r="M49" s="1432" t="str">
        <f t="shared" si="2"/>
        <v xml:space="preserve"> </v>
      </c>
      <c r="N49" s="217" t="s">
        <v>115</v>
      </c>
      <c r="O49" s="1436"/>
      <c r="P49" s="507" t="s">
        <v>115</v>
      </c>
      <c r="Q49" s="165"/>
      <c r="R49" s="178" t="s">
        <v>115</v>
      </c>
      <c r="S49" s="225"/>
      <c r="T49" s="1431">
        <f t="shared" si="3"/>
        <v>0.05</v>
      </c>
      <c r="U49" s="1432" t="str">
        <f t="shared" si="4"/>
        <v>IRIS 2002</v>
      </c>
      <c r="V49" s="217" t="s">
        <v>115</v>
      </c>
      <c r="W49" s="161"/>
      <c r="X49" s="179">
        <v>0.05</v>
      </c>
      <c r="Y49" s="165" t="s">
        <v>1242</v>
      </c>
      <c r="Z49" s="687" t="s">
        <v>115</v>
      </c>
      <c r="AA49" s="328"/>
      <c r="AB49" s="1431">
        <f>AH49</f>
        <v>3.96</v>
      </c>
      <c r="AC49" s="1432" t="str">
        <f t="shared" si="6"/>
        <v>ATSDR*</v>
      </c>
      <c r="AD49" s="179">
        <v>70</v>
      </c>
      <c r="AE49" s="165" t="s">
        <v>1207</v>
      </c>
      <c r="AF49" s="1439">
        <v>200</v>
      </c>
      <c r="AG49" s="692" t="s">
        <v>1242</v>
      </c>
      <c r="AH49" s="688">
        <v>3.96</v>
      </c>
      <c r="AI49" s="355" t="s">
        <v>1243</v>
      </c>
      <c r="AJ49" s="402">
        <v>1</v>
      </c>
      <c r="AK49" s="312" t="s">
        <v>115</v>
      </c>
      <c r="AL49" s="402" t="s">
        <v>495</v>
      </c>
      <c r="AM49" s="328">
        <v>1.17E-2</v>
      </c>
      <c r="AN49" s="492" t="s">
        <v>1199</v>
      </c>
      <c r="AO49" s="314">
        <v>1</v>
      </c>
      <c r="AP49" s="158">
        <v>4.4307064899399999E-2</v>
      </c>
      <c r="AQ49" s="158">
        <v>0.36705838514296002</v>
      </c>
      <c r="AR49" s="165">
        <v>0.88094012434309998</v>
      </c>
      <c r="AS49" s="168" t="s">
        <v>115</v>
      </c>
    </row>
    <row r="50" spans="1:45" ht="12" customHeight="1">
      <c r="A50" s="309" t="s">
        <v>169</v>
      </c>
      <c r="B50" s="427" t="s">
        <v>170</v>
      </c>
      <c r="C50" s="1431" t="str">
        <f t="shared" si="7"/>
        <v>--</v>
      </c>
      <c r="D50" s="1432" t="str">
        <f t="shared" si="0"/>
        <v xml:space="preserve"> </v>
      </c>
      <c r="E50" s="687" t="s">
        <v>115</v>
      </c>
      <c r="F50" s="1345"/>
      <c r="G50" s="687" t="s">
        <v>115</v>
      </c>
      <c r="H50" s="165"/>
      <c r="I50" s="687" t="s">
        <v>115</v>
      </c>
      <c r="J50" s="165"/>
      <c r="K50" s="1433"/>
      <c r="L50" s="1431" t="str">
        <f t="shared" si="1"/>
        <v>--</v>
      </c>
      <c r="M50" s="1432" t="str">
        <f t="shared" si="2"/>
        <v xml:space="preserve"> </v>
      </c>
      <c r="N50" s="217" t="s">
        <v>115</v>
      </c>
      <c r="O50" s="1436"/>
      <c r="P50" s="507" t="s">
        <v>115</v>
      </c>
      <c r="Q50" s="165"/>
      <c r="R50" s="178" t="s">
        <v>115</v>
      </c>
      <c r="S50" s="225"/>
      <c r="T50" s="1431">
        <f t="shared" si="3"/>
        <v>2E-3</v>
      </c>
      <c r="U50" s="1432" t="str">
        <f t="shared" si="4"/>
        <v>IRIS 2010</v>
      </c>
      <c r="V50" s="217" t="s">
        <v>115</v>
      </c>
      <c r="W50" s="161"/>
      <c r="X50" s="179">
        <v>2E-3</v>
      </c>
      <c r="Y50" s="165" t="s">
        <v>1226</v>
      </c>
      <c r="Z50" s="687" t="s">
        <v>115</v>
      </c>
      <c r="AA50" s="328"/>
      <c r="AB50" s="1431">
        <f t="shared" si="5"/>
        <v>40</v>
      </c>
      <c r="AC50" s="1432" t="str">
        <f t="shared" si="6"/>
        <v>PPRTV 2022</v>
      </c>
      <c r="AD50" s="507" t="s">
        <v>115</v>
      </c>
      <c r="AE50" s="165"/>
      <c r="AF50" s="507" t="s">
        <v>115</v>
      </c>
      <c r="AG50" s="165"/>
      <c r="AH50" s="1435">
        <v>40</v>
      </c>
      <c r="AI50" s="1434" t="s">
        <v>1244</v>
      </c>
      <c r="AJ50" s="402">
        <v>1</v>
      </c>
      <c r="AK50" s="312" t="s">
        <v>115</v>
      </c>
      <c r="AL50" s="402" t="s">
        <v>495</v>
      </c>
      <c r="AM50" s="328">
        <v>1.0999999999999999E-2</v>
      </c>
      <c r="AN50" s="492" t="s">
        <v>1199</v>
      </c>
      <c r="AO50" s="314">
        <v>1</v>
      </c>
      <c r="AP50" s="158">
        <v>4.165621486269E-2</v>
      </c>
      <c r="AQ50" s="158">
        <v>0.36705838514296002</v>
      </c>
      <c r="AR50" s="165">
        <v>0.88094012434309998</v>
      </c>
      <c r="AS50" s="168" t="s">
        <v>115</v>
      </c>
    </row>
    <row r="51" spans="1:45" ht="12" customHeight="1">
      <c r="A51" s="309" t="s">
        <v>171</v>
      </c>
      <c r="B51" s="427" t="s">
        <v>172</v>
      </c>
      <c r="C51" s="1431" t="str">
        <f t="shared" si="7"/>
        <v>--</v>
      </c>
      <c r="D51" s="1432" t="str">
        <f t="shared" si="0"/>
        <v xml:space="preserve"> </v>
      </c>
      <c r="E51" s="687" t="s">
        <v>115</v>
      </c>
      <c r="F51" s="1345"/>
      <c r="G51" s="687" t="s">
        <v>115</v>
      </c>
      <c r="H51" s="165"/>
      <c r="I51" s="687" t="s">
        <v>115</v>
      </c>
      <c r="J51" s="165"/>
      <c r="K51" s="1433"/>
      <c r="L51" s="1431" t="str">
        <f t="shared" si="1"/>
        <v>--</v>
      </c>
      <c r="M51" s="1432" t="str">
        <f t="shared" si="2"/>
        <v xml:space="preserve"> </v>
      </c>
      <c r="N51" s="217" t="s">
        <v>115</v>
      </c>
      <c r="O51" s="1436"/>
      <c r="P51" s="507" t="s">
        <v>115</v>
      </c>
      <c r="Q51" s="165"/>
      <c r="R51" s="178" t="s">
        <v>115</v>
      </c>
      <c r="S51" s="225"/>
      <c r="T51" s="1431">
        <f t="shared" si="3"/>
        <v>0.02</v>
      </c>
      <c r="U51" s="1432" t="str">
        <f t="shared" si="4"/>
        <v>IRIS 2010</v>
      </c>
      <c r="V51" s="217" t="s">
        <v>115</v>
      </c>
      <c r="W51" s="161"/>
      <c r="X51" s="179">
        <v>0.02</v>
      </c>
      <c r="Y51" s="165" t="s">
        <v>1226</v>
      </c>
      <c r="Z51" s="687" t="s">
        <v>115</v>
      </c>
      <c r="AA51" s="328"/>
      <c r="AB51" s="1431">
        <f t="shared" si="5"/>
        <v>40</v>
      </c>
      <c r="AC51" s="1432" t="str">
        <f t="shared" si="6"/>
        <v>PPRTV 2020</v>
      </c>
      <c r="AD51" s="507" t="s">
        <v>115</v>
      </c>
      <c r="AE51" s="165"/>
      <c r="AF51" s="507" t="s">
        <v>115</v>
      </c>
      <c r="AG51" s="165"/>
      <c r="AH51" s="1435">
        <v>40</v>
      </c>
      <c r="AI51" s="1434" t="s">
        <v>1245</v>
      </c>
      <c r="AJ51" s="402">
        <v>1</v>
      </c>
      <c r="AK51" s="312" t="s">
        <v>115</v>
      </c>
      <c r="AL51" s="402" t="s">
        <v>495</v>
      </c>
      <c r="AM51" s="328">
        <v>1.0999999999999999E-2</v>
      </c>
      <c r="AN51" s="492" t="s">
        <v>1199</v>
      </c>
      <c r="AO51" s="314">
        <v>1</v>
      </c>
      <c r="AP51" s="158">
        <v>4.165621486269E-2</v>
      </c>
      <c r="AQ51" s="158">
        <v>0.36705838514296002</v>
      </c>
      <c r="AR51" s="165">
        <v>0.88094012434309998</v>
      </c>
      <c r="AS51" s="168" t="s">
        <v>115</v>
      </c>
    </row>
    <row r="52" spans="1:45" ht="12" customHeight="1">
      <c r="A52" s="309" t="s">
        <v>173</v>
      </c>
      <c r="B52" s="427" t="s">
        <v>174</v>
      </c>
      <c r="C52" s="1431" t="str">
        <f t="shared" si="7"/>
        <v>--</v>
      </c>
      <c r="D52" s="1432" t="str">
        <f t="shared" si="0"/>
        <v xml:space="preserve"> </v>
      </c>
      <c r="E52" s="687" t="s">
        <v>115</v>
      </c>
      <c r="F52" s="1345"/>
      <c r="G52" s="687" t="s">
        <v>115</v>
      </c>
      <c r="H52" s="165"/>
      <c r="I52" s="687" t="s">
        <v>115</v>
      </c>
      <c r="J52" s="165"/>
      <c r="K52" s="1433"/>
      <c r="L52" s="1431" t="str">
        <f t="shared" si="1"/>
        <v>--</v>
      </c>
      <c r="M52" s="1432" t="str">
        <f t="shared" si="2"/>
        <v xml:space="preserve"> </v>
      </c>
      <c r="N52" s="217" t="s">
        <v>115</v>
      </c>
      <c r="O52" s="1436"/>
      <c r="P52" s="507" t="s">
        <v>115</v>
      </c>
      <c r="Q52" s="165"/>
      <c r="R52" s="178" t="s">
        <v>115</v>
      </c>
      <c r="S52" s="225"/>
      <c r="T52" s="1431">
        <f t="shared" si="3"/>
        <v>3.0000000000000001E-3</v>
      </c>
      <c r="U52" s="1432" t="str">
        <f t="shared" si="4"/>
        <v>IRIS 1988</v>
      </c>
      <c r="V52" s="217" t="s">
        <v>115</v>
      </c>
      <c r="W52" s="161"/>
      <c r="X52" s="179">
        <v>3.0000000000000001E-3</v>
      </c>
      <c r="Y52" s="165" t="s">
        <v>1217</v>
      </c>
      <c r="Z52" s="687" t="s">
        <v>115</v>
      </c>
      <c r="AA52" s="328"/>
      <c r="AB52" s="1431" t="str">
        <f t="shared" si="5"/>
        <v>--</v>
      </c>
      <c r="AC52" s="1432" t="str">
        <f t="shared" si="6"/>
        <v xml:space="preserve"> </v>
      </c>
      <c r="AD52" s="507" t="s">
        <v>115</v>
      </c>
      <c r="AE52" s="165"/>
      <c r="AF52" s="507" t="s">
        <v>115</v>
      </c>
      <c r="AG52" s="165"/>
      <c r="AH52" s="1435" t="s">
        <v>115</v>
      </c>
      <c r="AI52" s="1434"/>
      <c r="AJ52" s="402">
        <v>1</v>
      </c>
      <c r="AK52" s="312">
        <v>0.1</v>
      </c>
      <c r="AL52" s="402" t="s">
        <v>495</v>
      </c>
      <c r="AM52" s="328">
        <v>2.06E-2</v>
      </c>
      <c r="AN52" s="492" t="s">
        <v>1199</v>
      </c>
      <c r="AO52" s="314">
        <v>1</v>
      </c>
      <c r="AP52" s="158">
        <v>0.10115507457575</v>
      </c>
      <c r="AQ52" s="158">
        <v>0.86029767582779004</v>
      </c>
      <c r="AR52" s="165">
        <v>2.06471442198669</v>
      </c>
      <c r="AS52" s="168" t="s">
        <v>115</v>
      </c>
    </row>
    <row r="53" spans="1:45" ht="12" customHeight="1">
      <c r="A53" s="309" t="s">
        <v>175</v>
      </c>
      <c r="B53" s="427" t="s">
        <v>176</v>
      </c>
      <c r="C53" s="1431">
        <f t="shared" si="7"/>
        <v>3.6999999999999998E-2</v>
      </c>
      <c r="D53" s="1432" t="str">
        <f t="shared" si="0"/>
        <v>PPRTV</v>
      </c>
      <c r="E53" s="328">
        <v>3.5999999999999997E-2</v>
      </c>
      <c r="F53" s="1345" t="s">
        <v>1246</v>
      </c>
      <c r="G53" s="217" t="s">
        <v>115</v>
      </c>
      <c r="H53" s="165"/>
      <c r="I53" s="1435">
        <v>3.6999999999999998E-2</v>
      </c>
      <c r="J53" s="1441" t="s">
        <v>1247</v>
      </c>
      <c r="K53" s="1442"/>
      <c r="L53" s="1431">
        <f t="shared" si="1"/>
        <v>3.7000000000000002E-6</v>
      </c>
      <c r="M53" s="1432" t="str">
        <f t="shared" si="2"/>
        <v>PPRTV</v>
      </c>
      <c r="N53" s="217" t="s">
        <v>115</v>
      </c>
      <c r="O53" s="1436"/>
      <c r="P53" s="507" t="s">
        <v>115</v>
      </c>
      <c r="Q53" s="165"/>
      <c r="R53" s="1443">
        <v>3.7000000000000002E-6</v>
      </c>
      <c r="S53" s="225" t="s">
        <v>1247</v>
      </c>
      <c r="T53" s="1431">
        <f t="shared" si="3"/>
        <v>0.04</v>
      </c>
      <c r="U53" s="1432" t="str">
        <f t="shared" si="4"/>
        <v>PPRTV 2016</v>
      </c>
      <c r="V53" s="217" t="s">
        <v>115</v>
      </c>
      <c r="W53" s="161"/>
      <c r="X53" s="507" t="s">
        <v>115</v>
      </c>
      <c r="Y53" s="165"/>
      <c r="Z53" s="485">
        <v>0.04</v>
      </c>
      <c r="AA53" s="328" t="s">
        <v>1248</v>
      </c>
      <c r="AB53" s="1431">
        <f t="shared" si="5"/>
        <v>4</v>
      </c>
      <c r="AC53" s="1432" t="str">
        <f t="shared" si="6"/>
        <v>IRIS 1991</v>
      </c>
      <c r="AD53" s="507" t="s">
        <v>115</v>
      </c>
      <c r="AE53" s="165"/>
      <c r="AF53" s="507">
        <v>4</v>
      </c>
      <c r="AG53" s="165" t="s">
        <v>1201</v>
      </c>
      <c r="AH53" s="1435" t="s">
        <v>115</v>
      </c>
      <c r="AI53" s="1434"/>
      <c r="AJ53" s="402">
        <v>1</v>
      </c>
      <c r="AK53" s="312" t="s">
        <v>115</v>
      </c>
      <c r="AL53" s="402" t="s">
        <v>495</v>
      </c>
      <c r="AM53" s="328">
        <v>7.5300000000000002E-3</v>
      </c>
      <c r="AN53" s="492" t="s">
        <v>1199</v>
      </c>
      <c r="AO53" s="314">
        <v>1</v>
      </c>
      <c r="AP53" s="158">
        <v>3.0785175414410001E-2</v>
      </c>
      <c r="AQ53" s="158">
        <v>0.45143242470886003</v>
      </c>
      <c r="AR53" s="165">
        <v>1.0834378193012699</v>
      </c>
      <c r="AS53" s="168" t="s">
        <v>115</v>
      </c>
    </row>
    <row r="54" spans="1:45" ht="12" customHeight="1">
      <c r="A54" s="309" t="s">
        <v>177</v>
      </c>
      <c r="B54" s="427" t="s">
        <v>178</v>
      </c>
      <c r="C54" s="1431">
        <f t="shared" si="7"/>
        <v>0.1</v>
      </c>
      <c r="D54" s="1432" t="str">
        <f t="shared" si="0"/>
        <v>IRIS 2000</v>
      </c>
      <c r="E54" s="328">
        <v>9.0999999999999998E-2</v>
      </c>
      <c r="F54" s="1345" t="s">
        <v>1246</v>
      </c>
      <c r="G54" s="328">
        <v>0.1</v>
      </c>
      <c r="H54" s="165" t="s">
        <v>1249</v>
      </c>
      <c r="I54" s="687" t="s">
        <v>115</v>
      </c>
      <c r="J54" s="165"/>
      <c r="K54" s="1433"/>
      <c r="L54" s="1431">
        <f t="shared" si="1"/>
        <v>3.9999999999999998E-6</v>
      </c>
      <c r="M54" s="1432" t="str">
        <f t="shared" si="2"/>
        <v>IRIS 2000</v>
      </c>
      <c r="N54" s="217" t="s">
        <v>115</v>
      </c>
      <c r="O54" s="1436"/>
      <c r="P54" s="179">
        <v>3.9999999999999998E-6</v>
      </c>
      <c r="Q54" s="165" t="s">
        <v>1249</v>
      </c>
      <c r="R54" s="178" t="s">
        <v>115</v>
      </c>
      <c r="S54" s="225"/>
      <c r="T54" s="1431">
        <f t="shared" si="3"/>
        <v>0.03</v>
      </c>
      <c r="U54" s="1432" t="str">
        <f t="shared" si="4"/>
        <v>IRIS 2000</v>
      </c>
      <c r="V54" s="217" t="s">
        <v>115</v>
      </c>
      <c r="W54" s="161"/>
      <c r="X54" s="179">
        <v>0.03</v>
      </c>
      <c r="Y54" s="165" t="s">
        <v>1249</v>
      </c>
      <c r="Z54" s="687" t="s">
        <v>115</v>
      </c>
      <c r="AA54" s="328"/>
      <c r="AB54" s="1431">
        <f t="shared" si="5"/>
        <v>20</v>
      </c>
      <c r="AC54" s="1432" t="str">
        <f t="shared" si="6"/>
        <v>IRIS 2000</v>
      </c>
      <c r="AD54" s="507" t="s">
        <v>115</v>
      </c>
      <c r="AE54" s="165"/>
      <c r="AF54" s="507">
        <v>20</v>
      </c>
      <c r="AG54" s="165" t="s">
        <v>1249</v>
      </c>
      <c r="AH54" s="1435" t="s">
        <v>115</v>
      </c>
      <c r="AI54" s="1434"/>
      <c r="AJ54" s="402">
        <v>1</v>
      </c>
      <c r="AK54" s="312" t="s">
        <v>115</v>
      </c>
      <c r="AL54" s="402" t="s">
        <v>495</v>
      </c>
      <c r="AM54" s="328">
        <v>8.3400000000000002E-3</v>
      </c>
      <c r="AN54" s="492" t="s">
        <v>1199</v>
      </c>
      <c r="AO54" s="314">
        <v>1</v>
      </c>
      <c r="AP54" s="158">
        <v>3.3790568280720003E-2</v>
      </c>
      <c r="AQ54" s="158">
        <v>0.43982584892449</v>
      </c>
      <c r="AR54" s="165">
        <v>1.0555820374187701</v>
      </c>
      <c r="AS54" s="168" t="s">
        <v>115</v>
      </c>
    </row>
    <row r="55" spans="1:45" ht="12" customHeight="1">
      <c r="A55" s="309" t="s">
        <v>179</v>
      </c>
      <c r="B55" s="427" t="s">
        <v>180</v>
      </c>
      <c r="C55" s="1431">
        <f t="shared" si="7"/>
        <v>16</v>
      </c>
      <c r="D55" s="1432" t="str">
        <f t="shared" si="0"/>
        <v>IRIS 1991</v>
      </c>
      <c r="E55" s="328">
        <v>16</v>
      </c>
      <c r="F55" s="1345" t="s">
        <v>1200</v>
      </c>
      <c r="G55" s="328">
        <v>16</v>
      </c>
      <c r="H55" s="165" t="s">
        <v>1201</v>
      </c>
      <c r="I55" s="687" t="s">
        <v>115</v>
      </c>
      <c r="J55" s="165"/>
      <c r="K55" s="1433"/>
      <c r="L55" s="1431">
        <f t="shared" si="1"/>
        <v>4.5999999999999999E-3</v>
      </c>
      <c r="M55" s="1432" t="str">
        <f t="shared" si="2"/>
        <v>OEHHA 1988</v>
      </c>
      <c r="N55" s="328">
        <v>4.5999999999999999E-3</v>
      </c>
      <c r="O55" s="161" t="s">
        <v>1200</v>
      </c>
      <c r="P55" s="179">
        <v>4.6E-6</v>
      </c>
      <c r="Q55" s="165" t="s">
        <v>1201</v>
      </c>
      <c r="R55" s="178" t="s">
        <v>115</v>
      </c>
      <c r="S55" s="225"/>
      <c r="T55" s="1431">
        <f t="shared" si="3"/>
        <v>5.0000000000000002E-5</v>
      </c>
      <c r="U55" s="1432" t="str">
        <f t="shared" si="4"/>
        <v>IRIS 1991</v>
      </c>
      <c r="V55" s="217" t="s">
        <v>115</v>
      </c>
      <c r="W55" s="161"/>
      <c r="X55" s="179">
        <v>5.0000000000000002E-5</v>
      </c>
      <c r="Y55" s="165" t="s">
        <v>1201</v>
      </c>
      <c r="Z55" s="687" t="s">
        <v>115</v>
      </c>
      <c r="AA55" s="328"/>
      <c r="AB55" s="1431" t="str">
        <f t="shared" si="5"/>
        <v>--</v>
      </c>
      <c r="AC55" s="1432" t="str">
        <f t="shared" si="6"/>
        <v xml:space="preserve"> </v>
      </c>
      <c r="AD55" s="507" t="s">
        <v>115</v>
      </c>
      <c r="AE55" s="165"/>
      <c r="AF55" s="507" t="s">
        <v>115</v>
      </c>
      <c r="AG55" s="165"/>
      <c r="AH55" s="1435" t="s">
        <v>115</v>
      </c>
      <c r="AI55" s="1434"/>
      <c r="AJ55" s="402">
        <v>1</v>
      </c>
      <c r="AK55" s="312">
        <v>0.1</v>
      </c>
      <c r="AL55" s="402" t="s">
        <v>495</v>
      </c>
      <c r="AM55" s="328">
        <v>3.2599999999999997E-2</v>
      </c>
      <c r="AN55" s="492" t="s">
        <v>1199</v>
      </c>
      <c r="AO55" s="314">
        <v>0.8</v>
      </c>
      <c r="AP55" s="158">
        <v>0.24471209735466001</v>
      </c>
      <c r="AQ55" s="158">
        <v>14.287121880278701</v>
      </c>
      <c r="AR55" s="165">
        <v>34.289092512668802</v>
      </c>
      <c r="AS55" s="168" t="s">
        <v>115</v>
      </c>
    </row>
    <row r="56" spans="1:45" ht="12" customHeight="1">
      <c r="A56" s="309" t="s">
        <v>181</v>
      </c>
      <c r="B56" s="427" t="s">
        <v>182</v>
      </c>
      <c r="C56" s="1431" t="str">
        <f t="shared" si="7"/>
        <v>--</v>
      </c>
      <c r="D56" s="1432" t="str">
        <f t="shared" si="0"/>
        <v xml:space="preserve"> </v>
      </c>
      <c r="E56" s="687" t="s">
        <v>115</v>
      </c>
      <c r="F56" s="1345"/>
      <c r="G56" s="687" t="s">
        <v>115</v>
      </c>
      <c r="H56" s="165"/>
      <c r="I56" s="687" t="s">
        <v>115</v>
      </c>
      <c r="J56" s="165"/>
      <c r="K56" s="1433"/>
      <c r="L56" s="1431" t="str">
        <f t="shared" si="1"/>
        <v>--</v>
      </c>
      <c r="M56" s="1432" t="str">
        <f t="shared" si="2"/>
        <v xml:space="preserve"> </v>
      </c>
      <c r="N56" s="217" t="s">
        <v>115</v>
      </c>
      <c r="O56" s="1436"/>
      <c r="P56" s="507" t="s">
        <v>115</v>
      </c>
      <c r="Q56" s="165"/>
      <c r="R56" s="178" t="s">
        <v>115</v>
      </c>
      <c r="S56" s="225"/>
      <c r="T56" s="1431">
        <f t="shared" si="3"/>
        <v>0.8</v>
      </c>
      <c r="U56" s="1432" t="str">
        <f t="shared" si="4"/>
        <v>IRIS 1988</v>
      </c>
      <c r="V56" s="217" t="s">
        <v>115</v>
      </c>
      <c r="W56" s="161"/>
      <c r="X56" s="179">
        <v>0.8</v>
      </c>
      <c r="Y56" s="165" t="s">
        <v>1217</v>
      </c>
      <c r="Z56" s="687" t="s">
        <v>115</v>
      </c>
      <c r="AA56" s="328"/>
      <c r="AB56" s="1431" t="str">
        <f t="shared" si="5"/>
        <v>--</v>
      </c>
      <c r="AC56" s="1432" t="str">
        <f t="shared" si="6"/>
        <v xml:space="preserve"> </v>
      </c>
      <c r="AD56" s="507" t="s">
        <v>115</v>
      </c>
      <c r="AE56" s="165"/>
      <c r="AF56" s="507" t="s">
        <v>115</v>
      </c>
      <c r="AG56" s="165"/>
      <c r="AH56" s="1435" t="s">
        <v>115</v>
      </c>
      <c r="AI56" s="1434"/>
      <c r="AJ56" s="402">
        <v>1</v>
      </c>
      <c r="AK56" s="312">
        <v>0.1</v>
      </c>
      <c r="AL56" s="402" t="s">
        <v>495</v>
      </c>
      <c r="AM56" s="328">
        <v>3.5999999999999999E-3</v>
      </c>
      <c r="AN56" s="492" t="s">
        <v>1199</v>
      </c>
      <c r="AO56" s="314">
        <v>1</v>
      </c>
      <c r="AP56" s="158">
        <v>2.06414530932E-2</v>
      </c>
      <c r="AQ56" s="158">
        <v>1.8466846940203501</v>
      </c>
      <c r="AR56" s="165">
        <v>4.4320432656488498</v>
      </c>
      <c r="AS56" s="168" t="s">
        <v>115</v>
      </c>
    </row>
    <row r="57" spans="1:45" ht="12" customHeight="1">
      <c r="A57" s="309" t="s">
        <v>183</v>
      </c>
      <c r="B57" s="427" t="s">
        <v>184</v>
      </c>
      <c r="C57" s="1431" t="str">
        <f t="shared" si="7"/>
        <v>--</v>
      </c>
      <c r="D57" s="1432" t="str">
        <f t="shared" si="0"/>
        <v xml:space="preserve"> </v>
      </c>
      <c r="E57" s="687" t="s">
        <v>115</v>
      </c>
      <c r="F57" s="1345"/>
      <c r="G57" s="687" t="s">
        <v>115</v>
      </c>
      <c r="H57" s="165"/>
      <c r="I57" s="687" t="s">
        <v>115</v>
      </c>
      <c r="J57" s="165"/>
      <c r="K57" s="1433"/>
      <c r="L57" s="1431" t="str">
        <f t="shared" si="1"/>
        <v>--</v>
      </c>
      <c r="M57" s="1432" t="str">
        <f t="shared" si="2"/>
        <v xml:space="preserve"> </v>
      </c>
      <c r="N57" s="217" t="s">
        <v>115</v>
      </c>
      <c r="O57" s="1436"/>
      <c r="P57" s="507" t="s">
        <v>115</v>
      </c>
      <c r="Q57" s="165"/>
      <c r="R57" s="178" t="s">
        <v>115</v>
      </c>
      <c r="S57" s="225"/>
      <c r="T57" s="1431">
        <f t="shared" si="3"/>
        <v>0.02</v>
      </c>
      <c r="U57" s="1432" t="str">
        <f t="shared" si="4"/>
        <v>IRIS 1990</v>
      </c>
      <c r="V57" s="217" t="s">
        <v>115</v>
      </c>
      <c r="W57" s="161"/>
      <c r="X57" s="179">
        <v>0.02</v>
      </c>
      <c r="Y57" s="165" t="s">
        <v>1229</v>
      </c>
      <c r="Z57" s="687" t="s">
        <v>115</v>
      </c>
      <c r="AA57" s="328"/>
      <c r="AB57" s="1431" t="str">
        <f t="shared" si="5"/>
        <v>--</v>
      </c>
      <c r="AC57" s="1432" t="str">
        <f t="shared" si="6"/>
        <v xml:space="preserve"> </v>
      </c>
      <c r="AD57" s="507" t="s">
        <v>115</v>
      </c>
      <c r="AE57" s="165"/>
      <c r="AF57" s="507" t="s">
        <v>115</v>
      </c>
      <c r="AG57" s="165"/>
      <c r="AH57" s="1435" t="s">
        <v>115</v>
      </c>
      <c r="AI57" s="1434"/>
      <c r="AJ57" s="402">
        <v>1</v>
      </c>
      <c r="AK57" s="312">
        <v>0.1</v>
      </c>
      <c r="AL57" s="402" t="s">
        <v>495</v>
      </c>
      <c r="AM57" s="328">
        <v>1.09E-2</v>
      </c>
      <c r="AN57" s="492" t="s">
        <v>1199</v>
      </c>
      <c r="AO57" s="314">
        <v>1</v>
      </c>
      <c r="AP57" s="158">
        <v>4.6337802790549998E-2</v>
      </c>
      <c r="AQ57" s="158">
        <v>0.50816031967269004</v>
      </c>
      <c r="AR57" s="165">
        <v>1.21958476721446</v>
      </c>
      <c r="AS57" s="168" t="s">
        <v>115</v>
      </c>
    </row>
    <row r="58" spans="1:45" ht="12" customHeight="1">
      <c r="A58" s="309" t="s">
        <v>185</v>
      </c>
      <c r="B58" s="427" t="s">
        <v>186</v>
      </c>
      <c r="C58" s="1431" t="str">
        <f t="shared" si="7"/>
        <v>--</v>
      </c>
      <c r="D58" s="1432" t="str">
        <f t="shared" si="0"/>
        <v xml:space="preserve"> </v>
      </c>
      <c r="E58" s="687" t="s">
        <v>115</v>
      </c>
      <c r="F58" s="1345"/>
      <c r="G58" s="687" t="s">
        <v>115</v>
      </c>
      <c r="H58" s="165"/>
      <c r="I58" s="687" t="s">
        <v>115</v>
      </c>
      <c r="J58" s="165"/>
      <c r="K58" s="1433"/>
      <c r="L58" s="1431" t="str">
        <f t="shared" si="1"/>
        <v>--</v>
      </c>
      <c r="M58" s="1432" t="str">
        <f t="shared" si="2"/>
        <v xml:space="preserve"> </v>
      </c>
      <c r="N58" s="217" t="s">
        <v>115</v>
      </c>
      <c r="O58" s="1436"/>
      <c r="P58" s="507" t="s">
        <v>115</v>
      </c>
      <c r="Q58" s="165"/>
      <c r="R58" s="178" t="s">
        <v>115</v>
      </c>
      <c r="S58" s="225"/>
      <c r="T58" s="1431">
        <f t="shared" si="3"/>
        <v>2E-3</v>
      </c>
      <c r="U58" s="1432" t="str">
        <f t="shared" si="4"/>
        <v>IRIS 1991</v>
      </c>
      <c r="V58" s="217" t="s">
        <v>115</v>
      </c>
      <c r="W58" s="161"/>
      <c r="X58" s="179">
        <v>2E-3</v>
      </c>
      <c r="Y58" s="165" t="s">
        <v>1201</v>
      </c>
      <c r="Z58" s="687" t="s">
        <v>115</v>
      </c>
      <c r="AA58" s="328"/>
      <c r="AB58" s="1431" t="str">
        <f t="shared" si="5"/>
        <v>--</v>
      </c>
      <c r="AC58" s="1432" t="str">
        <f t="shared" si="6"/>
        <v xml:space="preserve"> </v>
      </c>
      <c r="AD58" s="507" t="s">
        <v>115</v>
      </c>
      <c r="AE58" s="165"/>
      <c r="AF58" s="507" t="s">
        <v>115</v>
      </c>
      <c r="AG58" s="165"/>
      <c r="AH58" s="1435" t="s">
        <v>115</v>
      </c>
      <c r="AI58" s="1434"/>
      <c r="AJ58" s="402">
        <v>1</v>
      </c>
      <c r="AK58" s="312">
        <v>0.1</v>
      </c>
      <c r="AL58" s="402" t="s">
        <v>495</v>
      </c>
      <c r="AM58" s="328">
        <v>1.8699999999999999E-3</v>
      </c>
      <c r="AN58" s="492" t="s">
        <v>1199</v>
      </c>
      <c r="AO58" s="314">
        <v>1</v>
      </c>
      <c r="AP58" s="158">
        <v>9.7590366179299993E-3</v>
      </c>
      <c r="AQ58" s="158">
        <v>1.1294441221771601</v>
      </c>
      <c r="AR58" s="165">
        <v>2.7106658932251899</v>
      </c>
      <c r="AS58" s="168" t="s">
        <v>115</v>
      </c>
    </row>
    <row r="59" spans="1:45" ht="12" customHeight="1">
      <c r="A59" s="309" t="s">
        <v>187</v>
      </c>
      <c r="B59" s="427" t="s">
        <v>188</v>
      </c>
      <c r="C59" s="1431">
        <f t="shared" si="7"/>
        <v>0.31</v>
      </c>
      <c r="D59" s="1432" t="str">
        <f t="shared" si="0"/>
        <v>OEHHA 2009</v>
      </c>
      <c r="E59" s="328">
        <v>0.31</v>
      </c>
      <c r="F59" s="1345" t="s">
        <v>1204</v>
      </c>
      <c r="G59" s="217" t="s">
        <v>115</v>
      </c>
      <c r="H59" s="165"/>
      <c r="I59" s="687" t="s">
        <v>115</v>
      </c>
      <c r="J59" s="165"/>
      <c r="K59" s="1433"/>
      <c r="L59" s="1431">
        <f t="shared" si="1"/>
        <v>8.8999999999999995E-5</v>
      </c>
      <c r="M59" s="1432" t="str">
        <f t="shared" si="2"/>
        <v>OEHHA 2009</v>
      </c>
      <c r="N59" s="328">
        <v>8.8999999999999995E-5</v>
      </c>
      <c r="O59" s="161" t="s">
        <v>1204</v>
      </c>
      <c r="P59" s="507" t="s">
        <v>115</v>
      </c>
      <c r="Q59" s="165"/>
      <c r="R59" s="178" t="s">
        <v>115</v>
      </c>
      <c r="S59" s="225"/>
      <c r="T59" s="1431">
        <f t="shared" si="3"/>
        <v>2E-3</v>
      </c>
      <c r="U59" s="1432" t="str">
        <f t="shared" si="4"/>
        <v>IRIS 1992</v>
      </c>
      <c r="V59" s="217" t="s">
        <v>115</v>
      </c>
      <c r="W59" s="161"/>
      <c r="X59" s="179">
        <v>2E-3</v>
      </c>
      <c r="Y59" s="165" t="s">
        <v>1223</v>
      </c>
      <c r="Z59" s="687" t="s">
        <v>115</v>
      </c>
      <c r="AA59" s="328"/>
      <c r="AB59" s="1431" t="str">
        <f t="shared" si="5"/>
        <v>--</v>
      </c>
      <c r="AC59" s="1432" t="str">
        <f t="shared" si="6"/>
        <v xml:space="preserve"> </v>
      </c>
      <c r="AD59" s="507" t="s">
        <v>115</v>
      </c>
      <c r="AE59" s="165"/>
      <c r="AF59" s="507" t="s">
        <v>115</v>
      </c>
      <c r="AG59" s="165"/>
      <c r="AH59" s="1435" t="s">
        <v>115</v>
      </c>
      <c r="AI59" s="1434"/>
      <c r="AJ59" s="402">
        <v>1</v>
      </c>
      <c r="AK59" s="312">
        <v>0.10199999999999999</v>
      </c>
      <c r="AL59" s="402" t="s">
        <v>495</v>
      </c>
      <c r="AM59" s="328">
        <v>3.0799999999999998E-3</v>
      </c>
      <c r="AN59" s="492" t="s">
        <v>1199</v>
      </c>
      <c r="AO59" s="314">
        <v>1</v>
      </c>
      <c r="AP59" s="158">
        <v>1.5987480753030001E-2</v>
      </c>
      <c r="AQ59" s="158">
        <v>1.1011151793496901</v>
      </c>
      <c r="AR59" s="165">
        <v>2.64267643043926</v>
      </c>
      <c r="AS59" s="168" t="s">
        <v>115</v>
      </c>
    </row>
    <row r="60" spans="1:45" ht="12" customHeight="1">
      <c r="A60" s="309" t="s">
        <v>189</v>
      </c>
      <c r="B60" s="427" t="s">
        <v>190</v>
      </c>
      <c r="C60" s="1431">
        <f t="shared" si="7"/>
        <v>0.1</v>
      </c>
      <c r="D60" s="1432" t="str">
        <f t="shared" si="0"/>
        <v>IRIS 2013</v>
      </c>
      <c r="E60" s="328">
        <v>2.7E-2</v>
      </c>
      <c r="F60" s="1345" t="s">
        <v>1204</v>
      </c>
      <c r="G60" s="328">
        <v>0.1</v>
      </c>
      <c r="H60" s="165" t="s">
        <v>1214</v>
      </c>
      <c r="I60" s="687" t="s">
        <v>115</v>
      </c>
      <c r="J60" s="165"/>
      <c r="K60" s="1433"/>
      <c r="L60" s="1431">
        <f t="shared" si="1"/>
        <v>5.0000000000000004E-6</v>
      </c>
      <c r="M60" s="1432" t="str">
        <f t="shared" si="2"/>
        <v>IRIS 2013</v>
      </c>
      <c r="N60" s="217" t="s">
        <v>115</v>
      </c>
      <c r="O60" s="1436"/>
      <c r="P60" s="179">
        <v>5.0000000000000004E-6</v>
      </c>
      <c r="Q60" s="165" t="s">
        <v>1214</v>
      </c>
      <c r="R60" s="178" t="s">
        <v>115</v>
      </c>
      <c r="S60" s="225"/>
      <c r="T60" s="1431">
        <f t="shared" si="3"/>
        <v>0.03</v>
      </c>
      <c r="U60" s="1432" t="str">
        <f t="shared" si="4"/>
        <v>IRIS 2013</v>
      </c>
      <c r="V60" s="217" t="s">
        <v>115</v>
      </c>
      <c r="W60" s="161"/>
      <c r="X60" s="179">
        <v>0.03</v>
      </c>
      <c r="Y60" s="165" t="s">
        <v>1214</v>
      </c>
      <c r="Z60" s="687" t="s">
        <v>115</v>
      </c>
      <c r="AA60" s="328"/>
      <c r="AB60" s="1431">
        <f t="shared" si="5"/>
        <v>30</v>
      </c>
      <c r="AC60" s="1432" t="str">
        <f t="shared" si="6"/>
        <v>IRIS 2013</v>
      </c>
      <c r="AD60" s="507">
        <v>3000</v>
      </c>
      <c r="AE60" s="165" t="s">
        <v>1207</v>
      </c>
      <c r="AF60" s="507">
        <v>30</v>
      </c>
      <c r="AG60" s="165" t="s">
        <v>1214</v>
      </c>
      <c r="AH60" s="1435" t="s">
        <v>115</v>
      </c>
      <c r="AI60" s="1434"/>
      <c r="AJ60" s="402">
        <v>1</v>
      </c>
      <c r="AK60" s="312" t="s">
        <v>115</v>
      </c>
      <c r="AL60" s="402" t="s">
        <v>495</v>
      </c>
      <c r="AM60" s="328">
        <v>3.3199999999999999E-4</v>
      </c>
      <c r="AN60" s="492" t="s">
        <v>1199</v>
      </c>
      <c r="AO60" s="314">
        <v>1</v>
      </c>
      <c r="AP60" s="158">
        <v>1.1985880480299999E-3</v>
      </c>
      <c r="AQ60" s="158">
        <v>0.32752763525405998</v>
      </c>
      <c r="AR60" s="165">
        <v>0.78606632460975001</v>
      </c>
      <c r="AS60" s="168" t="s">
        <v>115</v>
      </c>
    </row>
    <row r="61" spans="1:45" ht="12" customHeight="1">
      <c r="A61" s="309" t="s">
        <v>191</v>
      </c>
      <c r="B61" s="427" t="s">
        <v>192</v>
      </c>
      <c r="C61" s="1431">
        <f t="shared" si="7"/>
        <v>130000</v>
      </c>
      <c r="D61" s="1432" t="str">
        <f t="shared" si="0"/>
        <v>OEHHA 2009</v>
      </c>
      <c r="E61" s="328">
        <v>130000</v>
      </c>
      <c r="F61" s="1345" t="s">
        <v>1204</v>
      </c>
      <c r="G61" s="217" t="s">
        <v>115</v>
      </c>
      <c r="H61" s="165"/>
      <c r="I61" s="687" t="s">
        <v>115</v>
      </c>
      <c r="J61" s="165"/>
      <c r="K61" s="1433"/>
      <c r="L61" s="1431">
        <f t="shared" si="1"/>
        <v>38</v>
      </c>
      <c r="M61" s="1432" t="str">
        <f t="shared" si="2"/>
        <v>OEHHA 2009</v>
      </c>
      <c r="N61" s="328">
        <v>38</v>
      </c>
      <c r="O61" s="161" t="s">
        <v>1204</v>
      </c>
      <c r="P61" s="507" t="s">
        <v>115</v>
      </c>
      <c r="Q61" s="165"/>
      <c r="R61" s="178" t="s">
        <v>115</v>
      </c>
      <c r="S61" s="225"/>
      <c r="T61" s="1431">
        <f t="shared" si="3"/>
        <v>6.9999999999999996E-10</v>
      </c>
      <c r="U61" s="1432" t="str">
        <f t="shared" si="4"/>
        <v>IRIS 2012</v>
      </c>
      <c r="V61" s="328">
        <v>1E-8</v>
      </c>
      <c r="W61" s="161" t="s">
        <v>1207</v>
      </c>
      <c r="X61" s="179">
        <v>6.9999999999999996E-10</v>
      </c>
      <c r="Y61" s="165" t="s">
        <v>1250</v>
      </c>
      <c r="Z61" s="687" t="s">
        <v>115</v>
      </c>
      <c r="AA61" s="328"/>
      <c r="AB61" s="1431">
        <f t="shared" si="5"/>
        <v>4.0000000000000003E-5</v>
      </c>
      <c r="AC61" s="1432" t="str">
        <f t="shared" si="6"/>
        <v>OEHHA 2008</v>
      </c>
      <c r="AD61" s="179">
        <v>4.0000000000000003E-5</v>
      </c>
      <c r="AE61" s="165" t="s">
        <v>1207</v>
      </c>
      <c r="AF61" s="507" t="s">
        <v>115</v>
      </c>
      <c r="AG61" s="165"/>
      <c r="AH61" s="1435" t="s">
        <v>115</v>
      </c>
      <c r="AI61" s="1434"/>
      <c r="AJ61" s="402">
        <v>1</v>
      </c>
      <c r="AK61" s="312">
        <v>0.03</v>
      </c>
      <c r="AL61" s="402" t="s">
        <v>496</v>
      </c>
      <c r="AM61" s="328">
        <v>0.80800000000000005</v>
      </c>
      <c r="AN61" s="492" t="s">
        <v>1199</v>
      </c>
      <c r="AO61" s="314">
        <v>0.5</v>
      </c>
      <c r="AP61" s="158">
        <v>5.5763812829663797</v>
      </c>
      <c r="AQ61" s="158">
        <v>6.6824658745553398</v>
      </c>
      <c r="AR61" s="165">
        <v>29.471893843615899</v>
      </c>
      <c r="AS61" s="168" t="s">
        <v>115</v>
      </c>
    </row>
    <row r="62" spans="1:45" ht="12" customHeight="1">
      <c r="A62" s="309" t="s">
        <v>193</v>
      </c>
      <c r="B62" s="427" t="s">
        <v>194</v>
      </c>
      <c r="C62" s="1431" t="str">
        <f t="shared" si="7"/>
        <v>--</v>
      </c>
      <c r="D62" s="1432" t="str">
        <f t="shared" si="0"/>
        <v xml:space="preserve"> </v>
      </c>
      <c r="E62" s="687" t="s">
        <v>115</v>
      </c>
      <c r="F62" s="1345"/>
      <c r="G62" s="687" t="s">
        <v>115</v>
      </c>
      <c r="H62" s="165"/>
      <c r="I62" s="687" t="s">
        <v>115</v>
      </c>
      <c r="J62" s="165"/>
      <c r="K62" s="1433"/>
      <c r="L62" s="1431" t="str">
        <f t="shared" si="1"/>
        <v>--</v>
      </c>
      <c r="M62" s="1432" t="str">
        <f t="shared" si="2"/>
        <v xml:space="preserve"> </v>
      </c>
      <c r="N62" s="217" t="s">
        <v>115</v>
      </c>
      <c r="O62" s="1436"/>
      <c r="P62" s="507" t="s">
        <v>115</v>
      </c>
      <c r="Q62" s="165"/>
      <c r="R62" s="178" t="s">
        <v>115</v>
      </c>
      <c r="S62" s="225"/>
      <c r="T62" s="1431">
        <f t="shared" si="3"/>
        <v>6.0000000000000001E-3</v>
      </c>
      <c r="U62" s="1432" t="str">
        <f t="shared" si="4"/>
        <v>IRIS 1994</v>
      </c>
      <c r="V62" s="217" t="s">
        <v>115</v>
      </c>
      <c r="W62" s="161"/>
      <c r="X62" s="179">
        <v>6.0000000000000001E-3</v>
      </c>
      <c r="Y62" s="165" t="s">
        <v>1238</v>
      </c>
      <c r="Z62" s="687" t="s">
        <v>115</v>
      </c>
      <c r="AA62" s="328"/>
      <c r="AB62" s="1431" t="str">
        <f t="shared" si="5"/>
        <v>--</v>
      </c>
      <c r="AC62" s="1432" t="str">
        <f t="shared" si="6"/>
        <v xml:space="preserve"> </v>
      </c>
      <c r="AD62" s="507" t="s">
        <v>115</v>
      </c>
      <c r="AE62" s="165"/>
      <c r="AF62" s="507" t="s">
        <v>115</v>
      </c>
      <c r="AG62" s="165"/>
      <c r="AH62" s="1435" t="s">
        <v>115</v>
      </c>
      <c r="AI62" s="1434"/>
      <c r="AJ62" s="402">
        <v>1</v>
      </c>
      <c r="AK62" s="312" t="s">
        <v>115</v>
      </c>
      <c r="AL62" s="402" t="s">
        <v>495</v>
      </c>
      <c r="AM62" s="328">
        <v>2.8600000000000001E-3</v>
      </c>
      <c r="AN62" s="492" t="s">
        <v>1199</v>
      </c>
      <c r="AO62" s="314">
        <v>0.9</v>
      </c>
      <c r="AP62" s="158">
        <v>2.2189756645800002E-2</v>
      </c>
      <c r="AQ62" s="158">
        <v>19.982818768391599</v>
      </c>
      <c r="AR62" s="165">
        <v>47.958765044139902</v>
      </c>
      <c r="AS62" s="168" t="s">
        <v>115</v>
      </c>
    </row>
    <row r="63" spans="1:45" ht="12" customHeight="1">
      <c r="A63" s="309" t="s">
        <v>195</v>
      </c>
      <c r="B63" s="427" t="s">
        <v>196</v>
      </c>
      <c r="C63" s="1431" t="str">
        <f t="shared" si="7"/>
        <v>--</v>
      </c>
      <c r="D63" s="1432" t="str">
        <f t="shared" si="0"/>
        <v xml:space="preserve"> </v>
      </c>
      <c r="E63" s="687" t="s">
        <v>115</v>
      </c>
      <c r="F63" s="1345"/>
      <c r="G63" s="687" t="s">
        <v>115</v>
      </c>
      <c r="H63" s="165"/>
      <c r="I63" s="687" t="s">
        <v>115</v>
      </c>
      <c r="J63" s="165"/>
      <c r="K63" s="1433"/>
      <c r="L63" s="1431" t="str">
        <f t="shared" si="1"/>
        <v>--</v>
      </c>
      <c r="M63" s="1432" t="str">
        <f t="shared" si="2"/>
        <v xml:space="preserve"> </v>
      </c>
      <c r="N63" s="217" t="s">
        <v>115</v>
      </c>
      <c r="O63" s="1436"/>
      <c r="P63" s="507" t="s">
        <v>115</v>
      </c>
      <c r="Q63" s="165"/>
      <c r="R63" s="178" t="s">
        <v>115</v>
      </c>
      <c r="S63" s="225"/>
      <c r="T63" s="1431">
        <f t="shared" si="3"/>
        <v>2.9999999999999997E-4</v>
      </c>
      <c r="U63" s="1432" t="str">
        <f t="shared" si="4"/>
        <v>IRIS 1989</v>
      </c>
      <c r="V63" s="217" t="s">
        <v>115</v>
      </c>
      <c r="W63" s="161"/>
      <c r="X63" s="179">
        <v>2.9999999999999997E-4</v>
      </c>
      <c r="Y63" s="165" t="s">
        <v>1216</v>
      </c>
      <c r="Z63" s="687" t="s">
        <v>115</v>
      </c>
      <c r="AA63" s="328"/>
      <c r="AB63" s="1431" t="str">
        <f t="shared" si="5"/>
        <v>--</v>
      </c>
      <c r="AC63" s="1432" t="str">
        <f t="shared" si="6"/>
        <v xml:space="preserve"> </v>
      </c>
      <c r="AD63" s="507" t="s">
        <v>115</v>
      </c>
      <c r="AE63" s="165"/>
      <c r="AF63" s="507" t="s">
        <v>115</v>
      </c>
      <c r="AG63" s="165"/>
      <c r="AH63" s="1435" t="s">
        <v>115</v>
      </c>
      <c r="AI63" s="1434"/>
      <c r="AJ63" s="402">
        <v>1</v>
      </c>
      <c r="AK63" s="312">
        <v>0.1</v>
      </c>
      <c r="AL63" s="402" t="s">
        <v>495</v>
      </c>
      <c r="AM63" s="328">
        <v>3.2599999999999997E-2</v>
      </c>
      <c r="AN63" s="492" t="s">
        <v>1199</v>
      </c>
      <c r="AO63" s="314">
        <v>0.8</v>
      </c>
      <c r="AP63" s="158">
        <v>0.24471209735466001</v>
      </c>
      <c r="AQ63" s="158">
        <v>14.287121880278701</v>
      </c>
      <c r="AR63" s="165">
        <v>34.289092512668802</v>
      </c>
      <c r="AS63" s="168" t="s">
        <v>115</v>
      </c>
    </row>
    <row r="64" spans="1:45" ht="12" customHeight="1">
      <c r="A64" s="309" t="s">
        <v>197</v>
      </c>
      <c r="B64" s="427" t="s">
        <v>198</v>
      </c>
      <c r="C64" s="1431">
        <f t="shared" si="7"/>
        <v>1.0999999999999999E-2</v>
      </c>
      <c r="D64" s="1432" t="str">
        <f t="shared" si="0"/>
        <v>OEHHA 2009</v>
      </c>
      <c r="E64" s="328">
        <v>1.0999999999999999E-2</v>
      </c>
      <c r="F64" s="1345" t="s">
        <v>1204</v>
      </c>
      <c r="G64" s="217" t="s">
        <v>115</v>
      </c>
      <c r="H64" s="165"/>
      <c r="I64" s="687" t="s">
        <v>115</v>
      </c>
      <c r="J64" s="165"/>
      <c r="K64" s="1433"/>
      <c r="L64" s="1431">
        <f t="shared" si="1"/>
        <v>2.5000000000000002E-6</v>
      </c>
      <c r="M64" s="1432" t="str">
        <f t="shared" si="2"/>
        <v>OEHHA 2009</v>
      </c>
      <c r="N64" s="328">
        <v>2.5000000000000002E-6</v>
      </c>
      <c r="O64" s="161" t="s">
        <v>1204</v>
      </c>
      <c r="P64" s="507" t="s">
        <v>115</v>
      </c>
      <c r="Q64" s="165"/>
      <c r="R64" s="178" t="s">
        <v>115</v>
      </c>
      <c r="S64" s="225"/>
      <c r="T64" s="1431">
        <f>Z64</f>
        <v>0.05</v>
      </c>
      <c r="U64" s="1432" t="str">
        <f t="shared" si="4"/>
        <v>PPRTV 2009*</v>
      </c>
      <c r="V64" s="217" t="s">
        <v>115</v>
      </c>
      <c r="W64" s="161"/>
      <c r="X64" s="1439">
        <v>0.1</v>
      </c>
      <c r="Y64" s="692" t="s">
        <v>1201</v>
      </c>
      <c r="Z64" s="688">
        <v>0.05</v>
      </c>
      <c r="AA64" s="2000" t="s">
        <v>1222</v>
      </c>
      <c r="AB64" s="1431">
        <f t="shared" si="5"/>
        <v>1000</v>
      </c>
      <c r="AC64" s="1432" t="str">
        <f t="shared" si="6"/>
        <v>IRIS 1991</v>
      </c>
      <c r="AD64" s="179">
        <v>2000</v>
      </c>
      <c r="AE64" s="165" t="s">
        <v>1207</v>
      </c>
      <c r="AF64" s="179">
        <v>1000</v>
      </c>
      <c r="AG64" s="165" t="s">
        <v>1201</v>
      </c>
      <c r="AH64" s="1435" t="s">
        <v>115</v>
      </c>
      <c r="AI64" s="1434"/>
      <c r="AJ64" s="402">
        <v>1</v>
      </c>
      <c r="AK64" s="312" t="s">
        <v>115</v>
      </c>
      <c r="AL64" s="402" t="s">
        <v>495</v>
      </c>
      <c r="AM64" s="328">
        <v>4.9299999999999997E-2</v>
      </c>
      <c r="AN64" s="492" t="s">
        <v>1199</v>
      </c>
      <c r="AO64" s="314">
        <v>1</v>
      </c>
      <c r="AP64" s="158">
        <v>0.19537746931965</v>
      </c>
      <c r="AQ64" s="158">
        <v>0.41342882164758998</v>
      </c>
      <c r="AR64" s="165">
        <v>0.99222917195421001</v>
      </c>
      <c r="AS64" s="168" t="s">
        <v>115</v>
      </c>
    </row>
    <row r="65" spans="1:45" ht="12" customHeight="1">
      <c r="A65" s="309" t="s">
        <v>199</v>
      </c>
      <c r="B65" s="427" t="s">
        <v>200</v>
      </c>
      <c r="C65" s="1431">
        <f t="shared" si="7"/>
        <v>4.5</v>
      </c>
      <c r="D65" s="1432" t="str">
        <f t="shared" si="0"/>
        <v>IRIS 1991</v>
      </c>
      <c r="E65" s="328">
        <v>4.0999999999999996</v>
      </c>
      <c r="F65" s="1345" t="s">
        <v>1246</v>
      </c>
      <c r="G65" s="328">
        <v>4.5</v>
      </c>
      <c r="H65" s="165" t="s">
        <v>1201</v>
      </c>
      <c r="I65" s="687" t="s">
        <v>115</v>
      </c>
      <c r="J65" s="165"/>
      <c r="K65" s="1433"/>
      <c r="L65" s="1431">
        <f t="shared" si="1"/>
        <v>1.2999999999999999E-3</v>
      </c>
      <c r="M65" s="1432" t="str">
        <f t="shared" si="2"/>
        <v>IRIS 1991</v>
      </c>
      <c r="N65" s="217" t="s">
        <v>115</v>
      </c>
      <c r="O65" s="1436"/>
      <c r="P65" s="507">
        <v>1.2999999999999999E-3</v>
      </c>
      <c r="Q65" s="165" t="s">
        <v>1201</v>
      </c>
      <c r="R65" s="178" t="s">
        <v>115</v>
      </c>
      <c r="S65" s="225"/>
      <c r="T65" s="1431">
        <f>Z65</f>
        <v>1E-4</v>
      </c>
      <c r="U65" s="1432" t="str">
        <f t="shared" si="4"/>
        <v>ATSDR 2007*</v>
      </c>
      <c r="V65" s="217" t="s">
        <v>115</v>
      </c>
      <c r="W65" s="161"/>
      <c r="X65" s="1439">
        <v>5.0000000000000001E-4</v>
      </c>
      <c r="Y65" s="692" t="s">
        <v>1221</v>
      </c>
      <c r="Z65" s="688">
        <v>1E-4</v>
      </c>
      <c r="AA65" s="2000" t="s">
        <v>1251</v>
      </c>
      <c r="AB65" s="1431" t="str">
        <f t="shared" si="5"/>
        <v>--</v>
      </c>
      <c r="AC65" s="1432" t="str">
        <f t="shared" si="6"/>
        <v xml:space="preserve"> </v>
      </c>
      <c r="AD65" s="507" t="s">
        <v>115</v>
      </c>
      <c r="AE65" s="165"/>
      <c r="AF65" s="507" t="s">
        <v>115</v>
      </c>
      <c r="AG65" s="165"/>
      <c r="AH65" s="1435" t="s">
        <v>115</v>
      </c>
      <c r="AI65" s="1434"/>
      <c r="AJ65" s="402">
        <v>1</v>
      </c>
      <c r="AK65" s="312" t="s">
        <v>115</v>
      </c>
      <c r="AL65" s="402" t="s">
        <v>495</v>
      </c>
      <c r="AM65" s="328">
        <v>0.14299999999999999</v>
      </c>
      <c r="AN65" s="492" t="s">
        <v>1199</v>
      </c>
      <c r="AO65" s="314">
        <v>0.8</v>
      </c>
      <c r="AP65" s="158">
        <v>1.06268198441491</v>
      </c>
      <c r="AQ65" s="158">
        <v>12.9550994026929</v>
      </c>
      <c r="AR65" s="165">
        <v>50.142248344350897</v>
      </c>
      <c r="AS65" s="168" t="s">
        <v>115</v>
      </c>
    </row>
    <row r="66" spans="1:45" ht="12" customHeight="1">
      <c r="A66" s="309" t="s">
        <v>201</v>
      </c>
      <c r="B66" s="427" t="s">
        <v>202</v>
      </c>
      <c r="C66" s="1431">
        <f t="shared" si="7"/>
        <v>9.1</v>
      </c>
      <c r="D66" s="1432" t="str">
        <f t="shared" si="0"/>
        <v>IRIS 1991</v>
      </c>
      <c r="E66" s="328">
        <v>5.5</v>
      </c>
      <c r="F66" s="1345" t="s">
        <v>1246</v>
      </c>
      <c r="G66" s="328">
        <v>9.1</v>
      </c>
      <c r="H66" s="165" t="s">
        <v>1201</v>
      </c>
      <c r="I66" s="687" t="s">
        <v>115</v>
      </c>
      <c r="J66" s="165"/>
      <c r="K66" s="1433"/>
      <c r="L66" s="1431">
        <f t="shared" si="1"/>
        <v>2.5999999999999999E-3</v>
      </c>
      <c r="M66" s="1432" t="str">
        <f t="shared" si="2"/>
        <v>IRIS 1991</v>
      </c>
      <c r="N66" s="217" t="s">
        <v>115</v>
      </c>
      <c r="O66" s="1436"/>
      <c r="P66" s="507">
        <v>2.5999999999999999E-3</v>
      </c>
      <c r="Q66" s="165" t="s">
        <v>1201</v>
      </c>
      <c r="R66" s="178" t="s">
        <v>115</v>
      </c>
      <c r="S66" s="225"/>
      <c r="T66" s="1431">
        <f t="shared" si="3"/>
        <v>1.2999999999999999E-5</v>
      </c>
      <c r="U66" s="1432" t="str">
        <f t="shared" si="4"/>
        <v>IRIS 1991</v>
      </c>
      <c r="V66" s="217" t="s">
        <v>115</v>
      </c>
      <c r="W66" s="161"/>
      <c r="X66" s="179">
        <v>1.2999999999999999E-5</v>
      </c>
      <c r="Y66" s="165" t="s">
        <v>1201</v>
      </c>
      <c r="Z66" s="687" t="s">
        <v>115</v>
      </c>
      <c r="AA66" s="328"/>
      <c r="AB66" s="1431" t="str">
        <f t="shared" si="5"/>
        <v>--</v>
      </c>
      <c r="AC66" s="1432" t="str">
        <f t="shared" si="6"/>
        <v xml:space="preserve"> </v>
      </c>
      <c r="AD66" s="507" t="s">
        <v>115</v>
      </c>
      <c r="AE66" s="165"/>
      <c r="AF66" s="507" t="s">
        <v>115</v>
      </c>
      <c r="AG66" s="165"/>
      <c r="AH66" s="1435" t="s">
        <v>115</v>
      </c>
      <c r="AI66" s="1434"/>
      <c r="AJ66" s="402">
        <v>1</v>
      </c>
      <c r="AK66" s="312" t="s">
        <v>115</v>
      </c>
      <c r="AL66" s="402" t="s">
        <v>495</v>
      </c>
      <c r="AM66" s="328">
        <v>2.0899999999999998E-2</v>
      </c>
      <c r="AN66" s="492" t="s">
        <v>1199</v>
      </c>
      <c r="AO66" s="314">
        <v>0.8</v>
      </c>
      <c r="AP66" s="158">
        <v>0.15860844068214</v>
      </c>
      <c r="AQ66" s="158">
        <v>15.9235813014401</v>
      </c>
      <c r="AR66" s="165">
        <v>38.216595123456102</v>
      </c>
      <c r="AS66" s="168" t="s">
        <v>115</v>
      </c>
    </row>
    <row r="67" spans="1:45" s="1" customFormat="1" ht="12" customHeight="1">
      <c r="A67" s="309" t="s">
        <v>203</v>
      </c>
      <c r="B67" s="427" t="s">
        <v>204</v>
      </c>
      <c r="C67" s="1431">
        <f t="shared" si="7"/>
        <v>1.8</v>
      </c>
      <c r="D67" s="1432" t="str">
        <f t="shared" si="0"/>
        <v>OEHHA 2009</v>
      </c>
      <c r="E67" s="328">
        <v>1.8</v>
      </c>
      <c r="F67" s="1345" t="s">
        <v>1204</v>
      </c>
      <c r="G67" s="328">
        <v>1.6</v>
      </c>
      <c r="H67" s="165" t="s">
        <v>1201</v>
      </c>
      <c r="I67" s="687" t="s">
        <v>115</v>
      </c>
      <c r="J67" s="165"/>
      <c r="K67" s="1433"/>
      <c r="L67" s="1431">
        <f t="shared" si="1"/>
        <v>5.1000000000000004E-4</v>
      </c>
      <c r="M67" s="1432" t="str">
        <f t="shared" si="2"/>
        <v>OEHHA 2009</v>
      </c>
      <c r="N67" s="328">
        <v>5.1000000000000004E-4</v>
      </c>
      <c r="O67" s="161" t="s">
        <v>1204</v>
      </c>
      <c r="P67" s="179">
        <v>4.6000000000000001E-4</v>
      </c>
      <c r="Q67" s="165" t="s">
        <v>1201</v>
      </c>
      <c r="R67" s="178" t="s">
        <v>115</v>
      </c>
      <c r="S67" s="225"/>
      <c r="T67" s="1431">
        <f>Z67</f>
        <v>1.0000000000000001E-5</v>
      </c>
      <c r="U67" s="1432" t="str">
        <f t="shared" si="4"/>
        <v>PPRTV 2010*</v>
      </c>
      <c r="V67" s="217" t="s">
        <v>115</v>
      </c>
      <c r="W67" s="161"/>
      <c r="X67" s="1439">
        <v>8.0000000000000004E-4</v>
      </c>
      <c r="Y67" s="692" t="s">
        <v>1201</v>
      </c>
      <c r="Z67" s="688">
        <v>1.0000000000000001E-5</v>
      </c>
      <c r="AA67" s="2000" t="s">
        <v>1252</v>
      </c>
      <c r="AB67" s="1431" t="str">
        <f t="shared" si="5"/>
        <v>--</v>
      </c>
      <c r="AC67" s="1432" t="str">
        <f t="shared" si="6"/>
        <v xml:space="preserve"> </v>
      </c>
      <c r="AD67" s="507" t="s">
        <v>115</v>
      </c>
      <c r="AE67" s="165"/>
      <c r="AF67" s="507" t="s">
        <v>115</v>
      </c>
      <c r="AG67" s="165"/>
      <c r="AH67" s="1435" t="s">
        <v>115</v>
      </c>
      <c r="AI67" s="1434"/>
      <c r="AJ67" s="402">
        <v>1</v>
      </c>
      <c r="AK67" s="312" t="s">
        <v>115</v>
      </c>
      <c r="AL67" s="402" t="s">
        <v>496</v>
      </c>
      <c r="AM67" s="328">
        <v>0.254</v>
      </c>
      <c r="AN67" s="492" t="s">
        <v>1199</v>
      </c>
      <c r="AO67" s="314">
        <v>0.9</v>
      </c>
      <c r="AP67" s="158">
        <v>1.6485993014692</v>
      </c>
      <c r="AQ67" s="158">
        <v>4.1363449507906704</v>
      </c>
      <c r="AR67" s="165">
        <v>16.572823901394202</v>
      </c>
      <c r="AS67" s="168" t="s">
        <v>115</v>
      </c>
    </row>
    <row r="68" spans="1:45" ht="12" customHeight="1">
      <c r="A68" s="309" t="s">
        <v>205</v>
      </c>
      <c r="B68" s="427" t="s">
        <v>206</v>
      </c>
      <c r="C68" s="1431">
        <f t="shared" si="7"/>
        <v>7.8E-2</v>
      </c>
      <c r="D68" s="1432" t="str">
        <f t="shared" si="0"/>
        <v>IRIS 1993</v>
      </c>
      <c r="E68" s="217" t="s">
        <v>115</v>
      </c>
      <c r="F68" s="1345"/>
      <c r="G68" s="328">
        <v>7.8E-2</v>
      </c>
      <c r="H68" s="165" t="s">
        <v>1219</v>
      </c>
      <c r="I68" s="687" t="s">
        <v>115</v>
      </c>
      <c r="J68" s="165"/>
      <c r="K68" s="1433"/>
      <c r="L68" s="1431">
        <f t="shared" si="1"/>
        <v>2.1999999999999999E-5</v>
      </c>
      <c r="M68" s="1432" t="str">
        <f t="shared" si="2"/>
        <v>IRIS 1993</v>
      </c>
      <c r="N68" s="217" t="s">
        <v>115</v>
      </c>
      <c r="O68" s="1436"/>
      <c r="P68" s="507">
        <v>2.1999999999999999E-5</v>
      </c>
      <c r="Q68" s="165" t="s">
        <v>1219</v>
      </c>
      <c r="R68" s="178" t="s">
        <v>115</v>
      </c>
      <c r="S68" s="225"/>
      <c r="T68" s="1431">
        <f t="shared" si="3"/>
        <v>1E-3</v>
      </c>
      <c r="U68" s="1432" t="str">
        <f t="shared" si="4"/>
        <v>PPRTV 2007</v>
      </c>
      <c r="V68" s="217" t="s">
        <v>115</v>
      </c>
      <c r="W68" s="161"/>
      <c r="X68" s="507" t="s">
        <v>115</v>
      </c>
      <c r="Y68" s="165"/>
      <c r="Z68" s="485">
        <v>1E-3</v>
      </c>
      <c r="AA68" s="328" t="s">
        <v>1253</v>
      </c>
      <c r="AB68" s="1431" t="str">
        <f t="shared" si="5"/>
        <v>--</v>
      </c>
      <c r="AC68" s="1432" t="str">
        <f t="shared" si="6"/>
        <v xml:space="preserve"> </v>
      </c>
      <c r="AD68" s="507" t="s">
        <v>115</v>
      </c>
      <c r="AE68" s="165"/>
      <c r="AF68" s="507" t="s">
        <v>115</v>
      </c>
      <c r="AG68" s="165"/>
      <c r="AH68" s="1435" t="s">
        <v>115</v>
      </c>
      <c r="AI68" s="1434"/>
      <c r="AJ68" s="402">
        <v>1</v>
      </c>
      <c r="AK68" s="312" t="s">
        <v>115</v>
      </c>
      <c r="AL68" s="402" t="s">
        <v>495</v>
      </c>
      <c r="AM68" s="328">
        <v>8.1000000000000003E-2</v>
      </c>
      <c r="AN68" s="492" t="s">
        <v>1199</v>
      </c>
      <c r="AO68" s="314">
        <v>0.9</v>
      </c>
      <c r="AP68" s="158">
        <v>0.50307432956283005</v>
      </c>
      <c r="AQ68" s="158">
        <v>3.0346230315459599</v>
      </c>
      <c r="AR68" s="165">
        <v>7.28309527571031</v>
      </c>
      <c r="AS68" s="168" t="s">
        <v>115</v>
      </c>
    </row>
    <row r="69" spans="1:45" ht="12" customHeight="1">
      <c r="A69" s="306" t="s">
        <v>1123</v>
      </c>
      <c r="B69" s="427" t="s">
        <v>208</v>
      </c>
      <c r="C69" s="1431">
        <f t="shared" si="7"/>
        <v>1.1000000000000001</v>
      </c>
      <c r="D69" s="1432" t="str">
        <f t="shared" si="0"/>
        <v>OEHHA 2009</v>
      </c>
      <c r="E69" s="328">
        <v>1.1000000000000001</v>
      </c>
      <c r="F69" s="1345" t="s">
        <v>1204</v>
      </c>
      <c r="G69" s="217" t="s">
        <v>115</v>
      </c>
      <c r="H69" s="165"/>
      <c r="I69" s="687" t="s">
        <v>115</v>
      </c>
      <c r="J69" s="1444"/>
      <c r="K69" s="1445"/>
      <c r="L69" s="1431">
        <f t="shared" si="1"/>
        <v>3.1E-4</v>
      </c>
      <c r="M69" s="1432" t="str">
        <f t="shared" si="2"/>
        <v>OEHHA 2009</v>
      </c>
      <c r="N69" s="328">
        <v>3.1E-4</v>
      </c>
      <c r="O69" s="161" t="s">
        <v>1204</v>
      </c>
      <c r="P69" s="507" t="s">
        <v>115</v>
      </c>
      <c r="Q69" s="165"/>
      <c r="R69" s="178" t="s">
        <v>115</v>
      </c>
      <c r="S69" s="225"/>
      <c r="T69" s="1431">
        <f>Z69</f>
        <v>7.9999999999999996E-7</v>
      </c>
      <c r="U69" s="1432" t="str">
        <f t="shared" si="4"/>
        <v>ATSDR*</v>
      </c>
      <c r="V69" s="217" t="s">
        <v>115</v>
      </c>
      <c r="W69" s="161"/>
      <c r="X69" s="1439">
        <v>2.9999999999999997E-4</v>
      </c>
      <c r="Y69" s="692" t="s">
        <v>1221</v>
      </c>
      <c r="Z69" s="688">
        <v>7.9999999999999996E-7</v>
      </c>
      <c r="AA69" s="2000" t="s">
        <v>1243</v>
      </c>
      <c r="AB69" s="1431" t="str">
        <f t="shared" si="5"/>
        <v>--</v>
      </c>
      <c r="AC69" s="1432" t="str">
        <f t="shared" si="6"/>
        <v xml:space="preserve"> </v>
      </c>
      <c r="AD69" s="507" t="s">
        <v>115</v>
      </c>
      <c r="AE69" s="165"/>
      <c r="AF69" s="507" t="s">
        <v>115</v>
      </c>
      <c r="AG69" s="165"/>
      <c r="AH69" s="1435" t="s">
        <v>115</v>
      </c>
      <c r="AI69" s="1434"/>
      <c r="AJ69" s="402">
        <v>1</v>
      </c>
      <c r="AK69" s="312">
        <v>0.04</v>
      </c>
      <c r="AL69" s="402" t="s">
        <v>495</v>
      </c>
      <c r="AM69" s="328">
        <v>2.06E-2</v>
      </c>
      <c r="AN69" s="492" t="s">
        <v>1199</v>
      </c>
      <c r="AO69" s="314">
        <v>0.9</v>
      </c>
      <c r="AP69" s="158">
        <v>0.13511808269875999</v>
      </c>
      <c r="AQ69" s="158">
        <v>4.4719480484289003</v>
      </c>
      <c r="AR69" s="165">
        <v>10.7326753162294</v>
      </c>
      <c r="AS69" s="168" t="s">
        <v>115</v>
      </c>
    </row>
    <row r="70" spans="1:45" ht="12" customHeight="1">
      <c r="A70" s="309" t="s">
        <v>209</v>
      </c>
      <c r="B70" s="427" t="s">
        <v>210</v>
      </c>
      <c r="C70" s="1431">
        <f t="shared" si="7"/>
        <v>0.04</v>
      </c>
      <c r="D70" s="1432" t="str">
        <f t="shared" si="0"/>
        <v>IRIS 2011</v>
      </c>
      <c r="E70" s="328">
        <v>3.9E-2</v>
      </c>
      <c r="F70" s="1345" t="s">
        <v>1254</v>
      </c>
      <c r="G70" s="328">
        <v>0.04</v>
      </c>
      <c r="H70" s="165" t="s">
        <v>1255</v>
      </c>
      <c r="I70" s="687" t="s">
        <v>115</v>
      </c>
      <c r="J70" s="165"/>
      <c r="K70" s="1433"/>
      <c r="L70" s="1431">
        <f t="shared" si="1"/>
        <v>1.1E-5</v>
      </c>
      <c r="M70" s="1432" t="str">
        <f t="shared" si="2"/>
        <v>OEHHA 2009</v>
      </c>
      <c r="N70" s="328">
        <v>1.1E-5</v>
      </c>
      <c r="O70" s="161" t="s">
        <v>1204</v>
      </c>
      <c r="P70" s="507" t="s">
        <v>115</v>
      </c>
      <c r="Q70" s="165"/>
      <c r="R70" s="178" t="s">
        <v>115</v>
      </c>
      <c r="S70" s="225"/>
      <c r="T70" s="1431">
        <f t="shared" si="3"/>
        <v>6.9999999999999999E-4</v>
      </c>
      <c r="U70" s="1432" t="str">
        <f t="shared" si="4"/>
        <v>IRIS 2011</v>
      </c>
      <c r="V70" s="217" t="s">
        <v>115</v>
      </c>
      <c r="W70" s="161"/>
      <c r="X70" s="179">
        <v>6.9999999999999999E-4</v>
      </c>
      <c r="Y70" s="165" t="s">
        <v>1255</v>
      </c>
      <c r="Z70" s="687" t="s">
        <v>115</v>
      </c>
      <c r="AA70" s="328"/>
      <c r="AB70" s="1431">
        <f t="shared" si="5"/>
        <v>30</v>
      </c>
      <c r="AC70" s="1432" t="str">
        <f t="shared" si="6"/>
        <v>IRIS 2011</v>
      </c>
      <c r="AD70" s="507" t="s">
        <v>115</v>
      </c>
      <c r="AE70" s="165"/>
      <c r="AF70" s="179">
        <v>30</v>
      </c>
      <c r="AG70" s="165" t="s">
        <v>1255</v>
      </c>
      <c r="AH70" s="1435" t="s">
        <v>115</v>
      </c>
      <c r="AI70" s="1434"/>
      <c r="AJ70" s="402">
        <v>1</v>
      </c>
      <c r="AK70" s="312" t="s">
        <v>115</v>
      </c>
      <c r="AL70" s="402" t="s">
        <v>495</v>
      </c>
      <c r="AM70" s="328">
        <v>4.1500000000000002E-2</v>
      </c>
      <c r="AN70" s="492" t="s">
        <v>1199</v>
      </c>
      <c r="AO70" s="314">
        <v>1</v>
      </c>
      <c r="AP70" s="158">
        <v>0.2455899385142</v>
      </c>
      <c r="AQ70" s="158">
        <v>2.2263464612227</v>
      </c>
      <c r="AR70" s="165">
        <v>5.3432315069344902</v>
      </c>
      <c r="AS70" s="168" t="s">
        <v>115</v>
      </c>
    </row>
    <row r="71" spans="1:45" ht="12" customHeight="1">
      <c r="A71" s="309" t="s">
        <v>211</v>
      </c>
      <c r="B71" s="427" t="s">
        <v>212</v>
      </c>
      <c r="C71" s="1431" t="str">
        <f t="shared" si="7"/>
        <v>--</v>
      </c>
      <c r="D71" s="1432" t="str">
        <f t="shared" si="0"/>
        <v xml:space="preserve"> </v>
      </c>
      <c r="E71" s="217" t="s">
        <v>115</v>
      </c>
      <c r="F71" s="1345"/>
      <c r="G71" s="1440" t="s">
        <v>115</v>
      </c>
      <c r="H71" s="1441"/>
      <c r="I71" s="1435" t="s">
        <v>115</v>
      </c>
      <c r="J71" s="1441"/>
      <c r="K71" s="1442"/>
      <c r="L71" s="1431" t="str">
        <f t="shared" si="1"/>
        <v>--</v>
      </c>
      <c r="M71" s="1432" t="str">
        <f t="shared" si="2"/>
        <v xml:space="preserve"> </v>
      </c>
      <c r="N71" s="217" t="s">
        <v>115</v>
      </c>
      <c r="O71" s="1436"/>
      <c r="P71" s="507" t="s">
        <v>115</v>
      </c>
      <c r="Q71" s="165"/>
      <c r="R71" s="178" t="s">
        <v>115</v>
      </c>
      <c r="S71" s="225"/>
      <c r="T71" s="1431" t="str">
        <f t="shared" si="3"/>
        <v>--</v>
      </c>
      <c r="U71" s="1432" t="str">
        <f t="shared" si="4"/>
        <v xml:space="preserve"> </v>
      </c>
      <c r="V71" s="217" t="s">
        <v>115</v>
      </c>
      <c r="W71" s="161"/>
      <c r="X71" s="507" t="s">
        <v>115</v>
      </c>
      <c r="Y71" s="165"/>
      <c r="Z71" s="687" t="s">
        <v>115</v>
      </c>
      <c r="AA71" s="328"/>
      <c r="AB71" s="1431" t="str">
        <f t="shared" si="5"/>
        <v>--</v>
      </c>
      <c r="AC71" s="1432" t="str">
        <f t="shared" si="6"/>
        <v xml:space="preserve"> </v>
      </c>
      <c r="AD71" s="507" t="s">
        <v>115</v>
      </c>
      <c r="AE71" s="165"/>
      <c r="AF71" s="507" t="s">
        <v>115</v>
      </c>
      <c r="AG71" s="165"/>
      <c r="AH71" s="1435" t="s">
        <v>115</v>
      </c>
      <c r="AI71" s="1434"/>
      <c r="AJ71" s="402">
        <v>1</v>
      </c>
      <c r="AK71" s="312" t="s">
        <v>115</v>
      </c>
      <c r="AL71" s="403" t="s">
        <v>115</v>
      </c>
      <c r="AM71" s="328">
        <v>1E-4</v>
      </c>
      <c r="AN71" s="492" t="s">
        <v>1203</v>
      </c>
      <c r="AO71" s="313" t="s">
        <v>115</v>
      </c>
      <c r="AP71" s="158">
        <v>5.5363243739999998E-4</v>
      </c>
      <c r="AQ71" s="158">
        <v>1.52113846901482</v>
      </c>
      <c r="AR71" s="165">
        <v>3.6507323256355702</v>
      </c>
      <c r="AS71" s="168" t="s">
        <v>115</v>
      </c>
    </row>
    <row r="72" spans="1:45" ht="12" customHeight="1">
      <c r="A72" s="309" t="s">
        <v>213</v>
      </c>
      <c r="B72" s="427" t="s">
        <v>214</v>
      </c>
      <c r="C72" s="1431" t="str">
        <f t="shared" si="7"/>
        <v>--</v>
      </c>
      <c r="D72" s="1432" t="str">
        <f t="shared" ref="D72:D135" si="16">IF(C72="--"," ",IF(C72=G72,H72,IF(C72=E72,F72,J72)))</f>
        <v xml:space="preserve"> </v>
      </c>
      <c r="E72" s="217" t="s">
        <v>115</v>
      </c>
      <c r="F72" s="1345"/>
      <c r="G72" s="1440" t="s">
        <v>115</v>
      </c>
      <c r="H72" s="1441"/>
      <c r="I72" s="1435" t="s">
        <v>115</v>
      </c>
      <c r="J72" s="1441"/>
      <c r="K72" s="1442"/>
      <c r="L72" s="1431" t="str">
        <f t="shared" ref="L72:L145" si="17">IF(AND(N72&lt;&gt;"--",P72&lt;&gt;"--"),MAX(N72,P72),IF(P72&lt;&gt;"--",P72,IF(AND(N72&lt;&gt;"--",R72&lt;&gt;"--"),MAX(N72,R72),IF(R72&lt;&gt;"--",R72,N72))))</f>
        <v>--</v>
      </c>
      <c r="M72" s="1432" t="str">
        <f t="shared" ref="M72:M96" si="18">IF(L72="--"," ",IF(L72=P72,Q72,IF(L72=N72,O72,S72)))</f>
        <v xml:space="preserve"> </v>
      </c>
      <c r="N72" s="217" t="s">
        <v>115</v>
      </c>
      <c r="O72" s="1436"/>
      <c r="P72" s="507" t="s">
        <v>115</v>
      </c>
      <c r="Q72" s="165"/>
      <c r="R72" s="178" t="s">
        <v>115</v>
      </c>
      <c r="S72" s="225"/>
      <c r="T72" s="1431">
        <f t="shared" ref="T72:T145" si="19">IF(AND(V72&lt;&gt;"--",X72&lt;&gt;"--"),MIN(V72,X72),IF(X72&lt;&gt;"--",X72,IF(AND(V72&lt;&gt;"--",Z72&lt;&gt;"--"),MIN(V72,Z72),IF(Z72&lt;&gt;"--",Z72,V72))))</f>
        <v>1.6000000000000001E-4</v>
      </c>
      <c r="U72" s="1432" t="str">
        <f t="shared" ref="U72:U135" si="20">IF(T72="--"," ",IF(T72=X72,Y72,IF(T72=V72,W72,AA72)))</f>
        <v>OEHHA 2008</v>
      </c>
      <c r="V72" s="217">
        <v>1.6000000000000001E-4</v>
      </c>
      <c r="W72" s="161" t="s">
        <v>1207</v>
      </c>
      <c r="X72" s="507" t="s">
        <v>115</v>
      </c>
      <c r="Y72" s="165"/>
      <c r="Z72" s="687" t="s">
        <v>115</v>
      </c>
      <c r="AA72" s="328"/>
      <c r="AB72" s="1431">
        <f t="shared" ref="AB72:AB145" si="21">IF(AND(AD72&lt;&gt;"--",AF72&lt;&gt;"--"),MIN(AD72,AF72),IF(AF72&lt;&gt;"--",AF72,IF(AND(AD72&lt;&gt;"--",AH72&lt;&gt;"--"),MIN(AD72,AH72),IF(AH72&lt;&gt;"--",AH72,AD72))))</f>
        <v>0.03</v>
      </c>
      <c r="AC72" s="1432" t="str">
        <f t="shared" ref="AC72:AC135" si="22">IF(AB72="--"," ",IF(AB72=AF72,AG72,IF(AB72=AD72,AE72,AI72)))</f>
        <v>OEHHA 2008</v>
      </c>
      <c r="AD72" s="179">
        <v>0.03</v>
      </c>
      <c r="AE72" s="165" t="s">
        <v>1207</v>
      </c>
      <c r="AF72" s="179">
        <v>0.3</v>
      </c>
      <c r="AG72" s="165" t="s">
        <v>1206</v>
      </c>
      <c r="AH72" s="1435" t="s">
        <v>115</v>
      </c>
      <c r="AI72" s="1434"/>
      <c r="AJ72" s="402">
        <v>1</v>
      </c>
      <c r="AK72" s="312" t="s">
        <v>115</v>
      </c>
      <c r="AL72" s="402" t="s">
        <v>495</v>
      </c>
      <c r="AM72" s="328">
        <v>1E-3</v>
      </c>
      <c r="AN72" s="492" t="s">
        <v>1203</v>
      </c>
      <c r="AO72" s="314">
        <v>1</v>
      </c>
      <c r="AP72" s="158">
        <v>5.4472999663199998E-3</v>
      </c>
      <c r="AQ72" s="158">
        <v>1.3968595767048499</v>
      </c>
      <c r="AR72" s="165">
        <v>3.35246298409163</v>
      </c>
      <c r="AS72" s="168" t="s">
        <v>115</v>
      </c>
    </row>
    <row r="73" spans="1:45" ht="12" customHeight="1">
      <c r="A73" s="309" t="s">
        <v>215</v>
      </c>
      <c r="B73" s="427" t="s">
        <v>216</v>
      </c>
      <c r="C73" s="1431" t="str">
        <f t="shared" ref="C73:C146" si="23">IF(AND(E73&lt;&gt;"--",G73&lt;&gt;"--"),MAX(E73,G73),IF(G73&lt;&gt;"--",G73,IF(AND(E73&lt;&gt;"--",I73&lt;&gt;"--"),MAX(E73,I73),IF(I73&lt;&gt;"--",I73,E73))))</f>
        <v>--</v>
      </c>
      <c r="D73" s="1432" t="str">
        <f t="shared" si="16"/>
        <v xml:space="preserve"> </v>
      </c>
      <c r="E73" s="217" t="s">
        <v>115</v>
      </c>
      <c r="F73" s="1345"/>
      <c r="G73" s="1440" t="s">
        <v>115</v>
      </c>
      <c r="H73" s="1441"/>
      <c r="I73" s="1435" t="s">
        <v>115</v>
      </c>
      <c r="J73" s="1441"/>
      <c r="K73" s="1442"/>
      <c r="L73" s="1431" t="str">
        <f t="shared" si="17"/>
        <v>--</v>
      </c>
      <c r="M73" s="1432" t="str">
        <f t="shared" si="18"/>
        <v xml:space="preserve"> </v>
      </c>
      <c r="N73" s="217" t="s">
        <v>115</v>
      </c>
      <c r="O73" s="1436"/>
      <c r="P73" s="507" t="s">
        <v>115</v>
      </c>
      <c r="Q73" s="165"/>
      <c r="R73" s="178" t="s">
        <v>115</v>
      </c>
      <c r="S73" s="225"/>
      <c r="T73" s="1431">
        <f t="shared" si="19"/>
        <v>5.0000000000000001E-3</v>
      </c>
      <c r="U73" s="1432" t="str">
        <f t="shared" si="20"/>
        <v>IRIS 1992</v>
      </c>
      <c r="V73" s="217" t="s">
        <v>115</v>
      </c>
      <c r="W73" s="161"/>
      <c r="X73" s="179">
        <v>5.0000000000000001E-3</v>
      </c>
      <c r="Y73" s="165" t="s">
        <v>1223</v>
      </c>
      <c r="Z73" s="687" t="s">
        <v>115</v>
      </c>
      <c r="AA73" s="328"/>
      <c r="AB73" s="1431" t="str">
        <f t="shared" si="21"/>
        <v>--</v>
      </c>
      <c r="AC73" s="1432" t="str">
        <f t="shared" si="22"/>
        <v xml:space="preserve"> </v>
      </c>
      <c r="AD73" s="507" t="s">
        <v>115</v>
      </c>
      <c r="AE73" s="165"/>
      <c r="AF73" s="507" t="s">
        <v>115</v>
      </c>
      <c r="AG73" s="165"/>
      <c r="AH73" s="1435" t="s">
        <v>115</v>
      </c>
      <c r="AI73" s="1434"/>
      <c r="AJ73" s="402">
        <v>1</v>
      </c>
      <c r="AK73" s="312">
        <v>0.1</v>
      </c>
      <c r="AL73" s="402" t="s">
        <v>495</v>
      </c>
      <c r="AM73" s="328">
        <v>4.2799999999999998E-2</v>
      </c>
      <c r="AN73" s="492" t="s">
        <v>1199</v>
      </c>
      <c r="AO73" s="314">
        <v>0.8</v>
      </c>
      <c r="AP73" s="158">
        <v>0.30605183225013999</v>
      </c>
      <c r="AQ73" s="158">
        <v>9.0686940341139906</v>
      </c>
      <c r="AR73" s="165">
        <v>21.764865681873601</v>
      </c>
      <c r="AS73" s="168" t="s">
        <v>115</v>
      </c>
    </row>
    <row r="74" spans="1:45" ht="12" customHeight="1">
      <c r="A74" s="309" t="s">
        <v>217</v>
      </c>
      <c r="B74" s="427" t="s">
        <v>218</v>
      </c>
      <c r="C74" s="1431">
        <f t="shared" si="23"/>
        <v>2E-3</v>
      </c>
      <c r="D74" s="1432" t="str">
        <f t="shared" si="16"/>
        <v>IRIS 2011</v>
      </c>
      <c r="E74" s="217" t="s">
        <v>115</v>
      </c>
      <c r="F74" s="1345"/>
      <c r="G74" s="1438">
        <v>2E-3</v>
      </c>
      <c r="H74" s="1441" t="s">
        <v>1255</v>
      </c>
      <c r="I74" s="1435" t="s">
        <v>115</v>
      </c>
      <c r="J74" s="1441"/>
      <c r="K74" s="1442"/>
      <c r="L74" s="1431">
        <f t="shared" si="17"/>
        <v>9.9999999999999995E-7</v>
      </c>
      <c r="M74" s="1432" t="str">
        <f t="shared" si="18"/>
        <v>OEHHA 2009</v>
      </c>
      <c r="N74" s="328">
        <v>9.9999999999999995E-7</v>
      </c>
      <c r="O74" s="161" t="s">
        <v>1204</v>
      </c>
      <c r="P74" s="179">
        <v>1E-8</v>
      </c>
      <c r="Q74" s="165" t="s">
        <v>1255</v>
      </c>
      <c r="R74" s="178" t="s">
        <v>115</v>
      </c>
      <c r="S74" s="225"/>
      <c r="T74" s="1431">
        <f t="shared" si="19"/>
        <v>6.0000000000000001E-3</v>
      </c>
      <c r="U74" s="1432" t="str">
        <f t="shared" si="20"/>
        <v>IRIS 2001</v>
      </c>
      <c r="V74" s="217" t="s">
        <v>115</v>
      </c>
      <c r="W74" s="161"/>
      <c r="X74" s="179">
        <v>6.0000000000000001E-3</v>
      </c>
      <c r="Y74" s="165" t="s">
        <v>1232</v>
      </c>
      <c r="Z74" s="687" t="s">
        <v>115</v>
      </c>
      <c r="AA74" s="328"/>
      <c r="AB74" s="1431">
        <f t="shared" si="21"/>
        <v>400</v>
      </c>
      <c r="AC74" s="1432" t="str">
        <f t="shared" si="22"/>
        <v>OEHHA 2008</v>
      </c>
      <c r="AD74" s="179">
        <v>400</v>
      </c>
      <c r="AE74" s="165" t="s">
        <v>1207</v>
      </c>
      <c r="AF74" s="179">
        <v>600</v>
      </c>
      <c r="AG74" s="165" t="s">
        <v>1255</v>
      </c>
      <c r="AH74" s="1435" t="s">
        <v>115</v>
      </c>
      <c r="AI74" s="1434"/>
      <c r="AJ74" s="402">
        <v>1</v>
      </c>
      <c r="AK74" s="312" t="s">
        <v>115</v>
      </c>
      <c r="AL74" s="402" t="s">
        <v>495</v>
      </c>
      <c r="AM74" s="328">
        <v>3.5400000000000002E-3</v>
      </c>
      <c r="AN74" s="492" t="s">
        <v>1199</v>
      </c>
      <c r="AO74" s="314">
        <v>1</v>
      </c>
      <c r="AP74" s="158">
        <v>1.254781613522E-2</v>
      </c>
      <c r="AQ74" s="158">
        <v>0.31439349353999002</v>
      </c>
      <c r="AR74" s="165">
        <v>0.75454438449597006</v>
      </c>
      <c r="AS74" s="168" t="s">
        <v>495</v>
      </c>
    </row>
    <row r="75" spans="1:45" ht="12" customHeight="1">
      <c r="A75" s="309" t="s">
        <v>219</v>
      </c>
      <c r="B75" s="427" t="s">
        <v>220</v>
      </c>
      <c r="C75" s="1431" t="str">
        <f t="shared" si="23"/>
        <v>--</v>
      </c>
      <c r="D75" s="1432" t="str">
        <f t="shared" si="16"/>
        <v xml:space="preserve"> </v>
      </c>
      <c r="E75" s="217" t="s">
        <v>115</v>
      </c>
      <c r="F75" s="1345"/>
      <c r="G75" s="217" t="s">
        <v>115</v>
      </c>
      <c r="H75" s="165"/>
      <c r="I75" s="687" t="s">
        <v>115</v>
      </c>
      <c r="J75" s="165"/>
      <c r="K75" s="1433"/>
      <c r="L75" s="1431" t="str">
        <f t="shared" si="17"/>
        <v>--</v>
      </c>
      <c r="M75" s="1432" t="str">
        <f t="shared" si="18"/>
        <v xml:space="preserve"> </v>
      </c>
      <c r="N75" s="217" t="s">
        <v>115</v>
      </c>
      <c r="O75" s="1436"/>
      <c r="P75" s="507" t="s">
        <v>115</v>
      </c>
      <c r="Q75" s="165"/>
      <c r="R75" s="178" t="s">
        <v>115</v>
      </c>
      <c r="S75" s="225"/>
      <c r="T75" s="1431">
        <f t="shared" si="19"/>
        <v>0.6</v>
      </c>
      <c r="U75" s="1432" t="str">
        <f t="shared" si="20"/>
        <v>IRIS 2003</v>
      </c>
      <c r="V75" s="217" t="s">
        <v>115</v>
      </c>
      <c r="W75" s="161"/>
      <c r="X75" s="179">
        <v>0.6</v>
      </c>
      <c r="Y75" s="165" t="s">
        <v>1211</v>
      </c>
      <c r="Z75" s="687" t="s">
        <v>115</v>
      </c>
      <c r="AA75" s="328"/>
      <c r="AB75" s="1431">
        <f t="shared" si="21"/>
        <v>5000</v>
      </c>
      <c r="AC75" s="1432" t="str">
        <f t="shared" si="22"/>
        <v>IRIS 2003</v>
      </c>
      <c r="AD75" s="507" t="s">
        <v>115</v>
      </c>
      <c r="AE75" s="165"/>
      <c r="AF75" s="179">
        <v>5000</v>
      </c>
      <c r="AG75" s="165" t="s">
        <v>1211</v>
      </c>
      <c r="AH75" s="1435" t="s">
        <v>115</v>
      </c>
      <c r="AI75" s="1434"/>
      <c r="AJ75" s="402">
        <v>1</v>
      </c>
      <c r="AK75" s="312" t="s">
        <v>115</v>
      </c>
      <c r="AL75" s="402" t="s">
        <v>495</v>
      </c>
      <c r="AM75" s="328">
        <v>9.6199999999999996E-4</v>
      </c>
      <c r="AN75" s="492" t="s">
        <v>1199</v>
      </c>
      <c r="AO75" s="314">
        <v>1</v>
      </c>
      <c r="AP75" s="158">
        <v>3.1419078917099999E-3</v>
      </c>
      <c r="AQ75" s="158">
        <v>0.26647320757247001</v>
      </c>
      <c r="AR75" s="165">
        <v>0.63953569817392997</v>
      </c>
      <c r="AS75" s="168" t="s">
        <v>115</v>
      </c>
    </row>
    <row r="76" spans="1:45" ht="12" customHeight="1">
      <c r="A76" s="309" t="s">
        <v>221</v>
      </c>
      <c r="B76" s="427" t="s">
        <v>222</v>
      </c>
      <c r="C76" s="1431" t="str">
        <f t="shared" si="23"/>
        <v>--</v>
      </c>
      <c r="D76" s="1432" t="str">
        <f t="shared" si="16"/>
        <v xml:space="preserve"> </v>
      </c>
      <c r="E76" s="217" t="s">
        <v>115</v>
      </c>
      <c r="F76" s="1345"/>
      <c r="G76" s="217" t="s">
        <v>115</v>
      </c>
      <c r="H76" s="165"/>
      <c r="I76" s="687" t="s">
        <v>115</v>
      </c>
      <c r="J76" s="165"/>
      <c r="K76" s="1433"/>
      <c r="L76" s="1431" t="str">
        <f t="shared" si="17"/>
        <v>--</v>
      </c>
      <c r="M76" s="1432" t="str">
        <f t="shared" si="18"/>
        <v xml:space="preserve"> </v>
      </c>
      <c r="N76" s="217" t="s">
        <v>115</v>
      </c>
      <c r="O76" s="1436"/>
      <c r="P76" s="507" t="s">
        <v>115</v>
      </c>
      <c r="Q76" s="165"/>
      <c r="R76" s="178" t="s">
        <v>115</v>
      </c>
      <c r="S76" s="225"/>
      <c r="T76" s="1431" t="str">
        <f t="shared" si="19"/>
        <v>--</v>
      </c>
      <c r="U76" s="1432" t="str">
        <f t="shared" si="20"/>
        <v xml:space="preserve"> </v>
      </c>
      <c r="V76" s="217" t="s">
        <v>115</v>
      </c>
      <c r="W76" s="161"/>
      <c r="X76" s="507" t="s">
        <v>115</v>
      </c>
      <c r="Y76" s="165"/>
      <c r="Z76" s="687" t="s">
        <v>115</v>
      </c>
      <c r="AA76" s="328"/>
      <c r="AB76" s="1431">
        <f t="shared" si="21"/>
        <v>3000</v>
      </c>
      <c r="AC76" s="1432" t="str">
        <f t="shared" si="22"/>
        <v>IRIS 2003</v>
      </c>
      <c r="AD76" s="507" t="s">
        <v>115</v>
      </c>
      <c r="AE76" s="165"/>
      <c r="AF76" s="179">
        <v>3000</v>
      </c>
      <c r="AG76" s="165" t="s">
        <v>1211</v>
      </c>
      <c r="AH76" s="1435" t="s">
        <v>115</v>
      </c>
      <c r="AI76" s="1434"/>
      <c r="AJ76" s="402">
        <v>1</v>
      </c>
      <c r="AK76" s="312" t="s">
        <v>115</v>
      </c>
      <c r="AL76" s="402" t="s">
        <v>495</v>
      </c>
      <c r="AM76" s="328">
        <v>3.1900000000000001E-3</v>
      </c>
      <c r="AN76" s="492" t="s">
        <v>1199</v>
      </c>
      <c r="AO76" s="314">
        <v>1</v>
      </c>
      <c r="AP76" s="158">
        <v>1.227904223083E-2</v>
      </c>
      <c r="AQ76" s="158">
        <v>0.38259980964473</v>
      </c>
      <c r="AR76" s="165">
        <v>0.91823954314735001</v>
      </c>
      <c r="AS76" s="168" t="s">
        <v>115</v>
      </c>
    </row>
    <row r="77" spans="1:45" ht="12" customHeight="1">
      <c r="A77" s="309" t="s">
        <v>223</v>
      </c>
      <c r="B77" s="427" t="s">
        <v>224</v>
      </c>
      <c r="C77" s="1431" t="str">
        <f t="shared" si="23"/>
        <v>--</v>
      </c>
      <c r="D77" s="1432" t="str">
        <f t="shared" si="16"/>
        <v xml:space="preserve"> </v>
      </c>
      <c r="E77" s="217" t="s">
        <v>115</v>
      </c>
      <c r="F77" s="1345"/>
      <c r="G77" s="217" t="s">
        <v>115</v>
      </c>
      <c r="H77" s="165"/>
      <c r="I77" s="687" t="s">
        <v>115</v>
      </c>
      <c r="J77" s="165"/>
      <c r="K77" s="1433"/>
      <c r="L77" s="1431" t="str">
        <f t="shared" si="17"/>
        <v>--</v>
      </c>
      <c r="M77" s="1432" t="str">
        <f t="shared" si="18"/>
        <v xml:space="preserve"> </v>
      </c>
      <c r="N77" s="217" t="s">
        <v>115</v>
      </c>
      <c r="O77" s="1436"/>
      <c r="P77" s="507" t="s">
        <v>115</v>
      </c>
      <c r="Q77" s="165"/>
      <c r="R77" s="178" t="s">
        <v>115</v>
      </c>
      <c r="S77" s="225"/>
      <c r="T77" s="1431">
        <f t="shared" si="19"/>
        <v>1E-4</v>
      </c>
      <c r="U77" s="1432" t="str">
        <f t="shared" si="20"/>
        <v>IRIS 2001</v>
      </c>
      <c r="V77" s="217" t="s">
        <v>115</v>
      </c>
      <c r="W77" s="161"/>
      <c r="X77" s="179">
        <v>1E-4</v>
      </c>
      <c r="Y77" s="165" t="s">
        <v>1232</v>
      </c>
      <c r="Z77" s="687" t="s">
        <v>115</v>
      </c>
      <c r="AA77" s="328"/>
      <c r="AB77" s="1431" t="str">
        <f t="shared" si="21"/>
        <v>--</v>
      </c>
      <c r="AC77" s="1432" t="str">
        <f t="shared" si="22"/>
        <v xml:space="preserve"> </v>
      </c>
      <c r="AD77" s="507" t="s">
        <v>115</v>
      </c>
      <c r="AE77" s="165"/>
      <c r="AF77" s="507" t="s">
        <v>115</v>
      </c>
      <c r="AG77" s="165"/>
      <c r="AH77" s="1435" t="s">
        <v>115</v>
      </c>
      <c r="AI77" s="1434"/>
      <c r="AJ77" s="402">
        <v>1</v>
      </c>
      <c r="AK77" s="312" t="s">
        <v>115</v>
      </c>
      <c r="AL77" s="402" t="s">
        <v>495</v>
      </c>
      <c r="AM77" s="328">
        <v>1E-3</v>
      </c>
      <c r="AN77" s="492" t="s">
        <v>1203</v>
      </c>
      <c r="AO77" s="314">
        <v>1</v>
      </c>
      <c r="AP77" s="158">
        <v>5.6609400812500004E-3</v>
      </c>
      <c r="AQ77" s="158">
        <v>1.71787401155715</v>
      </c>
      <c r="AR77" s="165">
        <v>4.1228976277371698</v>
      </c>
      <c r="AS77" s="168" t="s">
        <v>115</v>
      </c>
    </row>
    <row r="78" spans="1:45" ht="12" customHeight="1">
      <c r="A78" s="309" t="s">
        <v>225</v>
      </c>
      <c r="B78" s="427" t="s">
        <v>226</v>
      </c>
      <c r="C78" s="1431" t="str">
        <f t="shared" si="23"/>
        <v>--</v>
      </c>
      <c r="D78" s="1432" t="str">
        <f t="shared" si="16"/>
        <v xml:space="preserve"> </v>
      </c>
      <c r="E78" s="217" t="s">
        <v>115</v>
      </c>
      <c r="F78" s="1345"/>
      <c r="G78" s="217" t="s">
        <v>115</v>
      </c>
      <c r="H78" s="165"/>
      <c r="I78" s="687" t="s">
        <v>115</v>
      </c>
      <c r="J78" s="165"/>
      <c r="K78" s="1433"/>
      <c r="L78" s="1431" t="str">
        <f t="shared" si="17"/>
        <v>--</v>
      </c>
      <c r="M78" s="1432" t="str">
        <f t="shared" si="18"/>
        <v xml:space="preserve"> </v>
      </c>
      <c r="N78" s="217" t="s">
        <v>115</v>
      </c>
      <c r="O78" s="1436"/>
      <c r="P78" s="507" t="s">
        <v>115</v>
      </c>
      <c r="Q78" s="165"/>
      <c r="R78" s="178" t="s">
        <v>115</v>
      </c>
      <c r="S78" s="225"/>
      <c r="T78" s="1431">
        <f t="shared" si="19"/>
        <v>4.0000000000000001E-3</v>
      </c>
      <c r="U78" s="1432" t="str">
        <f t="shared" si="20"/>
        <v>IRIS 2003</v>
      </c>
      <c r="V78" s="217" t="s">
        <v>115</v>
      </c>
      <c r="W78" s="161"/>
      <c r="X78" s="179">
        <v>4.0000000000000001E-3</v>
      </c>
      <c r="Y78" s="165" t="s">
        <v>1211</v>
      </c>
      <c r="Z78" s="687" t="s">
        <v>115</v>
      </c>
      <c r="AA78" s="328"/>
      <c r="AB78" s="1431" t="str">
        <f t="shared" si="21"/>
        <v>--</v>
      </c>
      <c r="AC78" s="1432" t="str">
        <f t="shared" si="22"/>
        <v xml:space="preserve"> </v>
      </c>
      <c r="AD78" s="507" t="s">
        <v>115</v>
      </c>
      <c r="AE78" s="165"/>
      <c r="AF78" s="507" t="s">
        <v>115</v>
      </c>
      <c r="AG78" s="165"/>
      <c r="AH78" s="1435" t="s">
        <v>115</v>
      </c>
      <c r="AI78" s="1434"/>
      <c r="AJ78" s="402">
        <v>1</v>
      </c>
      <c r="AK78" s="312">
        <v>0.13</v>
      </c>
      <c r="AL78" s="402" t="s">
        <v>495</v>
      </c>
      <c r="AM78" s="328">
        <v>9.1700000000000004E-2</v>
      </c>
      <c r="AN78" s="492" t="s">
        <v>1199</v>
      </c>
      <c r="AO78" s="314">
        <v>1</v>
      </c>
      <c r="AP78" s="158">
        <v>0.42057725862600998</v>
      </c>
      <c r="AQ78" s="158">
        <v>0.65791342676832998</v>
      </c>
      <c r="AR78" s="165">
        <v>1.57899222424399</v>
      </c>
      <c r="AS78" s="168" t="s">
        <v>115</v>
      </c>
    </row>
    <row r="79" spans="1:45" ht="12" customHeight="1">
      <c r="A79" s="309" t="s">
        <v>227</v>
      </c>
      <c r="B79" s="427" t="s">
        <v>228</v>
      </c>
      <c r="C79" s="1431">
        <f t="shared" si="23"/>
        <v>1.8E-3</v>
      </c>
      <c r="D79" s="1432" t="str">
        <f t="shared" si="16"/>
        <v>OEHHA 2009</v>
      </c>
      <c r="E79" s="328">
        <v>1.8E-3</v>
      </c>
      <c r="F79" s="1345" t="s">
        <v>1204</v>
      </c>
      <c r="G79" s="217" t="s">
        <v>115</v>
      </c>
      <c r="H79" s="165"/>
      <c r="I79" s="687" t="s">
        <v>115</v>
      </c>
      <c r="J79" s="165"/>
      <c r="K79" s="1433"/>
      <c r="L79" s="1431">
        <f t="shared" si="17"/>
        <v>2.6E-7</v>
      </c>
      <c r="M79" s="1432" t="str">
        <f t="shared" si="18"/>
        <v>OEHHA 2009</v>
      </c>
      <c r="N79" s="328">
        <v>2.6E-7</v>
      </c>
      <c r="O79" s="161" t="s">
        <v>1204</v>
      </c>
      <c r="P79" s="507" t="s">
        <v>115</v>
      </c>
      <c r="Q79" s="165"/>
      <c r="R79" s="178" t="s">
        <v>115</v>
      </c>
      <c r="S79" s="225"/>
      <c r="T79" s="1431" t="str">
        <f t="shared" si="19"/>
        <v>--</v>
      </c>
      <c r="U79" s="1432" t="str">
        <f t="shared" si="20"/>
        <v xml:space="preserve"> </v>
      </c>
      <c r="V79" s="217" t="s">
        <v>115</v>
      </c>
      <c r="W79" s="161"/>
      <c r="X79" s="507" t="s">
        <v>115</v>
      </c>
      <c r="Y79" s="165"/>
      <c r="Z79" s="687" t="s">
        <v>115</v>
      </c>
      <c r="AA79" s="328"/>
      <c r="AB79" s="1431">
        <f t="shared" si="21"/>
        <v>3000</v>
      </c>
      <c r="AC79" s="1432" t="str">
        <f t="shared" si="22"/>
        <v>IRIS 1993</v>
      </c>
      <c r="AD79" s="179">
        <v>8000</v>
      </c>
      <c r="AE79" s="165" t="s">
        <v>1256</v>
      </c>
      <c r="AF79" s="179">
        <v>3000</v>
      </c>
      <c r="AG79" s="165" t="s">
        <v>1219</v>
      </c>
      <c r="AH79" s="1435" t="s">
        <v>115</v>
      </c>
      <c r="AI79" s="1434"/>
      <c r="AJ79" s="402">
        <v>1</v>
      </c>
      <c r="AK79" s="312" t="s">
        <v>115</v>
      </c>
      <c r="AL79" s="402" t="s">
        <v>495</v>
      </c>
      <c r="AM79" s="328">
        <v>2.1099999999999999E-3</v>
      </c>
      <c r="AN79" s="492" t="s">
        <v>1199</v>
      </c>
      <c r="AO79" s="314">
        <v>1</v>
      </c>
      <c r="AP79" s="158">
        <v>7.6194343068800002E-3</v>
      </c>
      <c r="AQ79" s="158">
        <v>0.32771351306433</v>
      </c>
      <c r="AR79" s="165">
        <v>0.78651243135438997</v>
      </c>
      <c r="AS79" s="168" t="s">
        <v>115</v>
      </c>
    </row>
    <row r="80" spans="1:45" ht="12" customHeight="1">
      <c r="A80" s="309" t="s">
        <v>229</v>
      </c>
      <c r="B80" s="427" t="s">
        <v>230</v>
      </c>
      <c r="C80" s="1431" t="str">
        <f t="shared" si="23"/>
        <v>--</v>
      </c>
      <c r="D80" s="1432" t="str">
        <f t="shared" si="16"/>
        <v xml:space="preserve"> </v>
      </c>
      <c r="E80" s="217" t="s">
        <v>115</v>
      </c>
      <c r="F80" s="1345"/>
      <c r="G80" s="217" t="s">
        <v>115</v>
      </c>
      <c r="H80" s="165"/>
      <c r="I80" s="687" t="s">
        <v>115</v>
      </c>
      <c r="J80" s="165"/>
      <c r="K80" s="1433"/>
      <c r="L80" s="1431" t="str">
        <f t="shared" si="17"/>
        <v>--</v>
      </c>
      <c r="M80" s="1432" t="str">
        <f t="shared" si="18"/>
        <v xml:space="preserve"> </v>
      </c>
      <c r="N80" s="217" t="s">
        <v>115</v>
      </c>
      <c r="O80" s="161"/>
      <c r="P80" s="178" t="s">
        <v>115</v>
      </c>
      <c r="Q80" s="165"/>
      <c r="R80" s="178" t="s">
        <v>115</v>
      </c>
      <c r="S80" s="225"/>
      <c r="T80" s="1431">
        <f t="shared" si="19"/>
        <v>5.0000000000000001E-3</v>
      </c>
      <c r="U80" s="1432" t="str">
        <f t="shared" si="20"/>
        <v>IRIS 1992</v>
      </c>
      <c r="V80" s="217" t="s">
        <v>115</v>
      </c>
      <c r="W80" s="161"/>
      <c r="X80" s="163">
        <v>5.0000000000000001E-3</v>
      </c>
      <c r="Y80" s="225" t="s">
        <v>1223</v>
      </c>
      <c r="Z80" s="687" t="s">
        <v>115</v>
      </c>
      <c r="AA80" s="328"/>
      <c r="AB80" s="1431">
        <f t="shared" si="21"/>
        <v>2</v>
      </c>
      <c r="AC80" s="1432" t="str">
        <f t="shared" si="22"/>
        <v>ATSDR 2020</v>
      </c>
      <c r="AD80" s="507" t="s">
        <v>115</v>
      </c>
      <c r="AE80" s="165"/>
      <c r="AF80" s="507" t="s">
        <v>115</v>
      </c>
      <c r="AG80" s="165"/>
      <c r="AH80" s="1435">
        <v>2</v>
      </c>
      <c r="AI80" s="1434" t="s">
        <v>1257</v>
      </c>
      <c r="AJ80" s="402">
        <v>1</v>
      </c>
      <c r="AK80" s="312" t="s">
        <v>115</v>
      </c>
      <c r="AL80" s="402" t="s">
        <v>495</v>
      </c>
      <c r="AM80" s="328">
        <v>1E-3</v>
      </c>
      <c r="AN80" s="492" t="s">
        <v>1203</v>
      </c>
      <c r="AO80" s="314">
        <v>1</v>
      </c>
      <c r="AP80" s="158">
        <v>3.7672679347599998E-3</v>
      </c>
      <c r="AQ80" s="158">
        <v>0.36233705455365001</v>
      </c>
      <c r="AR80" s="165">
        <v>0.86960893092876002</v>
      </c>
      <c r="AS80" s="168" t="s">
        <v>115</v>
      </c>
    </row>
    <row r="81" spans="1:45" s="1" customFormat="1" ht="12" customHeight="1">
      <c r="A81" s="309" t="s">
        <v>231</v>
      </c>
      <c r="B81" s="427" t="s">
        <v>232</v>
      </c>
      <c r="C81" s="1431" t="str">
        <f t="shared" si="23"/>
        <v>--</v>
      </c>
      <c r="D81" s="1432" t="str">
        <f t="shared" si="16"/>
        <v xml:space="preserve"> </v>
      </c>
      <c r="E81" s="217" t="s">
        <v>115</v>
      </c>
      <c r="F81" s="1345"/>
      <c r="G81" s="217" t="s">
        <v>115</v>
      </c>
      <c r="H81" s="165"/>
      <c r="I81" s="687" t="s">
        <v>115</v>
      </c>
      <c r="J81" s="165"/>
      <c r="K81" s="1433"/>
      <c r="L81" s="1431">
        <f t="shared" si="17"/>
        <v>2.5999999999999998E-4</v>
      </c>
      <c r="M81" s="1432" t="str">
        <f t="shared" si="18"/>
        <v>OEHHA 2009</v>
      </c>
      <c r="N81" s="328">
        <v>2.5999999999999998E-4</v>
      </c>
      <c r="O81" s="161" t="s">
        <v>1204</v>
      </c>
      <c r="P81" s="178" t="s">
        <v>115</v>
      </c>
      <c r="Q81" s="165"/>
      <c r="R81" s="178" t="s">
        <v>115</v>
      </c>
      <c r="S81" s="225"/>
      <c r="T81" s="1431">
        <f t="shared" si="19"/>
        <v>1.0999999999999999E-2</v>
      </c>
      <c r="U81" s="1432" t="str">
        <f t="shared" si="20"/>
        <v>OEHHA 2012</v>
      </c>
      <c r="V81" s="328">
        <v>1.0999999999999999E-2</v>
      </c>
      <c r="W81" s="161" t="s">
        <v>1258</v>
      </c>
      <c r="X81" s="179">
        <v>0.02</v>
      </c>
      <c r="Y81" s="165" t="s">
        <v>1201</v>
      </c>
      <c r="Z81" s="687" t="s">
        <v>115</v>
      </c>
      <c r="AA81" s="328"/>
      <c r="AB81" s="1431">
        <f t="shared" si="21"/>
        <v>1.4E-2</v>
      </c>
      <c r="AC81" s="1432" t="str">
        <f t="shared" si="22"/>
        <v>OEHHA 2012</v>
      </c>
      <c r="AD81" s="179">
        <v>1.4E-2</v>
      </c>
      <c r="AE81" s="165" t="s">
        <v>1258</v>
      </c>
      <c r="AF81" s="507" t="s">
        <v>115</v>
      </c>
      <c r="AG81" s="165"/>
      <c r="AH81" s="1437">
        <v>0.09</v>
      </c>
      <c r="AI81" s="1434" t="s">
        <v>1259</v>
      </c>
      <c r="AJ81" s="402">
        <v>0.04</v>
      </c>
      <c r="AK81" s="312" t="s">
        <v>115</v>
      </c>
      <c r="AL81" s="402" t="s">
        <v>495</v>
      </c>
      <c r="AM81" s="328">
        <v>2.0000000000000001E-4</v>
      </c>
      <c r="AN81" s="492" t="s">
        <v>1203</v>
      </c>
      <c r="AO81" s="314">
        <v>1</v>
      </c>
      <c r="AP81" s="158">
        <v>5.8940346936999996E-4</v>
      </c>
      <c r="AQ81" s="158">
        <v>0.22419439440901001</v>
      </c>
      <c r="AR81" s="165">
        <v>0.53806654658162001</v>
      </c>
      <c r="AS81" s="168" t="s">
        <v>115</v>
      </c>
    </row>
    <row r="82" spans="1:45" ht="12" customHeight="1">
      <c r="A82" s="2" t="s">
        <v>233</v>
      </c>
      <c r="B82" s="426" t="s">
        <v>234</v>
      </c>
      <c r="C82" s="1431" t="str">
        <f t="shared" si="23"/>
        <v>--</v>
      </c>
      <c r="D82" s="1432" t="str">
        <f t="shared" si="16"/>
        <v xml:space="preserve"> </v>
      </c>
      <c r="E82" s="217" t="s">
        <v>115</v>
      </c>
      <c r="F82" s="1345"/>
      <c r="G82" s="217" t="s">
        <v>115</v>
      </c>
      <c r="H82" s="165"/>
      <c r="I82" s="687" t="s">
        <v>115</v>
      </c>
      <c r="J82" s="587"/>
      <c r="K82" s="1446"/>
      <c r="L82" s="1431" t="str">
        <f t="shared" si="17"/>
        <v>--</v>
      </c>
      <c r="M82" s="1432" t="str">
        <f t="shared" si="18"/>
        <v xml:space="preserve"> </v>
      </c>
      <c r="N82" s="217" t="s">
        <v>115</v>
      </c>
      <c r="O82" s="161"/>
      <c r="P82" s="178" t="s">
        <v>115</v>
      </c>
      <c r="Q82" s="165"/>
      <c r="R82" s="178" t="s">
        <v>115</v>
      </c>
      <c r="S82" s="815"/>
      <c r="T82" s="1431">
        <f t="shared" si="19"/>
        <v>0.06</v>
      </c>
      <c r="U82" s="1432" t="str">
        <f t="shared" si="20"/>
        <v>IRIS 1990</v>
      </c>
      <c r="V82" s="328" t="s">
        <v>115</v>
      </c>
      <c r="W82" s="161"/>
      <c r="X82" s="179">
        <v>0.06</v>
      </c>
      <c r="Y82" s="165" t="s">
        <v>1229</v>
      </c>
      <c r="Z82" s="687" t="s">
        <v>115</v>
      </c>
      <c r="AA82" s="10"/>
      <c r="AB82" s="1431" t="str">
        <f t="shared" si="21"/>
        <v>--</v>
      </c>
      <c r="AC82" s="1432" t="str">
        <f t="shared" si="22"/>
        <v xml:space="preserve"> </v>
      </c>
      <c r="AD82" s="179" t="s">
        <v>115</v>
      </c>
      <c r="AE82" s="165"/>
      <c r="AF82" s="507" t="s">
        <v>115</v>
      </c>
      <c r="AG82" s="165"/>
      <c r="AH82" s="1435" t="s">
        <v>115</v>
      </c>
      <c r="AI82" s="1434"/>
      <c r="AJ82" s="401">
        <v>1</v>
      </c>
      <c r="AK82" s="310">
        <v>0.13</v>
      </c>
      <c r="AL82" s="402" t="s">
        <v>495</v>
      </c>
      <c r="AM82" s="10">
        <v>8.5999999999999993E-2</v>
      </c>
      <c r="AN82" s="491" t="s">
        <v>1199</v>
      </c>
      <c r="AO82" s="311">
        <v>1</v>
      </c>
      <c r="AP82" s="170">
        <v>0.41075359376748</v>
      </c>
      <c r="AQ82" s="170">
        <v>0.76811235300464997</v>
      </c>
      <c r="AR82" s="587">
        <v>1.84346964721115</v>
      </c>
      <c r="AS82" s="167" t="s">
        <v>115</v>
      </c>
    </row>
    <row r="83" spans="1:45" ht="12" customHeight="1">
      <c r="A83" s="136" t="s">
        <v>235</v>
      </c>
      <c r="B83" s="427" t="s">
        <v>236</v>
      </c>
      <c r="C83" s="1431" t="str">
        <f t="shared" si="23"/>
        <v>--</v>
      </c>
      <c r="D83" s="1432" t="str">
        <f t="shared" si="16"/>
        <v xml:space="preserve"> </v>
      </c>
      <c r="E83" s="217" t="s">
        <v>115</v>
      </c>
      <c r="F83" s="1345"/>
      <c r="G83" s="217" t="s">
        <v>115</v>
      </c>
      <c r="H83" s="165"/>
      <c r="I83" s="687" t="s">
        <v>115</v>
      </c>
      <c r="J83" s="165"/>
      <c r="K83" s="1433"/>
      <c r="L83" s="1431" t="str">
        <f t="shared" si="17"/>
        <v>--</v>
      </c>
      <c r="M83" s="1432" t="str">
        <f t="shared" si="18"/>
        <v xml:space="preserve"> </v>
      </c>
      <c r="N83" s="217" t="s">
        <v>115</v>
      </c>
      <c r="O83" s="161"/>
      <c r="P83" s="178" t="s">
        <v>115</v>
      </c>
      <c r="Q83" s="165"/>
      <c r="R83" s="178" t="s">
        <v>115</v>
      </c>
      <c r="S83" s="225"/>
      <c r="T83" s="1431">
        <f t="shared" si="19"/>
        <v>0.3</v>
      </c>
      <c r="U83" s="1432" t="str">
        <f t="shared" si="20"/>
        <v>IRIS 1991</v>
      </c>
      <c r="V83" s="328" t="s">
        <v>115</v>
      </c>
      <c r="W83" s="161"/>
      <c r="X83" s="179">
        <v>0.3</v>
      </c>
      <c r="Y83" s="165" t="s">
        <v>1201</v>
      </c>
      <c r="Z83" s="687" t="s">
        <v>115</v>
      </c>
      <c r="AA83" s="328"/>
      <c r="AB83" s="1431" t="str">
        <f t="shared" si="21"/>
        <v>--</v>
      </c>
      <c r="AC83" s="1432" t="str">
        <f t="shared" si="22"/>
        <v xml:space="preserve"> </v>
      </c>
      <c r="AD83" s="179" t="s">
        <v>115</v>
      </c>
      <c r="AE83" s="165"/>
      <c r="AF83" s="507" t="s">
        <v>115</v>
      </c>
      <c r="AG83" s="165"/>
      <c r="AH83" s="1435" t="s">
        <v>115</v>
      </c>
      <c r="AI83" s="1434"/>
      <c r="AJ83" s="402">
        <v>1</v>
      </c>
      <c r="AK83" s="312">
        <v>0.13</v>
      </c>
      <c r="AL83" s="402" t="s">
        <v>495</v>
      </c>
      <c r="AM83" s="328">
        <v>0.14199999999999999</v>
      </c>
      <c r="AN83" s="492" t="s">
        <v>1199</v>
      </c>
      <c r="AO83" s="314">
        <v>1</v>
      </c>
      <c r="AP83" s="158">
        <v>0.72915118033710002</v>
      </c>
      <c r="AQ83" s="158">
        <v>1.0471110667780701</v>
      </c>
      <c r="AR83" s="165">
        <v>4.0502150728380801</v>
      </c>
      <c r="AS83" s="168" t="s">
        <v>115</v>
      </c>
    </row>
    <row r="84" spans="1:45" ht="12" customHeight="1">
      <c r="A84" s="136" t="s">
        <v>237</v>
      </c>
      <c r="B84" s="427" t="s">
        <v>238</v>
      </c>
      <c r="C84" s="1431">
        <f t="shared" si="23"/>
        <v>0.1</v>
      </c>
      <c r="D84" s="1432" t="str">
        <f t="shared" si="16"/>
        <v>IRIS 2017</v>
      </c>
      <c r="E84" s="217" t="s">
        <v>115</v>
      </c>
      <c r="F84" s="1345"/>
      <c r="G84" s="2000">
        <f>$G$85*K84</f>
        <v>0.1</v>
      </c>
      <c r="H84" s="165" t="s">
        <v>1260</v>
      </c>
      <c r="I84" s="687" t="s">
        <v>115</v>
      </c>
      <c r="J84" s="165"/>
      <c r="K84" s="1433">
        <v>0.1</v>
      </c>
      <c r="L84" s="1431">
        <f t="shared" si="17"/>
        <v>1.1E-4</v>
      </c>
      <c r="M84" s="1432" t="str">
        <f t="shared" si="18"/>
        <v>OEHHA 2009</v>
      </c>
      <c r="N84" s="328">
        <v>1.1E-4</v>
      </c>
      <c r="O84" s="161" t="s">
        <v>1204</v>
      </c>
      <c r="P84" s="178" t="s">
        <v>115</v>
      </c>
      <c r="Q84" s="165"/>
      <c r="R84" s="178" t="s">
        <v>115</v>
      </c>
      <c r="S84" s="225"/>
      <c r="T84" s="1431" t="str">
        <f t="shared" si="19"/>
        <v>--</v>
      </c>
      <c r="U84" s="1432" t="str">
        <f t="shared" si="20"/>
        <v xml:space="preserve"> </v>
      </c>
      <c r="V84" s="328" t="s">
        <v>115</v>
      </c>
      <c r="W84" s="161"/>
      <c r="X84" s="179" t="s">
        <v>115</v>
      </c>
      <c r="Y84" s="165"/>
      <c r="Z84" s="687" t="s">
        <v>115</v>
      </c>
      <c r="AA84" s="328"/>
      <c r="AB84" s="1431" t="str">
        <f t="shared" si="21"/>
        <v>--</v>
      </c>
      <c r="AC84" s="1432" t="str">
        <f t="shared" si="22"/>
        <v xml:space="preserve"> </v>
      </c>
      <c r="AD84" s="179" t="s">
        <v>115</v>
      </c>
      <c r="AE84" s="165"/>
      <c r="AF84" s="507" t="s">
        <v>115</v>
      </c>
      <c r="AG84" s="165"/>
      <c r="AH84" s="1435" t="s">
        <v>115</v>
      </c>
      <c r="AI84" s="1434"/>
      <c r="AJ84" s="402">
        <v>1</v>
      </c>
      <c r="AK84" s="312">
        <v>0.13</v>
      </c>
      <c r="AL84" s="402" t="s">
        <v>496</v>
      </c>
      <c r="AM84" s="328">
        <v>0.55200000000000005</v>
      </c>
      <c r="AN84" s="492" t="s">
        <v>1199</v>
      </c>
      <c r="AO84" s="314">
        <v>1</v>
      </c>
      <c r="AP84" s="158">
        <v>3.2078842222611401</v>
      </c>
      <c r="AQ84" s="158">
        <v>1.99677324839304</v>
      </c>
      <c r="AR84" s="165">
        <v>8.4818237910935093</v>
      </c>
      <c r="AS84" s="168" t="s">
        <v>495</v>
      </c>
    </row>
    <row r="85" spans="1:45" ht="12" customHeight="1">
      <c r="A85" s="136" t="s">
        <v>239</v>
      </c>
      <c r="B85" s="427" t="s">
        <v>240</v>
      </c>
      <c r="C85" s="1431">
        <f t="shared" si="23"/>
        <v>1</v>
      </c>
      <c r="D85" s="1432" t="str">
        <f t="shared" si="16"/>
        <v>IRIS 2017</v>
      </c>
      <c r="E85" s="217" t="s">
        <v>115</v>
      </c>
      <c r="F85" s="1345"/>
      <c r="G85" s="2000">
        <v>1</v>
      </c>
      <c r="H85" s="165" t="s">
        <v>1260</v>
      </c>
      <c r="I85" s="687" t="s">
        <v>115</v>
      </c>
      <c r="J85" s="165"/>
      <c r="K85" s="1433">
        <v>1</v>
      </c>
      <c r="L85" s="1431">
        <f t="shared" si="17"/>
        <v>1.1000000000000001E-3</v>
      </c>
      <c r="M85" s="1432" t="str">
        <f t="shared" si="18"/>
        <v>OEHHA 2009</v>
      </c>
      <c r="N85" s="328">
        <v>1.1000000000000001E-3</v>
      </c>
      <c r="O85" s="161" t="s">
        <v>1204</v>
      </c>
      <c r="P85" s="178" t="s">
        <v>115</v>
      </c>
      <c r="Q85" s="165"/>
      <c r="R85" s="178" t="s">
        <v>115</v>
      </c>
      <c r="S85" s="225"/>
      <c r="T85" s="1431">
        <f t="shared" si="19"/>
        <v>2.9999999999999997E-4</v>
      </c>
      <c r="U85" s="1432" t="str">
        <f t="shared" si="20"/>
        <v>IRIS 2017</v>
      </c>
      <c r="V85" s="328" t="s">
        <v>115</v>
      </c>
      <c r="W85" s="161"/>
      <c r="X85" s="179">
        <v>2.9999999999999997E-4</v>
      </c>
      <c r="Y85" s="165" t="s">
        <v>1260</v>
      </c>
      <c r="Z85" s="687" t="s">
        <v>115</v>
      </c>
      <c r="AA85" s="328"/>
      <c r="AB85" s="1431">
        <f t="shared" si="21"/>
        <v>2E-3</v>
      </c>
      <c r="AC85" s="1432" t="str">
        <f t="shared" si="22"/>
        <v>IRIS 2017</v>
      </c>
      <c r="AD85" s="179" t="s">
        <v>115</v>
      </c>
      <c r="AE85" s="165"/>
      <c r="AF85" s="507">
        <v>2E-3</v>
      </c>
      <c r="AG85" s="165" t="s">
        <v>1260</v>
      </c>
      <c r="AH85" s="1437"/>
      <c r="AI85" s="1434"/>
      <c r="AJ85" s="402">
        <v>1</v>
      </c>
      <c r="AK85" s="312">
        <v>0.13</v>
      </c>
      <c r="AL85" s="402" t="s">
        <v>496</v>
      </c>
      <c r="AM85" s="328">
        <v>0.71299999999999997</v>
      </c>
      <c r="AN85" s="492" t="s">
        <v>1199</v>
      </c>
      <c r="AO85" s="314">
        <v>1</v>
      </c>
      <c r="AP85" s="158">
        <v>4.3560416128113797</v>
      </c>
      <c r="AQ85" s="158">
        <v>2.72170311040471</v>
      </c>
      <c r="AR85" s="165">
        <v>11.8221045485476</v>
      </c>
      <c r="AS85" s="168" t="s">
        <v>495</v>
      </c>
    </row>
    <row r="86" spans="1:45" ht="12" customHeight="1">
      <c r="A86" s="136" t="s">
        <v>241</v>
      </c>
      <c r="B86" s="427" t="s">
        <v>242</v>
      </c>
      <c r="C86" s="1431">
        <f t="shared" si="23"/>
        <v>0.1</v>
      </c>
      <c r="D86" s="1432" t="str">
        <f t="shared" si="16"/>
        <v>IRIS 2017</v>
      </c>
      <c r="E86" s="217" t="s">
        <v>115</v>
      </c>
      <c r="F86" s="1345"/>
      <c r="G86" s="2000">
        <f>$G$85*K86</f>
        <v>0.1</v>
      </c>
      <c r="H86" s="165" t="s">
        <v>1260</v>
      </c>
      <c r="I86" s="687" t="s">
        <v>115</v>
      </c>
      <c r="J86" s="165"/>
      <c r="K86" s="1433">
        <v>0.1</v>
      </c>
      <c r="L86" s="1431">
        <f t="shared" si="17"/>
        <v>1.1E-4</v>
      </c>
      <c r="M86" s="1432" t="str">
        <f t="shared" si="18"/>
        <v>OEHHA 2009</v>
      </c>
      <c r="N86" s="328">
        <v>1.1E-4</v>
      </c>
      <c r="O86" s="161" t="s">
        <v>1204</v>
      </c>
      <c r="P86" s="178" t="s">
        <v>115</v>
      </c>
      <c r="Q86" s="165"/>
      <c r="R86" s="178" t="s">
        <v>115</v>
      </c>
      <c r="S86" s="225"/>
      <c r="T86" s="1431" t="str">
        <f t="shared" si="19"/>
        <v>--</v>
      </c>
      <c r="U86" s="1432" t="str">
        <f t="shared" si="20"/>
        <v xml:space="preserve"> </v>
      </c>
      <c r="V86" s="328" t="s">
        <v>115</v>
      </c>
      <c r="W86" s="161"/>
      <c r="X86" s="179" t="s">
        <v>115</v>
      </c>
      <c r="Y86" s="165"/>
      <c r="Z86" s="687" t="s">
        <v>115</v>
      </c>
      <c r="AA86" s="328"/>
      <c r="AB86" s="1431" t="str">
        <f t="shared" si="21"/>
        <v>--</v>
      </c>
      <c r="AC86" s="1432" t="str">
        <f t="shared" si="22"/>
        <v xml:space="preserve"> </v>
      </c>
      <c r="AD86" s="179" t="s">
        <v>115</v>
      </c>
      <c r="AE86" s="165"/>
      <c r="AF86" s="507" t="s">
        <v>115</v>
      </c>
      <c r="AG86" s="165"/>
      <c r="AH86" s="1435" t="s">
        <v>115</v>
      </c>
      <c r="AI86" s="1434"/>
      <c r="AJ86" s="402">
        <v>1</v>
      </c>
      <c r="AK86" s="312">
        <v>0.13</v>
      </c>
      <c r="AL86" s="402" t="s">
        <v>496</v>
      </c>
      <c r="AM86" s="328">
        <v>0.41699999999999998</v>
      </c>
      <c r="AN86" s="492" t="s">
        <v>1199</v>
      </c>
      <c r="AO86" s="314">
        <v>1</v>
      </c>
      <c r="AP86" s="158">
        <v>2.5476428506905302</v>
      </c>
      <c r="AQ86" s="158">
        <v>2.72170311040471</v>
      </c>
      <c r="AR86" s="165">
        <v>11.342074091747</v>
      </c>
      <c r="AS86" s="168" t="s">
        <v>495</v>
      </c>
    </row>
    <row r="87" spans="1:45" ht="12" customHeight="1">
      <c r="A87" s="136" t="s">
        <v>243</v>
      </c>
      <c r="B87" s="427" t="s">
        <v>244</v>
      </c>
      <c r="C87" s="1431">
        <f t="shared" si="23"/>
        <v>0.01</v>
      </c>
      <c r="D87" s="1432" t="str">
        <f t="shared" si="16"/>
        <v>IRIS 2017</v>
      </c>
      <c r="E87" s="217" t="s">
        <v>115</v>
      </c>
      <c r="F87" s="1345"/>
      <c r="G87" s="2000">
        <f>$G$85*K87</f>
        <v>0.01</v>
      </c>
      <c r="H87" s="165" t="s">
        <v>1260</v>
      </c>
      <c r="I87" s="687" t="s">
        <v>115</v>
      </c>
      <c r="J87" s="165"/>
      <c r="K87" s="1433">
        <v>0.01</v>
      </c>
      <c r="L87" s="1431">
        <f t="shared" si="17"/>
        <v>1.1E-4</v>
      </c>
      <c r="M87" s="1432" t="str">
        <f t="shared" si="18"/>
        <v>OEHHA 2009</v>
      </c>
      <c r="N87" s="328">
        <v>1.1E-4</v>
      </c>
      <c r="O87" s="161" t="s">
        <v>1204</v>
      </c>
      <c r="P87" s="178" t="s">
        <v>115</v>
      </c>
      <c r="Q87" s="165"/>
      <c r="R87" s="178" t="s">
        <v>115</v>
      </c>
      <c r="S87" s="225"/>
      <c r="T87" s="1431" t="str">
        <f t="shared" si="19"/>
        <v>--</v>
      </c>
      <c r="U87" s="1432" t="str">
        <f t="shared" si="20"/>
        <v xml:space="preserve"> </v>
      </c>
      <c r="V87" s="328" t="s">
        <v>115</v>
      </c>
      <c r="W87" s="161"/>
      <c r="X87" s="179" t="s">
        <v>115</v>
      </c>
      <c r="Y87" s="165"/>
      <c r="Z87" s="687" t="s">
        <v>115</v>
      </c>
      <c r="AA87" s="328"/>
      <c r="AB87" s="1431" t="str">
        <f t="shared" si="21"/>
        <v>--</v>
      </c>
      <c r="AC87" s="1432" t="str">
        <f t="shared" si="22"/>
        <v xml:space="preserve"> </v>
      </c>
      <c r="AD87" s="179" t="s">
        <v>115</v>
      </c>
      <c r="AE87" s="165"/>
      <c r="AF87" s="507" t="s">
        <v>115</v>
      </c>
      <c r="AG87" s="165"/>
      <c r="AH87" s="1435" t="s">
        <v>115</v>
      </c>
      <c r="AI87" s="1434"/>
      <c r="AJ87" s="402">
        <v>1</v>
      </c>
      <c r="AK87" s="312">
        <v>0.13</v>
      </c>
      <c r="AL87" s="402" t="s">
        <v>496</v>
      </c>
      <c r="AM87" s="328">
        <v>0.69099999999999995</v>
      </c>
      <c r="AN87" s="492" t="s">
        <v>1199</v>
      </c>
      <c r="AO87" s="314">
        <v>0.9</v>
      </c>
      <c r="AP87" s="158">
        <v>4.22163359670781</v>
      </c>
      <c r="AQ87" s="158">
        <v>2.72170311040471</v>
      </c>
      <c r="AR87" s="165">
        <v>11.7971618300472</v>
      </c>
      <c r="AS87" s="168" t="s">
        <v>495</v>
      </c>
    </row>
    <row r="88" spans="1:45" ht="12" customHeight="1">
      <c r="A88" s="136" t="s">
        <v>245</v>
      </c>
      <c r="B88" s="427" t="s">
        <v>246</v>
      </c>
      <c r="C88" s="1431">
        <f t="shared" si="23"/>
        <v>1E-3</v>
      </c>
      <c r="D88" s="1432" t="str">
        <f t="shared" si="16"/>
        <v>IRIS 2017</v>
      </c>
      <c r="E88" s="217" t="s">
        <v>115</v>
      </c>
      <c r="F88" s="1345"/>
      <c r="G88" s="2000">
        <f>$G$85*K88</f>
        <v>1E-3</v>
      </c>
      <c r="H88" s="165" t="s">
        <v>1260</v>
      </c>
      <c r="I88" s="687" t="s">
        <v>115</v>
      </c>
      <c r="J88" s="165"/>
      <c r="K88" s="1433">
        <v>1E-3</v>
      </c>
      <c r="L88" s="1431">
        <f t="shared" si="17"/>
        <v>1.1E-5</v>
      </c>
      <c r="M88" s="1432" t="str">
        <f t="shared" si="18"/>
        <v>OEHHA 2009</v>
      </c>
      <c r="N88" s="328">
        <v>1.1E-5</v>
      </c>
      <c r="O88" s="161" t="s">
        <v>1204</v>
      </c>
      <c r="P88" s="178" t="s">
        <v>115</v>
      </c>
      <c r="Q88" s="165"/>
      <c r="R88" s="178" t="s">
        <v>115</v>
      </c>
      <c r="S88" s="225"/>
      <c r="T88" s="1431" t="str">
        <f t="shared" si="19"/>
        <v>--</v>
      </c>
      <c r="U88" s="1432" t="str">
        <f t="shared" si="20"/>
        <v xml:space="preserve"> </v>
      </c>
      <c r="V88" s="328" t="s">
        <v>115</v>
      </c>
      <c r="W88" s="161"/>
      <c r="X88" s="179" t="s">
        <v>115</v>
      </c>
      <c r="Y88" s="165"/>
      <c r="Z88" s="687" t="s">
        <v>115</v>
      </c>
      <c r="AA88" s="328"/>
      <c r="AB88" s="1431" t="str">
        <f t="shared" si="21"/>
        <v>--</v>
      </c>
      <c r="AC88" s="1432" t="str">
        <f t="shared" si="22"/>
        <v xml:space="preserve"> </v>
      </c>
      <c r="AD88" s="179" t="s">
        <v>115</v>
      </c>
      <c r="AE88" s="165"/>
      <c r="AF88" s="507" t="s">
        <v>115</v>
      </c>
      <c r="AG88" s="165"/>
      <c r="AH88" s="1435" t="s">
        <v>115</v>
      </c>
      <c r="AI88" s="1434"/>
      <c r="AJ88" s="402">
        <v>1</v>
      </c>
      <c r="AK88" s="312">
        <v>0.13</v>
      </c>
      <c r="AL88" s="402" t="s">
        <v>496</v>
      </c>
      <c r="AM88" s="328">
        <v>0.59599999999999997</v>
      </c>
      <c r="AN88" s="492" t="s">
        <v>1199</v>
      </c>
      <c r="AO88" s="314">
        <v>1</v>
      </c>
      <c r="AP88" s="158">
        <v>3.4635851385283298</v>
      </c>
      <c r="AQ88" s="158">
        <v>1.99677324839304</v>
      </c>
      <c r="AR88" s="165">
        <v>8.5324002686394103</v>
      </c>
      <c r="AS88" s="168" t="s">
        <v>495</v>
      </c>
    </row>
    <row r="89" spans="1:45" ht="12" customHeight="1">
      <c r="A89" s="136" t="s">
        <v>247</v>
      </c>
      <c r="B89" s="427" t="s">
        <v>248</v>
      </c>
      <c r="C89" s="1431">
        <f t="shared" si="23"/>
        <v>4.0999999999999996</v>
      </c>
      <c r="D89" s="1432" t="str">
        <f t="shared" si="16"/>
        <v>OEHHA 1992</v>
      </c>
      <c r="E89" s="217">
        <v>4.0999999999999996</v>
      </c>
      <c r="F89" s="1345" t="s">
        <v>1254</v>
      </c>
      <c r="G89" s="2000">
        <f>$G$85*K89</f>
        <v>1</v>
      </c>
      <c r="H89" s="165" t="s">
        <v>1260</v>
      </c>
      <c r="I89" s="687" t="s">
        <v>115</v>
      </c>
      <c r="J89" s="165"/>
      <c r="K89" s="1433">
        <v>1</v>
      </c>
      <c r="L89" s="1431">
        <f t="shared" si="17"/>
        <v>1.1999999999999999E-3</v>
      </c>
      <c r="M89" s="1432" t="str">
        <f t="shared" si="18"/>
        <v>OEHHA 2009</v>
      </c>
      <c r="N89" s="328">
        <v>1.1999999999999999E-3</v>
      </c>
      <c r="O89" s="161" t="s">
        <v>1204</v>
      </c>
      <c r="P89" s="178" t="s">
        <v>115</v>
      </c>
      <c r="Q89" s="165"/>
      <c r="R89" s="178" t="s">
        <v>115</v>
      </c>
      <c r="S89" s="225"/>
      <c r="T89" s="1431" t="str">
        <f t="shared" si="19"/>
        <v>--</v>
      </c>
      <c r="U89" s="1432" t="str">
        <f t="shared" si="20"/>
        <v xml:space="preserve"> </v>
      </c>
      <c r="V89" s="328" t="s">
        <v>115</v>
      </c>
      <c r="W89" s="161"/>
      <c r="X89" s="179" t="s">
        <v>115</v>
      </c>
      <c r="Y89" s="165"/>
      <c r="Z89" s="687" t="s">
        <v>115</v>
      </c>
      <c r="AA89" s="328"/>
      <c r="AB89" s="1431" t="str">
        <f t="shared" si="21"/>
        <v>--</v>
      </c>
      <c r="AC89" s="1432" t="str">
        <f t="shared" si="22"/>
        <v xml:space="preserve"> </v>
      </c>
      <c r="AD89" s="179" t="s">
        <v>115</v>
      </c>
      <c r="AE89" s="165"/>
      <c r="AF89" s="507" t="s">
        <v>115</v>
      </c>
      <c r="AG89" s="165"/>
      <c r="AH89" s="1435" t="s">
        <v>115</v>
      </c>
      <c r="AI89" s="1434"/>
      <c r="AJ89" s="402">
        <v>1</v>
      </c>
      <c r="AK89" s="308">
        <v>0.13</v>
      </c>
      <c r="AL89" s="402" t="s">
        <v>496</v>
      </c>
      <c r="AM89" s="328">
        <v>0.95299999999999996</v>
      </c>
      <c r="AN89" s="492" t="s">
        <v>1199</v>
      </c>
      <c r="AO89" s="314">
        <v>0.6</v>
      </c>
      <c r="AP89" s="158">
        <v>6.1153732128582599</v>
      </c>
      <c r="AQ89" s="158">
        <v>3.8077177598421001</v>
      </c>
      <c r="AR89" s="165">
        <v>16.878565185445101</v>
      </c>
      <c r="AS89" s="168" t="s">
        <v>495</v>
      </c>
    </row>
    <row r="90" spans="1:45" ht="12" customHeight="1">
      <c r="A90" s="136" t="s">
        <v>249</v>
      </c>
      <c r="B90" s="427" t="s">
        <v>250</v>
      </c>
      <c r="C90" s="1431" t="str">
        <f t="shared" si="23"/>
        <v>--</v>
      </c>
      <c r="D90" s="1432" t="str">
        <f t="shared" si="16"/>
        <v xml:space="preserve"> </v>
      </c>
      <c r="E90" s="217" t="s">
        <v>115</v>
      </c>
      <c r="F90" s="1345"/>
      <c r="G90" s="217" t="s">
        <v>115</v>
      </c>
      <c r="H90" s="165"/>
      <c r="I90" s="687" t="s">
        <v>115</v>
      </c>
      <c r="J90" s="165"/>
      <c r="K90" s="1433"/>
      <c r="L90" s="1431" t="str">
        <f t="shared" si="17"/>
        <v>--</v>
      </c>
      <c r="M90" s="1432" t="str">
        <f t="shared" si="18"/>
        <v xml:space="preserve"> </v>
      </c>
      <c r="N90" s="217" t="s">
        <v>115</v>
      </c>
      <c r="O90" s="161"/>
      <c r="P90" s="178" t="s">
        <v>115</v>
      </c>
      <c r="Q90" s="165"/>
      <c r="R90" s="178" t="s">
        <v>115</v>
      </c>
      <c r="S90" s="225"/>
      <c r="T90" s="1431">
        <f t="shared" si="19"/>
        <v>0.04</v>
      </c>
      <c r="U90" s="1432" t="str">
        <f t="shared" si="20"/>
        <v>IRIS 1990</v>
      </c>
      <c r="V90" s="328" t="s">
        <v>115</v>
      </c>
      <c r="W90" s="161"/>
      <c r="X90" s="179">
        <v>0.04</v>
      </c>
      <c r="Y90" s="165" t="s">
        <v>1229</v>
      </c>
      <c r="Z90" s="687" t="s">
        <v>115</v>
      </c>
      <c r="AA90" s="328"/>
      <c r="AB90" s="1431" t="str">
        <f t="shared" si="21"/>
        <v>--</v>
      </c>
      <c r="AC90" s="1432" t="str">
        <f t="shared" si="22"/>
        <v xml:space="preserve"> </v>
      </c>
      <c r="AD90" s="179" t="s">
        <v>115</v>
      </c>
      <c r="AE90" s="165"/>
      <c r="AF90" s="507" t="s">
        <v>115</v>
      </c>
      <c r="AG90" s="165"/>
      <c r="AH90" s="1435" t="s">
        <v>115</v>
      </c>
      <c r="AI90" s="1434"/>
      <c r="AJ90" s="402">
        <v>1</v>
      </c>
      <c r="AK90" s="312">
        <v>0.13</v>
      </c>
      <c r="AL90" s="402" t="s">
        <v>496</v>
      </c>
      <c r="AM90" s="328">
        <v>0.308</v>
      </c>
      <c r="AN90" s="492" t="s">
        <v>1199</v>
      </c>
      <c r="AO90" s="314">
        <v>1</v>
      </c>
      <c r="AP90" s="158">
        <v>1.6847379934306901</v>
      </c>
      <c r="AQ90" s="158">
        <v>1.42726543921932</v>
      </c>
      <c r="AR90" s="165">
        <v>5.7297979152854701</v>
      </c>
      <c r="AS90" s="168" t="s">
        <v>115</v>
      </c>
    </row>
    <row r="91" spans="1:45" ht="12" customHeight="1">
      <c r="A91" s="136" t="s">
        <v>251</v>
      </c>
      <c r="B91" s="427" t="s">
        <v>252</v>
      </c>
      <c r="C91" s="1431" t="str">
        <f t="shared" si="23"/>
        <v>--</v>
      </c>
      <c r="D91" s="1432" t="str">
        <f t="shared" si="16"/>
        <v xml:space="preserve"> </v>
      </c>
      <c r="E91" s="217" t="s">
        <v>115</v>
      </c>
      <c r="F91" s="1345"/>
      <c r="G91" s="217" t="s">
        <v>115</v>
      </c>
      <c r="H91" s="165"/>
      <c r="I91" s="687" t="s">
        <v>115</v>
      </c>
      <c r="J91" s="165"/>
      <c r="K91" s="1433"/>
      <c r="L91" s="1431" t="str">
        <f t="shared" si="17"/>
        <v>--</v>
      </c>
      <c r="M91" s="1432" t="str">
        <f t="shared" si="18"/>
        <v xml:space="preserve"> </v>
      </c>
      <c r="N91" s="217" t="s">
        <v>115</v>
      </c>
      <c r="O91" s="161"/>
      <c r="P91" s="178" t="s">
        <v>115</v>
      </c>
      <c r="Q91" s="165"/>
      <c r="R91" s="178" t="s">
        <v>115</v>
      </c>
      <c r="S91" s="225"/>
      <c r="T91" s="1431">
        <f t="shared" si="19"/>
        <v>0.04</v>
      </c>
      <c r="U91" s="1432" t="str">
        <f t="shared" si="20"/>
        <v>IRIS 1990</v>
      </c>
      <c r="V91" s="328" t="s">
        <v>115</v>
      </c>
      <c r="W91" s="161"/>
      <c r="X91" s="179">
        <v>0.04</v>
      </c>
      <c r="Y91" s="165" t="s">
        <v>1229</v>
      </c>
      <c r="Z91" s="687" t="s">
        <v>115</v>
      </c>
      <c r="AA91" s="328"/>
      <c r="AB91" s="1431" t="str">
        <f t="shared" si="21"/>
        <v>--</v>
      </c>
      <c r="AC91" s="1432" t="str">
        <f t="shared" si="22"/>
        <v xml:space="preserve"> </v>
      </c>
      <c r="AD91" s="179" t="s">
        <v>115</v>
      </c>
      <c r="AE91" s="165"/>
      <c r="AF91" s="507" t="s">
        <v>115</v>
      </c>
      <c r="AG91" s="165"/>
      <c r="AH91" s="1435" t="s">
        <v>115</v>
      </c>
      <c r="AI91" s="1434"/>
      <c r="AJ91" s="402">
        <v>1</v>
      </c>
      <c r="AK91" s="312">
        <v>0.13</v>
      </c>
      <c r="AL91" s="402" t="s">
        <v>495</v>
      </c>
      <c r="AM91" s="328">
        <v>0.11</v>
      </c>
      <c r="AN91" s="492" t="s">
        <v>1199</v>
      </c>
      <c r="AO91" s="314">
        <v>1</v>
      </c>
      <c r="AP91" s="158">
        <v>0.54545757350781998</v>
      </c>
      <c r="AQ91" s="158">
        <v>0.89676933595412001</v>
      </c>
      <c r="AR91" s="165">
        <v>2.1522464062898998</v>
      </c>
      <c r="AS91" s="168" t="s">
        <v>115</v>
      </c>
    </row>
    <row r="92" spans="1:45" ht="12" customHeight="1">
      <c r="A92" s="136" t="s">
        <v>253</v>
      </c>
      <c r="B92" s="427" t="s">
        <v>254</v>
      </c>
      <c r="C92" s="1431">
        <f t="shared" si="23"/>
        <v>0.1</v>
      </c>
      <c r="D92" s="1432" t="str">
        <f t="shared" si="16"/>
        <v>IRIS 2017</v>
      </c>
      <c r="E92" s="217" t="s">
        <v>115</v>
      </c>
      <c r="F92" s="1345"/>
      <c r="G92" s="2000">
        <f>$G$85*K92</f>
        <v>0.1</v>
      </c>
      <c r="H92" s="165" t="s">
        <v>1260</v>
      </c>
      <c r="I92" s="687" t="s">
        <v>115</v>
      </c>
      <c r="J92" s="165"/>
      <c r="K92" s="1433">
        <v>0.1</v>
      </c>
      <c r="L92" s="1431">
        <f t="shared" si="17"/>
        <v>1.1E-4</v>
      </c>
      <c r="M92" s="1432" t="str">
        <f t="shared" si="18"/>
        <v>OEHHA 2009</v>
      </c>
      <c r="N92" s="328">
        <v>1.1E-4</v>
      </c>
      <c r="O92" s="161" t="s">
        <v>1204</v>
      </c>
      <c r="P92" s="178" t="s">
        <v>115</v>
      </c>
      <c r="Q92" s="165"/>
      <c r="R92" s="178" t="s">
        <v>115</v>
      </c>
      <c r="S92" s="225"/>
      <c r="T92" s="1431" t="str">
        <f t="shared" si="19"/>
        <v>--</v>
      </c>
      <c r="U92" s="1432" t="str">
        <f t="shared" si="20"/>
        <v xml:space="preserve"> </v>
      </c>
      <c r="V92" s="328" t="s">
        <v>115</v>
      </c>
      <c r="W92" s="161"/>
      <c r="X92" s="179" t="s">
        <v>115</v>
      </c>
      <c r="Y92" s="165"/>
      <c r="Z92" s="687" t="s">
        <v>115</v>
      </c>
      <c r="AA92" s="328"/>
      <c r="AB92" s="1431" t="str">
        <f t="shared" si="21"/>
        <v>--</v>
      </c>
      <c r="AC92" s="1432" t="str">
        <f t="shared" si="22"/>
        <v xml:space="preserve"> </v>
      </c>
      <c r="AD92" s="179" t="s">
        <v>115</v>
      </c>
      <c r="AE92" s="165"/>
      <c r="AF92" s="507" t="s">
        <v>115</v>
      </c>
      <c r="AG92" s="165"/>
      <c r="AH92" s="1435" t="s">
        <v>115</v>
      </c>
      <c r="AI92" s="1434"/>
      <c r="AJ92" s="402">
        <v>1</v>
      </c>
      <c r="AK92" s="312">
        <v>0.13</v>
      </c>
      <c r="AL92" s="402" t="s">
        <v>496</v>
      </c>
      <c r="AM92" s="328">
        <v>1.24</v>
      </c>
      <c r="AN92" s="492" t="s">
        <v>1199</v>
      </c>
      <c r="AO92" s="314">
        <v>0.6</v>
      </c>
      <c r="AP92" s="158">
        <v>7.92811997831343</v>
      </c>
      <c r="AQ92" s="158">
        <v>3.7098192431956001</v>
      </c>
      <c r="AR92" s="165">
        <v>16.651939304483601</v>
      </c>
      <c r="AS92" s="168" t="s">
        <v>495</v>
      </c>
    </row>
    <row r="93" spans="1:45" ht="12" customHeight="1">
      <c r="A93" s="136" t="s">
        <v>255</v>
      </c>
      <c r="B93" s="427" t="s">
        <v>256</v>
      </c>
      <c r="C93" s="1431">
        <f t="shared" si="23"/>
        <v>0.12</v>
      </c>
      <c r="D93" s="1432" t="str">
        <f t="shared" si="16"/>
        <v>OEHHA 2009</v>
      </c>
      <c r="E93" s="217">
        <v>0.12</v>
      </c>
      <c r="F93" s="1345" t="s">
        <v>1204</v>
      </c>
      <c r="G93" s="217" t="s">
        <v>115</v>
      </c>
      <c r="H93" s="165"/>
      <c r="I93" s="687" t="s">
        <v>115</v>
      </c>
      <c r="J93" s="165"/>
      <c r="K93" s="1433"/>
      <c r="L93" s="1431">
        <f t="shared" si="17"/>
        <v>3.4E-5</v>
      </c>
      <c r="M93" s="1432" t="str">
        <f t="shared" si="18"/>
        <v>OEHHA 2009</v>
      </c>
      <c r="N93" s="328">
        <v>3.4E-5</v>
      </c>
      <c r="O93" s="161" t="s">
        <v>1204</v>
      </c>
      <c r="P93" s="178" t="s">
        <v>115</v>
      </c>
      <c r="Q93" s="165"/>
      <c r="R93" s="178" t="s">
        <v>115</v>
      </c>
      <c r="S93" s="225"/>
      <c r="T93" s="1431">
        <f t="shared" si="19"/>
        <v>0.02</v>
      </c>
      <c r="U93" s="1432" t="str">
        <f t="shared" si="20"/>
        <v>IRIS 1998</v>
      </c>
      <c r="V93" s="328" t="s">
        <v>115</v>
      </c>
      <c r="W93" s="161"/>
      <c r="X93" s="179">
        <v>0.02</v>
      </c>
      <c r="Y93" s="165" t="s">
        <v>1213</v>
      </c>
      <c r="Z93" s="687" t="s">
        <v>115</v>
      </c>
      <c r="AA93" s="328"/>
      <c r="AB93" s="1431">
        <f t="shared" si="21"/>
        <v>3</v>
      </c>
      <c r="AC93" s="1432" t="str">
        <f t="shared" si="22"/>
        <v>IRIS 1998</v>
      </c>
      <c r="AD93" s="179">
        <v>9</v>
      </c>
      <c r="AE93" s="165" t="s">
        <v>1256</v>
      </c>
      <c r="AF93" s="507">
        <v>3</v>
      </c>
      <c r="AG93" s="165" t="s">
        <v>1213</v>
      </c>
      <c r="AH93" s="1435" t="s">
        <v>115</v>
      </c>
      <c r="AI93" s="1434"/>
      <c r="AJ93" s="402">
        <v>1</v>
      </c>
      <c r="AK93" s="308">
        <v>0.13</v>
      </c>
      <c r="AL93" s="402" t="s">
        <v>495</v>
      </c>
      <c r="AM93" s="328">
        <v>4.6600000000000003E-2</v>
      </c>
      <c r="AN93" s="492" t="s">
        <v>1199</v>
      </c>
      <c r="AO93" s="314">
        <v>1</v>
      </c>
      <c r="AP93" s="158">
        <v>0.20291899482685</v>
      </c>
      <c r="AQ93" s="158">
        <v>0.54910670856167998</v>
      </c>
      <c r="AR93" s="165">
        <v>1.31785610054804</v>
      </c>
      <c r="AS93" s="168" t="s">
        <v>115</v>
      </c>
    </row>
    <row r="94" spans="1:45" ht="12" customHeight="1">
      <c r="A94" s="136" t="s">
        <v>257</v>
      </c>
      <c r="B94" s="427" t="s">
        <v>258</v>
      </c>
      <c r="C94" s="1431" t="str">
        <f t="shared" si="23"/>
        <v>--</v>
      </c>
      <c r="D94" s="1432" t="str">
        <f t="shared" si="16"/>
        <v xml:space="preserve"> </v>
      </c>
      <c r="E94" s="217" t="s">
        <v>115</v>
      </c>
      <c r="F94" s="1345"/>
      <c r="G94" s="217" t="s">
        <v>115</v>
      </c>
      <c r="H94" s="165"/>
      <c r="I94" s="687" t="s">
        <v>115</v>
      </c>
      <c r="J94" s="165"/>
      <c r="K94" s="1433"/>
      <c r="L94" s="1431" t="str">
        <f t="shared" si="17"/>
        <v>--</v>
      </c>
      <c r="M94" s="1432" t="str">
        <f t="shared" si="18"/>
        <v xml:space="preserve"> </v>
      </c>
      <c r="N94" s="217" t="s">
        <v>115</v>
      </c>
      <c r="O94" s="161"/>
      <c r="P94" s="178" t="s">
        <v>115</v>
      </c>
      <c r="Q94" s="165"/>
      <c r="R94" s="178" t="s">
        <v>115</v>
      </c>
      <c r="S94" s="225"/>
      <c r="T94" s="1431">
        <f t="shared" si="19"/>
        <v>0.03</v>
      </c>
      <c r="U94" s="1432" t="str">
        <f t="shared" si="20"/>
        <v>IRIS 1991</v>
      </c>
      <c r="V94" s="328" t="s">
        <v>115</v>
      </c>
      <c r="W94" s="161"/>
      <c r="X94" s="179">
        <v>0.03</v>
      </c>
      <c r="Y94" s="165" t="s">
        <v>1201</v>
      </c>
      <c r="Z94" s="687" t="s">
        <v>115</v>
      </c>
      <c r="AA94" s="328"/>
      <c r="AB94" s="1431" t="str">
        <f t="shared" si="21"/>
        <v>--</v>
      </c>
      <c r="AC94" s="1432" t="str">
        <f t="shared" si="22"/>
        <v xml:space="preserve"> </v>
      </c>
      <c r="AD94" s="179" t="s">
        <v>115</v>
      </c>
      <c r="AE94" s="165"/>
      <c r="AF94" s="507" t="s">
        <v>115</v>
      </c>
      <c r="AG94" s="165"/>
      <c r="AH94" s="1435" t="s">
        <v>115</v>
      </c>
      <c r="AI94" s="1434"/>
      <c r="AJ94" s="402">
        <v>1</v>
      </c>
      <c r="AK94" s="312">
        <v>0.13</v>
      </c>
      <c r="AL94" s="402" t="s">
        <v>495</v>
      </c>
      <c r="AM94" s="328">
        <v>0.20100000000000001</v>
      </c>
      <c r="AN94" s="492" t="s">
        <v>1199</v>
      </c>
      <c r="AO94" s="314">
        <v>1</v>
      </c>
      <c r="AP94" s="158">
        <v>1.09945563857003</v>
      </c>
      <c r="AQ94" s="158">
        <v>1.42726543921932</v>
      </c>
      <c r="AR94" s="165">
        <v>5.53530713863268</v>
      </c>
      <c r="AS94" s="168" t="s">
        <v>115</v>
      </c>
    </row>
    <row r="95" spans="1:45" ht="12" customHeight="1">
      <c r="A95" s="309" t="s">
        <v>259</v>
      </c>
      <c r="B95" s="427" t="s">
        <v>260</v>
      </c>
      <c r="C95" s="1431">
        <f t="shared" si="23"/>
        <v>0.4</v>
      </c>
      <c r="D95" s="1432" t="str">
        <f t="shared" si="16"/>
        <v>IRIS 2010</v>
      </c>
      <c r="E95" s="328">
        <v>8.1000000000000003E-2</v>
      </c>
      <c r="F95" s="1345" t="s">
        <v>1204</v>
      </c>
      <c r="G95" s="328">
        <v>0.4</v>
      </c>
      <c r="H95" s="165" t="s">
        <v>1226</v>
      </c>
      <c r="I95" s="687" t="s">
        <v>115</v>
      </c>
      <c r="J95" s="165"/>
      <c r="K95" s="1433"/>
      <c r="L95" s="1431">
        <f t="shared" si="17"/>
        <v>5.1000000000000003E-6</v>
      </c>
      <c r="M95" s="1432" t="str">
        <f t="shared" si="18"/>
        <v>OEHHA 2009</v>
      </c>
      <c r="N95" s="328">
        <v>5.1000000000000003E-6</v>
      </c>
      <c r="O95" s="161" t="s">
        <v>1204</v>
      </c>
      <c r="P95" s="507" t="s">
        <v>115</v>
      </c>
      <c r="Q95" s="165"/>
      <c r="R95" s="178" t="s">
        <v>115</v>
      </c>
      <c r="S95" s="225"/>
      <c r="T95" s="1431">
        <f t="shared" si="19"/>
        <v>5.0000000000000001E-3</v>
      </c>
      <c r="U95" s="1432" t="str">
        <f t="shared" si="20"/>
        <v>IRIS 2010</v>
      </c>
      <c r="V95" s="217" t="s">
        <v>115</v>
      </c>
      <c r="W95" s="161"/>
      <c r="X95" s="179">
        <v>5.0000000000000001E-3</v>
      </c>
      <c r="Y95" s="165" t="s">
        <v>1226</v>
      </c>
      <c r="Z95" s="687" t="s">
        <v>115</v>
      </c>
      <c r="AA95" s="328"/>
      <c r="AB95" s="1431" t="str">
        <f t="shared" si="21"/>
        <v>--</v>
      </c>
      <c r="AC95" s="1432" t="str">
        <f t="shared" si="22"/>
        <v xml:space="preserve"> </v>
      </c>
      <c r="AD95" s="179" t="s">
        <v>115</v>
      </c>
      <c r="AE95" s="165"/>
      <c r="AF95" s="507" t="s">
        <v>115</v>
      </c>
      <c r="AG95" s="165"/>
      <c r="AH95" s="1435" t="s">
        <v>115</v>
      </c>
      <c r="AI95" s="1434"/>
      <c r="AJ95" s="402">
        <v>1</v>
      </c>
      <c r="AK95" s="312">
        <v>0.25</v>
      </c>
      <c r="AL95" s="402" t="s">
        <v>495</v>
      </c>
      <c r="AM95" s="328">
        <v>0.127</v>
      </c>
      <c r="AN95" s="492" t="s">
        <v>1199</v>
      </c>
      <c r="AO95" s="314">
        <v>0.9</v>
      </c>
      <c r="AP95" s="158">
        <v>0.79716563913217997</v>
      </c>
      <c r="AQ95" s="158">
        <v>3.2610146481414501</v>
      </c>
      <c r="AR95" s="165">
        <v>12.5468979093956</v>
      </c>
      <c r="AS95" s="168" t="s">
        <v>115</v>
      </c>
    </row>
    <row r="96" spans="1:45" ht="12" customHeight="1">
      <c r="A96" s="309" t="s">
        <v>261</v>
      </c>
      <c r="B96" s="427" t="s">
        <v>1261</v>
      </c>
      <c r="C96" s="1431" t="str">
        <f t="shared" si="23"/>
        <v>--</v>
      </c>
      <c r="D96" s="1432" t="str">
        <f t="shared" si="16"/>
        <v xml:space="preserve"> </v>
      </c>
      <c r="E96" s="217" t="s">
        <v>115</v>
      </c>
      <c r="F96" s="1345"/>
      <c r="G96" s="217" t="s">
        <v>115</v>
      </c>
      <c r="H96" s="165"/>
      <c r="I96" s="687" t="s">
        <v>115</v>
      </c>
      <c r="J96" s="165"/>
      <c r="K96" s="1433"/>
      <c r="L96" s="1431" t="str">
        <f t="shared" si="17"/>
        <v>--</v>
      </c>
      <c r="M96" s="1432" t="str">
        <f t="shared" si="18"/>
        <v xml:space="preserve"> </v>
      </c>
      <c r="N96" s="217" t="s">
        <v>115</v>
      </c>
      <c r="O96" s="161"/>
      <c r="P96" s="507" t="s">
        <v>115</v>
      </c>
      <c r="Q96" s="165"/>
      <c r="R96" s="178" t="s">
        <v>115</v>
      </c>
      <c r="S96" s="225"/>
      <c r="T96" s="1431">
        <f t="shared" si="19"/>
        <v>6.9999999999999999E-4</v>
      </c>
      <c r="U96" s="1432" t="str">
        <f t="shared" si="20"/>
        <v>IRIS 2005</v>
      </c>
      <c r="V96" s="217" t="s">
        <v>115</v>
      </c>
      <c r="W96" s="161"/>
      <c r="X96" s="179">
        <v>6.9999999999999999E-4</v>
      </c>
      <c r="Y96" s="165" t="s">
        <v>1208</v>
      </c>
      <c r="Z96" s="687" t="s">
        <v>115</v>
      </c>
      <c r="AA96" s="328"/>
      <c r="AB96" s="1431" t="str">
        <f t="shared" si="21"/>
        <v>--</v>
      </c>
      <c r="AC96" s="1432" t="str">
        <f t="shared" si="22"/>
        <v xml:space="preserve"> </v>
      </c>
      <c r="AD96" s="179" t="s">
        <v>115</v>
      </c>
      <c r="AE96" s="165"/>
      <c r="AF96" s="507" t="s">
        <v>115</v>
      </c>
      <c r="AG96" s="165"/>
      <c r="AH96" s="1435" t="s">
        <v>115</v>
      </c>
      <c r="AI96" s="1434"/>
      <c r="AJ96" s="402">
        <v>1</v>
      </c>
      <c r="AK96" s="312" t="s">
        <v>115</v>
      </c>
      <c r="AL96" s="402" t="s">
        <v>495</v>
      </c>
      <c r="AM96" s="328">
        <v>1E-3</v>
      </c>
      <c r="AN96" s="492" t="s">
        <v>1203</v>
      </c>
      <c r="AO96" s="314">
        <v>1</v>
      </c>
      <c r="AP96" s="158">
        <v>4.1689540072800003E-3</v>
      </c>
      <c r="AQ96" s="158">
        <v>0.47840173896024002</v>
      </c>
      <c r="AR96" s="165">
        <v>1.14816417350457</v>
      </c>
      <c r="AS96" s="168" t="s">
        <v>115</v>
      </c>
    </row>
    <row r="97" spans="1:49" ht="12" customHeight="1">
      <c r="A97" s="869" t="s">
        <v>1262</v>
      </c>
      <c r="B97" s="1184" t="s">
        <v>115</v>
      </c>
      <c r="C97" s="1431" t="str">
        <f t="shared" si="23"/>
        <v>--</v>
      </c>
      <c r="D97" s="1432" t="str">
        <f t="shared" si="16"/>
        <v xml:space="preserve"> </v>
      </c>
      <c r="E97" s="217" t="s">
        <v>115</v>
      </c>
      <c r="F97" s="1345"/>
      <c r="G97" s="217" t="s">
        <v>115</v>
      </c>
      <c r="H97" s="165"/>
      <c r="I97" s="687" t="s">
        <v>115</v>
      </c>
      <c r="J97" s="165"/>
      <c r="K97" s="1433"/>
      <c r="L97" s="1431" t="str">
        <f t="shared" si="17"/>
        <v>--</v>
      </c>
      <c r="M97" s="1432"/>
      <c r="N97" s="217" t="s">
        <v>115</v>
      </c>
      <c r="O97" s="161"/>
      <c r="P97" s="507" t="s">
        <v>115</v>
      </c>
      <c r="Q97" s="165"/>
      <c r="R97" s="178" t="s">
        <v>115</v>
      </c>
      <c r="S97" s="225"/>
      <c r="T97" s="1431">
        <f t="shared" ref="T97:T107" si="24">IF(AND(V97&lt;&gt;"--",X97&lt;&gt;"--"),MIN(V97,X97),IF(X97&lt;&gt;"--",X97,IF(AND(V97&lt;&gt;"--",Z97&lt;&gt;"--"),MIN(V97,Z97),IF(Z97&lt;&gt;"--",Z97,V97))))</f>
        <v>0.3</v>
      </c>
      <c r="U97" s="1432" t="str">
        <f t="shared" si="20"/>
        <v>ESL Table IP-9</v>
      </c>
      <c r="V97" s="217" t="s">
        <v>115</v>
      </c>
      <c r="W97" s="161"/>
      <c r="X97" s="507" t="s">
        <v>115</v>
      </c>
      <c r="Y97" s="165"/>
      <c r="Z97" s="485">
        <f>'Petroleum Fractions (IP-9)'!J16</f>
        <v>0.3</v>
      </c>
      <c r="AA97" s="400" t="s">
        <v>1263</v>
      </c>
      <c r="AB97" s="1431">
        <f t="shared" ref="AB97:AB113" si="25">IF(AND(AD97&lt;&gt;"--",AF97&lt;&gt;"--"),MIN(AD97,AF97),IF(AF97&lt;&gt;"--",AF97,IF(AND(AD97&lt;&gt;"--",AH97&lt;&gt;"--"),MIN(AD97,AH97),IF(AH97&lt;&gt;"--",AH97,AD97))))</f>
        <v>619.46902654867256</v>
      </c>
      <c r="AC97" s="1432" t="str">
        <f t="shared" si="22"/>
        <v>ESL Table IP-9</v>
      </c>
      <c r="AD97" s="179" t="s">
        <v>115</v>
      </c>
      <c r="AE97" s="165"/>
      <c r="AF97" s="507" t="s">
        <v>115</v>
      </c>
      <c r="AG97" s="165"/>
      <c r="AH97" s="1435">
        <f>'Petroleum Fractions (IP-9)'!K17</f>
        <v>619.46902654867256</v>
      </c>
      <c r="AI97" s="1434" t="s">
        <v>1263</v>
      </c>
      <c r="AJ97" s="1182">
        <v>1</v>
      </c>
      <c r="AK97" s="867" t="s">
        <v>115</v>
      </c>
      <c r="AL97" s="866" t="s">
        <v>495</v>
      </c>
      <c r="AM97" s="2000">
        <v>0.2</v>
      </c>
      <c r="AN97" s="865" t="s">
        <v>1199</v>
      </c>
      <c r="AO97" s="867">
        <v>1</v>
      </c>
      <c r="AP97" s="347">
        <v>0.72</v>
      </c>
      <c r="AQ97" s="347">
        <v>0.32</v>
      </c>
      <c r="AR97" s="692">
        <v>1.2</v>
      </c>
      <c r="AS97" s="356" t="s">
        <v>115</v>
      </c>
      <c r="AT97" s="1"/>
      <c r="AU97" s="1"/>
      <c r="AV97" s="1"/>
      <c r="AW97" s="1"/>
    </row>
    <row r="98" spans="1:49" ht="12" customHeight="1">
      <c r="A98" s="869" t="s">
        <v>1264</v>
      </c>
      <c r="B98" s="1184" t="s">
        <v>115</v>
      </c>
      <c r="C98" s="1431" t="str">
        <f t="shared" si="23"/>
        <v>--</v>
      </c>
      <c r="D98" s="1432" t="str">
        <f t="shared" si="16"/>
        <v xml:space="preserve"> </v>
      </c>
      <c r="E98" s="217" t="s">
        <v>115</v>
      </c>
      <c r="F98" s="1345"/>
      <c r="G98" s="217" t="s">
        <v>115</v>
      </c>
      <c r="H98" s="165"/>
      <c r="I98" s="687" t="s">
        <v>115</v>
      </c>
      <c r="J98" s="165"/>
      <c r="K98" s="1433"/>
      <c r="L98" s="1431" t="str">
        <f t="shared" si="17"/>
        <v>--</v>
      </c>
      <c r="M98" s="1432"/>
      <c r="N98" s="217" t="s">
        <v>115</v>
      </c>
      <c r="O98" s="161"/>
      <c r="P98" s="507" t="s">
        <v>115</v>
      </c>
      <c r="Q98" s="165"/>
      <c r="R98" s="178" t="s">
        <v>115</v>
      </c>
      <c r="S98" s="225"/>
      <c r="T98" s="1431">
        <f t="shared" si="24"/>
        <v>3.8839285714285708E-2</v>
      </c>
      <c r="U98" s="1432" t="str">
        <f t="shared" si="20"/>
        <v>ESL Table IP-9</v>
      </c>
      <c r="V98" s="217" t="s">
        <v>115</v>
      </c>
      <c r="W98" s="161"/>
      <c r="X98" s="507" t="s">
        <v>115</v>
      </c>
      <c r="Y98" s="165"/>
      <c r="Z98" s="485">
        <f>'Petroleum Fractions (IP-9)'!J15</f>
        <v>3.8839285714285708E-2</v>
      </c>
      <c r="AA98" s="400" t="s">
        <v>1263</v>
      </c>
      <c r="AB98" s="1431">
        <f t="shared" si="25"/>
        <v>619.46902654867256</v>
      </c>
      <c r="AC98" s="1432" t="str">
        <f t="shared" si="22"/>
        <v>ESL Table IP-9</v>
      </c>
      <c r="AD98" s="179" t="s">
        <v>115</v>
      </c>
      <c r="AE98" s="165"/>
      <c r="AF98" s="507" t="s">
        <v>115</v>
      </c>
      <c r="AG98" s="165"/>
      <c r="AH98" s="1435">
        <f>'Petroleum Fractions (IP-9)'!K17</f>
        <v>619.46902654867256</v>
      </c>
      <c r="AI98" s="1434" t="s">
        <v>1263</v>
      </c>
      <c r="AJ98" s="1182">
        <v>1</v>
      </c>
      <c r="AK98" s="867" t="s">
        <v>115</v>
      </c>
      <c r="AL98" s="866" t="s">
        <v>495</v>
      </c>
      <c r="AM98" s="2000">
        <v>1.2</v>
      </c>
      <c r="AN98" s="865" t="s">
        <v>1199</v>
      </c>
      <c r="AO98" s="867" t="s">
        <v>115</v>
      </c>
      <c r="AP98" s="353" t="s">
        <v>115</v>
      </c>
      <c r="AQ98" s="353" t="s">
        <v>115</v>
      </c>
      <c r="AR98" s="1181" t="s">
        <v>115</v>
      </c>
      <c r="AS98" s="356" t="s">
        <v>115</v>
      </c>
      <c r="AT98" s="1"/>
      <c r="AU98" s="1"/>
      <c r="AV98" s="1"/>
      <c r="AW98" s="1"/>
    </row>
    <row r="99" spans="1:49" ht="12" customHeight="1">
      <c r="A99" s="919" t="s">
        <v>1265</v>
      </c>
      <c r="B99" s="1184" t="s">
        <v>115</v>
      </c>
      <c r="C99" s="1431" t="str">
        <f t="shared" si="23"/>
        <v>--</v>
      </c>
      <c r="D99" s="1432" t="str">
        <f t="shared" si="16"/>
        <v xml:space="preserve"> </v>
      </c>
      <c r="E99" s="217" t="s">
        <v>115</v>
      </c>
      <c r="F99" s="1345"/>
      <c r="G99" s="217" t="s">
        <v>115</v>
      </c>
      <c r="H99" s="165"/>
      <c r="I99" s="687" t="s">
        <v>115</v>
      </c>
      <c r="J99" s="165"/>
      <c r="K99" s="1433"/>
      <c r="L99" s="1431" t="str">
        <f t="shared" si="17"/>
        <v>--</v>
      </c>
      <c r="M99" s="1432"/>
      <c r="N99" s="217" t="s">
        <v>115</v>
      </c>
      <c r="O99" s="161"/>
      <c r="P99" s="507" t="s">
        <v>115</v>
      </c>
      <c r="Q99" s="165"/>
      <c r="R99" s="178" t="s">
        <v>115</v>
      </c>
      <c r="S99" s="225"/>
      <c r="T99" s="1431">
        <f t="shared" si="24"/>
        <v>0.03</v>
      </c>
      <c r="U99" s="1432" t="str">
        <f t="shared" si="20"/>
        <v>ESL Table IP-9</v>
      </c>
      <c r="V99" s="217" t="s">
        <v>115</v>
      </c>
      <c r="W99" s="161"/>
      <c r="X99" s="507" t="s">
        <v>115</v>
      </c>
      <c r="Y99" s="165"/>
      <c r="Z99" s="485">
        <f>'Petroleum Fractions (IP-9)'!J19</f>
        <v>0.03</v>
      </c>
      <c r="AA99" s="400" t="s">
        <v>1263</v>
      </c>
      <c r="AB99" s="1431">
        <f t="shared" si="25"/>
        <v>296.61016949152543</v>
      </c>
      <c r="AC99" s="1432" t="str">
        <f t="shared" si="22"/>
        <v>ESL Table IP-9</v>
      </c>
      <c r="AD99" s="179" t="s">
        <v>115</v>
      </c>
      <c r="AE99" s="165"/>
      <c r="AF99" s="507" t="s">
        <v>115</v>
      </c>
      <c r="AG99" s="165"/>
      <c r="AH99" s="1435">
        <f>'Petroleum Fractions (IP-9)'!K20</f>
        <v>296.61016949152543</v>
      </c>
      <c r="AI99" s="1434" t="s">
        <v>1263</v>
      </c>
      <c r="AJ99" s="1182">
        <v>1</v>
      </c>
      <c r="AK99" s="867" t="s">
        <v>115</v>
      </c>
      <c r="AL99" s="866" t="s">
        <v>495</v>
      </c>
      <c r="AM99" s="2000">
        <v>6.9000000000000006E-2</v>
      </c>
      <c r="AN99" s="865" t="s">
        <v>1199</v>
      </c>
      <c r="AO99" s="867">
        <v>1</v>
      </c>
      <c r="AP99" s="347">
        <v>0.31</v>
      </c>
      <c r="AQ99" s="347">
        <v>0.6</v>
      </c>
      <c r="AR99" s="692">
        <v>1.4</v>
      </c>
      <c r="AS99" s="356" t="s">
        <v>115</v>
      </c>
      <c r="AT99" s="1"/>
      <c r="AU99" s="1"/>
      <c r="AV99" s="1"/>
      <c r="AW99" s="1"/>
    </row>
    <row r="100" spans="1:49" ht="12" customHeight="1">
      <c r="A100" s="919" t="s">
        <v>1266</v>
      </c>
      <c r="B100" s="1184" t="s">
        <v>115</v>
      </c>
      <c r="C100" s="1431" t="str">
        <f t="shared" si="23"/>
        <v>--</v>
      </c>
      <c r="D100" s="1432" t="str">
        <f t="shared" si="16"/>
        <v xml:space="preserve"> </v>
      </c>
      <c r="E100" s="217" t="s">
        <v>115</v>
      </c>
      <c r="F100" s="1345"/>
      <c r="G100" s="217" t="s">
        <v>115</v>
      </c>
      <c r="H100" s="165"/>
      <c r="I100" s="687" t="s">
        <v>115</v>
      </c>
      <c r="J100" s="165"/>
      <c r="K100" s="1433"/>
      <c r="L100" s="1431" t="str">
        <f t="shared" si="17"/>
        <v>--</v>
      </c>
      <c r="M100" s="1432"/>
      <c r="N100" s="217" t="s">
        <v>115</v>
      </c>
      <c r="O100" s="161"/>
      <c r="P100" s="507" t="s">
        <v>115</v>
      </c>
      <c r="Q100" s="165"/>
      <c r="R100" s="178" t="s">
        <v>115</v>
      </c>
      <c r="S100" s="225"/>
      <c r="T100" s="1431">
        <f t="shared" si="24"/>
        <v>1.1029411764705881E-2</v>
      </c>
      <c r="U100" s="1432" t="str">
        <f t="shared" si="20"/>
        <v>ESL Table IP-9</v>
      </c>
      <c r="V100" s="217" t="s">
        <v>115</v>
      </c>
      <c r="W100" s="161"/>
      <c r="X100" s="507" t="s">
        <v>115</v>
      </c>
      <c r="Y100" s="165"/>
      <c r="Z100" s="485">
        <f>'Petroleum Fractions (IP-9)'!J18</f>
        <v>1.1029411764705881E-2</v>
      </c>
      <c r="AA100" s="400" t="s">
        <v>1263</v>
      </c>
      <c r="AB100" s="1431">
        <f t="shared" si="25"/>
        <v>296.61016949152543</v>
      </c>
      <c r="AC100" s="1432" t="str">
        <f t="shared" si="22"/>
        <v>ESL Table IP-9</v>
      </c>
      <c r="AD100" s="179" t="s">
        <v>115</v>
      </c>
      <c r="AE100" s="165"/>
      <c r="AF100" s="507" t="s">
        <v>115</v>
      </c>
      <c r="AG100" s="165"/>
      <c r="AH100" s="1435">
        <f>'Petroleum Fractions (IP-9)'!K20</f>
        <v>296.61016949152543</v>
      </c>
      <c r="AI100" s="1434" t="s">
        <v>1263</v>
      </c>
      <c r="AJ100" s="1182">
        <v>1</v>
      </c>
      <c r="AK100" s="867" t="s">
        <v>115</v>
      </c>
      <c r="AL100" s="866" t="s">
        <v>496</v>
      </c>
      <c r="AM100" s="364" t="s">
        <v>115</v>
      </c>
      <c r="AN100" s="1180" t="s">
        <v>115</v>
      </c>
      <c r="AO100" s="867" t="s">
        <v>115</v>
      </c>
      <c r="AP100" s="353" t="s">
        <v>115</v>
      </c>
      <c r="AQ100" s="353" t="s">
        <v>115</v>
      </c>
      <c r="AR100" s="1181" t="s">
        <v>115</v>
      </c>
      <c r="AS100" s="920" t="s">
        <v>115</v>
      </c>
      <c r="AT100" s="1"/>
      <c r="AU100" s="1"/>
      <c r="AV100" s="1"/>
      <c r="AW100" s="1"/>
    </row>
    <row r="101" spans="1:49" ht="12" customHeight="1">
      <c r="A101" s="919" t="s">
        <v>1267</v>
      </c>
      <c r="B101" s="1184" t="s">
        <v>115</v>
      </c>
      <c r="C101" s="1431" t="str">
        <f t="shared" si="23"/>
        <v>--</v>
      </c>
      <c r="D101" s="1432" t="str">
        <f t="shared" si="16"/>
        <v xml:space="preserve"> </v>
      </c>
      <c r="E101" s="217" t="s">
        <v>115</v>
      </c>
      <c r="F101" s="1345"/>
      <c r="G101" s="217" t="s">
        <v>115</v>
      </c>
      <c r="H101" s="165"/>
      <c r="I101" s="687" t="s">
        <v>115</v>
      </c>
      <c r="J101" s="165"/>
      <c r="K101" s="1433"/>
      <c r="L101" s="1431" t="str">
        <f t="shared" si="17"/>
        <v>--</v>
      </c>
      <c r="M101" s="1432"/>
      <c r="N101" s="217" t="s">
        <v>115</v>
      </c>
      <c r="O101" s="161"/>
      <c r="P101" s="507" t="s">
        <v>115</v>
      </c>
      <c r="Q101" s="165"/>
      <c r="R101" s="178" t="s">
        <v>115</v>
      </c>
      <c r="S101" s="225"/>
      <c r="T101" s="1431">
        <f t="shared" si="24"/>
        <v>0.03</v>
      </c>
      <c r="U101" s="1432" t="str">
        <f t="shared" si="20"/>
        <v>ESL Table IP-9</v>
      </c>
      <c r="V101" s="217" t="s">
        <v>115</v>
      </c>
      <c r="W101" s="161"/>
      <c r="X101" s="507" t="s">
        <v>115</v>
      </c>
      <c r="Y101" s="165"/>
      <c r="Z101" s="485">
        <f>'Petroleum Fractions (IP-9)'!J22</f>
        <v>0.03</v>
      </c>
      <c r="AA101" s="400" t="s">
        <v>1263</v>
      </c>
      <c r="AB101" s="1431">
        <f t="shared" si="25"/>
        <v>296.61016949152543</v>
      </c>
      <c r="AC101" s="1432" t="str">
        <f t="shared" si="22"/>
        <v>ESL Table IP-9</v>
      </c>
      <c r="AD101" s="179" t="s">
        <v>115</v>
      </c>
      <c r="AE101" s="165"/>
      <c r="AF101" s="507" t="s">
        <v>115</v>
      </c>
      <c r="AG101" s="165"/>
      <c r="AH101" s="1435">
        <f>'Petroleum Fractions (IP-9)'!K23</f>
        <v>296.61016949152543</v>
      </c>
      <c r="AI101" s="1434" t="s">
        <v>1263</v>
      </c>
      <c r="AJ101" s="1182">
        <v>1</v>
      </c>
      <c r="AK101" s="867" t="s">
        <v>115</v>
      </c>
      <c r="AL101" s="866" t="s">
        <v>495</v>
      </c>
      <c r="AM101" s="2000">
        <v>6.9000000000000006E-2</v>
      </c>
      <c r="AN101" s="865" t="s">
        <v>1199</v>
      </c>
      <c r="AO101" s="867">
        <v>1</v>
      </c>
      <c r="AP101" s="347">
        <v>0.31</v>
      </c>
      <c r="AQ101" s="347">
        <v>0.6</v>
      </c>
      <c r="AR101" s="692">
        <v>1.4</v>
      </c>
      <c r="AS101" s="356" t="s">
        <v>115</v>
      </c>
      <c r="AT101" s="1"/>
      <c r="AU101" s="1"/>
      <c r="AV101" s="1"/>
      <c r="AW101" s="1"/>
    </row>
    <row r="102" spans="1:49" ht="12" customHeight="1">
      <c r="A102" s="896" t="s">
        <v>1268</v>
      </c>
      <c r="B102" s="1184" t="s">
        <v>115</v>
      </c>
      <c r="C102" s="1431" t="str">
        <f t="shared" si="23"/>
        <v>--</v>
      </c>
      <c r="D102" s="1432" t="str">
        <f t="shared" si="16"/>
        <v xml:space="preserve"> </v>
      </c>
      <c r="E102" s="217" t="s">
        <v>115</v>
      </c>
      <c r="F102" s="1345"/>
      <c r="G102" s="217" t="s">
        <v>115</v>
      </c>
      <c r="H102" s="165"/>
      <c r="I102" s="687" t="s">
        <v>115</v>
      </c>
      <c r="J102" s="165"/>
      <c r="K102" s="1433"/>
      <c r="L102" s="1431" t="str">
        <f t="shared" si="17"/>
        <v>--</v>
      </c>
      <c r="M102" s="1432"/>
      <c r="N102" s="217" t="s">
        <v>115</v>
      </c>
      <c r="O102" s="161"/>
      <c r="P102" s="507" t="s">
        <v>115</v>
      </c>
      <c r="Q102" s="165"/>
      <c r="R102" s="178" t="s">
        <v>115</v>
      </c>
      <c r="S102" s="225"/>
      <c r="T102" s="1431">
        <f t="shared" si="24"/>
        <v>1.2195121951219513E-2</v>
      </c>
      <c r="U102" s="1432" t="str">
        <f t="shared" si="20"/>
        <v>ESL Table IP-9</v>
      </c>
      <c r="V102" s="217" t="s">
        <v>115</v>
      </c>
      <c r="W102" s="161"/>
      <c r="X102" s="507" t="s">
        <v>115</v>
      </c>
      <c r="Y102" s="165"/>
      <c r="Z102" s="485">
        <f>'Petroleum Fractions (IP-9)'!J21</f>
        <v>1.2195121951219513E-2</v>
      </c>
      <c r="AA102" s="400" t="s">
        <v>1263</v>
      </c>
      <c r="AB102" s="1431">
        <f t="shared" si="25"/>
        <v>296.61016949152543</v>
      </c>
      <c r="AC102" s="1432" t="str">
        <f t="shared" si="22"/>
        <v>ESL Table IP-9</v>
      </c>
      <c r="AD102" s="179" t="s">
        <v>115</v>
      </c>
      <c r="AE102" s="165"/>
      <c r="AF102" s="507" t="s">
        <v>115</v>
      </c>
      <c r="AG102" s="165"/>
      <c r="AH102" s="1435">
        <f>'Petroleum Fractions (IP-9)'!K23</f>
        <v>296.61016949152543</v>
      </c>
      <c r="AI102" s="1434" t="s">
        <v>1263</v>
      </c>
      <c r="AJ102" s="1182">
        <v>1</v>
      </c>
      <c r="AK102" s="867" t="s">
        <v>115</v>
      </c>
      <c r="AL102" s="866" t="s">
        <v>496</v>
      </c>
      <c r="AM102" s="364" t="s">
        <v>115</v>
      </c>
      <c r="AN102" s="1180" t="s">
        <v>115</v>
      </c>
      <c r="AO102" s="867" t="s">
        <v>115</v>
      </c>
      <c r="AP102" s="353" t="s">
        <v>115</v>
      </c>
      <c r="AQ102" s="353" t="s">
        <v>115</v>
      </c>
      <c r="AR102" s="1181" t="s">
        <v>115</v>
      </c>
      <c r="AS102" s="356" t="s">
        <v>115</v>
      </c>
      <c r="AT102" s="1"/>
      <c r="AU102" s="1"/>
      <c r="AV102" s="1"/>
      <c r="AW102" s="1"/>
    </row>
    <row r="103" spans="1:49" s="1" customFormat="1" ht="12" customHeight="1">
      <c r="A103" s="919" t="s">
        <v>1269</v>
      </c>
      <c r="B103" s="1184" t="s">
        <v>115</v>
      </c>
      <c r="C103" s="1431" t="str">
        <f t="shared" si="23"/>
        <v>--</v>
      </c>
      <c r="D103" s="1432" t="str">
        <f t="shared" si="16"/>
        <v xml:space="preserve"> </v>
      </c>
      <c r="E103" s="217" t="s">
        <v>115</v>
      </c>
      <c r="F103" s="1345"/>
      <c r="G103" s="217" t="s">
        <v>115</v>
      </c>
      <c r="H103" s="165"/>
      <c r="I103" s="687" t="s">
        <v>115</v>
      </c>
      <c r="J103" s="165"/>
      <c r="K103" s="1433"/>
      <c r="L103" s="1431" t="str">
        <f t="shared" si="17"/>
        <v>--</v>
      </c>
      <c r="M103" s="1432"/>
      <c r="N103" s="217" t="s">
        <v>115</v>
      </c>
      <c r="O103" s="161"/>
      <c r="P103" s="507" t="s">
        <v>115</v>
      </c>
      <c r="Q103" s="165"/>
      <c r="R103" s="178" t="s">
        <v>115</v>
      </c>
      <c r="S103" s="225"/>
      <c r="T103" s="1431">
        <f t="shared" si="24"/>
        <v>0.03</v>
      </c>
      <c r="U103" s="1432" t="str">
        <f t="shared" si="20"/>
        <v>ESL Table IP-9</v>
      </c>
      <c r="V103" s="217" t="s">
        <v>115</v>
      </c>
      <c r="W103" s="161"/>
      <c r="X103" s="507" t="s">
        <v>115</v>
      </c>
      <c r="Y103" s="165"/>
      <c r="Z103" s="485">
        <f>'Petroleum Fractions (IP-9)'!J25</f>
        <v>0.03</v>
      </c>
      <c r="AA103" s="400" t="s">
        <v>1263</v>
      </c>
      <c r="AB103" s="1431">
        <f t="shared" si="25"/>
        <v>194.44444444444443</v>
      </c>
      <c r="AC103" s="1432" t="str">
        <f t="shared" si="22"/>
        <v>ESL Table IP-9</v>
      </c>
      <c r="AD103" s="179" t="s">
        <v>115</v>
      </c>
      <c r="AE103" s="165"/>
      <c r="AF103" s="507" t="s">
        <v>115</v>
      </c>
      <c r="AG103" s="165"/>
      <c r="AH103" s="1435">
        <f>'Petroleum Fractions (IP-9)'!K26</f>
        <v>194.44444444444443</v>
      </c>
      <c r="AI103" s="1434" t="s">
        <v>1263</v>
      </c>
      <c r="AJ103" s="1182">
        <v>1</v>
      </c>
      <c r="AK103" s="867" t="s">
        <v>115</v>
      </c>
      <c r="AL103" s="866" t="s">
        <v>495</v>
      </c>
      <c r="AM103" s="2000">
        <v>6.9000000000000006E-2</v>
      </c>
      <c r="AN103" s="865" t="s">
        <v>1199</v>
      </c>
      <c r="AO103" s="867">
        <v>1</v>
      </c>
      <c r="AP103" s="347">
        <v>0.31</v>
      </c>
      <c r="AQ103" s="347">
        <v>0.6</v>
      </c>
      <c r="AR103" s="692">
        <v>1.4</v>
      </c>
      <c r="AS103" s="356" t="s">
        <v>115</v>
      </c>
    </row>
    <row r="104" spans="1:49" ht="12" customHeight="1">
      <c r="A104" s="896" t="s">
        <v>1270</v>
      </c>
      <c r="B104" s="1184" t="s">
        <v>115</v>
      </c>
      <c r="C104" s="1431" t="str">
        <f t="shared" si="23"/>
        <v>--</v>
      </c>
      <c r="D104" s="1432" t="str">
        <f t="shared" si="16"/>
        <v xml:space="preserve"> </v>
      </c>
      <c r="E104" s="217" t="s">
        <v>115</v>
      </c>
      <c r="F104" s="1345"/>
      <c r="G104" s="217" t="s">
        <v>115</v>
      </c>
      <c r="H104" s="165"/>
      <c r="I104" s="687" t="s">
        <v>115</v>
      </c>
      <c r="J104" s="165"/>
      <c r="K104" s="1433"/>
      <c r="L104" s="1431" t="str">
        <f t="shared" si="17"/>
        <v>--</v>
      </c>
      <c r="M104" s="1432"/>
      <c r="N104" s="217" t="s">
        <v>115</v>
      </c>
      <c r="O104" s="161"/>
      <c r="P104" s="507" t="s">
        <v>115</v>
      </c>
      <c r="Q104" s="165"/>
      <c r="R104" s="178" t="s">
        <v>115</v>
      </c>
      <c r="S104" s="225"/>
      <c r="T104" s="1431">
        <f t="shared" si="24"/>
        <v>1.931123270035404E-2</v>
      </c>
      <c r="U104" s="1432" t="str">
        <f t="shared" si="20"/>
        <v>ESL Table IP-9</v>
      </c>
      <c r="V104" s="217" t="s">
        <v>115</v>
      </c>
      <c r="W104" s="161"/>
      <c r="X104" s="507" t="s">
        <v>115</v>
      </c>
      <c r="Y104" s="165"/>
      <c r="Z104" s="485">
        <f>'Petroleum Fractions (IP-9)'!J24</f>
        <v>1.931123270035404E-2</v>
      </c>
      <c r="AA104" s="400" t="s">
        <v>1263</v>
      </c>
      <c r="AB104" s="1431">
        <f t="shared" si="25"/>
        <v>194.44444444444443</v>
      </c>
      <c r="AC104" s="1432" t="str">
        <f t="shared" si="22"/>
        <v>ESL Table IP-9</v>
      </c>
      <c r="AD104" s="179" t="s">
        <v>115</v>
      </c>
      <c r="AE104" s="165"/>
      <c r="AF104" s="507" t="s">
        <v>115</v>
      </c>
      <c r="AG104" s="165"/>
      <c r="AH104" s="1435">
        <f>'Petroleum Fractions (IP-9)'!K26</f>
        <v>194.44444444444443</v>
      </c>
      <c r="AI104" s="1434" t="s">
        <v>1263</v>
      </c>
      <c r="AJ104" s="1182">
        <v>1</v>
      </c>
      <c r="AK104" s="867" t="s">
        <v>115</v>
      </c>
      <c r="AL104" s="866" t="s">
        <v>496</v>
      </c>
      <c r="AM104" s="364" t="s">
        <v>115</v>
      </c>
      <c r="AN104" s="1180" t="s">
        <v>115</v>
      </c>
      <c r="AO104" s="867" t="s">
        <v>115</v>
      </c>
      <c r="AP104" s="353" t="s">
        <v>115</v>
      </c>
      <c r="AQ104" s="353" t="s">
        <v>115</v>
      </c>
      <c r="AR104" s="1181" t="s">
        <v>115</v>
      </c>
      <c r="AS104" s="356" t="s">
        <v>115</v>
      </c>
      <c r="AT104" s="1"/>
      <c r="AU104" s="1"/>
      <c r="AV104" s="1"/>
      <c r="AW104" s="1"/>
    </row>
    <row r="105" spans="1:49" ht="12" customHeight="1">
      <c r="A105" s="919" t="s">
        <v>1271</v>
      </c>
      <c r="B105" s="1184" t="s">
        <v>115</v>
      </c>
      <c r="C105" s="1431" t="str">
        <f t="shared" si="23"/>
        <v>--</v>
      </c>
      <c r="D105" s="1432" t="str">
        <f t="shared" si="16"/>
        <v xml:space="preserve"> </v>
      </c>
      <c r="E105" s="217" t="s">
        <v>115</v>
      </c>
      <c r="F105" s="1345"/>
      <c r="G105" s="217" t="s">
        <v>115</v>
      </c>
      <c r="H105" s="165"/>
      <c r="I105" s="687" t="s">
        <v>115</v>
      </c>
      <c r="J105" s="165"/>
      <c r="K105" s="1433"/>
      <c r="L105" s="1431" t="str">
        <f t="shared" si="17"/>
        <v>--</v>
      </c>
      <c r="M105" s="1432"/>
      <c r="N105" s="217" t="s">
        <v>115</v>
      </c>
      <c r="O105" s="161"/>
      <c r="P105" s="507" t="s">
        <v>115</v>
      </c>
      <c r="Q105" s="165"/>
      <c r="R105" s="178" t="s">
        <v>115</v>
      </c>
      <c r="S105" s="225"/>
      <c r="T105" s="1431">
        <f t="shared" si="24"/>
        <v>0.03</v>
      </c>
      <c r="U105" s="1432" t="str">
        <f t="shared" si="20"/>
        <v>See UG Ch 4</v>
      </c>
      <c r="V105" s="217" t="s">
        <v>115</v>
      </c>
      <c r="W105" s="161"/>
      <c r="X105" s="507" t="s">
        <v>115</v>
      </c>
      <c r="Y105" s="165"/>
      <c r="Z105" s="485">
        <v>0.03</v>
      </c>
      <c r="AA105" s="328" t="s">
        <v>1272</v>
      </c>
      <c r="AB105" s="1431" t="str">
        <f t="shared" si="25"/>
        <v>--</v>
      </c>
      <c r="AC105" s="1432" t="str">
        <f t="shared" si="22"/>
        <v xml:space="preserve"> </v>
      </c>
      <c r="AD105" s="179" t="s">
        <v>115</v>
      </c>
      <c r="AE105" s="165"/>
      <c r="AF105" s="507" t="s">
        <v>115</v>
      </c>
      <c r="AG105" s="165"/>
      <c r="AH105" s="1435" t="s">
        <v>115</v>
      </c>
      <c r="AI105" s="1434"/>
      <c r="AJ105" s="1182">
        <v>1</v>
      </c>
      <c r="AK105" s="867" t="s">
        <v>115</v>
      </c>
      <c r="AL105" s="866" t="s">
        <v>495</v>
      </c>
      <c r="AM105" s="364">
        <v>2.58E-2</v>
      </c>
      <c r="AN105" s="1180" t="s">
        <v>1199</v>
      </c>
      <c r="AO105" s="867">
        <v>1</v>
      </c>
      <c r="AP105" s="347">
        <v>0.13600000000000001</v>
      </c>
      <c r="AQ105" s="347">
        <v>1.2</v>
      </c>
      <c r="AR105" s="692">
        <v>2.91</v>
      </c>
      <c r="AS105" s="356" t="s">
        <v>115</v>
      </c>
      <c r="AT105" s="1"/>
      <c r="AU105" s="1"/>
      <c r="AV105" s="1"/>
      <c r="AW105" s="1"/>
    </row>
    <row r="106" spans="1:49" ht="12" customHeight="1">
      <c r="A106" s="896" t="s">
        <v>1273</v>
      </c>
      <c r="B106" s="1184" t="s">
        <v>115</v>
      </c>
      <c r="C106" s="1431" t="str">
        <f t="shared" si="23"/>
        <v>--</v>
      </c>
      <c r="D106" s="1432" t="str">
        <f t="shared" si="16"/>
        <v xml:space="preserve"> </v>
      </c>
      <c r="E106" s="217" t="s">
        <v>115</v>
      </c>
      <c r="F106" s="1345"/>
      <c r="G106" s="217" t="s">
        <v>115</v>
      </c>
      <c r="H106" s="165"/>
      <c r="I106" s="687" t="s">
        <v>115</v>
      </c>
      <c r="J106" s="165"/>
      <c r="K106" s="1433"/>
      <c r="L106" s="1431" t="str">
        <f t="shared" si="17"/>
        <v>--</v>
      </c>
      <c r="M106" s="1432"/>
      <c r="N106" s="217" t="s">
        <v>115</v>
      </c>
      <c r="O106" s="161"/>
      <c r="P106" s="507" t="s">
        <v>115</v>
      </c>
      <c r="Q106" s="165"/>
      <c r="R106" s="178" t="s">
        <v>115</v>
      </c>
      <c r="S106" s="225"/>
      <c r="T106" s="1431" t="str">
        <f t="shared" si="24"/>
        <v>--</v>
      </c>
      <c r="U106" s="1432" t="str">
        <f t="shared" si="20"/>
        <v xml:space="preserve"> </v>
      </c>
      <c r="V106" s="217" t="s">
        <v>115</v>
      </c>
      <c r="W106" s="161"/>
      <c r="X106" s="507" t="s">
        <v>115</v>
      </c>
      <c r="Y106" s="165"/>
      <c r="Z106" s="485" t="str">
        <f>'Petroleum Fractions (IP-9)'!J28</f>
        <v>--</v>
      </c>
      <c r="AA106" s="400"/>
      <c r="AB106" s="1431" t="str">
        <f t="shared" si="25"/>
        <v>--</v>
      </c>
      <c r="AC106" s="1432" t="str">
        <f t="shared" si="22"/>
        <v xml:space="preserve"> </v>
      </c>
      <c r="AD106" s="179" t="s">
        <v>115</v>
      </c>
      <c r="AE106" s="165"/>
      <c r="AF106" s="507" t="s">
        <v>115</v>
      </c>
      <c r="AG106" s="165"/>
      <c r="AH106" s="1435" t="str">
        <f>'Petroleum Fractions (IP-9)'!K29</f>
        <v>--</v>
      </c>
      <c r="AI106" s="1434"/>
      <c r="AJ106" s="1182">
        <v>1</v>
      </c>
      <c r="AK106" s="867" t="s">
        <v>115</v>
      </c>
      <c r="AL106" s="866" t="s">
        <v>496</v>
      </c>
      <c r="AM106" s="364" t="s">
        <v>115</v>
      </c>
      <c r="AN106" s="1180" t="s">
        <v>115</v>
      </c>
      <c r="AO106" s="867" t="s">
        <v>115</v>
      </c>
      <c r="AP106" s="353" t="s">
        <v>115</v>
      </c>
      <c r="AQ106" s="353" t="s">
        <v>115</v>
      </c>
      <c r="AR106" s="1181" t="s">
        <v>115</v>
      </c>
      <c r="AS106" s="920" t="s">
        <v>115</v>
      </c>
      <c r="AT106" s="1"/>
      <c r="AU106" s="1"/>
      <c r="AV106" s="1"/>
      <c r="AW106" s="1"/>
    </row>
    <row r="107" spans="1:49" s="1" customFormat="1" ht="12" customHeight="1">
      <c r="A107" s="896" t="s">
        <v>1274</v>
      </c>
      <c r="B107" s="1184" t="s">
        <v>115</v>
      </c>
      <c r="C107" s="1431" t="str">
        <f t="shared" si="23"/>
        <v>--</v>
      </c>
      <c r="D107" s="1432" t="str">
        <f t="shared" si="16"/>
        <v xml:space="preserve"> </v>
      </c>
      <c r="E107" s="217" t="s">
        <v>115</v>
      </c>
      <c r="F107" s="1345"/>
      <c r="G107" s="217" t="s">
        <v>115</v>
      </c>
      <c r="H107" s="165"/>
      <c r="I107" s="687" t="s">
        <v>115</v>
      </c>
      <c r="J107" s="165"/>
      <c r="K107" s="1433"/>
      <c r="L107" s="1431" t="str">
        <f t="shared" si="17"/>
        <v>--</v>
      </c>
      <c r="M107" s="1432"/>
      <c r="N107" s="217" t="s">
        <v>115</v>
      </c>
      <c r="O107" s="161"/>
      <c r="P107" s="507" t="s">
        <v>115</v>
      </c>
      <c r="Q107" s="165"/>
      <c r="R107" s="178" t="s">
        <v>115</v>
      </c>
      <c r="S107" s="225"/>
      <c r="T107" s="1431">
        <f t="shared" si="24"/>
        <v>0.15384615384615385</v>
      </c>
      <c r="U107" s="1432" t="str">
        <f t="shared" si="20"/>
        <v>ESL Table IP-9</v>
      </c>
      <c r="V107" s="217" t="s">
        <v>115</v>
      </c>
      <c r="W107" s="161"/>
      <c r="X107" s="507" t="s">
        <v>115</v>
      </c>
      <c r="Y107" s="165"/>
      <c r="Z107" s="485">
        <f>'Petroleum Fractions (IP-9)'!J27</f>
        <v>0.15384615384615385</v>
      </c>
      <c r="AA107" s="400" t="s">
        <v>1263</v>
      </c>
      <c r="AB107" s="1431" t="str">
        <f t="shared" si="25"/>
        <v>--</v>
      </c>
      <c r="AC107" s="1432" t="str">
        <f t="shared" si="22"/>
        <v xml:space="preserve"> </v>
      </c>
      <c r="AD107" s="179" t="s">
        <v>115</v>
      </c>
      <c r="AE107" s="165"/>
      <c r="AF107" s="507" t="s">
        <v>115</v>
      </c>
      <c r="AG107" s="165"/>
      <c r="AH107" s="1435" t="str">
        <f>'Petroleum Fractions (IP-9)'!K29</f>
        <v>--</v>
      </c>
      <c r="AI107" s="1434"/>
      <c r="AJ107" s="1182">
        <v>1</v>
      </c>
      <c r="AK107" s="867" t="s">
        <v>115</v>
      </c>
      <c r="AL107" s="866" t="s">
        <v>496</v>
      </c>
      <c r="AM107" s="364" t="s">
        <v>115</v>
      </c>
      <c r="AN107" s="1180" t="s">
        <v>115</v>
      </c>
      <c r="AO107" s="867" t="s">
        <v>115</v>
      </c>
      <c r="AP107" s="347" t="s">
        <v>115</v>
      </c>
      <c r="AQ107" s="347" t="s">
        <v>115</v>
      </c>
      <c r="AR107" s="692" t="s">
        <v>115</v>
      </c>
      <c r="AS107" s="356" t="s">
        <v>115</v>
      </c>
    </row>
    <row r="108" spans="1:49" ht="12" customHeight="1">
      <c r="A108" s="869" t="s">
        <v>719</v>
      </c>
      <c r="B108" s="1183" t="s">
        <v>115</v>
      </c>
      <c r="C108" s="1431" t="str">
        <f t="shared" ref="C108:C112" si="26">IF(AND(E108&lt;&gt;"--",G108&lt;&gt;"--"),MAX(E108,G108),IF(G108&lt;&gt;"--",G108,IF(AND(E108&lt;&gt;"--",I108&lt;&gt;"--"),MAX(E108,I108),IF(I108&lt;&gt;"--",I108,E108))))</f>
        <v>--</v>
      </c>
      <c r="D108" s="1432" t="str">
        <f t="shared" si="16"/>
        <v xml:space="preserve"> </v>
      </c>
      <c r="E108" s="217" t="s">
        <v>115</v>
      </c>
      <c r="F108" s="1345"/>
      <c r="G108" s="217" t="s">
        <v>115</v>
      </c>
      <c r="H108" s="165"/>
      <c r="I108" s="687" t="s">
        <v>115</v>
      </c>
      <c r="J108" s="165"/>
      <c r="K108" s="1433"/>
      <c r="L108" s="1431" t="str">
        <f t="shared" ref="L108:L112" si="27">IF(AND(N108&lt;&gt;"--",P108&lt;&gt;"--"),MAX(N108,P108),IF(P108&lt;&gt;"--",P108,IF(AND(N108&lt;&gt;"--",R108&lt;&gt;"--"),MAX(N108,R108),IF(R108&lt;&gt;"--",R108,N108))))</f>
        <v>--</v>
      </c>
      <c r="M108" s="1432" t="str">
        <f t="shared" ref="M108:M151" si="28">IF(L108="--"," ",IF(L108=P108,Q108,IF(L108=N108,O108,S108)))</f>
        <v xml:space="preserve"> </v>
      </c>
      <c r="N108" s="217" t="s">
        <v>115</v>
      </c>
      <c r="O108" s="161"/>
      <c r="P108" s="507" t="s">
        <v>115</v>
      </c>
      <c r="Q108" s="165"/>
      <c r="R108" s="178" t="s">
        <v>115</v>
      </c>
      <c r="S108" s="225"/>
      <c r="T108" s="1431">
        <f t="shared" ref="T108:T112" si="29">IF(AND(V108&lt;&gt;"--",X108&lt;&gt;"--"),MIN(V108,X108),IF(X108&lt;&gt;"--",X108,IF(AND(V108&lt;&gt;"--",Z108&lt;&gt;"--"),MIN(V108,Z108),IF(Z108&lt;&gt;"--",Z108,V108))))</f>
        <v>0.3</v>
      </c>
      <c r="U108" s="1432" t="str">
        <f t="shared" si="20"/>
        <v>ESL Table IP-9</v>
      </c>
      <c r="V108" s="217" t="s">
        <v>115</v>
      </c>
      <c r="W108" s="161"/>
      <c r="X108" s="179" t="s">
        <v>115</v>
      </c>
      <c r="Y108" s="165"/>
      <c r="Z108" s="485">
        <f>'Petroleum Fractions (IP-9)'!D8</f>
        <v>0.3</v>
      </c>
      <c r="AA108" s="400" t="s">
        <v>1263</v>
      </c>
      <c r="AB108" s="1431">
        <f t="shared" ref="AB108:AB112" si="30">IF(AND(AD108&lt;&gt;"--",AF108&lt;&gt;"--"),MIN(AD108,AF108),IF(AF108&lt;&gt;"--",AF108,IF(AND(AD108&lt;&gt;"--",AH108&lt;&gt;"--"),MIN(AD108,AH108),IF(AH108&lt;&gt;"--",AH108,AD108))))</f>
        <v>700</v>
      </c>
      <c r="AC108" s="1432" t="str">
        <f t="shared" si="22"/>
        <v>ESL Table IP-9</v>
      </c>
      <c r="AD108" s="179" t="s">
        <v>115</v>
      </c>
      <c r="AE108" s="165"/>
      <c r="AF108" s="507" t="s">
        <v>115</v>
      </c>
      <c r="AG108" s="165"/>
      <c r="AH108" s="1437">
        <f>IF('Petroleum Fractions (IP-9)'!D9="--","--",'Petroleum Fractions (IP-9)'!D9*1000)</f>
        <v>700</v>
      </c>
      <c r="AI108" s="1434" t="s">
        <v>1263</v>
      </c>
      <c r="AJ108" s="1182">
        <v>1</v>
      </c>
      <c r="AK108" s="867" t="s">
        <v>115</v>
      </c>
      <c r="AL108" s="866" t="s">
        <v>495</v>
      </c>
      <c r="AM108" s="2000">
        <v>0.26</v>
      </c>
      <c r="AN108" s="865" t="s">
        <v>1275</v>
      </c>
      <c r="AO108" s="868">
        <v>1</v>
      </c>
      <c r="AP108" s="347">
        <v>0.94604439642122995</v>
      </c>
      <c r="AQ108" s="347">
        <v>0.33346384202540003</v>
      </c>
      <c r="AR108" s="692">
        <v>1.28390082056411</v>
      </c>
      <c r="AS108" s="356" t="s">
        <v>115</v>
      </c>
      <c r="AT108" s="1"/>
      <c r="AU108" s="1"/>
      <c r="AV108" s="1"/>
      <c r="AW108" s="1"/>
    </row>
    <row r="109" spans="1:49" ht="12" customHeight="1">
      <c r="A109" s="869" t="s">
        <v>720</v>
      </c>
      <c r="B109" s="1183" t="s">
        <v>115</v>
      </c>
      <c r="C109" s="1431" t="str">
        <f t="shared" si="26"/>
        <v>--</v>
      </c>
      <c r="D109" s="1432" t="str">
        <f t="shared" si="16"/>
        <v xml:space="preserve"> </v>
      </c>
      <c r="E109" s="217" t="s">
        <v>115</v>
      </c>
      <c r="F109" s="1345"/>
      <c r="G109" s="217" t="s">
        <v>115</v>
      </c>
      <c r="H109" s="165"/>
      <c r="I109" s="687" t="s">
        <v>115</v>
      </c>
      <c r="J109" s="165"/>
      <c r="K109" s="1433"/>
      <c r="L109" s="1431" t="str">
        <f t="shared" si="27"/>
        <v>--</v>
      </c>
      <c r="M109" s="1432" t="str">
        <f t="shared" si="28"/>
        <v xml:space="preserve"> </v>
      </c>
      <c r="N109" s="217" t="s">
        <v>115</v>
      </c>
      <c r="O109" s="161"/>
      <c r="P109" s="507" t="s">
        <v>115</v>
      </c>
      <c r="Q109" s="165"/>
      <c r="R109" s="178" t="s">
        <v>115</v>
      </c>
      <c r="S109" s="225"/>
      <c r="T109" s="1431">
        <f t="shared" si="29"/>
        <v>0.01</v>
      </c>
      <c r="U109" s="1432" t="str">
        <f t="shared" si="20"/>
        <v>ESL Table IP-9</v>
      </c>
      <c r="V109" s="217" t="s">
        <v>115</v>
      </c>
      <c r="W109" s="161"/>
      <c r="X109" s="507" t="s">
        <v>115</v>
      </c>
      <c r="Y109" s="165"/>
      <c r="Z109" s="485">
        <f>'Petroleum Fractions (IP-9)'!E8</f>
        <v>0.01</v>
      </c>
      <c r="AA109" s="400" t="s">
        <v>1263</v>
      </c>
      <c r="AB109" s="1431">
        <f t="shared" si="30"/>
        <v>100</v>
      </c>
      <c r="AC109" s="1432" t="str">
        <f t="shared" si="22"/>
        <v>ESL Table IP-9</v>
      </c>
      <c r="AD109" s="179" t="s">
        <v>115</v>
      </c>
      <c r="AE109" s="165"/>
      <c r="AF109" s="507" t="s">
        <v>115</v>
      </c>
      <c r="AG109" s="165"/>
      <c r="AH109" s="1437">
        <f>IF('Petroleum Fractions (IP-9)'!E9="--","--",'Petroleum Fractions (IP-9)'!E9*1000)</f>
        <v>100</v>
      </c>
      <c r="AI109" s="1434" t="s">
        <v>1263</v>
      </c>
      <c r="AJ109" s="1182">
        <v>1</v>
      </c>
      <c r="AK109" s="867" t="s">
        <v>115</v>
      </c>
      <c r="AL109" s="866" t="s">
        <v>496</v>
      </c>
      <c r="AM109" s="2000">
        <v>1.7</v>
      </c>
      <c r="AN109" s="865" t="s">
        <v>1275</v>
      </c>
      <c r="AO109" s="868">
        <v>1</v>
      </c>
      <c r="AP109" s="347">
        <v>7.4049339860175696</v>
      </c>
      <c r="AQ109" s="347">
        <v>0.54967343630260002</v>
      </c>
      <c r="AR109" s="692">
        <v>2.4597368290978299</v>
      </c>
      <c r="AS109" s="356" t="s">
        <v>115</v>
      </c>
      <c r="AT109" s="1"/>
      <c r="AU109" s="1"/>
      <c r="AV109" s="1"/>
      <c r="AW109" s="1"/>
    </row>
    <row r="110" spans="1:49" ht="12" customHeight="1">
      <c r="A110" s="869" t="s">
        <v>721</v>
      </c>
      <c r="B110" s="1184" t="s">
        <v>115</v>
      </c>
      <c r="C110" s="1431" t="str">
        <f t="shared" si="26"/>
        <v>--</v>
      </c>
      <c r="D110" s="1432" t="str">
        <f t="shared" si="16"/>
        <v xml:space="preserve"> </v>
      </c>
      <c r="E110" s="217" t="s">
        <v>115</v>
      </c>
      <c r="F110" s="1345"/>
      <c r="G110" s="217" t="s">
        <v>115</v>
      </c>
      <c r="H110" s="165"/>
      <c r="I110" s="687" t="s">
        <v>115</v>
      </c>
      <c r="J110" s="165"/>
      <c r="K110" s="1433"/>
      <c r="L110" s="1431" t="str">
        <f t="shared" si="27"/>
        <v>--</v>
      </c>
      <c r="M110" s="1432" t="str">
        <f t="shared" si="28"/>
        <v xml:space="preserve"> </v>
      </c>
      <c r="N110" s="217" t="s">
        <v>115</v>
      </c>
      <c r="O110" s="161"/>
      <c r="P110" s="507" t="s">
        <v>115</v>
      </c>
      <c r="Q110" s="165"/>
      <c r="R110" s="178" t="s">
        <v>115</v>
      </c>
      <c r="S110" s="225"/>
      <c r="T110" s="1431">
        <f t="shared" si="29"/>
        <v>3</v>
      </c>
      <c r="U110" s="1432" t="str">
        <f t="shared" si="20"/>
        <v>ESL Table IP-9</v>
      </c>
      <c r="V110" s="217" t="s">
        <v>115</v>
      </c>
      <c r="W110" s="161"/>
      <c r="X110" s="507" t="s">
        <v>115</v>
      </c>
      <c r="Y110" s="165"/>
      <c r="Z110" s="485">
        <f>'Petroleum Fractions (IP-9)'!F8</f>
        <v>3</v>
      </c>
      <c r="AA110" s="400" t="s">
        <v>1263</v>
      </c>
      <c r="AB110" s="1431" t="str">
        <f t="shared" si="30"/>
        <v>--</v>
      </c>
      <c r="AC110" s="1432" t="str">
        <f t="shared" si="22"/>
        <v xml:space="preserve"> </v>
      </c>
      <c r="AD110" s="179" t="s">
        <v>115</v>
      </c>
      <c r="AE110" s="165"/>
      <c r="AF110" s="507" t="s">
        <v>115</v>
      </c>
      <c r="AG110" s="165"/>
      <c r="AH110" s="1437" t="str">
        <f>IF('Petroleum Fractions (IP-9)'!F9="--","--",'Petroleum Fractions (IP-9)'!F9*1000)</f>
        <v>--</v>
      </c>
      <c r="AI110" s="1434"/>
      <c r="AJ110" s="1182">
        <v>1</v>
      </c>
      <c r="AK110" s="867" t="s">
        <v>115</v>
      </c>
      <c r="AL110" s="866" t="s">
        <v>496</v>
      </c>
      <c r="AM110" s="2000">
        <v>1.96</v>
      </c>
      <c r="AN110" s="865" t="s">
        <v>1275</v>
      </c>
      <c r="AO110" s="868">
        <v>1</v>
      </c>
      <c r="AP110" s="347">
        <v>9.8387753603645205</v>
      </c>
      <c r="AQ110" s="347">
        <v>0.94569860762913005</v>
      </c>
      <c r="AR110" s="692">
        <v>4.2817373398877798</v>
      </c>
      <c r="AS110" s="356" t="s">
        <v>115</v>
      </c>
      <c r="AT110" s="1"/>
      <c r="AU110" s="1"/>
      <c r="AV110" s="1"/>
      <c r="AW110" s="1"/>
    </row>
    <row r="111" spans="1:49" ht="12" customHeight="1">
      <c r="A111" s="869" t="s">
        <v>722</v>
      </c>
      <c r="B111" s="1184" t="s">
        <v>115</v>
      </c>
      <c r="C111" s="1431" t="str">
        <f t="shared" si="26"/>
        <v>--</v>
      </c>
      <c r="D111" s="1432" t="str">
        <f t="shared" si="16"/>
        <v xml:space="preserve"> </v>
      </c>
      <c r="E111" s="217" t="s">
        <v>115</v>
      </c>
      <c r="F111" s="1345"/>
      <c r="G111" s="217" t="s">
        <v>115</v>
      </c>
      <c r="H111" s="165"/>
      <c r="I111" s="687" t="s">
        <v>115</v>
      </c>
      <c r="J111" s="165"/>
      <c r="K111" s="1433"/>
      <c r="L111" s="1431" t="str">
        <f t="shared" si="27"/>
        <v>--</v>
      </c>
      <c r="M111" s="1432" t="str">
        <f t="shared" si="28"/>
        <v xml:space="preserve"> </v>
      </c>
      <c r="N111" s="217" t="s">
        <v>115</v>
      </c>
      <c r="O111" s="161"/>
      <c r="P111" s="507" t="s">
        <v>115</v>
      </c>
      <c r="Q111" s="165"/>
      <c r="R111" s="178" t="s">
        <v>115</v>
      </c>
      <c r="S111" s="225"/>
      <c r="T111" s="1431">
        <f t="shared" si="29"/>
        <v>0.03</v>
      </c>
      <c r="U111" s="1432" t="str">
        <f t="shared" si="20"/>
        <v>ESL Table IP-9</v>
      </c>
      <c r="V111" s="217" t="s">
        <v>115</v>
      </c>
      <c r="W111" s="161"/>
      <c r="X111" s="507" t="s">
        <v>115</v>
      </c>
      <c r="Y111" s="165"/>
      <c r="Z111" s="485">
        <f>'Petroleum Fractions (IP-9)'!H8</f>
        <v>0.03</v>
      </c>
      <c r="AA111" s="400" t="s">
        <v>1263</v>
      </c>
      <c r="AB111" s="1431">
        <f t="shared" si="30"/>
        <v>50</v>
      </c>
      <c r="AC111" s="1432" t="str">
        <f t="shared" si="22"/>
        <v>ESL Table IP-9</v>
      </c>
      <c r="AD111" s="179" t="s">
        <v>115</v>
      </c>
      <c r="AE111" s="165"/>
      <c r="AF111" s="507" t="s">
        <v>115</v>
      </c>
      <c r="AG111" s="165"/>
      <c r="AH111" s="1435">
        <f>IF('Petroleum Fractions (IP-9)'!H9="--","--",'Petroleum Fractions (IP-9)'!H9*1000)</f>
        <v>50</v>
      </c>
      <c r="AI111" s="1434" t="s">
        <v>1263</v>
      </c>
      <c r="AJ111" s="1182">
        <v>1</v>
      </c>
      <c r="AK111" s="867" t="s">
        <v>115</v>
      </c>
      <c r="AL111" s="866" t="s">
        <v>495</v>
      </c>
      <c r="AM111" s="2000">
        <v>7.9166666999999996E-2</v>
      </c>
      <c r="AN111" s="865" t="s">
        <v>1275</v>
      </c>
      <c r="AO111" s="868">
        <v>1</v>
      </c>
      <c r="AP111" s="347">
        <v>0.33382683653334</v>
      </c>
      <c r="AQ111" s="347">
        <v>0.49541454114276001</v>
      </c>
      <c r="AR111" s="692">
        <v>1.18899489874263</v>
      </c>
      <c r="AS111" s="356" t="s">
        <v>115</v>
      </c>
      <c r="AT111" s="1"/>
      <c r="AU111" s="1"/>
      <c r="AV111" s="1"/>
      <c r="AW111" s="1"/>
    </row>
    <row r="112" spans="1:49" ht="12" customHeight="1">
      <c r="A112" s="869" t="s">
        <v>723</v>
      </c>
      <c r="B112" s="1184" t="s">
        <v>115</v>
      </c>
      <c r="C112" s="1431" t="str">
        <f t="shared" si="26"/>
        <v>--</v>
      </c>
      <c r="D112" s="1432" t="str">
        <f t="shared" si="16"/>
        <v xml:space="preserve"> </v>
      </c>
      <c r="E112" s="217" t="s">
        <v>115</v>
      </c>
      <c r="F112" s="1345"/>
      <c r="G112" s="217" t="s">
        <v>115</v>
      </c>
      <c r="H112" s="165"/>
      <c r="I112" s="687" t="s">
        <v>115</v>
      </c>
      <c r="J112" s="165"/>
      <c r="K112" s="1433"/>
      <c r="L112" s="1431" t="str">
        <f t="shared" si="27"/>
        <v>--</v>
      </c>
      <c r="M112" s="1432" t="str">
        <f t="shared" si="28"/>
        <v xml:space="preserve"> </v>
      </c>
      <c r="N112" s="217" t="s">
        <v>115</v>
      </c>
      <c r="O112" s="161"/>
      <c r="P112" s="507" t="s">
        <v>115</v>
      </c>
      <c r="Q112" s="165"/>
      <c r="R112" s="178" t="s">
        <v>115</v>
      </c>
      <c r="S112" s="225"/>
      <c r="T112" s="1431">
        <f t="shared" si="29"/>
        <v>0.04</v>
      </c>
      <c r="U112" s="1432" t="str">
        <f t="shared" si="20"/>
        <v>ESL Table IP-9</v>
      </c>
      <c r="V112" s="217" t="s">
        <v>115</v>
      </c>
      <c r="W112" s="161"/>
      <c r="X112" s="507" t="s">
        <v>115</v>
      </c>
      <c r="Y112" s="165"/>
      <c r="Z112" s="485">
        <f>'Petroleum Fractions (IP-9)'!I8</f>
        <v>0.04</v>
      </c>
      <c r="AA112" s="400" t="s">
        <v>1263</v>
      </c>
      <c r="AB112" s="1431" t="str">
        <f t="shared" si="30"/>
        <v>--</v>
      </c>
      <c r="AC112" s="1432" t="str">
        <f>IF(AB112="--"," ",IF(AB112=AF112,AG112,IF(AB112=AD112,AE112,AI112)))</f>
        <v xml:space="preserve"> </v>
      </c>
      <c r="AD112" s="179" t="s">
        <v>115</v>
      </c>
      <c r="AE112" s="165"/>
      <c r="AF112" s="507" t="s">
        <v>115</v>
      </c>
      <c r="AG112" s="165"/>
      <c r="AH112" s="1435" t="str">
        <f>IF('Petroleum Fractions (IP-9)'!I9="--","--",'Petroleum Fractions (IP-9)'!I9*1000)</f>
        <v>--</v>
      </c>
      <c r="AI112" s="1434" t="s">
        <v>1263</v>
      </c>
      <c r="AJ112" s="1182">
        <v>1</v>
      </c>
      <c r="AK112" s="867">
        <v>0.13</v>
      </c>
      <c r="AL112" s="866" t="s">
        <v>496</v>
      </c>
      <c r="AM112" s="2000">
        <v>0.71299999999999997</v>
      </c>
      <c r="AN112" s="865" t="s">
        <v>1275</v>
      </c>
      <c r="AO112" s="868">
        <v>1</v>
      </c>
      <c r="AP112" s="347">
        <v>4.3560416128113797</v>
      </c>
      <c r="AQ112" s="347">
        <v>2.72170311040471</v>
      </c>
      <c r="AR112" s="692">
        <v>11.8221045485476</v>
      </c>
      <c r="AS112" s="356" t="s">
        <v>495</v>
      </c>
      <c r="AT112" s="1"/>
      <c r="AU112" s="1"/>
      <c r="AV112" s="1"/>
      <c r="AW112" s="1"/>
    </row>
    <row r="113" spans="1:49" ht="12" customHeight="1">
      <c r="A113" s="136" t="s">
        <v>269</v>
      </c>
      <c r="B113" s="486" t="s">
        <v>270</v>
      </c>
      <c r="C113" s="1431" t="str">
        <f t="shared" si="23"/>
        <v>--</v>
      </c>
      <c r="D113" s="1432" t="str">
        <f t="shared" si="16"/>
        <v xml:space="preserve"> </v>
      </c>
      <c r="E113" s="217" t="s">
        <v>115</v>
      </c>
      <c r="F113" s="1345"/>
      <c r="G113" s="217" t="s">
        <v>115</v>
      </c>
      <c r="H113" s="165"/>
      <c r="I113" s="687" t="s">
        <v>115</v>
      </c>
      <c r="J113" s="165"/>
      <c r="K113" s="1433"/>
      <c r="L113" s="1431" t="str">
        <f t="shared" si="17"/>
        <v>--</v>
      </c>
      <c r="M113" s="1432" t="str">
        <f t="shared" si="28"/>
        <v xml:space="preserve"> </v>
      </c>
      <c r="N113" s="217" t="s">
        <v>115</v>
      </c>
      <c r="O113" s="1345"/>
      <c r="P113" s="217" t="s">
        <v>115</v>
      </c>
      <c r="Q113" s="165"/>
      <c r="R113" s="687" t="s">
        <v>115</v>
      </c>
      <c r="S113" s="225"/>
      <c r="T113" s="1431">
        <f t="shared" si="19"/>
        <v>5.0000000000000001E-4</v>
      </c>
      <c r="U113" s="1432" t="str">
        <f t="shared" si="20"/>
        <v>EPA HERA ORD</v>
      </c>
      <c r="V113" s="507" t="s">
        <v>115</v>
      </c>
      <c r="W113" s="161"/>
      <c r="X113" s="507" t="s">
        <v>115</v>
      </c>
      <c r="Y113" s="165"/>
      <c r="Z113" s="179">
        <v>5.0000000000000001E-4</v>
      </c>
      <c r="AA113" s="165" t="s">
        <v>1276</v>
      </c>
      <c r="AB113" s="1431" t="str">
        <f t="shared" si="25"/>
        <v>--</v>
      </c>
      <c r="AC113" s="1432" t="str">
        <f t="shared" si="22"/>
        <v xml:space="preserve"> </v>
      </c>
      <c r="AD113" s="217" t="s">
        <v>115</v>
      </c>
      <c r="AE113" s="1345"/>
      <c r="AF113" s="217" t="s">
        <v>115</v>
      </c>
      <c r="AG113" s="165"/>
      <c r="AH113" s="687" t="s">
        <v>115</v>
      </c>
      <c r="AI113" s="225"/>
      <c r="AJ113" s="402">
        <v>1</v>
      </c>
      <c r="AK113" s="312" t="s">
        <v>115</v>
      </c>
      <c r="AL113" s="402" t="s">
        <v>495</v>
      </c>
      <c r="AM113" s="328">
        <v>1.7799999999999999E-3</v>
      </c>
      <c r="AN113" s="492" t="s">
        <v>1199</v>
      </c>
      <c r="AO113" s="314">
        <v>1</v>
      </c>
      <c r="AP113" s="158">
        <v>8.7673547251000006E-3</v>
      </c>
      <c r="AQ113" s="158">
        <v>0.87146259218906996</v>
      </c>
      <c r="AR113" s="165">
        <v>2.09151022125377</v>
      </c>
      <c r="AS113" s="168" t="s">
        <v>115</v>
      </c>
      <c r="AT113" s="1"/>
      <c r="AU113" s="1"/>
      <c r="AV113" s="1"/>
      <c r="AW113" s="1"/>
    </row>
    <row r="114" spans="1:49" ht="12" customHeight="1">
      <c r="A114" s="136" t="s">
        <v>271</v>
      </c>
      <c r="B114" s="486" t="s">
        <v>272</v>
      </c>
      <c r="C114" s="1431" t="str">
        <f t="shared" si="23"/>
        <v>--</v>
      </c>
      <c r="D114" s="1432" t="str">
        <f t="shared" si="16"/>
        <v xml:space="preserve"> </v>
      </c>
      <c r="E114" s="217" t="s">
        <v>115</v>
      </c>
      <c r="F114" s="1345"/>
      <c r="G114" s="217" t="s">
        <v>115</v>
      </c>
      <c r="H114" s="165"/>
      <c r="I114" s="687" t="s">
        <v>115</v>
      </c>
      <c r="J114" s="165"/>
      <c r="K114" s="1433"/>
      <c r="L114" s="1431" t="str">
        <f t="shared" si="17"/>
        <v>--</v>
      </c>
      <c r="M114" s="1432" t="str">
        <f t="shared" si="28"/>
        <v xml:space="preserve"> </v>
      </c>
      <c r="N114" s="217" t="s">
        <v>115</v>
      </c>
      <c r="O114" s="1345"/>
      <c r="P114" s="217" t="s">
        <v>115</v>
      </c>
      <c r="Q114" s="165"/>
      <c r="R114" s="687" t="s">
        <v>115</v>
      </c>
      <c r="S114" s="225"/>
      <c r="T114" s="1431">
        <f t="shared" si="19"/>
        <v>1E-3</v>
      </c>
      <c r="U114" s="1432" t="str">
        <f t="shared" si="20"/>
        <v>IRIS</v>
      </c>
      <c r="V114" s="507" t="s">
        <v>115</v>
      </c>
      <c r="W114" s="161"/>
      <c r="X114" s="179">
        <v>1E-3</v>
      </c>
      <c r="Y114" s="165" t="s">
        <v>1277</v>
      </c>
      <c r="Z114" s="687" t="s">
        <v>115</v>
      </c>
      <c r="AA114" s="328"/>
      <c r="AB114" s="1431" t="str">
        <f t="shared" si="21"/>
        <v>--</v>
      </c>
      <c r="AC114" s="1432" t="str">
        <f t="shared" si="22"/>
        <v xml:space="preserve"> </v>
      </c>
      <c r="AD114" s="217" t="s">
        <v>115</v>
      </c>
      <c r="AE114" s="1345"/>
      <c r="AF114" s="217" t="s">
        <v>115</v>
      </c>
      <c r="AG114" s="165"/>
      <c r="AH114" s="687" t="s">
        <v>115</v>
      </c>
      <c r="AI114" s="225"/>
      <c r="AJ114" s="402">
        <v>1</v>
      </c>
      <c r="AK114" s="312" t="s">
        <v>115</v>
      </c>
      <c r="AL114" s="402" t="s">
        <v>495</v>
      </c>
      <c r="AM114" s="328">
        <v>4.0619308244100004E-3</v>
      </c>
      <c r="AN114" s="492" t="s">
        <v>1203</v>
      </c>
      <c r="AO114" s="314">
        <v>1</v>
      </c>
      <c r="AP114" s="158">
        <v>2.2854202003729999E-2</v>
      </c>
      <c r="AQ114" s="158">
        <v>1.6605377365906999</v>
      </c>
      <c r="AR114" s="165">
        <v>3.9852905678176702</v>
      </c>
      <c r="AS114" s="168" t="s">
        <v>115</v>
      </c>
      <c r="AT114" s="1"/>
      <c r="AU114" s="1"/>
      <c r="AV114" s="1"/>
      <c r="AW114" s="1"/>
    </row>
    <row r="115" spans="1:49" ht="12" customHeight="1">
      <c r="A115" s="136" t="s">
        <v>273</v>
      </c>
      <c r="B115" s="486" t="s">
        <v>274</v>
      </c>
      <c r="C115" s="1431" t="str">
        <f t="shared" si="23"/>
        <v>--</v>
      </c>
      <c r="D115" s="1432" t="str">
        <f t="shared" si="16"/>
        <v xml:space="preserve"> </v>
      </c>
      <c r="E115" s="217" t="s">
        <v>115</v>
      </c>
      <c r="F115" s="1345"/>
      <c r="G115" s="217" t="s">
        <v>115</v>
      </c>
      <c r="H115" s="165"/>
      <c r="I115" s="687" t="s">
        <v>115</v>
      </c>
      <c r="J115" s="165"/>
      <c r="K115" s="1433"/>
      <c r="L115" s="1431" t="str">
        <f t="shared" si="17"/>
        <v>--</v>
      </c>
      <c r="M115" s="1432" t="str">
        <f t="shared" si="28"/>
        <v xml:space="preserve"> </v>
      </c>
      <c r="N115" s="217" t="s">
        <v>115</v>
      </c>
      <c r="O115" s="1345"/>
      <c r="P115" s="217" t="s">
        <v>115</v>
      </c>
      <c r="Q115" s="165"/>
      <c r="R115" s="687" t="s">
        <v>115</v>
      </c>
      <c r="S115" s="225"/>
      <c r="T115" s="1431" t="str">
        <f t="shared" si="19"/>
        <v>--</v>
      </c>
      <c r="U115" s="1432" t="str">
        <f t="shared" si="20"/>
        <v xml:space="preserve"> </v>
      </c>
      <c r="V115" s="507" t="s">
        <v>115</v>
      </c>
      <c r="W115" s="161"/>
      <c r="X115" s="179" t="s">
        <v>115</v>
      </c>
      <c r="Y115" s="165"/>
      <c r="Z115" s="687" t="s">
        <v>115</v>
      </c>
      <c r="AA115" s="328"/>
      <c r="AB115" s="1431" t="str">
        <f t="shared" si="21"/>
        <v>--</v>
      </c>
      <c r="AC115" s="1432" t="str">
        <f t="shared" si="22"/>
        <v xml:space="preserve"> </v>
      </c>
      <c r="AD115" s="217" t="s">
        <v>115</v>
      </c>
      <c r="AE115" s="1345"/>
      <c r="AF115" s="217" t="s">
        <v>115</v>
      </c>
      <c r="AG115" s="165"/>
      <c r="AH115" s="687" t="s">
        <v>115</v>
      </c>
      <c r="AI115" s="225"/>
      <c r="AJ115" s="403" t="s">
        <v>115</v>
      </c>
      <c r="AK115" s="312" t="s">
        <v>115</v>
      </c>
      <c r="AL115" s="403" t="s">
        <v>115</v>
      </c>
      <c r="AM115" s="217" t="s">
        <v>115</v>
      </c>
      <c r="AN115" s="1666" t="s">
        <v>115</v>
      </c>
      <c r="AO115" s="313" t="s">
        <v>115</v>
      </c>
      <c r="AP115" s="171" t="s">
        <v>115</v>
      </c>
      <c r="AQ115" s="171" t="s">
        <v>115</v>
      </c>
      <c r="AR115" s="1344" t="s">
        <v>115</v>
      </c>
      <c r="AS115" s="169" t="s">
        <v>115</v>
      </c>
      <c r="AT115" s="1"/>
      <c r="AU115" s="1"/>
      <c r="AV115" s="1"/>
      <c r="AW115" s="1"/>
    </row>
    <row r="116" spans="1:49" ht="12" customHeight="1">
      <c r="A116" s="136" t="s">
        <v>275</v>
      </c>
      <c r="B116" s="486" t="s">
        <v>276</v>
      </c>
      <c r="C116" s="1431" t="str">
        <f t="shared" si="23"/>
        <v>--</v>
      </c>
      <c r="D116" s="1432" t="str">
        <f t="shared" si="16"/>
        <v xml:space="preserve"> </v>
      </c>
      <c r="E116" s="217" t="s">
        <v>115</v>
      </c>
      <c r="F116" s="1345"/>
      <c r="G116" s="217" t="s">
        <v>115</v>
      </c>
      <c r="H116" s="165"/>
      <c r="I116" s="687" t="s">
        <v>115</v>
      </c>
      <c r="J116" s="165"/>
      <c r="K116" s="1433"/>
      <c r="L116" s="1431" t="str">
        <f t="shared" si="17"/>
        <v>--</v>
      </c>
      <c r="M116" s="1432" t="str">
        <f t="shared" si="28"/>
        <v xml:space="preserve"> </v>
      </c>
      <c r="N116" s="217" t="s">
        <v>115</v>
      </c>
      <c r="O116" s="1345"/>
      <c r="P116" s="217" t="s">
        <v>115</v>
      </c>
      <c r="Q116" s="165"/>
      <c r="R116" s="687" t="s">
        <v>115</v>
      </c>
      <c r="S116" s="225"/>
      <c r="T116" s="1431">
        <f t="shared" si="19"/>
        <v>5.0000000000000001E-4</v>
      </c>
      <c r="U116" s="1432" t="str">
        <f t="shared" si="20"/>
        <v>IRIS</v>
      </c>
      <c r="V116" s="507" t="s">
        <v>115</v>
      </c>
      <c r="W116" s="161"/>
      <c r="X116" s="179">
        <v>5.0000000000000001E-4</v>
      </c>
      <c r="Y116" s="165" t="s">
        <v>1277</v>
      </c>
      <c r="Z116" s="687" t="s">
        <v>115</v>
      </c>
      <c r="AA116" s="328"/>
      <c r="AB116" s="1431" t="str">
        <f t="shared" si="21"/>
        <v>--</v>
      </c>
      <c r="AC116" s="1432" t="str">
        <f t="shared" si="22"/>
        <v xml:space="preserve"> </v>
      </c>
      <c r="AD116" s="217" t="s">
        <v>115</v>
      </c>
      <c r="AE116" s="1345"/>
      <c r="AF116" s="217" t="s">
        <v>115</v>
      </c>
      <c r="AG116" s="165"/>
      <c r="AH116" s="687" t="s">
        <v>115</v>
      </c>
      <c r="AI116" s="225"/>
      <c r="AJ116" s="402">
        <v>1</v>
      </c>
      <c r="AK116" s="312">
        <v>0.1</v>
      </c>
      <c r="AL116" s="402" t="s">
        <v>495</v>
      </c>
      <c r="AM116" s="328">
        <v>2.6862743795000001E-4</v>
      </c>
      <c r="AN116" s="492" t="s">
        <v>1203</v>
      </c>
      <c r="AO116" s="314">
        <v>1</v>
      </c>
      <c r="AP116" s="158">
        <v>1.83109547847E-3</v>
      </c>
      <c r="AQ116" s="158">
        <v>6.0368272689997298</v>
      </c>
      <c r="AR116" s="165">
        <v>14.4883854455994</v>
      </c>
      <c r="AS116" s="168" t="s">
        <v>115</v>
      </c>
      <c r="AT116" s="1"/>
      <c r="AU116" s="1"/>
      <c r="AV116" s="1"/>
      <c r="AW116" s="1"/>
    </row>
    <row r="117" spans="1:49" ht="12" customHeight="1">
      <c r="A117" s="136" t="s">
        <v>277</v>
      </c>
      <c r="B117" s="486" t="s">
        <v>278</v>
      </c>
      <c r="C117" s="1431" t="str">
        <f t="shared" si="23"/>
        <v>--</v>
      </c>
      <c r="D117" s="1432" t="str">
        <f t="shared" si="16"/>
        <v xml:space="preserve"> </v>
      </c>
      <c r="E117" s="217" t="s">
        <v>115</v>
      </c>
      <c r="F117" s="1345"/>
      <c r="G117" s="217" t="s">
        <v>115</v>
      </c>
      <c r="H117" s="165"/>
      <c r="I117" s="687" t="s">
        <v>115</v>
      </c>
      <c r="J117" s="165"/>
      <c r="K117" s="1433"/>
      <c r="L117" s="1431" t="str">
        <f t="shared" si="17"/>
        <v>--</v>
      </c>
      <c r="M117" s="1432" t="str">
        <f t="shared" si="28"/>
        <v xml:space="preserve"> </v>
      </c>
      <c r="N117" s="217" t="s">
        <v>115</v>
      </c>
      <c r="O117" s="1345"/>
      <c r="P117" s="217" t="s">
        <v>115</v>
      </c>
      <c r="Q117" s="165"/>
      <c r="R117" s="687" t="s">
        <v>115</v>
      </c>
      <c r="S117" s="225"/>
      <c r="T117" s="1431" t="str">
        <f t="shared" si="19"/>
        <v>--</v>
      </c>
      <c r="U117" s="1432" t="str">
        <f t="shared" si="20"/>
        <v xml:space="preserve"> </v>
      </c>
      <c r="V117" s="507" t="s">
        <v>115</v>
      </c>
      <c r="W117" s="161"/>
      <c r="X117" s="179" t="s">
        <v>115</v>
      </c>
      <c r="Y117" s="165"/>
      <c r="Z117" s="687" t="s">
        <v>115</v>
      </c>
      <c r="AA117" s="328"/>
      <c r="AB117" s="1431" t="str">
        <f t="shared" si="21"/>
        <v>--</v>
      </c>
      <c r="AC117" s="1432" t="str">
        <f t="shared" si="22"/>
        <v xml:space="preserve"> </v>
      </c>
      <c r="AD117" s="217" t="s">
        <v>115</v>
      </c>
      <c r="AE117" s="1345"/>
      <c r="AF117" s="217" t="s">
        <v>115</v>
      </c>
      <c r="AG117" s="165"/>
      <c r="AH117" s="687" t="s">
        <v>115</v>
      </c>
      <c r="AI117" s="225"/>
      <c r="AJ117" s="403" t="s">
        <v>115</v>
      </c>
      <c r="AK117" s="312" t="s">
        <v>115</v>
      </c>
      <c r="AL117" s="403" t="s">
        <v>115</v>
      </c>
      <c r="AM117" s="217" t="s">
        <v>115</v>
      </c>
      <c r="AN117" s="1666" t="s">
        <v>115</v>
      </c>
      <c r="AO117" s="313" t="s">
        <v>115</v>
      </c>
      <c r="AP117" s="171" t="s">
        <v>115</v>
      </c>
      <c r="AQ117" s="171" t="s">
        <v>115</v>
      </c>
      <c r="AR117" s="1344" t="s">
        <v>115</v>
      </c>
      <c r="AS117" s="169" t="s">
        <v>115</v>
      </c>
      <c r="AT117" s="1"/>
      <c r="AU117" s="1"/>
      <c r="AV117" s="1"/>
      <c r="AW117" s="1"/>
    </row>
    <row r="118" spans="1:49" ht="12" customHeight="1">
      <c r="A118" s="136" t="s">
        <v>279</v>
      </c>
      <c r="B118" s="486" t="s">
        <v>280</v>
      </c>
      <c r="C118" s="1431">
        <f t="shared" si="23"/>
        <v>29300</v>
      </c>
      <c r="D118" s="1432" t="str">
        <f t="shared" si="16"/>
        <v>EPA Office of Water</v>
      </c>
      <c r="E118" s="328">
        <v>2.6</v>
      </c>
      <c r="F118" s="1345" t="s">
        <v>1278</v>
      </c>
      <c r="G118" s="217" t="s">
        <v>115</v>
      </c>
      <c r="H118" s="165"/>
      <c r="I118" s="485">
        <v>29300</v>
      </c>
      <c r="J118" s="165" t="s">
        <v>1279</v>
      </c>
      <c r="K118" s="1433"/>
      <c r="L118" s="1431" t="str">
        <f t="shared" si="17"/>
        <v>--</v>
      </c>
      <c r="M118" s="1432" t="str">
        <f t="shared" si="28"/>
        <v xml:space="preserve"> </v>
      </c>
      <c r="N118" s="217" t="s">
        <v>115</v>
      </c>
      <c r="O118" s="1345"/>
      <c r="P118" s="217" t="s">
        <v>115</v>
      </c>
      <c r="Q118" s="165"/>
      <c r="R118" s="687" t="s">
        <v>115</v>
      </c>
      <c r="S118" s="225"/>
      <c r="T118" s="1431">
        <f t="shared" si="19"/>
        <v>2.9999999999999997E-8</v>
      </c>
      <c r="U118" s="1432" t="str">
        <f t="shared" si="20"/>
        <v>EPA Office of Water</v>
      </c>
      <c r="V118" s="507">
        <v>8.7000000000000001E-4</v>
      </c>
      <c r="W118" s="161" t="s">
        <v>1278</v>
      </c>
      <c r="X118" s="179" t="s">
        <v>115</v>
      </c>
      <c r="Y118" s="165"/>
      <c r="Z118" s="179">
        <v>2.9999999999999997E-8</v>
      </c>
      <c r="AA118" s="165" t="s">
        <v>1279</v>
      </c>
      <c r="AB118" s="1431" t="str">
        <f t="shared" si="21"/>
        <v>--</v>
      </c>
      <c r="AC118" s="1432" t="str">
        <f t="shared" si="22"/>
        <v xml:space="preserve"> </v>
      </c>
      <c r="AD118" s="217" t="s">
        <v>115</v>
      </c>
      <c r="AE118" s="1345"/>
      <c r="AF118" s="217" t="s">
        <v>115</v>
      </c>
      <c r="AG118" s="165"/>
      <c r="AH118" s="687" t="s">
        <v>115</v>
      </c>
      <c r="AI118" s="225"/>
      <c r="AJ118" s="402">
        <v>1</v>
      </c>
      <c r="AK118" s="312">
        <v>0.1</v>
      </c>
      <c r="AL118" s="402" t="s">
        <v>495</v>
      </c>
      <c r="AM118" s="328">
        <v>2.1575111239999999E-5</v>
      </c>
      <c r="AN118" s="492" t="s">
        <v>1203</v>
      </c>
      <c r="AO118" s="314">
        <v>1</v>
      </c>
      <c r="AP118" s="158">
        <v>1.6892330463000001E-4</v>
      </c>
      <c r="AQ118" s="158">
        <v>22.003347093039999</v>
      </c>
      <c r="AR118" s="165">
        <v>52.808033023296097</v>
      </c>
      <c r="AS118" s="168" t="s">
        <v>115</v>
      </c>
      <c r="AT118" s="1"/>
      <c r="AU118" s="1"/>
      <c r="AV118" s="1"/>
      <c r="AW118" s="1"/>
    </row>
    <row r="119" spans="1:49" ht="12" customHeight="1">
      <c r="A119" s="136" t="s">
        <v>281</v>
      </c>
      <c r="B119" s="486" t="s">
        <v>282</v>
      </c>
      <c r="C119" s="1431" t="str">
        <f t="shared" si="23"/>
        <v>--</v>
      </c>
      <c r="D119" s="1432" t="str">
        <f t="shared" si="16"/>
        <v xml:space="preserve"> </v>
      </c>
      <c r="E119" s="217" t="s">
        <v>115</v>
      </c>
      <c r="F119" s="1345"/>
      <c r="G119" s="217" t="s">
        <v>115</v>
      </c>
      <c r="H119" s="165"/>
      <c r="I119" s="687" t="s">
        <v>115</v>
      </c>
      <c r="J119" s="165"/>
      <c r="K119" s="1433"/>
      <c r="L119" s="1431" t="str">
        <f t="shared" si="17"/>
        <v>--</v>
      </c>
      <c r="M119" s="1432" t="str">
        <f t="shared" si="28"/>
        <v xml:space="preserve"> </v>
      </c>
      <c r="N119" s="217" t="s">
        <v>115</v>
      </c>
      <c r="O119" s="1345"/>
      <c r="P119" s="217" t="s">
        <v>115</v>
      </c>
      <c r="Q119" s="165"/>
      <c r="R119" s="687" t="s">
        <v>115</v>
      </c>
      <c r="S119" s="225"/>
      <c r="T119" s="1431">
        <f t="shared" si="19"/>
        <v>3.0000000000000001E-6</v>
      </c>
      <c r="U119" s="1432" t="str">
        <f t="shared" si="20"/>
        <v>ATSDR</v>
      </c>
      <c r="V119" s="507" t="s">
        <v>115</v>
      </c>
      <c r="W119" s="161"/>
      <c r="X119" s="507" t="s">
        <v>115</v>
      </c>
      <c r="Y119" s="165"/>
      <c r="Z119" s="485">
        <v>3.0000000000000001E-6</v>
      </c>
      <c r="AA119" s="328" t="s">
        <v>1280</v>
      </c>
      <c r="AB119" s="1431" t="str">
        <f t="shared" si="21"/>
        <v>--</v>
      </c>
      <c r="AC119" s="1432" t="str">
        <f t="shared" si="22"/>
        <v xml:space="preserve"> </v>
      </c>
      <c r="AD119" s="217" t="s">
        <v>115</v>
      </c>
      <c r="AE119" s="1345"/>
      <c r="AF119" s="217" t="s">
        <v>115</v>
      </c>
      <c r="AG119" s="165"/>
      <c r="AH119" s="687" t="s">
        <v>115</v>
      </c>
      <c r="AI119" s="225"/>
      <c r="AJ119" s="402">
        <v>1</v>
      </c>
      <c r="AK119" s="312">
        <v>0.1</v>
      </c>
      <c r="AL119" s="402" t="s">
        <v>495</v>
      </c>
      <c r="AM119" s="328">
        <v>1.9883275267E-4</v>
      </c>
      <c r="AN119" s="492" t="s">
        <v>1203</v>
      </c>
      <c r="AO119" s="314">
        <v>1</v>
      </c>
      <c r="AP119" s="158">
        <v>1.64748079727E-3</v>
      </c>
      <c r="AQ119" s="158">
        <v>41.7646407078199</v>
      </c>
      <c r="AR119" s="165">
        <v>100.235137698768</v>
      </c>
      <c r="AS119" s="168" t="s">
        <v>115</v>
      </c>
      <c r="AT119" s="1"/>
      <c r="AU119" s="1"/>
      <c r="AV119" s="1"/>
      <c r="AW119" s="1"/>
    </row>
    <row r="120" spans="1:49" ht="12" customHeight="1">
      <c r="A120" s="136" t="s">
        <v>283</v>
      </c>
      <c r="B120" s="486" t="s">
        <v>284</v>
      </c>
      <c r="C120" s="1431" t="str">
        <f t="shared" si="23"/>
        <v>--</v>
      </c>
      <c r="D120" s="1432" t="str">
        <f t="shared" si="16"/>
        <v xml:space="preserve"> </v>
      </c>
      <c r="E120" s="217" t="s">
        <v>115</v>
      </c>
      <c r="F120" s="1345"/>
      <c r="G120" s="217" t="s">
        <v>115</v>
      </c>
      <c r="H120" s="165"/>
      <c r="I120" s="687" t="s">
        <v>115</v>
      </c>
      <c r="J120" s="165"/>
      <c r="K120" s="1433"/>
      <c r="L120" s="1431" t="str">
        <f t="shared" si="17"/>
        <v>--</v>
      </c>
      <c r="M120" s="1432" t="str">
        <f t="shared" si="28"/>
        <v xml:space="preserve"> </v>
      </c>
      <c r="N120" s="217" t="s">
        <v>115</v>
      </c>
      <c r="O120" s="1345"/>
      <c r="P120" s="217" t="s">
        <v>115</v>
      </c>
      <c r="Q120" s="165"/>
      <c r="R120" s="687" t="s">
        <v>115</v>
      </c>
      <c r="S120" s="225"/>
      <c r="T120" s="1431">
        <f t="shared" si="19"/>
        <v>2.0000000000000001E-9</v>
      </c>
      <c r="U120" s="1432" t="str">
        <f t="shared" si="20"/>
        <v>IRIS</v>
      </c>
      <c r="V120" s="507" t="s">
        <v>115</v>
      </c>
      <c r="W120" s="161"/>
      <c r="X120" s="179">
        <v>2.0000000000000001E-9</v>
      </c>
      <c r="Y120" s="165" t="s">
        <v>1277</v>
      </c>
      <c r="Z120" s="687" t="s">
        <v>115</v>
      </c>
      <c r="AA120" s="328"/>
      <c r="AB120" s="1431" t="str">
        <f t="shared" si="21"/>
        <v>--</v>
      </c>
      <c r="AC120" s="1432" t="str">
        <f t="shared" si="22"/>
        <v xml:space="preserve"> </v>
      </c>
      <c r="AD120" s="217" t="s">
        <v>115</v>
      </c>
      <c r="AE120" s="1345"/>
      <c r="AF120" s="217" t="s">
        <v>115</v>
      </c>
      <c r="AG120" s="165"/>
      <c r="AH120" s="687" t="s">
        <v>115</v>
      </c>
      <c r="AI120" s="225"/>
      <c r="AJ120" s="403">
        <v>1</v>
      </c>
      <c r="AK120" s="312">
        <v>0.1</v>
      </c>
      <c r="AL120" s="403" t="s">
        <v>495</v>
      </c>
      <c r="AM120" s="217">
        <v>0.60299999999999998</v>
      </c>
      <c r="AN120" s="492" t="s">
        <v>1203</v>
      </c>
      <c r="AO120" s="313" t="s">
        <v>115</v>
      </c>
      <c r="AP120" s="171">
        <v>5.2585712913896296</v>
      </c>
      <c r="AQ120" s="171">
        <v>79.580882268599694</v>
      </c>
      <c r="AR120" s="1344">
        <v>349.78817584811202</v>
      </c>
      <c r="AS120" s="169" t="s">
        <v>115</v>
      </c>
      <c r="AT120" s="1"/>
      <c r="AU120" s="1"/>
      <c r="AV120" s="1"/>
      <c r="AW120" s="1"/>
    </row>
    <row r="121" spans="1:49" ht="12" customHeight="1">
      <c r="A121" s="136" t="s">
        <v>285</v>
      </c>
      <c r="B121" s="486" t="s">
        <v>286</v>
      </c>
      <c r="C121" s="1431" t="str">
        <f t="shared" si="23"/>
        <v>--</v>
      </c>
      <c r="D121" s="1432" t="str">
        <f t="shared" si="16"/>
        <v xml:space="preserve"> </v>
      </c>
      <c r="E121" s="217" t="s">
        <v>115</v>
      </c>
      <c r="F121" s="1345"/>
      <c r="G121" s="217" t="s">
        <v>115</v>
      </c>
      <c r="H121" s="165"/>
      <c r="I121" s="687" t="s">
        <v>115</v>
      </c>
      <c r="J121" s="165"/>
      <c r="K121" s="1433"/>
      <c r="L121" s="1431" t="str">
        <f t="shared" si="17"/>
        <v>--</v>
      </c>
      <c r="M121" s="1432" t="str">
        <f t="shared" si="28"/>
        <v xml:space="preserve"> </v>
      </c>
      <c r="N121" s="217" t="s">
        <v>115</v>
      </c>
      <c r="O121" s="1345"/>
      <c r="P121" s="217" t="s">
        <v>115</v>
      </c>
      <c r="Q121" s="165"/>
      <c r="R121" s="687" t="s">
        <v>115</v>
      </c>
      <c r="S121" s="225"/>
      <c r="T121" s="1431">
        <f t="shared" si="19"/>
        <v>2.9999999999999997E-4</v>
      </c>
      <c r="U121" s="1432" t="str">
        <f t="shared" si="20"/>
        <v>WI</v>
      </c>
      <c r="V121" s="507" t="s">
        <v>115</v>
      </c>
      <c r="W121" s="161"/>
      <c r="X121" s="179" t="s">
        <v>115</v>
      </c>
      <c r="Y121" s="165"/>
      <c r="Z121" s="485">
        <v>2.9999999999999997E-4</v>
      </c>
      <c r="AA121" s="328" t="s">
        <v>1281</v>
      </c>
      <c r="AB121" s="1431" t="str">
        <f t="shared" si="21"/>
        <v>--</v>
      </c>
      <c r="AC121" s="1432" t="str">
        <f t="shared" si="22"/>
        <v xml:space="preserve"> </v>
      </c>
      <c r="AD121" s="217" t="s">
        <v>115</v>
      </c>
      <c r="AE121" s="1345"/>
      <c r="AF121" s="217" t="s">
        <v>115</v>
      </c>
      <c r="AG121" s="165"/>
      <c r="AH121" s="687" t="s">
        <v>115</v>
      </c>
      <c r="AI121" s="225"/>
      <c r="AJ121" s="402">
        <v>1</v>
      </c>
      <c r="AK121" s="312">
        <v>0.1</v>
      </c>
      <c r="AL121" s="402" t="s">
        <v>495</v>
      </c>
      <c r="AM121" s="328">
        <v>1.39</v>
      </c>
      <c r="AN121" s="492" t="s">
        <v>1199</v>
      </c>
      <c r="AO121" s="313" t="s">
        <v>115</v>
      </c>
      <c r="AP121" s="158">
        <v>12.697537442378</v>
      </c>
      <c r="AQ121" s="158">
        <v>151.63824506367399</v>
      </c>
      <c r="AR121" s="165">
        <v>692.35345273905796</v>
      </c>
      <c r="AS121" s="168" t="s">
        <v>115</v>
      </c>
      <c r="AT121" s="1"/>
      <c r="AU121" s="1"/>
      <c r="AV121" s="1"/>
      <c r="AW121" s="1"/>
    </row>
    <row r="122" spans="1:49" ht="12" customHeight="1">
      <c r="A122" s="136" t="s">
        <v>287</v>
      </c>
      <c r="B122" s="486" t="s">
        <v>288</v>
      </c>
      <c r="C122" s="1431" t="str">
        <f t="shared" si="23"/>
        <v>--</v>
      </c>
      <c r="D122" s="1432" t="str">
        <f t="shared" si="16"/>
        <v xml:space="preserve"> </v>
      </c>
      <c r="E122" s="217" t="s">
        <v>115</v>
      </c>
      <c r="F122" s="1345"/>
      <c r="G122" s="217" t="s">
        <v>115</v>
      </c>
      <c r="H122" s="165"/>
      <c r="I122" s="687" t="s">
        <v>115</v>
      </c>
      <c r="J122" s="165"/>
      <c r="K122" s="1433"/>
      <c r="L122" s="1431" t="str">
        <f t="shared" si="17"/>
        <v>--</v>
      </c>
      <c r="M122" s="1432" t="str">
        <f t="shared" si="28"/>
        <v xml:space="preserve"> </v>
      </c>
      <c r="N122" s="217" t="s">
        <v>115</v>
      </c>
      <c r="O122" s="1345"/>
      <c r="P122" s="217" t="s">
        <v>115</v>
      </c>
      <c r="Q122" s="165"/>
      <c r="R122" s="687" t="s">
        <v>115</v>
      </c>
      <c r="S122" s="225"/>
      <c r="T122" s="1431">
        <f t="shared" si="19"/>
        <v>5.0000000000000002E-5</v>
      </c>
      <c r="U122" s="1432" t="str">
        <f t="shared" si="20"/>
        <v>WI</v>
      </c>
      <c r="V122" s="507" t="s">
        <v>115</v>
      </c>
      <c r="W122" s="161"/>
      <c r="X122" s="179" t="s">
        <v>115</v>
      </c>
      <c r="Y122" s="165"/>
      <c r="Z122" s="485">
        <v>5.0000000000000002E-5</v>
      </c>
      <c r="AA122" s="328" t="s">
        <v>1281</v>
      </c>
      <c r="AB122" s="1431" t="str">
        <f t="shared" si="21"/>
        <v>--</v>
      </c>
      <c r="AC122" s="1432" t="str">
        <f t="shared" si="22"/>
        <v xml:space="preserve"> </v>
      </c>
      <c r="AD122" s="217" t="s">
        <v>115</v>
      </c>
      <c r="AE122" s="1345"/>
      <c r="AF122" s="217" t="s">
        <v>115</v>
      </c>
      <c r="AG122" s="165"/>
      <c r="AH122" s="687" t="s">
        <v>115</v>
      </c>
      <c r="AI122" s="225"/>
      <c r="AJ122" s="402">
        <v>1</v>
      </c>
      <c r="AK122" s="312">
        <v>0.1</v>
      </c>
      <c r="AL122" s="402" t="s">
        <v>496</v>
      </c>
      <c r="AM122" s="328">
        <v>3.19</v>
      </c>
      <c r="AN122" s="492" t="s">
        <v>1199</v>
      </c>
      <c r="AO122" s="313" t="s">
        <v>115</v>
      </c>
      <c r="AP122" s="158">
        <v>30.404431245282499</v>
      </c>
      <c r="AQ122" s="158">
        <v>288.940719309717</v>
      </c>
      <c r="AR122" s="165">
        <v>1343.04813834519</v>
      </c>
      <c r="AS122" s="168" t="s">
        <v>115</v>
      </c>
      <c r="AT122" s="1"/>
      <c r="AU122" s="1"/>
      <c r="AV122" s="1"/>
      <c r="AW122" s="1"/>
    </row>
    <row r="123" spans="1:49" ht="12" customHeight="1">
      <c r="A123" s="136" t="s">
        <v>289</v>
      </c>
      <c r="B123" s="486" t="s">
        <v>290</v>
      </c>
      <c r="C123" s="1431" t="str">
        <f t="shared" si="23"/>
        <v>--</v>
      </c>
      <c r="D123" s="1432" t="str">
        <f t="shared" si="16"/>
        <v xml:space="preserve"> </v>
      </c>
      <c r="E123" s="217" t="s">
        <v>115</v>
      </c>
      <c r="F123" s="1345"/>
      <c r="G123" s="217" t="s">
        <v>115</v>
      </c>
      <c r="H123" s="165"/>
      <c r="I123" s="687" t="s">
        <v>115</v>
      </c>
      <c r="J123" s="165"/>
      <c r="K123" s="1433"/>
      <c r="L123" s="1431" t="str">
        <f t="shared" si="17"/>
        <v>--</v>
      </c>
      <c r="M123" s="1432" t="str">
        <f t="shared" si="28"/>
        <v xml:space="preserve"> </v>
      </c>
      <c r="N123" s="217" t="s">
        <v>115</v>
      </c>
      <c r="O123" s="1345"/>
      <c r="P123" s="217" t="s">
        <v>115</v>
      </c>
      <c r="Q123" s="165"/>
      <c r="R123" s="687" t="s">
        <v>115</v>
      </c>
      <c r="S123" s="225"/>
      <c r="T123" s="1431">
        <f t="shared" si="19"/>
        <v>1E-3</v>
      </c>
      <c r="U123" s="1432" t="str">
        <f t="shared" si="20"/>
        <v>WI</v>
      </c>
      <c r="V123" s="507" t="s">
        <v>115</v>
      </c>
      <c r="W123" s="161"/>
      <c r="X123" s="179" t="s">
        <v>115</v>
      </c>
      <c r="Y123" s="165"/>
      <c r="Z123" s="485">
        <v>1E-3</v>
      </c>
      <c r="AA123" s="328" t="s">
        <v>1281</v>
      </c>
      <c r="AB123" s="1431" t="str">
        <f t="shared" si="21"/>
        <v>--</v>
      </c>
      <c r="AC123" s="1432" t="str">
        <f t="shared" si="22"/>
        <v xml:space="preserve"> </v>
      </c>
      <c r="AD123" s="217" t="s">
        <v>115</v>
      </c>
      <c r="AE123" s="1345"/>
      <c r="AF123" s="217" t="s">
        <v>115</v>
      </c>
      <c r="AG123" s="165"/>
      <c r="AH123" s="687" t="s">
        <v>115</v>
      </c>
      <c r="AI123" s="225"/>
      <c r="AJ123" s="402">
        <v>1</v>
      </c>
      <c r="AK123" s="312">
        <v>0.1</v>
      </c>
      <c r="AL123" s="402" t="s">
        <v>496</v>
      </c>
      <c r="AM123" s="328">
        <v>16.8</v>
      </c>
      <c r="AN123" s="492" t="s">
        <v>1199</v>
      </c>
      <c r="AO123" s="313" t="s">
        <v>115</v>
      </c>
      <c r="AP123" s="158">
        <v>172.66942798580999</v>
      </c>
      <c r="AQ123" s="158">
        <v>1049.0803431084601</v>
      </c>
      <c r="AR123" s="165">
        <v>4931.4633092449803</v>
      </c>
      <c r="AS123" s="168" t="s">
        <v>115</v>
      </c>
      <c r="AT123" s="1"/>
      <c r="AU123" s="1"/>
      <c r="AV123" s="1"/>
      <c r="AW123" s="1"/>
    </row>
    <row r="124" spans="1:49" s="1" customFormat="1" ht="12" customHeight="1">
      <c r="A124" s="136" t="s">
        <v>291</v>
      </c>
      <c r="B124" s="486" t="s">
        <v>292</v>
      </c>
      <c r="C124" s="1431" t="str">
        <f t="shared" si="23"/>
        <v>--</v>
      </c>
      <c r="D124" s="1432" t="str">
        <f t="shared" si="16"/>
        <v xml:space="preserve"> </v>
      </c>
      <c r="E124" s="217" t="s">
        <v>115</v>
      </c>
      <c r="F124" s="1345"/>
      <c r="G124" s="217" t="s">
        <v>115</v>
      </c>
      <c r="H124" s="165"/>
      <c r="I124" s="687" t="s">
        <v>115</v>
      </c>
      <c r="J124" s="165"/>
      <c r="K124" s="1433"/>
      <c r="L124" s="1431" t="str">
        <f t="shared" si="17"/>
        <v>--</v>
      </c>
      <c r="M124" s="1432" t="str">
        <f t="shared" si="28"/>
        <v xml:space="preserve"> </v>
      </c>
      <c r="N124" s="217" t="s">
        <v>115</v>
      </c>
      <c r="O124" s="1345"/>
      <c r="P124" s="217" t="s">
        <v>115</v>
      </c>
      <c r="Q124" s="165"/>
      <c r="R124" s="687" t="s">
        <v>115</v>
      </c>
      <c r="S124" s="225"/>
      <c r="T124" s="1431">
        <f t="shared" si="19"/>
        <v>0.04</v>
      </c>
      <c r="U124" s="1432" t="str">
        <f t="shared" si="20"/>
        <v>WI</v>
      </c>
      <c r="V124" s="507" t="s">
        <v>115</v>
      </c>
      <c r="W124" s="161"/>
      <c r="X124" s="179" t="s">
        <v>115</v>
      </c>
      <c r="Y124" s="165"/>
      <c r="Z124" s="485">
        <v>0.04</v>
      </c>
      <c r="AA124" s="328" t="s">
        <v>1281</v>
      </c>
      <c r="AB124" s="1431" t="str">
        <f t="shared" si="21"/>
        <v>--</v>
      </c>
      <c r="AC124" s="1432" t="str">
        <f t="shared" si="22"/>
        <v xml:space="preserve"> </v>
      </c>
      <c r="AD124" s="217" t="s">
        <v>115</v>
      </c>
      <c r="AE124" s="1345"/>
      <c r="AF124" s="217" t="s">
        <v>115</v>
      </c>
      <c r="AG124" s="165"/>
      <c r="AH124" s="687" t="s">
        <v>115</v>
      </c>
      <c r="AI124" s="225"/>
      <c r="AJ124" s="402">
        <v>1</v>
      </c>
      <c r="AK124" s="312">
        <v>0.1</v>
      </c>
      <c r="AL124" s="402" t="s">
        <v>496</v>
      </c>
      <c r="AM124" s="328">
        <v>470</v>
      </c>
      <c r="AN124" s="492" t="s">
        <v>1199</v>
      </c>
      <c r="AO124" s="313" t="s">
        <v>115</v>
      </c>
      <c r="AP124" s="158">
        <v>5465.3926000049896</v>
      </c>
      <c r="AQ124" s="158">
        <v>13829.5723158979</v>
      </c>
      <c r="AR124" s="165">
        <v>65165.207362626803</v>
      </c>
      <c r="AS124" s="168" t="s">
        <v>115</v>
      </c>
    </row>
    <row r="125" spans="1:49" ht="12" customHeight="1">
      <c r="A125" s="136" t="s">
        <v>293</v>
      </c>
      <c r="B125" s="486" t="s">
        <v>294</v>
      </c>
      <c r="C125" s="1431" t="str">
        <f t="shared" si="23"/>
        <v>--</v>
      </c>
      <c r="D125" s="1432" t="str">
        <f t="shared" si="16"/>
        <v xml:space="preserve"> </v>
      </c>
      <c r="E125" s="217" t="s">
        <v>115</v>
      </c>
      <c r="F125" s="1345"/>
      <c r="G125" s="217" t="s">
        <v>115</v>
      </c>
      <c r="H125" s="165"/>
      <c r="I125" s="687" t="s">
        <v>115</v>
      </c>
      <c r="J125" s="165"/>
      <c r="K125" s="1433"/>
      <c r="L125" s="1431" t="str">
        <f t="shared" si="17"/>
        <v>--</v>
      </c>
      <c r="M125" s="1432" t="str">
        <f t="shared" si="28"/>
        <v xml:space="preserve"> </v>
      </c>
      <c r="N125" s="217" t="s">
        <v>115</v>
      </c>
      <c r="O125" s="1345"/>
      <c r="P125" s="217" t="s">
        <v>115</v>
      </c>
      <c r="Q125" s="165"/>
      <c r="R125" s="687" t="s">
        <v>115</v>
      </c>
      <c r="S125" s="225"/>
      <c r="T125" s="1431">
        <f t="shared" si="19"/>
        <v>2.9999999999999997E-4</v>
      </c>
      <c r="U125" s="1432" t="str">
        <f t="shared" si="20"/>
        <v>EPA HERA ORD</v>
      </c>
      <c r="V125" s="507" t="s">
        <v>115</v>
      </c>
      <c r="W125" s="161"/>
      <c r="X125" s="179" t="s">
        <v>115</v>
      </c>
      <c r="Y125" s="165"/>
      <c r="Z125" s="179">
        <v>2.9999999999999997E-4</v>
      </c>
      <c r="AA125" s="165" t="s">
        <v>1276</v>
      </c>
      <c r="AB125" s="1431" t="str">
        <f t="shared" si="21"/>
        <v>--</v>
      </c>
      <c r="AC125" s="1432" t="str">
        <f t="shared" si="22"/>
        <v xml:space="preserve"> </v>
      </c>
      <c r="AD125" s="217" t="s">
        <v>115</v>
      </c>
      <c r="AE125" s="1345"/>
      <c r="AF125" s="217" t="s">
        <v>115</v>
      </c>
      <c r="AG125" s="165"/>
      <c r="AH125" s="687" t="s">
        <v>115</v>
      </c>
      <c r="AI125" s="225"/>
      <c r="AJ125" s="402">
        <v>1</v>
      </c>
      <c r="AK125" s="312">
        <v>0.1</v>
      </c>
      <c r="AL125" s="402" t="s">
        <v>495</v>
      </c>
      <c r="AM125" s="328">
        <v>1.926976463E-5</v>
      </c>
      <c r="AN125" s="492" t="s">
        <v>1203</v>
      </c>
      <c r="AO125" s="314">
        <v>1</v>
      </c>
      <c r="AP125" s="158">
        <v>1.2839143703E-4</v>
      </c>
      <c r="AQ125" s="158">
        <v>5.0397471695603402</v>
      </c>
      <c r="AR125" s="165">
        <v>12.0953932069448</v>
      </c>
      <c r="AS125" s="168" t="s">
        <v>115</v>
      </c>
      <c r="AT125" s="1"/>
      <c r="AU125" s="1"/>
      <c r="AV125" s="1"/>
      <c r="AW125" s="1"/>
    </row>
    <row r="126" spans="1:49" ht="12" customHeight="1">
      <c r="A126" s="136" t="s">
        <v>295</v>
      </c>
      <c r="B126" s="486" t="s">
        <v>296</v>
      </c>
      <c r="C126" s="1431" t="str">
        <f t="shared" si="23"/>
        <v>--</v>
      </c>
      <c r="D126" s="1432" t="str">
        <f t="shared" si="16"/>
        <v xml:space="preserve"> </v>
      </c>
      <c r="E126" s="217" t="s">
        <v>115</v>
      </c>
      <c r="F126" s="1345"/>
      <c r="G126" s="217" t="s">
        <v>115</v>
      </c>
      <c r="H126" s="165"/>
      <c r="I126" s="687" t="s">
        <v>115</v>
      </c>
      <c r="J126" s="165"/>
      <c r="K126" s="1433"/>
      <c r="L126" s="1431" t="str">
        <f t="shared" si="17"/>
        <v>--</v>
      </c>
      <c r="M126" s="1432" t="str">
        <f t="shared" si="28"/>
        <v xml:space="preserve"> </v>
      </c>
      <c r="N126" s="217" t="s">
        <v>115</v>
      </c>
      <c r="O126" s="1345"/>
      <c r="P126" s="217" t="s">
        <v>115</v>
      </c>
      <c r="Q126" s="165"/>
      <c r="R126" s="687" t="s">
        <v>115</v>
      </c>
      <c r="S126" s="225"/>
      <c r="T126" s="1431">
        <f t="shared" si="19"/>
        <v>2.0000000000000002E-5</v>
      </c>
      <c r="U126" s="1432" t="str">
        <f t="shared" si="20"/>
        <v>ATSDR</v>
      </c>
      <c r="V126" s="507" t="s">
        <v>115</v>
      </c>
      <c r="W126" s="161"/>
      <c r="X126" s="507" t="s">
        <v>115</v>
      </c>
      <c r="Y126" s="165"/>
      <c r="Z126" s="485">
        <v>2.0000000000000002E-5</v>
      </c>
      <c r="AA126" s="328" t="s">
        <v>1280</v>
      </c>
      <c r="AB126" s="1431" t="str">
        <f t="shared" si="21"/>
        <v>--</v>
      </c>
      <c r="AC126" s="1432" t="str">
        <f t="shared" si="22"/>
        <v xml:space="preserve"> </v>
      </c>
      <c r="AD126" s="217" t="s">
        <v>115</v>
      </c>
      <c r="AE126" s="1345"/>
      <c r="AF126" s="217" t="s">
        <v>115</v>
      </c>
      <c r="AG126" s="165"/>
      <c r="AH126" s="687" t="s">
        <v>115</v>
      </c>
      <c r="AI126" s="225"/>
      <c r="AJ126" s="402">
        <v>1</v>
      </c>
      <c r="AK126" s="312">
        <v>0.1</v>
      </c>
      <c r="AL126" s="402" t="s">
        <v>495</v>
      </c>
      <c r="AM126" s="328">
        <v>2.5807510932999999E-4</v>
      </c>
      <c r="AN126" s="492" t="s">
        <v>1203</v>
      </c>
      <c r="AO126" s="314">
        <v>1</v>
      </c>
      <c r="AP126" s="158">
        <v>1.9854412823499998E-3</v>
      </c>
      <c r="AQ126" s="158">
        <v>18.298215988570899</v>
      </c>
      <c r="AR126" s="165">
        <v>43.915718372570097</v>
      </c>
      <c r="AS126" s="168" t="s">
        <v>115</v>
      </c>
      <c r="AT126" s="1"/>
      <c r="AU126" s="1"/>
      <c r="AV126" s="1"/>
      <c r="AW126" s="1"/>
    </row>
    <row r="127" spans="1:49" ht="12" customHeight="1">
      <c r="A127" s="136" t="s">
        <v>297</v>
      </c>
      <c r="B127" s="486" t="s">
        <v>298</v>
      </c>
      <c r="C127" s="1431">
        <f t="shared" si="23"/>
        <v>39.5</v>
      </c>
      <c r="D127" s="1432" t="str">
        <f t="shared" si="16"/>
        <v>EPA Office of Water</v>
      </c>
      <c r="E127" s="328">
        <v>15.6</v>
      </c>
      <c r="F127" s="1345" t="s">
        <v>1278</v>
      </c>
      <c r="G127" s="217" t="s">
        <v>115</v>
      </c>
      <c r="H127" s="165"/>
      <c r="I127" s="485">
        <v>39.5</v>
      </c>
      <c r="J127" s="165" t="s">
        <v>1279</v>
      </c>
      <c r="K127" s="1433"/>
      <c r="L127" s="1431" t="str">
        <f t="shared" si="17"/>
        <v>--</v>
      </c>
      <c r="M127" s="1432" t="str">
        <f t="shared" si="28"/>
        <v xml:space="preserve"> </v>
      </c>
      <c r="N127" s="217" t="s">
        <v>115</v>
      </c>
      <c r="O127" s="1345"/>
      <c r="P127" s="217" t="s">
        <v>115</v>
      </c>
      <c r="Q127" s="165"/>
      <c r="R127" s="687" t="s">
        <v>115</v>
      </c>
      <c r="S127" s="225"/>
      <c r="T127" s="1431">
        <f t="shared" si="19"/>
        <v>9.9999999999999995E-8</v>
      </c>
      <c r="U127" s="1432" t="str">
        <f t="shared" si="20"/>
        <v>EPA Office of Water</v>
      </c>
      <c r="V127" s="507">
        <v>6.4000000000000005E-4</v>
      </c>
      <c r="W127" s="161" t="s">
        <v>1278</v>
      </c>
      <c r="X127" s="507" t="s">
        <v>115</v>
      </c>
      <c r="Y127" s="165"/>
      <c r="Z127" s="179">
        <v>9.9999999999999995E-8</v>
      </c>
      <c r="AA127" s="165" t="s">
        <v>1279</v>
      </c>
      <c r="AB127" s="1431" t="str">
        <f t="shared" si="21"/>
        <v>--</v>
      </c>
      <c r="AC127" s="1432" t="str">
        <f t="shared" si="22"/>
        <v xml:space="preserve"> </v>
      </c>
      <c r="AD127" s="217" t="s">
        <v>115</v>
      </c>
      <c r="AE127" s="1345"/>
      <c r="AF127" s="217" t="s">
        <v>115</v>
      </c>
      <c r="AG127" s="165"/>
      <c r="AH127" s="687" t="s">
        <v>115</v>
      </c>
      <c r="AI127" s="225"/>
      <c r="AJ127" s="402">
        <v>1</v>
      </c>
      <c r="AK127" s="312">
        <v>0.1</v>
      </c>
      <c r="AL127" s="402" t="s">
        <v>496</v>
      </c>
      <c r="AM127" s="328">
        <v>4.6851381349800002E-7</v>
      </c>
      <c r="AN127" s="492" t="s">
        <v>1203</v>
      </c>
      <c r="AO127" s="314">
        <v>1</v>
      </c>
      <c r="AP127" s="158">
        <v>4.0297442039099998E-6</v>
      </c>
      <c r="AQ127" s="158">
        <v>66.436806668935006</v>
      </c>
      <c r="AR127" s="165">
        <v>159.44833600544399</v>
      </c>
      <c r="AS127" s="168" t="s">
        <v>115</v>
      </c>
      <c r="AT127" s="1"/>
      <c r="AU127" s="1"/>
      <c r="AV127" s="1"/>
      <c r="AW127" s="1"/>
    </row>
    <row r="128" spans="1:49" ht="12" customHeight="1">
      <c r="A128" s="136" t="s">
        <v>299</v>
      </c>
      <c r="B128" s="486" t="s">
        <v>300</v>
      </c>
      <c r="C128" s="1431" t="str">
        <f t="shared" si="23"/>
        <v>--</v>
      </c>
      <c r="D128" s="1432" t="str">
        <f t="shared" si="16"/>
        <v xml:space="preserve"> </v>
      </c>
      <c r="E128" s="217" t="s">
        <v>115</v>
      </c>
      <c r="F128" s="1345"/>
      <c r="G128" s="217" t="s">
        <v>115</v>
      </c>
      <c r="H128" s="165"/>
      <c r="I128" s="687" t="s">
        <v>115</v>
      </c>
      <c r="J128" s="165"/>
      <c r="K128" s="1433"/>
      <c r="L128" s="1431" t="str">
        <f t="shared" si="17"/>
        <v>--</v>
      </c>
      <c r="M128" s="1432" t="str">
        <f t="shared" si="28"/>
        <v xml:space="preserve"> </v>
      </c>
      <c r="N128" s="217" t="s">
        <v>115</v>
      </c>
      <c r="O128" s="1345"/>
      <c r="P128" s="217" t="s">
        <v>115</v>
      </c>
      <c r="Q128" s="165"/>
      <c r="R128" s="687" t="s">
        <v>115</v>
      </c>
      <c r="S128" s="225"/>
      <c r="T128" s="1431">
        <f>IF(AND(V128&lt;&gt;"--",X128&lt;&gt;"--"),MIN(V128,X128),IF(X128&lt;&gt;"--",X128,IF(AND(V128&lt;&gt;"--",Z128&lt;&gt;"--"),MIN(V128,Z128),IF(Z128&lt;&gt;"--",Z128,V128))))</f>
        <v>3.0000000000000001E-6</v>
      </c>
      <c r="U128" s="1432" t="str">
        <f t="shared" si="20"/>
        <v>EPA Office of Water</v>
      </c>
      <c r="V128" s="507" t="s">
        <v>115</v>
      </c>
      <c r="W128" s="161"/>
      <c r="X128" s="179">
        <v>3.0000000000000001E-6</v>
      </c>
      <c r="Y128" s="165" t="s">
        <v>1279</v>
      </c>
      <c r="Z128" s="687" t="s">
        <v>115</v>
      </c>
      <c r="AA128" s="328"/>
      <c r="AB128" s="1431" t="str">
        <f t="shared" si="21"/>
        <v>--</v>
      </c>
      <c r="AC128" s="1432" t="str">
        <f t="shared" si="22"/>
        <v xml:space="preserve"> </v>
      </c>
      <c r="AD128" s="217" t="s">
        <v>115</v>
      </c>
      <c r="AE128" s="1345"/>
      <c r="AF128" s="217" t="s">
        <v>115</v>
      </c>
      <c r="AG128" s="165"/>
      <c r="AH128" s="687" t="s">
        <v>115</v>
      </c>
      <c r="AI128" s="225"/>
      <c r="AJ128" s="402">
        <v>1</v>
      </c>
      <c r="AK128" s="312" t="s">
        <v>115</v>
      </c>
      <c r="AL128" s="402" t="s">
        <v>495</v>
      </c>
      <c r="AM128" s="328">
        <v>8.6675186538739998E-2</v>
      </c>
      <c r="AN128" s="492" t="s">
        <v>1203</v>
      </c>
      <c r="AO128" s="314">
        <v>0.8</v>
      </c>
      <c r="AP128" s="158">
        <v>0.60568134723914002</v>
      </c>
      <c r="AQ128" s="158">
        <v>7.4200827668435902</v>
      </c>
      <c r="AR128" s="165">
        <v>29.9301819752346</v>
      </c>
      <c r="AS128" s="168" t="s">
        <v>115</v>
      </c>
      <c r="AT128" s="1"/>
      <c r="AU128" s="1"/>
      <c r="AV128" s="1"/>
      <c r="AW128" s="1"/>
    </row>
    <row r="129" spans="1:49" ht="12" customHeight="1">
      <c r="A129" s="309" t="s">
        <v>301</v>
      </c>
      <c r="B129" s="427" t="s">
        <v>302</v>
      </c>
      <c r="C129" s="1431" t="str">
        <f t="shared" si="23"/>
        <v>--</v>
      </c>
      <c r="D129" s="1432" t="str">
        <f t="shared" si="16"/>
        <v xml:space="preserve"> </v>
      </c>
      <c r="E129" s="217" t="s">
        <v>115</v>
      </c>
      <c r="F129" s="1345"/>
      <c r="G129" s="217" t="s">
        <v>115</v>
      </c>
      <c r="H129" s="165"/>
      <c r="I129" s="687" t="s">
        <v>115</v>
      </c>
      <c r="J129" s="165"/>
      <c r="K129" s="1433"/>
      <c r="L129" s="1431" t="str">
        <f t="shared" si="17"/>
        <v>--</v>
      </c>
      <c r="M129" s="1432" t="str">
        <f t="shared" si="28"/>
        <v xml:space="preserve"> </v>
      </c>
      <c r="N129" s="217" t="s">
        <v>115</v>
      </c>
      <c r="O129" s="161"/>
      <c r="P129" s="507" t="s">
        <v>115</v>
      </c>
      <c r="Q129" s="165"/>
      <c r="R129" s="178" t="s">
        <v>115</v>
      </c>
      <c r="S129" s="225"/>
      <c r="T129" s="1431">
        <f t="shared" si="19"/>
        <v>0.3</v>
      </c>
      <c r="U129" s="1432" t="str">
        <f t="shared" si="20"/>
        <v>IRIS 2002</v>
      </c>
      <c r="V129" s="217" t="s">
        <v>115</v>
      </c>
      <c r="W129" s="161"/>
      <c r="X129" s="179">
        <v>0.3</v>
      </c>
      <c r="Y129" s="165" t="s">
        <v>1242</v>
      </c>
      <c r="Z129" s="687" t="s">
        <v>115</v>
      </c>
      <c r="AA129" s="328"/>
      <c r="AB129" s="1431">
        <f t="shared" si="21"/>
        <v>200</v>
      </c>
      <c r="AC129" s="1432" t="str">
        <f t="shared" si="22"/>
        <v>OEHHA 2000</v>
      </c>
      <c r="AD129" s="179">
        <v>200</v>
      </c>
      <c r="AE129" s="165" t="s">
        <v>1256</v>
      </c>
      <c r="AF129" s="507" t="s">
        <v>115</v>
      </c>
      <c r="AG129" s="165"/>
      <c r="AH129" s="1435" t="s">
        <v>115</v>
      </c>
      <c r="AI129" s="1434"/>
      <c r="AJ129" s="402">
        <v>1</v>
      </c>
      <c r="AK129" s="312">
        <v>0.1</v>
      </c>
      <c r="AL129" s="402" t="s">
        <v>495</v>
      </c>
      <c r="AM129" s="328">
        <v>4.3400000000000001E-3</v>
      </c>
      <c r="AN129" s="492" t="s">
        <v>1199</v>
      </c>
      <c r="AO129" s="314">
        <v>1</v>
      </c>
      <c r="AP129" s="158">
        <v>1.6193603357629999E-2</v>
      </c>
      <c r="AQ129" s="158">
        <v>0.35390536767007003</v>
      </c>
      <c r="AR129" s="165">
        <v>0.84937288240816</v>
      </c>
      <c r="AS129" s="168" t="s">
        <v>115</v>
      </c>
      <c r="AT129" s="1"/>
      <c r="AU129" s="1"/>
      <c r="AV129" s="1"/>
      <c r="AW129" s="1"/>
    </row>
    <row r="130" spans="1:49" s="1" customFormat="1" ht="12" customHeight="1">
      <c r="A130" s="309" t="s">
        <v>303</v>
      </c>
      <c r="B130" s="427" t="s">
        <v>304</v>
      </c>
      <c r="C130" s="1431">
        <f>IF(AND(E130&lt;&gt;"--",G130&lt;&gt;"--"),MAX(E130,G130),IF(G130&lt;&gt;"--",G130,IF(AND(E130&lt;&gt;"--",I130&lt;&gt;"--"),MAX(E130,I130),IF(I130&lt;&gt;"--",I130,E130))))</f>
        <v>2</v>
      </c>
      <c r="D130" s="1432" t="str">
        <f t="shared" si="16"/>
        <v>IRIS 1996</v>
      </c>
      <c r="E130" s="328">
        <v>2</v>
      </c>
      <c r="F130" s="1345" t="s">
        <v>1204</v>
      </c>
      <c r="G130" s="328">
        <v>2</v>
      </c>
      <c r="H130" s="165" t="s">
        <v>1282</v>
      </c>
      <c r="I130" s="687" t="s">
        <v>115</v>
      </c>
      <c r="J130" s="165"/>
      <c r="K130" s="1433"/>
      <c r="L130" s="1431">
        <f t="shared" si="17"/>
        <v>5.6999999999999998E-4</v>
      </c>
      <c r="M130" s="1432" t="str">
        <f t="shared" si="28"/>
        <v>IRIS 1996</v>
      </c>
      <c r="N130" s="217" t="s">
        <v>115</v>
      </c>
      <c r="O130" s="161"/>
      <c r="P130" s="179">
        <v>5.6999999999999998E-4</v>
      </c>
      <c r="Q130" s="165" t="s">
        <v>1282</v>
      </c>
      <c r="R130" s="178" t="s">
        <v>115</v>
      </c>
      <c r="S130" s="225"/>
      <c r="T130" s="1431" t="str">
        <f t="shared" si="19"/>
        <v>--</v>
      </c>
      <c r="U130" s="1432" t="str">
        <f t="shared" si="20"/>
        <v xml:space="preserve"> </v>
      </c>
      <c r="V130" s="217" t="s">
        <v>115</v>
      </c>
      <c r="W130" s="161"/>
      <c r="X130" s="507" t="s">
        <v>115</v>
      </c>
      <c r="Y130" s="165"/>
      <c r="Z130" s="687" t="s">
        <v>115</v>
      </c>
      <c r="AA130" s="328"/>
      <c r="AB130" s="1431" t="str">
        <f t="shared" si="21"/>
        <v>--</v>
      </c>
      <c r="AC130" s="1432" t="str">
        <f t="shared" si="22"/>
        <v xml:space="preserve"> </v>
      </c>
      <c r="AD130" s="507" t="s">
        <v>115</v>
      </c>
      <c r="AE130" s="165"/>
      <c r="AF130" s="507" t="s">
        <v>115</v>
      </c>
      <c r="AG130" s="165"/>
      <c r="AH130" s="1435" t="s">
        <v>115</v>
      </c>
      <c r="AI130" s="1434"/>
      <c r="AJ130" s="402">
        <v>1</v>
      </c>
      <c r="AK130" s="312">
        <v>0.14000000000000001</v>
      </c>
      <c r="AL130" s="402" t="s">
        <v>496</v>
      </c>
      <c r="AM130" s="328">
        <v>0.54500000000000004</v>
      </c>
      <c r="AN130" s="492" t="s">
        <v>1199</v>
      </c>
      <c r="AO130" s="314">
        <v>0.7</v>
      </c>
      <c r="AP130" s="158">
        <v>3.5818479278722002</v>
      </c>
      <c r="AQ130" s="158">
        <v>4.5393403832826502</v>
      </c>
      <c r="AR130" s="165">
        <v>19.446178178515499</v>
      </c>
      <c r="AS130" s="168" t="s">
        <v>115</v>
      </c>
    </row>
    <row r="131" spans="1:49" ht="12" customHeight="1">
      <c r="A131" s="309" t="s">
        <v>305</v>
      </c>
      <c r="B131" s="427" t="s">
        <v>306</v>
      </c>
      <c r="C131" s="1431" t="str">
        <f t="shared" si="23"/>
        <v>--</v>
      </c>
      <c r="D131" s="1432" t="str">
        <f t="shared" si="16"/>
        <v xml:space="preserve"> </v>
      </c>
      <c r="E131" s="217" t="s">
        <v>115</v>
      </c>
      <c r="F131" s="1345"/>
      <c r="G131" s="217" t="s">
        <v>115</v>
      </c>
      <c r="H131" s="165"/>
      <c r="I131" s="687" t="s">
        <v>115</v>
      </c>
      <c r="J131" s="165"/>
      <c r="K131" s="1433"/>
      <c r="L131" s="1431" t="str">
        <f t="shared" si="17"/>
        <v>--</v>
      </c>
      <c r="M131" s="1432" t="str">
        <f t="shared" si="28"/>
        <v xml:space="preserve"> </v>
      </c>
      <c r="N131" s="217" t="s">
        <v>115</v>
      </c>
      <c r="O131" s="161"/>
      <c r="P131" s="507" t="s">
        <v>115</v>
      </c>
      <c r="Q131" s="165"/>
      <c r="R131" s="178" t="s">
        <v>115</v>
      </c>
      <c r="S131" s="225"/>
      <c r="T131" s="1431">
        <f t="shared" si="19"/>
        <v>5.0000000000000001E-3</v>
      </c>
      <c r="U131" s="1432" t="str">
        <f t="shared" si="20"/>
        <v>IRIS 1991</v>
      </c>
      <c r="V131" s="328">
        <v>5.0000000000000001E-3</v>
      </c>
      <c r="W131" s="161" t="s">
        <v>1207</v>
      </c>
      <c r="X131" s="179">
        <v>5.0000000000000001E-3</v>
      </c>
      <c r="Y131" s="165" t="s">
        <v>1201</v>
      </c>
      <c r="Z131" s="687" t="s">
        <v>115</v>
      </c>
      <c r="AA131" s="328"/>
      <c r="AB131" s="1431">
        <f t="shared" si="21"/>
        <v>20</v>
      </c>
      <c r="AC131" s="1432" t="str">
        <f t="shared" si="22"/>
        <v>OEHHA 2008</v>
      </c>
      <c r="AD131" s="507">
        <v>20</v>
      </c>
      <c r="AE131" s="165" t="s">
        <v>1207</v>
      </c>
      <c r="AF131" s="507" t="s">
        <v>115</v>
      </c>
      <c r="AG131" s="165"/>
      <c r="AH131" s="1435" t="s">
        <v>115</v>
      </c>
      <c r="AI131" s="1434"/>
      <c r="AJ131" s="402">
        <v>1</v>
      </c>
      <c r="AK131" s="312" t="s">
        <v>115</v>
      </c>
      <c r="AL131" s="402" t="s">
        <v>495</v>
      </c>
      <c r="AM131" s="328">
        <v>1E-3</v>
      </c>
      <c r="AN131" s="492" t="s">
        <v>1203</v>
      </c>
      <c r="AO131" s="314">
        <v>1</v>
      </c>
      <c r="AP131" s="158">
        <v>3.4176707525400002E-3</v>
      </c>
      <c r="AQ131" s="158">
        <v>0.29108829990245999</v>
      </c>
      <c r="AR131" s="165">
        <v>0.69861191976590997</v>
      </c>
      <c r="AS131" s="168" t="s">
        <v>115</v>
      </c>
      <c r="AT131" s="1"/>
      <c r="AU131" s="1"/>
      <c r="AV131" s="1"/>
      <c r="AW131" s="1"/>
    </row>
    <row r="132" spans="1:49" ht="12" customHeight="1">
      <c r="A132" s="309" t="s">
        <v>307</v>
      </c>
      <c r="B132" s="427" t="s">
        <v>308</v>
      </c>
      <c r="C132" s="1431" t="str">
        <f t="shared" si="23"/>
        <v>--</v>
      </c>
      <c r="D132" s="1432" t="str">
        <f t="shared" si="16"/>
        <v xml:space="preserve"> </v>
      </c>
      <c r="E132" s="217" t="s">
        <v>115</v>
      </c>
      <c r="F132" s="1345"/>
      <c r="G132" s="217" t="s">
        <v>115</v>
      </c>
      <c r="H132" s="165"/>
      <c r="I132" s="687" t="s">
        <v>115</v>
      </c>
      <c r="J132" s="165"/>
      <c r="K132" s="1433"/>
      <c r="L132" s="1431" t="str">
        <f t="shared" si="17"/>
        <v>--</v>
      </c>
      <c r="M132" s="1432" t="str">
        <f t="shared" si="28"/>
        <v xml:space="preserve"> </v>
      </c>
      <c r="N132" s="217" t="s">
        <v>115</v>
      </c>
      <c r="O132" s="161"/>
      <c r="P132" s="507" t="s">
        <v>115</v>
      </c>
      <c r="Q132" s="165"/>
      <c r="R132" s="178" t="s">
        <v>115</v>
      </c>
      <c r="S132" s="225"/>
      <c r="T132" s="1431">
        <f t="shared" si="19"/>
        <v>5.0000000000000001E-3</v>
      </c>
      <c r="U132" s="1432" t="str">
        <f t="shared" si="20"/>
        <v>IRIS 1991</v>
      </c>
      <c r="V132" s="217" t="s">
        <v>115</v>
      </c>
      <c r="W132" s="161"/>
      <c r="X132" s="179">
        <v>5.0000000000000001E-3</v>
      </c>
      <c r="Y132" s="165" t="s">
        <v>1201</v>
      </c>
      <c r="Z132" s="687" t="s">
        <v>115</v>
      </c>
      <c r="AA132" s="328"/>
      <c r="AB132" s="1431" t="str">
        <f t="shared" si="21"/>
        <v>--</v>
      </c>
      <c r="AC132" s="1432" t="str">
        <f t="shared" si="22"/>
        <v xml:space="preserve"> </v>
      </c>
      <c r="AD132" s="507" t="s">
        <v>115</v>
      </c>
      <c r="AE132" s="165"/>
      <c r="AF132" s="507" t="s">
        <v>115</v>
      </c>
      <c r="AG132" s="165"/>
      <c r="AH132" s="1435" t="s">
        <v>115</v>
      </c>
      <c r="AI132" s="1434"/>
      <c r="AJ132" s="402">
        <v>0.04</v>
      </c>
      <c r="AK132" s="312" t="s">
        <v>115</v>
      </c>
      <c r="AL132" s="402" t="s">
        <v>495</v>
      </c>
      <c r="AM132" s="328">
        <v>5.9999999999999995E-4</v>
      </c>
      <c r="AN132" s="492" t="s">
        <v>1203</v>
      </c>
      <c r="AO132" s="314">
        <v>1</v>
      </c>
      <c r="AP132" s="158">
        <v>2.3967803848100001E-3</v>
      </c>
      <c r="AQ132" s="158">
        <v>0.42259149241587002</v>
      </c>
      <c r="AR132" s="165">
        <v>1.0142195817980899</v>
      </c>
      <c r="AS132" s="168" t="s">
        <v>115</v>
      </c>
      <c r="AT132" s="1"/>
      <c r="AU132" s="1"/>
      <c r="AV132" s="1"/>
      <c r="AW132" s="1"/>
    </row>
    <row r="133" spans="1:49" ht="12" customHeight="1">
      <c r="A133" s="309" t="s">
        <v>309</v>
      </c>
      <c r="B133" s="427" t="s">
        <v>310</v>
      </c>
      <c r="C133" s="1431" t="str">
        <f t="shared" si="23"/>
        <v>--</v>
      </c>
      <c r="D133" s="1432" t="str">
        <f t="shared" si="16"/>
        <v xml:space="preserve"> </v>
      </c>
      <c r="E133" s="217" t="s">
        <v>115</v>
      </c>
      <c r="F133" s="1345"/>
      <c r="G133" s="217" t="s">
        <v>115</v>
      </c>
      <c r="H133" s="165"/>
      <c r="I133" s="687" t="s">
        <v>115</v>
      </c>
      <c r="J133" s="165"/>
      <c r="K133" s="1433"/>
      <c r="L133" s="1431" t="str">
        <f t="shared" si="17"/>
        <v>--</v>
      </c>
      <c r="M133" s="1432" t="str">
        <f t="shared" si="28"/>
        <v xml:space="preserve"> </v>
      </c>
      <c r="N133" s="217" t="s">
        <v>115</v>
      </c>
      <c r="O133" s="161"/>
      <c r="P133" s="507" t="s">
        <v>115</v>
      </c>
      <c r="Q133" s="165"/>
      <c r="R133" s="178" t="s">
        <v>115</v>
      </c>
      <c r="S133" s="225"/>
      <c r="T133" s="1431">
        <f t="shared" si="19"/>
        <v>0.2</v>
      </c>
      <c r="U133" s="1432" t="str">
        <f t="shared" si="20"/>
        <v>IRIS 1992</v>
      </c>
      <c r="V133" s="217" t="s">
        <v>115</v>
      </c>
      <c r="W133" s="161"/>
      <c r="X133" s="179">
        <v>0.2</v>
      </c>
      <c r="Y133" s="165" t="s">
        <v>1223</v>
      </c>
      <c r="Z133" s="687" t="s">
        <v>115</v>
      </c>
      <c r="AA133" s="328"/>
      <c r="AB133" s="1431">
        <f t="shared" si="21"/>
        <v>900</v>
      </c>
      <c r="AC133" s="1432" t="str">
        <f t="shared" si="22"/>
        <v>OEHHA 2008</v>
      </c>
      <c r="AD133" s="179">
        <v>900</v>
      </c>
      <c r="AE133" s="165" t="s">
        <v>1207</v>
      </c>
      <c r="AF133" s="179">
        <v>1000</v>
      </c>
      <c r="AG133" s="165" t="s">
        <v>1223</v>
      </c>
      <c r="AH133" s="1435" t="s">
        <v>115</v>
      </c>
      <c r="AI133" s="1434"/>
      <c r="AJ133" s="402">
        <v>1</v>
      </c>
      <c r="AK133" s="312" t="s">
        <v>115</v>
      </c>
      <c r="AL133" s="402" t="s">
        <v>495</v>
      </c>
      <c r="AM133" s="328">
        <v>3.7199999999999997E-2</v>
      </c>
      <c r="AN133" s="492" t="s">
        <v>1199</v>
      </c>
      <c r="AO133" s="314">
        <v>1</v>
      </c>
      <c r="AP133" s="158">
        <v>0.14601559047828</v>
      </c>
      <c r="AQ133" s="158">
        <v>0.40279933938787998</v>
      </c>
      <c r="AR133" s="165">
        <v>0.96671841453092</v>
      </c>
      <c r="AS133" s="168" t="s">
        <v>115</v>
      </c>
      <c r="AT133" s="1"/>
      <c r="AU133" s="1"/>
      <c r="AV133" s="1"/>
      <c r="AW133" s="1"/>
    </row>
    <row r="134" spans="1:49" ht="12" customHeight="1">
      <c r="A134" s="309" t="s">
        <v>311</v>
      </c>
      <c r="B134" s="427" t="s">
        <v>312</v>
      </c>
      <c r="C134" s="1431">
        <f t="shared" si="23"/>
        <v>5.0000000000000001E-4</v>
      </c>
      <c r="D134" s="1432" t="str">
        <f t="shared" si="16"/>
        <v>IRIS</v>
      </c>
      <c r="E134" s="217" t="s">
        <v>115</v>
      </c>
      <c r="F134" s="1345"/>
      <c r="G134" s="217">
        <v>5.0000000000000001E-4</v>
      </c>
      <c r="H134" s="165" t="s">
        <v>1277</v>
      </c>
      <c r="I134" s="687" t="s">
        <v>115</v>
      </c>
      <c r="J134" s="165"/>
      <c r="K134" s="1433"/>
      <c r="L134" s="1431" t="str">
        <f t="shared" si="17"/>
        <v>--</v>
      </c>
      <c r="M134" s="1432" t="str">
        <f t="shared" si="28"/>
        <v xml:space="preserve"> </v>
      </c>
      <c r="N134" s="217" t="s">
        <v>115</v>
      </c>
      <c r="O134" s="161"/>
      <c r="P134" s="507" t="s">
        <v>115</v>
      </c>
      <c r="Q134" s="165"/>
      <c r="R134" s="178" t="s">
        <v>115</v>
      </c>
      <c r="S134" s="225"/>
      <c r="T134" s="1431">
        <f t="shared" si="19"/>
        <v>0.4</v>
      </c>
      <c r="U134" s="1432" t="str">
        <f t="shared" si="20"/>
        <v>IRIS</v>
      </c>
      <c r="V134" s="217" t="s">
        <v>115</v>
      </c>
      <c r="W134" s="161"/>
      <c r="X134" s="507">
        <v>0.4</v>
      </c>
      <c r="Y134" s="165" t="s">
        <v>1277</v>
      </c>
      <c r="Z134" s="687" t="s">
        <v>115</v>
      </c>
      <c r="AA134" s="328"/>
      <c r="AB134" s="1431">
        <f t="shared" si="21"/>
        <v>5000</v>
      </c>
      <c r="AC134" s="1432" t="str">
        <f t="shared" si="22"/>
        <v xml:space="preserve">IRIS </v>
      </c>
      <c r="AD134" s="507" t="s">
        <v>115</v>
      </c>
      <c r="AE134" s="165"/>
      <c r="AF134" s="507">
        <v>5000</v>
      </c>
      <c r="AG134" s="165" t="s">
        <v>1283</v>
      </c>
      <c r="AH134" s="1435" t="s">
        <v>115</v>
      </c>
      <c r="AI134" s="1434"/>
      <c r="AJ134" s="402">
        <v>1</v>
      </c>
      <c r="AK134" s="312" t="s">
        <v>115</v>
      </c>
      <c r="AL134" s="403" t="s">
        <v>495</v>
      </c>
      <c r="AM134" s="328">
        <v>1.0300000000000001E-3</v>
      </c>
      <c r="AN134" s="492" t="s">
        <v>1199</v>
      </c>
      <c r="AO134" s="314">
        <v>1</v>
      </c>
      <c r="AP134" s="158">
        <v>3.4106982661499998E-3</v>
      </c>
      <c r="AQ134" s="158">
        <v>0.27349106952802998</v>
      </c>
      <c r="AR134" s="165">
        <v>0.65637856686726004</v>
      </c>
      <c r="AS134" s="168" t="s">
        <v>115</v>
      </c>
      <c r="AT134" s="1"/>
      <c r="AU134" s="1"/>
      <c r="AV134" s="1"/>
      <c r="AW134" s="1"/>
    </row>
    <row r="135" spans="1:49" ht="12" customHeight="1">
      <c r="A135" s="309" t="s">
        <v>313</v>
      </c>
      <c r="B135" s="427" t="s">
        <v>314</v>
      </c>
      <c r="C135" s="1431">
        <f t="shared" si="23"/>
        <v>2.5999999999999999E-2</v>
      </c>
      <c r="D135" s="1432" t="str">
        <f t="shared" si="16"/>
        <v>IRIS 1991</v>
      </c>
      <c r="E135" s="217" t="s">
        <v>115</v>
      </c>
      <c r="F135" s="1345"/>
      <c r="G135" s="328">
        <v>2.5999999999999999E-2</v>
      </c>
      <c r="H135" s="165" t="s">
        <v>1201</v>
      </c>
      <c r="I135" s="687" t="s">
        <v>115</v>
      </c>
      <c r="J135" s="165"/>
      <c r="K135" s="1433"/>
      <c r="L135" s="1431">
        <f t="shared" si="17"/>
        <v>7.4000000000000003E-6</v>
      </c>
      <c r="M135" s="1432" t="str">
        <f t="shared" si="28"/>
        <v>IRIS 1991</v>
      </c>
      <c r="N135" s="217" t="s">
        <v>115</v>
      </c>
      <c r="O135" s="161"/>
      <c r="P135" s="179">
        <v>7.4000000000000003E-6</v>
      </c>
      <c r="Q135" s="165" t="s">
        <v>1201</v>
      </c>
      <c r="R135" s="178" t="s">
        <v>115</v>
      </c>
      <c r="S135" s="225"/>
      <c r="T135" s="1431">
        <f t="shared" si="19"/>
        <v>0.03</v>
      </c>
      <c r="U135" s="1432" t="str">
        <f t="shared" si="20"/>
        <v>IRIS 1991</v>
      </c>
      <c r="V135" s="217" t="s">
        <v>115</v>
      </c>
      <c r="W135" s="161"/>
      <c r="X135" s="179">
        <v>0.03</v>
      </c>
      <c r="Y135" s="165" t="s">
        <v>1201</v>
      </c>
      <c r="Z135" s="687" t="s">
        <v>115</v>
      </c>
      <c r="AA135" s="328"/>
      <c r="AB135" s="1431" t="str">
        <f t="shared" si="21"/>
        <v>--</v>
      </c>
      <c r="AC135" s="1432" t="str">
        <f t="shared" si="22"/>
        <v xml:space="preserve"> </v>
      </c>
      <c r="AD135" s="507" t="s">
        <v>115</v>
      </c>
      <c r="AE135" s="165"/>
      <c r="AF135" s="507" t="s">
        <v>115</v>
      </c>
      <c r="AG135" s="165"/>
      <c r="AH135" s="1435" t="s">
        <v>115</v>
      </c>
      <c r="AI135" s="1434"/>
      <c r="AJ135" s="402">
        <v>1</v>
      </c>
      <c r="AK135" s="312" t="s">
        <v>115</v>
      </c>
      <c r="AL135" s="402" t="s">
        <v>495</v>
      </c>
      <c r="AM135" s="328">
        <v>1.5900000000000001E-2</v>
      </c>
      <c r="AN135" s="492" t="s">
        <v>1199</v>
      </c>
      <c r="AO135" s="314">
        <v>1</v>
      </c>
      <c r="AP135" s="158">
        <v>7.9229050112039998E-2</v>
      </c>
      <c r="AQ135" s="158">
        <v>0.91581710267245997</v>
      </c>
      <c r="AR135" s="165">
        <v>2.1979610464139001</v>
      </c>
      <c r="AS135" s="168" t="s">
        <v>115</v>
      </c>
      <c r="AT135" s="1"/>
      <c r="AU135" s="1"/>
      <c r="AV135" s="1"/>
      <c r="AW135" s="1"/>
    </row>
    <row r="136" spans="1:49" ht="12" customHeight="1">
      <c r="A136" s="309" t="s">
        <v>315</v>
      </c>
      <c r="B136" s="427" t="s">
        <v>316</v>
      </c>
      <c r="C136" s="1431">
        <f t="shared" si="23"/>
        <v>0.2</v>
      </c>
      <c r="D136" s="1432" t="str">
        <f t="shared" ref="D136:D151" si="31">IF(C136="--"," ",IF(C136=G136,H136,IF(C136=E136,F136,J136)))</f>
        <v>IRIS 2010</v>
      </c>
      <c r="E136" s="328">
        <v>0.2</v>
      </c>
      <c r="F136" s="1345" t="s">
        <v>1204</v>
      </c>
      <c r="G136" s="328">
        <v>0.2</v>
      </c>
      <c r="H136" s="1345" t="s">
        <v>1226</v>
      </c>
      <c r="I136" s="687" t="s">
        <v>115</v>
      </c>
      <c r="J136" s="165"/>
      <c r="K136" s="1433"/>
      <c r="L136" s="1431">
        <f t="shared" si="17"/>
        <v>5.8E-5</v>
      </c>
      <c r="M136" s="1432" t="str">
        <f t="shared" si="28"/>
        <v>OEHHA 2009</v>
      </c>
      <c r="N136" s="328">
        <v>5.8E-5</v>
      </c>
      <c r="O136" s="161" t="s">
        <v>1204</v>
      </c>
      <c r="P136" s="507" t="s">
        <v>115</v>
      </c>
      <c r="Q136" s="165"/>
      <c r="R136" s="178" t="s">
        <v>115</v>
      </c>
      <c r="S136" s="225"/>
      <c r="T136" s="1431">
        <f t="shared" si="19"/>
        <v>0.02</v>
      </c>
      <c r="U136" s="1432" t="str">
        <f t="shared" ref="U136:U151" si="32">IF(T136="--"," ",IF(T136=X136,Y136,IF(T136=V136,W136,AA136)))</f>
        <v>IRIS 2010</v>
      </c>
      <c r="V136" s="217" t="s">
        <v>115</v>
      </c>
      <c r="W136" s="161"/>
      <c r="X136" s="179">
        <v>0.02</v>
      </c>
      <c r="Y136" s="165" t="s">
        <v>1226</v>
      </c>
      <c r="Z136" s="687" t="s">
        <v>115</v>
      </c>
      <c r="AA136" s="328"/>
      <c r="AB136" s="1431" t="str">
        <f t="shared" si="21"/>
        <v>--</v>
      </c>
      <c r="AC136" s="1432" t="str">
        <f t="shared" ref="AC136:AC151" si="33">IF(AB136="--"," ",IF(AB136=AF136,AG136,IF(AB136=AD136,AE136,AI136)))</f>
        <v xml:space="preserve"> </v>
      </c>
      <c r="AD136" s="507" t="s">
        <v>115</v>
      </c>
      <c r="AE136" s="165"/>
      <c r="AF136" s="507" t="s">
        <v>115</v>
      </c>
      <c r="AG136" s="165"/>
      <c r="AH136" s="1435" t="s">
        <v>115</v>
      </c>
      <c r="AI136" s="1434"/>
      <c r="AJ136" s="402">
        <v>1</v>
      </c>
      <c r="AK136" s="312" t="s">
        <v>115</v>
      </c>
      <c r="AL136" s="402" t="s">
        <v>495</v>
      </c>
      <c r="AM136" s="328">
        <v>6.94E-3</v>
      </c>
      <c r="AN136" s="492" t="s">
        <v>1199</v>
      </c>
      <c r="AO136" s="314">
        <v>1</v>
      </c>
      <c r="AP136" s="158">
        <v>3.4581736338209997E-2</v>
      </c>
      <c r="AQ136" s="158">
        <v>0.91581710267245997</v>
      </c>
      <c r="AR136" s="165">
        <v>2.1979610464139001</v>
      </c>
      <c r="AS136" s="168" t="s">
        <v>115</v>
      </c>
      <c r="AT136" s="1"/>
      <c r="AU136" s="1"/>
      <c r="AV136" s="1"/>
      <c r="AW136" s="1"/>
    </row>
    <row r="137" spans="1:49" ht="12" customHeight="1">
      <c r="A137" s="309" t="s">
        <v>317</v>
      </c>
      <c r="B137" s="427" t="s">
        <v>318</v>
      </c>
      <c r="C137" s="1431">
        <f t="shared" si="23"/>
        <v>0.54</v>
      </c>
      <c r="D137" s="1432" t="str">
        <f t="shared" si="31"/>
        <v>OEHHA 2013</v>
      </c>
      <c r="E137" s="328">
        <v>0.54</v>
      </c>
      <c r="F137" s="1345" t="s">
        <v>1284</v>
      </c>
      <c r="G137" s="328">
        <v>2.0999999999999999E-3</v>
      </c>
      <c r="H137" s="165" t="s">
        <v>1250</v>
      </c>
      <c r="I137" s="687" t="s">
        <v>115</v>
      </c>
      <c r="J137" s="165"/>
      <c r="K137" s="1433"/>
      <c r="L137" s="1431">
        <f t="shared" si="17"/>
        <v>6.1E-6</v>
      </c>
      <c r="M137" s="1432" t="str">
        <f t="shared" si="28"/>
        <v>OEHHA 2016</v>
      </c>
      <c r="N137" s="328">
        <v>6.1E-6</v>
      </c>
      <c r="O137" s="161" t="s">
        <v>1285</v>
      </c>
      <c r="P137" s="179">
        <v>2.6E-7</v>
      </c>
      <c r="Q137" s="165" t="s">
        <v>1250</v>
      </c>
      <c r="R137" s="178" t="s">
        <v>115</v>
      </c>
      <c r="S137" s="225"/>
      <c r="T137" s="1431">
        <f t="shared" si="19"/>
        <v>6.0000000000000001E-3</v>
      </c>
      <c r="U137" s="1432" t="str">
        <f t="shared" si="32"/>
        <v>IRIS 2012</v>
      </c>
      <c r="V137" s="217" t="s">
        <v>115</v>
      </c>
      <c r="W137" s="161"/>
      <c r="X137" s="179">
        <v>6.0000000000000001E-3</v>
      </c>
      <c r="Y137" s="165" t="s">
        <v>1250</v>
      </c>
      <c r="Z137" s="687" t="s">
        <v>115</v>
      </c>
      <c r="AA137" s="328"/>
      <c r="AB137" s="1431">
        <f t="shared" si="21"/>
        <v>40</v>
      </c>
      <c r="AC137" s="1432" t="str">
        <f t="shared" si="33"/>
        <v>IRIS 2012</v>
      </c>
      <c r="AD137" s="507" t="s">
        <v>115</v>
      </c>
      <c r="AE137" s="165"/>
      <c r="AF137" s="507">
        <v>40</v>
      </c>
      <c r="AG137" s="165" t="s">
        <v>1250</v>
      </c>
      <c r="AH137" s="1437">
        <v>41</v>
      </c>
      <c r="AI137" s="1434" t="s">
        <v>1280</v>
      </c>
      <c r="AJ137" s="402">
        <v>1</v>
      </c>
      <c r="AK137" s="312" t="s">
        <v>115</v>
      </c>
      <c r="AL137" s="402" t="s">
        <v>495</v>
      </c>
      <c r="AM137" s="328">
        <v>3.3399999999999999E-2</v>
      </c>
      <c r="AN137" s="492" t="s">
        <v>1199</v>
      </c>
      <c r="AO137" s="314">
        <v>1</v>
      </c>
      <c r="AP137" s="158">
        <v>0.16542634303645001</v>
      </c>
      <c r="AQ137" s="158">
        <v>0.89227094155288</v>
      </c>
      <c r="AR137" s="165">
        <v>2.1414502597269101</v>
      </c>
      <c r="AS137" s="168" t="s">
        <v>115</v>
      </c>
      <c r="AT137" s="1"/>
      <c r="AU137" s="1"/>
      <c r="AV137" s="1"/>
      <c r="AW137" s="1"/>
    </row>
    <row r="138" spans="1:49" ht="12" customHeight="1">
      <c r="A138" s="309" t="s">
        <v>319</v>
      </c>
      <c r="B138" s="427" t="s">
        <v>320</v>
      </c>
      <c r="C138" s="1431" t="str">
        <f t="shared" si="23"/>
        <v>--</v>
      </c>
      <c r="D138" s="1432" t="str">
        <f t="shared" si="31"/>
        <v xml:space="preserve"> </v>
      </c>
      <c r="E138" s="217" t="s">
        <v>115</v>
      </c>
      <c r="F138" s="1345"/>
      <c r="G138" s="217" t="s">
        <v>115</v>
      </c>
      <c r="H138" s="165"/>
      <c r="I138" s="687" t="s">
        <v>115</v>
      </c>
      <c r="J138" s="165"/>
      <c r="K138" s="1433"/>
      <c r="L138" s="1431" t="str">
        <f t="shared" si="17"/>
        <v>--</v>
      </c>
      <c r="M138" s="1432" t="str">
        <f t="shared" si="28"/>
        <v xml:space="preserve"> </v>
      </c>
      <c r="N138" s="217" t="s">
        <v>115</v>
      </c>
      <c r="O138" s="161"/>
      <c r="P138" s="507" t="s">
        <v>115</v>
      </c>
      <c r="Q138" s="165"/>
      <c r="R138" s="178" t="s">
        <v>115</v>
      </c>
      <c r="S138" s="225"/>
      <c r="T138" s="1431">
        <f t="shared" si="19"/>
        <v>1.0000000000000001E-5</v>
      </c>
      <c r="U138" s="1432" t="str">
        <f t="shared" si="32"/>
        <v>PPRTV 2012</v>
      </c>
      <c r="V138" s="217" t="s">
        <v>115</v>
      </c>
      <c r="W138" s="161"/>
      <c r="X138" s="507" t="s">
        <v>115</v>
      </c>
      <c r="Y138" s="165"/>
      <c r="Z138" s="485">
        <v>1.0000000000000001E-5</v>
      </c>
      <c r="AA138" s="328" t="s">
        <v>1286</v>
      </c>
      <c r="AB138" s="1431" t="str">
        <f t="shared" si="21"/>
        <v>--</v>
      </c>
      <c r="AC138" s="1432" t="str">
        <f t="shared" si="33"/>
        <v xml:space="preserve"> </v>
      </c>
      <c r="AD138" s="507" t="s">
        <v>115</v>
      </c>
      <c r="AE138" s="165"/>
      <c r="AF138" s="507" t="s">
        <v>115</v>
      </c>
      <c r="AG138" s="165"/>
      <c r="AH138" s="1435" t="s">
        <v>115</v>
      </c>
      <c r="AI138" s="1434"/>
      <c r="AJ138" s="402">
        <v>1</v>
      </c>
      <c r="AK138" s="312" t="s">
        <v>115</v>
      </c>
      <c r="AL138" s="402" t="s">
        <v>495</v>
      </c>
      <c r="AM138" s="328">
        <v>1E-3</v>
      </c>
      <c r="AN138" s="492" t="s">
        <v>1203</v>
      </c>
      <c r="AO138" s="314">
        <v>1</v>
      </c>
      <c r="AP138" s="158">
        <v>5.4985205110700004E-3</v>
      </c>
      <c r="AQ138" s="158">
        <v>1.46681975246134</v>
      </c>
      <c r="AR138" s="165">
        <v>3.5203674059072099</v>
      </c>
      <c r="AS138" s="168" t="s">
        <v>115</v>
      </c>
      <c r="AT138" s="1"/>
      <c r="AU138" s="1"/>
      <c r="AV138" s="1"/>
      <c r="AW138" s="1"/>
    </row>
    <row r="139" spans="1:49" ht="12" customHeight="1">
      <c r="A139" s="309" t="s">
        <v>321</v>
      </c>
      <c r="B139" s="427" t="s">
        <v>322</v>
      </c>
      <c r="C139" s="1431" t="str">
        <f t="shared" si="23"/>
        <v>--</v>
      </c>
      <c r="D139" s="1432" t="str">
        <f t="shared" si="31"/>
        <v xml:space="preserve"> </v>
      </c>
      <c r="E139" s="217" t="s">
        <v>115</v>
      </c>
      <c r="F139" s="1345"/>
      <c r="G139" s="217" t="s">
        <v>115</v>
      </c>
      <c r="H139" s="165"/>
      <c r="I139" s="687" t="s">
        <v>115</v>
      </c>
      <c r="J139" s="165"/>
      <c r="K139" s="1433"/>
      <c r="L139" s="1431" t="str">
        <f t="shared" si="17"/>
        <v>--</v>
      </c>
      <c r="M139" s="1432" t="str">
        <f t="shared" si="28"/>
        <v xml:space="preserve"> </v>
      </c>
      <c r="N139" s="217" t="s">
        <v>115</v>
      </c>
      <c r="O139" s="161"/>
      <c r="P139" s="507" t="s">
        <v>115</v>
      </c>
      <c r="Q139" s="165"/>
      <c r="R139" s="178" t="s">
        <v>115</v>
      </c>
      <c r="S139" s="225"/>
      <c r="T139" s="1431">
        <f t="shared" si="19"/>
        <v>0.08</v>
      </c>
      <c r="U139" s="1432" t="str">
        <f t="shared" si="32"/>
        <v>IRIS 2005</v>
      </c>
      <c r="V139" s="217" t="s">
        <v>115</v>
      </c>
      <c r="W139" s="161"/>
      <c r="X139" s="179">
        <v>0.08</v>
      </c>
      <c r="Y139" s="165" t="s">
        <v>1208</v>
      </c>
      <c r="Z139" s="687" t="s">
        <v>115</v>
      </c>
      <c r="AA139" s="328"/>
      <c r="AB139" s="1431">
        <f t="shared" si="21"/>
        <v>420</v>
      </c>
      <c r="AC139" s="1432" t="str">
        <f t="shared" si="33"/>
        <v>OEHHA</v>
      </c>
      <c r="AD139" s="179">
        <v>420</v>
      </c>
      <c r="AE139" s="165" t="s">
        <v>1234</v>
      </c>
      <c r="AF139" s="179">
        <v>5000</v>
      </c>
      <c r="AG139" s="165" t="s">
        <v>1208</v>
      </c>
      <c r="AH139" s="1435" t="s">
        <v>115</v>
      </c>
      <c r="AI139" s="1434"/>
      <c r="AJ139" s="402">
        <v>1</v>
      </c>
      <c r="AK139" s="312" t="s">
        <v>115</v>
      </c>
      <c r="AL139" s="402" t="s">
        <v>495</v>
      </c>
      <c r="AM139" s="328">
        <v>3.1099999999999999E-2</v>
      </c>
      <c r="AN139" s="492" t="s">
        <v>1199</v>
      </c>
      <c r="AO139" s="314">
        <v>1</v>
      </c>
      <c r="AP139" s="158">
        <v>0.11481955474085</v>
      </c>
      <c r="AQ139" s="158">
        <v>0.34501974481163</v>
      </c>
      <c r="AR139" s="165">
        <v>0.82804738754789997</v>
      </c>
      <c r="AS139" s="168" t="s">
        <v>115</v>
      </c>
      <c r="AT139" s="1"/>
      <c r="AU139" s="1"/>
      <c r="AV139" s="1"/>
      <c r="AW139" s="1"/>
    </row>
    <row r="140" spans="1:49" ht="12" customHeight="1">
      <c r="A140" s="309" t="s">
        <v>323</v>
      </c>
      <c r="B140" s="427" t="s">
        <v>324</v>
      </c>
      <c r="C140" s="1431">
        <f t="shared" si="23"/>
        <v>1.2</v>
      </c>
      <c r="D140" s="1432" t="str">
        <f t="shared" si="31"/>
        <v>OEHHA 2003</v>
      </c>
      <c r="E140" s="328">
        <v>1.2</v>
      </c>
      <c r="F140" s="1345" t="s">
        <v>1287</v>
      </c>
      <c r="G140" s="328">
        <v>1.1000000000000001</v>
      </c>
      <c r="H140" s="165" t="s">
        <v>1201</v>
      </c>
      <c r="I140" s="687" t="s">
        <v>115</v>
      </c>
      <c r="J140" s="165"/>
      <c r="K140" s="1433"/>
      <c r="L140" s="1431">
        <f t="shared" si="17"/>
        <v>3.2000000000000003E-4</v>
      </c>
      <c r="M140" s="1432" t="str">
        <f t="shared" si="28"/>
        <v>IRIS 1991</v>
      </c>
      <c r="N140" s="217" t="s">
        <v>115</v>
      </c>
      <c r="O140" s="161"/>
      <c r="P140" s="179">
        <v>3.2000000000000003E-4</v>
      </c>
      <c r="Q140" s="165" t="s">
        <v>1201</v>
      </c>
      <c r="R140" s="178" t="s">
        <v>115</v>
      </c>
      <c r="S140" s="225"/>
      <c r="T140" s="1431">
        <f t="shared" si="19"/>
        <v>9.0000000000000006E-5</v>
      </c>
      <c r="U140" s="1432" t="str">
        <f t="shared" si="32"/>
        <v xml:space="preserve"> PPRTV</v>
      </c>
      <c r="V140" s="217" t="s">
        <v>115</v>
      </c>
      <c r="W140" s="161"/>
      <c r="X140" s="507" t="s">
        <v>115</v>
      </c>
      <c r="Y140" s="165"/>
      <c r="Z140" s="687">
        <v>9.0000000000000006E-5</v>
      </c>
      <c r="AA140" s="328" t="s">
        <v>1288</v>
      </c>
      <c r="AB140" s="1431" t="str">
        <f t="shared" si="21"/>
        <v>--</v>
      </c>
      <c r="AC140" s="1432" t="str">
        <f t="shared" si="33"/>
        <v xml:space="preserve"> </v>
      </c>
      <c r="AD140" s="507" t="s">
        <v>115</v>
      </c>
      <c r="AE140" s="165"/>
      <c r="AF140" s="507" t="s">
        <v>115</v>
      </c>
      <c r="AG140" s="165"/>
      <c r="AH140" s="1435" t="s">
        <v>115</v>
      </c>
      <c r="AI140" s="1434"/>
      <c r="AJ140" s="402">
        <v>1</v>
      </c>
      <c r="AK140" s="312">
        <v>0.1</v>
      </c>
      <c r="AL140" s="402" t="s">
        <v>496</v>
      </c>
      <c r="AM140" s="328">
        <v>5.1799999999999999E-2</v>
      </c>
      <c r="AN140" s="492" t="s">
        <v>1199</v>
      </c>
      <c r="AO140" s="314">
        <v>0.8</v>
      </c>
      <c r="AP140" s="158">
        <v>0.42181440336665998</v>
      </c>
      <c r="AQ140" s="158">
        <v>34.049030432443402</v>
      </c>
      <c r="AR140" s="165">
        <v>81.717673037864103</v>
      </c>
      <c r="AS140" s="168" t="s">
        <v>115</v>
      </c>
      <c r="AT140" s="1"/>
      <c r="AU140" s="1"/>
      <c r="AV140" s="1"/>
      <c r="AW140" s="1"/>
    </row>
    <row r="141" spans="1:49" s="1" customFormat="1" ht="12" customHeight="1">
      <c r="A141" s="153" t="s">
        <v>325</v>
      </c>
      <c r="B141" s="427" t="s">
        <v>326</v>
      </c>
      <c r="C141" s="1431">
        <f t="shared" si="23"/>
        <v>2.9000000000000001E-2</v>
      </c>
      <c r="D141" s="1432" t="str">
        <f t="shared" si="31"/>
        <v>PPRTV 2009</v>
      </c>
      <c r="E141" s="217" t="s">
        <v>115</v>
      </c>
      <c r="F141" s="1345"/>
      <c r="G141" s="217" t="s">
        <v>115</v>
      </c>
      <c r="H141" s="165"/>
      <c r="I141" s="485">
        <v>2.9000000000000001E-2</v>
      </c>
      <c r="J141" s="165" t="s">
        <v>1289</v>
      </c>
      <c r="K141" s="1433"/>
      <c r="L141" s="1431" t="str">
        <f t="shared" si="17"/>
        <v>--</v>
      </c>
      <c r="M141" s="1432" t="str">
        <f t="shared" si="28"/>
        <v xml:space="preserve"> </v>
      </c>
      <c r="N141" s="217" t="s">
        <v>115</v>
      </c>
      <c r="O141" s="161"/>
      <c r="P141" s="507" t="s">
        <v>115</v>
      </c>
      <c r="Q141" s="165"/>
      <c r="R141" s="507" t="s">
        <v>115</v>
      </c>
      <c r="S141" s="165"/>
      <c r="T141" s="1431">
        <f t="shared" si="19"/>
        <v>0.01</v>
      </c>
      <c r="U141" s="1432" t="str">
        <f t="shared" si="32"/>
        <v>IRIS 1992</v>
      </c>
      <c r="V141" s="217" t="s">
        <v>115</v>
      </c>
      <c r="W141" s="161"/>
      <c r="X141" s="507">
        <v>0.01</v>
      </c>
      <c r="Y141" s="165" t="s">
        <v>1223</v>
      </c>
      <c r="Z141" s="687" t="s">
        <v>115</v>
      </c>
      <c r="AA141" s="328"/>
      <c r="AB141" s="1431">
        <f t="shared" si="21"/>
        <v>2</v>
      </c>
      <c r="AC141" s="1432" t="str">
        <f t="shared" si="33"/>
        <v>PPRTV 2009</v>
      </c>
      <c r="AD141" s="507" t="s">
        <v>115</v>
      </c>
      <c r="AE141" s="165"/>
      <c r="AF141" s="507" t="s">
        <v>115</v>
      </c>
      <c r="AG141" s="165"/>
      <c r="AH141" s="1437">
        <v>2</v>
      </c>
      <c r="AI141" s="1434" t="s">
        <v>1289</v>
      </c>
      <c r="AJ141" s="402">
        <v>1</v>
      </c>
      <c r="AK141" s="312" t="s">
        <v>115</v>
      </c>
      <c r="AL141" s="402" t="s">
        <v>495</v>
      </c>
      <c r="AM141" s="328">
        <v>7.0499999999999993E-2</v>
      </c>
      <c r="AN141" s="492" t="s">
        <v>1199</v>
      </c>
      <c r="AO141" s="314">
        <v>1</v>
      </c>
      <c r="AP141" s="158">
        <v>0.36525338989715</v>
      </c>
      <c r="AQ141" s="158">
        <v>1.0913618028648799</v>
      </c>
      <c r="AR141" s="165">
        <v>2.61926832687571</v>
      </c>
      <c r="AS141" s="168" t="s">
        <v>115</v>
      </c>
    </row>
    <row r="142" spans="1:49" ht="12" customHeight="1">
      <c r="A142" s="588" t="s">
        <v>327</v>
      </c>
      <c r="B142" s="427" t="s">
        <v>328</v>
      </c>
      <c r="C142" s="1431" t="str">
        <f t="shared" si="23"/>
        <v>--</v>
      </c>
      <c r="D142" s="1432" t="str">
        <f t="shared" si="31"/>
        <v xml:space="preserve"> </v>
      </c>
      <c r="E142" s="217" t="s">
        <v>115</v>
      </c>
      <c r="F142" s="1345"/>
      <c r="G142" s="217" t="s">
        <v>115</v>
      </c>
      <c r="H142" s="165"/>
      <c r="I142" s="687" t="s">
        <v>115</v>
      </c>
      <c r="J142" s="165"/>
      <c r="K142" s="1433"/>
      <c r="L142" s="1431" t="str">
        <f t="shared" si="17"/>
        <v>--</v>
      </c>
      <c r="M142" s="1432" t="str">
        <f t="shared" si="28"/>
        <v xml:space="preserve"> </v>
      </c>
      <c r="N142" s="217" t="s">
        <v>115</v>
      </c>
      <c r="O142" s="161"/>
      <c r="P142" s="507" t="s">
        <v>115</v>
      </c>
      <c r="Q142" s="165"/>
      <c r="R142" s="178" t="s">
        <v>115</v>
      </c>
      <c r="S142" s="225"/>
      <c r="T142" s="1431">
        <f t="shared" si="19"/>
        <v>2</v>
      </c>
      <c r="U142" s="1432" t="str">
        <f t="shared" si="32"/>
        <v>IRIS 2007</v>
      </c>
      <c r="V142" s="217" t="s">
        <v>115</v>
      </c>
      <c r="W142" s="161"/>
      <c r="X142" s="507">
        <v>2</v>
      </c>
      <c r="Y142" s="165" t="s">
        <v>1290</v>
      </c>
      <c r="Z142" s="687" t="s">
        <v>115</v>
      </c>
      <c r="AA142" s="328"/>
      <c r="AB142" s="1431">
        <f t="shared" si="21"/>
        <v>1000</v>
      </c>
      <c r="AC142" s="1432" t="str">
        <f t="shared" si="33"/>
        <v>OEHHA 2000</v>
      </c>
      <c r="AD142" s="179">
        <v>1000</v>
      </c>
      <c r="AE142" s="165" t="s">
        <v>1256</v>
      </c>
      <c r="AF142" s="179">
        <v>5000</v>
      </c>
      <c r="AG142" s="165" t="s">
        <v>1290</v>
      </c>
      <c r="AH142" s="1435" t="s">
        <v>115</v>
      </c>
      <c r="AI142" s="1434"/>
      <c r="AJ142" s="402">
        <v>1</v>
      </c>
      <c r="AK142" s="312" t="s">
        <v>115</v>
      </c>
      <c r="AL142" s="402" t="s">
        <v>495</v>
      </c>
      <c r="AM142" s="328">
        <v>1.26E-2</v>
      </c>
      <c r="AN142" s="492" t="s">
        <v>1199</v>
      </c>
      <c r="AO142" s="314">
        <v>1</v>
      </c>
      <c r="AP142" s="158">
        <v>5.5974650327540003E-2</v>
      </c>
      <c r="AQ142" s="158">
        <v>0.58741461764628999</v>
      </c>
      <c r="AR142" s="165">
        <v>1.4097950823510901</v>
      </c>
      <c r="AS142" s="168" t="s">
        <v>115</v>
      </c>
      <c r="AT142" s="1"/>
      <c r="AU142" s="1"/>
      <c r="AV142" s="1"/>
      <c r="AW142" s="1"/>
    </row>
    <row r="143" spans="1:49" ht="11.25">
      <c r="A143" s="588" t="s">
        <v>329</v>
      </c>
      <c r="B143" s="427" t="s">
        <v>330</v>
      </c>
      <c r="C143" s="1431">
        <f t="shared" si="23"/>
        <v>5.7000000000000002E-2</v>
      </c>
      <c r="D143" s="1432" t="str">
        <f t="shared" si="31"/>
        <v>IRIS 1991</v>
      </c>
      <c r="E143" s="328">
        <v>5.7000000000000002E-2</v>
      </c>
      <c r="F143" s="1345" t="s">
        <v>1204</v>
      </c>
      <c r="G143" s="328">
        <v>5.7000000000000002E-2</v>
      </c>
      <c r="H143" s="165" t="s">
        <v>1201</v>
      </c>
      <c r="I143" s="687" t="s">
        <v>115</v>
      </c>
      <c r="J143" s="165"/>
      <c r="K143" s="1433"/>
      <c r="L143" s="1431">
        <f t="shared" si="17"/>
        <v>1.5999999999999999E-5</v>
      </c>
      <c r="M143" s="1432" t="str">
        <f t="shared" si="28"/>
        <v>IRIS 1991</v>
      </c>
      <c r="N143" s="328">
        <v>1.5999999999999999E-5</v>
      </c>
      <c r="O143" s="161" t="s">
        <v>1204</v>
      </c>
      <c r="P143" s="179">
        <v>1.5999999999999999E-5</v>
      </c>
      <c r="Q143" s="165" t="s">
        <v>1201</v>
      </c>
      <c r="R143" s="178" t="s">
        <v>115</v>
      </c>
      <c r="S143" s="225"/>
      <c r="T143" s="1431">
        <f t="shared" si="19"/>
        <v>4.0000000000000001E-3</v>
      </c>
      <c r="U143" s="1432" t="str">
        <f t="shared" si="32"/>
        <v>IRIS 1991</v>
      </c>
      <c r="V143" s="217" t="s">
        <v>115</v>
      </c>
      <c r="W143" s="161"/>
      <c r="X143" s="179">
        <v>4.0000000000000001E-3</v>
      </c>
      <c r="Y143" s="165" t="s">
        <v>1201</v>
      </c>
      <c r="Z143" s="687" t="s">
        <v>115</v>
      </c>
      <c r="AA143" s="328"/>
      <c r="AB143" s="1431">
        <f>IF(AND(AD143&lt;&gt;"--",AF143&lt;&gt;"--"),MIN(AD143,AF143),IF(AF143&lt;&gt;"--",AF143,IF(AND(AD143&lt;&gt;"--",AH143&lt;&gt;"--"),MIN(AD143,AH143),IF(AH143&lt;&gt;"--",AH143,AD143))))</f>
        <v>0.2</v>
      </c>
      <c r="AC143" s="1432" t="str">
        <f t="shared" si="33"/>
        <v>PPRTV 2011</v>
      </c>
      <c r="AD143" s="507" t="s">
        <v>115</v>
      </c>
      <c r="AE143" s="165"/>
      <c r="AF143" s="507" t="s">
        <v>115</v>
      </c>
      <c r="AG143" s="165"/>
      <c r="AH143" s="1437">
        <v>0.2</v>
      </c>
      <c r="AI143" s="1434" t="s">
        <v>1215</v>
      </c>
      <c r="AJ143" s="402">
        <v>1</v>
      </c>
      <c r="AK143" s="312" t="s">
        <v>115</v>
      </c>
      <c r="AL143" s="402" t="s">
        <v>495</v>
      </c>
      <c r="AM143" s="328">
        <v>5.0400000000000002E-3</v>
      </c>
      <c r="AN143" s="492" t="s">
        <v>1199</v>
      </c>
      <c r="AO143" s="314">
        <v>1</v>
      </c>
      <c r="AP143" s="158">
        <v>2.2389860131009999E-2</v>
      </c>
      <c r="AQ143" s="158">
        <v>0.58741461764628999</v>
      </c>
      <c r="AR143" s="165">
        <v>1.4097950823510901</v>
      </c>
      <c r="AS143" s="168" t="s">
        <v>115</v>
      </c>
      <c r="AT143" s="1"/>
      <c r="AU143" s="1"/>
      <c r="AV143" s="1"/>
      <c r="AW143" s="1"/>
    </row>
    <row r="144" spans="1:49" ht="12" customHeight="1">
      <c r="A144" s="588" t="s">
        <v>331</v>
      </c>
      <c r="B144" s="427" t="s">
        <v>332</v>
      </c>
      <c r="C144" s="1431">
        <f t="shared" si="23"/>
        <v>4.5999999999999999E-2</v>
      </c>
      <c r="D144" s="1432" t="str">
        <f t="shared" si="31"/>
        <v>IRIS 2011</v>
      </c>
      <c r="E144" s="328">
        <v>5.8999999999999999E-3</v>
      </c>
      <c r="F144" s="1345" t="s">
        <v>1204</v>
      </c>
      <c r="G144" s="328">
        <v>4.5999999999999999E-2</v>
      </c>
      <c r="H144" s="165" t="s">
        <v>1255</v>
      </c>
      <c r="I144" s="687" t="s">
        <v>115</v>
      </c>
      <c r="J144" s="165"/>
      <c r="K144" s="1433"/>
      <c r="L144" s="1431">
        <f t="shared" si="17"/>
        <v>4.0999999999999997E-6</v>
      </c>
      <c r="M144" s="1432" t="str">
        <f t="shared" si="28"/>
        <v>IRIS 2011</v>
      </c>
      <c r="N144" s="328">
        <v>1.9999999999999999E-6</v>
      </c>
      <c r="O144" s="161" t="s">
        <v>1204</v>
      </c>
      <c r="P144" s="179">
        <v>4.0999999999999997E-6</v>
      </c>
      <c r="Q144" s="165" t="s">
        <v>1255</v>
      </c>
      <c r="R144" s="178" t="s">
        <v>115</v>
      </c>
      <c r="S144" s="225"/>
      <c r="T144" s="1431">
        <f t="shared" si="19"/>
        <v>5.0000000000000001E-4</v>
      </c>
      <c r="U144" s="1432" t="str">
        <f t="shared" si="32"/>
        <v>IRIS 201</v>
      </c>
      <c r="V144" s="217" t="s">
        <v>115</v>
      </c>
      <c r="W144" s="161"/>
      <c r="X144" s="179">
        <v>5.0000000000000001E-4</v>
      </c>
      <c r="Y144" s="165" t="s">
        <v>1291</v>
      </c>
      <c r="Z144" s="687" t="s">
        <v>115</v>
      </c>
      <c r="AA144" s="328"/>
      <c r="AB144" s="1431">
        <f t="shared" si="21"/>
        <v>2</v>
      </c>
      <c r="AC144" s="1432" t="str">
        <f t="shared" si="33"/>
        <v>IRIS 2011</v>
      </c>
      <c r="AD144" s="179">
        <v>600</v>
      </c>
      <c r="AE144" s="165" t="s">
        <v>1256</v>
      </c>
      <c r="AF144" s="179">
        <v>2</v>
      </c>
      <c r="AG144" s="165" t="s">
        <v>1255</v>
      </c>
      <c r="AH144" s="1435" t="s">
        <v>115</v>
      </c>
      <c r="AI144" s="1434"/>
      <c r="AJ144" s="402">
        <v>1</v>
      </c>
      <c r="AK144" s="312" t="s">
        <v>115</v>
      </c>
      <c r="AL144" s="402" t="s">
        <v>495</v>
      </c>
      <c r="AM144" s="328">
        <v>1.1599999999999999E-2</v>
      </c>
      <c r="AN144" s="492" t="s">
        <v>1199</v>
      </c>
      <c r="AO144" s="314">
        <v>1</v>
      </c>
      <c r="AP144" s="158">
        <v>5.1140597474600001E-2</v>
      </c>
      <c r="AQ144" s="158">
        <v>0.57231186493427</v>
      </c>
      <c r="AR144" s="165">
        <v>1.37354847584226</v>
      </c>
      <c r="AS144" s="168" t="s">
        <v>495</v>
      </c>
      <c r="AT144" s="1"/>
      <c r="AU144" s="1"/>
      <c r="AV144" s="1"/>
      <c r="AW144" s="1"/>
    </row>
    <row r="145" spans="1:49" ht="12" customHeight="1">
      <c r="A145" s="588" t="s">
        <v>333</v>
      </c>
      <c r="B145" s="427" t="s">
        <v>334</v>
      </c>
      <c r="C145" s="1431" t="str">
        <f t="shared" si="23"/>
        <v>--</v>
      </c>
      <c r="D145" s="1432" t="str">
        <f t="shared" si="31"/>
        <v xml:space="preserve"> </v>
      </c>
      <c r="E145" s="217" t="s">
        <v>115</v>
      </c>
      <c r="F145" s="1345"/>
      <c r="G145" s="217" t="s">
        <v>115</v>
      </c>
      <c r="H145" s="165"/>
      <c r="I145" s="687" t="s">
        <v>115</v>
      </c>
      <c r="J145" s="165"/>
      <c r="K145" s="1433"/>
      <c r="L145" s="1431" t="str">
        <f t="shared" si="17"/>
        <v>--</v>
      </c>
      <c r="M145" s="1432" t="str">
        <f t="shared" si="28"/>
        <v xml:space="preserve"> </v>
      </c>
      <c r="N145" s="217" t="s">
        <v>115</v>
      </c>
      <c r="O145" s="161"/>
      <c r="P145" s="507" t="s">
        <v>115</v>
      </c>
      <c r="Q145" s="165"/>
      <c r="R145" s="178" t="s">
        <v>115</v>
      </c>
      <c r="S145" s="225"/>
      <c r="T145" s="1431">
        <f t="shared" si="19"/>
        <v>0.1</v>
      </c>
      <c r="U145" s="1432" t="str">
        <f t="shared" si="32"/>
        <v>IRIS 1991</v>
      </c>
      <c r="V145" s="217" t="s">
        <v>115</v>
      </c>
      <c r="W145" s="161"/>
      <c r="X145" s="179">
        <v>0.1</v>
      </c>
      <c r="Y145" s="165" t="s">
        <v>1201</v>
      </c>
      <c r="Z145" s="687" t="s">
        <v>115</v>
      </c>
      <c r="AA145" s="328"/>
      <c r="AB145" s="1431" t="str">
        <f t="shared" si="21"/>
        <v>--</v>
      </c>
      <c r="AC145" s="1432" t="str">
        <f t="shared" si="33"/>
        <v xml:space="preserve"> </v>
      </c>
      <c r="AD145" s="507" t="s">
        <v>115</v>
      </c>
      <c r="AE145" s="165"/>
      <c r="AF145" s="507" t="s">
        <v>115</v>
      </c>
      <c r="AG145" s="165"/>
      <c r="AH145" s="1435" t="s">
        <v>115</v>
      </c>
      <c r="AI145" s="1434"/>
      <c r="AJ145" s="402">
        <v>1</v>
      </c>
      <c r="AK145" s="312">
        <v>0.1</v>
      </c>
      <c r="AL145" s="402" t="s">
        <v>495</v>
      </c>
      <c r="AM145" s="328">
        <v>3.6200000000000003E-2</v>
      </c>
      <c r="AN145" s="492" t="s">
        <v>1199</v>
      </c>
      <c r="AO145" s="314">
        <v>1</v>
      </c>
      <c r="AP145" s="158">
        <v>0.19564276480390999</v>
      </c>
      <c r="AQ145" s="158">
        <v>1.34143226979738</v>
      </c>
      <c r="AR145" s="165">
        <v>3.21943744751372</v>
      </c>
      <c r="AS145" s="168" t="s">
        <v>115</v>
      </c>
      <c r="AT145" s="1"/>
      <c r="AU145" s="1"/>
      <c r="AV145" s="1"/>
      <c r="AW145" s="1"/>
    </row>
    <row r="146" spans="1:49" ht="12" customHeight="1">
      <c r="A146" s="588" t="s">
        <v>335</v>
      </c>
      <c r="B146" s="427" t="s">
        <v>336</v>
      </c>
      <c r="C146" s="1431">
        <f t="shared" si="23"/>
        <v>7.0000000000000007E-2</v>
      </c>
      <c r="D146" s="1432" t="str">
        <f t="shared" si="31"/>
        <v>OEHHA 2009</v>
      </c>
      <c r="E146" s="328">
        <v>7.0000000000000007E-2</v>
      </c>
      <c r="F146" s="1345" t="s">
        <v>1204</v>
      </c>
      <c r="G146" s="328">
        <v>1.0999999999999999E-2</v>
      </c>
      <c r="H146" s="165" t="s">
        <v>1201</v>
      </c>
      <c r="I146" s="687" t="s">
        <v>115</v>
      </c>
      <c r="J146" s="165"/>
      <c r="K146" s="1433"/>
      <c r="L146" s="1431">
        <f t="shared" ref="L146:L151" si="34">IF(AND(N146&lt;&gt;"--",P146&lt;&gt;"--"),MAX(N146,P146),IF(P146&lt;&gt;"--",P146,IF(AND(N146&lt;&gt;"--",R146&lt;&gt;"--"),MAX(N146,R146),IF(R146&lt;&gt;"--",R146,N146))))</f>
        <v>2.0000000000000002E-5</v>
      </c>
      <c r="M146" s="1432" t="str">
        <f t="shared" si="28"/>
        <v>OEHHA 2009</v>
      </c>
      <c r="N146" s="328">
        <v>2.0000000000000002E-5</v>
      </c>
      <c r="O146" s="161" t="s">
        <v>1204</v>
      </c>
      <c r="P146" s="179">
        <v>3.1E-6</v>
      </c>
      <c r="Q146" s="165" t="s">
        <v>1201</v>
      </c>
      <c r="R146" s="178" t="s">
        <v>115</v>
      </c>
      <c r="S146" s="225"/>
      <c r="T146" s="1431">
        <f t="shared" ref="T146:T151" si="35">IF(AND(V146&lt;&gt;"--",X146&lt;&gt;"--"),MIN(V146,X146),IF(X146&lt;&gt;"--",X146,IF(AND(V146&lt;&gt;"--",Z146&lt;&gt;"--"),MIN(V146,Z146),IF(Z146&lt;&gt;"--",Z146,V146))))</f>
        <v>1E-3</v>
      </c>
      <c r="U146" s="1432" t="str">
        <f t="shared" si="32"/>
        <v>PPRTV 2007</v>
      </c>
      <c r="V146" s="217" t="s">
        <v>115</v>
      </c>
      <c r="W146" s="161"/>
      <c r="X146" s="507" t="s">
        <v>115</v>
      </c>
      <c r="Y146" s="165"/>
      <c r="Z146" s="687">
        <v>1E-3</v>
      </c>
      <c r="AA146" s="328" t="s">
        <v>1253</v>
      </c>
      <c r="AB146" s="1431" t="str">
        <f t="shared" ref="AB146:AB151" si="36">IF(AND(AD146&lt;&gt;"--",AF146&lt;&gt;"--"),MIN(AD146,AF146),IF(AF146&lt;&gt;"--",AF146,IF(AND(AD146&lt;&gt;"--",AH146&lt;&gt;"--"),MIN(AD146,AH146),IF(AH146&lt;&gt;"--",AH146,AD146))))</f>
        <v>--</v>
      </c>
      <c r="AC146" s="1432" t="str">
        <f t="shared" si="33"/>
        <v xml:space="preserve"> </v>
      </c>
      <c r="AD146" s="507" t="s">
        <v>115</v>
      </c>
      <c r="AE146" s="165"/>
      <c r="AF146" s="507" t="s">
        <v>115</v>
      </c>
      <c r="AG146" s="165"/>
      <c r="AH146" s="1435" t="s">
        <v>115</v>
      </c>
      <c r="AI146" s="1434"/>
      <c r="AJ146" s="402">
        <v>1</v>
      </c>
      <c r="AK146" s="312">
        <v>0.1</v>
      </c>
      <c r="AL146" s="402" t="s">
        <v>495</v>
      </c>
      <c r="AM146" s="328">
        <v>3.4599999999999999E-2</v>
      </c>
      <c r="AN146" s="492" t="s">
        <v>1199</v>
      </c>
      <c r="AO146" s="314">
        <v>1</v>
      </c>
      <c r="AP146" s="158">
        <v>0.18699557077942999</v>
      </c>
      <c r="AQ146" s="158">
        <v>1.34143226979738</v>
      </c>
      <c r="AR146" s="165">
        <v>3.21943744751372</v>
      </c>
      <c r="AS146" s="168" t="s">
        <v>115</v>
      </c>
      <c r="AT146" s="1"/>
      <c r="AU146" s="1"/>
      <c r="AV146" s="1"/>
      <c r="AW146" s="1"/>
    </row>
    <row r="147" spans="1:49" ht="12" customHeight="1">
      <c r="A147" s="588" t="s">
        <v>337</v>
      </c>
      <c r="B147" s="427" t="s">
        <v>338</v>
      </c>
      <c r="C147" s="1431">
        <f t="shared" ref="C147:C151" si="37">IF(AND(E147&lt;&gt;"--",G147&lt;&gt;"--"),MAX(E147,G147),IF(G147&lt;&gt;"--",G147,IF(AND(E147&lt;&gt;"--",I147&lt;&gt;"--"),MAX(E147,I147),IF(I147&lt;&gt;"--",I147,E147))))</f>
        <v>30</v>
      </c>
      <c r="D147" s="1432" t="str">
        <f t="shared" si="31"/>
        <v>IRIS</v>
      </c>
      <c r="E147" s="217" t="s">
        <v>115</v>
      </c>
      <c r="F147" s="1345"/>
      <c r="G147" s="328">
        <v>30</v>
      </c>
      <c r="H147" s="165" t="s">
        <v>1277</v>
      </c>
      <c r="I147" s="485"/>
      <c r="J147" s="165"/>
      <c r="K147" s="1433"/>
      <c r="L147" s="1431" t="str">
        <f t="shared" si="34"/>
        <v>--</v>
      </c>
      <c r="M147" s="1432" t="str">
        <f t="shared" si="28"/>
        <v xml:space="preserve"> </v>
      </c>
      <c r="N147" s="217" t="s">
        <v>115</v>
      </c>
      <c r="O147" s="161"/>
      <c r="P147" s="507" t="s">
        <v>115</v>
      </c>
      <c r="Q147" s="165"/>
      <c r="R147" s="178" t="s">
        <v>115</v>
      </c>
      <c r="S147" s="225"/>
      <c r="T147" s="1431">
        <f t="shared" si="35"/>
        <v>4.0000000000000001E-3</v>
      </c>
      <c r="U147" s="1432" t="str">
        <f t="shared" si="32"/>
        <v>IRIS 1991</v>
      </c>
      <c r="V147" s="217" t="s">
        <v>115</v>
      </c>
      <c r="W147" s="161"/>
      <c r="X147" s="179">
        <v>4.0000000000000001E-3</v>
      </c>
      <c r="Y147" s="165" t="s">
        <v>1201</v>
      </c>
      <c r="Z147" s="687" t="s">
        <v>115</v>
      </c>
      <c r="AA147" s="328"/>
      <c r="AB147" s="1431">
        <f t="shared" si="36"/>
        <v>0.3</v>
      </c>
      <c r="AC147" s="1432" t="str">
        <f t="shared" si="33"/>
        <v>IRIS</v>
      </c>
      <c r="AD147" s="507" t="s">
        <v>115</v>
      </c>
      <c r="AE147" s="165"/>
      <c r="AF147" s="507">
        <v>0.3</v>
      </c>
      <c r="AG147" s="165" t="s">
        <v>1277</v>
      </c>
      <c r="AH147" s="1435" t="s">
        <v>115</v>
      </c>
      <c r="AI147" s="1434"/>
      <c r="AJ147" s="402">
        <v>1</v>
      </c>
      <c r="AK147" s="312" t="s">
        <v>115</v>
      </c>
      <c r="AL147" s="402" t="s">
        <v>495</v>
      </c>
      <c r="AM147" s="328">
        <v>7.5199999999999998E-3</v>
      </c>
      <c r="AN147" s="492" t="s">
        <v>1199</v>
      </c>
      <c r="AO147" s="314">
        <v>1</v>
      </c>
      <c r="AP147" s="158">
        <v>3.5118618673219998E-2</v>
      </c>
      <c r="AQ147" s="158">
        <v>0.70381213342263005</v>
      </c>
      <c r="AR147" s="165">
        <v>1.6891491202143201</v>
      </c>
      <c r="AS147" s="168" t="s">
        <v>495</v>
      </c>
      <c r="AT147" s="1"/>
      <c r="AU147" s="1"/>
      <c r="AV147" s="1"/>
      <c r="AW147" s="1"/>
    </row>
    <row r="148" spans="1:49" ht="12" customHeight="1">
      <c r="A148" s="588" t="s">
        <v>339</v>
      </c>
      <c r="B148" s="427" t="s">
        <v>340</v>
      </c>
      <c r="C148" s="1431" t="str">
        <f t="shared" si="37"/>
        <v>--</v>
      </c>
      <c r="D148" s="1432" t="str">
        <f t="shared" si="31"/>
        <v xml:space="preserve"> </v>
      </c>
      <c r="E148" s="217" t="s">
        <v>115</v>
      </c>
      <c r="F148" s="1345"/>
      <c r="G148" s="217" t="s">
        <v>115</v>
      </c>
      <c r="H148" s="165"/>
      <c r="I148" s="687" t="s">
        <v>115</v>
      </c>
      <c r="J148" s="165"/>
      <c r="K148" s="1433"/>
      <c r="L148" s="1431" t="str">
        <f t="shared" si="34"/>
        <v>--</v>
      </c>
      <c r="M148" s="1432" t="str">
        <f t="shared" si="28"/>
        <v xml:space="preserve"> </v>
      </c>
      <c r="N148" s="217" t="s">
        <v>115</v>
      </c>
      <c r="O148" s="161"/>
      <c r="P148" s="507" t="s">
        <v>115</v>
      </c>
      <c r="Q148" s="165"/>
      <c r="R148" s="178" t="s">
        <v>115</v>
      </c>
      <c r="S148" s="225"/>
      <c r="T148" s="1431">
        <f t="shared" si="35"/>
        <v>5.0000000000000001E-3</v>
      </c>
      <c r="U148" s="1432" t="str">
        <f t="shared" si="32"/>
        <v>RSL</v>
      </c>
      <c r="V148" s="217" t="s">
        <v>115</v>
      </c>
      <c r="W148" s="161"/>
      <c r="X148" s="507" t="s">
        <v>115</v>
      </c>
      <c r="Y148" s="165"/>
      <c r="Z148" s="485">
        <v>5.0000000000000001E-3</v>
      </c>
      <c r="AA148" s="328" t="s">
        <v>1275</v>
      </c>
      <c r="AB148" s="1431">
        <f t="shared" si="36"/>
        <v>0.1</v>
      </c>
      <c r="AC148" s="1432" t="str">
        <f t="shared" si="33"/>
        <v>ATSDR 2014</v>
      </c>
      <c r="AD148" s="507" t="s">
        <v>115</v>
      </c>
      <c r="AE148" s="165"/>
      <c r="AF148" s="507" t="s">
        <v>115</v>
      </c>
      <c r="AG148" s="165"/>
      <c r="AH148" s="1437">
        <v>0.1</v>
      </c>
      <c r="AI148" s="1434" t="s">
        <v>1259</v>
      </c>
      <c r="AJ148" s="402">
        <v>2.5999999999999999E-2</v>
      </c>
      <c r="AK148" s="312" t="s">
        <v>115</v>
      </c>
      <c r="AL148" s="402" t="s">
        <v>495</v>
      </c>
      <c r="AM148" s="328">
        <v>1E-3</v>
      </c>
      <c r="AN148" s="492" t="s">
        <v>1203</v>
      </c>
      <c r="AO148" s="314">
        <v>1</v>
      </c>
      <c r="AP148" s="158">
        <v>2.7450870584699999E-3</v>
      </c>
      <c r="AQ148" s="158">
        <v>0.20282092058974999</v>
      </c>
      <c r="AR148" s="165">
        <v>0.48677020941540999</v>
      </c>
      <c r="AS148" s="168" t="s">
        <v>115</v>
      </c>
      <c r="AT148" s="1"/>
      <c r="AU148" s="1"/>
      <c r="AV148" s="1"/>
      <c r="AW148" s="1"/>
    </row>
    <row r="149" spans="1:49" ht="12" customHeight="1">
      <c r="A149" s="588" t="s">
        <v>341</v>
      </c>
      <c r="B149" s="427" t="s">
        <v>342</v>
      </c>
      <c r="C149" s="1431">
        <f t="shared" si="37"/>
        <v>0.72</v>
      </c>
      <c r="D149" s="1432" t="str">
        <f t="shared" si="31"/>
        <v>IRIS 2000</v>
      </c>
      <c r="E149" s="328">
        <v>0.27</v>
      </c>
      <c r="F149" s="1345" t="s">
        <v>1204</v>
      </c>
      <c r="G149" s="328">
        <v>0.72</v>
      </c>
      <c r="H149" s="165" t="s">
        <v>1249</v>
      </c>
      <c r="I149" s="485"/>
      <c r="J149" s="165"/>
      <c r="K149" s="1433"/>
      <c r="L149" s="1431">
        <f t="shared" si="34"/>
        <v>7.7999999999999999E-5</v>
      </c>
      <c r="M149" s="1432" t="str">
        <f t="shared" si="28"/>
        <v>OEHHA 2009</v>
      </c>
      <c r="N149" s="328">
        <v>7.7999999999999999E-5</v>
      </c>
      <c r="O149" s="161" t="s">
        <v>1204</v>
      </c>
      <c r="P149" s="179">
        <v>4.4000000000000002E-6</v>
      </c>
      <c r="Q149" s="165" t="s">
        <v>1249</v>
      </c>
      <c r="R149" s="178" t="s">
        <v>115</v>
      </c>
      <c r="S149" s="225"/>
      <c r="T149" s="1431">
        <f t="shared" si="35"/>
        <v>3.0000000000000001E-3</v>
      </c>
      <c r="U149" s="1432" t="str">
        <f t="shared" si="32"/>
        <v>IRIS 2000</v>
      </c>
      <c r="V149" s="217" t="s">
        <v>115</v>
      </c>
      <c r="W149" s="161"/>
      <c r="X149" s="179">
        <v>3.0000000000000001E-3</v>
      </c>
      <c r="Y149" s="165" t="s">
        <v>1249</v>
      </c>
      <c r="Z149" s="687" t="s">
        <v>115</v>
      </c>
      <c r="AA149" s="328"/>
      <c r="AB149" s="1431">
        <f>AH149</f>
        <v>51</v>
      </c>
      <c r="AC149" s="1432" t="str">
        <f t="shared" si="33"/>
        <v>ATSDR 2024*</v>
      </c>
      <c r="AD149" s="507" t="s">
        <v>115</v>
      </c>
      <c r="AE149" s="165"/>
      <c r="AF149" s="1439">
        <v>100</v>
      </c>
      <c r="AG149" s="692" t="s">
        <v>1249</v>
      </c>
      <c r="AH149" s="688">
        <v>51</v>
      </c>
      <c r="AI149" s="355" t="s">
        <v>1292</v>
      </c>
      <c r="AJ149" s="402">
        <v>1</v>
      </c>
      <c r="AK149" s="312" t="s">
        <v>115</v>
      </c>
      <c r="AL149" s="402" t="s">
        <v>495</v>
      </c>
      <c r="AM149" s="328">
        <v>8.3800000000000003E-3</v>
      </c>
      <c r="AN149" s="492" t="s">
        <v>1199</v>
      </c>
      <c r="AO149" s="314">
        <v>1</v>
      </c>
      <c r="AP149" s="158">
        <v>2.548045653103E-2</v>
      </c>
      <c r="AQ149" s="158">
        <v>0.23541988846799999</v>
      </c>
      <c r="AR149" s="165">
        <v>0.56500773232319002</v>
      </c>
      <c r="AS149" s="168" t="s">
        <v>495</v>
      </c>
      <c r="AT149" s="1"/>
      <c r="AU149" s="1"/>
      <c r="AV149" s="1"/>
      <c r="AW149" s="1"/>
    </row>
    <row r="150" spans="1:49" ht="12" customHeight="1">
      <c r="A150" s="588" t="s">
        <v>343</v>
      </c>
      <c r="B150" s="427" t="s">
        <v>344</v>
      </c>
      <c r="C150" s="1431" t="str">
        <f t="shared" si="37"/>
        <v>--</v>
      </c>
      <c r="D150" s="1432" t="str">
        <f t="shared" si="31"/>
        <v xml:space="preserve"> </v>
      </c>
      <c r="E150" s="217" t="s">
        <v>115</v>
      </c>
      <c r="F150" s="1345"/>
      <c r="G150" s="217" t="s">
        <v>115</v>
      </c>
      <c r="H150" s="165"/>
      <c r="I150" s="687" t="s">
        <v>115</v>
      </c>
      <c r="J150" s="165"/>
      <c r="K150" s="1433"/>
      <c r="L150" s="1431" t="str">
        <f t="shared" si="34"/>
        <v>--</v>
      </c>
      <c r="M150" s="1432" t="str">
        <f t="shared" si="28"/>
        <v xml:space="preserve"> </v>
      </c>
      <c r="N150" s="217" t="s">
        <v>115</v>
      </c>
      <c r="O150" s="161"/>
      <c r="P150" s="507" t="s">
        <v>115</v>
      </c>
      <c r="Q150" s="165"/>
      <c r="R150" s="178" t="s">
        <v>115</v>
      </c>
      <c r="S150" s="225"/>
      <c r="T150" s="1431">
        <f t="shared" si="35"/>
        <v>0.2</v>
      </c>
      <c r="U150" s="1432" t="str">
        <f t="shared" si="32"/>
        <v>IRIS 2003</v>
      </c>
      <c r="V150" s="217" t="s">
        <v>115</v>
      </c>
      <c r="W150" s="161"/>
      <c r="X150" s="179">
        <v>0.2</v>
      </c>
      <c r="Y150" s="165" t="s">
        <v>1211</v>
      </c>
      <c r="Z150" s="687" t="s">
        <v>115</v>
      </c>
      <c r="AA150" s="328"/>
      <c r="AB150" s="1431">
        <f t="shared" si="36"/>
        <v>100</v>
      </c>
      <c r="AC150" s="1432" t="str">
        <f t="shared" si="33"/>
        <v>IRIS 2003</v>
      </c>
      <c r="AD150" s="179">
        <v>700</v>
      </c>
      <c r="AE150" s="165" t="s">
        <v>1256</v>
      </c>
      <c r="AF150" s="179">
        <v>100</v>
      </c>
      <c r="AG150" s="165" t="s">
        <v>1211</v>
      </c>
      <c r="AH150" s="687" t="s">
        <v>115</v>
      </c>
      <c r="AI150" s="225"/>
      <c r="AJ150" s="402">
        <v>1</v>
      </c>
      <c r="AK150" s="312" t="s">
        <v>115</v>
      </c>
      <c r="AL150" s="402" t="s">
        <v>495</v>
      </c>
      <c r="AM150" s="328">
        <v>0.05</v>
      </c>
      <c r="AN150" s="492" t="s">
        <v>1199</v>
      </c>
      <c r="AO150" s="314">
        <v>1</v>
      </c>
      <c r="AP150" s="158">
        <v>0.19815159160208001</v>
      </c>
      <c r="AQ150" s="158">
        <v>0.41342882164758998</v>
      </c>
      <c r="AR150" s="165">
        <v>0.99222917195421001</v>
      </c>
      <c r="AS150" s="168" t="s">
        <v>115</v>
      </c>
      <c r="AT150" s="1"/>
      <c r="AU150" s="1"/>
      <c r="AV150" s="1"/>
      <c r="AW150" s="1"/>
    </row>
    <row r="151" spans="1:49" ht="12" customHeight="1" thickBot="1">
      <c r="A151" s="1186" t="s">
        <v>345</v>
      </c>
      <c r="B151" s="426" t="s">
        <v>346</v>
      </c>
      <c r="C151" s="1447" t="str">
        <f t="shared" si="37"/>
        <v>--</v>
      </c>
      <c r="D151" s="1432" t="str">
        <f t="shared" si="31"/>
        <v xml:space="preserve"> </v>
      </c>
      <c r="E151" s="1448" t="s">
        <v>115</v>
      </c>
      <c r="F151" s="1449"/>
      <c r="G151" s="1448" t="s">
        <v>115</v>
      </c>
      <c r="H151" s="1450"/>
      <c r="I151" s="1451" t="s">
        <v>115</v>
      </c>
      <c r="J151" s="1450"/>
      <c r="K151" s="1452"/>
      <c r="L151" s="1447" t="str">
        <f t="shared" si="34"/>
        <v>--</v>
      </c>
      <c r="M151" s="1432" t="str">
        <f t="shared" si="28"/>
        <v xml:space="preserve"> </v>
      </c>
      <c r="N151" s="1448" t="s">
        <v>115</v>
      </c>
      <c r="O151" s="1202"/>
      <c r="P151" s="180" t="s">
        <v>115</v>
      </c>
      <c r="Q151" s="1450"/>
      <c r="R151" s="164" t="s">
        <v>115</v>
      </c>
      <c r="S151" s="1453"/>
      <c r="T151" s="1447">
        <f t="shared" si="35"/>
        <v>0.3</v>
      </c>
      <c r="U151" s="1432" t="str">
        <f t="shared" si="32"/>
        <v>IRIS 2005</v>
      </c>
      <c r="V151" s="1454" t="s">
        <v>115</v>
      </c>
      <c r="W151" s="1202"/>
      <c r="X151" s="180">
        <v>0.3</v>
      </c>
      <c r="Y151" s="1450" t="s">
        <v>1208</v>
      </c>
      <c r="Z151" s="689" t="s">
        <v>115</v>
      </c>
      <c r="AA151" s="1448"/>
      <c r="AB151" s="1447" t="str">
        <f t="shared" si="36"/>
        <v>--</v>
      </c>
      <c r="AC151" s="1432" t="str">
        <f t="shared" si="33"/>
        <v xml:space="preserve"> </v>
      </c>
      <c r="AD151" s="164" t="s">
        <v>115</v>
      </c>
      <c r="AE151" s="1450"/>
      <c r="AF151" s="180" t="s">
        <v>115</v>
      </c>
      <c r="AG151" s="1450"/>
      <c r="AH151" s="1451" t="s">
        <v>115</v>
      </c>
      <c r="AI151" s="1453"/>
      <c r="AJ151" s="401">
        <v>1</v>
      </c>
      <c r="AK151" s="312" t="s">
        <v>115</v>
      </c>
      <c r="AL151" s="401" t="s">
        <v>495</v>
      </c>
      <c r="AM151" s="10">
        <v>5.9999999999999995E-4</v>
      </c>
      <c r="AN151" s="491" t="s">
        <v>1203</v>
      </c>
      <c r="AO151" s="1187">
        <v>1</v>
      </c>
      <c r="AP151" s="589">
        <v>1.8658088336000001E-3</v>
      </c>
      <c r="AQ151" s="589">
        <v>0.24429847143290001</v>
      </c>
      <c r="AR151" s="1188">
        <v>0.58631633143895001</v>
      </c>
      <c r="AS151" s="167" t="s">
        <v>115</v>
      </c>
      <c r="AT151" s="1"/>
      <c r="AU151" s="1"/>
      <c r="AV151" s="1"/>
      <c r="AW151" s="1"/>
    </row>
    <row r="152" spans="1:49" ht="12" customHeight="1" thickTop="1">
      <c r="A152" s="1189" t="s">
        <v>347</v>
      </c>
      <c r="B152" s="1799"/>
      <c r="C152" s="386"/>
      <c r="D152" s="386"/>
      <c r="E152" s="386"/>
      <c r="F152" s="386"/>
      <c r="G152" s="386"/>
      <c r="H152" s="386"/>
      <c r="I152" s="386"/>
      <c r="J152" s="386"/>
      <c r="K152" s="386"/>
      <c r="L152" s="386"/>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404"/>
      <c r="AL152" s="493"/>
      <c r="AM152" s="386"/>
      <c r="AN152" s="386"/>
      <c r="AO152" s="405"/>
      <c r="AP152" s="404"/>
      <c r="AQ152" s="404"/>
      <c r="AR152" s="404"/>
      <c r="AS152" s="406"/>
      <c r="AT152" s="1"/>
      <c r="AU152" s="1"/>
      <c r="AV152" s="1"/>
      <c r="AW152" s="1"/>
    </row>
    <row r="153" spans="1:49" ht="12" customHeight="1">
      <c r="A153" s="261" t="s">
        <v>4295</v>
      </c>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148"/>
      <c r="AT153" s="1"/>
      <c r="AU153" s="1"/>
      <c r="AV153" s="1"/>
      <c r="AW153" s="1"/>
    </row>
    <row r="154" spans="1:49" s="1" customFormat="1" ht="12" customHeight="1">
      <c r="A154" s="1179" t="s">
        <v>1294</v>
      </c>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c r="AL154" s="75"/>
      <c r="AM154" s="86"/>
      <c r="AN154" s="86"/>
      <c r="AO154" s="94"/>
      <c r="AP154"/>
      <c r="AQ154"/>
      <c r="AR154"/>
      <c r="AS154" s="407"/>
    </row>
    <row r="155" spans="1:49" s="1" customFormat="1" ht="12" customHeight="1">
      <c r="A155" s="261" t="s">
        <v>1295</v>
      </c>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c r="AL155" s="75"/>
      <c r="AM155" s="86"/>
      <c r="AN155" s="86"/>
      <c r="AO155" s="94"/>
      <c r="AP155"/>
      <c r="AQ155"/>
      <c r="AR155"/>
      <c r="AS155" s="407"/>
    </row>
    <row r="156" spans="1:49" s="1" customFormat="1" ht="12" customHeight="1">
      <c r="A156" s="261" t="s">
        <v>1296</v>
      </c>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c r="AL156" s="75"/>
      <c r="AM156" s="86"/>
      <c r="AN156" s="86"/>
      <c r="AO156" s="94"/>
      <c r="AP156"/>
      <c r="AQ156"/>
      <c r="AR156"/>
      <c r="AS156" s="407"/>
    </row>
    <row r="157" spans="1:49" s="1" customFormat="1" ht="12" customHeight="1">
      <c r="A157" s="261" t="s">
        <v>1297</v>
      </c>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c r="AL157" s="75"/>
      <c r="AM157" s="86"/>
      <c r="AN157" s="86"/>
      <c r="AO157" s="94"/>
      <c r="AP157"/>
      <c r="AQ157"/>
      <c r="AR157"/>
      <c r="AS157" s="407"/>
    </row>
    <row r="158" spans="1:49" s="1" customFormat="1" ht="12" customHeight="1">
      <c r="A158" s="261" t="s">
        <v>1298</v>
      </c>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c r="AL158" s="75"/>
      <c r="AM158" s="86"/>
      <c r="AN158" s="86"/>
      <c r="AO158" s="94"/>
      <c r="AP158"/>
      <c r="AQ158"/>
      <c r="AR158"/>
      <c r="AS158" s="407"/>
    </row>
    <row r="159" spans="1:49" s="1" customFormat="1" ht="12" customHeight="1">
      <c r="A159" s="261" t="s">
        <v>1299</v>
      </c>
      <c r="C159" s="86"/>
      <c r="D159" s="86"/>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c r="AL159" s="75"/>
      <c r="AM159" s="86"/>
      <c r="AN159" s="86"/>
      <c r="AO159" s="94"/>
      <c r="AP159"/>
      <c r="AQ159"/>
      <c r="AR159"/>
      <c r="AS159" s="407"/>
    </row>
    <row r="160" spans="1:49" s="1" customFormat="1" ht="12" customHeight="1">
      <c r="A160" s="261" t="s">
        <v>1300</v>
      </c>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c r="AL160" s="75"/>
      <c r="AM160" s="86"/>
      <c r="AN160" s="86"/>
      <c r="AO160" s="94"/>
      <c r="AP160"/>
      <c r="AQ160"/>
      <c r="AR160"/>
      <c r="AS160" s="407"/>
    </row>
    <row r="161" spans="1:49" s="1" customFormat="1" ht="12" customHeight="1">
      <c r="A161" s="261" t="s">
        <v>1301</v>
      </c>
      <c r="C161" s="86"/>
      <c r="D161" s="86"/>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c r="AL161" s="75"/>
      <c r="AM161" s="86"/>
      <c r="AN161" s="86"/>
      <c r="AO161" s="94"/>
      <c r="AP161"/>
      <c r="AQ161"/>
      <c r="AR161"/>
      <c r="AS161" s="407"/>
    </row>
    <row r="162" spans="1:49" s="1" customFormat="1" ht="12" customHeight="1">
      <c r="A162" s="270" t="s">
        <v>1302</v>
      </c>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c r="AL162" s="75"/>
      <c r="AM162" s="86"/>
      <c r="AN162" s="86"/>
      <c r="AO162" s="94"/>
      <c r="AP162"/>
      <c r="AQ162"/>
      <c r="AR162"/>
      <c r="AS162" s="407"/>
    </row>
    <row r="163" spans="1:49" s="1" customFormat="1" ht="12" customHeight="1">
      <c r="A163" s="270" t="s">
        <v>1303</v>
      </c>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c r="AL163" s="75"/>
      <c r="AM163" s="86"/>
      <c r="AN163" s="86"/>
      <c r="AO163" s="94"/>
      <c r="AP163"/>
      <c r="AQ163"/>
      <c r="AR163"/>
      <c r="AS163" s="407"/>
    </row>
    <row r="164" spans="1:49" s="1" customFormat="1" ht="12" customHeight="1">
      <c r="A164" s="909" t="s">
        <v>1304</v>
      </c>
      <c r="B164" s="565"/>
      <c r="C164" s="565"/>
      <c r="D164" s="565"/>
      <c r="E164" s="565"/>
      <c r="F164" s="565"/>
      <c r="G164" s="565"/>
      <c r="H164" s="565"/>
      <c r="I164" s="565"/>
      <c r="J164" s="565"/>
      <c r="K164" s="565"/>
      <c r="L164" s="565"/>
      <c r="M164" s="565"/>
      <c r="N164" s="565"/>
      <c r="O164" s="565"/>
      <c r="P164" s="565"/>
      <c r="Q164" s="565"/>
      <c r="R164" s="565"/>
      <c r="S164" s="565"/>
      <c r="T164" s="565"/>
      <c r="U164" s="565"/>
      <c r="V164" s="565"/>
      <c r="W164" s="565"/>
      <c r="X164" s="565"/>
      <c r="Y164" s="565"/>
      <c r="Z164" s="565"/>
      <c r="AA164" s="565"/>
      <c r="AB164" s="565"/>
      <c r="AC164" s="565"/>
      <c r="AD164" s="565"/>
      <c r="AE164" s="565"/>
      <c r="AF164" s="565"/>
      <c r="AG164" s="565"/>
      <c r="AH164" s="565"/>
      <c r="AI164" s="565"/>
      <c r="AJ164" s="565"/>
      <c r="AK164" s="565"/>
      <c r="AL164" s="565"/>
      <c r="AM164" s="565"/>
      <c r="AN164" s="565"/>
      <c r="AO164" s="565"/>
      <c r="AP164" s="565"/>
      <c r="AQ164" s="565"/>
      <c r="AR164" s="565"/>
      <c r="AS164" s="1152"/>
    </row>
    <row r="165" spans="1:49" s="1" customFormat="1" ht="12" customHeight="1">
      <c r="A165" s="1185" t="s">
        <v>1305</v>
      </c>
      <c r="B165" s="565"/>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c r="AA165" s="1144"/>
      <c r="AB165" s="1144"/>
      <c r="AC165" s="1144"/>
      <c r="AD165" s="1144"/>
      <c r="AE165" s="1144"/>
      <c r="AF165" s="1144"/>
      <c r="AG165" s="1144"/>
      <c r="AH165" s="1144"/>
      <c r="AI165" s="1144"/>
      <c r="AJ165" s="1144"/>
      <c r="AK165" s="1252"/>
      <c r="AL165" s="1253"/>
      <c r="AM165" s="1254"/>
      <c r="AN165" s="1254"/>
      <c r="AO165" s="1255"/>
      <c r="AP165" s="1252"/>
      <c r="AQ165" s="1252"/>
      <c r="AR165" s="1252"/>
      <c r="AS165" s="1256"/>
    </row>
    <row r="166" spans="1:49" s="1" customFormat="1" ht="12" customHeight="1">
      <c r="A166" s="909" t="s">
        <v>1306</v>
      </c>
      <c r="B166" s="565"/>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1144"/>
      <c r="AI166" s="1144"/>
      <c r="AJ166" s="1144"/>
      <c r="AK166" s="1252"/>
      <c r="AL166" s="1253"/>
      <c r="AM166" s="1254"/>
      <c r="AN166" s="1254"/>
      <c r="AO166" s="1255"/>
      <c r="AP166" s="1252"/>
      <c r="AQ166" s="1252"/>
      <c r="AR166" s="1252"/>
      <c r="AS166" s="1256"/>
    </row>
    <row r="167" spans="1:49" s="1" customFormat="1" ht="12" customHeight="1">
      <c r="A167" s="909" t="s">
        <v>1307</v>
      </c>
      <c r="B167" s="565"/>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252"/>
      <c r="AL167" s="1253"/>
      <c r="AM167" s="1254"/>
      <c r="AN167" s="1254"/>
      <c r="AO167" s="1255"/>
      <c r="AP167" s="1252"/>
      <c r="AQ167" s="1252"/>
      <c r="AR167" s="1252"/>
      <c r="AS167" s="1256"/>
    </row>
    <row r="168" spans="1:49" ht="12" customHeight="1">
      <c r="A168" s="909" t="s">
        <v>1308</v>
      </c>
      <c r="B168" s="565"/>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c r="AA168" s="1144"/>
      <c r="AB168" s="1144"/>
      <c r="AC168" s="1144"/>
      <c r="AD168" s="1144"/>
      <c r="AE168" s="1144"/>
      <c r="AF168" s="1144"/>
      <c r="AG168" s="1144"/>
      <c r="AH168" s="1144"/>
      <c r="AI168" s="1144"/>
      <c r="AJ168" s="1144"/>
      <c r="AK168" s="1252"/>
      <c r="AL168" s="1253"/>
      <c r="AM168" s="1254"/>
      <c r="AN168" s="1254"/>
      <c r="AO168" s="1255"/>
      <c r="AP168" s="1252"/>
      <c r="AQ168" s="1252"/>
      <c r="AR168" s="1252"/>
      <c r="AS168" s="1256"/>
      <c r="AT168" s="1"/>
      <c r="AU168" s="1"/>
      <c r="AV168" s="1"/>
      <c r="AW168" s="1"/>
    </row>
    <row r="169" spans="1:49" ht="12" customHeight="1">
      <c r="A169" s="1132" t="s">
        <v>348</v>
      </c>
      <c r="B169" s="1"/>
      <c r="C169" s="86"/>
      <c r="D169" s="86"/>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M169" s="86"/>
      <c r="AN169" s="86"/>
      <c r="AO169" s="94"/>
      <c r="AS169" s="1148"/>
      <c r="AT169" s="1"/>
      <c r="AU169" s="1"/>
      <c r="AV169" s="1"/>
      <c r="AW169" s="1"/>
    </row>
    <row r="170" spans="1:49" ht="12" customHeight="1">
      <c r="A170" s="1133" t="s">
        <v>349</v>
      </c>
      <c r="B170" s="1"/>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M170" s="86"/>
      <c r="AN170" s="86"/>
      <c r="AO170" s="94"/>
      <c r="AS170" s="1148"/>
      <c r="AT170" s="1"/>
      <c r="AU170" s="1"/>
      <c r="AV170" s="1"/>
      <c r="AW170" s="1"/>
    </row>
    <row r="171" spans="1:49" ht="12" customHeight="1">
      <c r="A171" s="1133" t="s">
        <v>350</v>
      </c>
      <c r="B171" s="1"/>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M171" s="86"/>
      <c r="AN171" s="86"/>
      <c r="AO171" s="94"/>
      <c r="AS171" s="1148"/>
      <c r="AT171" s="1"/>
      <c r="AU171" s="1"/>
      <c r="AV171" s="1"/>
      <c r="AW171" s="1"/>
    </row>
    <row r="172" spans="1:49" ht="12" customHeight="1">
      <c r="A172" s="1133" t="s">
        <v>351</v>
      </c>
      <c r="B172" s="1"/>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M172" s="86"/>
      <c r="AN172" s="86"/>
      <c r="AO172" s="94"/>
      <c r="AS172" s="1148"/>
      <c r="AT172" s="1"/>
      <c r="AU172" s="1"/>
      <c r="AV172" s="1"/>
      <c r="AW172" s="1"/>
    </row>
    <row r="173" spans="1:49" ht="12" customHeight="1">
      <c r="A173" s="1133" t="s">
        <v>1309</v>
      </c>
      <c r="B173" s="1"/>
      <c r="C173" s="86"/>
      <c r="D173" s="86"/>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M173" s="86"/>
      <c r="AN173" s="86"/>
      <c r="AO173" s="94"/>
      <c r="AS173" s="1148"/>
      <c r="AT173" s="1"/>
      <c r="AU173" s="1"/>
      <c r="AV173" s="1"/>
      <c r="AW173" s="1"/>
    </row>
    <row r="174" spans="1:49" ht="12" customHeight="1">
      <c r="A174" s="1133" t="s">
        <v>353</v>
      </c>
      <c r="B174" s="1"/>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M174" s="86"/>
      <c r="AN174" s="86"/>
      <c r="AO174" s="94"/>
      <c r="AS174" s="1148"/>
      <c r="AT174" s="1"/>
      <c r="AU174" s="1"/>
      <c r="AV174" s="1"/>
      <c r="AW174" s="1"/>
    </row>
    <row r="175" spans="1:49" ht="12" customHeight="1">
      <c r="A175" s="1133" t="s">
        <v>354</v>
      </c>
      <c r="B175" s="1"/>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M175" s="86"/>
      <c r="AN175" s="86"/>
      <c r="AO175" s="94"/>
      <c r="AS175" s="1148"/>
      <c r="AT175" s="1"/>
      <c r="AU175" s="1"/>
      <c r="AV175" s="1"/>
      <c r="AW175" s="1"/>
    </row>
    <row r="176" spans="1:49" ht="12" customHeight="1" thickBot="1">
      <c r="A176" s="9" t="s">
        <v>355</v>
      </c>
      <c r="B176" s="1190"/>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387"/>
      <c r="AF176" s="387"/>
      <c r="AG176" s="387"/>
      <c r="AH176" s="387"/>
      <c r="AI176" s="387"/>
      <c r="AJ176" s="387"/>
      <c r="AK176" s="408"/>
      <c r="AL176" s="2034"/>
      <c r="AM176" s="387"/>
      <c r="AN176" s="387"/>
      <c r="AO176" s="409"/>
      <c r="AP176" s="408"/>
      <c r="AQ176" s="408"/>
      <c r="AR176" s="408"/>
      <c r="AS176" s="1191"/>
      <c r="AT176" s="1"/>
      <c r="AU176" s="1"/>
      <c r="AV176" s="1"/>
      <c r="AW176" s="1"/>
    </row>
    <row r="177" spans="1:45" ht="12" customHeight="1" thickTop="1">
      <c r="A177" s="1"/>
      <c r="B177" s="1"/>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M177" s="86"/>
      <c r="AN177" s="86"/>
      <c r="AO177" s="94"/>
      <c r="AS177" s="1"/>
    </row>
    <row r="178" spans="1:45" ht="12" customHeight="1">
      <c r="A178" s="1"/>
      <c r="B178" s="1"/>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M178" s="86"/>
      <c r="AN178" s="86"/>
      <c r="AO178" s="94"/>
      <c r="AS178" s="1"/>
    </row>
    <row r="179" spans="1:45" ht="12" customHeight="1">
      <c r="A179" s="1"/>
      <c r="B179" s="1"/>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M179" s="86"/>
      <c r="AN179" s="86"/>
      <c r="AO179" s="94"/>
      <c r="AS179" s="1"/>
    </row>
    <row r="180" spans="1:45" ht="12" customHeight="1">
      <c r="A180" s="1"/>
      <c r="B180" s="1"/>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M180" s="86"/>
      <c r="AN180" s="86"/>
      <c r="AO180" s="94"/>
      <c r="AS180" s="1"/>
    </row>
    <row r="181" spans="1:45" ht="12" customHeight="1">
      <c r="A181" s="1"/>
      <c r="B181" s="1"/>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M181" s="86"/>
      <c r="AN181" s="86"/>
      <c r="AO181" s="94"/>
      <c r="AS181" s="1"/>
    </row>
    <row r="182" spans="1:45" ht="12" customHeight="1">
      <c r="A182" s="1"/>
      <c r="B182" s="1"/>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M182" s="86"/>
      <c r="AN182" s="86"/>
      <c r="AO182" s="94"/>
      <c r="AS182" s="1"/>
    </row>
    <row r="183" spans="1:45" ht="12" customHeight="1">
      <c r="A183" s="1"/>
      <c r="B183" s="1"/>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M183" s="86"/>
      <c r="AN183" s="86"/>
      <c r="AO183" s="94"/>
      <c r="AS183" s="1"/>
    </row>
    <row r="184" spans="1:45" ht="12" customHeight="1">
      <c r="A184" s="1"/>
      <c r="B184" s="1"/>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M184" s="86"/>
      <c r="AN184" s="86"/>
      <c r="AO184" s="94"/>
      <c r="AS184" s="1"/>
    </row>
    <row r="185" spans="1:45" ht="12" customHeight="1">
      <c r="A185" s="1"/>
      <c r="B185" s="1"/>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M185" s="86"/>
      <c r="AN185" s="86"/>
      <c r="AO185" s="94"/>
      <c r="AS185" s="1"/>
    </row>
    <row r="186" spans="1:45" ht="12" customHeight="1">
      <c r="A186" s="1"/>
      <c r="B186" s="1"/>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M186" s="86"/>
      <c r="AN186" s="86"/>
      <c r="AO186" s="94"/>
      <c r="AS186" s="1"/>
    </row>
    <row r="187" spans="1:45" ht="12" customHeight="1">
      <c r="A187" s="1"/>
      <c r="B187" s="1"/>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M187" s="86"/>
      <c r="AN187" s="86"/>
      <c r="AO187" s="94"/>
      <c r="AS187" s="1"/>
    </row>
    <row r="188" spans="1:45" ht="12" customHeight="1">
      <c r="A188" s="1"/>
      <c r="B188" s="1"/>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M188" s="86"/>
      <c r="AN188" s="86"/>
      <c r="AO188" s="94"/>
      <c r="AS188" s="1"/>
    </row>
    <row r="189" spans="1:45" ht="12" customHeight="1">
      <c r="A189" s="1"/>
      <c r="B189" s="1"/>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M189" s="86"/>
      <c r="AN189" s="86"/>
      <c r="AO189" s="94"/>
      <c r="AS189" s="1"/>
    </row>
    <row r="190" spans="1:45" ht="12" customHeight="1">
      <c r="A190" s="1"/>
      <c r="B190" s="1"/>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M190" s="86"/>
      <c r="AN190" s="86"/>
      <c r="AO190" s="94"/>
      <c r="AS190" s="1"/>
    </row>
    <row r="191" spans="1:45" ht="12" customHeight="1">
      <c r="A191" s="1"/>
      <c r="B191" s="1"/>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M191" s="86"/>
      <c r="AN191" s="86"/>
      <c r="AO191" s="94"/>
      <c r="AS191" s="1"/>
    </row>
    <row r="192" spans="1:45" ht="12" customHeight="1">
      <c r="A192" s="1"/>
      <c r="B192" s="1"/>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M192" s="86"/>
      <c r="AN192" s="86"/>
      <c r="AO192" s="94"/>
      <c r="AS192" s="1"/>
    </row>
    <row r="193" spans="1:49" ht="12" customHeight="1">
      <c r="A193" s="1"/>
      <c r="B193" s="1"/>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M193" s="86"/>
      <c r="AN193" s="86"/>
      <c r="AO193" s="94"/>
      <c r="AS193" s="1"/>
      <c r="AT193" s="1"/>
      <c r="AU193" s="1"/>
      <c r="AV193" s="1"/>
      <c r="AW193" s="1"/>
    </row>
    <row r="194" spans="1:49" ht="12" customHeight="1">
      <c r="A194" s="1"/>
      <c r="B194" s="1"/>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M194" s="86"/>
      <c r="AN194" s="86"/>
      <c r="AO194" s="94"/>
      <c r="AS194" s="1"/>
      <c r="AT194" s="1"/>
      <c r="AU194" s="1"/>
      <c r="AV194" s="1"/>
      <c r="AW194" s="1"/>
    </row>
    <row r="195" spans="1:49" ht="12" customHeight="1">
      <c r="A195" s="1"/>
      <c r="B195" s="1"/>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M195" s="86"/>
      <c r="AN195" s="86"/>
      <c r="AO195" s="94"/>
      <c r="AS195" s="1"/>
      <c r="AT195" s="1"/>
      <c r="AU195" s="1"/>
      <c r="AV195" s="1"/>
      <c r="AW195" s="1"/>
    </row>
    <row r="196" spans="1:49" ht="12" customHeight="1">
      <c r="A196" s="1"/>
      <c r="B196" s="1"/>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M196" s="86"/>
      <c r="AN196" s="86"/>
      <c r="AO196" s="94"/>
      <c r="AS196" s="1"/>
      <c r="AT196" s="1"/>
      <c r="AU196" s="1"/>
      <c r="AV196" s="1"/>
      <c r="AW196" s="1"/>
    </row>
    <row r="197" spans="1:49" ht="12" customHeight="1">
      <c r="A197" s="1"/>
      <c r="B197" s="1"/>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M197" s="86"/>
      <c r="AN197" s="86"/>
      <c r="AO197" s="94"/>
      <c r="AS197" s="1"/>
      <c r="AT197" s="1"/>
      <c r="AU197" s="1"/>
      <c r="AV197" s="1"/>
      <c r="AW197" s="1"/>
    </row>
    <row r="198" spans="1:49" ht="12" customHeight="1">
      <c r="A198" s="1"/>
      <c r="B198" s="1"/>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M198" s="86"/>
      <c r="AN198" s="86"/>
      <c r="AO198" s="94"/>
      <c r="AS198" s="1"/>
      <c r="AT198" s="1"/>
      <c r="AU198" s="1"/>
      <c r="AV198" s="1"/>
      <c r="AW198" s="1"/>
    </row>
    <row r="199" spans="1:49" ht="12" customHeight="1">
      <c r="A199" s="1"/>
      <c r="B199" s="1"/>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M199" s="86"/>
      <c r="AN199" s="86"/>
      <c r="AO199" s="94"/>
      <c r="AS199" s="1"/>
      <c r="AT199" s="1"/>
      <c r="AU199" s="1"/>
      <c r="AV199" s="1"/>
      <c r="AW199" s="1"/>
    </row>
    <row r="200" spans="1:49" ht="12" customHeight="1">
      <c r="A200" s="1"/>
      <c r="B200" s="1"/>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M200" s="86"/>
      <c r="AN200" s="86"/>
      <c r="AO200" s="94"/>
      <c r="AS200" s="1"/>
      <c r="AT200" s="1"/>
      <c r="AU200" s="1"/>
      <c r="AV200" s="1"/>
      <c r="AW200" s="1"/>
    </row>
    <row r="201" spans="1:49" ht="12" customHeight="1">
      <c r="A201" s="1"/>
      <c r="B201" s="1"/>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M201" s="86"/>
      <c r="AN201" s="86"/>
      <c r="AO201" s="94"/>
      <c r="AS201" s="1"/>
      <c r="AT201" s="1"/>
      <c r="AU201" s="1"/>
      <c r="AV201" s="1"/>
      <c r="AW201" s="1"/>
    </row>
    <row r="202" spans="1:49" ht="12" customHeight="1">
      <c r="A202" s="1"/>
      <c r="B202" s="1"/>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M202" s="86"/>
      <c r="AN202" s="86"/>
      <c r="AO202" s="94"/>
      <c r="AS202" s="1"/>
      <c r="AT202" s="1"/>
      <c r="AU202" s="1"/>
      <c r="AV202" s="1"/>
      <c r="AW202" s="1"/>
    </row>
    <row r="203" spans="1:49" ht="12" customHeight="1">
      <c r="A203" s="1"/>
      <c r="B203" s="1"/>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M203" s="86"/>
      <c r="AN203" s="86"/>
      <c r="AO203" s="94"/>
      <c r="AS203" s="1"/>
      <c r="AT203" s="16"/>
      <c r="AU203" s="16"/>
      <c r="AV203" s="16"/>
      <c r="AW203" s="16"/>
    </row>
    <row r="204" spans="1:49" ht="12" customHeight="1">
      <c r="A204" s="1"/>
      <c r="B204" s="1"/>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M204" s="86"/>
      <c r="AN204" s="86"/>
      <c r="AO204" s="94"/>
      <c r="AS204" s="1"/>
      <c r="AT204" s="16"/>
      <c r="AU204" s="16"/>
      <c r="AV204" s="16"/>
      <c r="AW204" s="16"/>
    </row>
    <row r="205" spans="1:49" ht="12" customHeight="1">
      <c r="A205" s="1"/>
      <c r="B205" s="1"/>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M205" s="86"/>
      <c r="AN205" s="86"/>
      <c r="AO205" s="94"/>
      <c r="AS205" s="1"/>
      <c r="AT205" s="16"/>
      <c r="AU205" s="16"/>
      <c r="AV205" s="16"/>
      <c r="AW205" s="16"/>
    </row>
    <row r="206" spans="1:49" ht="12" customHeight="1">
      <c r="A206" s="1"/>
      <c r="B206" s="1"/>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M206" s="86"/>
      <c r="AN206" s="86"/>
      <c r="AO206" s="94"/>
      <c r="AS206" s="1"/>
      <c r="AT206" s="16"/>
      <c r="AU206" s="16"/>
      <c r="AV206" s="16"/>
      <c r="AW206" s="16"/>
    </row>
    <row r="207" spans="1:49" ht="12" customHeight="1">
      <c r="A207" s="1"/>
      <c r="B207" s="1"/>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M207" s="86"/>
      <c r="AN207" s="86"/>
      <c r="AO207" s="94"/>
      <c r="AS207" s="1"/>
      <c r="AT207" s="1"/>
      <c r="AU207" s="1"/>
      <c r="AV207" s="1"/>
      <c r="AW207" s="1"/>
    </row>
    <row r="208" spans="1:49" ht="12" customHeight="1">
      <c r="A208" s="1"/>
      <c r="B208" s="1"/>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M208" s="86"/>
      <c r="AN208" s="86"/>
      <c r="AO208" s="94"/>
      <c r="AS208" s="1"/>
      <c r="AT208" s="1"/>
      <c r="AU208" s="1"/>
      <c r="AV208" s="1"/>
      <c r="AW208" s="1"/>
    </row>
    <row r="209" spans="1:49" ht="12" customHeight="1">
      <c r="A209" s="1"/>
      <c r="B209" s="1"/>
      <c r="C209" s="86"/>
      <c r="D209" s="86"/>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M209" s="86"/>
      <c r="AN209" s="86"/>
      <c r="AO209" s="94"/>
      <c r="AS209" s="1"/>
      <c r="AT209" s="1"/>
      <c r="AU209" s="1"/>
      <c r="AV209" s="1"/>
      <c r="AW209" s="1"/>
    </row>
    <row r="210" spans="1:49" ht="12" customHeight="1">
      <c r="A210" s="1"/>
      <c r="B210" s="1"/>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M210" s="86"/>
      <c r="AN210" s="86"/>
      <c r="AO210" s="94"/>
      <c r="AS210" s="1"/>
      <c r="AT210" s="1"/>
      <c r="AU210" s="1"/>
      <c r="AV210" s="1"/>
      <c r="AW210" s="1"/>
    </row>
    <row r="211" spans="1:49" s="15" customFormat="1" ht="12" customHeight="1">
      <c r="A211" s="1"/>
      <c r="B211" s="1"/>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c r="AL211" s="75"/>
      <c r="AM211" s="86"/>
      <c r="AN211" s="86"/>
      <c r="AO211" s="94"/>
      <c r="AP211"/>
      <c r="AQ211"/>
      <c r="AR211"/>
      <c r="AS211" s="1"/>
      <c r="AT211" s="1"/>
      <c r="AU211" s="1"/>
      <c r="AV211" s="1"/>
      <c r="AW211" s="1"/>
    </row>
    <row r="212" spans="1:49" s="15" customFormat="1" ht="12" customHeight="1">
      <c r="A212" s="1"/>
      <c r="B212" s="1"/>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c r="AL212" s="75"/>
      <c r="AM212" s="86"/>
      <c r="AN212" s="86"/>
      <c r="AO212" s="94"/>
      <c r="AP212"/>
      <c r="AQ212"/>
      <c r="AR212"/>
      <c r="AS212" s="1"/>
      <c r="AT212" s="1"/>
      <c r="AU212" s="1"/>
      <c r="AV212" s="1"/>
      <c r="AW212" s="1"/>
    </row>
    <row r="213" spans="1:49" s="15" customFormat="1" ht="12" customHeight="1">
      <c r="A213" s="1"/>
      <c r="B213" s="1"/>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c r="AL213" s="75"/>
      <c r="AM213" s="86"/>
      <c r="AN213" s="86"/>
      <c r="AO213" s="94"/>
      <c r="AP213"/>
      <c r="AQ213"/>
      <c r="AR213"/>
      <c r="AS213" s="1"/>
      <c r="AT213" s="1"/>
      <c r="AU213" s="1"/>
      <c r="AV213" s="1"/>
      <c r="AW213" s="1"/>
    </row>
    <row r="214" spans="1:49" s="15" customFormat="1" ht="12" customHeight="1">
      <c r="A214" s="1"/>
      <c r="B214" s="1"/>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c r="AL214" s="75"/>
      <c r="AM214" s="86"/>
      <c r="AN214" s="86"/>
      <c r="AO214" s="94"/>
      <c r="AP214"/>
      <c r="AQ214"/>
      <c r="AR214"/>
      <c r="AS214" s="1"/>
      <c r="AT214" s="1"/>
      <c r="AU214" s="1"/>
      <c r="AV214" s="1"/>
      <c r="AW214" s="1"/>
    </row>
    <row r="215" spans="1:49" ht="12" customHeight="1">
      <c r="A215" s="1"/>
      <c r="B215" s="1"/>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M215" s="86"/>
      <c r="AN215" s="86"/>
      <c r="AO215" s="94"/>
      <c r="AS215" s="1"/>
      <c r="AT215" s="1"/>
      <c r="AU215" s="1"/>
      <c r="AV215" s="1"/>
      <c r="AW215" s="1"/>
    </row>
    <row r="216" spans="1:49" ht="12" customHeight="1">
      <c r="A216" s="1"/>
      <c r="B216" s="1"/>
      <c r="C216" s="14"/>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M216" s="86"/>
      <c r="AN216" s="86"/>
      <c r="AO216" s="94"/>
      <c r="AS216" s="1"/>
      <c r="AT216" s="1"/>
      <c r="AU216" s="1"/>
      <c r="AV216" s="1"/>
      <c r="AW216" s="1"/>
    </row>
    <row r="217" spans="1:49" ht="12" customHeight="1">
      <c r="A217" s="1"/>
      <c r="B217" s="1"/>
      <c r="C217" s="14"/>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M217" s="86"/>
      <c r="AN217" s="86"/>
      <c r="AO217" s="98"/>
      <c r="AS217" s="1"/>
      <c r="AT217" s="1"/>
      <c r="AU217" s="1"/>
      <c r="AV217" s="1"/>
      <c r="AW217" s="1"/>
    </row>
    <row r="218" spans="1:49" ht="12" customHeight="1">
      <c r="A218" s="1"/>
      <c r="B218" s="1"/>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M218" s="86"/>
      <c r="AN218" s="86"/>
      <c r="AO218" s="98"/>
      <c r="AS218" s="1"/>
      <c r="AT218" s="1"/>
      <c r="AU218" s="1"/>
      <c r="AV218" s="1"/>
      <c r="AW218" s="1"/>
    </row>
    <row r="219" spans="1:49" ht="12" customHeight="1">
      <c r="A219" s="91"/>
      <c r="B219" s="91"/>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M219" s="86"/>
      <c r="AN219" s="86"/>
      <c r="AO219" s="98"/>
      <c r="AS219" s="1"/>
      <c r="AT219" s="1"/>
      <c r="AU219" s="1"/>
      <c r="AV219" s="1"/>
      <c r="AW219" s="1"/>
    </row>
    <row r="220" spans="1:49" ht="12" customHeight="1">
      <c r="A220" s="1"/>
      <c r="B220" s="1"/>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M220" s="86"/>
      <c r="AN220" s="86"/>
      <c r="AO220" s="98"/>
      <c r="AS220" s="1"/>
      <c r="AT220" s="1"/>
      <c r="AU220" s="1"/>
      <c r="AV220" s="1"/>
      <c r="AW220" s="1"/>
    </row>
    <row r="221" spans="1:49" ht="12" customHeight="1">
      <c r="A221" s="1"/>
      <c r="B221" s="1"/>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M221" s="86"/>
      <c r="AN221" s="86"/>
      <c r="AO221" s="98"/>
      <c r="AS221" s="1"/>
      <c r="AT221" s="1"/>
      <c r="AU221" s="1"/>
      <c r="AV221" s="1"/>
      <c r="AW221" s="1"/>
    </row>
    <row r="222" spans="1:49" ht="12" customHeight="1">
      <c r="A222" s="1"/>
      <c r="B222" s="1"/>
      <c r="C222" s="1"/>
      <c r="D222" s="1"/>
      <c r="E222" s="1"/>
      <c r="F222" s="1"/>
      <c r="G222" s="4"/>
      <c r="H222" s="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M222" s="86"/>
      <c r="AN222" s="86"/>
      <c r="AO222" s="98"/>
      <c r="AS222" s="1"/>
      <c r="AT222" s="1"/>
      <c r="AU222" s="1"/>
      <c r="AV222" s="1"/>
      <c r="AW222" s="1"/>
    </row>
    <row r="223" spans="1:49" ht="12" customHeight="1">
      <c r="A223" s="1"/>
      <c r="B223" s="1"/>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M223" s="86"/>
      <c r="AN223" s="86"/>
      <c r="AO223" s="98"/>
      <c r="AS223" s="1"/>
      <c r="AT223" s="1"/>
      <c r="AU223" s="1"/>
      <c r="AV223" s="1"/>
      <c r="AW223" s="1"/>
    </row>
    <row r="224" spans="1:49" ht="12" customHeight="1">
      <c r="A224" s="1"/>
      <c r="B224" s="1"/>
      <c r="C224" s="1"/>
      <c r="D224" s="1"/>
      <c r="E224" s="1"/>
      <c r="F224" s="1"/>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M224" s="86"/>
      <c r="AN224" s="86"/>
      <c r="AO224" s="98"/>
      <c r="AS224" s="1"/>
      <c r="AT224" s="1"/>
      <c r="AU224" s="1"/>
      <c r="AV224" s="1"/>
      <c r="AW224" s="1"/>
    </row>
    <row r="225" spans="1:45" ht="12" customHeight="1">
      <c r="A225" s="1"/>
      <c r="B225" s="1"/>
      <c r="C225" s="1"/>
      <c r="D225" s="1"/>
      <c r="E225" s="1"/>
      <c r="F225" s="1"/>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M225" s="86"/>
      <c r="AN225" s="86"/>
      <c r="AO225" s="98"/>
      <c r="AS225" s="16"/>
    </row>
    <row r="226" spans="1:45" ht="12" customHeight="1">
      <c r="A226" s="1"/>
      <c r="B226" s="1"/>
      <c r="C226" s="1"/>
      <c r="D226" s="1"/>
      <c r="E226" s="1"/>
      <c r="F226" s="1"/>
      <c r="G226" s="4"/>
      <c r="H226" s="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M226" s="86"/>
      <c r="AN226" s="86"/>
      <c r="AO226" s="98"/>
      <c r="AS226" s="16"/>
    </row>
    <row r="227" spans="1:45"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M227" s="86"/>
      <c r="AN227" s="86"/>
      <c r="AO227" s="98"/>
      <c r="AS227" s="16"/>
    </row>
    <row r="228" spans="1:45"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M228" s="1"/>
      <c r="AN228" s="1"/>
      <c r="AO228" s="98"/>
      <c r="AS228" s="16"/>
    </row>
    <row r="229" spans="1:45"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M229" s="1"/>
      <c r="AN229" s="1"/>
      <c r="AO229" s="98"/>
      <c r="AS229" s="1"/>
    </row>
    <row r="230" spans="1:45"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M230" s="1"/>
      <c r="AN230" s="1"/>
      <c r="AO230" s="98"/>
      <c r="AS230" s="1"/>
    </row>
    <row r="231" spans="1:45"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M231" s="1"/>
      <c r="AN231" s="1"/>
      <c r="AO231" s="98"/>
      <c r="AS231" s="1"/>
    </row>
    <row r="232" spans="1:45"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M232" s="1"/>
      <c r="AN232" s="1"/>
      <c r="AO232" s="98"/>
      <c r="AS232" s="1"/>
    </row>
    <row r="233" spans="1:45"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M233" s="1"/>
      <c r="AN233" s="1"/>
      <c r="AO233" s="98"/>
      <c r="AS233" s="1"/>
    </row>
    <row r="234" spans="1:45"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M234" s="1"/>
      <c r="AN234" s="1"/>
      <c r="AO234" s="98"/>
      <c r="AS234" s="1"/>
    </row>
    <row r="235" spans="1:45"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M235" s="1"/>
      <c r="AN235" s="1"/>
      <c r="AO235" s="98"/>
      <c r="AS235" s="1"/>
    </row>
    <row r="236" spans="1:45" ht="12" customHeight="1">
      <c r="A236" s="90"/>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M236" s="1"/>
      <c r="AN236" s="1"/>
      <c r="AO236" s="98"/>
      <c r="AS236" s="1"/>
    </row>
    <row r="237" spans="1:45"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M237" s="1"/>
      <c r="AN237" s="1"/>
      <c r="AO237" s="98"/>
      <c r="AS237" s="1"/>
    </row>
    <row r="238" spans="1:45"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M238" s="1"/>
      <c r="AN238" s="1"/>
      <c r="AO238" s="98"/>
      <c r="AS238" s="1"/>
    </row>
    <row r="239" spans="1:45"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M239" s="1"/>
      <c r="AN239" s="1"/>
      <c r="AO239" s="98"/>
      <c r="AS239" s="1"/>
    </row>
    <row r="240" spans="1:45"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M240" s="1"/>
      <c r="AN240" s="1"/>
      <c r="AO240" s="98"/>
      <c r="AS240" s="1"/>
    </row>
    <row r="241" spans="1:2" ht="12" customHeight="1">
      <c r="A241" s="1"/>
      <c r="B241" s="1"/>
    </row>
    <row r="242" spans="1:2" ht="12" customHeight="1">
      <c r="A242" s="1"/>
      <c r="B242" s="1"/>
    </row>
    <row r="243" spans="1:2" ht="12" customHeight="1">
      <c r="A243" s="1"/>
      <c r="B243" s="1"/>
    </row>
    <row r="244" spans="1:2" ht="12" customHeight="1">
      <c r="A244" s="1"/>
      <c r="B244" s="1"/>
    </row>
    <row r="245" spans="1:2" ht="12" customHeight="1">
      <c r="A245" s="92"/>
      <c r="B245" s="92"/>
    </row>
    <row r="246" spans="1:2" ht="12" customHeight="1">
      <c r="A246" s="1"/>
      <c r="B246" s="1"/>
    </row>
    <row r="247" spans="1:2" ht="12" customHeight="1">
      <c r="A247" s="1"/>
      <c r="B247" s="1"/>
    </row>
    <row r="248" spans="1:2" ht="12" customHeight="1">
      <c r="A248" s="1"/>
      <c r="B248" s="1"/>
    </row>
    <row r="249" spans="1:2" ht="12" customHeight="1">
      <c r="A249" s="1"/>
      <c r="B249" s="1"/>
    </row>
    <row r="250" spans="1:2" ht="12" customHeight="1">
      <c r="A250" s="1"/>
      <c r="B250" s="1"/>
    </row>
    <row r="251" spans="1:2" ht="12" customHeight="1">
      <c r="A251" s="1"/>
      <c r="B251" s="1"/>
    </row>
    <row r="252" spans="1:2" ht="12" customHeight="1">
      <c r="A252" s="1"/>
      <c r="B252" s="1"/>
    </row>
    <row r="253" spans="1:2" ht="12" customHeight="1">
      <c r="A253" s="1"/>
      <c r="B253" s="1"/>
    </row>
    <row r="254" spans="1:2" ht="12" customHeight="1">
      <c r="A254" s="1"/>
      <c r="B254" s="1"/>
    </row>
    <row r="255" spans="1:2" ht="12" customHeight="1">
      <c r="A255" s="1"/>
      <c r="B255" s="1"/>
    </row>
    <row r="256" spans="1:2" ht="12" customHeight="1">
      <c r="A256" s="1"/>
      <c r="B256" s="1"/>
    </row>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spans="38:45" ht="12" customHeight="1">
      <c r="AM1009" s="1"/>
      <c r="AN1009" s="1"/>
      <c r="AO1009" s="98"/>
      <c r="AS1009" s="1"/>
    </row>
    <row r="1010" spans="38:45" ht="12" customHeight="1">
      <c r="AM1010" s="1"/>
      <c r="AN1010" s="1"/>
      <c r="AO1010" s="98"/>
      <c r="AS1010" s="1"/>
    </row>
    <row r="1011" spans="38:45" ht="12" customHeight="1">
      <c r="AM1011" s="1"/>
      <c r="AN1011" s="1"/>
      <c r="AO1011" s="98"/>
      <c r="AS1011" s="1"/>
    </row>
    <row r="1012" spans="38:45" ht="12" customHeight="1">
      <c r="AM1012" s="1"/>
      <c r="AN1012" s="1"/>
      <c r="AO1012" s="98"/>
      <c r="AS1012" s="1"/>
    </row>
    <row r="1013" spans="38:45" ht="12" customHeight="1">
      <c r="AM1013" s="1"/>
      <c r="AN1013" s="1"/>
      <c r="AO1013" s="98"/>
      <c r="AS1013" s="1"/>
    </row>
    <row r="1014" spans="38:45" ht="12" customHeight="1">
      <c r="AM1014" s="1"/>
      <c r="AN1014" s="1"/>
      <c r="AO1014" s="98"/>
      <c r="AS1014" s="1"/>
    </row>
    <row r="1015" spans="38:45" ht="12" customHeight="1">
      <c r="AM1015" s="1"/>
      <c r="AN1015" s="1"/>
      <c r="AO1015" s="98"/>
      <c r="AS1015" s="1"/>
    </row>
    <row r="1016" spans="38:45" ht="12" customHeight="1">
      <c r="AM1016" s="1"/>
      <c r="AN1016" s="1"/>
      <c r="AO1016" s="98"/>
      <c r="AS1016" s="1"/>
    </row>
    <row r="1017" spans="38:45" ht="12" customHeight="1">
      <c r="AM1017" s="1"/>
      <c r="AN1017" s="1"/>
      <c r="AO1017" s="98"/>
      <c r="AS1017" s="1"/>
    </row>
    <row r="1018" spans="38:45" ht="12" customHeight="1">
      <c r="AM1018" s="1"/>
      <c r="AN1018" s="1"/>
      <c r="AO1018" s="98"/>
      <c r="AS1018" s="1"/>
    </row>
    <row r="1019" spans="38:45" ht="12" customHeight="1">
      <c r="AM1019" s="1"/>
      <c r="AN1019" s="1"/>
      <c r="AO1019" s="98"/>
      <c r="AS1019" s="1"/>
    </row>
    <row r="1020" spans="38:45" ht="12" customHeight="1">
      <c r="AM1020" s="1"/>
      <c r="AN1020" s="1"/>
      <c r="AO1020" s="98"/>
      <c r="AS1020" s="1"/>
    </row>
    <row r="1021" spans="38:45" ht="12" customHeight="1">
      <c r="AM1021" s="1"/>
      <c r="AN1021" s="1"/>
      <c r="AO1021" s="98"/>
      <c r="AS1021" s="1"/>
    </row>
    <row r="1022" spans="38:45" ht="12" customHeight="1">
      <c r="AL1022" s="919" t="s">
        <v>293</v>
      </c>
      <c r="AM1022" s="1285" t="s">
        <v>294</v>
      </c>
      <c r="AN1022" s="1286"/>
      <c r="AO1022" s="863"/>
      <c r="AP1022" s="1287"/>
      <c r="AQ1022" s="863"/>
      <c r="AR1022" s="864">
        <v>2.9999999999999997E-4</v>
      </c>
      <c r="AS1022" s="863" t="s">
        <v>1276</v>
      </c>
    </row>
    <row r="1023" spans="38:45" ht="12" customHeight="1">
      <c r="AL1023" s="919" t="s">
        <v>1310</v>
      </c>
      <c r="AM1023" s="1285"/>
      <c r="AN1023" s="1286"/>
      <c r="AO1023" s="863"/>
      <c r="AP1023" s="1287"/>
      <c r="AQ1023" s="863"/>
      <c r="AR1023" s="864"/>
      <c r="AS1023" s="863"/>
    </row>
    <row r="1024" spans="38:45" ht="12" customHeight="1">
      <c r="AL1024" s="919" t="s">
        <v>295</v>
      </c>
      <c r="AM1024" s="1285" t="s">
        <v>296</v>
      </c>
      <c r="AN1024" s="1286"/>
      <c r="AO1024" s="863"/>
      <c r="AP1024" s="1287"/>
      <c r="AQ1024" s="863"/>
      <c r="AR1024" s="864">
        <v>2.0000000000000002E-5</v>
      </c>
      <c r="AS1024" s="863" t="s">
        <v>1280</v>
      </c>
    </row>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sheetData>
  <sheetProtection algorithmName="SHA-512" hashValue="RtQbREtZG++3RiCLOo57qfUD2eDNIM7ED8Nm+h+u9bKN/PQZTkHZoeKMFJPHjnoqvSGyr6KEQ0v/dsdD1Va1ig==" saltValue="MQzF4E4I8R1AhIiA7swWKg==" spinCount="100000" sheet="1" sort="0" autoFilter="0"/>
  <autoFilter ref="A5:B176" xr:uid="{0E7BA7A4-3EA9-40DC-A685-CD9AB0D2D73D}"/>
  <mergeCells count="8">
    <mergeCell ref="AS4:AS5"/>
    <mergeCell ref="AJ4:AK4"/>
    <mergeCell ref="AL4:AR4"/>
    <mergeCell ref="A4:B4"/>
    <mergeCell ref="C4:K4"/>
    <mergeCell ref="L4:S4"/>
    <mergeCell ref="T4:AA4"/>
    <mergeCell ref="AB4:AI4"/>
  </mergeCells>
  <phoneticPr fontId="5" type="noConversion"/>
  <pageMargins left="0.7" right="0.7" top="0.75" bottom="0.75" header="0.3" footer="0.3"/>
  <pageSetup scale="18" fitToHeight="0" orientation="landscape" r:id="rId1"/>
  <headerFooter>
    <oddFooter>&amp;C&amp;P of &amp;N&amp;R&amp;A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pageSetUpPr fitToPage="1"/>
  </sheetPr>
  <dimension ref="A1:K115"/>
  <sheetViews>
    <sheetView showGridLines="0" zoomScale="140" zoomScaleNormal="140" workbookViewId="0">
      <selection activeCell="B2" sqref="B2"/>
    </sheetView>
  </sheetViews>
  <sheetFormatPr defaultColWidth="8.85546875" defaultRowHeight="12.75"/>
  <cols>
    <col min="1" max="1" width="1.85546875" style="4" customWidth="1"/>
    <col min="2" max="2" width="26.85546875" style="98" customWidth="1"/>
    <col min="3" max="3" width="43.140625" style="98" customWidth="1"/>
    <col min="4" max="4" width="13.42578125" style="98" customWidth="1"/>
    <col min="5" max="5" width="17.5703125" style="98" bestFit="1" customWidth="1"/>
    <col min="6" max="6" width="12.42578125" style="98" customWidth="1"/>
    <col min="7" max="7" width="18.5703125" style="96" customWidth="1"/>
    <col min="8" max="8" width="17.42578125" style="4" hidden="1" customWidth="1"/>
    <col min="9" max="10" width="13.28515625" style="4" bestFit="1" customWidth="1"/>
    <col min="11" max="11" width="13" style="4" customWidth="1"/>
    <col min="12" max="12" width="0.85546875" style="4" customWidth="1"/>
    <col min="13" max="16384" width="8.85546875" style="4"/>
  </cols>
  <sheetData>
    <row r="1" spans="1:8" ht="27.75" customHeight="1" thickBot="1">
      <c r="B1" s="2842" t="s">
        <v>1311</v>
      </c>
      <c r="C1" s="2842"/>
      <c r="D1" s="2842"/>
      <c r="E1" s="2842"/>
      <c r="F1" s="2842"/>
      <c r="G1" s="2842"/>
      <c r="H1" s="22"/>
    </row>
    <row r="2" spans="1:8" ht="18" customHeight="1" thickTop="1" thickBot="1">
      <c r="A2" s="275"/>
      <c r="B2" s="2127" t="str">
        <f>Update</f>
        <v>2025 (Rev 4)</v>
      </c>
      <c r="C2" s="2840" t="s">
        <v>1312</v>
      </c>
      <c r="D2" s="2840"/>
      <c r="E2" s="2840"/>
      <c r="F2" s="2840"/>
      <c r="G2" s="2841"/>
    </row>
    <row r="3" spans="1:8" s="549" customFormat="1" ht="16.5" customHeight="1" thickBot="1">
      <c r="B3" s="2128" t="s">
        <v>1313</v>
      </c>
      <c r="C3" s="545" t="s">
        <v>1314</v>
      </c>
      <c r="D3" s="546" t="s">
        <v>1315</v>
      </c>
      <c r="E3" s="546" t="s">
        <v>1316</v>
      </c>
      <c r="F3" s="547" t="s">
        <v>1317</v>
      </c>
      <c r="G3" s="544" t="s">
        <v>699</v>
      </c>
    </row>
    <row r="4" spans="1:8" ht="25.5">
      <c r="B4" s="2019" t="s">
        <v>1318</v>
      </c>
      <c r="C4" s="543" t="s">
        <v>692</v>
      </c>
      <c r="D4" s="105" t="s">
        <v>1319</v>
      </c>
      <c r="E4" s="105" t="s">
        <v>835</v>
      </c>
      <c r="F4" s="502">
        <v>1</v>
      </c>
      <c r="G4" s="413" t="s">
        <v>1320</v>
      </c>
      <c r="H4" s="22"/>
    </row>
    <row r="5" spans="1:8" ht="25.5">
      <c r="B5" s="542" t="s">
        <v>1321</v>
      </c>
      <c r="C5" s="1976" t="s">
        <v>387</v>
      </c>
      <c r="D5" s="101" t="s">
        <v>1322</v>
      </c>
      <c r="E5" s="101" t="s">
        <v>835</v>
      </c>
      <c r="F5" s="498">
        <v>9.9999999999999995E-7</v>
      </c>
      <c r="G5" s="504" t="s">
        <v>1320</v>
      </c>
    </row>
    <row r="6" spans="1:8">
      <c r="B6" s="2843" t="s">
        <v>1323</v>
      </c>
      <c r="C6" s="548" t="s">
        <v>1324</v>
      </c>
      <c r="D6" s="416" t="s">
        <v>1325</v>
      </c>
      <c r="E6" s="416" t="s">
        <v>1326</v>
      </c>
      <c r="F6" s="496">
        <v>15</v>
      </c>
      <c r="G6" s="413" t="s">
        <v>1327</v>
      </c>
      <c r="H6" s="22"/>
    </row>
    <row r="7" spans="1:8">
      <c r="B7" s="2844"/>
      <c r="C7" s="987" t="s">
        <v>1328</v>
      </c>
      <c r="D7" s="983" t="s">
        <v>1329</v>
      </c>
      <c r="E7" s="983" t="s">
        <v>1326</v>
      </c>
      <c r="F7" s="987">
        <v>80</v>
      </c>
      <c r="G7" s="989" t="s">
        <v>1330</v>
      </c>
      <c r="H7" s="22"/>
    </row>
    <row r="8" spans="1:8">
      <c r="B8" s="2845"/>
      <c r="C8" s="543" t="s">
        <v>1331</v>
      </c>
      <c r="D8" s="105" t="s">
        <v>1332</v>
      </c>
      <c r="E8" s="105" t="s">
        <v>1326</v>
      </c>
      <c r="F8" s="497">
        <v>80</v>
      </c>
      <c r="G8" s="413" t="s">
        <v>1330</v>
      </c>
      <c r="H8" s="22"/>
    </row>
    <row r="9" spans="1:8" ht="25.5">
      <c r="B9" s="2019" t="s">
        <v>1333</v>
      </c>
      <c r="C9" s="543" t="s">
        <v>1334</v>
      </c>
      <c r="D9" s="105" t="s">
        <v>1335</v>
      </c>
      <c r="E9" s="105" t="s">
        <v>1336</v>
      </c>
      <c r="F9" s="497">
        <v>70</v>
      </c>
      <c r="G9" s="504" t="s">
        <v>1320</v>
      </c>
      <c r="H9" s="22"/>
    </row>
    <row r="10" spans="1:8">
      <c r="B10" s="2843" t="s">
        <v>1337</v>
      </c>
      <c r="C10" s="548" t="s">
        <v>1338</v>
      </c>
      <c r="D10" s="416" t="s">
        <v>1339</v>
      </c>
      <c r="E10" s="416" t="s">
        <v>1340</v>
      </c>
      <c r="F10" s="496">
        <v>350</v>
      </c>
      <c r="G10" s="413" t="s">
        <v>1327</v>
      </c>
      <c r="H10" s="1280">
        <f>(F16+EDc)*EFr*ETr*60*60</f>
        <v>786240000</v>
      </c>
    </row>
    <row r="11" spans="1:8">
      <c r="B11" s="2844"/>
      <c r="C11" s="987" t="s">
        <v>1341</v>
      </c>
      <c r="D11" s="983" t="s">
        <v>1342</v>
      </c>
      <c r="E11" s="983" t="s">
        <v>1340</v>
      </c>
      <c r="F11" s="987">
        <v>250</v>
      </c>
      <c r="G11" s="989" t="s">
        <v>1327</v>
      </c>
      <c r="H11" s="1280">
        <f>EDci*EFci*ETw*60*60</f>
        <v>180000000</v>
      </c>
    </row>
    <row r="12" spans="1:8">
      <c r="B12" s="2845"/>
      <c r="C12" s="543" t="s">
        <v>1331</v>
      </c>
      <c r="D12" s="105" t="s">
        <v>1343</v>
      </c>
      <c r="E12" s="105" t="s">
        <v>1340</v>
      </c>
      <c r="F12" s="497">
        <v>250</v>
      </c>
      <c r="G12" s="413" t="s">
        <v>1344</v>
      </c>
      <c r="H12" s="1280">
        <f>EDct*EFci*ETw*60*60</f>
        <v>7200000</v>
      </c>
    </row>
    <row r="13" spans="1:8">
      <c r="B13" s="2843" t="s">
        <v>1345</v>
      </c>
      <c r="C13" s="984" t="s">
        <v>1338</v>
      </c>
      <c r="D13" s="985" t="s">
        <v>1346</v>
      </c>
      <c r="E13" s="985" t="s">
        <v>1347</v>
      </c>
      <c r="F13" s="991">
        <v>24</v>
      </c>
      <c r="G13" s="986" t="s">
        <v>1348</v>
      </c>
    </row>
    <row r="14" spans="1:8">
      <c r="B14" s="2845"/>
      <c r="C14" s="543" t="s">
        <v>1349</v>
      </c>
      <c r="D14" s="105" t="s">
        <v>1350</v>
      </c>
      <c r="E14" s="105" t="s">
        <v>1347</v>
      </c>
      <c r="F14" s="500">
        <v>8</v>
      </c>
      <c r="G14" s="414" t="s">
        <v>1351</v>
      </c>
      <c r="H14" s="22"/>
    </row>
    <row r="15" spans="1:8">
      <c r="B15" s="2843" t="s">
        <v>1352</v>
      </c>
      <c r="C15" s="548" t="s">
        <v>1353</v>
      </c>
      <c r="D15" s="416" t="s">
        <v>1354</v>
      </c>
      <c r="E15" s="416" t="s">
        <v>1336</v>
      </c>
      <c r="F15" s="499">
        <v>6</v>
      </c>
      <c r="G15" s="413" t="s">
        <v>1327</v>
      </c>
      <c r="H15" s="22"/>
    </row>
    <row r="16" spans="1:8">
      <c r="B16" s="2844"/>
      <c r="C16" s="987" t="s">
        <v>1355</v>
      </c>
      <c r="D16" s="983" t="s">
        <v>1356</v>
      </c>
      <c r="E16" s="983" t="s">
        <v>1336</v>
      </c>
      <c r="F16" s="988">
        <v>20</v>
      </c>
      <c r="G16" s="989" t="s">
        <v>1330</v>
      </c>
      <c r="H16" s="22"/>
    </row>
    <row r="17" spans="2:11">
      <c r="B17" s="2844"/>
      <c r="C17" s="987" t="s">
        <v>1341</v>
      </c>
      <c r="D17" s="983" t="s">
        <v>1357</v>
      </c>
      <c r="E17" s="983" t="s">
        <v>1336</v>
      </c>
      <c r="F17" s="988">
        <v>25</v>
      </c>
      <c r="G17" s="989" t="s">
        <v>1327</v>
      </c>
      <c r="H17" s="22"/>
    </row>
    <row r="18" spans="2:11" ht="13.5" thickBot="1">
      <c r="B18" s="2847"/>
      <c r="C18" s="384" t="s">
        <v>1331</v>
      </c>
      <c r="D18" s="411" t="s">
        <v>1358</v>
      </c>
      <c r="E18" s="411" t="s">
        <v>1336</v>
      </c>
      <c r="F18" s="501">
        <v>1</v>
      </c>
      <c r="G18" s="415" t="s">
        <v>1344</v>
      </c>
      <c r="H18" s="22"/>
    </row>
    <row r="19" spans="2:11" ht="18.75" customHeight="1" thickTop="1" thickBot="1">
      <c r="B19" s="2015"/>
      <c r="C19" s="107"/>
      <c r="D19" s="107"/>
      <c r="E19" s="107"/>
      <c r="F19" s="107"/>
      <c r="G19" s="503"/>
      <c r="H19" s="22"/>
    </row>
    <row r="20" spans="2:11" ht="16.5" thickTop="1" thickBot="1">
      <c r="B20" s="2849" t="s">
        <v>1359</v>
      </c>
      <c r="C20" s="2849"/>
      <c r="D20" s="2849"/>
      <c r="E20" s="2849"/>
      <c r="F20" s="2849"/>
      <c r="G20" s="2850"/>
      <c r="H20" s="349"/>
    </row>
    <row r="21" spans="2:11" s="549" customFormat="1" ht="16.5" customHeight="1" thickBot="1">
      <c r="B21" s="541" t="s">
        <v>1313</v>
      </c>
      <c r="C21" s="545" t="s">
        <v>1314</v>
      </c>
      <c r="D21" s="546" t="s">
        <v>1315</v>
      </c>
      <c r="E21" s="546" t="s">
        <v>1316</v>
      </c>
      <c r="F21" s="547" t="s">
        <v>1317</v>
      </c>
      <c r="G21" s="544" t="s">
        <v>699</v>
      </c>
    </row>
    <row r="22" spans="2:11" ht="14.25">
      <c r="B22" s="2846" t="s">
        <v>1360</v>
      </c>
      <c r="C22" s="96" t="s">
        <v>1355</v>
      </c>
      <c r="D22" s="412" t="s">
        <v>1361</v>
      </c>
      <c r="E22" s="412" t="s">
        <v>1362</v>
      </c>
      <c r="F22" s="560">
        <v>6032</v>
      </c>
      <c r="G22" s="413" t="s">
        <v>1363</v>
      </c>
      <c r="H22" s="550"/>
      <c r="I22" s="97"/>
    </row>
    <row r="23" spans="2:11" ht="14.25">
      <c r="B23" s="2844"/>
      <c r="C23" s="987" t="s">
        <v>1353</v>
      </c>
      <c r="D23" s="983" t="s">
        <v>1364</v>
      </c>
      <c r="E23" s="983" t="s">
        <v>1362</v>
      </c>
      <c r="F23" s="990">
        <v>2373</v>
      </c>
      <c r="G23" s="989" t="s">
        <v>1363</v>
      </c>
    </row>
    <row r="24" spans="2:11" ht="14.25">
      <c r="B24" s="2844"/>
      <c r="C24" s="987" t="s">
        <v>1341</v>
      </c>
      <c r="D24" s="983" t="s">
        <v>1365</v>
      </c>
      <c r="E24" s="983" t="s">
        <v>1362</v>
      </c>
      <c r="F24" s="990">
        <v>3527</v>
      </c>
      <c r="G24" s="413" t="s">
        <v>1363</v>
      </c>
      <c r="H24" s="22"/>
    </row>
    <row r="25" spans="2:11" ht="14.25">
      <c r="B25" s="2845"/>
      <c r="C25" s="543" t="s">
        <v>1331</v>
      </c>
      <c r="D25" s="105" t="s">
        <v>1366</v>
      </c>
      <c r="E25" s="105" t="s">
        <v>1362</v>
      </c>
      <c r="F25" s="559">
        <v>3527</v>
      </c>
      <c r="G25" s="989" t="s">
        <v>1363</v>
      </c>
    </row>
    <row r="26" spans="2:11" s="97" customFormat="1" ht="14.25">
      <c r="B26" s="2843" t="s">
        <v>1367</v>
      </c>
      <c r="C26" s="984" t="s">
        <v>1328</v>
      </c>
      <c r="D26" s="985" t="s">
        <v>1368</v>
      </c>
      <c r="E26" s="985" t="s">
        <v>1362</v>
      </c>
      <c r="F26" s="1824">
        <v>19652</v>
      </c>
      <c r="G26" s="986" t="s">
        <v>1363</v>
      </c>
    </row>
    <row r="27" spans="2:11" s="97" customFormat="1" ht="14.25">
      <c r="B27" s="2845"/>
      <c r="C27" s="543" t="s">
        <v>1369</v>
      </c>
      <c r="D27" s="105" t="s">
        <v>1370</v>
      </c>
      <c r="E27" s="105" t="s">
        <v>1362</v>
      </c>
      <c r="F27" s="559">
        <v>6365</v>
      </c>
      <c r="G27" s="414" t="s">
        <v>1363</v>
      </c>
    </row>
    <row r="28" spans="2:11" ht="14.25">
      <c r="B28" s="2843" t="s">
        <v>1371</v>
      </c>
      <c r="C28" s="96" t="s">
        <v>1372</v>
      </c>
      <c r="D28" s="1825" t="s">
        <v>1373</v>
      </c>
      <c r="E28" s="1825" t="s">
        <v>1374</v>
      </c>
      <c r="F28" s="1826">
        <v>7.0000000000000007E-2</v>
      </c>
      <c r="G28" s="413" t="s">
        <v>1363</v>
      </c>
    </row>
    <row r="29" spans="2:11" ht="14.25">
      <c r="B29" s="2844"/>
      <c r="C29" s="987" t="s">
        <v>1353</v>
      </c>
      <c r="D29" s="983" t="s">
        <v>1375</v>
      </c>
      <c r="E29" s="983" t="s">
        <v>1374</v>
      </c>
      <c r="F29" s="987">
        <v>0.2</v>
      </c>
      <c r="G29" s="989" t="s">
        <v>1363</v>
      </c>
    </row>
    <row r="30" spans="2:11" ht="14.25">
      <c r="B30" s="2844"/>
      <c r="C30" s="987" t="s">
        <v>1341</v>
      </c>
      <c r="D30" s="983" t="s">
        <v>1376</v>
      </c>
      <c r="E30" s="983" t="s">
        <v>1374</v>
      </c>
      <c r="F30" s="987">
        <v>0.12</v>
      </c>
      <c r="G30" s="989" t="s">
        <v>1363</v>
      </c>
    </row>
    <row r="31" spans="2:11" ht="14.25">
      <c r="B31" s="2845"/>
      <c r="C31" s="543" t="s">
        <v>1331</v>
      </c>
      <c r="D31" s="105" t="s">
        <v>1377</v>
      </c>
      <c r="E31" s="105" t="s">
        <v>1374</v>
      </c>
      <c r="F31" s="497">
        <v>0.3</v>
      </c>
      <c r="G31" s="413" t="s">
        <v>1344</v>
      </c>
    </row>
    <row r="32" spans="2:11">
      <c r="B32" s="2843" t="s">
        <v>1378</v>
      </c>
      <c r="C32" s="96" t="s">
        <v>1379</v>
      </c>
      <c r="D32" s="1825" t="s">
        <v>1380</v>
      </c>
      <c r="E32" s="1825" t="s">
        <v>1381</v>
      </c>
      <c r="F32" s="1827">
        <v>100</v>
      </c>
      <c r="G32" s="1828" t="s">
        <v>1363</v>
      </c>
      <c r="K32" s="5"/>
    </row>
    <row r="33" spans="2:11">
      <c r="B33" s="2844"/>
      <c r="C33" s="987" t="s">
        <v>1353</v>
      </c>
      <c r="D33" s="983" t="s">
        <v>1382</v>
      </c>
      <c r="E33" s="983" t="s">
        <v>1381</v>
      </c>
      <c r="F33" s="988">
        <v>200</v>
      </c>
      <c r="G33" s="989" t="s">
        <v>1363</v>
      </c>
      <c r="K33" s="5"/>
    </row>
    <row r="34" spans="2:11">
      <c r="B34" s="2844"/>
      <c r="C34" s="987" t="s">
        <v>1341</v>
      </c>
      <c r="D34" s="983" t="s">
        <v>1383</v>
      </c>
      <c r="E34" s="983" t="s">
        <v>1381</v>
      </c>
      <c r="F34" s="988">
        <v>100</v>
      </c>
      <c r="G34" s="989" t="s">
        <v>1363</v>
      </c>
      <c r="H34" s="551"/>
    </row>
    <row r="35" spans="2:11">
      <c r="B35" s="2845"/>
      <c r="C35" s="543" t="s">
        <v>1331</v>
      </c>
      <c r="D35" s="105" t="s">
        <v>1384</v>
      </c>
      <c r="E35" s="105" t="s">
        <v>1381</v>
      </c>
      <c r="F35" s="500">
        <v>330</v>
      </c>
      <c r="G35" s="414" t="s">
        <v>1344</v>
      </c>
      <c r="K35" s="5"/>
    </row>
    <row r="36" spans="2:11">
      <c r="B36" s="2843" t="s">
        <v>1385</v>
      </c>
      <c r="C36" s="984" t="s">
        <v>89</v>
      </c>
      <c r="D36" s="985" t="s">
        <v>1386</v>
      </c>
      <c r="E36" s="985" t="s">
        <v>835</v>
      </c>
      <c r="F36" s="1829">
        <v>0.6</v>
      </c>
      <c r="G36" s="986" t="s">
        <v>1387</v>
      </c>
      <c r="K36" s="5"/>
    </row>
    <row r="37" spans="2:11">
      <c r="B37" s="2845"/>
      <c r="C37" s="543" t="s">
        <v>1388</v>
      </c>
      <c r="D37" s="105" t="s">
        <v>1389</v>
      </c>
      <c r="E37" s="105" t="s">
        <v>835</v>
      </c>
      <c r="F37" s="1830">
        <v>1</v>
      </c>
      <c r="G37" s="413" t="s">
        <v>1387</v>
      </c>
      <c r="K37" s="5"/>
    </row>
    <row r="38" spans="2:11">
      <c r="B38" s="2843" t="s">
        <v>1390</v>
      </c>
      <c r="C38" s="984" t="s">
        <v>1369</v>
      </c>
      <c r="D38" s="985" t="s">
        <v>1391</v>
      </c>
      <c r="E38" s="985" t="s">
        <v>1392</v>
      </c>
      <c r="F38" s="1829">
        <v>0.78</v>
      </c>
      <c r="G38" s="986" t="s">
        <v>1363</v>
      </c>
      <c r="H38" s="5"/>
    </row>
    <row r="39" spans="2:11">
      <c r="B39" s="2845"/>
      <c r="C39" s="543" t="s">
        <v>1328</v>
      </c>
      <c r="D39" s="105" t="s">
        <v>1393</v>
      </c>
      <c r="E39" s="105" t="s">
        <v>1392</v>
      </c>
      <c r="F39" s="1830">
        <v>2.5</v>
      </c>
      <c r="G39" s="413" t="s">
        <v>1363</v>
      </c>
      <c r="H39" s="5"/>
    </row>
    <row r="40" spans="2:11" ht="12.75" customHeight="1">
      <c r="B40" s="2843" t="s">
        <v>1394</v>
      </c>
      <c r="C40" s="984" t="s">
        <v>1369</v>
      </c>
      <c r="D40" s="985" t="s">
        <v>1395</v>
      </c>
      <c r="E40" s="985" t="s">
        <v>1396</v>
      </c>
      <c r="F40" s="1829">
        <v>0.54</v>
      </c>
      <c r="G40" s="986" t="s">
        <v>1363</v>
      </c>
      <c r="H40" s="5"/>
    </row>
    <row r="41" spans="2:11" ht="13.7" customHeight="1">
      <c r="B41" s="2844"/>
      <c r="C41" s="1831" t="s">
        <v>1328</v>
      </c>
      <c r="D41" s="1831" t="s">
        <v>1397</v>
      </c>
      <c r="E41" s="1831" t="s">
        <v>1396</v>
      </c>
      <c r="F41" s="1832">
        <v>0.71</v>
      </c>
      <c r="G41" s="1833" t="s">
        <v>1363</v>
      </c>
      <c r="H41" s="5"/>
    </row>
    <row r="42" spans="2:11" ht="12.75" customHeight="1">
      <c r="B42" s="2843" t="s">
        <v>1404</v>
      </c>
      <c r="C42" s="984" t="s">
        <v>1405</v>
      </c>
      <c r="D42" s="985" t="s">
        <v>1406</v>
      </c>
      <c r="E42" s="985" t="s">
        <v>1407</v>
      </c>
      <c r="F42" s="1829">
        <v>68.180000000000007</v>
      </c>
      <c r="G42" s="986" t="s">
        <v>1344</v>
      </c>
      <c r="H42" s="5"/>
    </row>
    <row r="43" spans="2:11" ht="12.75" customHeight="1">
      <c r="B43" s="2845"/>
      <c r="C43" s="105" t="s">
        <v>1331</v>
      </c>
      <c r="D43" s="1838" t="s">
        <v>1408</v>
      </c>
      <c r="E43" s="1831" t="s">
        <v>1407</v>
      </c>
      <c r="F43" s="96">
        <v>14.31</v>
      </c>
      <c r="G43" s="1839" t="s">
        <v>1344</v>
      </c>
      <c r="H43" s="5"/>
    </row>
    <row r="44" spans="2:11" ht="13.7" customHeight="1">
      <c r="B44" s="2843" t="s">
        <v>1409</v>
      </c>
      <c r="C44" s="416" t="s">
        <v>1338</v>
      </c>
      <c r="D44" s="416" t="s">
        <v>1410</v>
      </c>
      <c r="E44" s="416" t="s">
        <v>1411</v>
      </c>
      <c r="F44" s="1840">
        <v>1360000000</v>
      </c>
      <c r="G44" s="1841" t="s">
        <v>1344</v>
      </c>
      <c r="H44" s="5"/>
    </row>
    <row r="45" spans="2:11" ht="13.7" customHeight="1">
      <c r="B45" s="2844"/>
      <c r="C45" s="983" t="s">
        <v>1341</v>
      </c>
      <c r="D45" s="983" t="s">
        <v>1412</v>
      </c>
      <c r="E45" s="983" t="s">
        <v>1411</v>
      </c>
      <c r="F45" s="1842">
        <v>1360000000</v>
      </c>
      <c r="G45" s="1839" t="s">
        <v>1344</v>
      </c>
      <c r="H45" s="5"/>
    </row>
    <row r="46" spans="2:11" ht="15" thickBot="1">
      <c r="B46" s="2847"/>
      <c r="C46" s="411" t="s">
        <v>1331</v>
      </c>
      <c r="D46" s="411" t="s">
        <v>1413</v>
      </c>
      <c r="E46" s="411" t="s">
        <v>1411</v>
      </c>
      <c r="F46" s="1843">
        <v>1050000</v>
      </c>
      <c r="G46" s="1844" t="s">
        <v>1344</v>
      </c>
    </row>
    <row r="47" spans="2:11" ht="14.25" thickTop="1" thickBot="1">
      <c r="G47" s="384"/>
    </row>
    <row r="48" spans="2:11" ht="16.5" thickTop="1" thickBot="1">
      <c r="B48" s="2848" t="s">
        <v>1414</v>
      </c>
      <c r="C48" s="2849"/>
      <c r="D48" s="2849"/>
      <c r="E48" s="2849"/>
      <c r="F48" s="2849"/>
      <c r="G48" s="2850"/>
    </row>
    <row r="49" spans="2:10" ht="18" customHeight="1" thickBot="1">
      <c r="B49" s="1845" t="s">
        <v>1313</v>
      </c>
      <c r="C49" s="1846" t="s">
        <v>1314</v>
      </c>
      <c r="D49" s="1847" t="s">
        <v>1315</v>
      </c>
      <c r="E49" s="1847" t="s">
        <v>1316</v>
      </c>
      <c r="F49" s="1848" t="s">
        <v>1317</v>
      </c>
      <c r="G49" s="1849" t="s">
        <v>699</v>
      </c>
    </row>
    <row r="50" spans="2:10" ht="21" customHeight="1">
      <c r="B50" s="2020" t="s">
        <v>1415</v>
      </c>
      <c r="C50" s="1850" t="s">
        <v>1416</v>
      </c>
      <c r="D50" s="412" t="s">
        <v>1417</v>
      </c>
      <c r="E50" s="412" t="s">
        <v>1336</v>
      </c>
      <c r="F50" s="1851">
        <v>26</v>
      </c>
      <c r="G50" s="413" t="s">
        <v>1418</v>
      </c>
    </row>
    <row r="51" spans="2:10" ht="25.5">
      <c r="B51" s="1852" t="s">
        <v>1419</v>
      </c>
      <c r="C51" s="1853" t="s">
        <v>1420</v>
      </c>
      <c r="D51" s="983" t="s">
        <v>1421</v>
      </c>
      <c r="E51" s="983" t="s">
        <v>1396</v>
      </c>
      <c r="F51" s="1854">
        <f xml:space="preserve"> ((ETwc*EDc)+(ETwa*(EDr-EDc)))/EDr</f>
        <v>0.67076923076923067</v>
      </c>
      <c r="G51" s="989" t="s">
        <v>1418</v>
      </c>
    </row>
    <row r="52" spans="2:10" ht="38.25">
      <c r="B52" s="1852" t="s">
        <v>1422</v>
      </c>
      <c r="C52" s="987" t="s">
        <v>1423</v>
      </c>
      <c r="D52" s="983" t="s">
        <v>1424</v>
      </c>
      <c r="E52" s="983" t="s">
        <v>1425</v>
      </c>
      <c r="F52" s="988">
        <f>(EFr*EDc*IRWc/BWc)+(EFr*(EDr-EDc)*IRWa/BWa)</f>
        <v>327.95</v>
      </c>
      <c r="G52" s="989" t="s">
        <v>1418</v>
      </c>
      <c r="J52" s="5"/>
    </row>
    <row r="53" spans="2:10" ht="39" thickBot="1">
      <c r="B53" s="1852" t="s">
        <v>1426</v>
      </c>
      <c r="C53" s="987" t="s">
        <v>1427</v>
      </c>
      <c r="D53" s="983" t="s">
        <v>1428</v>
      </c>
      <c r="E53" s="983" t="s">
        <v>1429</v>
      </c>
      <c r="F53" s="990">
        <f>(EFr*EDc*IRSc/BWc)+(EFr*(EDr-EDc)*IRSa/BWa)</f>
        <v>36750</v>
      </c>
      <c r="G53" s="989" t="s">
        <v>1418</v>
      </c>
    </row>
    <row r="54" spans="2:10" ht="25.5">
      <c r="B54" s="1852" t="s">
        <v>1430</v>
      </c>
      <c r="C54" s="1853" t="s">
        <v>1431</v>
      </c>
      <c r="D54" s="983" t="s">
        <v>1432</v>
      </c>
      <c r="E54" s="983" t="s">
        <v>1433</v>
      </c>
      <c r="F54" s="990">
        <f>(EFr*EDc*SAwc/BWc)+(EFr*(EDr-EDc)*SAwa/BWa)</f>
        <v>2610650</v>
      </c>
      <c r="G54" s="989" t="s">
        <v>1418</v>
      </c>
    </row>
    <row r="55" spans="2:10" ht="25.5">
      <c r="B55" s="2021" t="s">
        <v>1434</v>
      </c>
      <c r="C55" s="384" t="s">
        <v>1435</v>
      </c>
      <c r="D55" s="411" t="s">
        <v>1436</v>
      </c>
      <c r="E55" s="411" t="s">
        <v>1429</v>
      </c>
      <c r="F55" s="1855">
        <f>(EFr*EDc*SAc*AdFc/BWc)+(EFr*(EDr-EDc)*SAa*AdFa/BWa)</f>
        <v>103390</v>
      </c>
      <c r="G55" s="415" t="s">
        <v>1418</v>
      </c>
    </row>
    <row r="56" spans="2:10" ht="14.25" thickTop="1" thickBot="1">
      <c r="B56" s="1856"/>
      <c r="C56" s="1856"/>
      <c r="D56" s="1857"/>
      <c r="E56" s="96"/>
      <c r="F56" s="96"/>
      <c r="G56" s="1858"/>
    </row>
    <row r="57" spans="2:10" ht="25.5" customHeight="1" thickTop="1" thickBot="1">
      <c r="B57" s="2851" t="s">
        <v>1437</v>
      </c>
      <c r="C57" s="2852"/>
      <c r="D57" s="2852"/>
      <c r="E57" s="2852"/>
      <c r="F57" s="2852"/>
      <c r="G57" s="2853"/>
    </row>
    <row r="58" spans="2:10" ht="15.75" customHeight="1" thickBot="1">
      <c r="B58" s="1845" t="s">
        <v>1313</v>
      </c>
      <c r="C58" s="1846" t="s">
        <v>1314</v>
      </c>
      <c r="D58" s="1847" t="s">
        <v>1315</v>
      </c>
      <c r="E58" s="1847" t="s">
        <v>1316</v>
      </c>
      <c r="F58" s="1848" t="s">
        <v>1317</v>
      </c>
      <c r="G58" s="1849" t="s">
        <v>699</v>
      </c>
    </row>
    <row r="59" spans="2:10" ht="25.5">
      <c r="B59" s="2018" t="s">
        <v>1438</v>
      </c>
      <c r="C59" s="96" t="s">
        <v>1439</v>
      </c>
      <c r="D59" s="1825" t="s">
        <v>1440</v>
      </c>
      <c r="E59" s="1825" t="s">
        <v>1441</v>
      </c>
      <c r="F59" s="1859">
        <f>(ETr/24*EFr*2*10)+(ETr/24*EFr*4*3)+(ETr/24*EFr*10*3)+(ETr/24*EFr*10*1)</f>
        <v>25200</v>
      </c>
      <c r="G59" s="413" t="s">
        <v>1418</v>
      </c>
    </row>
    <row r="60" spans="2:10" ht="38.25">
      <c r="B60" s="1852" t="s">
        <v>1442</v>
      </c>
      <c r="C60" s="1853" t="s">
        <v>1443</v>
      </c>
      <c r="D60" s="983" t="s">
        <v>1444</v>
      </c>
      <c r="E60" s="983" t="s">
        <v>1425</v>
      </c>
      <c r="F60" s="990">
        <f>(EFr*2*IRWc*10/BWc)+(EFr*4*IRWc*3/BWc)+(EFr*10*IRWa*3/BWa)+(EFr*10*IRWa*1/BWa)</f>
        <v>1019.9</v>
      </c>
      <c r="G60" s="989" t="s">
        <v>1418</v>
      </c>
    </row>
    <row r="61" spans="2:10" ht="38.25">
      <c r="B61" s="1852" t="s">
        <v>1445</v>
      </c>
      <c r="C61" s="1853" t="s">
        <v>1446</v>
      </c>
      <c r="D61" s="983" t="s">
        <v>1447</v>
      </c>
      <c r="E61" s="983" t="s">
        <v>1429</v>
      </c>
      <c r="F61" s="990">
        <f>(EFr*2*IRSc*10/BWc)+(EFr*4*IRSc*3/BWc)+(EFr*10*IRSa*3/BWa)+(EFr*10*IRSa*1/BWa)</f>
        <v>166833.33333333331</v>
      </c>
      <c r="G61" s="989" t="s">
        <v>1418</v>
      </c>
    </row>
    <row r="62" spans="2:10" ht="25.5">
      <c r="B62" s="1852" t="s">
        <v>1448</v>
      </c>
      <c r="C62" s="1853" t="s">
        <v>1449</v>
      </c>
      <c r="D62" s="983" t="s">
        <v>1450</v>
      </c>
      <c r="E62" s="983" t="s">
        <v>1433</v>
      </c>
      <c r="F62" s="990">
        <f>(EFr*2*SAwc*10/BWc)+(EFr*4*SAwc*3/BWc)+(EFr*10*SAwa*3/BWa)+(EFr*10*SAwa*1/BWa)</f>
        <v>8191633.333333334</v>
      </c>
      <c r="G62" s="989" t="s">
        <v>1418</v>
      </c>
    </row>
    <row r="63" spans="2:10" ht="39" thickBot="1">
      <c r="B63" s="2021" t="s">
        <v>1451</v>
      </c>
      <c r="C63" s="384" t="s">
        <v>1452</v>
      </c>
      <c r="D63" s="411" t="s">
        <v>1453</v>
      </c>
      <c r="E63" s="411" t="s">
        <v>1429</v>
      </c>
      <c r="F63" s="1855">
        <f>(EFr*2*SAc*AdFc*10/BWc)+(EFr*4*SAc*AdFc*3/BWc)+(EFr*10*SAa*AdFa*3/BWa)+(EFr*10*SAa*AdFa*1/BWa)</f>
        <v>428260</v>
      </c>
      <c r="G63" s="415" t="s">
        <v>1418</v>
      </c>
    </row>
    <row r="64" spans="2:10" ht="14.25" thickTop="1" thickBot="1">
      <c r="B64" s="1856"/>
      <c r="C64" s="1856"/>
      <c r="D64" s="1857"/>
      <c r="E64" s="96"/>
      <c r="F64" s="96"/>
      <c r="G64" s="4"/>
      <c r="H64" s="349"/>
    </row>
    <row r="65" spans="1:10" ht="18" customHeight="1" thickTop="1" thickBot="1">
      <c r="B65" s="2851" t="s">
        <v>1454</v>
      </c>
      <c r="C65" s="2852"/>
      <c r="D65" s="2852"/>
      <c r="E65" s="2852"/>
      <c r="F65" s="2852"/>
      <c r="G65" s="2853"/>
      <c r="H65" s="349"/>
    </row>
    <row r="66" spans="1:10" ht="15.75" customHeight="1" thickBot="1">
      <c r="B66" s="1845" t="s">
        <v>1313</v>
      </c>
      <c r="C66" s="1846" t="s">
        <v>1314</v>
      </c>
      <c r="D66" s="1847" t="s">
        <v>1315</v>
      </c>
      <c r="E66" s="1847" t="s">
        <v>1316</v>
      </c>
      <c r="F66" s="1848" t="s">
        <v>1317</v>
      </c>
      <c r="G66" s="1849" t="s">
        <v>699</v>
      </c>
    </row>
    <row r="67" spans="1:10" ht="15" customHeight="1">
      <c r="B67" s="2846" t="s">
        <v>1398</v>
      </c>
      <c r="C67" s="1834" t="s">
        <v>1399</v>
      </c>
      <c r="D67" s="1835" t="s">
        <v>1400</v>
      </c>
      <c r="E67" s="1835" t="s">
        <v>835</v>
      </c>
      <c r="F67" s="1836">
        <v>0.03</v>
      </c>
      <c r="G67" s="1837" t="s">
        <v>1401</v>
      </c>
    </row>
    <row r="68" spans="1:10" ht="13.7" customHeight="1">
      <c r="B68" s="2845"/>
      <c r="C68" s="1860" t="s">
        <v>1402</v>
      </c>
      <c r="D68" s="1831" t="s">
        <v>1403</v>
      </c>
      <c r="E68" s="1831" t="s">
        <v>835</v>
      </c>
      <c r="F68" s="1832">
        <v>1E-3</v>
      </c>
      <c r="G68" s="1861" t="s">
        <v>1401</v>
      </c>
    </row>
    <row r="69" spans="1:10" ht="30" customHeight="1">
      <c r="B69" s="2018" t="s">
        <v>1455</v>
      </c>
      <c r="C69" s="1825" t="s">
        <v>1456</v>
      </c>
      <c r="D69" s="1862" t="s">
        <v>1457</v>
      </c>
      <c r="E69" s="1825" t="s">
        <v>1458</v>
      </c>
      <c r="F69" s="1863">
        <v>1.5</v>
      </c>
      <c r="G69" s="413" t="s">
        <v>1459</v>
      </c>
      <c r="H69" s="1288" t="s">
        <v>1460</v>
      </c>
    </row>
    <row r="70" spans="1:10" ht="30" customHeight="1">
      <c r="B70" s="1852" t="s">
        <v>1461</v>
      </c>
      <c r="C70" s="983" t="s">
        <v>1456</v>
      </c>
      <c r="D70" s="1864" t="s">
        <v>1462</v>
      </c>
      <c r="E70" s="983" t="s">
        <v>1458</v>
      </c>
      <c r="F70" s="1865">
        <v>2.65</v>
      </c>
      <c r="G70" s="989" t="s">
        <v>1459</v>
      </c>
      <c r="H70" s="1288" t="s">
        <v>1463</v>
      </c>
      <c r="J70" s="552"/>
    </row>
    <row r="71" spans="1:10" ht="30" customHeight="1">
      <c r="B71" s="1852" t="s">
        <v>1464</v>
      </c>
      <c r="C71" s="983" t="s">
        <v>1456</v>
      </c>
      <c r="D71" s="1866" t="s">
        <v>1465</v>
      </c>
      <c r="E71" s="1867" t="s">
        <v>835</v>
      </c>
      <c r="F71" s="1868">
        <v>6.0000000000000001E-3</v>
      </c>
      <c r="G71" s="989" t="s">
        <v>1459</v>
      </c>
    </row>
    <row r="72" spans="1:10" ht="30" customHeight="1">
      <c r="B72" s="1852" t="s">
        <v>1466</v>
      </c>
      <c r="C72" s="983" t="s">
        <v>1456</v>
      </c>
      <c r="D72" s="1864" t="s">
        <v>1467</v>
      </c>
      <c r="E72" s="983" t="s">
        <v>1468</v>
      </c>
      <c r="F72" s="1865">
        <v>0.1</v>
      </c>
      <c r="G72" s="989" t="s">
        <v>1459</v>
      </c>
    </row>
    <row r="73" spans="1:10" ht="30" customHeight="1">
      <c r="B73" s="1852" t="s">
        <v>1469</v>
      </c>
      <c r="C73" s="983" t="s">
        <v>1456</v>
      </c>
      <c r="D73" s="983" t="s">
        <v>1470</v>
      </c>
      <c r="E73" s="1867" t="s">
        <v>835</v>
      </c>
      <c r="F73" s="1869">
        <f>1-($F$69/$F$70)</f>
        <v>0.43396226415094341</v>
      </c>
      <c r="G73" s="989" t="s">
        <v>1459</v>
      </c>
      <c r="H73" s="4" t="s">
        <v>1471</v>
      </c>
    </row>
    <row r="74" spans="1:10" ht="30" customHeight="1">
      <c r="B74" s="1852" t="s">
        <v>1472</v>
      </c>
      <c r="C74" s="983" t="s">
        <v>1456</v>
      </c>
      <c r="D74" s="983" t="s">
        <v>1473</v>
      </c>
      <c r="E74" s="1867" t="s">
        <v>835</v>
      </c>
      <c r="F74" s="1869">
        <f>F73-$F$72*$F$69</f>
        <v>0.28396226415094339</v>
      </c>
      <c r="G74" s="989" t="s">
        <v>1459</v>
      </c>
      <c r="H74" s="1289" t="s">
        <v>1474</v>
      </c>
    </row>
    <row r="75" spans="1:10" ht="30" customHeight="1" thickBot="1">
      <c r="B75" s="1870" t="s">
        <v>1475</v>
      </c>
      <c r="C75" s="1871" t="s">
        <v>1456</v>
      </c>
      <c r="D75" s="1871" t="s">
        <v>1476</v>
      </c>
      <c r="E75" s="1872" t="s">
        <v>835</v>
      </c>
      <c r="F75" s="1873">
        <f>$F$72*$F$69</f>
        <v>0.15000000000000002</v>
      </c>
      <c r="G75" s="1874" t="s">
        <v>1459</v>
      </c>
      <c r="H75" s="1289" t="s">
        <v>1477</v>
      </c>
    </row>
    <row r="76" spans="1:10" ht="13.7" customHeight="1" thickTop="1">
      <c r="A76" s="98"/>
      <c r="F76" s="96"/>
      <c r="G76" s="4"/>
    </row>
    <row r="77" spans="1:10" ht="12" customHeight="1">
      <c r="A77" s="98"/>
      <c r="F77" s="1856"/>
      <c r="G77" s="4"/>
    </row>
    <row r="78" spans="1:10" ht="12.6" customHeight="1">
      <c r="A78" s="98"/>
      <c r="F78" s="1856"/>
      <c r="G78" s="4"/>
    </row>
    <row r="79" spans="1:10">
      <c r="A79" s="98"/>
      <c r="F79" s="1856"/>
      <c r="G79" s="4"/>
    </row>
    <row r="80" spans="1:10" ht="12.6" customHeight="1">
      <c r="A80" s="98"/>
      <c r="F80" s="1856"/>
      <c r="G80" s="22"/>
    </row>
    <row r="81" spans="1:11" ht="12.6" customHeight="1">
      <c r="A81" s="98"/>
      <c r="F81" s="1856"/>
      <c r="G81" s="22"/>
    </row>
    <row r="82" spans="1:11" ht="12.6" customHeight="1"/>
    <row r="83" spans="1:11" ht="12.6" customHeight="1"/>
    <row r="84" spans="1:11" ht="12.6" customHeight="1">
      <c r="I84" s="75"/>
      <c r="J84" s="75"/>
      <c r="K84" s="75"/>
    </row>
    <row r="85" spans="1:11" ht="12.6" customHeight="1"/>
    <row r="86" spans="1:11" ht="12.6" customHeight="1"/>
    <row r="87" spans="1:11" ht="12.6" customHeight="1"/>
    <row r="88" spans="1:11" ht="12.6" customHeight="1"/>
    <row r="89" spans="1:11" ht="12.6" hidden="1" customHeight="1"/>
    <row r="90" spans="1:11" ht="12.6" hidden="1" customHeight="1"/>
    <row r="91" spans="1:11" s="75" customFormat="1" ht="12.6" customHeight="1">
      <c r="B91" s="98"/>
      <c r="C91" s="98"/>
      <c r="D91" s="98"/>
      <c r="E91" s="98"/>
      <c r="F91" s="98"/>
      <c r="G91" s="96"/>
      <c r="H91" s="5"/>
      <c r="I91" s="4"/>
      <c r="J91" s="4"/>
      <c r="K91" s="4"/>
    </row>
    <row r="92" spans="1:11" ht="12.6" customHeight="1">
      <c r="H92" s="5"/>
    </row>
    <row r="93" spans="1:11" ht="12.6" customHeight="1">
      <c r="H93" s="5"/>
    </row>
    <row r="94" spans="1:11" ht="12.6" customHeight="1">
      <c r="H94" s="5"/>
    </row>
    <row r="95" spans="1:11" ht="12.6" customHeight="1">
      <c r="H95" s="5"/>
    </row>
    <row r="96" spans="1:11" ht="12.6" customHeight="1"/>
    <row r="97" spans="8:8" ht="12.6" hidden="1" customHeight="1"/>
    <row r="98" spans="8:8" ht="12.6" hidden="1" customHeight="1" thickBot="1"/>
    <row r="99" spans="8:8" ht="12.6" customHeight="1"/>
    <row r="100" spans="8:8" ht="12.6" customHeight="1"/>
    <row r="101" spans="8:8" ht="12.6" customHeight="1">
      <c r="H101" s="553"/>
    </row>
    <row r="102" spans="8:8" ht="12.6" customHeight="1">
      <c r="H102" s="5"/>
    </row>
    <row r="103" spans="8:8" ht="12.6" customHeight="1">
      <c r="H103" s="5"/>
    </row>
    <row r="104" spans="8:8" ht="12.6" customHeight="1">
      <c r="H104" s="5"/>
    </row>
    <row r="105" spans="8:8" ht="10.7" customHeight="1"/>
    <row r="106" spans="8:8" ht="10.7" customHeight="1">
      <c r="H106" s="5"/>
    </row>
    <row r="107" spans="8:8" ht="10.7" customHeight="1"/>
    <row r="112" spans="8:8" ht="11.25" customHeight="1"/>
    <row r="114" hidden="1"/>
    <row r="115" hidden="1"/>
  </sheetData>
  <sheetProtection algorithmName="SHA-512" hashValue="y72MNgpsOBJ8dReBv7YkS4PcYoPQPW2BRSzWLgoWAU2d+FpPL4763LUwGhwG4UfDRJSm1szptnoX7Ma5Wzm4VA==" saltValue="MztL6zZVwumfDRVIXXnDiw==" spinCount="100000" sheet="1" sort="0" autoFilter="0"/>
  <mergeCells count="20">
    <mergeCell ref="B67:B68"/>
    <mergeCell ref="B15:B18"/>
    <mergeCell ref="B48:G48"/>
    <mergeCell ref="B65:G65"/>
    <mergeCell ref="B20:G20"/>
    <mergeCell ref="B40:B41"/>
    <mergeCell ref="B26:B27"/>
    <mergeCell ref="B22:B25"/>
    <mergeCell ref="B28:B31"/>
    <mergeCell ref="B44:B46"/>
    <mergeCell ref="B32:B35"/>
    <mergeCell ref="B38:B39"/>
    <mergeCell ref="B57:G57"/>
    <mergeCell ref="B42:B43"/>
    <mergeCell ref="B36:B37"/>
    <mergeCell ref="C2:G2"/>
    <mergeCell ref="B1:G1"/>
    <mergeCell ref="B10:B12"/>
    <mergeCell ref="B13:B14"/>
    <mergeCell ref="B6:B8"/>
  </mergeCells>
  <phoneticPr fontId="108" type="noConversion"/>
  <printOptions horizontalCentered="1"/>
  <pageMargins left="0.25" right="0.25" top="0.75" bottom="0.75" header="0.3" footer="0.3"/>
  <pageSetup scale="78" fitToHeight="0" orientation="portrait" r:id="rId1"/>
  <headerFooter alignWithMargins="0">
    <oddFooter>&amp;C&amp;P of &amp;N&amp;R&amp;A</oddFooter>
  </headerFooter>
  <rowBreaks count="1" manualBreakCount="1">
    <brk id="4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pageSetUpPr fitToPage="1"/>
  </sheetPr>
  <dimension ref="A1:L153"/>
  <sheetViews>
    <sheetView showGridLines="0" zoomScale="140" zoomScaleNormal="140" workbookViewId="0">
      <pane xSplit="2" ySplit="4" topLeftCell="C5" activePane="bottomRight" state="frozen"/>
      <selection pane="topRight" activeCell="C1" sqref="C1"/>
      <selection pane="bottomLeft" activeCell="A5" sqref="A5"/>
      <selection pane="bottomRight" activeCell="A3" sqref="A3:B3"/>
    </sheetView>
  </sheetViews>
  <sheetFormatPr defaultColWidth="9.140625" defaultRowHeight="11.25"/>
  <cols>
    <col min="1" max="1" width="42" style="3" customWidth="1"/>
    <col min="2" max="2" width="10.5703125" style="22" customWidth="1"/>
    <col min="3" max="8" width="14.7109375" style="10" customWidth="1"/>
    <col min="9" max="9" width="16" style="10" customWidth="1"/>
    <col min="10" max="12" width="14.7109375" style="10" customWidth="1"/>
    <col min="13" max="16384" width="9.140625" style="3"/>
  </cols>
  <sheetData>
    <row r="1" spans="1:12" hidden="1">
      <c r="A1" s="3" t="s">
        <v>1478</v>
      </c>
      <c r="C1" s="10" t="s">
        <v>1479</v>
      </c>
      <c r="E1" s="10" t="s">
        <v>1480</v>
      </c>
      <c r="G1" s="10" t="s">
        <v>1481</v>
      </c>
      <c r="H1" s="10" t="s">
        <v>1482</v>
      </c>
      <c r="I1" s="22" t="s">
        <v>1483</v>
      </c>
      <c r="J1" s="10" t="s">
        <v>1484</v>
      </c>
      <c r="K1" s="10" t="s">
        <v>1485</v>
      </c>
      <c r="L1" s="10" t="s">
        <v>1486</v>
      </c>
    </row>
    <row r="2" spans="1:12" s="63" customFormat="1" ht="35.25" customHeight="1" thickBot="1">
      <c r="A2" s="2861" t="s">
        <v>1487</v>
      </c>
      <c r="B2" s="2861"/>
      <c r="C2" s="2861"/>
      <c r="D2" s="2861"/>
      <c r="E2" s="2861"/>
      <c r="F2" s="2861"/>
      <c r="G2" s="2861"/>
      <c r="H2" s="2861"/>
      <c r="I2" s="2861"/>
      <c r="J2" s="2861"/>
      <c r="K2" s="2861"/>
      <c r="L2" s="2861"/>
    </row>
    <row r="3" spans="1:12" s="23" customFormat="1" ht="24" customHeight="1" thickTop="1" thickBot="1">
      <c r="A3" s="2800" t="str">
        <f>'Tier 1 ESL'!A6:F6</f>
        <v>2025 (Rev 4)</v>
      </c>
      <c r="B3" s="2860"/>
      <c r="C3" s="2856" t="s">
        <v>1488</v>
      </c>
      <c r="D3" s="2857"/>
      <c r="E3" s="2857"/>
      <c r="F3" s="2858"/>
      <c r="G3" s="2854" t="s">
        <v>1489</v>
      </c>
      <c r="H3" s="2855"/>
      <c r="I3" s="2855"/>
      <c r="J3" s="2856" t="s">
        <v>1490</v>
      </c>
      <c r="K3" s="2857"/>
      <c r="L3" s="2859"/>
    </row>
    <row r="4" spans="1:12" s="63" customFormat="1" ht="34.5" thickBot="1">
      <c r="A4" s="929" t="s">
        <v>661</v>
      </c>
      <c r="B4" s="930" t="s">
        <v>80</v>
      </c>
      <c r="C4" s="597" t="s">
        <v>1491</v>
      </c>
      <c r="D4" s="598" t="s">
        <v>699</v>
      </c>
      <c r="E4" s="597" t="s">
        <v>1492</v>
      </c>
      <c r="F4" s="599" t="s">
        <v>699</v>
      </c>
      <c r="G4" s="597" t="s">
        <v>1481</v>
      </c>
      <c r="H4" s="603" t="s">
        <v>379</v>
      </c>
      <c r="I4" s="600" t="s">
        <v>699</v>
      </c>
      <c r="J4" s="597" t="s">
        <v>1484</v>
      </c>
      <c r="K4" s="603" t="s">
        <v>379</v>
      </c>
      <c r="L4" s="606" t="s">
        <v>699</v>
      </c>
    </row>
    <row r="5" spans="1:12" ht="11.25" customHeight="1">
      <c r="A5" s="126" t="s">
        <v>391</v>
      </c>
      <c r="B5" s="166" t="s">
        <v>392</v>
      </c>
      <c r="C5" s="419" t="s">
        <v>115</v>
      </c>
      <c r="D5" s="328" t="s">
        <v>115</v>
      </c>
      <c r="E5" s="422" t="s">
        <v>115</v>
      </c>
      <c r="F5" s="421" t="s">
        <v>115</v>
      </c>
      <c r="G5" s="419" t="s">
        <v>115</v>
      </c>
      <c r="H5" s="605" t="s">
        <v>115</v>
      </c>
      <c r="I5" s="399" t="s">
        <v>115</v>
      </c>
      <c r="J5" s="419" t="s">
        <v>115</v>
      </c>
      <c r="K5" s="605" t="s">
        <v>115</v>
      </c>
      <c r="L5" s="169" t="s">
        <v>115</v>
      </c>
    </row>
    <row r="6" spans="1:12" ht="11.25" customHeight="1">
      <c r="A6" s="126" t="s">
        <v>85</v>
      </c>
      <c r="B6" s="166" t="s">
        <v>86</v>
      </c>
      <c r="C6" s="419" t="s">
        <v>115</v>
      </c>
      <c r="D6" s="328" t="s">
        <v>115</v>
      </c>
      <c r="E6" s="422" t="s">
        <v>115</v>
      </c>
      <c r="F6" s="421" t="s">
        <v>115</v>
      </c>
      <c r="G6" s="419" t="s">
        <v>115</v>
      </c>
      <c r="H6" s="119" t="s">
        <v>115</v>
      </c>
      <c r="I6" s="602" t="s">
        <v>115</v>
      </c>
      <c r="J6" s="420">
        <v>2E-3</v>
      </c>
      <c r="K6" s="119" t="s">
        <v>830</v>
      </c>
      <c r="L6" s="156" t="s">
        <v>1493</v>
      </c>
    </row>
    <row r="7" spans="1:12" ht="11.25" customHeight="1">
      <c r="A7" s="126" t="s">
        <v>87</v>
      </c>
      <c r="B7" s="166" t="s">
        <v>88</v>
      </c>
      <c r="C7" s="420">
        <v>6</v>
      </c>
      <c r="D7" s="328" t="s">
        <v>1494</v>
      </c>
      <c r="E7" s="422" t="s">
        <v>115</v>
      </c>
      <c r="F7" s="421" t="s">
        <v>115</v>
      </c>
      <c r="G7" s="419">
        <v>1</v>
      </c>
      <c r="H7" s="119" t="s">
        <v>830</v>
      </c>
      <c r="I7" s="602" t="s">
        <v>1495</v>
      </c>
      <c r="J7" s="420"/>
      <c r="K7" s="605" t="s">
        <v>115</v>
      </c>
      <c r="L7" s="169" t="s">
        <v>115</v>
      </c>
    </row>
    <row r="8" spans="1:12" ht="11.25" customHeight="1">
      <c r="A8" s="126" t="s">
        <v>89</v>
      </c>
      <c r="B8" s="166" t="s">
        <v>90</v>
      </c>
      <c r="C8" s="420">
        <v>10</v>
      </c>
      <c r="D8" s="328" t="s">
        <v>1496</v>
      </c>
      <c r="E8" s="422" t="s">
        <v>115</v>
      </c>
      <c r="F8" s="421" t="s">
        <v>115</v>
      </c>
      <c r="G8" s="420">
        <v>4.0000000000000001E-3</v>
      </c>
      <c r="H8" s="119" t="s">
        <v>521</v>
      </c>
      <c r="I8" s="602" t="s">
        <v>1497</v>
      </c>
      <c r="J8" s="420" t="s">
        <v>115</v>
      </c>
      <c r="K8" s="605" t="s">
        <v>115</v>
      </c>
      <c r="L8" s="156" t="s">
        <v>115</v>
      </c>
    </row>
    <row r="9" spans="1:12" ht="11.25" customHeight="1">
      <c r="A9" s="126" t="s">
        <v>91</v>
      </c>
      <c r="B9" s="166" t="s">
        <v>92</v>
      </c>
      <c r="C9" s="420">
        <v>1000</v>
      </c>
      <c r="D9" s="328" t="s">
        <v>1498</v>
      </c>
      <c r="E9" s="422" t="s">
        <v>115</v>
      </c>
      <c r="F9" s="421" t="s">
        <v>115</v>
      </c>
      <c r="G9" s="419">
        <v>2000</v>
      </c>
      <c r="H9" s="119" t="s">
        <v>830</v>
      </c>
      <c r="I9" s="602" t="s">
        <v>1499</v>
      </c>
      <c r="J9" s="420" t="s">
        <v>115</v>
      </c>
      <c r="K9" s="605" t="s">
        <v>115</v>
      </c>
      <c r="L9" s="156" t="s">
        <v>115</v>
      </c>
    </row>
    <row r="10" spans="1:12" ht="11.25" customHeight="1">
      <c r="A10" s="126" t="s">
        <v>93</v>
      </c>
      <c r="B10" s="166" t="s">
        <v>94</v>
      </c>
      <c r="C10" s="420">
        <v>1</v>
      </c>
      <c r="D10" s="328" t="s">
        <v>1500</v>
      </c>
      <c r="E10" s="422" t="s">
        <v>115</v>
      </c>
      <c r="F10" s="421" t="s">
        <v>115</v>
      </c>
      <c r="G10" s="420">
        <v>0.15</v>
      </c>
      <c r="H10" s="119" t="s">
        <v>521</v>
      </c>
      <c r="I10" s="602" t="s">
        <v>1501</v>
      </c>
      <c r="J10" s="420" t="s">
        <v>115</v>
      </c>
      <c r="K10" s="605" t="s">
        <v>115</v>
      </c>
      <c r="L10" s="156" t="s">
        <v>115</v>
      </c>
    </row>
    <row r="11" spans="1:12" ht="11.25" customHeight="1">
      <c r="A11" s="126" t="s">
        <v>95</v>
      </c>
      <c r="B11" s="166" t="s">
        <v>96</v>
      </c>
      <c r="C11" s="420">
        <v>4</v>
      </c>
      <c r="D11" s="328" t="s">
        <v>1494</v>
      </c>
      <c r="E11" s="422" t="s">
        <v>115</v>
      </c>
      <c r="F11" s="421" t="s">
        <v>115</v>
      </c>
      <c r="G11" s="419">
        <v>1</v>
      </c>
      <c r="H11" s="119" t="s">
        <v>830</v>
      </c>
      <c r="I11" s="602" t="s">
        <v>1499</v>
      </c>
      <c r="J11" s="420" t="s">
        <v>115</v>
      </c>
      <c r="K11" s="605" t="s">
        <v>115</v>
      </c>
      <c r="L11" s="156" t="s">
        <v>115</v>
      </c>
    </row>
    <row r="12" spans="1:12" ht="11.25" customHeight="1">
      <c r="A12" s="126" t="s">
        <v>97</v>
      </c>
      <c r="B12" s="166" t="s">
        <v>98</v>
      </c>
      <c r="C12" s="420" t="s">
        <v>115</v>
      </c>
      <c r="D12" s="328" t="s">
        <v>115</v>
      </c>
      <c r="E12" s="422" t="s">
        <v>115</v>
      </c>
      <c r="F12" s="421" t="s">
        <v>115</v>
      </c>
      <c r="G12" s="419" t="s">
        <v>115</v>
      </c>
      <c r="H12" s="605" t="s">
        <v>115</v>
      </c>
      <c r="I12" s="602" t="s">
        <v>115</v>
      </c>
      <c r="J12" s="420" t="s">
        <v>115</v>
      </c>
      <c r="K12" s="605" t="s">
        <v>115</v>
      </c>
      <c r="L12" s="156" t="s">
        <v>115</v>
      </c>
    </row>
    <row r="13" spans="1:12" ht="11.25" customHeight="1">
      <c r="A13" s="126" t="s">
        <v>99</v>
      </c>
      <c r="B13" s="166" t="s">
        <v>100</v>
      </c>
      <c r="C13" s="420" t="s">
        <v>115</v>
      </c>
      <c r="D13" s="328" t="s">
        <v>115</v>
      </c>
      <c r="E13" s="422" t="s">
        <v>115</v>
      </c>
      <c r="F13" s="421" t="s">
        <v>115</v>
      </c>
      <c r="G13" s="419" t="s">
        <v>115</v>
      </c>
      <c r="H13" s="605" t="s">
        <v>115</v>
      </c>
      <c r="I13" s="602" t="s">
        <v>115</v>
      </c>
      <c r="J13" s="420" t="s">
        <v>115</v>
      </c>
      <c r="K13" s="605" t="s">
        <v>115</v>
      </c>
      <c r="L13" s="156" t="s">
        <v>115</v>
      </c>
    </row>
    <row r="14" spans="1:12" ht="11.25" customHeight="1">
      <c r="A14" s="136" t="s">
        <v>101</v>
      </c>
      <c r="B14" s="166" t="s">
        <v>102</v>
      </c>
      <c r="C14" s="420" t="s">
        <v>115</v>
      </c>
      <c r="D14" s="328" t="s">
        <v>115</v>
      </c>
      <c r="E14" s="422" t="s">
        <v>115</v>
      </c>
      <c r="F14" s="421" t="s">
        <v>115</v>
      </c>
      <c r="G14" s="419" t="s">
        <v>115</v>
      </c>
      <c r="H14" s="605" t="s">
        <v>115</v>
      </c>
      <c r="I14" s="602" t="s">
        <v>115</v>
      </c>
      <c r="J14" s="420" t="s">
        <v>115</v>
      </c>
      <c r="K14" s="605" t="s">
        <v>115</v>
      </c>
      <c r="L14" s="156" t="s">
        <v>115</v>
      </c>
    </row>
    <row r="15" spans="1:12">
      <c r="A15" s="126" t="s">
        <v>103</v>
      </c>
      <c r="B15" s="166" t="s">
        <v>104</v>
      </c>
      <c r="C15" s="420">
        <v>4</v>
      </c>
      <c r="D15" s="328" t="s">
        <v>1502</v>
      </c>
      <c r="E15" s="422" t="s">
        <v>115</v>
      </c>
      <c r="F15" s="421" t="s">
        <v>115</v>
      </c>
      <c r="G15" s="420">
        <v>12</v>
      </c>
      <c r="H15" s="119" t="s">
        <v>521</v>
      </c>
      <c r="I15" s="602" t="s">
        <v>1503</v>
      </c>
      <c r="J15" s="420" t="s">
        <v>115</v>
      </c>
      <c r="K15" s="605" t="s">
        <v>115</v>
      </c>
      <c r="L15" s="156" t="s">
        <v>115</v>
      </c>
    </row>
    <row r="16" spans="1:12" ht="11.25" customHeight="1">
      <c r="A16" s="126" t="s">
        <v>105</v>
      </c>
      <c r="B16" s="166" t="s">
        <v>106</v>
      </c>
      <c r="C16" s="420" t="s">
        <v>115</v>
      </c>
      <c r="D16" s="328" t="s">
        <v>115</v>
      </c>
      <c r="E16" s="422" t="s">
        <v>115</v>
      </c>
      <c r="F16" s="421" t="s">
        <v>115</v>
      </c>
      <c r="G16" s="419" t="s">
        <v>115</v>
      </c>
      <c r="H16" s="605" t="s">
        <v>115</v>
      </c>
      <c r="I16" s="602" t="s">
        <v>115</v>
      </c>
      <c r="J16" s="420">
        <v>1000</v>
      </c>
      <c r="K16" s="119" t="s">
        <v>830</v>
      </c>
      <c r="L16" s="156" t="s">
        <v>1504</v>
      </c>
    </row>
    <row r="17" spans="1:12">
      <c r="A17" s="126" t="s">
        <v>107</v>
      </c>
      <c r="B17" s="166" t="s">
        <v>108</v>
      </c>
      <c r="C17" s="420">
        <v>80</v>
      </c>
      <c r="D17" s="328" t="s">
        <v>1505</v>
      </c>
      <c r="E17" s="422" t="s">
        <v>115</v>
      </c>
      <c r="F17" s="421" t="s">
        <v>115</v>
      </c>
      <c r="G17" s="419">
        <v>0.06</v>
      </c>
      <c r="H17" s="605" t="s">
        <v>521</v>
      </c>
      <c r="I17" s="602" t="s">
        <v>1506</v>
      </c>
      <c r="J17" s="420" t="s">
        <v>115</v>
      </c>
      <c r="K17" s="605" t="s">
        <v>115</v>
      </c>
      <c r="L17" s="169" t="s">
        <v>115</v>
      </c>
    </row>
    <row r="18" spans="1:12" ht="11.25" customHeight="1">
      <c r="A18" s="126" t="s">
        <v>109</v>
      </c>
      <c r="B18" s="166" t="s">
        <v>110</v>
      </c>
      <c r="C18" s="420">
        <v>80</v>
      </c>
      <c r="D18" s="328" t="s">
        <v>1505</v>
      </c>
      <c r="E18" s="422" t="s">
        <v>115</v>
      </c>
      <c r="F18" s="421" t="s">
        <v>115</v>
      </c>
      <c r="G18" s="419">
        <v>0.5</v>
      </c>
      <c r="H18" s="605" t="s">
        <v>521</v>
      </c>
      <c r="I18" s="602" t="s">
        <v>1506</v>
      </c>
      <c r="J18" s="420" t="s">
        <v>115</v>
      </c>
      <c r="K18" s="605" t="s">
        <v>115</v>
      </c>
      <c r="L18" s="156" t="s">
        <v>115</v>
      </c>
    </row>
    <row r="19" spans="1:12">
      <c r="A19" s="126" t="s">
        <v>111</v>
      </c>
      <c r="B19" s="166" t="s">
        <v>112</v>
      </c>
      <c r="C19" s="420" t="s">
        <v>115</v>
      </c>
      <c r="D19" s="328" t="s">
        <v>115</v>
      </c>
      <c r="E19" s="422" t="s">
        <v>115</v>
      </c>
      <c r="F19" s="421" t="s">
        <v>115</v>
      </c>
      <c r="G19" s="419" t="s">
        <v>115</v>
      </c>
      <c r="H19" s="605" t="s">
        <v>115</v>
      </c>
      <c r="I19" s="602" t="s">
        <v>115</v>
      </c>
      <c r="J19" s="420" t="s">
        <v>115</v>
      </c>
      <c r="K19" s="605" t="s">
        <v>115</v>
      </c>
      <c r="L19" s="156" t="s">
        <v>115</v>
      </c>
    </row>
    <row r="20" spans="1:12">
      <c r="A20" s="126" t="s">
        <v>116</v>
      </c>
      <c r="B20" s="166" t="s">
        <v>114</v>
      </c>
      <c r="C20" s="420">
        <v>5</v>
      </c>
      <c r="D20" s="328" t="s">
        <v>1494</v>
      </c>
      <c r="E20" s="422" t="s">
        <v>115</v>
      </c>
      <c r="F20" s="421" t="s">
        <v>115</v>
      </c>
      <c r="G20" s="419">
        <v>0.04</v>
      </c>
      <c r="H20" s="119" t="s">
        <v>830</v>
      </c>
      <c r="I20" s="602" t="s">
        <v>1507</v>
      </c>
      <c r="J20" s="420" t="s">
        <v>115</v>
      </c>
      <c r="K20" s="605" t="s">
        <v>115</v>
      </c>
      <c r="L20" s="169" t="s">
        <v>115</v>
      </c>
    </row>
    <row r="21" spans="1:12">
      <c r="A21" s="126" t="s">
        <v>117</v>
      </c>
      <c r="B21" s="166" t="s">
        <v>118</v>
      </c>
      <c r="C21" s="420">
        <v>0.5</v>
      </c>
      <c r="D21" s="328" t="s">
        <v>1508</v>
      </c>
      <c r="E21" s="422" t="s">
        <v>115</v>
      </c>
      <c r="F21" s="421" t="s">
        <v>115</v>
      </c>
      <c r="G21" s="420">
        <v>0.1</v>
      </c>
      <c r="H21" s="119" t="s">
        <v>521</v>
      </c>
      <c r="I21" s="602" t="s">
        <v>1509</v>
      </c>
      <c r="J21" s="420" t="s">
        <v>115</v>
      </c>
      <c r="K21" s="605" t="s">
        <v>115</v>
      </c>
      <c r="L21" s="156" t="s">
        <v>115</v>
      </c>
    </row>
    <row r="22" spans="1:12">
      <c r="A22" s="126" t="s">
        <v>119</v>
      </c>
      <c r="B22" s="166" t="s">
        <v>120</v>
      </c>
      <c r="C22" s="420">
        <v>0.1</v>
      </c>
      <c r="D22" s="328" t="s">
        <v>1502</v>
      </c>
      <c r="E22" s="422" t="s">
        <v>115</v>
      </c>
      <c r="F22" s="421" t="s">
        <v>115</v>
      </c>
      <c r="G22" s="420">
        <v>0.03</v>
      </c>
      <c r="H22" s="119" t="s">
        <v>521</v>
      </c>
      <c r="I22" s="602" t="s">
        <v>1507</v>
      </c>
      <c r="J22" s="420" t="s">
        <v>115</v>
      </c>
      <c r="K22" s="605" t="s">
        <v>115</v>
      </c>
      <c r="L22" s="156" t="s">
        <v>115</v>
      </c>
    </row>
    <row r="23" spans="1:12">
      <c r="A23" s="126" t="s">
        <v>121</v>
      </c>
      <c r="B23" s="166" t="s">
        <v>122</v>
      </c>
      <c r="C23" s="420" t="s">
        <v>115</v>
      </c>
      <c r="D23" s="328" t="s">
        <v>115</v>
      </c>
      <c r="E23" s="422" t="s">
        <v>115</v>
      </c>
      <c r="F23" s="421" t="s">
        <v>115</v>
      </c>
      <c r="G23" s="420" t="s">
        <v>115</v>
      </c>
      <c r="H23" s="605" t="s">
        <v>115</v>
      </c>
      <c r="I23" s="602" t="s">
        <v>115</v>
      </c>
      <c r="J23" s="420" t="s">
        <v>115</v>
      </c>
      <c r="K23" s="605" t="s">
        <v>115</v>
      </c>
      <c r="L23" s="156" t="s">
        <v>115</v>
      </c>
    </row>
    <row r="24" spans="1:12">
      <c r="A24" s="126" t="s">
        <v>123</v>
      </c>
      <c r="B24" s="166" t="s">
        <v>124</v>
      </c>
      <c r="C24" s="420">
        <v>70</v>
      </c>
      <c r="D24" s="328" t="s">
        <v>1494</v>
      </c>
      <c r="E24" s="422" t="s">
        <v>115</v>
      </c>
      <c r="F24" s="421" t="s">
        <v>115</v>
      </c>
      <c r="G24" s="419">
        <v>70</v>
      </c>
      <c r="H24" s="119" t="s">
        <v>830</v>
      </c>
      <c r="I24" s="602" t="s">
        <v>1510</v>
      </c>
      <c r="J24" s="420" t="s">
        <v>115</v>
      </c>
      <c r="K24" s="605" t="s">
        <v>115</v>
      </c>
      <c r="L24" s="169" t="s">
        <v>115</v>
      </c>
    </row>
    <row r="25" spans="1:12">
      <c r="A25" s="126" t="s">
        <v>125</v>
      </c>
      <c r="B25" s="166" t="s">
        <v>126</v>
      </c>
      <c r="C25" s="420" t="s">
        <v>115</v>
      </c>
      <c r="D25" s="328" t="s">
        <v>115</v>
      </c>
      <c r="E25" s="422" t="s">
        <v>115</v>
      </c>
      <c r="F25" s="421" t="s">
        <v>115</v>
      </c>
      <c r="G25" s="420" t="s">
        <v>115</v>
      </c>
      <c r="H25" s="119" t="s">
        <v>115</v>
      </c>
      <c r="I25" s="602" t="s">
        <v>115</v>
      </c>
      <c r="J25" s="420" t="s">
        <v>115</v>
      </c>
      <c r="K25" s="605" t="s">
        <v>115</v>
      </c>
      <c r="L25" s="156" t="s">
        <v>115</v>
      </c>
    </row>
    <row r="26" spans="1:12">
      <c r="A26" s="126" t="s">
        <v>127</v>
      </c>
      <c r="B26" s="166" t="s">
        <v>128</v>
      </c>
      <c r="C26" s="420">
        <v>80</v>
      </c>
      <c r="D26" s="328" t="s">
        <v>1505</v>
      </c>
      <c r="E26" s="422" t="s">
        <v>115</v>
      </c>
      <c r="F26" s="421" t="s">
        <v>115</v>
      </c>
      <c r="G26" s="420">
        <v>0.4</v>
      </c>
      <c r="H26" s="119" t="s">
        <v>521</v>
      </c>
      <c r="I26" s="602" t="s">
        <v>1506</v>
      </c>
      <c r="J26" s="420" t="s">
        <v>115</v>
      </c>
      <c r="K26" s="605" t="s">
        <v>115</v>
      </c>
      <c r="L26" s="156" t="s">
        <v>115</v>
      </c>
    </row>
    <row r="27" spans="1:12">
      <c r="A27" s="126" t="s">
        <v>129</v>
      </c>
      <c r="B27" s="166" t="s">
        <v>130</v>
      </c>
      <c r="C27" s="420" t="s">
        <v>115</v>
      </c>
      <c r="D27" s="328" t="s">
        <v>115</v>
      </c>
      <c r="E27" s="422" t="s">
        <v>115</v>
      </c>
      <c r="F27" s="421" t="s">
        <v>115</v>
      </c>
      <c r="G27" s="420" t="s">
        <v>115</v>
      </c>
      <c r="H27" s="119" t="s">
        <v>115</v>
      </c>
      <c r="I27" s="602" t="s">
        <v>115</v>
      </c>
      <c r="J27" s="420" t="s">
        <v>115</v>
      </c>
      <c r="K27" s="605" t="s">
        <v>115</v>
      </c>
      <c r="L27" s="156" t="s">
        <v>115</v>
      </c>
    </row>
    <row r="28" spans="1:12">
      <c r="A28" s="126" t="s">
        <v>131</v>
      </c>
      <c r="B28" s="166" t="s">
        <v>132</v>
      </c>
      <c r="C28" s="420" t="s">
        <v>115</v>
      </c>
      <c r="D28" s="328" t="s">
        <v>115</v>
      </c>
      <c r="E28" s="422" t="s">
        <v>115</v>
      </c>
      <c r="F28" s="421" t="s">
        <v>115</v>
      </c>
      <c r="G28" s="420" t="s">
        <v>115</v>
      </c>
      <c r="H28" s="119" t="s">
        <v>115</v>
      </c>
      <c r="I28" s="602" t="s">
        <v>115</v>
      </c>
      <c r="J28" s="420" t="s">
        <v>115</v>
      </c>
      <c r="K28" s="605" t="s">
        <v>115</v>
      </c>
      <c r="L28" s="169" t="s">
        <v>115</v>
      </c>
    </row>
    <row r="29" spans="1:12">
      <c r="A29" s="126" t="s">
        <v>133</v>
      </c>
      <c r="B29" s="166" t="s">
        <v>134</v>
      </c>
      <c r="C29" s="420">
        <v>50</v>
      </c>
      <c r="D29" s="328" t="s">
        <v>1498</v>
      </c>
      <c r="E29" s="422" t="s">
        <v>115</v>
      </c>
      <c r="F29" s="421" t="s">
        <v>115</v>
      </c>
      <c r="G29" s="420" t="s">
        <v>115</v>
      </c>
      <c r="H29" s="119" t="s">
        <v>115</v>
      </c>
      <c r="I29" s="602" t="s">
        <v>115</v>
      </c>
      <c r="J29" s="420" t="s">
        <v>115</v>
      </c>
      <c r="K29" s="605" t="s">
        <v>115</v>
      </c>
      <c r="L29" s="156" t="s">
        <v>115</v>
      </c>
    </row>
    <row r="30" spans="1:12">
      <c r="A30" s="126" t="s">
        <v>135</v>
      </c>
      <c r="B30" s="166" t="s">
        <v>136</v>
      </c>
      <c r="C30" s="420" t="s">
        <v>115</v>
      </c>
      <c r="D30" s="217" t="s">
        <v>115</v>
      </c>
      <c r="E30" s="422" t="s">
        <v>115</v>
      </c>
      <c r="F30" s="421" t="s">
        <v>115</v>
      </c>
      <c r="G30" s="420" t="s">
        <v>115</v>
      </c>
      <c r="H30" s="119" t="s">
        <v>115</v>
      </c>
      <c r="I30" s="602" t="s">
        <v>115</v>
      </c>
      <c r="J30" s="420" t="s">
        <v>115</v>
      </c>
      <c r="K30" s="605" t="s">
        <v>115</v>
      </c>
      <c r="L30" s="156" t="s">
        <v>115</v>
      </c>
    </row>
    <row r="31" spans="1:12">
      <c r="A31" s="126" t="s">
        <v>137</v>
      </c>
      <c r="B31" s="166" t="s">
        <v>138</v>
      </c>
      <c r="C31" s="419">
        <v>10</v>
      </c>
      <c r="D31" s="217" t="s">
        <v>1511</v>
      </c>
      <c r="E31" s="418" t="s">
        <v>115</v>
      </c>
      <c r="F31" s="421" t="s">
        <v>115</v>
      </c>
      <c r="G31" s="420">
        <v>0.02</v>
      </c>
      <c r="H31" s="119" t="s">
        <v>521</v>
      </c>
      <c r="I31" s="602" t="s">
        <v>1512</v>
      </c>
      <c r="J31" s="420" t="s">
        <v>115</v>
      </c>
      <c r="K31" s="605" t="s">
        <v>115</v>
      </c>
      <c r="L31" s="156" t="s">
        <v>115</v>
      </c>
    </row>
    <row r="32" spans="1:12">
      <c r="A32" s="126" t="s">
        <v>139</v>
      </c>
      <c r="B32" s="166" t="s">
        <v>140</v>
      </c>
      <c r="C32" s="420" t="s">
        <v>115</v>
      </c>
      <c r="D32" s="328" t="s">
        <v>115</v>
      </c>
      <c r="E32" s="422" t="s">
        <v>115</v>
      </c>
      <c r="F32" s="421" t="s">
        <v>115</v>
      </c>
      <c r="G32" s="420" t="s">
        <v>115</v>
      </c>
      <c r="H32" s="119" t="s">
        <v>115</v>
      </c>
      <c r="I32" s="602" t="s">
        <v>115</v>
      </c>
      <c r="J32" s="420" t="s">
        <v>115</v>
      </c>
      <c r="K32" s="605" t="s">
        <v>115</v>
      </c>
      <c r="L32" s="156" t="s">
        <v>115</v>
      </c>
    </row>
    <row r="33" spans="1:12">
      <c r="A33" s="126" t="s">
        <v>141</v>
      </c>
      <c r="B33" s="166" t="s">
        <v>142</v>
      </c>
      <c r="C33" s="420">
        <v>1300</v>
      </c>
      <c r="D33" s="328" t="s">
        <v>1513</v>
      </c>
      <c r="E33" s="422">
        <v>1000</v>
      </c>
      <c r="F33" s="190" t="s">
        <v>1498</v>
      </c>
      <c r="G33" s="419">
        <v>300</v>
      </c>
      <c r="H33" s="119" t="s">
        <v>830</v>
      </c>
      <c r="I33" s="602" t="s">
        <v>1514</v>
      </c>
      <c r="J33" s="420" t="s">
        <v>115</v>
      </c>
      <c r="K33" s="605" t="s">
        <v>115</v>
      </c>
      <c r="L33" s="156" t="s">
        <v>115</v>
      </c>
    </row>
    <row r="34" spans="1:12">
      <c r="A34" s="126" t="s">
        <v>143</v>
      </c>
      <c r="B34" s="166" t="s">
        <v>144</v>
      </c>
      <c r="C34" s="420">
        <v>150</v>
      </c>
      <c r="D34" s="328" t="s">
        <v>1515</v>
      </c>
      <c r="E34" s="422" t="s">
        <v>115</v>
      </c>
      <c r="F34" s="421" t="s">
        <v>115</v>
      </c>
      <c r="G34" s="419">
        <v>150</v>
      </c>
      <c r="H34" s="119" t="s">
        <v>830</v>
      </c>
      <c r="I34" s="602" t="s">
        <v>1503</v>
      </c>
      <c r="J34" s="420" t="s">
        <v>115</v>
      </c>
      <c r="K34" s="605" t="s">
        <v>115</v>
      </c>
      <c r="L34" s="156" t="s">
        <v>115</v>
      </c>
    </row>
    <row r="35" spans="1:12">
      <c r="A35" s="126" t="s">
        <v>145</v>
      </c>
      <c r="B35" s="166" t="s">
        <v>146</v>
      </c>
      <c r="C35" s="420">
        <v>80</v>
      </c>
      <c r="D35" s="328" t="s">
        <v>1505</v>
      </c>
      <c r="E35" s="422" t="s">
        <v>115</v>
      </c>
      <c r="F35" s="421" t="s">
        <v>115</v>
      </c>
      <c r="G35" s="420">
        <v>0.1</v>
      </c>
      <c r="H35" s="119" t="s">
        <v>521</v>
      </c>
      <c r="I35" s="602" t="s">
        <v>1506</v>
      </c>
      <c r="J35" s="420" t="s">
        <v>115</v>
      </c>
      <c r="K35" s="605" t="s">
        <v>115</v>
      </c>
      <c r="L35" s="156" t="s">
        <v>115</v>
      </c>
    </row>
    <row r="36" spans="1:12">
      <c r="A36" s="126" t="s">
        <v>147</v>
      </c>
      <c r="B36" s="166" t="s">
        <v>148</v>
      </c>
      <c r="C36" s="420">
        <v>0.2</v>
      </c>
      <c r="D36" s="328" t="s">
        <v>1516</v>
      </c>
      <c r="E36" s="422" t="s">
        <v>115</v>
      </c>
      <c r="F36" s="421" t="s">
        <v>115</v>
      </c>
      <c r="G36" s="420">
        <v>3.0000000000000001E-3</v>
      </c>
      <c r="H36" s="119" t="s">
        <v>521</v>
      </c>
      <c r="I36" s="602" t="s">
        <v>1506</v>
      </c>
      <c r="J36" s="420" t="s">
        <v>115</v>
      </c>
      <c r="K36" s="605" t="s">
        <v>115</v>
      </c>
      <c r="L36" s="156" t="s">
        <v>115</v>
      </c>
    </row>
    <row r="37" spans="1:12">
      <c r="A37" s="126" t="s">
        <v>149</v>
      </c>
      <c r="B37" s="166" t="s">
        <v>150</v>
      </c>
      <c r="C37" s="420">
        <v>0.05</v>
      </c>
      <c r="D37" s="328" t="s">
        <v>1494</v>
      </c>
      <c r="E37" s="422" t="s">
        <v>115</v>
      </c>
      <c r="F37" s="421" t="s">
        <v>115</v>
      </c>
      <c r="G37" s="420">
        <v>0.01</v>
      </c>
      <c r="H37" s="119" t="s">
        <v>521</v>
      </c>
      <c r="I37" s="602" t="s">
        <v>1499</v>
      </c>
      <c r="J37" s="420" t="s">
        <v>115</v>
      </c>
      <c r="K37" s="605" t="s">
        <v>115</v>
      </c>
      <c r="L37" s="156" t="s">
        <v>115</v>
      </c>
    </row>
    <row r="38" spans="1:12">
      <c r="A38" s="126" t="s">
        <v>151</v>
      </c>
      <c r="B38" s="166" t="s">
        <v>152</v>
      </c>
      <c r="C38" s="420">
        <v>600</v>
      </c>
      <c r="D38" s="328" t="s">
        <v>1494</v>
      </c>
      <c r="E38" s="422" t="s">
        <v>115</v>
      </c>
      <c r="F38" s="421" t="s">
        <v>115</v>
      </c>
      <c r="G38" s="419">
        <v>600</v>
      </c>
      <c r="H38" s="119" t="s">
        <v>830</v>
      </c>
      <c r="I38" s="602" t="s">
        <v>1517</v>
      </c>
      <c r="J38" s="420" t="s">
        <v>115</v>
      </c>
      <c r="K38" s="605" t="s">
        <v>115</v>
      </c>
      <c r="L38" s="156" t="s">
        <v>115</v>
      </c>
    </row>
    <row r="39" spans="1:12">
      <c r="A39" s="126" t="s">
        <v>153</v>
      </c>
      <c r="B39" s="166" t="s">
        <v>154</v>
      </c>
      <c r="C39" s="420">
        <v>5</v>
      </c>
      <c r="D39" s="328" t="s">
        <v>1508</v>
      </c>
      <c r="E39" s="422" t="s">
        <v>115</v>
      </c>
      <c r="F39" s="421" t="s">
        <v>115</v>
      </c>
      <c r="G39" s="420">
        <v>6</v>
      </c>
      <c r="H39" s="119" t="s">
        <v>521</v>
      </c>
      <c r="I39" s="602" t="s">
        <v>1503</v>
      </c>
      <c r="J39" s="420" t="s">
        <v>115</v>
      </c>
      <c r="K39" s="605" t="s">
        <v>115</v>
      </c>
      <c r="L39" s="156" t="s">
        <v>115</v>
      </c>
    </row>
    <row r="40" spans="1:12">
      <c r="A40" s="126" t="s">
        <v>155</v>
      </c>
      <c r="B40" s="166" t="s">
        <v>156</v>
      </c>
      <c r="C40" s="420" t="s">
        <v>115</v>
      </c>
      <c r="D40" s="328" t="s">
        <v>115</v>
      </c>
      <c r="E40" s="422" t="s">
        <v>115</v>
      </c>
      <c r="F40" s="421" t="s">
        <v>115</v>
      </c>
      <c r="G40" s="420" t="s">
        <v>115</v>
      </c>
      <c r="H40" s="119" t="s">
        <v>115</v>
      </c>
      <c r="I40" s="602" t="s">
        <v>115</v>
      </c>
      <c r="J40" s="420" t="s">
        <v>115</v>
      </c>
      <c r="K40" s="605" t="s">
        <v>115</v>
      </c>
      <c r="L40" s="156" t="s">
        <v>115</v>
      </c>
    </row>
    <row r="41" spans="1:12">
      <c r="A41" s="126" t="s">
        <v>157</v>
      </c>
      <c r="B41" s="166" t="s">
        <v>158</v>
      </c>
      <c r="C41" s="420" t="s">
        <v>115</v>
      </c>
      <c r="D41" s="328" t="s">
        <v>115</v>
      </c>
      <c r="E41" s="422" t="s">
        <v>115</v>
      </c>
      <c r="F41" s="421" t="s">
        <v>115</v>
      </c>
      <c r="G41" s="420" t="s">
        <v>115</v>
      </c>
      <c r="H41" s="119" t="s">
        <v>115</v>
      </c>
      <c r="I41" s="602" t="s">
        <v>115</v>
      </c>
      <c r="J41" s="420" t="s">
        <v>115</v>
      </c>
      <c r="K41" s="605" t="s">
        <v>115</v>
      </c>
      <c r="L41" s="156" t="s">
        <v>115</v>
      </c>
    </row>
    <row r="42" spans="1:12">
      <c r="A42" s="126" t="s">
        <v>159</v>
      </c>
      <c r="B42" s="166" t="s">
        <v>160</v>
      </c>
      <c r="C42" s="420" t="s">
        <v>115</v>
      </c>
      <c r="D42" s="328" t="s">
        <v>115</v>
      </c>
      <c r="E42" s="422" t="s">
        <v>115</v>
      </c>
      <c r="F42" s="421" t="s">
        <v>115</v>
      </c>
      <c r="G42" s="420" t="s">
        <v>115</v>
      </c>
      <c r="H42" s="119" t="s">
        <v>115</v>
      </c>
      <c r="I42" s="602" t="s">
        <v>115</v>
      </c>
      <c r="J42" s="420" t="s">
        <v>115</v>
      </c>
      <c r="K42" s="605" t="s">
        <v>115</v>
      </c>
      <c r="L42" s="156" t="s">
        <v>115</v>
      </c>
    </row>
    <row r="43" spans="1:12">
      <c r="A43" s="126" t="s">
        <v>161</v>
      </c>
      <c r="B43" s="166" t="s">
        <v>162</v>
      </c>
      <c r="C43" s="420" t="s">
        <v>115</v>
      </c>
      <c r="D43" s="328" t="s">
        <v>115</v>
      </c>
      <c r="E43" s="422" t="s">
        <v>115</v>
      </c>
      <c r="F43" s="421" t="s">
        <v>115</v>
      </c>
      <c r="G43" s="420" t="s">
        <v>115</v>
      </c>
      <c r="H43" s="119" t="s">
        <v>115</v>
      </c>
      <c r="I43" s="602" t="s">
        <v>115</v>
      </c>
      <c r="J43" s="420" t="s">
        <v>115</v>
      </c>
      <c r="K43" s="605" t="s">
        <v>115</v>
      </c>
      <c r="L43" s="156" t="s">
        <v>115</v>
      </c>
    </row>
    <row r="44" spans="1:12">
      <c r="A44" s="126" t="s">
        <v>163</v>
      </c>
      <c r="B44" s="166" t="s">
        <v>164</v>
      </c>
      <c r="C44" s="420">
        <v>5</v>
      </c>
      <c r="D44" s="328" t="s">
        <v>1502</v>
      </c>
      <c r="E44" s="422" t="s">
        <v>115</v>
      </c>
      <c r="F44" s="421" t="s">
        <v>115</v>
      </c>
      <c r="G44" s="420">
        <v>3</v>
      </c>
      <c r="H44" s="119" t="s">
        <v>521</v>
      </c>
      <c r="I44" s="602" t="s">
        <v>1499</v>
      </c>
      <c r="J44" s="420" t="s">
        <v>115</v>
      </c>
      <c r="K44" s="605" t="s">
        <v>115</v>
      </c>
      <c r="L44" s="156" t="s">
        <v>115</v>
      </c>
    </row>
    <row r="45" spans="1:12">
      <c r="A45" s="126" t="s">
        <v>165</v>
      </c>
      <c r="B45" s="166" t="s">
        <v>166</v>
      </c>
      <c r="C45" s="420">
        <v>0.5</v>
      </c>
      <c r="D45" s="328" t="s">
        <v>1508</v>
      </c>
      <c r="E45" s="422" t="s">
        <v>115</v>
      </c>
      <c r="F45" s="421" t="s">
        <v>115</v>
      </c>
      <c r="G45" s="420">
        <v>0.4</v>
      </c>
      <c r="H45" s="119" t="s">
        <v>521</v>
      </c>
      <c r="I45" s="602" t="s">
        <v>1518</v>
      </c>
      <c r="J45" s="420" t="s">
        <v>115</v>
      </c>
      <c r="K45" s="605" t="s">
        <v>115</v>
      </c>
      <c r="L45" s="156" t="s">
        <v>115</v>
      </c>
    </row>
    <row r="46" spans="1:12">
      <c r="A46" s="126" t="s">
        <v>167</v>
      </c>
      <c r="B46" s="166" t="s">
        <v>168</v>
      </c>
      <c r="C46" s="420">
        <v>6</v>
      </c>
      <c r="D46" s="328" t="s">
        <v>1508</v>
      </c>
      <c r="E46" s="422" t="s">
        <v>115</v>
      </c>
      <c r="F46" s="421" t="s">
        <v>115</v>
      </c>
      <c r="G46" s="419">
        <v>10</v>
      </c>
      <c r="H46" s="119" t="s">
        <v>830</v>
      </c>
      <c r="I46" s="602" t="s">
        <v>1519</v>
      </c>
      <c r="J46" s="420" t="s">
        <v>115</v>
      </c>
      <c r="K46" s="605" t="s">
        <v>115</v>
      </c>
      <c r="L46" s="156" t="s">
        <v>115</v>
      </c>
    </row>
    <row r="47" spans="1:12">
      <c r="A47" s="126" t="s">
        <v>169</v>
      </c>
      <c r="B47" s="166" t="s">
        <v>170</v>
      </c>
      <c r="C47" s="420">
        <v>6</v>
      </c>
      <c r="D47" s="328" t="s">
        <v>1494</v>
      </c>
      <c r="E47" s="422" t="s">
        <v>115</v>
      </c>
      <c r="F47" s="421" t="s">
        <v>115</v>
      </c>
      <c r="G47" s="419">
        <v>13</v>
      </c>
      <c r="H47" s="119" t="s">
        <v>830</v>
      </c>
      <c r="I47" s="602" t="s">
        <v>1520</v>
      </c>
      <c r="J47" s="420" t="s">
        <v>115</v>
      </c>
      <c r="K47" s="605" t="s">
        <v>115</v>
      </c>
      <c r="L47" s="156" t="s">
        <v>115</v>
      </c>
    </row>
    <row r="48" spans="1:12">
      <c r="A48" s="126" t="s">
        <v>171</v>
      </c>
      <c r="B48" s="166" t="s">
        <v>172</v>
      </c>
      <c r="C48" s="420">
        <v>10</v>
      </c>
      <c r="D48" s="328" t="s">
        <v>1494</v>
      </c>
      <c r="E48" s="422" t="s">
        <v>115</v>
      </c>
      <c r="F48" s="421" t="s">
        <v>115</v>
      </c>
      <c r="G48" s="420">
        <v>50</v>
      </c>
      <c r="H48" s="119" t="s">
        <v>830</v>
      </c>
      <c r="I48" s="602" t="s">
        <v>1520</v>
      </c>
      <c r="J48" s="420" t="s">
        <v>115</v>
      </c>
      <c r="K48" s="605" t="s">
        <v>115</v>
      </c>
      <c r="L48" s="156" t="s">
        <v>115</v>
      </c>
    </row>
    <row r="49" spans="1:12">
      <c r="A49" s="126" t="s">
        <v>173</v>
      </c>
      <c r="B49" s="166" t="s">
        <v>174</v>
      </c>
      <c r="C49" s="420" t="s">
        <v>115</v>
      </c>
      <c r="D49" s="328" t="s">
        <v>115</v>
      </c>
      <c r="E49" s="422" t="s">
        <v>115</v>
      </c>
      <c r="F49" s="421" t="s">
        <v>115</v>
      </c>
      <c r="G49" s="420" t="s">
        <v>115</v>
      </c>
      <c r="H49" s="119"/>
      <c r="I49" s="602" t="s">
        <v>115</v>
      </c>
      <c r="J49" s="420" t="s">
        <v>115</v>
      </c>
      <c r="K49" s="605" t="s">
        <v>115</v>
      </c>
      <c r="L49" s="156" t="s">
        <v>115</v>
      </c>
    </row>
    <row r="50" spans="1:12">
      <c r="A50" s="126" t="s">
        <v>175</v>
      </c>
      <c r="B50" s="166" t="s">
        <v>176</v>
      </c>
      <c r="C50" s="420">
        <v>5</v>
      </c>
      <c r="D50" s="328" t="s">
        <v>1502</v>
      </c>
      <c r="E50" s="422" t="s">
        <v>115</v>
      </c>
      <c r="F50" s="421" t="s">
        <v>115</v>
      </c>
      <c r="G50" s="420">
        <v>0.5</v>
      </c>
      <c r="H50" s="119" t="s">
        <v>521</v>
      </c>
      <c r="I50" s="602" t="s">
        <v>1519</v>
      </c>
      <c r="J50" s="420" t="s">
        <v>115</v>
      </c>
      <c r="K50" s="605" t="s">
        <v>115</v>
      </c>
      <c r="L50" s="156" t="s">
        <v>115</v>
      </c>
    </row>
    <row r="51" spans="1:12">
      <c r="A51" s="126" t="s">
        <v>177</v>
      </c>
      <c r="B51" s="166" t="s">
        <v>178</v>
      </c>
      <c r="C51" s="420">
        <v>0.5</v>
      </c>
      <c r="D51" s="328" t="s">
        <v>1508</v>
      </c>
      <c r="E51" s="422" t="s">
        <v>115</v>
      </c>
      <c r="F51" s="421" t="s">
        <v>115</v>
      </c>
      <c r="G51" s="420">
        <v>0.2</v>
      </c>
      <c r="H51" s="119" t="s">
        <v>521</v>
      </c>
      <c r="I51" s="602" t="s">
        <v>1507</v>
      </c>
      <c r="J51" s="420" t="s">
        <v>115</v>
      </c>
      <c r="K51" s="605" t="s">
        <v>115</v>
      </c>
      <c r="L51" s="156" t="s">
        <v>115</v>
      </c>
    </row>
    <row r="52" spans="1:12">
      <c r="A52" s="126" t="s">
        <v>179</v>
      </c>
      <c r="B52" s="166" t="s">
        <v>180</v>
      </c>
      <c r="C52" s="420" t="s">
        <v>115</v>
      </c>
      <c r="D52" s="328" t="s">
        <v>115</v>
      </c>
      <c r="E52" s="422" t="s">
        <v>115</v>
      </c>
      <c r="F52" s="421" t="s">
        <v>115</v>
      </c>
      <c r="G52" s="419" t="s">
        <v>115</v>
      </c>
      <c r="H52" s="605" t="s">
        <v>115</v>
      </c>
      <c r="I52" s="602" t="s">
        <v>115</v>
      </c>
      <c r="J52" s="420">
        <v>2E-3</v>
      </c>
      <c r="K52" s="119" t="s">
        <v>830</v>
      </c>
      <c r="L52" s="156" t="s">
        <v>1493</v>
      </c>
    </row>
    <row r="53" spans="1:12">
      <c r="A53" s="126" t="s">
        <v>181</v>
      </c>
      <c r="B53" s="166" t="s">
        <v>182</v>
      </c>
      <c r="C53" s="420" t="s">
        <v>115</v>
      </c>
      <c r="D53" s="328" t="s">
        <v>115</v>
      </c>
      <c r="E53" s="422" t="s">
        <v>115</v>
      </c>
      <c r="F53" s="421" t="s">
        <v>115</v>
      </c>
      <c r="G53" s="420" t="s">
        <v>115</v>
      </c>
      <c r="H53" s="605" t="s">
        <v>115</v>
      </c>
      <c r="I53" s="602" t="s">
        <v>115</v>
      </c>
      <c r="J53" s="420" t="s">
        <v>115</v>
      </c>
      <c r="K53" s="605" t="s">
        <v>115</v>
      </c>
      <c r="L53" s="156" t="s">
        <v>115</v>
      </c>
    </row>
    <row r="54" spans="1:12">
      <c r="A54" s="126" t="s">
        <v>183</v>
      </c>
      <c r="B54" s="166" t="s">
        <v>184</v>
      </c>
      <c r="C54" s="420" t="s">
        <v>115</v>
      </c>
      <c r="D54" s="328" t="s">
        <v>115</v>
      </c>
      <c r="E54" s="422" t="s">
        <v>115</v>
      </c>
      <c r="F54" s="421" t="s">
        <v>115</v>
      </c>
      <c r="G54" s="420" t="s">
        <v>115</v>
      </c>
      <c r="H54" s="605" t="s">
        <v>115</v>
      </c>
      <c r="I54" s="602" t="s">
        <v>115</v>
      </c>
      <c r="J54" s="420">
        <v>100</v>
      </c>
      <c r="K54" s="119" t="s">
        <v>830</v>
      </c>
      <c r="L54" s="156" t="s">
        <v>1493</v>
      </c>
    </row>
    <row r="55" spans="1:12">
      <c r="A55" s="126" t="s">
        <v>185</v>
      </c>
      <c r="B55" s="166" t="s">
        <v>186</v>
      </c>
      <c r="C55" s="420" t="s">
        <v>115</v>
      </c>
      <c r="D55" s="328" t="s">
        <v>115</v>
      </c>
      <c r="E55" s="422" t="s">
        <v>115</v>
      </c>
      <c r="F55" s="421" t="s">
        <v>115</v>
      </c>
      <c r="G55" s="420" t="s">
        <v>115</v>
      </c>
      <c r="H55" s="605" t="s">
        <v>115</v>
      </c>
      <c r="I55" s="602" t="s">
        <v>115</v>
      </c>
      <c r="J55" s="420" t="s">
        <v>115</v>
      </c>
      <c r="K55" s="605" t="s">
        <v>115</v>
      </c>
      <c r="L55" s="156" t="s">
        <v>115</v>
      </c>
    </row>
    <row r="56" spans="1:12">
      <c r="A56" s="126" t="s">
        <v>187</v>
      </c>
      <c r="B56" s="166" t="s">
        <v>188</v>
      </c>
      <c r="C56" s="420" t="s">
        <v>115</v>
      </c>
      <c r="D56" s="328" t="s">
        <v>115</v>
      </c>
      <c r="E56" s="422" t="s">
        <v>115</v>
      </c>
      <c r="F56" s="421" t="s">
        <v>115</v>
      </c>
      <c r="G56" s="420" t="s">
        <v>115</v>
      </c>
      <c r="H56" s="605" t="s">
        <v>115</v>
      </c>
      <c r="I56" s="602" t="s">
        <v>115</v>
      </c>
      <c r="J56" s="420" t="s">
        <v>115</v>
      </c>
      <c r="K56" s="605" t="s">
        <v>115</v>
      </c>
      <c r="L56" s="156" t="s">
        <v>115</v>
      </c>
    </row>
    <row r="57" spans="1:12">
      <c r="A57" s="126" t="s">
        <v>189</v>
      </c>
      <c r="B57" s="166" t="s">
        <v>190</v>
      </c>
      <c r="C57" s="420" t="s">
        <v>115</v>
      </c>
      <c r="D57" s="328" t="s">
        <v>115</v>
      </c>
      <c r="E57" s="422" t="s">
        <v>115</v>
      </c>
      <c r="F57" s="421" t="s">
        <v>115</v>
      </c>
      <c r="G57" s="420" t="s">
        <v>115</v>
      </c>
      <c r="H57" s="605" t="s">
        <v>115</v>
      </c>
      <c r="I57" s="602" t="s">
        <v>115</v>
      </c>
      <c r="J57" s="420">
        <v>1</v>
      </c>
      <c r="K57" s="119" t="s">
        <v>521</v>
      </c>
      <c r="L57" s="156" t="s">
        <v>1521</v>
      </c>
    </row>
    <row r="58" spans="1:12">
      <c r="A58" s="126" t="s">
        <v>191</v>
      </c>
      <c r="B58" s="166" t="s">
        <v>192</v>
      </c>
      <c r="C58" s="420">
        <v>3.0000000000000001E-5</v>
      </c>
      <c r="D58" s="328" t="s">
        <v>1494</v>
      </c>
      <c r="E58" s="422" t="s">
        <v>115</v>
      </c>
      <c r="F58" s="421" t="s">
        <v>115</v>
      </c>
      <c r="G58" s="420">
        <v>4.9999999999999998E-8</v>
      </c>
      <c r="H58" s="605" t="s">
        <v>115</v>
      </c>
      <c r="I58" s="602" t="s">
        <v>1522</v>
      </c>
      <c r="J58" s="420" t="s">
        <v>115</v>
      </c>
      <c r="K58" s="605" t="s">
        <v>115</v>
      </c>
      <c r="L58" s="156" t="s">
        <v>115</v>
      </c>
    </row>
    <row r="59" spans="1:12">
      <c r="A59" s="126" t="s">
        <v>193</v>
      </c>
      <c r="B59" s="166" t="s">
        <v>194</v>
      </c>
      <c r="C59" s="420" t="s">
        <v>115</v>
      </c>
      <c r="D59" s="328" t="s">
        <v>115</v>
      </c>
      <c r="E59" s="422" t="s">
        <v>115</v>
      </c>
      <c r="F59" s="421" t="s">
        <v>115</v>
      </c>
      <c r="G59" s="420" t="s">
        <v>115</v>
      </c>
      <c r="H59" s="605" t="s">
        <v>115</v>
      </c>
      <c r="I59" s="602" t="s">
        <v>115</v>
      </c>
      <c r="J59" s="420" t="s">
        <v>115</v>
      </c>
      <c r="K59" s="605" t="s">
        <v>115</v>
      </c>
      <c r="L59" s="156" t="s">
        <v>115</v>
      </c>
    </row>
    <row r="60" spans="1:12">
      <c r="A60" s="126" t="s">
        <v>195</v>
      </c>
      <c r="B60" s="166" t="s">
        <v>196</v>
      </c>
      <c r="C60" s="420">
        <v>2</v>
      </c>
      <c r="D60" s="328" t="s">
        <v>1494</v>
      </c>
      <c r="E60" s="422" t="s">
        <v>115</v>
      </c>
      <c r="F60" s="421" t="s">
        <v>115</v>
      </c>
      <c r="G60" s="420">
        <v>0.3</v>
      </c>
      <c r="H60" s="119" t="s">
        <v>830</v>
      </c>
      <c r="I60" s="602" t="s">
        <v>1495</v>
      </c>
      <c r="J60" s="420" t="s">
        <v>115</v>
      </c>
      <c r="K60" s="605" t="s">
        <v>115</v>
      </c>
      <c r="L60" s="156" t="s">
        <v>115</v>
      </c>
    </row>
    <row r="61" spans="1:12">
      <c r="A61" s="126" t="s">
        <v>197</v>
      </c>
      <c r="B61" s="166" t="s">
        <v>198</v>
      </c>
      <c r="C61" s="420">
        <v>300</v>
      </c>
      <c r="D61" s="328" t="s">
        <v>1515</v>
      </c>
      <c r="E61" s="422" t="s">
        <v>115</v>
      </c>
      <c r="F61" s="421" t="s">
        <v>115</v>
      </c>
      <c r="G61" s="420">
        <v>300</v>
      </c>
      <c r="H61" s="119" t="s">
        <v>830</v>
      </c>
      <c r="I61" s="602" t="s">
        <v>1503</v>
      </c>
      <c r="J61" s="420" t="s">
        <v>115</v>
      </c>
      <c r="K61" s="605" t="s">
        <v>115</v>
      </c>
      <c r="L61" s="156" t="s">
        <v>115</v>
      </c>
    </row>
    <row r="62" spans="1:12">
      <c r="A62" s="126" t="s">
        <v>199</v>
      </c>
      <c r="B62" s="166" t="s">
        <v>200</v>
      </c>
      <c r="C62" s="420">
        <v>0.01</v>
      </c>
      <c r="D62" s="328" t="s">
        <v>1502</v>
      </c>
      <c r="E62" s="422" t="s">
        <v>115</v>
      </c>
      <c r="F62" s="421" t="s">
        <v>115</v>
      </c>
      <c r="G62" s="420">
        <v>8.0000000000000002E-3</v>
      </c>
      <c r="H62" s="119" t="s">
        <v>521</v>
      </c>
      <c r="I62" s="602" t="s">
        <v>1519</v>
      </c>
      <c r="J62" s="420" t="s">
        <v>115</v>
      </c>
      <c r="K62" s="605" t="s">
        <v>115</v>
      </c>
      <c r="L62" s="156" t="s">
        <v>115</v>
      </c>
    </row>
    <row r="63" spans="1:12">
      <c r="A63" s="126" t="s">
        <v>201</v>
      </c>
      <c r="B63" s="166" t="s">
        <v>202</v>
      </c>
      <c r="C63" s="420">
        <v>0.01</v>
      </c>
      <c r="D63" s="328" t="s">
        <v>1502</v>
      </c>
      <c r="E63" s="422" t="s">
        <v>115</v>
      </c>
      <c r="F63" s="421" t="s">
        <v>115</v>
      </c>
      <c r="G63" s="420">
        <v>6.0000000000000001E-3</v>
      </c>
      <c r="H63" s="119" t="s">
        <v>521</v>
      </c>
      <c r="I63" s="602" t="s">
        <v>1519</v>
      </c>
      <c r="J63" s="420" t="s">
        <v>115</v>
      </c>
      <c r="K63" s="605" t="s">
        <v>115</v>
      </c>
      <c r="L63" s="156" t="s">
        <v>115</v>
      </c>
    </row>
    <row r="64" spans="1:12">
      <c r="A64" s="126" t="s">
        <v>203</v>
      </c>
      <c r="B64" s="166" t="s">
        <v>204</v>
      </c>
      <c r="C64" s="420">
        <v>1</v>
      </c>
      <c r="D64" s="328" t="s">
        <v>1494</v>
      </c>
      <c r="E64" s="422" t="s">
        <v>115</v>
      </c>
      <c r="F64" s="421" t="s">
        <v>115</v>
      </c>
      <c r="G64" s="420">
        <v>0.03</v>
      </c>
      <c r="H64" s="119" t="s">
        <v>521</v>
      </c>
      <c r="I64" s="602" t="s">
        <v>1499</v>
      </c>
      <c r="J64" s="420" t="s">
        <v>115</v>
      </c>
      <c r="K64" s="605" t="s">
        <v>115</v>
      </c>
      <c r="L64" s="156" t="s">
        <v>115</v>
      </c>
    </row>
    <row r="65" spans="1:12">
      <c r="A65" s="126" t="s">
        <v>205</v>
      </c>
      <c r="B65" s="166" t="s">
        <v>206</v>
      </c>
      <c r="C65" s="420" t="s">
        <v>115</v>
      </c>
      <c r="D65" s="328" t="s">
        <v>115</v>
      </c>
      <c r="E65" s="422" t="s">
        <v>115</v>
      </c>
      <c r="F65" s="421" t="s">
        <v>115</v>
      </c>
      <c r="G65" s="420" t="s">
        <v>115</v>
      </c>
      <c r="H65" s="605" t="s">
        <v>115</v>
      </c>
      <c r="I65" s="602" t="s">
        <v>115</v>
      </c>
      <c r="J65" s="420" t="s">
        <v>115</v>
      </c>
      <c r="K65" s="605" t="s">
        <v>115</v>
      </c>
      <c r="L65" s="156" t="s">
        <v>115</v>
      </c>
    </row>
    <row r="66" spans="1:12">
      <c r="A66" s="2104" t="s">
        <v>4279</v>
      </c>
      <c r="B66" s="166" t="s">
        <v>208</v>
      </c>
      <c r="C66" s="420">
        <v>0.2</v>
      </c>
      <c r="D66" s="328" t="s">
        <v>1494</v>
      </c>
      <c r="E66" s="422" t="s">
        <v>115</v>
      </c>
      <c r="F66" s="421" t="s">
        <v>115</v>
      </c>
      <c r="G66" s="420">
        <v>3.2000000000000001E-2</v>
      </c>
      <c r="H66" s="119" t="s">
        <v>521</v>
      </c>
      <c r="I66" s="602" t="s">
        <v>1518</v>
      </c>
      <c r="J66" s="420" t="s">
        <v>115</v>
      </c>
      <c r="K66" s="605" t="s">
        <v>115</v>
      </c>
      <c r="L66" s="156" t="s">
        <v>115</v>
      </c>
    </row>
    <row r="67" spans="1:12">
      <c r="A67" s="126" t="s">
        <v>209</v>
      </c>
      <c r="B67" s="166" t="s">
        <v>210</v>
      </c>
      <c r="C67" s="420" t="s">
        <v>115</v>
      </c>
      <c r="D67" s="328" t="s">
        <v>115</v>
      </c>
      <c r="E67" s="422" t="s">
        <v>115</v>
      </c>
      <c r="F67" s="421" t="s">
        <v>115</v>
      </c>
      <c r="G67" s="420" t="s">
        <v>115</v>
      </c>
      <c r="H67" s="605" t="s">
        <v>115</v>
      </c>
      <c r="I67" s="602" t="s">
        <v>115</v>
      </c>
      <c r="J67" s="420" t="s">
        <v>115</v>
      </c>
      <c r="K67" s="605" t="s">
        <v>115</v>
      </c>
      <c r="L67" s="156" t="s">
        <v>115</v>
      </c>
    </row>
    <row r="68" spans="1:12">
      <c r="A68" s="126" t="s">
        <v>211</v>
      </c>
      <c r="B68" s="166" t="s">
        <v>212</v>
      </c>
      <c r="C68" s="420">
        <v>15</v>
      </c>
      <c r="D68" s="328" t="s">
        <v>1513</v>
      </c>
      <c r="E68" s="422" t="s">
        <v>115</v>
      </c>
      <c r="F68" s="421" t="s">
        <v>115</v>
      </c>
      <c r="G68" s="420">
        <v>0.2</v>
      </c>
      <c r="H68" s="119" t="s">
        <v>830</v>
      </c>
      <c r="I68" s="602" t="s">
        <v>1517</v>
      </c>
      <c r="J68" s="420" t="s">
        <v>115</v>
      </c>
      <c r="K68" s="605" t="s">
        <v>115</v>
      </c>
      <c r="L68" s="156" t="s">
        <v>115</v>
      </c>
    </row>
    <row r="69" spans="1:12">
      <c r="A69" s="126" t="s">
        <v>213</v>
      </c>
      <c r="B69" s="166" t="s">
        <v>214</v>
      </c>
      <c r="C69" s="420">
        <v>2</v>
      </c>
      <c r="D69" s="328" t="s">
        <v>1498</v>
      </c>
      <c r="E69" s="422" t="s">
        <v>115</v>
      </c>
      <c r="F69" s="421" t="s">
        <v>115</v>
      </c>
      <c r="G69" s="420">
        <v>1.2</v>
      </c>
      <c r="H69" s="119" t="s">
        <v>830</v>
      </c>
      <c r="I69" s="602" t="s">
        <v>1518</v>
      </c>
      <c r="J69" s="420" t="s">
        <v>115</v>
      </c>
      <c r="K69" s="605" t="s">
        <v>115</v>
      </c>
      <c r="L69" s="156" t="s">
        <v>115</v>
      </c>
    </row>
    <row r="70" spans="1:12">
      <c r="A70" s="126" t="s">
        <v>215</v>
      </c>
      <c r="B70" s="166" t="s">
        <v>216</v>
      </c>
      <c r="C70" s="420">
        <v>30</v>
      </c>
      <c r="D70" s="328" t="s">
        <v>1515</v>
      </c>
      <c r="E70" s="422" t="s">
        <v>115</v>
      </c>
      <c r="F70" s="421" t="s">
        <v>115</v>
      </c>
      <c r="G70" s="420">
        <v>0.09</v>
      </c>
      <c r="H70" s="119" t="s">
        <v>830</v>
      </c>
      <c r="I70" s="602" t="s">
        <v>1522</v>
      </c>
      <c r="J70" s="420" t="s">
        <v>115</v>
      </c>
      <c r="K70" s="605" t="s">
        <v>115</v>
      </c>
      <c r="L70" s="156" t="s">
        <v>115</v>
      </c>
    </row>
    <row r="71" spans="1:12">
      <c r="A71" s="126" t="s">
        <v>217</v>
      </c>
      <c r="B71" s="166" t="s">
        <v>218</v>
      </c>
      <c r="C71" s="420">
        <v>5</v>
      </c>
      <c r="D71" s="328" t="s">
        <v>1494</v>
      </c>
      <c r="E71" s="422" t="s">
        <v>115</v>
      </c>
      <c r="F71" s="421" t="s">
        <v>115</v>
      </c>
      <c r="G71" s="420">
        <v>4</v>
      </c>
      <c r="H71" s="119" t="s">
        <v>521</v>
      </c>
      <c r="I71" s="602" t="s">
        <v>1509</v>
      </c>
      <c r="J71" s="420" t="s">
        <v>115</v>
      </c>
      <c r="K71" s="605" t="s">
        <v>115</v>
      </c>
      <c r="L71" s="156" t="s">
        <v>115</v>
      </c>
    </row>
    <row r="72" spans="1:12">
      <c r="A72" s="126" t="s">
        <v>219</v>
      </c>
      <c r="B72" s="166" t="s">
        <v>220</v>
      </c>
      <c r="C72" s="420" t="s">
        <v>115</v>
      </c>
      <c r="D72" s="328" t="s">
        <v>115</v>
      </c>
      <c r="E72" s="422" t="s">
        <v>115</v>
      </c>
      <c r="F72" s="421" t="s">
        <v>115</v>
      </c>
      <c r="G72" s="420" t="s">
        <v>115</v>
      </c>
      <c r="H72" s="605" t="s">
        <v>115</v>
      </c>
      <c r="I72" s="602" t="s">
        <v>115</v>
      </c>
      <c r="J72" s="420" t="s">
        <v>115</v>
      </c>
      <c r="K72" s="605" t="s">
        <v>115</v>
      </c>
      <c r="L72" s="156" t="s">
        <v>115</v>
      </c>
    </row>
    <row r="73" spans="1:12">
      <c r="A73" s="126" t="s">
        <v>221</v>
      </c>
      <c r="B73" s="166" t="s">
        <v>222</v>
      </c>
      <c r="C73" s="420" t="s">
        <v>115</v>
      </c>
      <c r="D73" s="328" t="s">
        <v>115</v>
      </c>
      <c r="E73" s="422" t="s">
        <v>115</v>
      </c>
      <c r="F73" s="421" t="s">
        <v>115</v>
      </c>
      <c r="G73" s="419" t="s">
        <v>115</v>
      </c>
      <c r="H73" s="605" t="s">
        <v>115</v>
      </c>
      <c r="I73" s="602" t="s">
        <v>115</v>
      </c>
      <c r="J73" s="420">
        <v>120</v>
      </c>
      <c r="K73" s="119" t="s">
        <v>830</v>
      </c>
      <c r="L73" s="156" t="s">
        <v>1523</v>
      </c>
    </row>
    <row r="74" spans="1:12">
      <c r="A74" s="126" t="s">
        <v>223</v>
      </c>
      <c r="B74" s="166" t="s">
        <v>224</v>
      </c>
      <c r="C74" s="420" t="s">
        <v>115</v>
      </c>
      <c r="D74" s="328" t="s">
        <v>115</v>
      </c>
      <c r="E74" s="422" t="s">
        <v>115</v>
      </c>
      <c r="F74" s="421" t="s">
        <v>115</v>
      </c>
      <c r="G74" s="420" t="s">
        <v>115</v>
      </c>
      <c r="H74" s="605" t="s">
        <v>115</v>
      </c>
      <c r="I74" s="602" t="s">
        <v>115</v>
      </c>
      <c r="J74" s="420" t="s">
        <v>115</v>
      </c>
      <c r="K74" s="605" t="s">
        <v>115</v>
      </c>
      <c r="L74" s="156" t="s">
        <v>115</v>
      </c>
    </row>
    <row r="75" spans="1:12">
      <c r="A75" s="126" t="s">
        <v>225</v>
      </c>
      <c r="B75" s="166" t="s">
        <v>226</v>
      </c>
      <c r="C75" s="420" t="s">
        <v>115</v>
      </c>
      <c r="D75" s="328" t="s">
        <v>115</v>
      </c>
      <c r="E75" s="422" t="s">
        <v>115</v>
      </c>
      <c r="F75" s="421" t="s">
        <v>115</v>
      </c>
      <c r="G75" s="420" t="s">
        <v>115</v>
      </c>
      <c r="H75" s="605" t="s">
        <v>115</v>
      </c>
      <c r="I75" s="602" t="s">
        <v>115</v>
      </c>
      <c r="J75" s="420" t="s">
        <v>115</v>
      </c>
      <c r="K75" s="605" t="s">
        <v>115</v>
      </c>
      <c r="L75" s="156" t="s">
        <v>115</v>
      </c>
    </row>
    <row r="76" spans="1:12">
      <c r="A76" s="126" t="s">
        <v>227</v>
      </c>
      <c r="B76" s="166" t="s">
        <v>228</v>
      </c>
      <c r="C76" s="420">
        <v>13</v>
      </c>
      <c r="D76" s="328" t="s">
        <v>1524</v>
      </c>
      <c r="E76" s="422">
        <v>5</v>
      </c>
      <c r="F76" s="190" t="s">
        <v>1525</v>
      </c>
      <c r="G76" s="420">
        <v>13</v>
      </c>
      <c r="H76" s="119" t="s">
        <v>521</v>
      </c>
      <c r="I76" s="602" t="s">
        <v>1519</v>
      </c>
      <c r="J76" s="420" t="s">
        <v>115</v>
      </c>
      <c r="K76" s="605" t="s">
        <v>115</v>
      </c>
      <c r="L76" s="156" t="s">
        <v>115</v>
      </c>
    </row>
    <row r="77" spans="1:12">
      <c r="A77" s="126" t="s">
        <v>229</v>
      </c>
      <c r="B77" s="166" t="s">
        <v>230</v>
      </c>
      <c r="C77" s="420" t="s">
        <v>115</v>
      </c>
      <c r="D77" s="328" t="s">
        <v>115</v>
      </c>
      <c r="E77" s="422" t="s">
        <v>115</v>
      </c>
      <c r="F77" s="421" t="s">
        <v>115</v>
      </c>
      <c r="G77" s="420" t="s">
        <v>115</v>
      </c>
      <c r="H77" s="605" t="s">
        <v>115</v>
      </c>
      <c r="I77" s="602" t="s">
        <v>115</v>
      </c>
      <c r="J77" s="420" t="s">
        <v>115</v>
      </c>
      <c r="K77" s="605" t="s">
        <v>115</v>
      </c>
      <c r="L77" s="156" t="s">
        <v>115</v>
      </c>
    </row>
    <row r="78" spans="1:12">
      <c r="A78" s="126" t="s">
        <v>231</v>
      </c>
      <c r="B78" s="166" t="s">
        <v>232</v>
      </c>
      <c r="C78" s="420">
        <v>100</v>
      </c>
      <c r="D78" s="217" t="s">
        <v>1494</v>
      </c>
      <c r="E78" s="422" t="s">
        <v>115</v>
      </c>
      <c r="F78" s="421" t="s">
        <v>115</v>
      </c>
      <c r="G78" s="420">
        <v>12</v>
      </c>
      <c r="H78" s="119" t="s">
        <v>521</v>
      </c>
      <c r="I78" s="602" t="s">
        <v>1501</v>
      </c>
      <c r="J78" s="420" t="s">
        <v>115</v>
      </c>
      <c r="K78" s="605" t="s">
        <v>115</v>
      </c>
      <c r="L78" s="156" t="s">
        <v>115</v>
      </c>
    </row>
    <row r="79" spans="1:12">
      <c r="A79" s="126" t="s">
        <v>233</v>
      </c>
      <c r="B79" s="166" t="s">
        <v>234</v>
      </c>
      <c r="C79" s="418" t="s">
        <v>115</v>
      </c>
      <c r="D79" s="190" t="s">
        <v>115</v>
      </c>
      <c r="E79" s="422" t="s">
        <v>115</v>
      </c>
      <c r="F79" s="421" t="s">
        <v>115</v>
      </c>
      <c r="G79" s="418" t="s">
        <v>115</v>
      </c>
      <c r="H79" s="604" t="s">
        <v>115</v>
      </c>
      <c r="I79" s="601" t="s">
        <v>115</v>
      </c>
      <c r="J79" s="418" t="s">
        <v>115</v>
      </c>
      <c r="K79" s="604" t="s">
        <v>115</v>
      </c>
      <c r="L79" s="417" t="s">
        <v>115</v>
      </c>
    </row>
    <row r="80" spans="1:12">
      <c r="A80" s="126" t="s">
        <v>235</v>
      </c>
      <c r="B80" s="166" t="s">
        <v>236</v>
      </c>
      <c r="C80" s="419" t="s">
        <v>115</v>
      </c>
      <c r="D80" s="328" t="s">
        <v>115</v>
      </c>
      <c r="E80" s="422" t="s">
        <v>115</v>
      </c>
      <c r="F80" s="421" t="s">
        <v>115</v>
      </c>
      <c r="G80" s="419" t="s">
        <v>115</v>
      </c>
      <c r="H80" s="605" t="s">
        <v>115</v>
      </c>
      <c r="I80" s="399" t="s">
        <v>115</v>
      </c>
      <c r="J80" s="419" t="s">
        <v>115</v>
      </c>
      <c r="K80" s="605" t="s">
        <v>115</v>
      </c>
      <c r="L80" s="169" t="s">
        <v>115</v>
      </c>
    </row>
    <row r="81" spans="1:12">
      <c r="A81" s="126" t="s">
        <v>237</v>
      </c>
      <c r="B81" s="166" t="s">
        <v>238</v>
      </c>
      <c r="C81" s="420" t="s">
        <v>115</v>
      </c>
      <c r="D81" s="217" t="s">
        <v>115</v>
      </c>
      <c r="E81" s="422" t="s">
        <v>115</v>
      </c>
      <c r="F81" s="421" t="s">
        <v>115</v>
      </c>
      <c r="G81" s="419" t="s">
        <v>115</v>
      </c>
      <c r="H81" s="605" t="s">
        <v>115</v>
      </c>
      <c r="I81" s="399" t="s">
        <v>115</v>
      </c>
      <c r="J81" s="419" t="s">
        <v>115</v>
      </c>
      <c r="K81" s="605" t="s">
        <v>115</v>
      </c>
      <c r="L81" s="169" t="s">
        <v>115</v>
      </c>
    </row>
    <row r="82" spans="1:12">
      <c r="A82" s="126" t="s">
        <v>239</v>
      </c>
      <c r="B82" s="166" t="s">
        <v>240</v>
      </c>
      <c r="C82" s="420">
        <v>0.2</v>
      </c>
      <c r="D82" s="328" t="s">
        <v>1494</v>
      </c>
      <c r="E82" s="422" t="s">
        <v>115</v>
      </c>
      <c r="F82" s="421" t="s">
        <v>115</v>
      </c>
      <c r="G82" s="420">
        <v>7.0000000000000001E-3</v>
      </c>
      <c r="H82" s="119" t="s">
        <v>521</v>
      </c>
      <c r="I82" s="602" t="s">
        <v>1522</v>
      </c>
      <c r="J82" s="420" t="s">
        <v>115</v>
      </c>
      <c r="K82" s="605" t="s">
        <v>115</v>
      </c>
      <c r="L82" s="169" t="s">
        <v>115</v>
      </c>
    </row>
    <row r="83" spans="1:12">
      <c r="A83" s="126" t="s">
        <v>241</v>
      </c>
      <c r="B83" s="166" t="s">
        <v>242</v>
      </c>
      <c r="C83" s="420" t="s">
        <v>115</v>
      </c>
      <c r="D83" s="328" t="s">
        <v>115</v>
      </c>
      <c r="E83" s="422" t="s">
        <v>115</v>
      </c>
      <c r="F83" s="421" t="s">
        <v>115</v>
      </c>
      <c r="G83" s="419" t="s">
        <v>115</v>
      </c>
      <c r="H83" s="605" t="s">
        <v>115</v>
      </c>
      <c r="I83" s="602" t="s">
        <v>115</v>
      </c>
      <c r="J83" s="420" t="s">
        <v>115</v>
      </c>
      <c r="K83" s="605" t="s">
        <v>115</v>
      </c>
      <c r="L83" s="156" t="s">
        <v>115</v>
      </c>
    </row>
    <row r="84" spans="1:12">
      <c r="A84" s="126" t="s">
        <v>243</v>
      </c>
      <c r="B84" s="166" t="s">
        <v>244</v>
      </c>
      <c r="C84" s="420" t="s">
        <v>115</v>
      </c>
      <c r="D84" s="328" t="s">
        <v>115</v>
      </c>
      <c r="E84" s="422" t="s">
        <v>115</v>
      </c>
      <c r="F84" s="421" t="s">
        <v>115</v>
      </c>
      <c r="G84" s="419" t="s">
        <v>115</v>
      </c>
      <c r="H84" s="605" t="s">
        <v>115</v>
      </c>
      <c r="I84" s="602" t="s">
        <v>115</v>
      </c>
      <c r="J84" s="420" t="s">
        <v>115</v>
      </c>
      <c r="K84" s="605" t="s">
        <v>115</v>
      </c>
      <c r="L84" s="156" t="s">
        <v>115</v>
      </c>
    </row>
    <row r="85" spans="1:12">
      <c r="A85" s="126" t="s">
        <v>245</v>
      </c>
      <c r="B85" s="166" t="s">
        <v>246</v>
      </c>
      <c r="C85" s="420" t="s">
        <v>115</v>
      </c>
      <c r="D85" s="328" t="s">
        <v>115</v>
      </c>
      <c r="E85" s="422" t="s">
        <v>115</v>
      </c>
      <c r="F85" s="421" t="s">
        <v>115</v>
      </c>
      <c r="G85" s="420" t="s">
        <v>115</v>
      </c>
      <c r="H85" s="119" t="s">
        <v>115</v>
      </c>
      <c r="I85" s="602" t="s">
        <v>115</v>
      </c>
      <c r="J85" s="420" t="s">
        <v>115</v>
      </c>
      <c r="K85" s="605" t="s">
        <v>115</v>
      </c>
      <c r="L85" s="169" t="s">
        <v>115</v>
      </c>
    </row>
    <row r="86" spans="1:12">
      <c r="A86" s="126" t="s">
        <v>247</v>
      </c>
      <c r="B86" s="166" t="s">
        <v>248</v>
      </c>
      <c r="C86" s="420" t="s">
        <v>115</v>
      </c>
      <c r="D86" s="328" t="s">
        <v>115</v>
      </c>
      <c r="E86" s="422" t="s">
        <v>115</v>
      </c>
      <c r="F86" s="421" t="s">
        <v>115</v>
      </c>
      <c r="G86" s="420" t="s">
        <v>115</v>
      </c>
      <c r="H86" s="119" t="s">
        <v>115</v>
      </c>
      <c r="I86" s="602" t="s">
        <v>115</v>
      </c>
      <c r="J86" s="420" t="s">
        <v>115</v>
      </c>
      <c r="K86" s="605" t="s">
        <v>115</v>
      </c>
      <c r="L86" s="169" t="s">
        <v>115</v>
      </c>
    </row>
    <row r="87" spans="1:12">
      <c r="A87" s="126" t="s">
        <v>249</v>
      </c>
      <c r="B87" s="166" t="s">
        <v>250</v>
      </c>
      <c r="C87" s="420" t="s">
        <v>115</v>
      </c>
      <c r="D87" s="328" t="s">
        <v>115</v>
      </c>
      <c r="E87" s="422" t="s">
        <v>115</v>
      </c>
      <c r="F87" s="421" t="s">
        <v>115</v>
      </c>
      <c r="G87" s="420" t="s">
        <v>115</v>
      </c>
      <c r="H87" s="605" t="s">
        <v>115</v>
      </c>
      <c r="I87" s="602" t="s">
        <v>115</v>
      </c>
      <c r="J87" s="420" t="s">
        <v>115</v>
      </c>
      <c r="K87" s="605" t="s">
        <v>115</v>
      </c>
      <c r="L87" s="156" t="s">
        <v>115</v>
      </c>
    </row>
    <row r="88" spans="1:12">
      <c r="A88" s="126" t="s">
        <v>251</v>
      </c>
      <c r="B88" s="166" t="s">
        <v>252</v>
      </c>
      <c r="C88" s="420" t="s">
        <v>115</v>
      </c>
      <c r="D88" s="328" t="s">
        <v>115</v>
      </c>
      <c r="E88" s="422" t="s">
        <v>115</v>
      </c>
      <c r="F88" s="421" t="s">
        <v>115</v>
      </c>
      <c r="G88" s="420" t="s">
        <v>115</v>
      </c>
      <c r="H88" s="605" t="s">
        <v>115</v>
      </c>
      <c r="I88" s="602" t="s">
        <v>115</v>
      </c>
      <c r="J88" s="420" t="s">
        <v>115</v>
      </c>
      <c r="K88" s="605" t="s">
        <v>115</v>
      </c>
      <c r="L88" s="156" t="s">
        <v>115</v>
      </c>
    </row>
    <row r="89" spans="1:12">
      <c r="A89" s="126" t="s">
        <v>253</v>
      </c>
      <c r="B89" s="166" t="s">
        <v>254</v>
      </c>
      <c r="C89" s="420" t="s">
        <v>115</v>
      </c>
      <c r="D89" s="328" t="s">
        <v>115</v>
      </c>
      <c r="E89" s="422" t="s">
        <v>115</v>
      </c>
      <c r="F89" s="421" t="s">
        <v>115</v>
      </c>
      <c r="G89" s="420" t="s">
        <v>115</v>
      </c>
      <c r="H89" s="605" t="s">
        <v>115</v>
      </c>
      <c r="I89" s="602" t="s">
        <v>115</v>
      </c>
      <c r="J89" s="420" t="s">
        <v>115</v>
      </c>
      <c r="K89" s="605" t="s">
        <v>115</v>
      </c>
      <c r="L89" s="156" t="s">
        <v>115</v>
      </c>
    </row>
    <row r="90" spans="1:12">
      <c r="A90" s="126" t="s">
        <v>255</v>
      </c>
      <c r="B90" s="166" t="s">
        <v>256</v>
      </c>
      <c r="C90" s="420" t="s">
        <v>115</v>
      </c>
      <c r="D90" s="328" t="s">
        <v>115</v>
      </c>
      <c r="E90" s="422" t="s">
        <v>115</v>
      </c>
      <c r="F90" s="421" t="s">
        <v>115</v>
      </c>
      <c r="G90" s="419" t="s">
        <v>115</v>
      </c>
      <c r="H90" s="605" t="s">
        <v>115</v>
      </c>
      <c r="I90" s="602" t="s">
        <v>115</v>
      </c>
      <c r="J90" s="420">
        <v>17</v>
      </c>
      <c r="K90" s="119" t="s">
        <v>830</v>
      </c>
      <c r="L90" s="156" t="s">
        <v>1526</v>
      </c>
    </row>
    <row r="91" spans="1:12">
      <c r="A91" s="126" t="s">
        <v>257</v>
      </c>
      <c r="B91" s="166" t="s">
        <v>258</v>
      </c>
      <c r="C91" s="420" t="s">
        <v>115</v>
      </c>
      <c r="D91" s="328" t="s">
        <v>115</v>
      </c>
      <c r="E91" s="422" t="s">
        <v>115</v>
      </c>
      <c r="F91" s="421" t="s">
        <v>115</v>
      </c>
      <c r="G91" s="420" t="s">
        <v>115</v>
      </c>
      <c r="H91" s="605" t="s">
        <v>115</v>
      </c>
      <c r="I91" s="602" t="s">
        <v>115</v>
      </c>
      <c r="J91" s="420" t="s">
        <v>115</v>
      </c>
      <c r="K91" s="605" t="s">
        <v>115</v>
      </c>
      <c r="L91" s="156" t="s">
        <v>115</v>
      </c>
    </row>
    <row r="92" spans="1:12">
      <c r="A92" s="126" t="s">
        <v>259</v>
      </c>
      <c r="B92" s="166" t="s">
        <v>260</v>
      </c>
      <c r="C92" s="420">
        <v>1</v>
      </c>
      <c r="D92" s="328" t="s">
        <v>1494</v>
      </c>
      <c r="E92" s="422" t="s">
        <v>115</v>
      </c>
      <c r="F92" s="421" t="s">
        <v>115</v>
      </c>
      <c r="G92" s="420">
        <v>0.3</v>
      </c>
      <c r="H92" s="119" t="s">
        <v>521</v>
      </c>
      <c r="I92" s="602" t="s">
        <v>1517</v>
      </c>
      <c r="J92" s="420" t="s">
        <v>115</v>
      </c>
      <c r="K92" s="605" t="s">
        <v>115</v>
      </c>
      <c r="L92" s="156" t="s">
        <v>115</v>
      </c>
    </row>
    <row r="93" spans="1:12">
      <c r="A93" s="126" t="s">
        <v>261</v>
      </c>
      <c r="B93" s="166" t="s">
        <v>1261</v>
      </c>
      <c r="C93" s="420">
        <v>6</v>
      </c>
      <c r="D93" s="328" t="s">
        <v>1527</v>
      </c>
      <c r="E93" s="422" t="s">
        <v>115</v>
      </c>
      <c r="F93" s="421" t="s">
        <v>115</v>
      </c>
      <c r="G93" s="420">
        <v>1</v>
      </c>
      <c r="H93" s="119" t="s">
        <v>830</v>
      </c>
      <c r="I93" s="602" t="s">
        <v>1528</v>
      </c>
      <c r="J93" s="420" t="s">
        <v>115</v>
      </c>
      <c r="K93" s="605" t="s">
        <v>115</v>
      </c>
      <c r="L93" s="156" t="s">
        <v>115</v>
      </c>
    </row>
    <row r="94" spans="1:12">
      <c r="A94" s="136" t="s">
        <v>263</v>
      </c>
      <c r="B94" s="166" t="s">
        <v>115</v>
      </c>
      <c r="C94" s="420" t="s">
        <v>115</v>
      </c>
      <c r="D94" s="328" t="s">
        <v>115</v>
      </c>
      <c r="E94" s="422" t="s">
        <v>115</v>
      </c>
      <c r="F94" s="421" t="s">
        <v>115</v>
      </c>
      <c r="G94" s="420" t="s">
        <v>115</v>
      </c>
      <c r="H94" s="605" t="s">
        <v>115</v>
      </c>
      <c r="I94" s="602" t="s">
        <v>115</v>
      </c>
      <c r="J94" s="420" t="s">
        <v>115</v>
      </c>
      <c r="K94" s="605" t="s">
        <v>115</v>
      </c>
      <c r="L94" s="156" t="s">
        <v>115</v>
      </c>
    </row>
    <row r="95" spans="1:12">
      <c r="A95" s="136" t="s">
        <v>264</v>
      </c>
      <c r="B95" s="166" t="s">
        <v>115</v>
      </c>
      <c r="C95" s="420" t="s">
        <v>115</v>
      </c>
      <c r="D95" s="328" t="s">
        <v>115</v>
      </c>
      <c r="E95" s="422" t="s">
        <v>115</v>
      </c>
      <c r="F95" s="421" t="s">
        <v>115</v>
      </c>
      <c r="G95" s="420" t="s">
        <v>115</v>
      </c>
      <c r="H95" s="605" t="s">
        <v>115</v>
      </c>
      <c r="I95" s="602" t="s">
        <v>115</v>
      </c>
      <c r="J95" s="420" t="s">
        <v>115</v>
      </c>
      <c r="K95" s="605" t="s">
        <v>115</v>
      </c>
      <c r="L95" s="156" t="s">
        <v>115</v>
      </c>
    </row>
    <row r="96" spans="1:12">
      <c r="A96" s="136" t="s">
        <v>265</v>
      </c>
      <c r="B96" s="166" t="s">
        <v>115</v>
      </c>
      <c r="C96" s="420" t="s">
        <v>115</v>
      </c>
      <c r="D96" s="328" t="s">
        <v>115</v>
      </c>
      <c r="E96" s="422" t="s">
        <v>115</v>
      </c>
      <c r="F96" s="421" t="s">
        <v>115</v>
      </c>
      <c r="G96" s="420" t="s">
        <v>115</v>
      </c>
      <c r="H96" s="605" t="s">
        <v>115</v>
      </c>
      <c r="I96" s="602" t="s">
        <v>115</v>
      </c>
      <c r="J96" s="420" t="s">
        <v>115</v>
      </c>
      <c r="K96" s="605" t="s">
        <v>115</v>
      </c>
      <c r="L96" s="156" t="s">
        <v>115</v>
      </c>
    </row>
    <row r="97" spans="1:12">
      <c r="A97" s="136" t="s">
        <v>266</v>
      </c>
      <c r="B97" s="166" t="s">
        <v>115</v>
      </c>
      <c r="C97" s="420" t="s">
        <v>115</v>
      </c>
      <c r="D97" s="328" t="s">
        <v>115</v>
      </c>
      <c r="E97" s="422" t="s">
        <v>115</v>
      </c>
      <c r="F97" s="421" t="s">
        <v>115</v>
      </c>
      <c r="G97" s="420" t="s">
        <v>115</v>
      </c>
      <c r="H97" s="605" t="s">
        <v>115</v>
      </c>
      <c r="I97" s="602" t="s">
        <v>115</v>
      </c>
      <c r="J97" s="420" t="s">
        <v>115</v>
      </c>
      <c r="K97" s="605" t="s">
        <v>115</v>
      </c>
      <c r="L97" s="156" t="s">
        <v>115</v>
      </c>
    </row>
    <row r="98" spans="1:12">
      <c r="A98" s="136" t="s">
        <v>267</v>
      </c>
      <c r="B98" s="166" t="s">
        <v>115</v>
      </c>
      <c r="C98" s="420" t="s">
        <v>115</v>
      </c>
      <c r="D98" s="328" t="s">
        <v>115</v>
      </c>
      <c r="E98" s="422" t="s">
        <v>115</v>
      </c>
      <c r="F98" s="421" t="s">
        <v>115</v>
      </c>
      <c r="G98" s="420" t="s">
        <v>115</v>
      </c>
      <c r="H98" s="605" t="s">
        <v>115</v>
      </c>
      <c r="I98" s="602" t="s">
        <v>115</v>
      </c>
      <c r="J98" s="420" t="s">
        <v>115</v>
      </c>
      <c r="K98" s="605" t="s">
        <v>115</v>
      </c>
      <c r="L98" s="156" t="s">
        <v>115</v>
      </c>
    </row>
    <row r="99" spans="1:12">
      <c r="A99" s="136" t="s">
        <v>268</v>
      </c>
      <c r="B99" s="166" t="s">
        <v>115</v>
      </c>
      <c r="C99" s="420" t="s">
        <v>115</v>
      </c>
      <c r="D99" s="328" t="s">
        <v>115</v>
      </c>
      <c r="E99" s="422" t="s">
        <v>115</v>
      </c>
      <c r="F99" s="421" t="s">
        <v>115</v>
      </c>
      <c r="G99" s="420" t="s">
        <v>115</v>
      </c>
      <c r="H99" s="605" t="s">
        <v>115</v>
      </c>
      <c r="I99" s="602" t="s">
        <v>115</v>
      </c>
      <c r="J99" s="420" t="s">
        <v>115</v>
      </c>
      <c r="K99" s="605" t="s">
        <v>115</v>
      </c>
      <c r="L99" s="156" t="s">
        <v>115</v>
      </c>
    </row>
    <row r="100" spans="1:12">
      <c r="A100" s="126" t="s">
        <v>269</v>
      </c>
      <c r="B100" s="166" t="s">
        <v>270</v>
      </c>
      <c r="C100" s="420" t="s">
        <v>115</v>
      </c>
      <c r="D100" s="328" t="s">
        <v>115</v>
      </c>
      <c r="E100" s="422" t="s">
        <v>115</v>
      </c>
      <c r="F100" s="421" t="s">
        <v>115</v>
      </c>
      <c r="G100" s="420" t="s">
        <v>115</v>
      </c>
      <c r="H100" s="605" t="s">
        <v>115</v>
      </c>
      <c r="I100" s="602" t="s">
        <v>115</v>
      </c>
      <c r="J100" s="420" t="s">
        <v>115</v>
      </c>
      <c r="K100" s="605" t="s">
        <v>115</v>
      </c>
      <c r="L100" s="156" t="s">
        <v>115</v>
      </c>
    </row>
    <row r="101" spans="1:12">
      <c r="A101" s="126" t="s">
        <v>271</v>
      </c>
      <c r="B101" s="166" t="s">
        <v>272</v>
      </c>
      <c r="C101" s="420" t="s">
        <v>115</v>
      </c>
      <c r="D101" s="328" t="s">
        <v>115</v>
      </c>
      <c r="E101" s="422" t="s">
        <v>115</v>
      </c>
      <c r="F101" s="421" t="s">
        <v>115</v>
      </c>
      <c r="G101" s="420" t="s">
        <v>115</v>
      </c>
      <c r="H101" s="605" t="s">
        <v>115</v>
      </c>
      <c r="I101" s="602" t="s">
        <v>115</v>
      </c>
      <c r="J101" s="420" t="s">
        <v>115</v>
      </c>
      <c r="K101" s="605" t="s">
        <v>115</v>
      </c>
      <c r="L101" s="156" t="s">
        <v>115</v>
      </c>
    </row>
    <row r="102" spans="1:12">
      <c r="A102" s="126" t="s">
        <v>273</v>
      </c>
      <c r="B102" s="166" t="s">
        <v>274</v>
      </c>
      <c r="C102" s="420" t="s">
        <v>115</v>
      </c>
      <c r="D102" s="328" t="s">
        <v>115</v>
      </c>
      <c r="E102" s="422" t="s">
        <v>115</v>
      </c>
      <c r="F102" s="421" t="s">
        <v>115</v>
      </c>
      <c r="G102" s="420" t="s">
        <v>115</v>
      </c>
      <c r="H102" s="605" t="s">
        <v>115</v>
      </c>
      <c r="I102" s="602" t="s">
        <v>115</v>
      </c>
      <c r="J102" s="420" t="s">
        <v>115</v>
      </c>
      <c r="K102" s="605" t="s">
        <v>115</v>
      </c>
      <c r="L102" s="156" t="s">
        <v>115</v>
      </c>
    </row>
    <row r="103" spans="1:12">
      <c r="A103" s="126" t="s">
        <v>275</v>
      </c>
      <c r="B103" s="166" t="s">
        <v>276</v>
      </c>
      <c r="C103" s="420" t="s">
        <v>115</v>
      </c>
      <c r="D103" s="328" t="s">
        <v>115</v>
      </c>
      <c r="E103" s="422" t="s">
        <v>115</v>
      </c>
      <c r="F103" s="421" t="s">
        <v>115</v>
      </c>
      <c r="G103" s="420" t="s">
        <v>115</v>
      </c>
      <c r="H103" s="605" t="s">
        <v>115</v>
      </c>
      <c r="I103" s="602" t="s">
        <v>115</v>
      </c>
      <c r="J103" s="420" t="s">
        <v>115</v>
      </c>
      <c r="K103" s="605" t="s">
        <v>115</v>
      </c>
      <c r="L103" s="156" t="s">
        <v>115</v>
      </c>
    </row>
    <row r="104" spans="1:12">
      <c r="A104" s="126" t="s">
        <v>277</v>
      </c>
      <c r="B104" s="166" t="s">
        <v>278</v>
      </c>
      <c r="C104" s="420" t="s">
        <v>115</v>
      </c>
      <c r="D104" s="328" t="s">
        <v>115</v>
      </c>
      <c r="E104" s="422" t="s">
        <v>115</v>
      </c>
      <c r="F104" s="421" t="s">
        <v>115</v>
      </c>
      <c r="G104" s="420" t="s">
        <v>115</v>
      </c>
      <c r="H104" s="605" t="s">
        <v>115</v>
      </c>
      <c r="I104" s="602" t="s">
        <v>115</v>
      </c>
      <c r="J104" s="420" t="s">
        <v>115</v>
      </c>
      <c r="K104" s="605" t="s">
        <v>115</v>
      </c>
      <c r="L104" s="156" t="s">
        <v>115</v>
      </c>
    </row>
    <row r="105" spans="1:12">
      <c r="A105" s="136" t="s">
        <v>279</v>
      </c>
      <c r="B105" s="486" t="s">
        <v>280</v>
      </c>
      <c r="C105" s="420">
        <v>4.0000000000000001E-3</v>
      </c>
      <c r="D105" s="328" t="s">
        <v>1529</v>
      </c>
      <c r="E105" s="422" t="s">
        <v>115</v>
      </c>
      <c r="F105" s="421" t="s">
        <v>115</v>
      </c>
      <c r="G105" s="420">
        <v>6.9999999999999999E-6</v>
      </c>
      <c r="H105" s="119" t="s">
        <v>521</v>
      </c>
      <c r="I105" s="602" t="s">
        <v>1530</v>
      </c>
      <c r="J105" s="420">
        <v>5.1000000000000004E-3</v>
      </c>
      <c r="K105" s="605" t="s">
        <v>521</v>
      </c>
      <c r="L105" s="156" t="s">
        <v>1531</v>
      </c>
    </row>
    <row r="106" spans="1:12">
      <c r="A106" s="2080" t="s">
        <v>281</v>
      </c>
      <c r="B106" s="2081" t="s">
        <v>282</v>
      </c>
      <c r="C106" s="2083" t="s">
        <v>4260</v>
      </c>
      <c r="D106" s="2000" t="s">
        <v>1529</v>
      </c>
      <c r="E106" s="422" t="s">
        <v>115</v>
      </c>
      <c r="F106" s="421" t="s">
        <v>115</v>
      </c>
      <c r="G106" s="420" t="s">
        <v>115</v>
      </c>
      <c r="H106" s="605" t="s">
        <v>115</v>
      </c>
      <c r="I106" s="602" t="s">
        <v>115</v>
      </c>
      <c r="J106" s="420" t="s">
        <v>115</v>
      </c>
      <c r="K106" s="605" t="s">
        <v>115</v>
      </c>
      <c r="L106" s="156" t="s">
        <v>115</v>
      </c>
    </row>
    <row r="107" spans="1:12">
      <c r="A107" s="126" t="s">
        <v>283</v>
      </c>
      <c r="B107" s="166" t="s">
        <v>284</v>
      </c>
      <c r="C107" s="420" t="s">
        <v>115</v>
      </c>
      <c r="D107" s="328" t="s">
        <v>115</v>
      </c>
      <c r="E107" s="422" t="s">
        <v>115</v>
      </c>
      <c r="F107" s="421" t="s">
        <v>115</v>
      </c>
      <c r="G107" s="420" t="s">
        <v>115</v>
      </c>
      <c r="H107" s="605" t="s">
        <v>115</v>
      </c>
      <c r="I107" s="602" t="s">
        <v>115</v>
      </c>
      <c r="J107" s="420" t="s">
        <v>115</v>
      </c>
      <c r="K107" s="605" t="s">
        <v>115</v>
      </c>
      <c r="L107" s="156" t="s">
        <v>115</v>
      </c>
    </row>
    <row r="108" spans="1:12">
      <c r="A108" s="126" t="s">
        <v>285</v>
      </c>
      <c r="B108" s="166" t="s">
        <v>286</v>
      </c>
      <c r="C108" s="420" t="s">
        <v>115</v>
      </c>
      <c r="D108" s="328" t="s">
        <v>115</v>
      </c>
      <c r="E108" s="422" t="s">
        <v>115</v>
      </c>
      <c r="F108" s="421" t="s">
        <v>115</v>
      </c>
      <c r="G108" s="420" t="s">
        <v>115</v>
      </c>
      <c r="H108" s="605" t="s">
        <v>115</v>
      </c>
      <c r="I108" s="602" t="s">
        <v>115</v>
      </c>
      <c r="J108" s="420" t="s">
        <v>115</v>
      </c>
      <c r="K108" s="605" t="s">
        <v>115</v>
      </c>
      <c r="L108" s="156" t="s">
        <v>115</v>
      </c>
    </row>
    <row r="109" spans="1:12">
      <c r="A109" s="126" t="s">
        <v>287</v>
      </c>
      <c r="B109" s="166" t="s">
        <v>288</v>
      </c>
      <c r="C109" s="420" t="s">
        <v>115</v>
      </c>
      <c r="D109" s="328" t="s">
        <v>115</v>
      </c>
      <c r="E109" s="422" t="s">
        <v>115</v>
      </c>
      <c r="F109" s="421" t="s">
        <v>115</v>
      </c>
      <c r="G109" s="420" t="s">
        <v>115</v>
      </c>
      <c r="H109" s="605" t="s">
        <v>115</v>
      </c>
      <c r="I109" s="602" t="s">
        <v>115</v>
      </c>
      <c r="J109" s="420" t="s">
        <v>115</v>
      </c>
      <c r="K109" s="605" t="s">
        <v>115</v>
      </c>
      <c r="L109" s="156" t="s">
        <v>115</v>
      </c>
    </row>
    <row r="110" spans="1:12">
      <c r="A110" s="126" t="s">
        <v>289</v>
      </c>
      <c r="B110" s="166" t="s">
        <v>290</v>
      </c>
      <c r="C110" s="420" t="s">
        <v>115</v>
      </c>
      <c r="D110" s="328" t="s">
        <v>115</v>
      </c>
      <c r="E110" s="422" t="s">
        <v>115</v>
      </c>
      <c r="F110" s="421" t="s">
        <v>115</v>
      </c>
      <c r="G110" s="420" t="s">
        <v>115</v>
      </c>
      <c r="H110" s="605" t="s">
        <v>115</v>
      </c>
      <c r="I110" s="602" t="s">
        <v>115</v>
      </c>
      <c r="J110" s="420" t="s">
        <v>115</v>
      </c>
      <c r="K110" s="605" t="s">
        <v>115</v>
      </c>
      <c r="L110" s="156" t="s">
        <v>115</v>
      </c>
    </row>
    <row r="111" spans="1:12">
      <c r="A111" s="126" t="s">
        <v>291</v>
      </c>
      <c r="B111" s="166" t="s">
        <v>292</v>
      </c>
      <c r="C111" s="420" t="s">
        <v>115</v>
      </c>
      <c r="D111" s="328" t="s">
        <v>115</v>
      </c>
      <c r="E111" s="422" t="s">
        <v>115</v>
      </c>
      <c r="F111" s="421" t="s">
        <v>115</v>
      </c>
      <c r="G111" s="420" t="s">
        <v>115</v>
      </c>
      <c r="H111" s="605" t="s">
        <v>115</v>
      </c>
      <c r="I111" s="602" t="s">
        <v>115</v>
      </c>
      <c r="J111" s="420" t="s">
        <v>115</v>
      </c>
      <c r="K111" s="605" t="s">
        <v>115</v>
      </c>
      <c r="L111" s="156" t="s">
        <v>115</v>
      </c>
    </row>
    <row r="112" spans="1:12">
      <c r="A112" s="919" t="s">
        <v>293</v>
      </c>
      <c r="B112" s="1285" t="s">
        <v>294</v>
      </c>
      <c r="C112" s="2083" t="s">
        <v>4266</v>
      </c>
      <c r="D112" s="2000" t="s">
        <v>1529</v>
      </c>
      <c r="E112" s="422" t="s">
        <v>115</v>
      </c>
      <c r="F112" s="421" t="s">
        <v>115</v>
      </c>
      <c r="G112" s="420" t="s">
        <v>115</v>
      </c>
      <c r="H112" s="605" t="s">
        <v>115</v>
      </c>
      <c r="I112" s="602" t="s">
        <v>115</v>
      </c>
      <c r="J112" s="420">
        <v>0.5</v>
      </c>
      <c r="K112" s="605" t="s">
        <v>830</v>
      </c>
      <c r="L112" s="156" t="s">
        <v>1532</v>
      </c>
    </row>
    <row r="113" spans="1:12">
      <c r="A113" s="919" t="s">
        <v>295</v>
      </c>
      <c r="B113" s="1285" t="s">
        <v>296</v>
      </c>
      <c r="C113" s="2083" t="s">
        <v>4260</v>
      </c>
      <c r="D113" s="2000" t="s">
        <v>1529</v>
      </c>
      <c r="E113" s="422" t="s">
        <v>115</v>
      </c>
      <c r="F113" s="421" t="s">
        <v>115</v>
      </c>
      <c r="G113" s="420" t="s">
        <v>115</v>
      </c>
      <c r="H113" s="605" t="s">
        <v>115</v>
      </c>
      <c r="I113" s="602" t="s">
        <v>115</v>
      </c>
      <c r="J113" s="420">
        <v>3.0000000000000001E-3</v>
      </c>
      <c r="K113" s="605" t="s">
        <v>830</v>
      </c>
      <c r="L113" s="156" t="s">
        <v>1532</v>
      </c>
    </row>
    <row r="114" spans="1:12">
      <c r="A114" s="136" t="s">
        <v>297</v>
      </c>
      <c r="B114" s="486" t="s">
        <v>298</v>
      </c>
      <c r="C114" s="420">
        <v>4.0000000000000001E-3</v>
      </c>
      <c r="D114" s="328" t="s">
        <v>1529</v>
      </c>
      <c r="E114" s="422" t="s">
        <v>115</v>
      </c>
      <c r="F114" s="421" t="s">
        <v>115</v>
      </c>
      <c r="G114" s="420">
        <v>1E-3</v>
      </c>
      <c r="H114" s="119" t="s">
        <v>521</v>
      </c>
      <c r="I114" s="602" t="s">
        <v>1530</v>
      </c>
      <c r="J114" s="420">
        <v>6.4999999999999997E-3</v>
      </c>
      <c r="K114" s="605" t="s">
        <v>521</v>
      </c>
      <c r="L114" s="156" t="s">
        <v>1531</v>
      </c>
    </row>
    <row r="115" spans="1:12">
      <c r="A115" s="2080" t="s">
        <v>299</v>
      </c>
      <c r="B115" s="2081" t="s">
        <v>300</v>
      </c>
      <c r="C115" s="2083" t="s">
        <v>4260</v>
      </c>
      <c r="D115" s="2000" t="s">
        <v>1529</v>
      </c>
      <c r="E115" s="422" t="s">
        <v>115</v>
      </c>
      <c r="F115" s="421" t="s">
        <v>115</v>
      </c>
      <c r="G115" s="420" t="s">
        <v>115</v>
      </c>
      <c r="H115" s="605" t="s">
        <v>115</v>
      </c>
      <c r="I115" s="602" t="s">
        <v>115</v>
      </c>
      <c r="J115" s="420" t="s">
        <v>115</v>
      </c>
      <c r="K115" s="605" t="s">
        <v>115</v>
      </c>
      <c r="L115" s="156" t="s">
        <v>115</v>
      </c>
    </row>
    <row r="116" spans="1:12">
      <c r="A116" s="126" t="s">
        <v>301</v>
      </c>
      <c r="B116" s="166" t="s">
        <v>302</v>
      </c>
      <c r="C116" s="420" t="s">
        <v>115</v>
      </c>
      <c r="D116" s="328" t="s">
        <v>115</v>
      </c>
      <c r="E116" s="422" t="s">
        <v>115</v>
      </c>
      <c r="F116" s="421" t="s">
        <v>115</v>
      </c>
      <c r="G116" s="420" t="s">
        <v>115</v>
      </c>
      <c r="H116" s="605" t="s">
        <v>115</v>
      </c>
      <c r="I116" s="602" t="s">
        <v>115</v>
      </c>
      <c r="J116" s="420">
        <v>600</v>
      </c>
      <c r="K116" s="119" t="s">
        <v>830</v>
      </c>
      <c r="L116" s="156" t="s">
        <v>1533</v>
      </c>
    </row>
    <row r="117" spans="1:12">
      <c r="A117" s="126" t="s">
        <v>303</v>
      </c>
      <c r="B117" s="166" t="s">
        <v>304</v>
      </c>
      <c r="C117" s="420">
        <v>0.5</v>
      </c>
      <c r="D117" s="328" t="s">
        <v>1494</v>
      </c>
      <c r="E117" s="422" t="s">
        <v>115</v>
      </c>
      <c r="F117" s="421" t="s">
        <v>115</v>
      </c>
      <c r="G117" s="420">
        <v>0.09</v>
      </c>
      <c r="H117" s="119" t="s">
        <v>521</v>
      </c>
      <c r="I117" s="602" t="s">
        <v>1534</v>
      </c>
      <c r="J117" s="420" t="s">
        <v>115</v>
      </c>
      <c r="K117" s="605" t="s">
        <v>115</v>
      </c>
      <c r="L117" s="156" t="s">
        <v>115</v>
      </c>
    </row>
    <row r="118" spans="1:12">
      <c r="A118" s="126" t="s">
        <v>305</v>
      </c>
      <c r="B118" s="166" t="s">
        <v>306</v>
      </c>
      <c r="C118" s="420">
        <v>50</v>
      </c>
      <c r="D118" s="328" t="s">
        <v>1494</v>
      </c>
      <c r="E118" s="422" t="s">
        <v>115</v>
      </c>
      <c r="F118" s="421" t="s">
        <v>115</v>
      </c>
      <c r="G118" s="420">
        <v>30</v>
      </c>
      <c r="H118" s="119" t="s">
        <v>830</v>
      </c>
      <c r="I118" s="602" t="s">
        <v>1522</v>
      </c>
      <c r="J118" s="420" t="s">
        <v>115</v>
      </c>
      <c r="K118" s="605" t="s">
        <v>115</v>
      </c>
      <c r="L118" s="156" t="s">
        <v>115</v>
      </c>
    </row>
    <row r="119" spans="1:12">
      <c r="A119" s="126" t="s">
        <v>307</v>
      </c>
      <c r="B119" s="166" t="s">
        <v>308</v>
      </c>
      <c r="C119" s="419" t="s">
        <v>115</v>
      </c>
      <c r="D119" s="217" t="s">
        <v>115</v>
      </c>
      <c r="E119" s="422">
        <v>100</v>
      </c>
      <c r="F119" s="421" t="s">
        <v>1124</v>
      </c>
      <c r="G119" s="420" t="s">
        <v>115</v>
      </c>
      <c r="H119" s="605" t="s">
        <v>115</v>
      </c>
      <c r="I119" s="602" t="s">
        <v>115</v>
      </c>
      <c r="J119" s="420" t="s">
        <v>115</v>
      </c>
      <c r="K119" s="605" t="s">
        <v>115</v>
      </c>
      <c r="L119" s="156" t="s">
        <v>115</v>
      </c>
    </row>
    <row r="120" spans="1:12">
      <c r="A120" s="126" t="s">
        <v>309</v>
      </c>
      <c r="B120" s="166" t="s">
        <v>310</v>
      </c>
      <c r="C120" s="420">
        <v>100</v>
      </c>
      <c r="D120" s="328" t="s">
        <v>1494</v>
      </c>
      <c r="E120" s="422" t="s">
        <v>115</v>
      </c>
      <c r="F120" s="421" t="s">
        <v>115</v>
      </c>
      <c r="G120" s="420">
        <v>0.5</v>
      </c>
      <c r="H120" s="119" t="s">
        <v>521</v>
      </c>
      <c r="I120" s="602" t="s">
        <v>1522</v>
      </c>
      <c r="J120" s="420" t="s">
        <v>115</v>
      </c>
      <c r="K120" s="605" t="s">
        <v>115</v>
      </c>
      <c r="L120" s="156" t="s">
        <v>115</v>
      </c>
    </row>
    <row r="121" spans="1:12">
      <c r="A121" s="126" t="s">
        <v>311</v>
      </c>
      <c r="B121" s="166" t="s">
        <v>312</v>
      </c>
      <c r="C121" s="420" t="s">
        <v>115</v>
      </c>
      <c r="D121" s="328" t="s">
        <v>115</v>
      </c>
      <c r="E121" s="422" t="s">
        <v>115</v>
      </c>
      <c r="F121" s="421" t="s">
        <v>115</v>
      </c>
      <c r="G121" s="419" t="s">
        <v>115</v>
      </c>
      <c r="H121" s="605" t="s">
        <v>115</v>
      </c>
      <c r="I121" s="602" t="s">
        <v>115</v>
      </c>
      <c r="J121" s="420">
        <v>12</v>
      </c>
      <c r="K121" s="119" t="s">
        <v>521</v>
      </c>
      <c r="L121" s="156" t="s">
        <v>1535</v>
      </c>
    </row>
    <row r="122" spans="1:12">
      <c r="A122" s="126" t="s">
        <v>313</v>
      </c>
      <c r="B122" s="166" t="s">
        <v>314</v>
      </c>
      <c r="C122" s="420" t="s">
        <v>115</v>
      </c>
      <c r="D122" s="328" t="s">
        <v>115</v>
      </c>
      <c r="E122" s="422" t="s">
        <v>115</v>
      </c>
      <c r="F122" s="421" t="s">
        <v>115</v>
      </c>
      <c r="G122" s="420" t="s">
        <v>115</v>
      </c>
      <c r="H122" s="605" t="s">
        <v>115</v>
      </c>
      <c r="I122" s="602" t="s">
        <v>115</v>
      </c>
      <c r="J122" s="420" t="s">
        <v>115</v>
      </c>
      <c r="K122" s="605" t="s">
        <v>115</v>
      </c>
      <c r="L122" s="156" t="s">
        <v>115</v>
      </c>
    </row>
    <row r="123" spans="1:12">
      <c r="A123" s="126" t="s">
        <v>315</v>
      </c>
      <c r="B123" s="166" t="s">
        <v>316</v>
      </c>
      <c r="C123" s="420">
        <v>1</v>
      </c>
      <c r="D123" s="328" t="s">
        <v>1508</v>
      </c>
      <c r="E123" s="422" t="s">
        <v>115</v>
      </c>
      <c r="F123" s="421" t="s">
        <v>115</v>
      </c>
      <c r="G123" s="420">
        <v>0.1</v>
      </c>
      <c r="H123" s="119" t="s">
        <v>521</v>
      </c>
      <c r="I123" s="602" t="s">
        <v>1499</v>
      </c>
      <c r="J123" s="420" t="s">
        <v>115</v>
      </c>
      <c r="K123" s="605" t="s">
        <v>115</v>
      </c>
      <c r="L123" s="156" t="s">
        <v>115</v>
      </c>
    </row>
    <row r="124" spans="1:12">
      <c r="A124" s="126" t="s">
        <v>317</v>
      </c>
      <c r="B124" s="166" t="s">
        <v>318</v>
      </c>
      <c r="C124" s="420">
        <v>5</v>
      </c>
      <c r="D124" s="328" t="s">
        <v>1508</v>
      </c>
      <c r="E124" s="422" t="s">
        <v>115</v>
      </c>
      <c r="F124" s="421" t="s">
        <v>115</v>
      </c>
      <c r="G124" s="420">
        <v>0.06</v>
      </c>
      <c r="H124" s="119" t="s">
        <v>521</v>
      </c>
      <c r="I124" s="602" t="s">
        <v>1501</v>
      </c>
      <c r="J124" s="420" t="s">
        <v>115</v>
      </c>
      <c r="K124" s="605" t="s">
        <v>115</v>
      </c>
      <c r="L124" s="156" t="s">
        <v>115</v>
      </c>
    </row>
    <row r="125" spans="1:12">
      <c r="A125" s="126" t="s">
        <v>319</v>
      </c>
      <c r="B125" s="166" t="s">
        <v>320</v>
      </c>
      <c r="C125" s="420">
        <v>2</v>
      </c>
      <c r="D125" s="328" t="s">
        <v>1494</v>
      </c>
      <c r="E125" s="422" t="s">
        <v>115</v>
      </c>
      <c r="F125" s="421" t="s">
        <v>115</v>
      </c>
      <c r="G125" s="420">
        <v>0.1</v>
      </c>
      <c r="H125" s="119" t="s">
        <v>830</v>
      </c>
      <c r="I125" s="602" t="s">
        <v>1497</v>
      </c>
      <c r="J125" s="420" t="s">
        <v>115</v>
      </c>
      <c r="K125" s="605" t="s">
        <v>115</v>
      </c>
      <c r="L125" s="156" t="s">
        <v>115</v>
      </c>
    </row>
    <row r="126" spans="1:12">
      <c r="A126" s="126" t="s">
        <v>321</v>
      </c>
      <c r="B126" s="166" t="s">
        <v>322</v>
      </c>
      <c r="C126" s="420">
        <v>150</v>
      </c>
      <c r="D126" s="328" t="s">
        <v>1494</v>
      </c>
      <c r="E126" s="422" t="s">
        <v>115</v>
      </c>
      <c r="F126" s="421" t="s">
        <v>115</v>
      </c>
      <c r="G126" s="420">
        <v>150</v>
      </c>
      <c r="H126" s="119" t="s">
        <v>830</v>
      </c>
      <c r="I126" s="602" t="s">
        <v>1519</v>
      </c>
      <c r="J126" s="420" t="s">
        <v>115</v>
      </c>
      <c r="K126" s="605" t="s">
        <v>115</v>
      </c>
      <c r="L126" s="156" t="s">
        <v>115</v>
      </c>
    </row>
    <row r="127" spans="1:12">
      <c r="A127" s="126" t="s">
        <v>323</v>
      </c>
      <c r="B127" s="166" t="s">
        <v>324</v>
      </c>
      <c r="C127" s="420">
        <v>3</v>
      </c>
      <c r="D127" s="328" t="s">
        <v>1494</v>
      </c>
      <c r="E127" s="418" t="s">
        <v>115</v>
      </c>
      <c r="F127" s="421" t="s">
        <v>115</v>
      </c>
      <c r="G127" s="420">
        <v>0.03</v>
      </c>
      <c r="H127" s="119" t="s">
        <v>521</v>
      </c>
      <c r="I127" s="602" t="s">
        <v>1499</v>
      </c>
      <c r="J127" s="420" t="s">
        <v>115</v>
      </c>
      <c r="K127" s="605" t="s">
        <v>115</v>
      </c>
      <c r="L127" s="156" t="s">
        <v>115</v>
      </c>
    </row>
    <row r="128" spans="1:12">
      <c r="A128" s="126" t="s">
        <v>325</v>
      </c>
      <c r="B128" s="166" t="s">
        <v>326</v>
      </c>
      <c r="C128" s="420">
        <v>5</v>
      </c>
      <c r="D128" s="328" t="s">
        <v>1515</v>
      </c>
      <c r="E128" s="422" t="s">
        <v>115</v>
      </c>
      <c r="F128" s="421" t="s">
        <v>115</v>
      </c>
      <c r="G128" s="420">
        <v>5</v>
      </c>
      <c r="H128" s="119" t="s">
        <v>830</v>
      </c>
      <c r="I128" s="602" t="s">
        <v>1519</v>
      </c>
      <c r="J128" s="420" t="s">
        <v>115</v>
      </c>
      <c r="K128" s="605" t="s">
        <v>115</v>
      </c>
      <c r="L128" s="156" t="s">
        <v>115</v>
      </c>
    </row>
    <row r="129" spans="1:12">
      <c r="A129" s="126" t="s">
        <v>327</v>
      </c>
      <c r="B129" s="166" t="s">
        <v>328</v>
      </c>
      <c r="C129" s="420">
        <v>200</v>
      </c>
      <c r="D129" s="328" t="s">
        <v>1508</v>
      </c>
      <c r="E129" s="422" t="s">
        <v>115</v>
      </c>
      <c r="F129" s="421" t="s">
        <v>115</v>
      </c>
      <c r="G129" s="420">
        <v>1000</v>
      </c>
      <c r="H129" s="119" t="s">
        <v>830</v>
      </c>
      <c r="I129" s="602" t="s">
        <v>1507</v>
      </c>
      <c r="J129" s="420" t="s">
        <v>115</v>
      </c>
      <c r="K129" s="605" t="s">
        <v>115</v>
      </c>
      <c r="L129" s="156" t="s">
        <v>115</v>
      </c>
    </row>
    <row r="130" spans="1:12">
      <c r="A130" s="126" t="s">
        <v>329</v>
      </c>
      <c r="B130" s="166" t="s">
        <v>330</v>
      </c>
      <c r="C130" s="420">
        <v>5</v>
      </c>
      <c r="D130" s="328" t="s">
        <v>1494</v>
      </c>
      <c r="E130" s="422" t="s">
        <v>115</v>
      </c>
      <c r="F130" s="421" t="s">
        <v>115</v>
      </c>
      <c r="G130" s="420">
        <v>0.3</v>
      </c>
      <c r="H130" s="119" t="s">
        <v>521</v>
      </c>
      <c r="I130" s="602" t="s">
        <v>1507</v>
      </c>
      <c r="J130" s="420" t="s">
        <v>115</v>
      </c>
      <c r="K130" s="605" t="s">
        <v>115</v>
      </c>
      <c r="L130" s="156" t="s">
        <v>115</v>
      </c>
    </row>
    <row r="131" spans="1:12">
      <c r="A131" s="126" t="s">
        <v>331</v>
      </c>
      <c r="B131" s="166" t="s">
        <v>332</v>
      </c>
      <c r="C131" s="420">
        <v>5</v>
      </c>
      <c r="D131" s="328" t="s">
        <v>1508</v>
      </c>
      <c r="E131" s="422" t="s">
        <v>115</v>
      </c>
      <c r="F131" s="421" t="s">
        <v>115</v>
      </c>
      <c r="G131" s="420">
        <v>1.7</v>
      </c>
      <c r="H131" s="119" t="s">
        <v>521</v>
      </c>
      <c r="I131" s="602" t="s">
        <v>1517</v>
      </c>
      <c r="J131" s="420" t="s">
        <v>115</v>
      </c>
      <c r="K131" s="605" t="s">
        <v>115</v>
      </c>
      <c r="L131" s="156" t="s">
        <v>115</v>
      </c>
    </row>
    <row r="132" spans="1:12">
      <c r="A132" s="126" t="s">
        <v>333</v>
      </c>
      <c r="B132" s="166" t="s">
        <v>334</v>
      </c>
      <c r="C132" s="420" t="s">
        <v>115</v>
      </c>
      <c r="D132" s="328" t="s">
        <v>115</v>
      </c>
      <c r="E132" s="422" t="s">
        <v>115</v>
      </c>
      <c r="F132" s="421" t="s">
        <v>115</v>
      </c>
      <c r="G132" s="420" t="s">
        <v>115</v>
      </c>
      <c r="H132" s="605" t="s">
        <v>115</v>
      </c>
      <c r="I132" s="602" t="s">
        <v>115</v>
      </c>
      <c r="J132" s="420" t="s">
        <v>115</v>
      </c>
      <c r="K132" s="605" t="s">
        <v>115</v>
      </c>
      <c r="L132" s="156" t="s">
        <v>115</v>
      </c>
    </row>
    <row r="133" spans="1:12">
      <c r="A133" s="126" t="s">
        <v>335</v>
      </c>
      <c r="B133" s="166" t="s">
        <v>336</v>
      </c>
      <c r="C133" s="420" t="s">
        <v>115</v>
      </c>
      <c r="D133" s="328" t="s">
        <v>115</v>
      </c>
      <c r="E133" s="422" t="s">
        <v>115</v>
      </c>
      <c r="F133" s="421" t="s">
        <v>115</v>
      </c>
      <c r="G133" s="420" t="s">
        <v>115</v>
      </c>
      <c r="H133" s="605" t="s">
        <v>115</v>
      </c>
      <c r="I133" s="602" t="s">
        <v>115</v>
      </c>
      <c r="J133" s="420" t="s">
        <v>115</v>
      </c>
      <c r="K133" s="605" t="s">
        <v>115</v>
      </c>
      <c r="L133" s="156" t="s">
        <v>115</v>
      </c>
    </row>
    <row r="134" spans="1:12">
      <c r="A134" s="126" t="s">
        <v>337</v>
      </c>
      <c r="B134" s="166" t="s">
        <v>338</v>
      </c>
      <c r="C134" s="420">
        <v>5.0000000000000001E-3</v>
      </c>
      <c r="D134" s="328" t="s">
        <v>1536</v>
      </c>
      <c r="E134" s="422" t="s">
        <v>115</v>
      </c>
      <c r="F134" s="421" t="s">
        <v>115</v>
      </c>
      <c r="G134" s="420">
        <v>6.9999999999999999E-4</v>
      </c>
      <c r="H134" s="119" t="s">
        <v>521</v>
      </c>
      <c r="I134" s="602" t="s">
        <v>1517</v>
      </c>
      <c r="J134" s="420" t="s">
        <v>115</v>
      </c>
      <c r="K134" s="605" t="s">
        <v>115</v>
      </c>
      <c r="L134" s="156" t="s">
        <v>115</v>
      </c>
    </row>
    <row r="135" spans="1:12">
      <c r="A135" s="126" t="s">
        <v>339</v>
      </c>
      <c r="B135" s="166" t="s">
        <v>340</v>
      </c>
      <c r="C135" s="420" t="s">
        <v>115</v>
      </c>
      <c r="D135" s="328" t="s">
        <v>115</v>
      </c>
      <c r="E135" s="422" t="s">
        <v>115</v>
      </c>
      <c r="F135" s="421" t="s">
        <v>115</v>
      </c>
      <c r="G135" s="420" t="s">
        <v>115</v>
      </c>
      <c r="H135" s="605" t="s">
        <v>115</v>
      </c>
      <c r="I135" s="602" t="s">
        <v>115</v>
      </c>
      <c r="J135" s="420">
        <v>50</v>
      </c>
      <c r="K135" s="119" t="s">
        <v>830</v>
      </c>
      <c r="L135" s="156" t="s">
        <v>1493</v>
      </c>
    </row>
    <row r="136" spans="1:12">
      <c r="A136" s="126" t="s">
        <v>341</v>
      </c>
      <c r="B136" s="166" t="s">
        <v>342</v>
      </c>
      <c r="C136" s="420">
        <v>0.5</v>
      </c>
      <c r="D136" s="328" t="s">
        <v>1508</v>
      </c>
      <c r="E136" s="422" t="s">
        <v>115</v>
      </c>
      <c r="F136" s="421" t="s">
        <v>115</v>
      </c>
      <c r="G136" s="420">
        <v>0.05</v>
      </c>
      <c r="H136" s="119" t="s">
        <v>521</v>
      </c>
      <c r="I136" s="602" t="s">
        <v>1509</v>
      </c>
      <c r="J136" s="420" t="s">
        <v>115</v>
      </c>
      <c r="K136" s="605" t="s">
        <v>115</v>
      </c>
      <c r="L136" s="156" t="s">
        <v>115</v>
      </c>
    </row>
    <row r="137" spans="1:12">
      <c r="A137" s="126" t="s">
        <v>343</v>
      </c>
      <c r="B137" s="166" t="s">
        <v>344</v>
      </c>
      <c r="C137" s="424">
        <v>1750</v>
      </c>
      <c r="D137" s="423" t="s">
        <v>1508</v>
      </c>
      <c r="E137" s="422" t="s">
        <v>115</v>
      </c>
      <c r="F137" s="421" t="s">
        <v>115</v>
      </c>
      <c r="G137" s="420">
        <v>1800</v>
      </c>
      <c r="H137" s="119" t="s">
        <v>830</v>
      </c>
      <c r="I137" s="602" t="s">
        <v>1503</v>
      </c>
      <c r="J137" s="420" t="s">
        <v>115</v>
      </c>
      <c r="K137" s="605" t="s">
        <v>115</v>
      </c>
      <c r="L137" s="156" t="s">
        <v>115</v>
      </c>
    </row>
    <row r="138" spans="1:12" ht="12" thickBot="1">
      <c r="A138" s="1192" t="s">
        <v>345</v>
      </c>
      <c r="B138" s="1193" t="s">
        <v>346</v>
      </c>
      <c r="C138" s="1194" t="s">
        <v>115</v>
      </c>
      <c r="D138" s="1195" t="s">
        <v>115</v>
      </c>
      <c r="E138" s="419">
        <v>5000</v>
      </c>
      <c r="F138" s="421" t="s">
        <v>1124</v>
      </c>
      <c r="G138" s="1196" t="s">
        <v>115</v>
      </c>
      <c r="H138" s="1197" t="s">
        <v>115</v>
      </c>
      <c r="I138" s="1198" t="s">
        <v>115</v>
      </c>
      <c r="J138" s="1194" t="s">
        <v>115</v>
      </c>
      <c r="K138" s="1197" t="s">
        <v>115</v>
      </c>
      <c r="L138" s="1199" t="s">
        <v>115</v>
      </c>
    </row>
    <row r="139" spans="1:12" ht="12" thickTop="1">
      <c r="A139" s="29" t="s">
        <v>347</v>
      </c>
      <c r="B139" s="155"/>
      <c r="C139" s="17"/>
      <c r="D139" s="17"/>
      <c r="E139" s="17"/>
      <c r="F139" s="17"/>
      <c r="G139" s="17"/>
      <c r="H139" s="17"/>
      <c r="I139" s="17"/>
      <c r="J139" s="17"/>
      <c r="K139" s="17"/>
      <c r="L139" s="269"/>
    </row>
    <row r="140" spans="1:12">
      <c r="A140" s="2" t="s">
        <v>1537</v>
      </c>
      <c r="B140" s="118"/>
      <c r="L140" s="167"/>
    </row>
    <row r="141" spans="1:12">
      <c r="A141" s="8" t="s">
        <v>1538</v>
      </c>
      <c r="B141" s="118"/>
      <c r="L141" s="167"/>
    </row>
    <row r="142" spans="1:12" ht="12" customHeight="1">
      <c r="A142" s="595" t="s">
        <v>4265</v>
      </c>
      <c r="B142" s="881"/>
      <c r="C142" s="881"/>
      <c r="D142" s="881"/>
      <c r="E142" s="881"/>
      <c r="F142" s="881"/>
      <c r="G142" s="881"/>
      <c r="H142" s="881"/>
      <c r="I142" s="881"/>
      <c r="J142" s="881"/>
      <c r="K142" s="881"/>
      <c r="L142" s="2096"/>
    </row>
    <row r="143" spans="1:12">
      <c r="A143" s="1132" t="s">
        <v>348</v>
      </c>
      <c r="L143" s="167"/>
    </row>
    <row r="144" spans="1:12">
      <c r="A144" s="1133" t="s">
        <v>349</v>
      </c>
      <c r="L144" s="167"/>
    </row>
    <row r="145" spans="1:12">
      <c r="A145" s="1133" t="s">
        <v>350</v>
      </c>
      <c r="L145" s="167"/>
    </row>
    <row r="146" spans="1:12">
      <c r="A146" s="1133" t="s">
        <v>351</v>
      </c>
      <c r="L146" s="167"/>
    </row>
    <row r="147" spans="1:12">
      <c r="A147" s="2" t="s">
        <v>1539</v>
      </c>
      <c r="L147" s="167"/>
    </row>
    <row r="148" spans="1:12">
      <c r="A148" s="2" t="s">
        <v>397</v>
      </c>
      <c r="L148" s="167"/>
    </row>
    <row r="149" spans="1:12">
      <c r="A149" s="2" t="s">
        <v>1540</v>
      </c>
      <c r="L149" s="167"/>
    </row>
    <row r="150" spans="1:12">
      <c r="A150" s="2" t="s">
        <v>353</v>
      </c>
      <c r="L150" s="167"/>
    </row>
    <row r="151" spans="1:12">
      <c r="A151" s="1133" t="s">
        <v>354</v>
      </c>
      <c r="L151" s="167"/>
    </row>
    <row r="152" spans="1:12" ht="12" thickBot="1">
      <c r="A152" s="9" t="s">
        <v>355</v>
      </c>
      <c r="B152" s="35"/>
      <c r="C152" s="28"/>
      <c r="D152" s="28"/>
      <c r="E152" s="28"/>
      <c r="F152" s="28"/>
      <c r="G152" s="28"/>
      <c r="H152" s="28"/>
      <c r="I152" s="28"/>
      <c r="J152" s="28"/>
      <c r="K152" s="28"/>
      <c r="L152" s="813"/>
    </row>
    <row r="153" spans="1:12" ht="12" thickTop="1"/>
  </sheetData>
  <sheetProtection algorithmName="SHA-512" hashValue="HGQh1WyluJOL9l1ZndociIeqGMSWsg8KkhsMrKUJqo+hAQeQ+mtyhxM8ck3KSXyj703SUxtLkmyikctd/prHAw==" saltValue="rqXCTR3Vl4IHi/adUWJvfw==" spinCount="100000" sheet="1" sort="0" autoFilter="0"/>
  <autoFilter ref="A4:B138" xr:uid="{00000000-0009-0000-0000-00001D000000}"/>
  <mergeCells count="5">
    <mergeCell ref="G3:I3"/>
    <mergeCell ref="C3:F3"/>
    <mergeCell ref="J3:L3"/>
    <mergeCell ref="A3:B3"/>
    <mergeCell ref="A2:L2"/>
  </mergeCells>
  <pageMargins left="0.7" right="0.7" top="0.75" bottom="0.75" header="0.3" footer="0.3"/>
  <pageSetup scale="46" fitToHeight="0" orientation="portrait" r:id="rId1"/>
  <headerFooter>
    <oddFooter>&amp;C&amp;P of &amp;N&amp;R&amp;A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9" tint="0.59999389629810485"/>
    <pageSetUpPr fitToPage="1"/>
  </sheetPr>
  <dimension ref="A1:K167"/>
  <sheetViews>
    <sheetView showGridLines="0" zoomScale="130" zoomScaleNormal="130" workbookViewId="0">
      <pane xSplit="2" ySplit="5" topLeftCell="C6" activePane="bottomRight" state="frozen"/>
      <selection pane="topRight" activeCell="C1" sqref="C1"/>
      <selection pane="bottomLeft" activeCell="A7" sqref="A7"/>
      <selection pane="bottomRight" activeCell="A3" sqref="A3:B3"/>
    </sheetView>
  </sheetViews>
  <sheetFormatPr defaultColWidth="9.140625" defaultRowHeight="11.25"/>
  <cols>
    <col min="1" max="1" width="38.5703125" style="3" customWidth="1"/>
    <col min="2" max="2" width="18.85546875" style="22" customWidth="1"/>
    <col min="3" max="3" width="16.42578125" style="116" customWidth="1"/>
    <col min="4" max="4" width="16.42578125" style="16" customWidth="1"/>
    <col min="5" max="5" width="12.5703125" style="16" customWidth="1"/>
    <col min="6" max="6" width="16.140625" style="16" customWidth="1"/>
    <col min="7" max="7" width="16" style="16" customWidth="1"/>
    <col min="8" max="10" width="16.140625" style="3" customWidth="1"/>
    <col min="11" max="16384" width="9.140625" style="3"/>
  </cols>
  <sheetData>
    <row r="1" spans="1:11" hidden="1">
      <c r="A1" s="3" t="s">
        <v>1541</v>
      </c>
      <c r="C1" s="116" t="s">
        <v>1542</v>
      </c>
      <c r="D1" s="16" t="s">
        <v>1543</v>
      </c>
      <c r="E1" s="16" t="s">
        <v>1544</v>
      </c>
      <c r="F1" s="16" t="s">
        <v>1545</v>
      </c>
      <c r="G1" s="16" t="s">
        <v>1546</v>
      </c>
      <c r="H1" s="3" t="s">
        <v>1547</v>
      </c>
      <c r="I1" s="3" t="s">
        <v>1548</v>
      </c>
      <c r="J1" s="3" t="s">
        <v>1549</v>
      </c>
      <c r="K1" s="16" t="s">
        <v>1550</v>
      </c>
    </row>
    <row r="2" spans="1:11" s="23" customFormat="1" ht="21" customHeight="1" thickBot="1">
      <c r="A2" s="2869" t="s">
        <v>1551</v>
      </c>
      <c r="B2" s="2869"/>
      <c r="C2" s="2869"/>
      <c r="D2" s="2869"/>
      <c r="E2" s="2869"/>
      <c r="F2" s="2869"/>
      <c r="G2" s="2869"/>
      <c r="H2" s="2869"/>
      <c r="I2" s="2869"/>
      <c r="J2" s="2869"/>
      <c r="K2" s="2869"/>
    </row>
    <row r="3" spans="1:11" s="63" customFormat="1" ht="17.25" customHeight="1" thickTop="1" thickBot="1">
      <c r="A3" s="2800" t="str">
        <f>'Tier 1 ESL'!A6:F6</f>
        <v>2025 (Rev 4)</v>
      </c>
      <c r="B3" s="2607"/>
      <c r="C3" s="2870" t="s">
        <v>499</v>
      </c>
      <c r="D3" s="2871"/>
      <c r="E3" s="2872"/>
      <c r="F3" s="2870" t="s">
        <v>498</v>
      </c>
      <c r="G3" s="2871"/>
      <c r="H3" s="2871"/>
      <c r="I3" s="2871"/>
      <c r="J3" s="2871"/>
      <c r="K3" s="2873"/>
    </row>
    <row r="4" spans="1:11" s="23" customFormat="1" ht="23.25" customHeight="1">
      <c r="A4" s="2866" t="s">
        <v>661</v>
      </c>
      <c r="B4" s="2867" t="s">
        <v>80</v>
      </c>
      <c r="C4" s="2864" t="s">
        <v>1552</v>
      </c>
      <c r="D4" s="2865"/>
      <c r="E4" s="2863" t="s">
        <v>1553</v>
      </c>
      <c r="F4" s="1221" t="s">
        <v>1554</v>
      </c>
      <c r="G4" s="1628"/>
      <c r="H4" s="2862" t="s">
        <v>1555</v>
      </c>
      <c r="I4" s="2862"/>
      <c r="J4" s="2862"/>
      <c r="K4" s="2868" t="s">
        <v>1553</v>
      </c>
    </row>
    <row r="5" spans="1:11" s="23" customFormat="1" ht="53.25" customHeight="1" thickBot="1">
      <c r="A5" s="2765"/>
      <c r="B5" s="2767"/>
      <c r="C5" s="569" t="s">
        <v>1556</v>
      </c>
      <c r="D5" s="1997" t="s">
        <v>1557</v>
      </c>
      <c r="E5" s="2623"/>
      <c r="F5" s="569" t="s">
        <v>1556</v>
      </c>
      <c r="G5" s="1996" t="s">
        <v>1558</v>
      </c>
      <c r="H5" s="219" t="s">
        <v>1559</v>
      </c>
      <c r="I5" s="219" t="s">
        <v>1560</v>
      </c>
      <c r="J5" s="1330" t="s">
        <v>1561</v>
      </c>
      <c r="K5" s="2629"/>
    </row>
    <row r="6" spans="1:11">
      <c r="A6" s="153" t="s">
        <v>391</v>
      </c>
      <c r="B6" s="861" t="s">
        <v>392</v>
      </c>
      <c r="C6" s="173" t="s">
        <v>115</v>
      </c>
      <c r="D6" s="158" t="s">
        <v>115</v>
      </c>
      <c r="E6" s="161" t="s">
        <v>115</v>
      </c>
      <c r="F6" s="163" t="s">
        <v>115</v>
      </c>
      <c r="G6" s="158" t="s">
        <v>115</v>
      </c>
      <c r="H6" s="687" t="s">
        <v>115</v>
      </c>
      <c r="I6" s="171" t="s">
        <v>115</v>
      </c>
      <c r="J6" s="176" t="s">
        <v>115</v>
      </c>
      <c r="K6" s="154" t="s">
        <v>115</v>
      </c>
    </row>
    <row r="7" spans="1:11">
      <c r="A7" s="153" t="s">
        <v>85</v>
      </c>
      <c r="B7" s="861" t="s">
        <v>86</v>
      </c>
      <c r="C7" s="173" t="s">
        <v>115</v>
      </c>
      <c r="D7" s="158">
        <v>3</v>
      </c>
      <c r="E7" s="161" t="s">
        <v>115</v>
      </c>
      <c r="F7" s="163" t="s">
        <v>115</v>
      </c>
      <c r="G7" s="158">
        <v>1.3</v>
      </c>
      <c r="H7" s="687" t="s">
        <v>115</v>
      </c>
      <c r="I7" s="171" t="s">
        <v>115</v>
      </c>
      <c r="J7" s="176" t="s">
        <v>115</v>
      </c>
      <c r="K7" s="154" t="s">
        <v>115</v>
      </c>
    </row>
    <row r="8" spans="1:11">
      <c r="A8" s="153" t="s">
        <v>87</v>
      </c>
      <c r="B8" s="861" t="s">
        <v>88</v>
      </c>
      <c r="C8" s="174" t="s">
        <v>115</v>
      </c>
      <c r="D8" s="171" t="s">
        <v>115</v>
      </c>
      <c r="E8" s="176" t="s">
        <v>115</v>
      </c>
      <c r="F8" s="178" t="s">
        <v>115</v>
      </c>
      <c r="G8" s="171" t="s">
        <v>115</v>
      </c>
      <c r="H8" s="687" t="s">
        <v>115</v>
      </c>
      <c r="I8" s="171" t="s">
        <v>115</v>
      </c>
      <c r="J8" s="176" t="s">
        <v>115</v>
      </c>
      <c r="K8" s="154" t="s">
        <v>115</v>
      </c>
    </row>
    <row r="9" spans="1:11">
      <c r="A9" s="153" t="s">
        <v>89</v>
      </c>
      <c r="B9" s="861" t="s">
        <v>90</v>
      </c>
      <c r="C9" s="173">
        <v>150</v>
      </c>
      <c r="D9" s="158">
        <v>340</v>
      </c>
      <c r="E9" s="161">
        <v>150</v>
      </c>
      <c r="F9" s="163">
        <v>36</v>
      </c>
      <c r="G9" s="158">
        <v>69</v>
      </c>
      <c r="H9" s="485">
        <v>8</v>
      </c>
      <c r="I9" s="158">
        <v>32</v>
      </c>
      <c r="J9" s="161">
        <v>80</v>
      </c>
      <c r="K9" s="154">
        <v>36</v>
      </c>
    </row>
    <row r="10" spans="1:11">
      <c r="A10" s="153" t="s">
        <v>91</v>
      </c>
      <c r="B10" s="861" t="s">
        <v>92</v>
      </c>
      <c r="C10" s="173" t="s">
        <v>115</v>
      </c>
      <c r="D10" s="158" t="s">
        <v>115</v>
      </c>
      <c r="E10" s="161" t="s">
        <v>115</v>
      </c>
      <c r="F10" s="163" t="s">
        <v>115</v>
      </c>
      <c r="G10" s="158" t="s">
        <v>115</v>
      </c>
      <c r="H10" s="687" t="s">
        <v>115</v>
      </c>
      <c r="I10" s="171" t="s">
        <v>115</v>
      </c>
      <c r="J10" s="176" t="s">
        <v>115</v>
      </c>
      <c r="K10" s="154" t="s">
        <v>115</v>
      </c>
    </row>
    <row r="11" spans="1:11">
      <c r="A11" s="153" t="s">
        <v>93</v>
      </c>
      <c r="B11" s="861" t="s">
        <v>94</v>
      </c>
      <c r="C11" s="173" t="s">
        <v>115</v>
      </c>
      <c r="D11" s="158" t="s">
        <v>115</v>
      </c>
      <c r="E11" s="161" t="s">
        <v>115</v>
      </c>
      <c r="F11" s="163" t="s">
        <v>115</v>
      </c>
      <c r="G11" s="158" t="s">
        <v>115</v>
      </c>
      <c r="H11" s="687" t="s">
        <v>115</v>
      </c>
      <c r="I11" s="171" t="s">
        <v>115</v>
      </c>
      <c r="J11" s="176" t="s">
        <v>115</v>
      </c>
      <c r="K11" s="154" t="s">
        <v>115</v>
      </c>
    </row>
    <row r="12" spans="1:11">
      <c r="A12" s="153" t="s">
        <v>95</v>
      </c>
      <c r="B12" s="861" t="s">
        <v>96</v>
      </c>
      <c r="C12" s="173" t="s">
        <v>115</v>
      </c>
      <c r="D12" s="158" t="s">
        <v>115</v>
      </c>
      <c r="E12" s="161" t="s">
        <v>115</v>
      </c>
      <c r="F12" s="163" t="s">
        <v>115</v>
      </c>
      <c r="G12" s="158" t="s">
        <v>115</v>
      </c>
      <c r="H12" s="687" t="s">
        <v>115</v>
      </c>
      <c r="I12" s="171" t="s">
        <v>115</v>
      </c>
      <c r="J12" s="176" t="s">
        <v>115</v>
      </c>
      <c r="K12" s="154" t="s">
        <v>115</v>
      </c>
    </row>
    <row r="13" spans="1:11">
      <c r="A13" s="153" t="s">
        <v>97</v>
      </c>
      <c r="B13" s="861" t="s">
        <v>98</v>
      </c>
      <c r="C13" s="173" t="s">
        <v>115</v>
      </c>
      <c r="D13" s="158" t="s">
        <v>115</v>
      </c>
      <c r="E13" s="161" t="s">
        <v>115</v>
      </c>
      <c r="F13" s="163" t="s">
        <v>115</v>
      </c>
      <c r="G13" s="158" t="s">
        <v>115</v>
      </c>
      <c r="H13" s="687" t="s">
        <v>115</v>
      </c>
      <c r="I13" s="171" t="s">
        <v>115</v>
      </c>
      <c r="J13" s="176" t="s">
        <v>115</v>
      </c>
      <c r="K13" s="154" t="s">
        <v>115</v>
      </c>
    </row>
    <row r="14" spans="1:11">
      <c r="A14" s="153" t="s">
        <v>99</v>
      </c>
      <c r="B14" s="861" t="s">
        <v>100</v>
      </c>
      <c r="C14" s="173" t="s">
        <v>115</v>
      </c>
      <c r="D14" s="158" t="s">
        <v>115</v>
      </c>
      <c r="E14" s="161" t="s">
        <v>115</v>
      </c>
      <c r="F14" s="163" t="s">
        <v>115</v>
      </c>
      <c r="G14" s="158" t="s">
        <v>115</v>
      </c>
      <c r="H14" s="687" t="s">
        <v>115</v>
      </c>
      <c r="I14" s="171" t="s">
        <v>115</v>
      </c>
      <c r="J14" s="176" t="s">
        <v>115</v>
      </c>
      <c r="K14" s="154" t="s">
        <v>115</v>
      </c>
    </row>
    <row r="15" spans="1:11">
      <c r="A15" s="136" t="s">
        <v>101</v>
      </c>
      <c r="B15" s="861" t="s">
        <v>102</v>
      </c>
      <c r="C15" s="173" t="s">
        <v>115</v>
      </c>
      <c r="D15" s="158" t="s">
        <v>115</v>
      </c>
      <c r="E15" s="161" t="s">
        <v>115</v>
      </c>
      <c r="F15" s="163" t="s">
        <v>115</v>
      </c>
      <c r="G15" s="158" t="s">
        <v>115</v>
      </c>
      <c r="H15" s="687" t="s">
        <v>115</v>
      </c>
      <c r="I15" s="171" t="s">
        <v>115</v>
      </c>
      <c r="J15" s="176" t="s">
        <v>115</v>
      </c>
      <c r="K15" s="154" t="s">
        <v>115</v>
      </c>
    </row>
    <row r="16" spans="1:11">
      <c r="A16" s="153" t="s">
        <v>103</v>
      </c>
      <c r="B16" s="861" t="s">
        <v>104</v>
      </c>
      <c r="C16" s="173" t="s">
        <v>115</v>
      </c>
      <c r="D16" s="158" t="s">
        <v>115</v>
      </c>
      <c r="E16" s="161" t="s">
        <v>115</v>
      </c>
      <c r="F16" s="163" t="s">
        <v>115</v>
      </c>
      <c r="G16" s="158" t="s">
        <v>115</v>
      </c>
      <c r="H16" s="687" t="s">
        <v>115</v>
      </c>
      <c r="I16" s="171" t="s">
        <v>115</v>
      </c>
      <c r="J16" s="176" t="s">
        <v>115</v>
      </c>
      <c r="K16" s="154" t="s">
        <v>115</v>
      </c>
    </row>
    <row r="17" spans="1:11">
      <c r="A17" s="153" t="s">
        <v>105</v>
      </c>
      <c r="B17" s="861" t="s">
        <v>106</v>
      </c>
      <c r="C17" s="173" t="s">
        <v>115</v>
      </c>
      <c r="D17" s="158" t="s">
        <v>115</v>
      </c>
      <c r="E17" s="161" t="s">
        <v>115</v>
      </c>
      <c r="F17" s="163" t="s">
        <v>115</v>
      </c>
      <c r="G17" s="158" t="s">
        <v>115</v>
      </c>
      <c r="H17" s="687" t="s">
        <v>115</v>
      </c>
      <c r="I17" s="171" t="s">
        <v>115</v>
      </c>
      <c r="J17" s="176" t="s">
        <v>115</v>
      </c>
      <c r="K17" s="154" t="s">
        <v>115</v>
      </c>
    </row>
    <row r="18" spans="1:11">
      <c r="A18" s="153" t="s">
        <v>107</v>
      </c>
      <c r="B18" s="861" t="s">
        <v>108</v>
      </c>
      <c r="C18" s="173" t="s">
        <v>115</v>
      </c>
      <c r="D18" s="158" t="s">
        <v>115</v>
      </c>
      <c r="E18" s="161" t="s">
        <v>115</v>
      </c>
      <c r="F18" s="163" t="s">
        <v>115</v>
      </c>
      <c r="G18" s="158" t="s">
        <v>115</v>
      </c>
      <c r="H18" s="687" t="s">
        <v>115</v>
      </c>
      <c r="I18" s="171" t="s">
        <v>115</v>
      </c>
      <c r="J18" s="176" t="s">
        <v>115</v>
      </c>
      <c r="K18" s="154" t="s">
        <v>115</v>
      </c>
    </row>
    <row r="19" spans="1:11">
      <c r="A19" s="153" t="s">
        <v>109</v>
      </c>
      <c r="B19" s="861" t="s">
        <v>110</v>
      </c>
      <c r="C19" s="173" t="s">
        <v>115</v>
      </c>
      <c r="D19" s="158" t="s">
        <v>115</v>
      </c>
      <c r="E19" s="161" t="s">
        <v>115</v>
      </c>
      <c r="F19" s="163" t="s">
        <v>115</v>
      </c>
      <c r="G19" s="158" t="s">
        <v>115</v>
      </c>
      <c r="H19" s="687" t="s">
        <v>115</v>
      </c>
      <c r="I19" s="171" t="s">
        <v>115</v>
      </c>
      <c r="J19" s="176" t="s">
        <v>115</v>
      </c>
      <c r="K19" s="154" t="s">
        <v>115</v>
      </c>
    </row>
    <row r="20" spans="1:11">
      <c r="A20" s="153" t="s">
        <v>111</v>
      </c>
      <c r="B20" s="861" t="s">
        <v>112</v>
      </c>
      <c r="C20" s="173" t="s">
        <v>115</v>
      </c>
      <c r="D20" s="158" t="s">
        <v>115</v>
      </c>
      <c r="E20" s="161" t="s">
        <v>115</v>
      </c>
      <c r="F20" s="163" t="s">
        <v>115</v>
      </c>
      <c r="G20" s="158" t="s">
        <v>115</v>
      </c>
      <c r="H20" s="687" t="s">
        <v>115</v>
      </c>
      <c r="I20" s="171" t="s">
        <v>115</v>
      </c>
      <c r="J20" s="176" t="s">
        <v>115</v>
      </c>
      <c r="K20" s="154" t="s">
        <v>115</v>
      </c>
    </row>
    <row r="21" spans="1:11">
      <c r="A21" s="153" t="s">
        <v>113</v>
      </c>
      <c r="B21" s="861" t="s">
        <v>114</v>
      </c>
      <c r="C21" s="173" t="s">
        <v>115</v>
      </c>
      <c r="D21" s="158" t="s">
        <v>115</v>
      </c>
      <c r="E21" s="161" t="s">
        <v>115</v>
      </c>
      <c r="F21" s="163" t="s">
        <v>115</v>
      </c>
      <c r="G21" s="158" t="s">
        <v>115</v>
      </c>
      <c r="H21" s="687" t="s">
        <v>115</v>
      </c>
      <c r="I21" s="171" t="s">
        <v>115</v>
      </c>
      <c r="J21" s="176" t="s">
        <v>115</v>
      </c>
      <c r="K21" s="154" t="s">
        <v>115</v>
      </c>
    </row>
    <row r="22" spans="1:11">
      <c r="A22" s="153" t="s">
        <v>116</v>
      </c>
      <c r="B22" s="861" t="s">
        <v>114</v>
      </c>
      <c r="C22" s="173" t="s">
        <v>115</v>
      </c>
      <c r="D22" s="158">
        <v>3.9</v>
      </c>
      <c r="E22" s="161">
        <v>1.1000000000000001</v>
      </c>
      <c r="F22" s="163">
        <v>9.3000000000000007</v>
      </c>
      <c r="G22" s="158">
        <v>42</v>
      </c>
      <c r="H22" s="485">
        <v>1</v>
      </c>
      <c r="I22" s="158">
        <v>4</v>
      </c>
      <c r="J22" s="161">
        <v>10</v>
      </c>
      <c r="K22" s="154">
        <v>9.3000000000000007</v>
      </c>
    </row>
    <row r="23" spans="1:11">
      <c r="A23" s="153" t="s">
        <v>117</v>
      </c>
      <c r="B23" s="861" t="s">
        <v>118</v>
      </c>
      <c r="C23" s="173" t="s">
        <v>115</v>
      </c>
      <c r="D23" s="158" t="s">
        <v>115</v>
      </c>
      <c r="E23" s="161" t="s">
        <v>115</v>
      </c>
      <c r="F23" s="163" t="s">
        <v>115</v>
      </c>
      <c r="G23" s="158" t="s">
        <v>115</v>
      </c>
      <c r="H23" s="687" t="s">
        <v>115</v>
      </c>
      <c r="I23" s="171" t="s">
        <v>115</v>
      </c>
      <c r="J23" s="176" t="s">
        <v>115</v>
      </c>
      <c r="K23" s="154" t="s">
        <v>115</v>
      </c>
    </row>
    <row r="24" spans="1:11">
      <c r="A24" s="153" t="s">
        <v>119</v>
      </c>
      <c r="B24" s="861" t="s">
        <v>120</v>
      </c>
      <c r="C24" s="173">
        <v>4.3E-3</v>
      </c>
      <c r="D24" s="158">
        <v>2.4</v>
      </c>
      <c r="E24" s="161" t="s">
        <v>115</v>
      </c>
      <c r="F24" s="163">
        <v>4.0000000000000001E-3</v>
      </c>
      <c r="G24" s="158">
        <v>0.09</v>
      </c>
      <c r="H24" s="687" t="s">
        <v>115</v>
      </c>
      <c r="I24" s="171" t="s">
        <v>115</v>
      </c>
      <c r="J24" s="176" t="s">
        <v>115</v>
      </c>
      <c r="K24" s="154" t="s">
        <v>115</v>
      </c>
    </row>
    <row r="25" spans="1:11">
      <c r="A25" s="153" t="s">
        <v>121</v>
      </c>
      <c r="B25" s="861" t="s">
        <v>122</v>
      </c>
      <c r="C25" s="173" t="s">
        <v>115</v>
      </c>
      <c r="D25" s="158" t="s">
        <v>115</v>
      </c>
      <c r="E25" s="161" t="s">
        <v>115</v>
      </c>
      <c r="F25" s="163" t="s">
        <v>115</v>
      </c>
      <c r="G25" s="158" t="s">
        <v>115</v>
      </c>
      <c r="H25" s="687" t="s">
        <v>115</v>
      </c>
      <c r="I25" s="171" t="s">
        <v>115</v>
      </c>
      <c r="J25" s="176" t="s">
        <v>115</v>
      </c>
      <c r="K25" s="154" t="s">
        <v>115</v>
      </c>
    </row>
    <row r="26" spans="1:11">
      <c r="A26" s="153" t="s">
        <v>123</v>
      </c>
      <c r="B26" s="861" t="s">
        <v>124</v>
      </c>
      <c r="C26" s="173" t="s">
        <v>115</v>
      </c>
      <c r="D26" s="158" t="s">
        <v>115</v>
      </c>
      <c r="E26" s="161" t="s">
        <v>115</v>
      </c>
      <c r="F26" s="163" t="s">
        <v>115</v>
      </c>
      <c r="G26" s="158" t="s">
        <v>115</v>
      </c>
      <c r="H26" s="687" t="s">
        <v>115</v>
      </c>
      <c r="I26" s="171" t="s">
        <v>115</v>
      </c>
      <c r="J26" s="176" t="s">
        <v>115</v>
      </c>
      <c r="K26" s="154" t="s">
        <v>115</v>
      </c>
    </row>
    <row r="27" spans="1:11">
      <c r="A27" s="153" t="s">
        <v>125</v>
      </c>
      <c r="B27" s="861" t="s">
        <v>126</v>
      </c>
      <c r="C27" s="173" t="s">
        <v>115</v>
      </c>
      <c r="D27" s="158" t="s">
        <v>115</v>
      </c>
      <c r="E27" s="161" t="s">
        <v>115</v>
      </c>
      <c r="F27" s="163" t="s">
        <v>115</v>
      </c>
      <c r="G27" s="158" t="s">
        <v>115</v>
      </c>
      <c r="H27" s="687" t="s">
        <v>115</v>
      </c>
      <c r="I27" s="171" t="s">
        <v>115</v>
      </c>
      <c r="J27" s="176" t="s">
        <v>115</v>
      </c>
      <c r="K27" s="154" t="s">
        <v>115</v>
      </c>
    </row>
    <row r="28" spans="1:11">
      <c r="A28" s="153" t="s">
        <v>127</v>
      </c>
      <c r="B28" s="861" t="s">
        <v>128</v>
      </c>
      <c r="C28" s="173" t="s">
        <v>115</v>
      </c>
      <c r="D28" s="158" t="s">
        <v>115</v>
      </c>
      <c r="E28" s="161" t="s">
        <v>115</v>
      </c>
      <c r="F28" s="163" t="s">
        <v>115</v>
      </c>
      <c r="G28" s="158" t="s">
        <v>115</v>
      </c>
      <c r="H28" s="687" t="s">
        <v>115</v>
      </c>
      <c r="I28" s="171" t="s">
        <v>115</v>
      </c>
      <c r="J28" s="176" t="s">
        <v>115</v>
      </c>
      <c r="K28" s="154" t="s">
        <v>115</v>
      </c>
    </row>
    <row r="29" spans="1:11">
      <c r="A29" s="153" t="s">
        <v>129</v>
      </c>
      <c r="B29" s="861" t="s">
        <v>130</v>
      </c>
      <c r="C29" s="173" t="s">
        <v>115</v>
      </c>
      <c r="D29" s="158" t="s">
        <v>115</v>
      </c>
      <c r="E29" s="161" t="s">
        <v>115</v>
      </c>
      <c r="F29" s="163" t="s">
        <v>115</v>
      </c>
      <c r="G29" s="158" t="s">
        <v>115</v>
      </c>
      <c r="H29" s="687" t="s">
        <v>115</v>
      </c>
      <c r="I29" s="171" t="s">
        <v>115</v>
      </c>
      <c r="J29" s="176" t="s">
        <v>115</v>
      </c>
      <c r="K29" s="154" t="s">
        <v>115</v>
      </c>
    </row>
    <row r="30" spans="1:11">
      <c r="A30" s="153" t="s">
        <v>131</v>
      </c>
      <c r="B30" s="861" t="s">
        <v>132</v>
      </c>
      <c r="C30" s="173" t="s">
        <v>115</v>
      </c>
      <c r="D30" s="158" t="s">
        <v>115</v>
      </c>
      <c r="E30" s="161" t="s">
        <v>115</v>
      </c>
      <c r="F30" s="163" t="s">
        <v>115</v>
      </c>
      <c r="G30" s="158" t="s">
        <v>115</v>
      </c>
      <c r="H30" s="485">
        <v>1</v>
      </c>
      <c r="I30" s="158">
        <v>4</v>
      </c>
      <c r="J30" s="161">
        <v>10</v>
      </c>
      <c r="K30" s="154" t="s">
        <v>115</v>
      </c>
    </row>
    <row r="31" spans="1:11">
      <c r="A31" s="153" t="s">
        <v>133</v>
      </c>
      <c r="B31" s="861" t="s">
        <v>134</v>
      </c>
      <c r="C31" s="173">
        <v>180</v>
      </c>
      <c r="D31" s="158">
        <v>550</v>
      </c>
      <c r="E31" s="161" t="s">
        <v>115</v>
      </c>
      <c r="F31" s="163" t="s">
        <v>115</v>
      </c>
      <c r="G31" s="158" t="s">
        <v>115</v>
      </c>
      <c r="H31" s="687" t="s">
        <v>115</v>
      </c>
      <c r="I31" s="171" t="s">
        <v>115</v>
      </c>
      <c r="J31" s="176" t="s">
        <v>115</v>
      </c>
      <c r="K31" s="154" t="s">
        <v>115</v>
      </c>
    </row>
    <row r="32" spans="1:11">
      <c r="A32" s="153" t="s">
        <v>135</v>
      </c>
      <c r="B32" s="861" t="s">
        <v>136</v>
      </c>
      <c r="C32" s="173">
        <v>180</v>
      </c>
      <c r="D32" s="158">
        <v>550</v>
      </c>
      <c r="E32" s="161" t="s">
        <v>115</v>
      </c>
      <c r="F32" s="163" t="s">
        <v>115</v>
      </c>
      <c r="G32" s="158" t="s">
        <v>115</v>
      </c>
      <c r="H32" s="687" t="s">
        <v>115</v>
      </c>
      <c r="I32" s="171" t="s">
        <v>115</v>
      </c>
      <c r="J32" s="176" t="s">
        <v>115</v>
      </c>
      <c r="K32" s="154" t="s">
        <v>115</v>
      </c>
    </row>
    <row r="33" spans="1:11">
      <c r="A33" s="153" t="s">
        <v>137</v>
      </c>
      <c r="B33" s="861" t="s">
        <v>138</v>
      </c>
      <c r="C33" s="173">
        <v>11</v>
      </c>
      <c r="D33" s="158">
        <v>16</v>
      </c>
      <c r="E33" s="161">
        <v>11</v>
      </c>
      <c r="F33" s="163">
        <v>50</v>
      </c>
      <c r="G33" s="158">
        <v>1100</v>
      </c>
      <c r="H33" s="485">
        <v>2</v>
      </c>
      <c r="I33" s="158">
        <v>8</v>
      </c>
      <c r="J33" s="161">
        <v>20</v>
      </c>
      <c r="K33" s="154">
        <v>50</v>
      </c>
    </row>
    <row r="34" spans="1:11">
      <c r="A34" s="153" t="s">
        <v>139</v>
      </c>
      <c r="B34" s="861" t="s">
        <v>140</v>
      </c>
      <c r="C34" s="173" t="s">
        <v>115</v>
      </c>
      <c r="D34" s="158" t="s">
        <v>115</v>
      </c>
      <c r="E34" s="161" t="s">
        <v>115</v>
      </c>
      <c r="F34" s="163" t="s">
        <v>115</v>
      </c>
      <c r="G34" s="158" t="s">
        <v>115</v>
      </c>
      <c r="H34" s="687" t="s">
        <v>115</v>
      </c>
      <c r="I34" s="171" t="s">
        <v>115</v>
      </c>
      <c r="J34" s="176" t="s">
        <v>115</v>
      </c>
      <c r="K34" s="154" t="s">
        <v>115</v>
      </c>
    </row>
    <row r="35" spans="1:11">
      <c r="A35" s="153" t="s">
        <v>141</v>
      </c>
      <c r="B35" s="861" t="s">
        <v>142</v>
      </c>
      <c r="C35" s="173">
        <v>9</v>
      </c>
      <c r="D35" s="158">
        <v>13</v>
      </c>
      <c r="E35" s="161">
        <v>9</v>
      </c>
      <c r="F35" s="163">
        <v>3.1</v>
      </c>
      <c r="G35" s="158">
        <v>4.8</v>
      </c>
      <c r="H35" s="485">
        <v>3</v>
      </c>
      <c r="I35" s="158">
        <v>12</v>
      </c>
      <c r="J35" s="161">
        <v>30</v>
      </c>
      <c r="K35" s="154">
        <v>6.9</v>
      </c>
    </row>
    <row r="36" spans="1:11">
      <c r="A36" s="153" t="s">
        <v>143</v>
      </c>
      <c r="B36" s="861" t="s">
        <v>144</v>
      </c>
      <c r="C36" s="173">
        <v>5.2</v>
      </c>
      <c r="D36" s="158">
        <v>22</v>
      </c>
      <c r="E36" s="161" t="s">
        <v>115</v>
      </c>
      <c r="F36" s="163">
        <v>1</v>
      </c>
      <c r="G36" s="158">
        <v>1</v>
      </c>
      <c r="H36" s="485">
        <v>1</v>
      </c>
      <c r="I36" s="158">
        <v>4</v>
      </c>
      <c r="J36" s="161">
        <v>10</v>
      </c>
      <c r="K36" s="154" t="s">
        <v>115</v>
      </c>
    </row>
    <row r="37" spans="1:11">
      <c r="A37" s="153" t="s">
        <v>145</v>
      </c>
      <c r="B37" s="861" t="s">
        <v>146</v>
      </c>
      <c r="C37" s="173" t="s">
        <v>115</v>
      </c>
      <c r="D37" s="158" t="s">
        <v>115</v>
      </c>
      <c r="E37" s="161" t="s">
        <v>115</v>
      </c>
      <c r="F37" s="163" t="s">
        <v>115</v>
      </c>
      <c r="G37" s="158" t="s">
        <v>115</v>
      </c>
      <c r="H37" s="687" t="s">
        <v>115</v>
      </c>
      <c r="I37" s="171" t="s">
        <v>115</v>
      </c>
      <c r="J37" s="176" t="s">
        <v>115</v>
      </c>
      <c r="K37" s="154" t="s">
        <v>115</v>
      </c>
    </row>
    <row r="38" spans="1:11">
      <c r="A38" s="153" t="s">
        <v>147</v>
      </c>
      <c r="B38" s="861" t="s">
        <v>148</v>
      </c>
      <c r="C38" s="173" t="s">
        <v>115</v>
      </c>
      <c r="D38" s="158" t="s">
        <v>115</v>
      </c>
      <c r="E38" s="161" t="s">
        <v>115</v>
      </c>
      <c r="F38" s="163" t="s">
        <v>115</v>
      </c>
      <c r="G38" s="158" t="s">
        <v>115</v>
      </c>
      <c r="H38" s="687" t="s">
        <v>115</v>
      </c>
      <c r="I38" s="171" t="s">
        <v>115</v>
      </c>
      <c r="J38" s="176" t="s">
        <v>115</v>
      </c>
      <c r="K38" s="154" t="s">
        <v>115</v>
      </c>
    </row>
    <row r="39" spans="1:11">
      <c r="A39" s="153" t="s">
        <v>149</v>
      </c>
      <c r="B39" s="861" t="s">
        <v>150</v>
      </c>
      <c r="C39" s="173" t="s">
        <v>115</v>
      </c>
      <c r="D39" s="158" t="s">
        <v>115</v>
      </c>
      <c r="E39" s="161" t="s">
        <v>115</v>
      </c>
      <c r="F39" s="163" t="s">
        <v>115</v>
      </c>
      <c r="G39" s="158" t="s">
        <v>115</v>
      </c>
      <c r="H39" s="687" t="s">
        <v>115</v>
      </c>
      <c r="I39" s="171" t="s">
        <v>115</v>
      </c>
      <c r="J39" s="176" t="s">
        <v>115</v>
      </c>
      <c r="K39" s="154" t="s">
        <v>115</v>
      </c>
    </row>
    <row r="40" spans="1:11">
      <c r="A40" s="153" t="s">
        <v>151</v>
      </c>
      <c r="B40" s="861" t="s">
        <v>152</v>
      </c>
      <c r="C40" s="173" t="s">
        <v>115</v>
      </c>
      <c r="D40" s="158" t="s">
        <v>115</v>
      </c>
      <c r="E40" s="161" t="s">
        <v>115</v>
      </c>
      <c r="F40" s="163" t="s">
        <v>115</v>
      </c>
      <c r="G40" s="158" t="s">
        <v>115</v>
      </c>
      <c r="H40" s="687" t="s">
        <v>115</v>
      </c>
      <c r="I40" s="171" t="s">
        <v>115</v>
      </c>
      <c r="J40" s="176" t="s">
        <v>115</v>
      </c>
      <c r="K40" s="154" t="s">
        <v>115</v>
      </c>
    </row>
    <row r="41" spans="1:11">
      <c r="A41" s="153" t="s">
        <v>153</v>
      </c>
      <c r="B41" s="861" t="s">
        <v>154</v>
      </c>
      <c r="C41" s="173" t="s">
        <v>115</v>
      </c>
      <c r="D41" s="158" t="s">
        <v>115</v>
      </c>
      <c r="E41" s="161" t="s">
        <v>115</v>
      </c>
      <c r="F41" s="163" t="s">
        <v>115</v>
      </c>
      <c r="G41" s="158" t="s">
        <v>115</v>
      </c>
      <c r="H41" s="687" t="s">
        <v>115</v>
      </c>
      <c r="I41" s="171" t="s">
        <v>115</v>
      </c>
      <c r="J41" s="176" t="s">
        <v>115</v>
      </c>
      <c r="K41" s="154" t="s">
        <v>115</v>
      </c>
    </row>
    <row r="42" spans="1:11">
      <c r="A42" s="153" t="s">
        <v>155</v>
      </c>
      <c r="B42" s="861" t="s">
        <v>156</v>
      </c>
      <c r="C42" s="173" t="s">
        <v>115</v>
      </c>
      <c r="D42" s="158" t="s">
        <v>115</v>
      </c>
      <c r="E42" s="161" t="s">
        <v>115</v>
      </c>
      <c r="F42" s="163" t="s">
        <v>115</v>
      </c>
      <c r="G42" s="158" t="s">
        <v>115</v>
      </c>
      <c r="H42" s="687" t="s">
        <v>115</v>
      </c>
      <c r="I42" s="171" t="s">
        <v>115</v>
      </c>
      <c r="J42" s="176" t="s">
        <v>115</v>
      </c>
      <c r="K42" s="154" t="s">
        <v>115</v>
      </c>
    </row>
    <row r="43" spans="1:11">
      <c r="A43" s="153" t="s">
        <v>157</v>
      </c>
      <c r="B43" s="861" t="s">
        <v>158</v>
      </c>
      <c r="C43" s="173" t="s">
        <v>115</v>
      </c>
      <c r="D43" s="158" t="s">
        <v>115</v>
      </c>
      <c r="E43" s="161" t="s">
        <v>115</v>
      </c>
      <c r="F43" s="163" t="s">
        <v>115</v>
      </c>
      <c r="G43" s="158" t="s">
        <v>115</v>
      </c>
      <c r="H43" s="687" t="s">
        <v>115</v>
      </c>
      <c r="I43" s="171" t="s">
        <v>115</v>
      </c>
      <c r="J43" s="176" t="s">
        <v>115</v>
      </c>
      <c r="K43" s="154" t="s">
        <v>115</v>
      </c>
    </row>
    <row r="44" spans="1:11">
      <c r="A44" s="153" t="s">
        <v>159</v>
      </c>
      <c r="B44" s="861" t="s">
        <v>160</v>
      </c>
      <c r="C44" s="173" t="s">
        <v>115</v>
      </c>
      <c r="D44" s="158" t="s">
        <v>115</v>
      </c>
      <c r="E44" s="161" t="s">
        <v>115</v>
      </c>
      <c r="F44" s="163" t="s">
        <v>115</v>
      </c>
      <c r="G44" s="158" t="s">
        <v>115</v>
      </c>
      <c r="H44" s="687" t="s">
        <v>115</v>
      </c>
      <c r="I44" s="171" t="s">
        <v>115</v>
      </c>
      <c r="J44" s="176" t="s">
        <v>115</v>
      </c>
      <c r="K44" s="154" t="s">
        <v>115</v>
      </c>
    </row>
    <row r="45" spans="1:11">
      <c r="A45" s="153" t="s">
        <v>161</v>
      </c>
      <c r="B45" s="861" t="s">
        <v>162</v>
      </c>
      <c r="C45" s="173">
        <v>1E-3</v>
      </c>
      <c r="D45" s="158">
        <v>1.1000000000000001</v>
      </c>
      <c r="E45" s="161" t="s">
        <v>115</v>
      </c>
      <c r="F45" s="163">
        <v>1E-3</v>
      </c>
      <c r="G45" s="158">
        <v>0.13</v>
      </c>
      <c r="H45" s="687" t="s">
        <v>115</v>
      </c>
      <c r="I45" s="171" t="s">
        <v>115</v>
      </c>
      <c r="J45" s="176" t="s">
        <v>115</v>
      </c>
      <c r="K45" s="154" t="s">
        <v>115</v>
      </c>
    </row>
    <row r="46" spans="1:11">
      <c r="A46" s="153" t="s">
        <v>163</v>
      </c>
      <c r="B46" s="861" t="s">
        <v>164</v>
      </c>
      <c r="C46" s="173" t="s">
        <v>115</v>
      </c>
      <c r="D46" s="158" t="s">
        <v>115</v>
      </c>
      <c r="E46" s="161" t="s">
        <v>115</v>
      </c>
      <c r="F46" s="163" t="s">
        <v>115</v>
      </c>
      <c r="G46" s="158" t="s">
        <v>115</v>
      </c>
      <c r="H46" s="687" t="s">
        <v>115</v>
      </c>
      <c r="I46" s="171" t="s">
        <v>115</v>
      </c>
      <c r="J46" s="176" t="s">
        <v>115</v>
      </c>
      <c r="K46" s="154" t="s">
        <v>115</v>
      </c>
    </row>
    <row r="47" spans="1:11">
      <c r="A47" s="153" t="s">
        <v>165</v>
      </c>
      <c r="B47" s="861" t="s">
        <v>166</v>
      </c>
      <c r="C47" s="173" t="s">
        <v>115</v>
      </c>
      <c r="D47" s="158" t="s">
        <v>115</v>
      </c>
      <c r="E47" s="161" t="s">
        <v>115</v>
      </c>
      <c r="F47" s="163" t="s">
        <v>115</v>
      </c>
      <c r="G47" s="158" t="s">
        <v>115</v>
      </c>
      <c r="H47" s="687" t="s">
        <v>115</v>
      </c>
      <c r="I47" s="171" t="s">
        <v>115</v>
      </c>
      <c r="J47" s="176" t="s">
        <v>115</v>
      </c>
      <c r="K47" s="154" t="s">
        <v>115</v>
      </c>
    </row>
    <row r="48" spans="1:11">
      <c r="A48" s="153" t="s">
        <v>167</v>
      </c>
      <c r="B48" s="861" t="s">
        <v>168</v>
      </c>
      <c r="C48" s="173" t="s">
        <v>115</v>
      </c>
      <c r="D48" s="158" t="s">
        <v>115</v>
      </c>
      <c r="E48" s="161" t="s">
        <v>115</v>
      </c>
      <c r="F48" s="163" t="s">
        <v>115</v>
      </c>
      <c r="G48" s="158" t="s">
        <v>115</v>
      </c>
      <c r="H48" s="687" t="s">
        <v>115</v>
      </c>
      <c r="I48" s="171" t="s">
        <v>115</v>
      </c>
      <c r="J48" s="176" t="s">
        <v>115</v>
      </c>
      <c r="K48" s="154" t="s">
        <v>115</v>
      </c>
    </row>
    <row r="49" spans="1:11">
      <c r="A49" s="153" t="s">
        <v>169</v>
      </c>
      <c r="B49" s="861" t="s">
        <v>170</v>
      </c>
      <c r="C49" s="173" t="s">
        <v>115</v>
      </c>
      <c r="D49" s="158" t="s">
        <v>115</v>
      </c>
      <c r="E49" s="161" t="s">
        <v>115</v>
      </c>
      <c r="F49" s="163" t="s">
        <v>115</v>
      </c>
      <c r="G49" s="158" t="s">
        <v>115</v>
      </c>
      <c r="H49" s="687" t="s">
        <v>115</v>
      </c>
      <c r="I49" s="171" t="s">
        <v>115</v>
      </c>
      <c r="J49" s="176" t="s">
        <v>115</v>
      </c>
      <c r="K49" s="154" t="s">
        <v>115</v>
      </c>
    </row>
    <row r="50" spans="1:11">
      <c r="A50" s="153" t="s">
        <v>171</v>
      </c>
      <c r="B50" s="861" t="s">
        <v>172</v>
      </c>
      <c r="C50" s="173" t="s">
        <v>115</v>
      </c>
      <c r="D50" s="158" t="s">
        <v>115</v>
      </c>
      <c r="E50" s="161" t="s">
        <v>115</v>
      </c>
      <c r="F50" s="163" t="s">
        <v>115</v>
      </c>
      <c r="G50" s="158" t="s">
        <v>115</v>
      </c>
      <c r="H50" s="687" t="s">
        <v>115</v>
      </c>
      <c r="I50" s="171" t="s">
        <v>115</v>
      </c>
      <c r="J50" s="176" t="s">
        <v>115</v>
      </c>
      <c r="K50" s="154" t="s">
        <v>115</v>
      </c>
    </row>
    <row r="51" spans="1:11">
      <c r="A51" s="153" t="s">
        <v>173</v>
      </c>
      <c r="B51" s="861" t="s">
        <v>174</v>
      </c>
      <c r="C51" s="173" t="s">
        <v>115</v>
      </c>
      <c r="D51" s="158" t="s">
        <v>115</v>
      </c>
      <c r="E51" s="161" t="s">
        <v>115</v>
      </c>
      <c r="F51" s="163" t="s">
        <v>115</v>
      </c>
      <c r="G51" s="158" t="s">
        <v>115</v>
      </c>
      <c r="H51" s="485">
        <v>1</v>
      </c>
      <c r="I51" s="158">
        <v>4</v>
      </c>
      <c r="J51" s="161">
        <v>10</v>
      </c>
      <c r="K51" s="154" t="s">
        <v>115</v>
      </c>
    </row>
    <row r="52" spans="1:11">
      <c r="A52" s="153" t="s">
        <v>175</v>
      </c>
      <c r="B52" s="861" t="s">
        <v>176</v>
      </c>
      <c r="C52" s="173" t="s">
        <v>115</v>
      </c>
      <c r="D52" s="158" t="s">
        <v>115</v>
      </c>
      <c r="E52" s="161" t="s">
        <v>115</v>
      </c>
      <c r="F52" s="163" t="s">
        <v>115</v>
      </c>
      <c r="G52" s="158" t="s">
        <v>115</v>
      </c>
      <c r="H52" s="687" t="s">
        <v>115</v>
      </c>
      <c r="I52" s="171" t="s">
        <v>115</v>
      </c>
      <c r="J52" s="176" t="s">
        <v>115</v>
      </c>
      <c r="K52" s="154" t="s">
        <v>115</v>
      </c>
    </row>
    <row r="53" spans="1:11">
      <c r="A53" s="153" t="s">
        <v>177</v>
      </c>
      <c r="B53" s="861" t="s">
        <v>178</v>
      </c>
      <c r="C53" s="173" t="s">
        <v>115</v>
      </c>
      <c r="D53" s="158" t="s">
        <v>115</v>
      </c>
      <c r="E53" s="161" t="s">
        <v>115</v>
      </c>
      <c r="F53" s="163" t="s">
        <v>115</v>
      </c>
      <c r="G53" s="158" t="s">
        <v>115</v>
      </c>
      <c r="H53" s="687" t="s">
        <v>115</v>
      </c>
      <c r="I53" s="171" t="s">
        <v>115</v>
      </c>
      <c r="J53" s="176" t="s">
        <v>115</v>
      </c>
      <c r="K53" s="154" t="s">
        <v>115</v>
      </c>
    </row>
    <row r="54" spans="1:11">
      <c r="A54" s="153" t="s">
        <v>179</v>
      </c>
      <c r="B54" s="861" t="s">
        <v>180</v>
      </c>
      <c r="C54" s="173">
        <v>5.6000000000000001E-2</v>
      </c>
      <c r="D54" s="158">
        <v>0.24</v>
      </c>
      <c r="E54" s="161" t="s">
        <v>115</v>
      </c>
      <c r="F54" s="163">
        <v>1.9E-3</v>
      </c>
      <c r="G54" s="158">
        <v>0.71</v>
      </c>
      <c r="H54" s="687" t="s">
        <v>115</v>
      </c>
      <c r="I54" s="171" t="s">
        <v>115</v>
      </c>
      <c r="J54" s="176" t="s">
        <v>115</v>
      </c>
      <c r="K54" s="154" t="s">
        <v>115</v>
      </c>
    </row>
    <row r="55" spans="1:11">
      <c r="A55" s="153" t="s">
        <v>181</v>
      </c>
      <c r="B55" s="861" t="s">
        <v>182</v>
      </c>
      <c r="C55" s="173" t="s">
        <v>115</v>
      </c>
      <c r="D55" s="158" t="s">
        <v>115</v>
      </c>
      <c r="E55" s="161" t="s">
        <v>115</v>
      </c>
      <c r="F55" s="163" t="s">
        <v>115</v>
      </c>
      <c r="G55" s="158" t="s">
        <v>115</v>
      </c>
      <c r="H55" s="687" t="s">
        <v>115</v>
      </c>
      <c r="I55" s="171" t="s">
        <v>115</v>
      </c>
      <c r="J55" s="176" t="s">
        <v>115</v>
      </c>
      <c r="K55" s="154" t="s">
        <v>115</v>
      </c>
    </row>
    <row r="56" spans="1:11">
      <c r="A56" s="153" t="s">
        <v>183</v>
      </c>
      <c r="B56" s="861" t="s">
        <v>184</v>
      </c>
      <c r="C56" s="173" t="s">
        <v>115</v>
      </c>
      <c r="D56" s="158" t="s">
        <v>115</v>
      </c>
      <c r="E56" s="161" t="s">
        <v>115</v>
      </c>
      <c r="F56" s="163" t="s">
        <v>115</v>
      </c>
      <c r="G56" s="158" t="s">
        <v>115</v>
      </c>
      <c r="H56" s="485">
        <v>30</v>
      </c>
      <c r="I56" s="158">
        <v>120</v>
      </c>
      <c r="J56" s="161">
        <v>300</v>
      </c>
      <c r="K56" s="154" t="s">
        <v>115</v>
      </c>
    </row>
    <row r="57" spans="1:11">
      <c r="A57" s="153" t="s">
        <v>185</v>
      </c>
      <c r="B57" s="861" t="s">
        <v>186</v>
      </c>
      <c r="C57" s="173" t="s">
        <v>115</v>
      </c>
      <c r="D57" s="158" t="s">
        <v>115</v>
      </c>
      <c r="E57" s="161" t="s">
        <v>115</v>
      </c>
      <c r="F57" s="163" t="s">
        <v>115</v>
      </c>
      <c r="G57" s="158" t="s">
        <v>115</v>
      </c>
      <c r="H57" s="485">
        <v>30</v>
      </c>
      <c r="I57" s="158">
        <v>120</v>
      </c>
      <c r="J57" s="161">
        <v>300</v>
      </c>
      <c r="K57" s="154" t="s">
        <v>115</v>
      </c>
    </row>
    <row r="58" spans="1:11">
      <c r="A58" s="153" t="s">
        <v>187</v>
      </c>
      <c r="B58" s="861" t="s">
        <v>188</v>
      </c>
      <c r="C58" s="173" t="s">
        <v>115</v>
      </c>
      <c r="D58" s="158" t="s">
        <v>115</v>
      </c>
      <c r="E58" s="161" t="s">
        <v>115</v>
      </c>
      <c r="F58" s="163" t="s">
        <v>115</v>
      </c>
      <c r="G58" s="158" t="s">
        <v>115</v>
      </c>
      <c r="H58" s="687" t="s">
        <v>115</v>
      </c>
      <c r="I58" s="171" t="s">
        <v>115</v>
      </c>
      <c r="J58" s="176" t="s">
        <v>115</v>
      </c>
      <c r="K58" s="154" t="s">
        <v>115</v>
      </c>
    </row>
    <row r="59" spans="1:11">
      <c r="A59" s="153" t="s">
        <v>189</v>
      </c>
      <c r="B59" s="861" t="s">
        <v>190</v>
      </c>
      <c r="C59" s="173" t="s">
        <v>115</v>
      </c>
      <c r="D59" s="158" t="s">
        <v>115</v>
      </c>
      <c r="E59" s="161" t="s">
        <v>115</v>
      </c>
      <c r="F59" s="163" t="s">
        <v>115</v>
      </c>
      <c r="G59" s="158" t="s">
        <v>115</v>
      </c>
      <c r="H59" s="687" t="s">
        <v>115</v>
      </c>
      <c r="I59" s="171" t="s">
        <v>115</v>
      </c>
      <c r="J59" s="176" t="s">
        <v>115</v>
      </c>
      <c r="K59" s="154" t="s">
        <v>115</v>
      </c>
    </row>
    <row r="60" spans="1:11">
      <c r="A60" s="153" t="s">
        <v>191</v>
      </c>
      <c r="B60" s="861" t="s">
        <v>192</v>
      </c>
      <c r="C60" s="173" t="s">
        <v>115</v>
      </c>
      <c r="D60" s="158" t="s">
        <v>115</v>
      </c>
      <c r="E60" s="161" t="s">
        <v>115</v>
      </c>
      <c r="F60" s="163" t="s">
        <v>115</v>
      </c>
      <c r="G60" s="158" t="s">
        <v>115</v>
      </c>
      <c r="H60" s="687" t="s">
        <v>115</v>
      </c>
      <c r="I60" s="171" t="s">
        <v>115</v>
      </c>
      <c r="J60" s="176" t="s">
        <v>115</v>
      </c>
      <c r="K60" s="154" t="s">
        <v>115</v>
      </c>
    </row>
    <row r="61" spans="1:11">
      <c r="A61" s="153" t="s">
        <v>193</v>
      </c>
      <c r="B61" s="861" t="s">
        <v>194</v>
      </c>
      <c r="C61" s="173">
        <v>5.6000000000000001E-2</v>
      </c>
      <c r="D61" s="158">
        <v>0.22</v>
      </c>
      <c r="E61" s="161" t="s">
        <v>115</v>
      </c>
      <c r="F61" s="163">
        <v>8.6999999999999994E-3</v>
      </c>
      <c r="G61" s="158">
        <v>3.4000000000000002E-2</v>
      </c>
      <c r="H61" s="485">
        <v>8.9999999999999993E-3</v>
      </c>
      <c r="I61" s="158">
        <v>1.7999999999999999E-2</v>
      </c>
      <c r="J61" s="161">
        <v>2.7E-2</v>
      </c>
      <c r="K61" s="154" t="s">
        <v>115</v>
      </c>
    </row>
    <row r="62" spans="1:11">
      <c r="A62" s="153" t="s">
        <v>195</v>
      </c>
      <c r="B62" s="861" t="s">
        <v>196</v>
      </c>
      <c r="C62" s="173">
        <v>3.5999999999999997E-2</v>
      </c>
      <c r="D62" s="158">
        <v>8.5999999999999993E-2</v>
      </c>
      <c r="E62" s="161" t="s">
        <v>115</v>
      </c>
      <c r="F62" s="163">
        <v>2.3E-3</v>
      </c>
      <c r="G62" s="158">
        <v>3.6999999999999998E-2</v>
      </c>
      <c r="H62" s="485">
        <v>2E-3</v>
      </c>
      <c r="I62" s="158">
        <v>4.0000000000000001E-3</v>
      </c>
      <c r="J62" s="161">
        <v>6.0000000000000001E-3</v>
      </c>
      <c r="K62" s="154" t="s">
        <v>115</v>
      </c>
    </row>
    <row r="63" spans="1:11">
      <c r="A63" s="153" t="s">
        <v>197</v>
      </c>
      <c r="B63" s="861" t="s">
        <v>198</v>
      </c>
      <c r="C63" s="173" t="s">
        <v>115</v>
      </c>
      <c r="D63" s="158" t="s">
        <v>115</v>
      </c>
      <c r="E63" s="161" t="s">
        <v>115</v>
      </c>
      <c r="F63" s="163" t="s">
        <v>115</v>
      </c>
      <c r="G63" s="158" t="s">
        <v>115</v>
      </c>
      <c r="H63" s="687" t="s">
        <v>115</v>
      </c>
      <c r="I63" s="171" t="s">
        <v>115</v>
      </c>
      <c r="J63" s="176" t="s">
        <v>115</v>
      </c>
      <c r="K63" s="154" t="s">
        <v>115</v>
      </c>
    </row>
    <row r="64" spans="1:11">
      <c r="A64" s="153" t="s">
        <v>199</v>
      </c>
      <c r="B64" s="861" t="s">
        <v>200</v>
      </c>
      <c r="C64" s="173">
        <v>3.8E-3</v>
      </c>
      <c r="D64" s="158">
        <v>5.1999999999999998E-2</v>
      </c>
      <c r="E64" s="161" t="s">
        <v>115</v>
      </c>
      <c r="F64" s="163">
        <v>3.5999999999999999E-3</v>
      </c>
      <c r="G64" s="158">
        <v>5.2999999999999999E-2</v>
      </c>
      <c r="H64" s="687" t="s">
        <v>115</v>
      </c>
      <c r="I64" s="171" t="s">
        <v>115</v>
      </c>
      <c r="J64" s="176" t="s">
        <v>115</v>
      </c>
      <c r="K64" s="154" t="s">
        <v>115</v>
      </c>
    </row>
    <row r="65" spans="1:11">
      <c r="A65" s="153" t="s">
        <v>201</v>
      </c>
      <c r="B65" s="861" t="s">
        <v>202</v>
      </c>
      <c r="C65" s="173">
        <v>3.8E-3</v>
      </c>
      <c r="D65" s="158">
        <v>5.1999999999999998E-2</v>
      </c>
      <c r="E65" s="161" t="s">
        <v>115</v>
      </c>
      <c r="F65" s="163">
        <v>3.5999999999999999E-3</v>
      </c>
      <c r="G65" s="158">
        <v>5.2999999999999999E-2</v>
      </c>
      <c r="H65" s="687" t="s">
        <v>115</v>
      </c>
      <c r="I65" s="171" t="s">
        <v>115</v>
      </c>
      <c r="J65" s="176" t="s">
        <v>115</v>
      </c>
      <c r="K65" s="154" t="s">
        <v>115</v>
      </c>
    </row>
    <row r="66" spans="1:11">
      <c r="A66" s="153" t="s">
        <v>203</v>
      </c>
      <c r="B66" s="861" t="s">
        <v>204</v>
      </c>
      <c r="C66" s="173" t="s">
        <v>115</v>
      </c>
      <c r="D66" s="158" t="s">
        <v>115</v>
      </c>
      <c r="E66" s="161" t="s">
        <v>115</v>
      </c>
      <c r="F66" s="163" t="s">
        <v>115</v>
      </c>
      <c r="G66" s="158" t="s">
        <v>115</v>
      </c>
      <c r="H66" s="687" t="s">
        <v>115</v>
      </c>
      <c r="I66" s="171" t="s">
        <v>115</v>
      </c>
      <c r="J66" s="176" t="s">
        <v>115</v>
      </c>
      <c r="K66" s="154" t="s">
        <v>115</v>
      </c>
    </row>
    <row r="67" spans="1:11">
      <c r="A67" s="153" t="s">
        <v>205</v>
      </c>
      <c r="B67" s="861" t="s">
        <v>206</v>
      </c>
      <c r="C67" s="173" t="s">
        <v>115</v>
      </c>
      <c r="D67" s="158" t="s">
        <v>115</v>
      </c>
      <c r="E67" s="161" t="s">
        <v>115</v>
      </c>
      <c r="F67" s="163" t="s">
        <v>115</v>
      </c>
      <c r="G67" s="158" t="s">
        <v>115</v>
      </c>
      <c r="H67" s="687" t="s">
        <v>115</v>
      </c>
      <c r="I67" s="171" t="s">
        <v>115</v>
      </c>
      <c r="J67" s="176" t="s">
        <v>115</v>
      </c>
      <c r="K67" s="154" t="s">
        <v>115</v>
      </c>
    </row>
    <row r="68" spans="1:11">
      <c r="A68" s="2105" t="s">
        <v>4279</v>
      </c>
      <c r="B68" s="861" t="s">
        <v>208</v>
      </c>
      <c r="C68" s="173" t="s">
        <v>115</v>
      </c>
      <c r="D68" s="158">
        <v>0.95</v>
      </c>
      <c r="E68" s="161" t="s">
        <v>115</v>
      </c>
      <c r="F68" s="163" t="s">
        <v>115</v>
      </c>
      <c r="G68" s="158">
        <v>0.16</v>
      </c>
      <c r="H68" s="485">
        <v>4.0000000000000001E-3</v>
      </c>
      <c r="I68" s="158">
        <v>8.0000000000000002E-3</v>
      </c>
      <c r="J68" s="161">
        <v>1.2E-2</v>
      </c>
      <c r="K68" s="154" t="s">
        <v>115</v>
      </c>
    </row>
    <row r="69" spans="1:11">
      <c r="A69" s="153" t="s">
        <v>209</v>
      </c>
      <c r="B69" s="861" t="s">
        <v>210</v>
      </c>
      <c r="C69" s="173" t="s">
        <v>115</v>
      </c>
      <c r="D69" s="158" t="s">
        <v>115</v>
      </c>
      <c r="E69" s="161" t="s">
        <v>115</v>
      </c>
      <c r="F69" s="163" t="s">
        <v>115</v>
      </c>
      <c r="G69" s="158" t="s">
        <v>115</v>
      </c>
      <c r="H69" s="687" t="s">
        <v>115</v>
      </c>
      <c r="I69" s="171" t="s">
        <v>115</v>
      </c>
      <c r="J69" s="176" t="s">
        <v>115</v>
      </c>
      <c r="K69" s="154" t="s">
        <v>115</v>
      </c>
    </row>
    <row r="70" spans="1:11">
      <c r="A70" s="153" t="s">
        <v>211</v>
      </c>
      <c r="B70" s="861" t="s">
        <v>212</v>
      </c>
      <c r="C70" s="173">
        <v>2.5</v>
      </c>
      <c r="D70" s="158">
        <v>65</v>
      </c>
      <c r="E70" s="161">
        <v>2.5</v>
      </c>
      <c r="F70" s="163">
        <v>8.1</v>
      </c>
      <c r="G70" s="158">
        <v>210</v>
      </c>
      <c r="H70" s="485">
        <v>2</v>
      </c>
      <c r="I70" s="158">
        <v>8</v>
      </c>
      <c r="J70" s="161">
        <v>20</v>
      </c>
      <c r="K70" s="154">
        <v>8.1</v>
      </c>
    </row>
    <row r="71" spans="1:11">
      <c r="A71" s="153" t="s">
        <v>213</v>
      </c>
      <c r="B71" s="861" t="s">
        <v>214</v>
      </c>
      <c r="C71" s="173" t="s">
        <v>115</v>
      </c>
      <c r="D71" s="158" t="s">
        <v>115</v>
      </c>
      <c r="E71" s="176">
        <v>2.5000000000000001E-2</v>
      </c>
      <c r="F71" s="163" t="s">
        <v>115</v>
      </c>
      <c r="G71" s="158" t="s">
        <v>115</v>
      </c>
      <c r="H71" s="485">
        <v>0.04</v>
      </c>
      <c r="I71" s="158">
        <v>0.16</v>
      </c>
      <c r="J71" s="161">
        <v>0.4</v>
      </c>
      <c r="K71" s="319">
        <v>2.5000000000000001E-2</v>
      </c>
    </row>
    <row r="72" spans="1:11">
      <c r="A72" s="153" t="s">
        <v>215</v>
      </c>
      <c r="B72" s="861" t="s">
        <v>216</v>
      </c>
      <c r="C72" s="173" t="s">
        <v>115</v>
      </c>
      <c r="D72" s="158" t="s">
        <v>115</v>
      </c>
      <c r="E72" s="161" t="s">
        <v>115</v>
      </c>
      <c r="F72" s="163" t="s">
        <v>115</v>
      </c>
      <c r="G72" s="158" t="s">
        <v>115</v>
      </c>
      <c r="H72" s="687" t="s">
        <v>115</v>
      </c>
      <c r="I72" s="171" t="s">
        <v>115</v>
      </c>
      <c r="J72" s="176" t="s">
        <v>115</v>
      </c>
      <c r="K72" s="154" t="s">
        <v>115</v>
      </c>
    </row>
    <row r="73" spans="1:11">
      <c r="A73" s="153" t="s">
        <v>217</v>
      </c>
      <c r="B73" s="861" t="s">
        <v>218</v>
      </c>
      <c r="C73" s="173" t="s">
        <v>115</v>
      </c>
      <c r="D73" s="158" t="s">
        <v>115</v>
      </c>
      <c r="E73" s="161" t="s">
        <v>115</v>
      </c>
      <c r="F73" s="163" t="s">
        <v>115</v>
      </c>
      <c r="G73" s="158" t="s">
        <v>115</v>
      </c>
      <c r="H73" s="687" t="s">
        <v>115</v>
      </c>
      <c r="I73" s="171" t="s">
        <v>115</v>
      </c>
      <c r="J73" s="176" t="s">
        <v>115</v>
      </c>
      <c r="K73" s="154" t="s">
        <v>115</v>
      </c>
    </row>
    <row r="74" spans="1:11">
      <c r="A74" s="153" t="s">
        <v>219</v>
      </c>
      <c r="B74" s="861" t="s">
        <v>220</v>
      </c>
      <c r="C74" s="173" t="s">
        <v>115</v>
      </c>
      <c r="D74" s="158" t="s">
        <v>115</v>
      </c>
      <c r="E74" s="161" t="s">
        <v>115</v>
      </c>
      <c r="F74" s="163" t="s">
        <v>115</v>
      </c>
      <c r="G74" s="158" t="s">
        <v>115</v>
      </c>
      <c r="H74" s="687" t="s">
        <v>115</v>
      </c>
      <c r="I74" s="171" t="s">
        <v>115</v>
      </c>
      <c r="J74" s="176" t="s">
        <v>115</v>
      </c>
      <c r="K74" s="154" t="s">
        <v>115</v>
      </c>
    </row>
    <row r="75" spans="1:11">
      <c r="A75" s="153" t="s">
        <v>221</v>
      </c>
      <c r="B75" s="861" t="s">
        <v>222</v>
      </c>
      <c r="C75" s="173" t="s">
        <v>115</v>
      </c>
      <c r="D75" s="158" t="s">
        <v>115</v>
      </c>
      <c r="E75" s="161" t="s">
        <v>115</v>
      </c>
      <c r="F75" s="163" t="s">
        <v>115</v>
      </c>
      <c r="G75" s="158" t="s">
        <v>115</v>
      </c>
      <c r="H75" s="687" t="s">
        <v>115</v>
      </c>
      <c r="I75" s="171" t="s">
        <v>115</v>
      </c>
      <c r="J75" s="176" t="s">
        <v>115</v>
      </c>
      <c r="K75" s="154" t="s">
        <v>115</v>
      </c>
    </row>
    <row r="76" spans="1:11">
      <c r="A76" s="153" t="s">
        <v>223</v>
      </c>
      <c r="B76" s="861" t="s">
        <v>224</v>
      </c>
      <c r="C76" s="173" t="s">
        <v>115</v>
      </c>
      <c r="D76" s="158" t="s">
        <v>115</v>
      </c>
      <c r="E76" s="161" t="s">
        <v>115</v>
      </c>
      <c r="F76" s="163" t="s">
        <v>115</v>
      </c>
      <c r="G76" s="158" t="s">
        <v>115</v>
      </c>
      <c r="H76" s="687" t="s">
        <v>115</v>
      </c>
      <c r="I76" s="171" t="s">
        <v>115</v>
      </c>
      <c r="J76" s="176" t="s">
        <v>115</v>
      </c>
      <c r="K76" s="154" t="s">
        <v>115</v>
      </c>
    </row>
    <row r="77" spans="1:11">
      <c r="A77" s="153" t="s">
        <v>225</v>
      </c>
      <c r="B77" s="861" t="s">
        <v>226</v>
      </c>
      <c r="C77" s="173" t="s">
        <v>115</v>
      </c>
      <c r="D77" s="158" t="s">
        <v>115</v>
      </c>
      <c r="E77" s="161" t="s">
        <v>115</v>
      </c>
      <c r="F77" s="163" t="s">
        <v>115</v>
      </c>
      <c r="G77" s="158" t="s">
        <v>115</v>
      </c>
      <c r="H77" s="687" t="s">
        <v>115</v>
      </c>
      <c r="I77" s="171" t="s">
        <v>115</v>
      </c>
      <c r="J77" s="176" t="s">
        <v>115</v>
      </c>
      <c r="K77" s="154" t="s">
        <v>115</v>
      </c>
    </row>
    <row r="78" spans="1:11">
      <c r="A78" s="153" t="s">
        <v>227</v>
      </c>
      <c r="B78" s="861" t="s">
        <v>228</v>
      </c>
      <c r="C78" s="173">
        <v>66000</v>
      </c>
      <c r="D78" s="158">
        <v>115000</v>
      </c>
      <c r="E78" s="161" t="s">
        <v>115</v>
      </c>
      <c r="F78" s="163">
        <v>8000</v>
      </c>
      <c r="G78" s="158">
        <v>14000</v>
      </c>
      <c r="H78" s="687" t="s">
        <v>115</v>
      </c>
      <c r="I78" s="171" t="s">
        <v>115</v>
      </c>
      <c r="J78" s="176" t="s">
        <v>115</v>
      </c>
      <c r="K78" s="154" t="s">
        <v>115</v>
      </c>
    </row>
    <row r="79" spans="1:11">
      <c r="A79" s="153" t="s">
        <v>229</v>
      </c>
      <c r="B79" s="861" t="s">
        <v>230</v>
      </c>
      <c r="C79" s="173" t="s">
        <v>115</v>
      </c>
      <c r="D79" s="158" t="s">
        <v>115</v>
      </c>
      <c r="E79" s="176" t="s">
        <v>115</v>
      </c>
      <c r="F79" s="163" t="s">
        <v>115</v>
      </c>
      <c r="G79" s="158" t="s">
        <v>115</v>
      </c>
      <c r="H79" s="687" t="s">
        <v>115</v>
      </c>
      <c r="I79" s="171" t="s">
        <v>115</v>
      </c>
      <c r="J79" s="176" t="s">
        <v>115</v>
      </c>
      <c r="K79" s="154" t="s">
        <v>115</v>
      </c>
    </row>
    <row r="80" spans="1:11">
      <c r="A80" s="153" t="s">
        <v>231</v>
      </c>
      <c r="B80" s="861" t="s">
        <v>232</v>
      </c>
      <c r="C80" s="173">
        <v>52</v>
      </c>
      <c r="D80" s="158">
        <v>470</v>
      </c>
      <c r="E80" s="161">
        <v>52</v>
      </c>
      <c r="F80" s="163">
        <v>8.1999999999999993</v>
      </c>
      <c r="G80" s="158">
        <v>74</v>
      </c>
      <c r="H80" s="485">
        <v>5</v>
      </c>
      <c r="I80" s="158">
        <v>20</v>
      </c>
      <c r="J80" s="161">
        <v>50</v>
      </c>
      <c r="K80" s="154">
        <v>8.1999999999999993</v>
      </c>
    </row>
    <row r="81" spans="1:11">
      <c r="A81" s="153" t="s">
        <v>233</v>
      </c>
      <c r="B81" s="861" t="s">
        <v>234</v>
      </c>
      <c r="C81" s="172" t="s">
        <v>115</v>
      </c>
      <c r="D81" s="170" t="s">
        <v>115</v>
      </c>
      <c r="E81" s="175" t="s">
        <v>115</v>
      </c>
      <c r="F81" s="162" t="s">
        <v>115</v>
      </c>
      <c r="G81" s="170" t="s">
        <v>115</v>
      </c>
      <c r="H81" s="687" t="s">
        <v>115</v>
      </c>
      <c r="I81" s="171" t="s">
        <v>115</v>
      </c>
      <c r="J81" s="176" t="s">
        <v>115</v>
      </c>
      <c r="K81" s="1634">
        <v>15</v>
      </c>
    </row>
    <row r="82" spans="1:11">
      <c r="A82" s="153" t="s">
        <v>235</v>
      </c>
      <c r="B82" s="861" t="s">
        <v>236</v>
      </c>
      <c r="C82" s="173" t="s">
        <v>115</v>
      </c>
      <c r="D82" s="158" t="s">
        <v>115</v>
      </c>
      <c r="E82" s="161" t="s">
        <v>115</v>
      </c>
      <c r="F82" s="163" t="s">
        <v>115</v>
      </c>
      <c r="G82" s="158" t="s">
        <v>115</v>
      </c>
      <c r="H82" s="687" t="s">
        <v>115</v>
      </c>
      <c r="I82" s="171" t="s">
        <v>115</v>
      </c>
      <c r="J82" s="176" t="s">
        <v>115</v>
      </c>
      <c r="K82" s="154">
        <v>15</v>
      </c>
    </row>
    <row r="83" spans="1:11">
      <c r="A83" s="153" t="s">
        <v>237</v>
      </c>
      <c r="B83" s="861" t="s">
        <v>238</v>
      </c>
      <c r="C83" s="173" t="s">
        <v>115</v>
      </c>
      <c r="D83" s="158" t="s">
        <v>115</v>
      </c>
      <c r="E83" s="161" t="s">
        <v>115</v>
      </c>
      <c r="F83" s="163" t="s">
        <v>115</v>
      </c>
      <c r="G83" s="158" t="s">
        <v>115</v>
      </c>
      <c r="H83" s="687" t="s">
        <v>115</v>
      </c>
      <c r="I83" s="171" t="s">
        <v>115</v>
      </c>
      <c r="J83" s="176" t="s">
        <v>115</v>
      </c>
      <c r="K83" s="154">
        <v>15</v>
      </c>
    </row>
    <row r="84" spans="1:11">
      <c r="A84" s="153" t="s">
        <v>239</v>
      </c>
      <c r="B84" s="861" t="s">
        <v>240</v>
      </c>
      <c r="C84" s="173" t="s">
        <v>115</v>
      </c>
      <c r="D84" s="158" t="s">
        <v>115</v>
      </c>
      <c r="E84" s="161" t="s">
        <v>115</v>
      </c>
      <c r="F84" s="163" t="s">
        <v>115</v>
      </c>
      <c r="G84" s="158" t="s">
        <v>115</v>
      </c>
      <c r="H84" s="687" t="s">
        <v>115</v>
      </c>
      <c r="I84" s="171" t="s">
        <v>115</v>
      </c>
      <c r="J84" s="176" t="s">
        <v>115</v>
      </c>
      <c r="K84" s="154">
        <v>15</v>
      </c>
    </row>
    <row r="85" spans="1:11">
      <c r="A85" s="153" t="s">
        <v>241</v>
      </c>
      <c r="B85" s="861" t="s">
        <v>242</v>
      </c>
      <c r="C85" s="173" t="s">
        <v>115</v>
      </c>
      <c r="D85" s="158" t="s">
        <v>115</v>
      </c>
      <c r="E85" s="161" t="s">
        <v>115</v>
      </c>
      <c r="F85" s="163" t="s">
        <v>115</v>
      </c>
      <c r="G85" s="158" t="s">
        <v>115</v>
      </c>
      <c r="H85" s="687" t="s">
        <v>115</v>
      </c>
      <c r="I85" s="171" t="s">
        <v>115</v>
      </c>
      <c r="J85" s="176" t="s">
        <v>115</v>
      </c>
      <c r="K85" s="154">
        <v>15</v>
      </c>
    </row>
    <row r="86" spans="1:11">
      <c r="A86" s="153" t="s">
        <v>243</v>
      </c>
      <c r="B86" s="861" t="s">
        <v>244</v>
      </c>
      <c r="C86" s="173" t="s">
        <v>115</v>
      </c>
      <c r="D86" s="158" t="s">
        <v>115</v>
      </c>
      <c r="E86" s="161" t="s">
        <v>115</v>
      </c>
      <c r="F86" s="163" t="s">
        <v>115</v>
      </c>
      <c r="G86" s="158" t="s">
        <v>115</v>
      </c>
      <c r="H86" s="687" t="s">
        <v>115</v>
      </c>
      <c r="I86" s="171" t="s">
        <v>115</v>
      </c>
      <c r="J86" s="176" t="s">
        <v>115</v>
      </c>
      <c r="K86" s="154">
        <v>15</v>
      </c>
    </row>
    <row r="87" spans="1:11">
      <c r="A87" s="153" t="s">
        <v>245</v>
      </c>
      <c r="B87" s="861" t="s">
        <v>246</v>
      </c>
      <c r="C87" s="173" t="s">
        <v>115</v>
      </c>
      <c r="D87" s="158" t="s">
        <v>115</v>
      </c>
      <c r="E87" s="161" t="s">
        <v>115</v>
      </c>
      <c r="F87" s="163" t="s">
        <v>115</v>
      </c>
      <c r="G87" s="158" t="s">
        <v>115</v>
      </c>
      <c r="H87" s="687" t="s">
        <v>115</v>
      </c>
      <c r="I87" s="171" t="s">
        <v>115</v>
      </c>
      <c r="J87" s="176" t="s">
        <v>115</v>
      </c>
      <c r="K87" s="154">
        <v>15</v>
      </c>
    </row>
    <row r="88" spans="1:11">
      <c r="A88" s="153" t="s">
        <v>247</v>
      </c>
      <c r="B88" s="861" t="s">
        <v>248</v>
      </c>
      <c r="C88" s="173" t="s">
        <v>115</v>
      </c>
      <c r="D88" s="158" t="s">
        <v>115</v>
      </c>
      <c r="E88" s="161" t="s">
        <v>115</v>
      </c>
      <c r="F88" s="163" t="s">
        <v>115</v>
      </c>
      <c r="G88" s="158" t="s">
        <v>115</v>
      </c>
      <c r="H88" s="687" t="s">
        <v>115</v>
      </c>
      <c r="I88" s="171" t="s">
        <v>115</v>
      </c>
      <c r="J88" s="176" t="s">
        <v>115</v>
      </c>
      <c r="K88" s="154">
        <v>15</v>
      </c>
    </row>
    <row r="89" spans="1:11">
      <c r="A89" s="153" t="s">
        <v>249</v>
      </c>
      <c r="B89" s="861" t="s">
        <v>250</v>
      </c>
      <c r="C89" s="173" t="s">
        <v>115</v>
      </c>
      <c r="D89" s="158" t="s">
        <v>115</v>
      </c>
      <c r="E89" s="161" t="s">
        <v>115</v>
      </c>
      <c r="F89" s="163" t="s">
        <v>115</v>
      </c>
      <c r="G89" s="158" t="s">
        <v>115</v>
      </c>
      <c r="H89" s="687" t="s">
        <v>115</v>
      </c>
      <c r="I89" s="171" t="s">
        <v>115</v>
      </c>
      <c r="J89" s="176" t="s">
        <v>115</v>
      </c>
      <c r="K89" s="154">
        <v>15</v>
      </c>
    </row>
    <row r="90" spans="1:11">
      <c r="A90" s="153" t="s">
        <v>251</v>
      </c>
      <c r="B90" s="861" t="s">
        <v>252</v>
      </c>
      <c r="C90" s="173" t="s">
        <v>115</v>
      </c>
      <c r="D90" s="158" t="s">
        <v>115</v>
      </c>
      <c r="E90" s="161" t="s">
        <v>115</v>
      </c>
      <c r="F90" s="163" t="s">
        <v>115</v>
      </c>
      <c r="G90" s="158" t="s">
        <v>115</v>
      </c>
      <c r="H90" s="687" t="s">
        <v>115</v>
      </c>
      <c r="I90" s="171" t="s">
        <v>115</v>
      </c>
      <c r="J90" s="176" t="s">
        <v>115</v>
      </c>
      <c r="K90" s="154">
        <v>15</v>
      </c>
    </row>
    <row r="91" spans="1:11">
      <c r="A91" s="153" t="s">
        <v>253</v>
      </c>
      <c r="B91" s="861" t="s">
        <v>254</v>
      </c>
      <c r="C91" s="173" t="s">
        <v>115</v>
      </c>
      <c r="D91" s="158" t="s">
        <v>115</v>
      </c>
      <c r="E91" s="161" t="s">
        <v>115</v>
      </c>
      <c r="F91" s="163" t="s">
        <v>115</v>
      </c>
      <c r="G91" s="158" t="s">
        <v>115</v>
      </c>
      <c r="H91" s="687" t="s">
        <v>115</v>
      </c>
      <c r="I91" s="171" t="s">
        <v>115</v>
      </c>
      <c r="J91" s="176" t="s">
        <v>115</v>
      </c>
      <c r="K91" s="154">
        <v>15</v>
      </c>
    </row>
    <row r="92" spans="1:11">
      <c r="A92" s="153" t="s">
        <v>255</v>
      </c>
      <c r="B92" s="861" t="s">
        <v>256</v>
      </c>
      <c r="C92" s="173" t="s">
        <v>115</v>
      </c>
      <c r="D92" s="158" t="s">
        <v>115</v>
      </c>
      <c r="E92" s="161" t="s">
        <v>115</v>
      </c>
      <c r="F92" s="163" t="s">
        <v>115</v>
      </c>
      <c r="G92" s="158" t="s">
        <v>115</v>
      </c>
      <c r="H92" s="687" t="s">
        <v>115</v>
      </c>
      <c r="I92" s="171" t="s">
        <v>115</v>
      </c>
      <c r="J92" s="176" t="s">
        <v>115</v>
      </c>
      <c r="K92" s="154">
        <v>15</v>
      </c>
    </row>
    <row r="93" spans="1:11">
      <c r="A93" s="153" t="s">
        <v>257</v>
      </c>
      <c r="B93" s="861" t="s">
        <v>258</v>
      </c>
      <c r="C93" s="173" t="s">
        <v>115</v>
      </c>
      <c r="D93" s="158" t="s">
        <v>115</v>
      </c>
      <c r="E93" s="161" t="s">
        <v>115</v>
      </c>
      <c r="F93" s="163" t="s">
        <v>115</v>
      </c>
      <c r="G93" s="158" t="s">
        <v>115</v>
      </c>
      <c r="H93" s="687" t="s">
        <v>115</v>
      </c>
      <c r="I93" s="171" t="s">
        <v>115</v>
      </c>
      <c r="J93" s="176" t="s">
        <v>115</v>
      </c>
      <c r="K93" s="154">
        <v>15</v>
      </c>
    </row>
    <row r="94" spans="1:11">
      <c r="A94" s="153" t="s">
        <v>259</v>
      </c>
      <c r="B94" s="861" t="s">
        <v>260</v>
      </c>
      <c r="C94" s="173">
        <v>15</v>
      </c>
      <c r="D94" s="158">
        <v>19</v>
      </c>
      <c r="E94" s="161" t="s">
        <v>115</v>
      </c>
      <c r="F94" s="163">
        <v>7.9</v>
      </c>
      <c r="G94" s="158">
        <v>13</v>
      </c>
      <c r="H94" s="485">
        <v>1</v>
      </c>
      <c r="I94" s="158">
        <v>4</v>
      </c>
      <c r="J94" s="161">
        <v>10</v>
      </c>
      <c r="K94" s="154" t="s">
        <v>115</v>
      </c>
    </row>
    <row r="95" spans="1:11">
      <c r="A95" s="153" t="s">
        <v>261</v>
      </c>
      <c r="B95" s="861" t="s">
        <v>1261</v>
      </c>
      <c r="C95" s="173" t="s">
        <v>115</v>
      </c>
      <c r="D95" s="158" t="s">
        <v>115</v>
      </c>
      <c r="E95" s="161" t="s">
        <v>115</v>
      </c>
      <c r="F95" s="163" t="s">
        <v>115</v>
      </c>
      <c r="G95" s="158" t="s">
        <v>115</v>
      </c>
      <c r="H95" s="687" t="s">
        <v>115</v>
      </c>
      <c r="I95" s="171" t="s">
        <v>115</v>
      </c>
      <c r="J95" s="176" t="s">
        <v>115</v>
      </c>
      <c r="K95" s="154" t="s">
        <v>115</v>
      </c>
    </row>
    <row r="96" spans="1:11">
      <c r="A96" s="897" t="str">
        <f>'Physical-Chem Values (IP-1)'!$A96</f>
        <v>Petroleum: Gasoline</v>
      </c>
      <c r="B96" s="862" t="s">
        <v>115</v>
      </c>
      <c r="C96" s="174" t="s">
        <v>115</v>
      </c>
      <c r="D96" s="158" t="s">
        <v>115</v>
      </c>
      <c r="E96" s="161">
        <v>443</v>
      </c>
      <c r="F96" s="163" t="s">
        <v>115</v>
      </c>
      <c r="G96" s="158" t="s">
        <v>115</v>
      </c>
      <c r="H96" s="687" t="s">
        <v>115</v>
      </c>
      <c r="I96" s="171" t="s">
        <v>115</v>
      </c>
      <c r="J96" s="176" t="s">
        <v>115</v>
      </c>
      <c r="K96" s="154">
        <v>3700</v>
      </c>
    </row>
    <row r="97" spans="1:11">
      <c r="A97" s="897" t="str">
        <f>'Physical-Chem Values (IP-1)'!$A97</f>
        <v>Petroleum: Stoddard Solvent</v>
      </c>
      <c r="B97" s="862" t="s">
        <v>115</v>
      </c>
      <c r="C97" s="174" t="s">
        <v>115</v>
      </c>
      <c r="D97" s="158" t="s">
        <v>115</v>
      </c>
      <c r="E97" s="176">
        <v>640</v>
      </c>
      <c r="F97" s="163" t="s">
        <v>115</v>
      </c>
      <c r="G97" s="158" t="s">
        <v>115</v>
      </c>
      <c r="H97" s="687" t="s">
        <v>115</v>
      </c>
      <c r="I97" s="171" t="s">
        <v>115</v>
      </c>
      <c r="J97" s="176" t="s">
        <v>115</v>
      </c>
      <c r="K97" s="319">
        <v>640</v>
      </c>
    </row>
    <row r="98" spans="1:11">
      <c r="A98" s="897" t="str">
        <f>'Physical-Chem Values (IP-1)'!$A98</f>
        <v>Petroleum: Jet Fuel</v>
      </c>
      <c r="B98" s="862" t="s">
        <v>115</v>
      </c>
      <c r="C98" s="174" t="s">
        <v>115</v>
      </c>
      <c r="D98" s="158" t="s">
        <v>115</v>
      </c>
      <c r="E98" s="176">
        <v>640</v>
      </c>
      <c r="F98" s="163" t="s">
        <v>115</v>
      </c>
      <c r="G98" s="158" t="s">
        <v>115</v>
      </c>
      <c r="H98" s="687" t="s">
        <v>115</v>
      </c>
      <c r="I98" s="171" t="s">
        <v>115</v>
      </c>
      <c r="J98" s="176" t="s">
        <v>115</v>
      </c>
      <c r="K98" s="319">
        <v>640</v>
      </c>
    </row>
    <row r="99" spans="1:11">
      <c r="A99" s="897" t="str">
        <f>'Physical-Chem Values (IP-1)'!$A99</f>
        <v>Petroleum: Diesel</v>
      </c>
      <c r="B99" s="862" t="s">
        <v>115</v>
      </c>
      <c r="C99" s="174" t="s">
        <v>115</v>
      </c>
      <c r="D99" s="158" t="s">
        <v>115</v>
      </c>
      <c r="E99" s="176">
        <v>640</v>
      </c>
      <c r="F99" s="163" t="s">
        <v>115</v>
      </c>
      <c r="G99" s="158" t="s">
        <v>115</v>
      </c>
      <c r="H99" s="687" t="s">
        <v>115</v>
      </c>
      <c r="I99" s="171" t="s">
        <v>115</v>
      </c>
      <c r="J99" s="176" t="s">
        <v>115</v>
      </c>
      <c r="K99" s="319">
        <v>640</v>
      </c>
    </row>
    <row r="100" spans="1:11">
      <c r="A100" s="897" t="str">
        <f>'Physical-Chem Values (IP-1)'!$A100</f>
        <v>Petroleum: HOPs</v>
      </c>
      <c r="B100" s="862" t="s">
        <v>115</v>
      </c>
      <c r="C100" s="174" t="s">
        <v>115</v>
      </c>
      <c r="D100" s="158" t="s">
        <v>115</v>
      </c>
      <c r="E100" s="176">
        <v>640</v>
      </c>
      <c r="F100" s="163" t="s">
        <v>115</v>
      </c>
      <c r="G100" s="158" t="s">
        <v>115</v>
      </c>
      <c r="H100" s="687" t="s">
        <v>115</v>
      </c>
      <c r="I100" s="171" t="s">
        <v>115</v>
      </c>
      <c r="J100" s="176" t="s">
        <v>115</v>
      </c>
      <c r="K100" s="319">
        <v>640</v>
      </c>
    </row>
    <row r="101" spans="1:11">
      <c r="A101" s="153" t="s">
        <v>268</v>
      </c>
      <c r="B101" s="862" t="s">
        <v>115</v>
      </c>
      <c r="C101" s="174" t="s">
        <v>115</v>
      </c>
      <c r="D101" s="158" t="s">
        <v>115</v>
      </c>
      <c r="E101" s="176" t="s">
        <v>115</v>
      </c>
      <c r="F101" s="163" t="s">
        <v>115</v>
      </c>
      <c r="G101" s="158" t="s">
        <v>115</v>
      </c>
      <c r="H101" s="687" t="s">
        <v>115</v>
      </c>
      <c r="I101" s="171" t="s">
        <v>115</v>
      </c>
      <c r="J101" s="176" t="s">
        <v>115</v>
      </c>
      <c r="K101" s="319" t="s">
        <v>115</v>
      </c>
    </row>
    <row r="102" spans="1:11">
      <c r="A102" s="136" t="s">
        <v>719</v>
      </c>
      <c r="B102" s="862" t="s">
        <v>115</v>
      </c>
      <c r="C102" s="174" t="s">
        <v>115</v>
      </c>
      <c r="D102" s="158" t="s">
        <v>115</v>
      </c>
      <c r="E102" s="176" t="s">
        <v>115</v>
      </c>
      <c r="F102" s="163" t="s">
        <v>115</v>
      </c>
      <c r="G102" s="158" t="s">
        <v>115</v>
      </c>
      <c r="H102" s="687" t="s">
        <v>115</v>
      </c>
      <c r="I102" s="171" t="s">
        <v>115</v>
      </c>
      <c r="J102" s="176" t="s">
        <v>115</v>
      </c>
      <c r="K102" s="319" t="s">
        <v>115</v>
      </c>
    </row>
    <row r="103" spans="1:11">
      <c r="A103" s="136" t="s">
        <v>720</v>
      </c>
      <c r="B103" s="862" t="s">
        <v>115</v>
      </c>
      <c r="C103" s="174" t="s">
        <v>115</v>
      </c>
      <c r="D103" s="158" t="s">
        <v>115</v>
      </c>
      <c r="E103" s="176" t="s">
        <v>115</v>
      </c>
      <c r="F103" s="163" t="s">
        <v>115</v>
      </c>
      <c r="G103" s="158" t="s">
        <v>115</v>
      </c>
      <c r="H103" s="687" t="s">
        <v>115</v>
      </c>
      <c r="I103" s="171" t="s">
        <v>115</v>
      </c>
      <c r="J103" s="176" t="s">
        <v>115</v>
      </c>
      <c r="K103" s="319" t="s">
        <v>115</v>
      </c>
    </row>
    <row r="104" spans="1:11">
      <c r="A104" s="136" t="s">
        <v>721</v>
      </c>
      <c r="B104" s="862" t="s">
        <v>115</v>
      </c>
      <c r="C104" s="174" t="s">
        <v>115</v>
      </c>
      <c r="D104" s="158" t="s">
        <v>115</v>
      </c>
      <c r="E104" s="176" t="s">
        <v>115</v>
      </c>
      <c r="F104" s="163" t="s">
        <v>115</v>
      </c>
      <c r="G104" s="158" t="s">
        <v>115</v>
      </c>
      <c r="H104" s="687" t="s">
        <v>115</v>
      </c>
      <c r="I104" s="171" t="s">
        <v>115</v>
      </c>
      <c r="J104" s="176" t="s">
        <v>115</v>
      </c>
      <c r="K104" s="319" t="s">
        <v>115</v>
      </c>
    </row>
    <row r="105" spans="1:11">
      <c r="A105" s="136" t="s">
        <v>722</v>
      </c>
      <c r="B105" s="862" t="s">
        <v>115</v>
      </c>
      <c r="C105" s="174" t="s">
        <v>115</v>
      </c>
      <c r="D105" s="158" t="s">
        <v>115</v>
      </c>
      <c r="E105" s="176" t="s">
        <v>115</v>
      </c>
      <c r="F105" s="163" t="s">
        <v>115</v>
      </c>
      <c r="G105" s="158" t="s">
        <v>115</v>
      </c>
      <c r="H105" s="687" t="s">
        <v>115</v>
      </c>
      <c r="I105" s="171" t="s">
        <v>115</v>
      </c>
      <c r="J105" s="176" t="s">
        <v>115</v>
      </c>
      <c r="K105" s="319" t="s">
        <v>115</v>
      </c>
    </row>
    <row r="106" spans="1:11">
      <c r="A106" s="136" t="s">
        <v>723</v>
      </c>
      <c r="B106" s="862" t="s">
        <v>115</v>
      </c>
      <c r="C106" s="174" t="s">
        <v>115</v>
      </c>
      <c r="D106" s="158" t="s">
        <v>115</v>
      </c>
      <c r="E106" s="176" t="s">
        <v>115</v>
      </c>
      <c r="F106" s="163" t="s">
        <v>115</v>
      </c>
      <c r="G106" s="158" t="s">
        <v>115</v>
      </c>
      <c r="H106" s="687" t="s">
        <v>115</v>
      </c>
      <c r="I106" s="171" t="s">
        <v>115</v>
      </c>
      <c r="J106" s="176" t="s">
        <v>115</v>
      </c>
      <c r="K106" s="319" t="s">
        <v>115</v>
      </c>
    </row>
    <row r="107" spans="1:11">
      <c r="A107" s="153" t="s">
        <v>269</v>
      </c>
      <c r="B107" s="862" t="s">
        <v>270</v>
      </c>
      <c r="C107" s="174" t="s">
        <v>115</v>
      </c>
      <c r="D107" s="158" t="s">
        <v>115</v>
      </c>
      <c r="E107" s="176" t="s">
        <v>115</v>
      </c>
      <c r="F107" s="163" t="s">
        <v>115</v>
      </c>
      <c r="G107" s="158" t="s">
        <v>115</v>
      </c>
      <c r="H107" s="687" t="s">
        <v>115</v>
      </c>
      <c r="I107" s="171" t="s">
        <v>115</v>
      </c>
      <c r="J107" s="176" t="s">
        <v>115</v>
      </c>
      <c r="K107" s="319" t="s">
        <v>115</v>
      </c>
    </row>
    <row r="108" spans="1:11">
      <c r="A108" s="153" t="s">
        <v>271</v>
      </c>
      <c r="B108" s="862" t="s">
        <v>272</v>
      </c>
      <c r="C108" s="174" t="s">
        <v>115</v>
      </c>
      <c r="D108" s="158" t="s">
        <v>115</v>
      </c>
      <c r="E108" s="176" t="s">
        <v>115</v>
      </c>
      <c r="F108" s="163" t="s">
        <v>115</v>
      </c>
      <c r="G108" s="158" t="s">
        <v>115</v>
      </c>
      <c r="H108" s="687" t="s">
        <v>115</v>
      </c>
      <c r="I108" s="171" t="s">
        <v>115</v>
      </c>
      <c r="J108" s="176" t="s">
        <v>115</v>
      </c>
      <c r="K108" s="319" t="s">
        <v>115</v>
      </c>
    </row>
    <row r="109" spans="1:11">
      <c r="A109" s="153" t="s">
        <v>273</v>
      </c>
      <c r="B109" s="862" t="s">
        <v>274</v>
      </c>
      <c r="C109" s="174" t="s">
        <v>115</v>
      </c>
      <c r="D109" s="158" t="s">
        <v>115</v>
      </c>
      <c r="E109" s="176" t="s">
        <v>115</v>
      </c>
      <c r="F109" s="163" t="s">
        <v>115</v>
      </c>
      <c r="G109" s="158" t="s">
        <v>115</v>
      </c>
      <c r="H109" s="687" t="s">
        <v>115</v>
      </c>
      <c r="I109" s="171" t="s">
        <v>115</v>
      </c>
      <c r="J109" s="176" t="s">
        <v>115</v>
      </c>
      <c r="K109" s="319" t="s">
        <v>115</v>
      </c>
    </row>
    <row r="110" spans="1:11">
      <c r="A110" s="153" t="s">
        <v>275</v>
      </c>
      <c r="B110" s="862" t="s">
        <v>276</v>
      </c>
      <c r="C110" s="174" t="s">
        <v>115</v>
      </c>
      <c r="D110" s="158" t="s">
        <v>115</v>
      </c>
      <c r="E110" s="176" t="s">
        <v>115</v>
      </c>
      <c r="F110" s="163" t="s">
        <v>115</v>
      </c>
      <c r="G110" s="158" t="s">
        <v>115</v>
      </c>
      <c r="H110" s="687" t="s">
        <v>115</v>
      </c>
      <c r="I110" s="171" t="s">
        <v>115</v>
      </c>
      <c r="J110" s="176" t="s">
        <v>115</v>
      </c>
      <c r="K110" s="319" t="s">
        <v>115</v>
      </c>
    </row>
    <row r="111" spans="1:11">
      <c r="A111" s="153" t="s">
        <v>277</v>
      </c>
      <c r="B111" s="862" t="s">
        <v>278</v>
      </c>
      <c r="C111" s="174" t="s">
        <v>115</v>
      </c>
      <c r="D111" s="158" t="s">
        <v>115</v>
      </c>
      <c r="E111" s="176" t="s">
        <v>115</v>
      </c>
      <c r="F111" s="163" t="s">
        <v>115</v>
      </c>
      <c r="G111" s="158" t="s">
        <v>115</v>
      </c>
      <c r="H111" s="687" t="s">
        <v>115</v>
      </c>
      <c r="I111" s="171" t="s">
        <v>115</v>
      </c>
      <c r="J111" s="176" t="s">
        <v>115</v>
      </c>
      <c r="K111" s="319" t="s">
        <v>115</v>
      </c>
    </row>
    <row r="112" spans="1:11">
      <c r="A112" s="153" t="s">
        <v>279</v>
      </c>
      <c r="B112" s="862" t="s">
        <v>280</v>
      </c>
      <c r="C112" s="174" t="s">
        <v>115</v>
      </c>
      <c r="D112" s="158" t="s">
        <v>115</v>
      </c>
      <c r="E112" s="176" t="s">
        <v>115</v>
      </c>
      <c r="F112" s="163" t="s">
        <v>115</v>
      </c>
      <c r="G112" s="158" t="s">
        <v>115</v>
      </c>
      <c r="H112" s="687" t="s">
        <v>115</v>
      </c>
      <c r="I112" s="171" t="s">
        <v>115</v>
      </c>
      <c r="J112" s="176" t="s">
        <v>115</v>
      </c>
      <c r="K112" s="319" t="s">
        <v>115</v>
      </c>
    </row>
    <row r="113" spans="1:11">
      <c r="A113" s="153" t="s">
        <v>281</v>
      </c>
      <c r="B113" s="862" t="s">
        <v>282</v>
      </c>
      <c r="C113" s="174" t="s">
        <v>115</v>
      </c>
      <c r="D113" s="158" t="s">
        <v>115</v>
      </c>
      <c r="E113" s="176" t="s">
        <v>115</v>
      </c>
      <c r="F113" s="163" t="s">
        <v>115</v>
      </c>
      <c r="G113" s="158" t="s">
        <v>115</v>
      </c>
      <c r="H113" s="687" t="s">
        <v>115</v>
      </c>
      <c r="I113" s="171" t="s">
        <v>115</v>
      </c>
      <c r="J113" s="176" t="s">
        <v>115</v>
      </c>
      <c r="K113" s="319" t="s">
        <v>115</v>
      </c>
    </row>
    <row r="114" spans="1:11">
      <c r="A114" s="153" t="s">
        <v>283</v>
      </c>
      <c r="B114" s="862" t="s">
        <v>284</v>
      </c>
      <c r="C114" s="174" t="s">
        <v>115</v>
      </c>
      <c r="D114" s="158" t="s">
        <v>115</v>
      </c>
      <c r="E114" s="176" t="s">
        <v>115</v>
      </c>
      <c r="F114" s="163" t="s">
        <v>115</v>
      </c>
      <c r="G114" s="158" t="s">
        <v>115</v>
      </c>
      <c r="H114" s="687" t="s">
        <v>115</v>
      </c>
      <c r="I114" s="171" t="s">
        <v>115</v>
      </c>
      <c r="J114" s="176" t="s">
        <v>115</v>
      </c>
      <c r="K114" s="319" t="s">
        <v>115</v>
      </c>
    </row>
    <row r="115" spans="1:11">
      <c r="A115" s="153" t="s">
        <v>285</v>
      </c>
      <c r="B115" s="862" t="s">
        <v>286</v>
      </c>
      <c r="C115" s="174" t="s">
        <v>115</v>
      </c>
      <c r="D115" s="158" t="s">
        <v>115</v>
      </c>
      <c r="E115" s="176" t="s">
        <v>115</v>
      </c>
      <c r="F115" s="163" t="s">
        <v>115</v>
      </c>
      <c r="G115" s="158" t="s">
        <v>115</v>
      </c>
      <c r="H115" s="687" t="s">
        <v>115</v>
      </c>
      <c r="I115" s="171" t="s">
        <v>115</v>
      </c>
      <c r="J115" s="176" t="s">
        <v>115</v>
      </c>
      <c r="K115" s="319" t="s">
        <v>115</v>
      </c>
    </row>
    <row r="116" spans="1:11">
      <c r="A116" s="153" t="s">
        <v>287</v>
      </c>
      <c r="B116" s="862" t="s">
        <v>288</v>
      </c>
      <c r="C116" s="174" t="s">
        <v>115</v>
      </c>
      <c r="D116" s="158" t="s">
        <v>115</v>
      </c>
      <c r="E116" s="176" t="s">
        <v>115</v>
      </c>
      <c r="F116" s="163" t="s">
        <v>115</v>
      </c>
      <c r="G116" s="158" t="s">
        <v>115</v>
      </c>
      <c r="H116" s="687" t="s">
        <v>115</v>
      </c>
      <c r="I116" s="171" t="s">
        <v>115</v>
      </c>
      <c r="J116" s="176" t="s">
        <v>115</v>
      </c>
      <c r="K116" s="319" t="s">
        <v>115</v>
      </c>
    </row>
    <row r="117" spans="1:11">
      <c r="A117" s="153" t="s">
        <v>289</v>
      </c>
      <c r="B117" s="862" t="s">
        <v>290</v>
      </c>
      <c r="C117" s="174" t="s">
        <v>115</v>
      </c>
      <c r="D117" s="158" t="s">
        <v>115</v>
      </c>
      <c r="E117" s="176" t="s">
        <v>115</v>
      </c>
      <c r="F117" s="163" t="s">
        <v>115</v>
      </c>
      <c r="G117" s="158" t="s">
        <v>115</v>
      </c>
      <c r="H117" s="687" t="s">
        <v>115</v>
      </c>
      <c r="I117" s="171" t="s">
        <v>115</v>
      </c>
      <c r="J117" s="176" t="s">
        <v>115</v>
      </c>
      <c r="K117" s="319" t="s">
        <v>115</v>
      </c>
    </row>
    <row r="118" spans="1:11">
      <c r="A118" s="153" t="s">
        <v>291</v>
      </c>
      <c r="B118" s="862" t="s">
        <v>292</v>
      </c>
      <c r="C118" s="174" t="s">
        <v>115</v>
      </c>
      <c r="D118" s="158" t="s">
        <v>115</v>
      </c>
      <c r="E118" s="176" t="s">
        <v>115</v>
      </c>
      <c r="F118" s="163" t="s">
        <v>115</v>
      </c>
      <c r="G118" s="158" t="s">
        <v>115</v>
      </c>
      <c r="H118" s="687" t="s">
        <v>115</v>
      </c>
      <c r="I118" s="171" t="s">
        <v>115</v>
      </c>
      <c r="J118" s="176" t="s">
        <v>115</v>
      </c>
      <c r="K118" s="319" t="s">
        <v>115</v>
      </c>
    </row>
    <row r="119" spans="1:11">
      <c r="A119" s="153" t="s">
        <v>293</v>
      </c>
      <c r="B119" s="862" t="s">
        <v>294</v>
      </c>
      <c r="C119" s="174" t="s">
        <v>115</v>
      </c>
      <c r="D119" s="158" t="s">
        <v>115</v>
      </c>
      <c r="E119" s="176" t="s">
        <v>115</v>
      </c>
      <c r="F119" s="163" t="s">
        <v>115</v>
      </c>
      <c r="G119" s="158" t="s">
        <v>115</v>
      </c>
      <c r="H119" s="687" t="s">
        <v>115</v>
      </c>
      <c r="I119" s="171" t="s">
        <v>115</v>
      </c>
      <c r="J119" s="176" t="s">
        <v>115</v>
      </c>
      <c r="K119" s="319" t="s">
        <v>115</v>
      </c>
    </row>
    <row r="120" spans="1:11">
      <c r="A120" s="153" t="s">
        <v>295</v>
      </c>
      <c r="B120" s="862" t="s">
        <v>296</v>
      </c>
      <c r="C120" s="174" t="s">
        <v>115</v>
      </c>
      <c r="D120" s="158" t="s">
        <v>115</v>
      </c>
      <c r="E120" s="176" t="s">
        <v>115</v>
      </c>
      <c r="F120" s="163" t="s">
        <v>115</v>
      </c>
      <c r="G120" s="158" t="s">
        <v>115</v>
      </c>
      <c r="H120" s="687" t="s">
        <v>115</v>
      </c>
      <c r="I120" s="171" t="s">
        <v>115</v>
      </c>
      <c r="J120" s="176" t="s">
        <v>115</v>
      </c>
      <c r="K120" s="319" t="s">
        <v>115</v>
      </c>
    </row>
    <row r="121" spans="1:11">
      <c r="A121" s="153" t="s">
        <v>297</v>
      </c>
      <c r="B121" s="862" t="s">
        <v>298</v>
      </c>
      <c r="C121" s="174" t="s">
        <v>115</v>
      </c>
      <c r="D121" s="158" t="s">
        <v>115</v>
      </c>
      <c r="E121" s="176" t="s">
        <v>115</v>
      </c>
      <c r="F121" s="163" t="s">
        <v>115</v>
      </c>
      <c r="G121" s="158" t="s">
        <v>115</v>
      </c>
      <c r="H121" s="687" t="s">
        <v>115</v>
      </c>
      <c r="I121" s="171" t="s">
        <v>115</v>
      </c>
      <c r="J121" s="176" t="s">
        <v>115</v>
      </c>
      <c r="K121" s="319" t="s">
        <v>115</v>
      </c>
    </row>
    <row r="122" spans="1:11">
      <c r="A122" s="153" t="s">
        <v>299</v>
      </c>
      <c r="B122" s="862" t="s">
        <v>300</v>
      </c>
      <c r="C122" s="174" t="s">
        <v>115</v>
      </c>
      <c r="D122" s="158" t="s">
        <v>115</v>
      </c>
      <c r="E122" s="176" t="s">
        <v>115</v>
      </c>
      <c r="F122" s="163" t="s">
        <v>115</v>
      </c>
      <c r="G122" s="158" t="s">
        <v>115</v>
      </c>
      <c r="H122" s="687" t="s">
        <v>115</v>
      </c>
      <c r="I122" s="171" t="s">
        <v>115</v>
      </c>
      <c r="J122" s="176" t="s">
        <v>115</v>
      </c>
      <c r="K122" s="319" t="s">
        <v>115</v>
      </c>
    </row>
    <row r="123" spans="1:11">
      <c r="A123" s="153" t="s">
        <v>301</v>
      </c>
      <c r="B123" s="861" t="s">
        <v>302</v>
      </c>
      <c r="C123" s="173" t="s">
        <v>115</v>
      </c>
      <c r="D123" s="158" t="s">
        <v>115</v>
      </c>
      <c r="E123" s="161" t="s">
        <v>115</v>
      </c>
      <c r="F123" s="163" t="s">
        <v>115</v>
      </c>
      <c r="G123" s="158" t="s">
        <v>115</v>
      </c>
      <c r="H123" s="485">
        <v>30</v>
      </c>
      <c r="I123" s="158">
        <v>120</v>
      </c>
      <c r="J123" s="161">
        <v>300</v>
      </c>
      <c r="K123" s="154" t="s">
        <v>115</v>
      </c>
    </row>
    <row r="124" spans="1:11">
      <c r="A124" s="153" t="s">
        <v>303</v>
      </c>
      <c r="B124" s="861" t="s">
        <v>304</v>
      </c>
      <c r="C124" s="173">
        <v>1.4E-2</v>
      </c>
      <c r="D124" s="158" t="s">
        <v>115</v>
      </c>
      <c r="E124" s="161" t="s">
        <v>115</v>
      </c>
      <c r="F124" s="163">
        <v>0.03</v>
      </c>
      <c r="G124" s="158" t="s">
        <v>115</v>
      </c>
      <c r="H124" s="687" t="s">
        <v>115</v>
      </c>
      <c r="I124" s="171" t="s">
        <v>115</v>
      </c>
      <c r="J124" s="176" t="s">
        <v>115</v>
      </c>
      <c r="K124" s="154" t="s">
        <v>115</v>
      </c>
    </row>
    <row r="125" spans="1:11">
      <c r="A125" s="153" t="s">
        <v>305</v>
      </c>
      <c r="B125" s="861" t="s">
        <v>306</v>
      </c>
      <c r="C125" s="173">
        <v>5</v>
      </c>
      <c r="D125" s="158" t="s">
        <v>115</v>
      </c>
      <c r="E125" s="176" t="s">
        <v>115</v>
      </c>
      <c r="F125" s="163">
        <v>71</v>
      </c>
      <c r="G125" s="158">
        <v>290</v>
      </c>
      <c r="H125" s="485">
        <v>15</v>
      </c>
      <c r="I125" s="158">
        <v>60</v>
      </c>
      <c r="J125" s="161">
        <v>150</v>
      </c>
      <c r="K125" s="154">
        <v>0.5</v>
      </c>
    </row>
    <row r="126" spans="1:11">
      <c r="A126" s="153" t="s">
        <v>307</v>
      </c>
      <c r="B126" s="861" t="s">
        <v>308</v>
      </c>
      <c r="C126" s="173" t="s">
        <v>115</v>
      </c>
      <c r="D126" s="158">
        <v>3.4</v>
      </c>
      <c r="E126" s="161">
        <v>3.4</v>
      </c>
      <c r="F126" s="163" t="s">
        <v>115</v>
      </c>
      <c r="G126" s="158">
        <v>1.9</v>
      </c>
      <c r="H126" s="485">
        <v>0.7</v>
      </c>
      <c r="I126" s="158">
        <v>2.8</v>
      </c>
      <c r="J126" s="161">
        <v>7</v>
      </c>
      <c r="K126" s="154" t="s">
        <v>115</v>
      </c>
    </row>
    <row r="127" spans="1:11">
      <c r="A127" s="153" t="s">
        <v>309</v>
      </c>
      <c r="B127" s="861" t="s">
        <v>310</v>
      </c>
      <c r="C127" s="173" t="s">
        <v>115</v>
      </c>
      <c r="D127" s="158" t="s">
        <v>115</v>
      </c>
      <c r="E127" s="161" t="s">
        <v>115</v>
      </c>
      <c r="F127" s="163" t="s">
        <v>115</v>
      </c>
      <c r="G127" s="158" t="s">
        <v>115</v>
      </c>
      <c r="H127" s="687" t="s">
        <v>115</v>
      </c>
      <c r="I127" s="171" t="s">
        <v>115</v>
      </c>
      <c r="J127" s="176" t="s">
        <v>115</v>
      </c>
      <c r="K127" s="154" t="s">
        <v>115</v>
      </c>
    </row>
    <row r="128" spans="1:11">
      <c r="A128" s="153" t="s">
        <v>311</v>
      </c>
      <c r="B128" s="861" t="s">
        <v>312</v>
      </c>
      <c r="C128" s="173" t="s">
        <v>115</v>
      </c>
      <c r="D128" s="158" t="s">
        <v>115</v>
      </c>
      <c r="E128" s="161" t="s">
        <v>115</v>
      </c>
      <c r="F128" s="163" t="s">
        <v>115</v>
      </c>
      <c r="G128" s="158" t="s">
        <v>115</v>
      </c>
      <c r="H128" s="687" t="s">
        <v>115</v>
      </c>
      <c r="I128" s="171" t="s">
        <v>115</v>
      </c>
      <c r="J128" s="176" t="s">
        <v>115</v>
      </c>
      <c r="K128" s="154" t="s">
        <v>115</v>
      </c>
    </row>
    <row r="129" spans="1:11">
      <c r="A129" s="153" t="s">
        <v>313</v>
      </c>
      <c r="B129" s="861" t="s">
        <v>314</v>
      </c>
      <c r="C129" s="173" t="s">
        <v>115</v>
      </c>
      <c r="D129" s="158" t="s">
        <v>115</v>
      </c>
      <c r="E129" s="161" t="s">
        <v>115</v>
      </c>
      <c r="F129" s="163" t="s">
        <v>115</v>
      </c>
      <c r="G129" s="158" t="s">
        <v>115</v>
      </c>
      <c r="H129" s="687" t="s">
        <v>115</v>
      </c>
      <c r="I129" s="171" t="s">
        <v>115</v>
      </c>
      <c r="J129" s="176" t="s">
        <v>115</v>
      </c>
      <c r="K129" s="154" t="s">
        <v>115</v>
      </c>
    </row>
    <row r="130" spans="1:11" ht="12.6" customHeight="1">
      <c r="A130" s="153" t="s">
        <v>315</v>
      </c>
      <c r="B130" s="861" t="s">
        <v>316</v>
      </c>
      <c r="C130" s="173" t="s">
        <v>115</v>
      </c>
      <c r="D130" s="158" t="s">
        <v>115</v>
      </c>
      <c r="E130" s="161" t="s">
        <v>115</v>
      </c>
      <c r="F130" s="163" t="s">
        <v>115</v>
      </c>
      <c r="G130" s="158" t="s">
        <v>115</v>
      </c>
      <c r="H130" s="687" t="s">
        <v>115</v>
      </c>
      <c r="I130" s="171" t="s">
        <v>115</v>
      </c>
      <c r="J130" s="176" t="s">
        <v>115</v>
      </c>
      <c r="K130" s="154" t="s">
        <v>115</v>
      </c>
    </row>
    <row r="131" spans="1:11">
      <c r="A131" s="153" t="s">
        <v>317</v>
      </c>
      <c r="B131" s="861" t="s">
        <v>318</v>
      </c>
      <c r="C131" s="173" t="s">
        <v>115</v>
      </c>
      <c r="D131" s="158" t="s">
        <v>115</v>
      </c>
      <c r="E131" s="161" t="s">
        <v>115</v>
      </c>
      <c r="F131" s="163" t="s">
        <v>115</v>
      </c>
      <c r="G131" s="158" t="s">
        <v>115</v>
      </c>
      <c r="H131" s="687" t="s">
        <v>115</v>
      </c>
      <c r="I131" s="171" t="s">
        <v>115</v>
      </c>
      <c r="J131" s="176" t="s">
        <v>115</v>
      </c>
      <c r="K131" s="154" t="s">
        <v>115</v>
      </c>
    </row>
    <row r="132" spans="1:11">
      <c r="A132" s="153" t="s">
        <v>319</v>
      </c>
      <c r="B132" s="861" t="s">
        <v>320</v>
      </c>
      <c r="C132" s="173" t="s">
        <v>115</v>
      </c>
      <c r="D132" s="158" t="s">
        <v>115</v>
      </c>
      <c r="E132" s="161" t="s">
        <v>115</v>
      </c>
      <c r="F132" s="163" t="s">
        <v>115</v>
      </c>
      <c r="G132" s="158" t="s">
        <v>115</v>
      </c>
      <c r="H132" s="687" t="s">
        <v>115</v>
      </c>
      <c r="I132" s="171" t="s">
        <v>115</v>
      </c>
      <c r="J132" s="176" t="s">
        <v>115</v>
      </c>
      <c r="K132" s="154" t="s">
        <v>115</v>
      </c>
    </row>
    <row r="133" spans="1:11">
      <c r="A133" s="153" t="s">
        <v>321</v>
      </c>
      <c r="B133" s="861" t="s">
        <v>322</v>
      </c>
      <c r="C133" s="173" t="s">
        <v>115</v>
      </c>
      <c r="D133" s="158" t="s">
        <v>115</v>
      </c>
      <c r="E133" s="161" t="s">
        <v>115</v>
      </c>
      <c r="F133" s="163" t="s">
        <v>115</v>
      </c>
      <c r="G133" s="158" t="s">
        <v>115</v>
      </c>
      <c r="H133" s="687" t="s">
        <v>115</v>
      </c>
      <c r="I133" s="171" t="s">
        <v>115</v>
      </c>
      <c r="J133" s="176" t="s">
        <v>115</v>
      </c>
      <c r="K133" s="154" t="s">
        <v>115</v>
      </c>
    </row>
    <row r="134" spans="1:11">
      <c r="A134" s="153" t="s">
        <v>323</v>
      </c>
      <c r="B134" s="861" t="s">
        <v>324</v>
      </c>
      <c r="C134" s="173">
        <v>2.0000000000000001E-4</v>
      </c>
      <c r="D134" s="158">
        <v>0.73</v>
      </c>
      <c r="E134" s="161" t="s">
        <v>115</v>
      </c>
      <c r="F134" s="163">
        <v>2.0000000000000001E-4</v>
      </c>
      <c r="G134" s="158">
        <v>0.21</v>
      </c>
      <c r="H134" s="687" t="s">
        <v>115</v>
      </c>
      <c r="I134" s="171" t="s">
        <v>115</v>
      </c>
      <c r="J134" s="176" t="s">
        <v>115</v>
      </c>
      <c r="K134" s="154" t="s">
        <v>115</v>
      </c>
    </row>
    <row r="135" spans="1:11">
      <c r="A135" s="153" t="s">
        <v>325</v>
      </c>
      <c r="B135" s="861" t="s">
        <v>326</v>
      </c>
      <c r="C135" s="173" t="s">
        <v>115</v>
      </c>
      <c r="D135" s="158" t="s">
        <v>115</v>
      </c>
      <c r="E135" s="161" t="s">
        <v>115</v>
      </c>
      <c r="F135" s="163" t="s">
        <v>115</v>
      </c>
      <c r="G135" s="158" t="s">
        <v>115</v>
      </c>
      <c r="H135" s="687" t="s">
        <v>115</v>
      </c>
      <c r="I135" s="171" t="s">
        <v>115</v>
      </c>
      <c r="J135" s="176" t="s">
        <v>115</v>
      </c>
      <c r="K135" s="154" t="s">
        <v>115</v>
      </c>
    </row>
    <row r="136" spans="1:11">
      <c r="A136" s="153" t="s">
        <v>327</v>
      </c>
      <c r="B136" s="861" t="s">
        <v>328</v>
      </c>
      <c r="C136" s="173" t="s">
        <v>115</v>
      </c>
      <c r="D136" s="158" t="s">
        <v>115</v>
      </c>
      <c r="E136" s="161" t="s">
        <v>115</v>
      </c>
      <c r="F136" s="163" t="s">
        <v>115</v>
      </c>
      <c r="G136" s="158" t="s">
        <v>115</v>
      </c>
      <c r="H136" s="687" t="s">
        <v>115</v>
      </c>
      <c r="I136" s="171" t="s">
        <v>115</v>
      </c>
      <c r="J136" s="176" t="s">
        <v>115</v>
      </c>
      <c r="K136" s="154" t="s">
        <v>115</v>
      </c>
    </row>
    <row r="137" spans="1:11">
      <c r="A137" s="153" t="s">
        <v>329</v>
      </c>
      <c r="B137" s="861" t="s">
        <v>330</v>
      </c>
      <c r="C137" s="173" t="s">
        <v>115</v>
      </c>
      <c r="D137" s="158" t="s">
        <v>115</v>
      </c>
      <c r="E137" s="161" t="s">
        <v>115</v>
      </c>
      <c r="F137" s="163" t="s">
        <v>115</v>
      </c>
      <c r="G137" s="158" t="s">
        <v>115</v>
      </c>
      <c r="H137" s="687" t="s">
        <v>115</v>
      </c>
      <c r="I137" s="171" t="s">
        <v>115</v>
      </c>
      <c r="J137" s="176" t="s">
        <v>115</v>
      </c>
      <c r="K137" s="154" t="s">
        <v>115</v>
      </c>
    </row>
    <row r="138" spans="1:11">
      <c r="A138" s="153" t="s">
        <v>331</v>
      </c>
      <c r="B138" s="861" t="s">
        <v>332</v>
      </c>
      <c r="C138" s="173" t="s">
        <v>115</v>
      </c>
      <c r="D138" s="158" t="s">
        <v>115</v>
      </c>
      <c r="E138" s="161" t="s">
        <v>115</v>
      </c>
      <c r="F138" s="163" t="s">
        <v>115</v>
      </c>
      <c r="G138" s="158" t="s">
        <v>115</v>
      </c>
      <c r="H138" s="687" t="s">
        <v>115</v>
      </c>
      <c r="I138" s="171" t="s">
        <v>115</v>
      </c>
      <c r="J138" s="176" t="s">
        <v>115</v>
      </c>
      <c r="K138" s="154" t="s">
        <v>115</v>
      </c>
    </row>
    <row r="139" spans="1:11">
      <c r="A139" s="153" t="s">
        <v>333</v>
      </c>
      <c r="B139" s="861" t="s">
        <v>334</v>
      </c>
      <c r="C139" s="173" t="s">
        <v>115</v>
      </c>
      <c r="D139" s="158" t="s">
        <v>115</v>
      </c>
      <c r="E139" s="161" t="s">
        <v>115</v>
      </c>
      <c r="F139" s="163" t="s">
        <v>115</v>
      </c>
      <c r="G139" s="158" t="s">
        <v>115</v>
      </c>
      <c r="H139" s="485">
        <v>1</v>
      </c>
      <c r="I139" s="158">
        <v>4</v>
      </c>
      <c r="J139" s="161">
        <v>10</v>
      </c>
      <c r="K139" s="154" t="s">
        <v>115</v>
      </c>
    </row>
    <row r="140" spans="1:11">
      <c r="A140" s="153" t="s">
        <v>335</v>
      </c>
      <c r="B140" s="861" t="s">
        <v>336</v>
      </c>
      <c r="C140" s="173" t="s">
        <v>115</v>
      </c>
      <c r="D140" s="158" t="s">
        <v>115</v>
      </c>
      <c r="E140" s="161" t="s">
        <v>115</v>
      </c>
      <c r="F140" s="163" t="s">
        <v>115</v>
      </c>
      <c r="G140" s="158" t="s">
        <v>115</v>
      </c>
      <c r="H140" s="485">
        <v>1</v>
      </c>
      <c r="I140" s="158">
        <v>4</v>
      </c>
      <c r="J140" s="161">
        <v>10</v>
      </c>
      <c r="K140" s="154" t="s">
        <v>115</v>
      </c>
    </row>
    <row r="141" spans="1:11">
      <c r="A141" s="153" t="s">
        <v>337</v>
      </c>
      <c r="B141" s="861" t="s">
        <v>338</v>
      </c>
      <c r="C141" s="173" t="s">
        <v>115</v>
      </c>
      <c r="D141" s="158" t="s">
        <v>115</v>
      </c>
      <c r="E141" s="161" t="s">
        <v>115</v>
      </c>
      <c r="F141" s="163" t="s">
        <v>115</v>
      </c>
      <c r="G141" s="158" t="s">
        <v>115</v>
      </c>
      <c r="H141" s="687" t="s">
        <v>115</v>
      </c>
      <c r="I141" s="171" t="s">
        <v>115</v>
      </c>
      <c r="J141" s="176" t="s">
        <v>115</v>
      </c>
      <c r="K141" s="154" t="s">
        <v>115</v>
      </c>
    </row>
    <row r="142" spans="1:11">
      <c r="A142" s="153" t="s">
        <v>339</v>
      </c>
      <c r="B142" s="861" t="s">
        <v>340</v>
      </c>
      <c r="C142" s="173" t="s">
        <v>115</v>
      </c>
      <c r="D142" s="158" t="s">
        <v>115</v>
      </c>
      <c r="E142" s="161" t="s">
        <v>115</v>
      </c>
      <c r="F142" s="163" t="s">
        <v>115</v>
      </c>
      <c r="G142" s="158" t="s">
        <v>115</v>
      </c>
      <c r="H142" s="687" t="s">
        <v>115</v>
      </c>
      <c r="I142" s="171" t="s">
        <v>115</v>
      </c>
      <c r="J142" s="176" t="s">
        <v>115</v>
      </c>
      <c r="K142" s="154" t="s">
        <v>115</v>
      </c>
    </row>
    <row r="143" spans="1:11">
      <c r="A143" s="153" t="s">
        <v>341</v>
      </c>
      <c r="B143" s="861" t="s">
        <v>342</v>
      </c>
      <c r="C143" s="173" t="s">
        <v>115</v>
      </c>
      <c r="D143" s="158" t="s">
        <v>115</v>
      </c>
      <c r="E143" s="161" t="s">
        <v>115</v>
      </c>
      <c r="F143" s="163" t="s">
        <v>115</v>
      </c>
      <c r="G143" s="158" t="s">
        <v>115</v>
      </c>
      <c r="H143" s="687" t="s">
        <v>115</v>
      </c>
      <c r="I143" s="171" t="s">
        <v>115</v>
      </c>
      <c r="J143" s="176" t="s">
        <v>115</v>
      </c>
      <c r="K143" s="154" t="s">
        <v>115</v>
      </c>
    </row>
    <row r="144" spans="1:11">
      <c r="A144" s="153" t="s">
        <v>343</v>
      </c>
      <c r="B144" s="861" t="s">
        <v>344</v>
      </c>
      <c r="C144" s="173" t="s">
        <v>115</v>
      </c>
      <c r="D144" s="158" t="s">
        <v>115</v>
      </c>
      <c r="E144" s="161" t="s">
        <v>115</v>
      </c>
      <c r="F144" s="163" t="s">
        <v>115</v>
      </c>
      <c r="G144" s="158" t="s">
        <v>115</v>
      </c>
      <c r="H144" s="687" t="s">
        <v>115</v>
      </c>
      <c r="I144" s="171" t="s">
        <v>115</v>
      </c>
      <c r="J144" s="176" t="s">
        <v>115</v>
      </c>
      <c r="K144" s="154" t="s">
        <v>115</v>
      </c>
    </row>
    <row r="145" spans="1:11" ht="12" thickBot="1">
      <c r="A145" s="1158" t="s">
        <v>345</v>
      </c>
      <c r="B145" s="1200" t="s">
        <v>346</v>
      </c>
      <c r="C145" s="1201">
        <v>120</v>
      </c>
      <c r="D145" s="160">
        <v>120</v>
      </c>
      <c r="E145" s="1629">
        <v>120</v>
      </c>
      <c r="F145" s="1201">
        <v>81</v>
      </c>
      <c r="G145" s="160">
        <v>90</v>
      </c>
      <c r="H145" s="1201">
        <v>20</v>
      </c>
      <c r="I145" s="160">
        <v>80</v>
      </c>
      <c r="J145" s="1202">
        <v>200</v>
      </c>
      <c r="K145" s="1635">
        <v>81</v>
      </c>
    </row>
    <row r="146" spans="1:11" ht="12" thickTop="1">
      <c r="A146" s="29" t="s">
        <v>347</v>
      </c>
      <c r="B146" s="155"/>
      <c r="C146" s="1630"/>
      <c r="D146" s="32"/>
      <c r="E146" s="32"/>
      <c r="F146" s="32"/>
      <c r="G146" s="32"/>
      <c r="H146" s="221"/>
      <c r="I146" s="221"/>
      <c r="J146" s="221"/>
      <c r="K146" s="151"/>
    </row>
    <row r="147" spans="1:11">
      <c r="A147" s="2" t="s">
        <v>1562</v>
      </c>
      <c r="B147" s="118"/>
      <c r="K147" s="152"/>
    </row>
    <row r="148" spans="1:11" ht="24" customHeight="1">
      <c r="A148" s="2749" t="s">
        <v>1563</v>
      </c>
      <c r="B148" s="2749"/>
      <c r="C148" s="2749"/>
      <c r="D148" s="2749"/>
      <c r="E148" s="2749"/>
      <c r="F148" s="2749"/>
      <c r="G148" s="2749"/>
      <c r="H148" s="2749"/>
      <c r="I148" s="2749"/>
      <c r="J148" s="2749"/>
      <c r="K148" s="2750"/>
    </row>
    <row r="149" spans="1:11">
      <c r="A149" s="2" t="s">
        <v>1564</v>
      </c>
      <c r="B149" s="1632"/>
      <c r="I149" s="1633"/>
      <c r="K149" s="152"/>
    </row>
    <row r="150" spans="1:11">
      <c r="A150" s="2" t="s">
        <v>1565</v>
      </c>
      <c r="I150" s="1633"/>
      <c r="K150" s="152"/>
    </row>
    <row r="151" spans="1:11">
      <c r="A151" s="2" t="s">
        <v>1566</v>
      </c>
      <c r="B151" s="1632"/>
      <c r="I151" s="1633"/>
      <c r="K151" s="152"/>
    </row>
    <row r="152" spans="1:11" ht="11.25" customHeight="1">
      <c r="A152" s="2748" t="s">
        <v>1567</v>
      </c>
      <c r="B152" s="2749"/>
      <c r="C152" s="2749"/>
      <c r="D152" s="2749"/>
      <c r="E152" s="2749"/>
      <c r="F152" s="2749"/>
      <c r="G152" s="2749"/>
      <c r="H152" s="2749"/>
      <c r="I152" s="2749"/>
      <c r="J152" s="2749"/>
      <c r="K152" s="152"/>
    </row>
    <row r="153" spans="1:11" ht="34.5" customHeight="1">
      <c r="A153" s="2748" t="s">
        <v>1568</v>
      </c>
      <c r="B153" s="2749"/>
      <c r="C153" s="2749"/>
      <c r="D153" s="2749"/>
      <c r="E153" s="2749"/>
      <c r="F153" s="2749"/>
      <c r="G153" s="2749"/>
      <c r="H153" s="2749"/>
      <c r="I153" s="2749"/>
      <c r="J153" s="2749"/>
      <c r="K153" s="2750"/>
    </row>
    <row r="154" spans="1:11">
      <c r="A154" s="2" t="s">
        <v>1569</v>
      </c>
      <c r="K154" s="152"/>
    </row>
    <row r="155" spans="1:11" ht="22.5" customHeight="1">
      <c r="A155" s="2748" t="s">
        <v>1570</v>
      </c>
      <c r="B155" s="2749"/>
      <c r="C155" s="2749"/>
      <c r="D155" s="2749"/>
      <c r="E155" s="2749"/>
      <c r="F155" s="2749"/>
      <c r="G155" s="2749"/>
      <c r="H155" s="2749"/>
      <c r="I155" s="2749"/>
      <c r="J155" s="2749"/>
      <c r="K155" s="2750"/>
    </row>
    <row r="156" spans="1:11" ht="11.25" customHeight="1">
      <c r="A156" s="2748" t="s">
        <v>1571</v>
      </c>
      <c r="B156" s="2749"/>
      <c r="C156" s="2749"/>
      <c r="D156" s="2749"/>
      <c r="E156" s="2749"/>
      <c r="F156" s="2749"/>
      <c r="G156" s="2749"/>
      <c r="K156" s="152"/>
    </row>
    <row r="157" spans="1:11">
      <c r="A157" s="2748" t="s">
        <v>1572</v>
      </c>
      <c r="B157" s="2749"/>
      <c r="C157" s="2749"/>
      <c r="D157" s="2749"/>
      <c r="E157" s="2749"/>
      <c r="F157" s="2749"/>
      <c r="G157" s="2749"/>
      <c r="H157" s="2749"/>
      <c r="I157" s="2749"/>
      <c r="J157" s="2749"/>
      <c r="K157" s="2750"/>
    </row>
    <row r="158" spans="1:11" ht="22.5" customHeight="1">
      <c r="A158" s="2748" t="s">
        <v>4297</v>
      </c>
      <c r="B158" s="2749"/>
      <c r="C158" s="2749"/>
      <c r="D158" s="2749"/>
      <c r="E158" s="2749"/>
      <c r="F158" s="2749"/>
      <c r="G158" s="2749"/>
      <c r="H158" s="2749"/>
      <c r="I158" s="2749"/>
      <c r="J158" s="2749"/>
      <c r="K158" s="2750"/>
    </row>
    <row r="159" spans="1:11">
      <c r="A159" s="1132" t="s">
        <v>348</v>
      </c>
      <c r="K159" s="152"/>
    </row>
    <row r="160" spans="1:11">
      <c r="A160" s="1133" t="s">
        <v>349</v>
      </c>
      <c r="K160" s="152"/>
    </row>
    <row r="161" spans="1:11">
      <c r="A161" s="1133" t="s">
        <v>350</v>
      </c>
      <c r="K161" s="152"/>
    </row>
    <row r="162" spans="1:11">
      <c r="A162" s="1133" t="s">
        <v>351</v>
      </c>
      <c r="K162" s="152"/>
    </row>
    <row r="163" spans="1:11">
      <c r="A163" s="1133" t="s">
        <v>397</v>
      </c>
      <c r="K163" s="152"/>
    </row>
    <row r="164" spans="1:11">
      <c r="A164" s="1133" t="s">
        <v>353</v>
      </c>
      <c r="K164" s="152"/>
    </row>
    <row r="165" spans="1:11">
      <c r="A165" s="1133" t="s">
        <v>354</v>
      </c>
      <c r="K165" s="152"/>
    </row>
    <row r="166" spans="1:11" ht="12" thickBot="1">
      <c r="A166" s="9" t="s">
        <v>355</v>
      </c>
      <c r="B166" s="35"/>
      <c r="C166" s="117"/>
      <c r="D166" s="18"/>
      <c r="E166" s="18"/>
      <c r="F166" s="18"/>
      <c r="G166" s="18"/>
      <c r="H166" s="34"/>
      <c r="I166" s="34"/>
      <c r="J166" s="34"/>
      <c r="K166" s="1631"/>
    </row>
    <row r="167" spans="1:11" ht="12" thickTop="1"/>
  </sheetData>
  <sheetProtection algorithmName="SHA-512" hashValue="Aj1o5Ph0LMcyFbpSbKC94Gr2aghS4I5aj8UGwRAhSRkaMh2Q9EvOlq/p4RaODyuENVnQOn3OduIJ3Vh0B2VqAw==" saltValue="p0FX780TG++SwtYvl8bcew==" spinCount="100000" sheet="1" sort="0" autoFilter="0"/>
  <autoFilter ref="A5:B145" xr:uid="{00000000-0009-0000-0000-00001E000000}"/>
  <mergeCells count="17">
    <mergeCell ref="A2:K2"/>
    <mergeCell ref="A157:K157"/>
    <mergeCell ref="C3:E3"/>
    <mergeCell ref="A3:B3"/>
    <mergeCell ref="F3:K3"/>
    <mergeCell ref="A158:K158"/>
    <mergeCell ref="A148:K148"/>
    <mergeCell ref="H4:J4"/>
    <mergeCell ref="A152:J152"/>
    <mergeCell ref="A156:G156"/>
    <mergeCell ref="E4:E5"/>
    <mergeCell ref="C4:D4"/>
    <mergeCell ref="A4:A5"/>
    <mergeCell ref="B4:B5"/>
    <mergeCell ref="K4:K5"/>
    <mergeCell ref="A153:K153"/>
    <mergeCell ref="A155:K155"/>
  </mergeCells>
  <phoneticPr fontId="0" type="noConversion"/>
  <printOptions horizontalCentered="1"/>
  <pageMargins left="0.7" right="0.7" top="0.75" bottom="0.5" header="0.3" footer="0.3"/>
  <pageSetup scale="68" fitToHeight="0" orientation="portrait" r:id="rId1"/>
  <headerFooter alignWithMargins="0">
    <oddFooter>&amp;C&amp;P of &amp;N&amp;R&amp;A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4:G158"/>
  <sheetViews>
    <sheetView showGridLines="0" zoomScaleNormal="100" workbookViewId="0">
      <pane xSplit="1" ySplit="8" topLeftCell="B9" activePane="bottomRight" state="frozen"/>
      <selection pane="topRight" activeCell="B3" sqref="B3"/>
      <selection pane="bottomLeft" activeCell="A12" sqref="A12"/>
      <selection pane="bottomRight" activeCell="A6" sqref="A6:F6"/>
    </sheetView>
  </sheetViews>
  <sheetFormatPr defaultRowHeight="12.75"/>
  <cols>
    <col min="1" max="1" width="48" style="83" customWidth="1"/>
    <col min="2" max="2" width="10.5703125" style="83" bestFit="1" customWidth="1"/>
    <col min="3" max="6" width="20.5703125" style="83" customWidth="1"/>
  </cols>
  <sheetData>
    <row r="4" spans="1:7" ht="59.25" customHeight="1" thickBot="1"/>
    <row r="5" spans="1:7" ht="27" thickTop="1">
      <c r="A5" s="2156" t="s">
        <v>77</v>
      </c>
      <c r="B5" s="2157"/>
      <c r="C5" s="2157"/>
      <c r="D5" s="2157"/>
      <c r="E5" s="2157"/>
      <c r="F5" s="2158"/>
    </row>
    <row r="6" spans="1:7" ht="15" customHeight="1">
      <c r="A6" s="2168" t="s">
        <v>4310</v>
      </c>
      <c r="B6" s="2169"/>
      <c r="C6" s="2169"/>
      <c r="D6" s="2169"/>
      <c r="E6" s="2169"/>
      <c r="F6" s="2170"/>
    </row>
    <row r="7" spans="1:7" ht="21" customHeight="1" thickBot="1">
      <c r="A7" s="2159" t="s">
        <v>78</v>
      </c>
      <c r="B7" s="2160"/>
      <c r="C7" s="2160"/>
      <c r="D7" s="2160"/>
      <c r="E7" s="2160"/>
      <c r="F7" s="2161"/>
    </row>
    <row r="8" spans="1:7" ht="42.6" customHeight="1" thickTop="1" thickBot="1">
      <c r="A8" s="56" t="s">
        <v>79</v>
      </c>
      <c r="B8" s="141" t="s">
        <v>80</v>
      </c>
      <c r="C8" s="323" t="s">
        <v>81</v>
      </c>
      <c r="D8" s="324" t="s">
        <v>82</v>
      </c>
      <c r="E8" s="334" t="s">
        <v>83</v>
      </c>
      <c r="F8" s="333" t="s">
        <v>84</v>
      </c>
    </row>
    <row r="9" spans="1:7">
      <c r="A9" s="1283" t="str">
        <f>'Physical-Chem Values (IP-1)'!$A6</f>
        <v>Acetone</v>
      </c>
      <c r="B9" s="142" t="str">
        <f t="shared" ref="B9" si="0">VLOOKUP($A9, Table_IP_1, MATCH("cas", heading_IP_1, 0), FALSE)</f>
        <v>67-64-1</v>
      </c>
      <c r="C9" s="144">
        <f t="shared" ref="C9:C40" si="1">VLOOKUP($A9, Table_GW_Summary, MATCH("GW-ESL", heading_GW_Summary, 0), FALSE)</f>
        <v>1500</v>
      </c>
      <c r="D9" s="111">
        <f t="shared" ref="D9:D40" si="2">VLOOKUP($A9, Table_S_Summary, MATCH("Soil-ESL", heading_S_Summary, 0), FALSE)</f>
        <v>0.91450350000000002</v>
      </c>
      <c r="E9" s="111">
        <f t="shared" ref="E9:E40" si="3">VLOOKUP($A9, Table_V_Summary, MATCH("SG-ESL", heading_V_Summary, 0), FALSE)</f>
        <v>1028733.3333333334</v>
      </c>
      <c r="F9" s="322">
        <f t="shared" ref="F9:F40" si="4">VLOOKUP($A9, Table_V_Summary, MATCH("IA-ESL", heading_V_Summary, 0), FALSE)</f>
        <v>30862</v>
      </c>
      <c r="G9" s="1284"/>
    </row>
    <row r="10" spans="1:7">
      <c r="A10" s="892" t="s">
        <v>85</v>
      </c>
      <c r="B10" s="143" t="s">
        <v>86</v>
      </c>
      <c r="C10" s="145">
        <f t="shared" si="1"/>
        <v>7.7000000000000004E-7</v>
      </c>
      <c r="D10" s="139">
        <f t="shared" si="2"/>
        <v>2.3999999999999998E-3</v>
      </c>
      <c r="E10" s="139">
        <f t="shared" si="3"/>
        <v>1.9099947671376245E-2</v>
      </c>
      <c r="F10" s="140">
        <f t="shared" si="4"/>
        <v>5.729984301412873E-4</v>
      </c>
      <c r="G10" s="1284"/>
    </row>
    <row r="11" spans="1:7">
      <c r="A11" s="892" t="s">
        <v>87</v>
      </c>
      <c r="B11" s="143" t="s">
        <v>88</v>
      </c>
      <c r="C11" s="145">
        <f t="shared" si="1"/>
        <v>6</v>
      </c>
      <c r="D11" s="139">
        <f t="shared" si="2"/>
        <v>25</v>
      </c>
      <c r="E11" s="139" t="str">
        <f t="shared" si="3"/>
        <v>--</v>
      </c>
      <c r="F11" s="140" t="str">
        <f t="shared" si="4"/>
        <v>--</v>
      </c>
      <c r="G11" s="1284"/>
    </row>
    <row r="12" spans="1:7">
      <c r="A12" s="892" t="s">
        <v>89</v>
      </c>
      <c r="B12" s="143" t="s">
        <v>90</v>
      </c>
      <c r="C12" s="145">
        <f t="shared" si="1"/>
        <v>0.14000000000000001</v>
      </c>
      <c r="D12" s="139">
        <f t="shared" si="2"/>
        <v>3.1743737335997779E-2</v>
      </c>
      <c r="E12" s="139" t="str">
        <f t="shared" si="3"/>
        <v>--</v>
      </c>
      <c r="F12" s="140" t="str">
        <f t="shared" si="4"/>
        <v>--</v>
      </c>
      <c r="G12" s="1284"/>
    </row>
    <row r="13" spans="1:7">
      <c r="A13" s="892" t="s">
        <v>91</v>
      </c>
      <c r="B13" s="143" t="s">
        <v>92</v>
      </c>
      <c r="C13" s="145">
        <f t="shared" si="1"/>
        <v>1000</v>
      </c>
      <c r="D13" s="139">
        <f t="shared" si="2"/>
        <v>390</v>
      </c>
      <c r="E13" s="139" t="str">
        <f t="shared" si="3"/>
        <v>--</v>
      </c>
      <c r="F13" s="140" t="str">
        <f t="shared" si="4"/>
        <v>--</v>
      </c>
      <c r="G13" s="1284"/>
    </row>
    <row r="14" spans="1:7">
      <c r="A14" s="892" t="s">
        <v>93</v>
      </c>
      <c r="B14" s="143" t="s">
        <v>94</v>
      </c>
      <c r="C14" s="145">
        <f t="shared" si="1"/>
        <v>0.42669247496832674</v>
      </c>
      <c r="D14" s="139">
        <f t="shared" si="2"/>
        <v>2.5026217699476064E-2</v>
      </c>
      <c r="E14" s="139">
        <f t="shared" si="3"/>
        <v>3.2272325375773643</v>
      </c>
      <c r="F14" s="140">
        <f t="shared" si="4"/>
        <v>9.6816976127320931E-2</v>
      </c>
      <c r="G14" s="1284"/>
    </row>
    <row r="15" spans="1:7">
      <c r="A15" s="892" t="s">
        <v>95</v>
      </c>
      <c r="B15" s="143" t="s">
        <v>96</v>
      </c>
      <c r="C15" s="145">
        <f t="shared" si="1"/>
        <v>3.3000000000000002E-2</v>
      </c>
      <c r="D15" s="139">
        <f t="shared" si="2"/>
        <v>5</v>
      </c>
      <c r="E15" s="139" t="str">
        <f t="shared" si="3"/>
        <v>--</v>
      </c>
      <c r="F15" s="140" t="str">
        <f t="shared" si="4"/>
        <v>--</v>
      </c>
      <c r="G15" s="1284"/>
    </row>
    <row r="16" spans="1:7">
      <c r="A16" s="892" t="s">
        <v>97</v>
      </c>
      <c r="B16" s="143" t="s">
        <v>98</v>
      </c>
      <c r="C16" s="145">
        <f t="shared" si="1"/>
        <v>0.5</v>
      </c>
      <c r="D16" s="139">
        <f t="shared" si="2"/>
        <v>0.42666287800000002</v>
      </c>
      <c r="E16" s="139">
        <f t="shared" si="3"/>
        <v>13.904761904761905</v>
      </c>
      <c r="F16" s="140">
        <f t="shared" si="4"/>
        <v>0.41714285714285715</v>
      </c>
      <c r="G16" s="1284"/>
    </row>
    <row r="17" spans="1:7">
      <c r="A17" s="892" t="s">
        <v>99</v>
      </c>
      <c r="B17" s="143" t="s">
        <v>100</v>
      </c>
      <c r="C17" s="145">
        <f t="shared" si="1"/>
        <v>6.2748389659023776E-3</v>
      </c>
      <c r="D17" s="139">
        <f t="shared" si="2"/>
        <v>3.4212800206067848E-5</v>
      </c>
      <c r="E17" s="139">
        <f t="shared" si="3"/>
        <v>0.13181654026724449</v>
      </c>
      <c r="F17" s="140">
        <f t="shared" si="4"/>
        <v>3.9544962080173343E-3</v>
      </c>
      <c r="G17" s="1284"/>
    </row>
    <row r="18" spans="1:7">
      <c r="A18" s="892" t="s">
        <v>101</v>
      </c>
      <c r="B18" s="143" t="s">
        <v>102</v>
      </c>
      <c r="C18" s="145">
        <f t="shared" si="1"/>
        <v>61</v>
      </c>
      <c r="D18" s="139">
        <f t="shared" si="2"/>
        <v>0.86774204339999994</v>
      </c>
      <c r="E18" s="139">
        <f t="shared" si="3"/>
        <v>74666.666666666672</v>
      </c>
      <c r="F18" s="140">
        <f t="shared" si="4"/>
        <v>2240</v>
      </c>
      <c r="G18" s="1284"/>
    </row>
    <row r="19" spans="1:7">
      <c r="A19" s="892" t="s">
        <v>103</v>
      </c>
      <c r="B19" s="143" t="s">
        <v>104</v>
      </c>
      <c r="C19" s="145">
        <f t="shared" si="1"/>
        <v>0.37</v>
      </c>
      <c r="D19" s="139">
        <f t="shared" si="2"/>
        <v>0.8</v>
      </c>
      <c r="E19" s="139" t="str">
        <f t="shared" si="3"/>
        <v>--</v>
      </c>
      <c r="F19" s="140" t="str">
        <f t="shared" si="4"/>
        <v>--</v>
      </c>
      <c r="G19" s="1284"/>
    </row>
    <row r="20" spans="1:7">
      <c r="A20" s="892" t="s">
        <v>105</v>
      </c>
      <c r="B20" s="143" t="s">
        <v>106</v>
      </c>
      <c r="C20" s="145">
        <f t="shared" si="1"/>
        <v>1.6</v>
      </c>
      <c r="D20" s="139">
        <f t="shared" si="2"/>
        <v>120</v>
      </c>
      <c r="E20" s="139" t="str">
        <f t="shared" si="3"/>
        <v>--</v>
      </c>
      <c r="F20" s="140" t="str">
        <f t="shared" si="4"/>
        <v>--</v>
      </c>
      <c r="G20" s="1284"/>
    </row>
    <row r="21" spans="1:7">
      <c r="A21" s="892" t="s">
        <v>107</v>
      </c>
      <c r="B21" s="143" t="s">
        <v>108</v>
      </c>
      <c r="C21" s="145">
        <f t="shared" si="1"/>
        <v>0.87552465382658373</v>
      </c>
      <c r="D21" s="139">
        <f t="shared" si="2"/>
        <v>1.6145515120229877E-2</v>
      </c>
      <c r="E21" s="139">
        <f t="shared" si="3"/>
        <v>2.5294525294525294</v>
      </c>
      <c r="F21" s="140">
        <f t="shared" si="4"/>
        <v>7.5883575883575874E-2</v>
      </c>
      <c r="G21" s="1284"/>
    </row>
    <row r="22" spans="1:7">
      <c r="A22" s="892" t="s">
        <v>109</v>
      </c>
      <c r="B22" s="143" t="s">
        <v>110</v>
      </c>
      <c r="C22" s="145">
        <f t="shared" si="1"/>
        <v>80</v>
      </c>
      <c r="D22" s="139">
        <f t="shared" si="2"/>
        <v>0.68822919999999999</v>
      </c>
      <c r="E22" s="139">
        <f t="shared" si="3"/>
        <v>85.081585081585075</v>
      </c>
      <c r="F22" s="140">
        <f t="shared" si="4"/>
        <v>2.5524475524475521</v>
      </c>
      <c r="G22" s="1284"/>
    </row>
    <row r="23" spans="1:7">
      <c r="A23" s="892" t="s">
        <v>111</v>
      </c>
      <c r="B23" s="143" t="s">
        <v>112</v>
      </c>
      <c r="C23" s="145">
        <f>VLOOKUP($A23, Table_GW_Summary, MATCH("GW-ESL", heading_GW_Summary, 0), FALSE)</f>
        <v>7.5466281908805035</v>
      </c>
      <c r="D23" s="139">
        <f t="shared" si="2"/>
        <v>0.36038092796448851</v>
      </c>
      <c r="E23" s="139">
        <f t="shared" si="3"/>
        <v>173.80952380952382</v>
      </c>
      <c r="F23" s="140">
        <f t="shared" si="4"/>
        <v>5.2142857142857144</v>
      </c>
      <c r="G23" s="1284"/>
    </row>
    <row r="24" spans="1:7">
      <c r="A24" s="892" t="s">
        <v>113</v>
      </c>
      <c r="B24" s="143" t="s">
        <v>114</v>
      </c>
      <c r="C24" s="394" t="s">
        <v>115</v>
      </c>
      <c r="D24" s="139">
        <f t="shared" si="2"/>
        <v>1.9</v>
      </c>
      <c r="E24" s="139" t="str">
        <f t="shared" si="3"/>
        <v>--</v>
      </c>
      <c r="F24" s="140" t="str">
        <f t="shared" si="4"/>
        <v>--</v>
      </c>
      <c r="G24" s="1284"/>
    </row>
    <row r="25" spans="1:7">
      <c r="A25" s="892" t="s">
        <v>116</v>
      </c>
      <c r="B25" s="143" t="s">
        <v>114</v>
      </c>
      <c r="C25" s="145">
        <f t="shared" si="1"/>
        <v>0.25</v>
      </c>
      <c r="D25" s="395" t="s">
        <v>115</v>
      </c>
      <c r="E25" s="139" t="str">
        <f t="shared" si="3"/>
        <v>--</v>
      </c>
      <c r="F25" s="140" t="str">
        <f t="shared" si="4"/>
        <v>--</v>
      </c>
      <c r="G25" s="1284"/>
    </row>
    <row r="26" spans="1:7">
      <c r="A26" s="892" t="s">
        <v>117</v>
      </c>
      <c r="B26" s="143" t="s">
        <v>118</v>
      </c>
      <c r="C26" s="145">
        <f t="shared" si="1"/>
        <v>0.41471107395020562</v>
      </c>
      <c r="D26" s="139">
        <f t="shared" si="2"/>
        <v>7.4066958213768339E-2</v>
      </c>
      <c r="E26" s="139">
        <f t="shared" si="3"/>
        <v>15.598290598290594</v>
      </c>
      <c r="F26" s="140">
        <f t="shared" si="4"/>
        <v>0.46794871794871784</v>
      </c>
      <c r="G26" s="1284"/>
    </row>
    <row r="27" spans="1:7">
      <c r="A27" s="892" t="s">
        <v>119</v>
      </c>
      <c r="B27" s="143" t="s">
        <v>120</v>
      </c>
      <c r="C27" s="145">
        <f t="shared" si="1"/>
        <v>2.3E-5</v>
      </c>
      <c r="D27" s="139">
        <f t="shared" si="2"/>
        <v>8.5000000000000006E-3</v>
      </c>
      <c r="E27" s="139">
        <f t="shared" si="3"/>
        <v>0.93589743589743579</v>
      </c>
      <c r="F27" s="140">
        <f t="shared" si="4"/>
        <v>2.8076923076923072E-2</v>
      </c>
      <c r="G27" s="1284"/>
    </row>
    <row r="28" spans="1:7">
      <c r="A28" s="892" t="s">
        <v>121</v>
      </c>
      <c r="B28" s="143" t="s">
        <v>122</v>
      </c>
      <c r="C28" s="145">
        <f t="shared" si="1"/>
        <v>0.36543272383745468</v>
      </c>
      <c r="D28" s="139">
        <f t="shared" si="2"/>
        <v>6.8392196435594268E-3</v>
      </c>
      <c r="E28" s="139" t="str">
        <f t="shared" si="3"/>
        <v>--</v>
      </c>
      <c r="F28" s="140" t="str">
        <f t="shared" si="4"/>
        <v>--</v>
      </c>
      <c r="G28" s="1284"/>
    </row>
    <row r="29" spans="1:7">
      <c r="A29" s="892" t="s">
        <v>123</v>
      </c>
      <c r="B29" s="143" t="s">
        <v>124</v>
      </c>
      <c r="C29" s="145">
        <f t="shared" si="1"/>
        <v>25</v>
      </c>
      <c r="D29" s="139">
        <f t="shared" si="2"/>
        <v>1.45327925</v>
      </c>
      <c r="E29" s="139">
        <f t="shared" si="3"/>
        <v>1738.0952380952383</v>
      </c>
      <c r="F29" s="140">
        <f t="shared" si="4"/>
        <v>52.142857142857146</v>
      </c>
      <c r="G29" s="1284"/>
    </row>
    <row r="30" spans="1:7">
      <c r="A30" s="892" t="s">
        <v>125</v>
      </c>
      <c r="B30" s="143" t="s">
        <v>126</v>
      </c>
      <c r="C30" s="145">
        <f t="shared" si="1"/>
        <v>16</v>
      </c>
      <c r="D30" s="139">
        <f t="shared" si="2"/>
        <v>1.1600780800000001</v>
      </c>
      <c r="E30" s="139">
        <f t="shared" si="3"/>
        <v>139047.61904761905</v>
      </c>
      <c r="F30" s="140">
        <f t="shared" si="4"/>
        <v>4171.4285714285716</v>
      </c>
      <c r="G30" s="1284"/>
    </row>
    <row r="31" spans="1:7">
      <c r="A31" s="892" t="s">
        <v>127</v>
      </c>
      <c r="B31" s="143" t="s">
        <v>128</v>
      </c>
      <c r="C31" s="145">
        <f t="shared" si="1"/>
        <v>0.81360210693226576</v>
      </c>
      <c r="D31" s="139">
        <f t="shared" si="2"/>
        <v>2.2831147740332926E-2</v>
      </c>
      <c r="E31" s="139">
        <f t="shared" si="3"/>
        <v>4.0691192865105901</v>
      </c>
      <c r="F31" s="140">
        <f t="shared" si="4"/>
        <v>0.1220735785953177</v>
      </c>
      <c r="G31" s="1284"/>
    </row>
    <row r="32" spans="1:7">
      <c r="A32" s="892" t="s">
        <v>129</v>
      </c>
      <c r="B32" s="143" t="s">
        <v>130</v>
      </c>
      <c r="C32" s="394">
        <f t="shared" si="1"/>
        <v>187.71428571428572</v>
      </c>
      <c r="D32" s="139">
        <f t="shared" si="2"/>
        <v>10.688500234285714</v>
      </c>
      <c r="E32" s="139">
        <f t="shared" si="3"/>
        <v>3128.5714285714289</v>
      </c>
      <c r="F32" s="140">
        <f t="shared" si="4"/>
        <v>93.857142857142861</v>
      </c>
      <c r="G32" s="1284"/>
    </row>
    <row r="33" spans="1:7">
      <c r="A33" s="892" t="s">
        <v>131</v>
      </c>
      <c r="B33" s="143" t="s">
        <v>132</v>
      </c>
      <c r="C33" s="145">
        <f t="shared" si="1"/>
        <v>0.18</v>
      </c>
      <c r="D33" s="395">
        <f t="shared" si="2"/>
        <v>1.1605953312000001E-2</v>
      </c>
      <c r="E33" s="139">
        <f t="shared" si="3"/>
        <v>633.33333333333337</v>
      </c>
      <c r="F33" s="140">
        <f t="shared" si="4"/>
        <v>19</v>
      </c>
      <c r="G33" s="1284"/>
    </row>
    <row r="34" spans="1:7">
      <c r="A34" s="892" t="s">
        <v>133</v>
      </c>
      <c r="B34" s="143" t="s">
        <v>134</v>
      </c>
      <c r="C34" s="145">
        <f t="shared" si="1"/>
        <v>50</v>
      </c>
      <c r="D34" s="139">
        <f t="shared" si="2"/>
        <v>160</v>
      </c>
      <c r="E34" s="139" t="str">
        <f t="shared" si="3"/>
        <v>--</v>
      </c>
      <c r="F34" s="140" t="str">
        <f t="shared" si="4"/>
        <v>--</v>
      </c>
      <c r="G34" s="1284"/>
    </row>
    <row r="35" spans="1:7">
      <c r="A35" s="892" t="s">
        <v>135</v>
      </c>
      <c r="B35" s="143" t="s">
        <v>136</v>
      </c>
      <c r="C35" s="145">
        <f t="shared" si="1"/>
        <v>180</v>
      </c>
      <c r="D35" s="139">
        <f>MIN('Soil Summary'!Q32,'Soil Summary'!Q33)</f>
        <v>275.94</v>
      </c>
      <c r="E35" s="139" t="str">
        <f t="shared" si="3"/>
        <v>--</v>
      </c>
      <c r="F35" s="140" t="str">
        <f t="shared" si="4"/>
        <v>--</v>
      </c>
      <c r="G35" s="1284"/>
    </row>
    <row r="36" spans="1:7">
      <c r="A36" s="892" t="s">
        <v>137</v>
      </c>
      <c r="B36" s="143" t="s">
        <v>138</v>
      </c>
      <c r="C36" s="145">
        <f t="shared" si="1"/>
        <v>2</v>
      </c>
      <c r="D36" s="139">
        <f t="shared" si="2"/>
        <v>0.29641719745222933</v>
      </c>
      <c r="E36" s="139" t="str">
        <f t="shared" si="3"/>
        <v>--</v>
      </c>
      <c r="F36" s="140" t="str">
        <f t="shared" si="4"/>
        <v>--</v>
      </c>
      <c r="G36" s="1284"/>
    </row>
    <row r="37" spans="1:7">
      <c r="A37" s="892" t="s">
        <v>139</v>
      </c>
      <c r="B37" s="143" t="s">
        <v>140</v>
      </c>
      <c r="C37" s="145">
        <f t="shared" si="1"/>
        <v>3</v>
      </c>
      <c r="D37" s="139">
        <f t="shared" si="2"/>
        <v>21.90217283460661</v>
      </c>
      <c r="E37" s="139" t="str">
        <f t="shared" si="3"/>
        <v>--</v>
      </c>
      <c r="F37" s="140" t="str">
        <f t="shared" si="4"/>
        <v>--</v>
      </c>
      <c r="G37" s="1284"/>
    </row>
    <row r="38" spans="1:7">
      <c r="A38" s="892" t="s">
        <v>141</v>
      </c>
      <c r="B38" s="143" t="s">
        <v>142</v>
      </c>
      <c r="C38" s="145">
        <f t="shared" si="1"/>
        <v>3</v>
      </c>
      <c r="D38" s="139">
        <f t="shared" si="2"/>
        <v>180</v>
      </c>
      <c r="E38" s="139" t="str">
        <f t="shared" si="3"/>
        <v>--</v>
      </c>
      <c r="F38" s="140" t="str">
        <f t="shared" si="4"/>
        <v>--</v>
      </c>
      <c r="G38" s="1284"/>
    </row>
    <row r="39" spans="1:7">
      <c r="A39" s="892" t="s">
        <v>143</v>
      </c>
      <c r="B39" s="143" t="s">
        <v>144</v>
      </c>
      <c r="C39" s="145">
        <f t="shared" si="1"/>
        <v>1</v>
      </c>
      <c r="D39" s="139">
        <f t="shared" si="2"/>
        <v>0.11</v>
      </c>
      <c r="E39" s="139">
        <f t="shared" si="3"/>
        <v>27.80952380952381</v>
      </c>
      <c r="F39" s="140">
        <f t="shared" si="4"/>
        <v>0.8342857142857143</v>
      </c>
      <c r="G39" s="1284"/>
    </row>
    <row r="40" spans="1:7">
      <c r="A40" s="892" t="s">
        <v>145</v>
      </c>
      <c r="B40" s="143" t="s">
        <v>146</v>
      </c>
      <c r="C40" s="145">
        <f t="shared" si="1"/>
        <v>21</v>
      </c>
      <c r="D40" s="139">
        <f t="shared" si="2"/>
        <v>0.212986221</v>
      </c>
      <c r="E40" s="139" t="str">
        <f t="shared" si="3"/>
        <v>--</v>
      </c>
      <c r="F40" s="140" t="str">
        <f t="shared" si="4"/>
        <v>--</v>
      </c>
      <c r="G40" s="1284"/>
    </row>
    <row r="41" spans="1:7">
      <c r="A41" s="892" t="s">
        <v>147</v>
      </c>
      <c r="B41" s="143" t="s">
        <v>148</v>
      </c>
      <c r="C41" s="145">
        <f t="shared" ref="C41:C72" si="5">VLOOKUP($A41, Table_GW_Summary, MATCH("GW-ESL", heading_GW_Summary, 0), FALSE)</f>
        <v>2.8117598891397772E-2</v>
      </c>
      <c r="D41" s="139">
        <f t="shared" ref="D41:D72" si="6">VLOOKUP($A41, Table_S_Summary, MATCH("Soil-ESL", heading_S_Summary, 0), FALSE)</f>
        <v>5.6615429260844022E-4</v>
      </c>
      <c r="E41" s="139">
        <f t="shared" ref="E41:E72" si="7">VLOOKUP($A41, Table_V_Summary, MATCH("SG-ESL", heading_V_Summary, 0), FALSE)</f>
        <v>5.6327160493827143E-3</v>
      </c>
      <c r="F41" s="140">
        <f t="shared" ref="F41:F72" si="8">VLOOKUP($A41, Table_V_Summary, MATCH("IA-ESL", heading_V_Summary, 0), FALSE)</f>
        <v>1.6898148148148143E-4</v>
      </c>
      <c r="G41" s="1284"/>
    </row>
    <row r="42" spans="1:7">
      <c r="A42" s="892" t="s">
        <v>149</v>
      </c>
      <c r="B42" s="143" t="s">
        <v>150</v>
      </c>
      <c r="C42" s="145">
        <f t="shared" si="5"/>
        <v>0.05</v>
      </c>
      <c r="D42" s="139">
        <f t="shared" si="6"/>
        <v>5.3040750000000005E-4</v>
      </c>
      <c r="E42" s="139">
        <f t="shared" si="7"/>
        <v>0.15598290598290598</v>
      </c>
      <c r="F42" s="140">
        <f t="shared" si="8"/>
        <v>4.679487179487179E-3</v>
      </c>
      <c r="G42" s="1284"/>
    </row>
    <row r="43" spans="1:7">
      <c r="A43" s="892" t="s">
        <v>151</v>
      </c>
      <c r="B43" s="143" t="s">
        <v>152</v>
      </c>
      <c r="C43" s="145">
        <f t="shared" si="5"/>
        <v>14</v>
      </c>
      <c r="D43" s="139">
        <f t="shared" si="6"/>
        <v>1.0567037600000002</v>
      </c>
      <c r="E43" s="139">
        <f t="shared" si="7"/>
        <v>6952.3809523809532</v>
      </c>
      <c r="F43" s="140">
        <f t="shared" si="8"/>
        <v>208.57142857142858</v>
      </c>
      <c r="G43" s="1284"/>
    </row>
    <row r="44" spans="1:7">
      <c r="A44" s="892" t="s">
        <v>153</v>
      </c>
      <c r="B44" s="143" t="s">
        <v>154</v>
      </c>
      <c r="C44" s="145">
        <f t="shared" si="5"/>
        <v>2.5905753997040555</v>
      </c>
      <c r="D44" s="139">
        <f t="shared" si="6"/>
        <v>0.20014440991585375</v>
      </c>
      <c r="E44" s="139">
        <f t="shared" si="7"/>
        <v>8.5081585081585072</v>
      </c>
      <c r="F44" s="140">
        <f t="shared" si="8"/>
        <v>0.25524475524475521</v>
      </c>
      <c r="G44" s="1284"/>
    </row>
    <row r="45" spans="1:7">
      <c r="A45" s="892" t="s">
        <v>155</v>
      </c>
      <c r="B45" s="143" t="s">
        <v>156</v>
      </c>
      <c r="C45" s="145">
        <f t="shared" si="5"/>
        <v>4.6960197920817265E-2</v>
      </c>
      <c r="D45" s="139">
        <f t="shared" si="6"/>
        <v>2.4867303215267669E-2</v>
      </c>
      <c r="E45" s="139" t="str">
        <f t="shared" si="7"/>
        <v>--</v>
      </c>
      <c r="F45" s="140" t="str">
        <f t="shared" si="8"/>
        <v>--</v>
      </c>
      <c r="G45" s="1284"/>
    </row>
    <row r="46" spans="1:7">
      <c r="A46" s="892" t="s">
        <v>157</v>
      </c>
      <c r="B46" s="143" t="s">
        <v>158</v>
      </c>
      <c r="C46" s="145">
        <f t="shared" si="5"/>
        <v>1.2E-4</v>
      </c>
      <c r="D46" s="139">
        <f t="shared" si="6"/>
        <v>2.2606974962228725</v>
      </c>
      <c r="E46" s="139" t="str">
        <f t="shared" si="7"/>
        <v>--</v>
      </c>
      <c r="F46" s="140" t="str">
        <f t="shared" si="8"/>
        <v>--</v>
      </c>
      <c r="G46" s="1284"/>
    </row>
    <row r="47" spans="1:7">
      <c r="A47" s="892" t="s">
        <v>159</v>
      </c>
      <c r="B47" s="143" t="s">
        <v>160</v>
      </c>
      <c r="C47" s="145">
        <f t="shared" si="5"/>
        <v>1.8E-5</v>
      </c>
      <c r="D47" s="139">
        <f t="shared" si="6"/>
        <v>0.33</v>
      </c>
      <c r="E47" s="139">
        <f t="shared" si="7"/>
        <v>0.9648427174200368</v>
      </c>
      <c r="F47" s="140">
        <f t="shared" si="8"/>
        <v>2.8945281522601105E-2</v>
      </c>
      <c r="G47" s="1284"/>
    </row>
    <row r="48" spans="1:7">
      <c r="A48" s="892" t="s">
        <v>161</v>
      </c>
      <c r="B48" s="143" t="s">
        <v>162</v>
      </c>
      <c r="C48" s="145">
        <f t="shared" si="5"/>
        <v>3.0000000000000001E-5</v>
      </c>
      <c r="D48" s="139">
        <f t="shared" si="6"/>
        <v>2.1000000000000001E-2</v>
      </c>
      <c r="E48" s="139" t="str">
        <f t="shared" si="7"/>
        <v>--</v>
      </c>
      <c r="F48" s="140" t="str">
        <f t="shared" si="8"/>
        <v>--</v>
      </c>
      <c r="G48" s="1284"/>
    </row>
    <row r="49" spans="1:7">
      <c r="A49" s="892" t="s">
        <v>163</v>
      </c>
      <c r="B49" s="143" t="s">
        <v>164</v>
      </c>
      <c r="C49" s="145">
        <f t="shared" si="5"/>
        <v>5</v>
      </c>
      <c r="D49" s="139">
        <f t="shared" si="6"/>
        <v>0.20082729999999999</v>
      </c>
      <c r="E49" s="139">
        <f t="shared" si="7"/>
        <v>58.493589743589737</v>
      </c>
      <c r="F49" s="140">
        <f t="shared" si="8"/>
        <v>1.7548076923076921</v>
      </c>
      <c r="G49" s="1284"/>
    </row>
    <row r="50" spans="1:7">
      <c r="A50" s="892" t="s">
        <v>165</v>
      </c>
      <c r="B50" s="143" t="s">
        <v>166</v>
      </c>
      <c r="C50" s="145">
        <f t="shared" si="5"/>
        <v>0.5</v>
      </c>
      <c r="D50" s="139">
        <f t="shared" si="6"/>
        <v>6.9489300000000007E-3</v>
      </c>
      <c r="E50" s="139">
        <f t="shared" si="7"/>
        <v>3.5996055226824457</v>
      </c>
      <c r="F50" s="140">
        <f t="shared" si="8"/>
        <v>0.10798816568047337</v>
      </c>
      <c r="G50" s="1284"/>
    </row>
    <row r="51" spans="1:7">
      <c r="A51" s="892" t="s">
        <v>167</v>
      </c>
      <c r="B51" s="143" t="s">
        <v>168</v>
      </c>
      <c r="C51" s="145">
        <f t="shared" si="5"/>
        <v>0.9</v>
      </c>
      <c r="D51" s="139">
        <f t="shared" si="6"/>
        <v>0.15055633800000001</v>
      </c>
      <c r="E51" s="139">
        <f t="shared" si="7"/>
        <v>137.65714285714287</v>
      </c>
      <c r="F51" s="140">
        <f t="shared" si="8"/>
        <v>4.1297142857142859</v>
      </c>
      <c r="G51" s="1284"/>
    </row>
    <row r="52" spans="1:7">
      <c r="A52" s="892" t="s">
        <v>169</v>
      </c>
      <c r="B52" s="143" t="s">
        <v>170</v>
      </c>
      <c r="C52" s="145">
        <f t="shared" si="5"/>
        <v>6</v>
      </c>
      <c r="D52" s="139">
        <f t="shared" si="6"/>
        <v>0.19138896000000002</v>
      </c>
      <c r="E52" s="139">
        <f t="shared" si="7"/>
        <v>1390.4761904761906</v>
      </c>
      <c r="F52" s="140">
        <f t="shared" si="8"/>
        <v>41.714285714285715</v>
      </c>
      <c r="G52" s="1284"/>
    </row>
    <row r="53" spans="1:7">
      <c r="A53" s="892" t="s">
        <v>171</v>
      </c>
      <c r="B53" s="143" t="s">
        <v>172</v>
      </c>
      <c r="C53" s="145">
        <f t="shared" si="5"/>
        <v>10</v>
      </c>
      <c r="D53" s="139">
        <f t="shared" si="6"/>
        <v>0.64795259999999999</v>
      </c>
      <c r="E53" s="139">
        <f t="shared" si="7"/>
        <v>1390.4761904761906</v>
      </c>
      <c r="F53" s="140">
        <f t="shared" si="8"/>
        <v>41.714285714285715</v>
      </c>
      <c r="G53" s="1284"/>
    </row>
    <row r="54" spans="1:7">
      <c r="A54" s="892" t="s">
        <v>173</v>
      </c>
      <c r="B54" s="143" t="s">
        <v>174</v>
      </c>
      <c r="C54" s="145">
        <f t="shared" si="5"/>
        <v>0.3</v>
      </c>
      <c r="D54" s="139">
        <f t="shared" si="6"/>
        <v>7.3285884090000001E-3</v>
      </c>
      <c r="E54" s="139">
        <f t="shared" si="7"/>
        <v>46666.666666666672</v>
      </c>
      <c r="F54" s="140">
        <f t="shared" si="8"/>
        <v>1400</v>
      </c>
      <c r="G54" s="1284"/>
    </row>
    <row r="55" spans="1:7">
      <c r="A55" s="892" t="s">
        <v>175</v>
      </c>
      <c r="B55" s="143" t="s">
        <v>176</v>
      </c>
      <c r="C55" s="145">
        <f t="shared" si="5"/>
        <v>5</v>
      </c>
      <c r="D55" s="139">
        <f t="shared" si="6"/>
        <v>0.13789969999999999</v>
      </c>
      <c r="E55" s="139">
        <f t="shared" si="7"/>
        <v>25.29452529452529</v>
      </c>
      <c r="F55" s="140">
        <f t="shared" si="8"/>
        <v>0.75883575883575871</v>
      </c>
      <c r="G55" s="1284"/>
    </row>
    <row r="56" spans="1:7">
      <c r="A56" s="892" t="s">
        <v>177</v>
      </c>
      <c r="B56" s="143" t="s">
        <v>178</v>
      </c>
      <c r="C56" s="145">
        <f t="shared" si="5"/>
        <v>0.5</v>
      </c>
      <c r="D56" s="139">
        <f t="shared" si="6"/>
        <v>1.7007535000000001E-2</v>
      </c>
      <c r="E56" s="139">
        <f t="shared" si="7"/>
        <v>23.397435897435894</v>
      </c>
      <c r="F56" s="140">
        <f t="shared" si="8"/>
        <v>0.70192307692307676</v>
      </c>
      <c r="G56" s="1284"/>
    </row>
    <row r="57" spans="1:7">
      <c r="A57" s="892" t="s">
        <v>179</v>
      </c>
      <c r="B57" s="143" t="s">
        <v>180</v>
      </c>
      <c r="C57" s="145">
        <f t="shared" si="5"/>
        <v>1.1999999999999999E-6</v>
      </c>
      <c r="D57" s="139">
        <f t="shared" si="6"/>
        <v>4.0020024840000001E-6</v>
      </c>
      <c r="E57" s="139" t="str">
        <f t="shared" si="7"/>
        <v>--</v>
      </c>
      <c r="F57" s="140" t="str">
        <f t="shared" si="8"/>
        <v>--</v>
      </c>
      <c r="G57" s="1284"/>
    </row>
    <row r="58" spans="1:7">
      <c r="A58" s="892" t="s">
        <v>181</v>
      </c>
      <c r="B58" s="143" t="s">
        <v>182</v>
      </c>
      <c r="C58" s="145">
        <f t="shared" si="5"/>
        <v>1.5</v>
      </c>
      <c r="D58" s="139">
        <f t="shared" si="6"/>
        <v>2.6125779405000004E-2</v>
      </c>
      <c r="E58" s="139" t="str">
        <f t="shared" si="7"/>
        <v>--</v>
      </c>
      <c r="F58" s="140" t="str">
        <f t="shared" si="8"/>
        <v>--</v>
      </c>
      <c r="G58" s="1284"/>
    </row>
    <row r="59" spans="1:7">
      <c r="A59" s="892" t="s">
        <v>183</v>
      </c>
      <c r="B59" s="143" t="s">
        <v>184</v>
      </c>
      <c r="C59" s="145">
        <f t="shared" si="5"/>
        <v>30</v>
      </c>
      <c r="D59" s="139">
        <f t="shared" si="6"/>
        <v>2.44934108571</v>
      </c>
      <c r="E59" s="139">
        <f t="shared" si="7"/>
        <v>33.333333333333336</v>
      </c>
      <c r="F59" s="140">
        <f t="shared" si="8"/>
        <v>1</v>
      </c>
      <c r="G59" s="1284"/>
    </row>
    <row r="60" spans="1:7">
      <c r="A60" s="892" t="s">
        <v>185</v>
      </c>
      <c r="B60" s="143" t="s">
        <v>186</v>
      </c>
      <c r="C60" s="145">
        <f t="shared" si="5"/>
        <v>4</v>
      </c>
      <c r="D60" s="139">
        <f t="shared" si="6"/>
        <v>0.30597333520800002</v>
      </c>
      <c r="E60" s="139" t="str">
        <f t="shared" si="7"/>
        <v>--</v>
      </c>
      <c r="F60" s="140" t="str">
        <f t="shared" si="8"/>
        <v>--</v>
      </c>
      <c r="G60" s="1284"/>
    </row>
    <row r="61" spans="1:7">
      <c r="A61" s="892" t="s">
        <v>187</v>
      </c>
      <c r="B61" s="143" t="s">
        <v>188</v>
      </c>
      <c r="C61" s="145">
        <f t="shared" si="5"/>
        <v>0.23748554600466867</v>
      </c>
      <c r="D61" s="139">
        <f t="shared" si="6"/>
        <v>2.2691728526458031E-2</v>
      </c>
      <c r="E61" s="139" t="str">
        <f t="shared" si="7"/>
        <v>--</v>
      </c>
      <c r="F61" s="140" t="str">
        <f t="shared" si="8"/>
        <v>--</v>
      </c>
      <c r="G61" s="1284"/>
    </row>
    <row r="62" spans="1:7">
      <c r="A62" s="892" t="s">
        <v>189</v>
      </c>
      <c r="B62" s="143" t="s">
        <v>190</v>
      </c>
      <c r="C62" s="145">
        <f t="shared" si="5"/>
        <v>0.4590593892974133</v>
      </c>
      <c r="D62" s="139">
        <f t="shared" si="6"/>
        <v>2.1432179157630622E-4</v>
      </c>
      <c r="E62" s="139">
        <f t="shared" si="7"/>
        <v>18.717948717948715</v>
      </c>
      <c r="F62" s="140">
        <f t="shared" si="8"/>
        <v>0.56153846153846143</v>
      </c>
      <c r="G62" s="1284"/>
    </row>
    <row r="63" spans="1:7">
      <c r="A63" s="892" t="s">
        <v>191</v>
      </c>
      <c r="B63" s="143" t="s">
        <v>192</v>
      </c>
      <c r="C63" s="145">
        <f t="shared" si="5"/>
        <v>5.1000000000000002E-9</v>
      </c>
      <c r="D63" s="139">
        <f t="shared" si="6"/>
        <v>4.7692840206178896E-6</v>
      </c>
      <c r="E63" s="139">
        <f t="shared" si="7"/>
        <v>2.4628879892037785E-6</v>
      </c>
      <c r="F63" s="140">
        <f t="shared" si="8"/>
        <v>7.3886639676113351E-8</v>
      </c>
      <c r="G63" s="1284"/>
    </row>
    <row r="64" spans="1:7">
      <c r="A64" s="892" t="s">
        <v>193</v>
      </c>
      <c r="B64" s="143" t="s">
        <v>194</v>
      </c>
      <c r="C64" s="145">
        <f t="shared" si="5"/>
        <v>8.6999999999999994E-3</v>
      </c>
      <c r="D64" s="139">
        <f t="shared" si="6"/>
        <v>9.7677462584999999E-3</v>
      </c>
      <c r="E64" s="139" t="str">
        <f t="shared" si="7"/>
        <v>--</v>
      </c>
      <c r="F64" s="140" t="str">
        <f t="shared" si="8"/>
        <v>--</v>
      </c>
      <c r="G64" s="1284"/>
    </row>
    <row r="65" spans="1:7">
      <c r="A65" s="892" t="s">
        <v>195</v>
      </c>
      <c r="B65" s="143" t="s">
        <v>196</v>
      </c>
      <c r="C65" s="145">
        <f t="shared" si="5"/>
        <v>2E-3</v>
      </c>
      <c r="D65" s="139">
        <f t="shared" si="6"/>
        <v>1.1000000000000001E-3</v>
      </c>
      <c r="E65" s="139" t="str">
        <f t="shared" si="7"/>
        <v>--</v>
      </c>
      <c r="F65" s="140" t="str">
        <f t="shared" si="8"/>
        <v>--</v>
      </c>
      <c r="G65" s="1284"/>
    </row>
    <row r="66" spans="1:7">
      <c r="A66" s="892" t="s">
        <v>197</v>
      </c>
      <c r="B66" s="143" t="s">
        <v>198</v>
      </c>
      <c r="C66" s="145">
        <f t="shared" si="5"/>
        <v>3.4860991800078076</v>
      </c>
      <c r="D66" s="139">
        <f t="shared" si="6"/>
        <v>0.42866386290667685</v>
      </c>
      <c r="E66" s="139">
        <f t="shared" si="7"/>
        <v>37.435897435897431</v>
      </c>
      <c r="F66" s="140">
        <f t="shared" si="8"/>
        <v>1.1230769230769229</v>
      </c>
      <c r="G66" s="1284"/>
    </row>
    <row r="67" spans="1:7">
      <c r="A67" s="892" t="s">
        <v>199</v>
      </c>
      <c r="B67" s="143" t="s">
        <v>200</v>
      </c>
      <c r="C67" s="145">
        <f t="shared" si="5"/>
        <v>5.9000000000000003E-6</v>
      </c>
      <c r="D67" s="139">
        <f t="shared" si="6"/>
        <v>0.13442642614676834</v>
      </c>
      <c r="E67" s="139">
        <f t="shared" si="7"/>
        <v>7.1992110453648908E-2</v>
      </c>
      <c r="F67" s="140">
        <f t="shared" si="8"/>
        <v>2.1597633136094673E-3</v>
      </c>
      <c r="G67" s="1284"/>
    </row>
    <row r="68" spans="1:7">
      <c r="A68" s="892" t="s">
        <v>201</v>
      </c>
      <c r="B68" s="143" t="s">
        <v>202</v>
      </c>
      <c r="C68" s="145">
        <f t="shared" si="5"/>
        <v>2.0000000000000002E-5</v>
      </c>
      <c r="D68" s="139">
        <f t="shared" si="6"/>
        <v>3.3567806940000001E-5</v>
      </c>
      <c r="E68" s="139">
        <f t="shared" si="7"/>
        <v>3.5996055226824454E-2</v>
      </c>
      <c r="F68" s="140">
        <f t="shared" si="8"/>
        <v>1.0798816568047336E-3</v>
      </c>
      <c r="G68" s="1284"/>
    </row>
    <row r="69" spans="1:7">
      <c r="A69" s="892" t="s">
        <v>203</v>
      </c>
      <c r="B69" s="143" t="s">
        <v>204</v>
      </c>
      <c r="C69" s="145">
        <f t="shared" si="5"/>
        <v>7.8999999999999996E-5</v>
      </c>
      <c r="D69" s="139">
        <f t="shared" si="6"/>
        <v>8.2074830099999996E-5</v>
      </c>
      <c r="E69" s="139">
        <f t="shared" si="7"/>
        <v>0.18350930115635997</v>
      </c>
      <c r="F69" s="140">
        <f t="shared" si="8"/>
        <v>5.5052790346907989E-3</v>
      </c>
      <c r="G69" s="1284"/>
    </row>
    <row r="70" spans="1:7">
      <c r="A70" s="892" t="s">
        <v>205</v>
      </c>
      <c r="B70" s="143" t="s">
        <v>206</v>
      </c>
      <c r="C70" s="145">
        <f t="shared" si="5"/>
        <v>0.01</v>
      </c>
      <c r="D70" s="139">
        <f t="shared" si="6"/>
        <v>2.0423529999999998E-3</v>
      </c>
      <c r="E70" s="139">
        <f t="shared" si="7"/>
        <v>4.2540792540792536</v>
      </c>
      <c r="F70" s="140">
        <f t="shared" si="8"/>
        <v>0.1276223776223776</v>
      </c>
      <c r="G70" s="1284"/>
    </row>
    <row r="71" spans="1:7">
      <c r="A71" s="2112" t="s">
        <v>4281</v>
      </c>
      <c r="B71" s="143" t="s">
        <v>208</v>
      </c>
      <c r="C71" s="145">
        <f t="shared" si="5"/>
        <v>4.0000000000000001E-3</v>
      </c>
      <c r="D71" s="139">
        <f t="shared" si="6"/>
        <v>1.86397561592E-3</v>
      </c>
      <c r="E71" s="139" t="str">
        <f t="shared" si="7"/>
        <v>--</v>
      </c>
      <c r="F71" s="140" t="str">
        <f t="shared" si="8"/>
        <v>--</v>
      </c>
      <c r="G71" s="1284"/>
    </row>
    <row r="72" spans="1:7">
      <c r="A72" s="892" t="s">
        <v>209</v>
      </c>
      <c r="B72" s="143" t="s">
        <v>210</v>
      </c>
      <c r="C72" s="145">
        <f t="shared" si="5"/>
        <v>0.1</v>
      </c>
      <c r="D72" s="139">
        <f t="shared" si="6"/>
        <v>5.6814030000000007E-3</v>
      </c>
      <c r="E72" s="139">
        <f t="shared" si="7"/>
        <v>8.5081585081585072</v>
      </c>
      <c r="F72" s="140">
        <f t="shared" si="8"/>
        <v>0.25524475524475521</v>
      </c>
      <c r="G72" s="1284"/>
    </row>
    <row r="73" spans="1:7">
      <c r="A73" s="892" t="s">
        <v>211</v>
      </c>
      <c r="B73" s="143" t="s">
        <v>212</v>
      </c>
      <c r="C73" s="145">
        <f t="shared" ref="C73:C104" si="9">VLOOKUP($A73, Table_GW_Summary, MATCH("GW-ESL", heading_GW_Summary, 0), FALSE)</f>
        <v>2</v>
      </c>
      <c r="D73" s="139">
        <f t="shared" ref="D73:D104" si="10">VLOOKUP($A73, Table_S_Summary, MATCH("Soil-ESL", heading_S_Summary, 0), FALSE)</f>
        <v>32</v>
      </c>
      <c r="E73" s="139" t="str">
        <f t="shared" ref="E73:E104" si="11">VLOOKUP($A73, Table_V_Summary, MATCH("SG-ESL", heading_V_Summary, 0), FALSE)</f>
        <v>--</v>
      </c>
      <c r="F73" s="140" t="str">
        <f t="shared" ref="F73:F104" si="12">VLOOKUP($A73, Table_V_Summary, MATCH("IA-ESL", heading_V_Summary, 0), FALSE)</f>
        <v>--</v>
      </c>
      <c r="G73" s="1284"/>
    </row>
    <row r="74" spans="1:7">
      <c r="A74" s="892" t="s">
        <v>213</v>
      </c>
      <c r="B74" s="143" t="s">
        <v>214</v>
      </c>
      <c r="C74" s="145">
        <f t="shared" si="9"/>
        <v>2.5000000000000001E-2</v>
      </c>
      <c r="D74" s="139">
        <f t="shared" si="10"/>
        <v>0.65137049501684874</v>
      </c>
      <c r="E74" s="139">
        <f t="shared" si="11"/>
        <v>1.0428571428571429</v>
      </c>
      <c r="F74" s="140">
        <f t="shared" si="12"/>
        <v>3.1285714285714285E-2</v>
      </c>
      <c r="G74" s="1284"/>
    </row>
    <row r="75" spans="1:7">
      <c r="A75" s="892" t="s">
        <v>215</v>
      </c>
      <c r="B75" s="143" t="s">
        <v>216</v>
      </c>
      <c r="C75" s="145">
        <f t="shared" si="9"/>
        <v>3.0000000000000001E-3</v>
      </c>
      <c r="D75" s="139">
        <f t="shared" si="10"/>
        <v>1.3391223780063001E-2</v>
      </c>
      <c r="E75" s="139" t="str">
        <f t="shared" si="11"/>
        <v>--</v>
      </c>
      <c r="F75" s="140" t="str">
        <f t="shared" si="12"/>
        <v>--</v>
      </c>
      <c r="G75" s="1284"/>
    </row>
    <row r="76" spans="1:7">
      <c r="A76" s="892" t="s">
        <v>217</v>
      </c>
      <c r="B76" s="143" t="s">
        <v>218</v>
      </c>
      <c r="C76" s="145">
        <f t="shared" si="9"/>
        <v>5</v>
      </c>
      <c r="D76" s="139">
        <f t="shared" si="10"/>
        <v>0.11889965000000001</v>
      </c>
      <c r="E76" s="139">
        <f t="shared" si="11"/>
        <v>33.796296296296298</v>
      </c>
      <c r="F76" s="140">
        <f t="shared" si="12"/>
        <v>1.0138888888888888</v>
      </c>
      <c r="G76" s="1284"/>
    </row>
    <row r="77" spans="1:7">
      <c r="A77" s="892" t="s">
        <v>219</v>
      </c>
      <c r="B77" s="143" t="s">
        <v>220</v>
      </c>
      <c r="C77" s="145">
        <f t="shared" si="9"/>
        <v>5565.4670122467714</v>
      </c>
      <c r="D77" s="139">
        <f t="shared" si="10"/>
        <v>6.1322447114800624</v>
      </c>
      <c r="E77" s="139">
        <f t="shared" si="11"/>
        <v>173809.52380952382</v>
      </c>
      <c r="F77" s="140">
        <f t="shared" si="12"/>
        <v>5214.2857142857147</v>
      </c>
      <c r="G77" s="1284"/>
    </row>
    <row r="78" spans="1:7">
      <c r="A78" s="892" t="s">
        <v>221</v>
      </c>
      <c r="B78" s="143" t="s">
        <v>222</v>
      </c>
      <c r="C78" s="145">
        <f t="shared" si="9"/>
        <v>120</v>
      </c>
      <c r="D78" s="139">
        <f t="shared" si="10"/>
        <v>0.35377992000000003</v>
      </c>
      <c r="E78" s="139">
        <f t="shared" si="11"/>
        <v>14000</v>
      </c>
      <c r="F78" s="140">
        <f t="shared" si="12"/>
        <v>420</v>
      </c>
      <c r="G78" s="1284"/>
    </row>
    <row r="79" spans="1:7">
      <c r="A79" s="892" t="s">
        <v>223</v>
      </c>
      <c r="B79" s="143" t="s">
        <v>224</v>
      </c>
      <c r="C79" s="145">
        <f t="shared" si="9"/>
        <v>3.0000000000000001E-3</v>
      </c>
      <c r="D79" s="139">
        <f t="shared" si="10"/>
        <v>3.4000000000000002E-2</v>
      </c>
      <c r="E79" s="139" t="str">
        <f t="shared" si="11"/>
        <v>--</v>
      </c>
      <c r="F79" s="140" t="str">
        <f t="shared" si="12"/>
        <v>--</v>
      </c>
      <c r="G79" s="1284"/>
    </row>
    <row r="80" spans="1:7">
      <c r="A80" s="892" t="s">
        <v>225</v>
      </c>
      <c r="B80" s="143" t="s">
        <v>226</v>
      </c>
      <c r="C80" s="145">
        <f t="shared" si="9"/>
        <v>2.1</v>
      </c>
      <c r="D80" s="139">
        <f t="shared" si="10"/>
        <v>0.8705827746</v>
      </c>
      <c r="E80" s="139">
        <f t="shared" si="11"/>
        <v>2266.666666666667</v>
      </c>
      <c r="F80" s="140">
        <f t="shared" si="12"/>
        <v>68</v>
      </c>
      <c r="G80" s="1284"/>
    </row>
    <row r="81" spans="1:7">
      <c r="A81" s="892" t="s">
        <v>227</v>
      </c>
      <c r="B81" s="143" t="s">
        <v>228</v>
      </c>
      <c r="C81" s="145">
        <f t="shared" si="9"/>
        <v>5</v>
      </c>
      <c r="D81" s="139">
        <f t="shared" si="10"/>
        <v>2.7812345000000002E-2</v>
      </c>
      <c r="E81" s="139">
        <f t="shared" si="11"/>
        <v>359.96055226824456</v>
      </c>
      <c r="F81" s="140">
        <f t="shared" si="12"/>
        <v>10.798816568047336</v>
      </c>
      <c r="G81" s="1284"/>
    </row>
    <row r="82" spans="1:7">
      <c r="A82" s="892" t="s">
        <v>229</v>
      </c>
      <c r="B82" s="143" t="s">
        <v>230</v>
      </c>
      <c r="C82" s="145">
        <f t="shared" si="9"/>
        <v>99.83479939140706</v>
      </c>
      <c r="D82" s="139">
        <f t="shared" si="10"/>
        <v>6.9</v>
      </c>
      <c r="E82" s="139" t="str">
        <f t="shared" si="11"/>
        <v>--</v>
      </c>
      <c r="F82" s="140" t="str">
        <f t="shared" si="12"/>
        <v>--</v>
      </c>
      <c r="G82" s="1284"/>
    </row>
    <row r="83" spans="1:7">
      <c r="A83" s="892" t="s">
        <v>231</v>
      </c>
      <c r="B83" s="143" t="s">
        <v>232</v>
      </c>
      <c r="C83" s="145">
        <f t="shared" si="9"/>
        <v>5</v>
      </c>
      <c r="D83" s="139">
        <f t="shared" si="10"/>
        <v>63.338538912730719</v>
      </c>
      <c r="E83" s="139" t="str">
        <f t="shared" si="11"/>
        <v>--</v>
      </c>
      <c r="F83" s="140" t="str">
        <f t="shared" si="12"/>
        <v>--</v>
      </c>
      <c r="G83" s="1284"/>
    </row>
    <row r="84" spans="1:7">
      <c r="A84" s="892" t="s">
        <v>233</v>
      </c>
      <c r="B84" s="143" t="s">
        <v>234</v>
      </c>
      <c r="C84" s="145">
        <f t="shared" si="9"/>
        <v>15</v>
      </c>
      <c r="D84" s="139">
        <f t="shared" si="10"/>
        <v>12.53436132</v>
      </c>
      <c r="E84" s="139">
        <f t="shared" si="11"/>
        <v>17100</v>
      </c>
      <c r="F84" s="140">
        <f t="shared" si="12"/>
        <v>513</v>
      </c>
      <c r="G84" s="1284"/>
    </row>
    <row r="85" spans="1:7">
      <c r="A85" s="892" t="s">
        <v>235</v>
      </c>
      <c r="B85" s="143" t="s">
        <v>236</v>
      </c>
      <c r="C85" s="145">
        <f t="shared" si="9"/>
        <v>0.73</v>
      </c>
      <c r="D85" s="139">
        <f t="shared" si="10"/>
        <v>1.9827567297160003</v>
      </c>
      <c r="E85" s="139" t="str">
        <f t="shared" si="11"/>
        <v>--</v>
      </c>
      <c r="F85" s="140" t="str">
        <f t="shared" si="12"/>
        <v>--</v>
      </c>
      <c r="G85" s="1284"/>
    </row>
    <row r="86" spans="1:7">
      <c r="A86" s="892" t="s">
        <v>237</v>
      </c>
      <c r="B86" s="143" t="s">
        <v>238</v>
      </c>
      <c r="C86" s="145">
        <f t="shared" si="9"/>
        <v>1.2999999999999999E-3</v>
      </c>
      <c r="D86" s="139">
        <f t="shared" si="10"/>
        <v>0.63</v>
      </c>
      <c r="E86" s="139">
        <f t="shared" si="11"/>
        <v>0.3072390572390572</v>
      </c>
      <c r="F86" s="140">
        <f t="shared" si="12"/>
        <v>9.2171717171717158E-3</v>
      </c>
      <c r="G86" s="1284"/>
    </row>
    <row r="87" spans="1:7">
      <c r="A87" s="892" t="s">
        <v>239</v>
      </c>
      <c r="B87" s="143" t="s">
        <v>240</v>
      </c>
      <c r="C87" s="145">
        <f t="shared" si="9"/>
        <v>1.2999999999999999E-4</v>
      </c>
      <c r="D87" s="139">
        <f t="shared" si="10"/>
        <v>0.11481726168201646</v>
      </c>
      <c r="E87" s="139" t="str">
        <f t="shared" si="11"/>
        <v>--</v>
      </c>
      <c r="F87" s="140" t="str">
        <f t="shared" si="12"/>
        <v>--</v>
      </c>
      <c r="G87" s="1284"/>
    </row>
    <row r="88" spans="1:7">
      <c r="A88" s="892" t="s">
        <v>241</v>
      </c>
      <c r="B88" s="143" t="s">
        <v>242</v>
      </c>
      <c r="C88" s="145">
        <f t="shared" si="9"/>
        <v>1.2999999999999999E-3</v>
      </c>
      <c r="D88" s="139">
        <f t="shared" si="10"/>
        <v>1.1481726168201645</v>
      </c>
      <c r="E88" s="139" t="str">
        <f t="shared" si="11"/>
        <v>--</v>
      </c>
      <c r="F88" s="140" t="str">
        <f t="shared" si="12"/>
        <v>--</v>
      </c>
      <c r="G88" s="1284"/>
    </row>
    <row r="89" spans="1:7">
      <c r="A89" s="892" t="s">
        <v>243</v>
      </c>
      <c r="B89" s="143" t="s">
        <v>244</v>
      </c>
      <c r="C89" s="145">
        <f t="shared" si="9"/>
        <v>1.2999999999999999E-2</v>
      </c>
      <c r="D89" s="139">
        <f t="shared" si="10"/>
        <v>2.8196000036158946</v>
      </c>
      <c r="E89" s="139" t="str">
        <f t="shared" si="11"/>
        <v>--</v>
      </c>
      <c r="F89" s="140" t="str">
        <f t="shared" si="12"/>
        <v>--</v>
      </c>
      <c r="G89" s="1284"/>
    </row>
    <row r="90" spans="1:7">
      <c r="A90" s="892" t="s">
        <v>245</v>
      </c>
      <c r="B90" s="143" t="s">
        <v>246</v>
      </c>
      <c r="C90" s="145">
        <f t="shared" si="9"/>
        <v>4.9000000000000002E-2</v>
      </c>
      <c r="D90" s="139">
        <f t="shared" si="10"/>
        <v>2.1662000809551727</v>
      </c>
      <c r="E90" s="139" t="str">
        <f t="shared" si="11"/>
        <v>--</v>
      </c>
      <c r="F90" s="140" t="str">
        <f t="shared" si="12"/>
        <v>--</v>
      </c>
      <c r="G90" s="1284"/>
    </row>
    <row r="91" spans="1:7">
      <c r="A91" s="892" t="s">
        <v>247</v>
      </c>
      <c r="B91" s="143" t="s">
        <v>248</v>
      </c>
      <c r="C91" s="145">
        <f t="shared" si="9"/>
        <v>1.2999999999999999E-4</v>
      </c>
      <c r="D91" s="139">
        <f t="shared" si="10"/>
        <v>2.8006092837957575E-2</v>
      </c>
      <c r="E91" s="139" t="str">
        <f t="shared" si="11"/>
        <v>--</v>
      </c>
      <c r="F91" s="140" t="str">
        <f t="shared" si="12"/>
        <v>--</v>
      </c>
      <c r="G91" s="1284"/>
    </row>
    <row r="92" spans="1:7">
      <c r="A92" s="892" t="s">
        <v>249</v>
      </c>
      <c r="B92" s="143" t="s">
        <v>250</v>
      </c>
      <c r="C92" s="145">
        <f t="shared" si="9"/>
        <v>8</v>
      </c>
      <c r="D92" s="139">
        <f t="shared" si="10"/>
        <v>0.69</v>
      </c>
      <c r="E92" s="139" t="str">
        <f t="shared" si="11"/>
        <v>--</v>
      </c>
      <c r="F92" s="140" t="str">
        <f t="shared" si="12"/>
        <v>--</v>
      </c>
      <c r="G92" s="1284"/>
    </row>
    <row r="93" spans="1:7">
      <c r="A93" s="892" t="s">
        <v>251</v>
      </c>
      <c r="B93" s="143" t="s">
        <v>252</v>
      </c>
      <c r="C93" s="145">
        <f t="shared" si="9"/>
        <v>3.9</v>
      </c>
      <c r="D93" s="139">
        <f t="shared" si="10"/>
        <v>5.9325127422600001</v>
      </c>
      <c r="E93" s="139" t="str">
        <f t="shared" si="11"/>
        <v>--</v>
      </c>
      <c r="F93" s="140" t="str">
        <f t="shared" si="12"/>
        <v>--</v>
      </c>
      <c r="G93" s="1284"/>
    </row>
    <row r="94" spans="1:7">
      <c r="A94" s="892" t="s">
        <v>253</v>
      </c>
      <c r="B94" s="143" t="s">
        <v>254</v>
      </c>
      <c r="C94" s="145">
        <f t="shared" si="9"/>
        <v>1.2999999999999999E-3</v>
      </c>
      <c r="D94" s="139">
        <f t="shared" si="10"/>
        <v>0.48</v>
      </c>
      <c r="E94" s="139" t="str">
        <f t="shared" si="11"/>
        <v>--</v>
      </c>
      <c r="F94" s="140" t="str">
        <f t="shared" si="12"/>
        <v>--</v>
      </c>
      <c r="G94" s="1284"/>
    </row>
    <row r="95" spans="1:7">
      <c r="A95" s="892" t="s">
        <v>255</v>
      </c>
      <c r="B95" s="143" t="s">
        <v>256</v>
      </c>
      <c r="C95" s="145">
        <f t="shared" si="9"/>
        <v>0.11691092078404149</v>
      </c>
      <c r="D95" s="139">
        <f t="shared" si="10"/>
        <v>3.0284029718167856E-2</v>
      </c>
      <c r="E95" s="139">
        <f t="shared" si="11"/>
        <v>2.7526395173453992</v>
      </c>
      <c r="F95" s="140">
        <f t="shared" si="12"/>
        <v>8.2579185520361975E-2</v>
      </c>
      <c r="G95" s="1284"/>
    </row>
    <row r="96" spans="1:7">
      <c r="A96" s="892" t="s">
        <v>257</v>
      </c>
      <c r="B96" s="143" t="s">
        <v>258</v>
      </c>
      <c r="C96" s="145">
        <f t="shared" si="9"/>
        <v>2</v>
      </c>
      <c r="D96" s="139">
        <f t="shared" si="10"/>
        <v>44.028912433507159</v>
      </c>
      <c r="E96" s="139" t="str">
        <f t="shared" si="11"/>
        <v>--</v>
      </c>
      <c r="F96" s="140" t="str">
        <f t="shared" si="12"/>
        <v>--</v>
      </c>
      <c r="G96" s="1284"/>
    </row>
    <row r="97" spans="1:7">
      <c r="A97" s="892" t="s">
        <v>259</v>
      </c>
      <c r="B97" s="143" t="s">
        <v>260</v>
      </c>
      <c r="C97" s="145">
        <f t="shared" si="9"/>
        <v>0.04</v>
      </c>
      <c r="D97" s="139">
        <f t="shared" si="10"/>
        <v>3.9308860828600007E-3</v>
      </c>
      <c r="E97" s="139" t="str">
        <f t="shared" si="11"/>
        <v>--</v>
      </c>
      <c r="F97" s="140" t="str">
        <f t="shared" si="12"/>
        <v>--</v>
      </c>
      <c r="G97" s="1284"/>
    </row>
    <row r="98" spans="1:7">
      <c r="A98" s="892" t="s">
        <v>261</v>
      </c>
      <c r="B98" s="143" t="s">
        <v>1261</v>
      </c>
      <c r="C98" s="145">
        <f t="shared" si="9"/>
        <v>6</v>
      </c>
      <c r="D98" s="139">
        <f t="shared" si="10"/>
        <v>1.2000000000000004E-2</v>
      </c>
      <c r="E98" s="139" t="str">
        <f t="shared" si="11"/>
        <v>--</v>
      </c>
      <c r="F98" s="140" t="str">
        <f t="shared" si="12"/>
        <v>--</v>
      </c>
      <c r="G98" s="1284"/>
    </row>
    <row r="99" spans="1:7">
      <c r="A99" s="892" t="s">
        <v>263</v>
      </c>
      <c r="B99" s="143" t="s">
        <v>115</v>
      </c>
      <c r="C99" s="145">
        <f t="shared" si="9"/>
        <v>100</v>
      </c>
      <c r="D99" s="139">
        <f t="shared" si="10"/>
        <v>100</v>
      </c>
      <c r="E99" s="139">
        <f t="shared" si="11"/>
        <v>3333.3333333333335</v>
      </c>
      <c r="F99" s="140">
        <f t="shared" si="12"/>
        <v>100</v>
      </c>
      <c r="G99" s="1284"/>
    </row>
    <row r="100" spans="1:7">
      <c r="A100" s="892" t="s">
        <v>264</v>
      </c>
      <c r="B100" s="143" t="s">
        <v>115</v>
      </c>
      <c r="C100" s="145">
        <f t="shared" si="9"/>
        <v>100</v>
      </c>
      <c r="D100" s="139">
        <f t="shared" si="10"/>
        <v>100</v>
      </c>
      <c r="E100" s="139">
        <f t="shared" si="11"/>
        <v>10310.734463276838</v>
      </c>
      <c r="F100" s="140">
        <f t="shared" si="12"/>
        <v>309.32203389830511</v>
      </c>
      <c r="G100" s="1284"/>
    </row>
    <row r="101" spans="1:7">
      <c r="A101" s="892" t="s">
        <v>265</v>
      </c>
      <c r="B101" s="143" t="s">
        <v>115</v>
      </c>
      <c r="C101" s="145">
        <f t="shared" si="9"/>
        <v>100</v>
      </c>
      <c r="D101" s="139">
        <f t="shared" si="10"/>
        <v>100</v>
      </c>
      <c r="E101" s="139">
        <f t="shared" si="11"/>
        <v>10310.734463276838</v>
      </c>
      <c r="F101" s="140">
        <f t="shared" si="12"/>
        <v>309.32203389830511</v>
      </c>
      <c r="G101" s="1284"/>
    </row>
    <row r="102" spans="1:7">
      <c r="A102" s="892" t="s">
        <v>266</v>
      </c>
      <c r="B102" s="143" t="s">
        <v>115</v>
      </c>
      <c r="C102" s="145">
        <f t="shared" si="9"/>
        <v>100</v>
      </c>
      <c r="D102" s="139">
        <f t="shared" si="10"/>
        <v>201.31571747633836</v>
      </c>
      <c r="E102" s="139">
        <f t="shared" si="11"/>
        <v>6759.2592592592582</v>
      </c>
      <c r="F102" s="140">
        <f t="shared" si="12"/>
        <v>202.77777777777774</v>
      </c>
      <c r="G102" s="1284"/>
    </row>
    <row r="103" spans="1:7">
      <c r="A103" s="892" t="s">
        <v>267</v>
      </c>
      <c r="B103" s="143" t="s">
        <v>115</v>
      </c>
      <c r="C103" s="145">
        <f t="shared" si="9"/>
        <v>100</v>
      </c>
      <c r="D103" s="139" t="str">
        <f t="shared" si="10"/>
        <v>--</v>
      </c>
      <c r="E103" s="139" t="str">
        <f t="shared" si="11"/>
        <v>--</v>
      </c>
      <c r="F103" s="140" t="str">
        <f t="shared" si="12"/>
        <v>--</v>
      </c>
      <c r="G103" s="1284"/>
    </row>
    <row r="104" spans="1:7">
      <c r="A104" s="892" t="s">
        <v>268</v>
      </c>
      <c r="B104" s="143" t="s">
        <v>115</v>
      </c>
      <c r="C104" s="145" t="str">
        <f t="shared" si="9"/>
        <v>--</v>
      </c>
      <c r="D104" s="139">
        <f t="shared" si="10"/>
        <v>1600</v>
      </c>
      <c r="E104" s="139" t="str">
        <f t="shared" si="11"/>
        <v>--</v>
      </c>
      <c r="F104" s="140" t="str">
        <f t="shared" si="12"/>
        <v>--</v>
      </c>
      <c r="G104" s="1284"/>
    </row>
    <row r="105" spans="1:7">
      <c r="A105" s="892" t="s">
        <v>269</v>
      </c>
      <c r="B105" s="143" t="s">
        <v>270</v>
      </c>
      <c r="C105" s="145">
        <f t="shared" ref="C105:C132" si="13">VLOOKUP($A105, Table_GW_Summary, MATCH("GW-ESL", heading_GW_Summary, 0), FALSE)</f>
        <v>0.2</v>
      </c>
      <c r="D105" s="139">
        <f t="shared" ref="D105:D132" si="14">VLOOKUP($A105, Table_S_Summary, MATCH("Soil-ESL", heading_S_Summary, 0), FALSE)</f>
        <v>39.107142857142854</v>
      </c>
      <c r="E105" s="139" t="str">
        <f t="shared" ref="E105:E132" si="15">VLOOKUP($A105, Table_V_Summary, MATCH("SG-ESL", heading_V_Summary, 0), FALSE)</f>
        <v>--</v>
      </c>
      <c r="F105" s="140" t="str">
        <f t="shared" ref="F105:F132" si="16">VLOOKUP($A105, Table_V_Summary, MATCH("IA-ESL", heading_V_Summary, 0), FALSE)</f>
        <v>--</v>
      </c>
      <c r="G105" s="1284"/>
    </row>
    <row r="106" spans="1:7">
      <c r="A106" s="892" t="s">
        <v>271</v>
      </c>
      <c r="B106" s="143" t="s">
        <v>272</v>
      </c>
      <c r="C106" s="145">
        <f t="shared" si="13"/>
        <v>18.453992005678288</v>
      </c>
      <c r="D106" s="139">
        <f t="shared" si="14"/>
        <v>2.98</v>
      </c>
      <c r="E106" s="139" t="str">
        <f t="shared" si="15"/>
        <v>--</v>
      </c>
      <c r="F106" s="140" t="str">
        <f t="shared" si="16"/>
        <v>--</v>
      </c>
      <c r="G106" s="1284"/>
    </row>
    <row r="107" spans="1:7">
      <c r="A107" s="892" t="s">
        <v>273</v>
      </c>
      <c r="B107" s="143" t="s">
        <v>274</v>
      </c>
      <c r="C107" s="145">
        <f t="shared" si="13"/>
        <v>140</v>
      </c>
      <c r="D107" s="139">
        <f t="shared" si="14"/>
        <v>100</v>
      </c>
      <c r="E107" s="139" t="str">
        <f t="shared" si="15"/>
        <v>--</v>
      </c>
      <c r="F107" s="140" t="str">
        <f t="shared" si="16"/>
        <v>--</v>
      </c>
      <c r="G107" s="1284"/>
    </row>
    <row r="108" spans="1:7">
      <c r="A108" s="892" t="s">
        <v>275</v>
      </c>
      <c r="B108" s="143" t="s">
        <v>276</v>
      </c>
      <c r="C108" s="145">
        <f t="shared" si="13"/>
        <v>9.9189668276470293</v>
      </c>
      <c r="D108" s="139">
        <f t="shared" si="14"/>
        <v>6.2</v>
      </c>
      <c r="E108" s="139" t="str">
        <f t="shared" si="15"/>
        <v>--</v>
      </c>
      <c r="F108" s="140" t="str">
        <f t="shared" si="16"/>
        <v>--</v>
      </c>
      <c r="G108" s="1284"/>
    </row>
    <row r="109" spans="1:7">
      <c r="A109" s="892" t="s">
        <v>277</v>
      </c>
      <c r="B109" s="143" t="s">
        <v>278</v>
      </c>
      <c r="C109" s="145">
        <f t="shared" si="13"/>
        <v>870</v>
      </c>
      <c r="D109" s="139">
        <f t="shared" si="14"/>
        <v>1</v>
      </c>
      <c r="E109" s="139" t="str">
        <f t="shared" si="15"/>
        <v>--</v>
      </c>
      <c r="F109" s="140" t="str">
        <f t="shared" si="16"/>
        <v>--</v>
      </c>
      <c r="G109" s="1284"/>
    </row>
    <row r="110" spans="1:7">
      <c r="A110" s="892" t="s">
        <v>279</v>
      </c>
      <c r="B110" s="143" t="s">
        <v>280</v>
      </c>
      <c r="C110" s="145">
        <f t="shared" si="13"/>
        <v>3.5999999999999998E-6</v>
      </c>
      <c r="D110" s="139">
        <f t="shared" si="14"/>
        <v>1.8518415168662176E-5</v>
      </c>
      <c r="E110" s="139" t="str">
        <f t="shared" si="15"/>
        <v>--</v>
      </c>
      <c r="F110" s="140" t="str">
        <f t="shared" si="16"/>
        <v>--</v>
      </c>
      <c r="G110" s="1284"/>
    </row>
    <row r="111" spans="1:7">
      <c r="A111" s="2088" t="s">
        <v>281</v>
      </c>
      <c r="B111" s="2089" t="s">
        <v>282</v>
      </c>
      <c r="C111" s="2090" t="str">
        <f t="shared" si="13"/>
        <v>&lt; 0.01 (HI Calc)</v>
      </c>
      <c r="D111" s="139">
        <f t="shared" si="14"/>
        <v>2.4199999999999999E-2</v>
      </c>
      <c r="E111" s="139" t="str">
        <f t="shared" si="15"/>
        <v>--</v>
      </c>
      <c r="F111" s="140" t="str">
        <f t="shared" si="16"/>
        <v>--</v>
      </c>
      <c r="G111" s="1284"/>
    </row>
    <row r="112" spans="1:7">
      <c r="A112" s="892" t="s">
        <v>283</v>
      </c>
      <c r="B112" s="143" t="s">
        <v>284</v>
      </c>
      <c r="C112" s="145">
        <f t="shared" si="13"/>
        <v>4.0109890109890117E-5</v>
      </c>
      <c r="D112" s="139">
        <f t="shared" si="14"/>
        <v>1.2642735911142926E-4</v>
      </c>
      <c r="E112" s="139" t="str">
        <f t="shared" si="15"/>
        <v>--</v>
      </c>
      <c r="F112" s="140" t="str">
        <f t="shared" si="16"/>
        <v>--</v>
      </c>
      <c r="G112" s="1284"/>
    </row>
    <row r="113" spans="1:7">
      <c r="A113" s="892" t="s">
        <v>285</v>
      </c>
      <c r="B113" s="143" t="s">
        <v>286</v>
      </c>
      <c r="C113" s="145">
        <f t="shared" si="13"/>
        <v>6.0164835164835164</v>
      </c>
      <c r="D113" s="139">
        <f t="shared" si="14"/>
        <v>18.964103866714392</v>
      </c>
      <c r="E113" s="139" t="str">
        <f t="shared" si="15"/>
        <v>--</v>
      </c>
      <c r="F113" s="140" t="str">
        <f t="shared" si="16"/>
        <v>--</v>
      </c>
      <c r="G113" s="1284"/>
    </row>
    <row r="114" spans="1:7">
      <c r="A114" s="892" t="s">
        <v>287</v>
      </c>
      <c r="B114" s="143" t="s">
        <v>288</v>
      </c>
      <c r="C114" s="145">
        <f t="shared" si="13"/>
        <v>1.0027472527472527</v>
      </c>
      <c r="D114" s="139">
        <f t="shared" si="14"/>
        <v>3.1606839777857316</v>
      </c>
      <c r="E114" s="139" t="str">
        <f t="shared" si="15"/>
        <v>--</v>
      </c>
      <c r="F114" s="140" t="str">
        <f t="shared" si="16"/>
        <v>--</v>
      </c>
      <c r="G114" s="1284"/>
    </row>
    <row r="115" spans="1:7">
      <c r="A115" s="892" t="s">
        <v>289</v>
      </c>
      <c r="B115" s="143" t="s">
        <v>290</v>
      </c>
      <c r="C115" s="145">
        <f t="shared" si="13"/>
        <v>20.054945054945055</v>
      </c>
      <c r="D115" s="139">
        <f t="shared" si="14"/>
        <v>63.213679555714634</v>
      </c>
      <c r="E115" s="139" t="str">
        <f t="shared" si="15"/>
        <v>--</v>
      </c>
      <c r="F115" s="140" t="str">
        <f t="shared" si="16"/>
        <v>--</v>
      </c>
      <c r="G115" s="1284"/>
    </row>
    <row r="116" spans="1:7">
      <c r="A116" s="892" t="s">
        <v>291</v>
      </c>
      <c r="B116" s="143" t="s">
        <v>292</v>
      </c>
      <c r="C116" s="145">
        <f t="shared" si="13"/>
        <v>2.35</v>
      </c>
      <c r="D116" s="139">
        <f t="shared" si="14"/>
        <v>3.807470000005019</v>
      </c>
      <c r="E116" s="392" t="str">
        <f t="shared" si="15"/>
        <v>--</v>
      </c>
      <c r="F116" s="393" t="str">
        <f t="shared" si="16"/>
        <v>--</v>
      </c>
      <c r="G116" s="1284"/>
    </row>
    <row r="117" spans="1:7">
      <c r="A117" s="892" t="s">
        <v>293</v>
      </c>
      <c r="B117" s="143" t="s">
        <v>294</v>
      </c>
      <c r="C117" s="145">
        <f t="shared" si="13"/>
        <v>0.5</v>
      </c>
      <c r="D117" s="139">
        <f t="shared" si="14"/>
        <v>0.81699999999999995</v>
      </c>
      <c r="E117" s="392" t="str">
        <f t="shared" si="15"/>
        <v>--</v>
      </c>
      <c r="F117" s="393" t="str">
        <f t="shared" si="16"/>
        <v>--</v>
      </c>
      <c r="G117" s="1284"/>
    </row>
    <row r="118" spans="1:7">
      <c r="A118" s="2088" t="s">
        <v>295</v>
      </c>
      <c r="B118" s="2089" t="s">
        <v>296</v>
      </c>
      <c r="C118" s="2090" t="str">
        <f t="shared" si="13"/>
        <v>&lt; 0.01 (HI Calc)</v>
      </c>
      <c r="D118" s="139">
        <f t="shared" si="14"/>
        <v>0.14499999999999999</v>
      </c>
      <c r="E118" s="139" t="str">
        <f t="shared" si="15"/>
        <v>--</v>
      </c>
      <c r="F118" s="140" t="str">
        <f t="shared" si="16"/>
        <v>--</v>
      </c>
      <c r="G118" s="1284"/>
    </row>
    <row r="119" spans="1:7">
      <c r="A119" s="892" t="s">
        <v>297</v>
      </c>
      <c r="B119" s="143" t="s">
        <v>298</v>
      </c>
      <c r="C119" s="145">
        <f t="shared" si="13"/>
        <v>6.9999999999999994E-5</v>
      </c>
      <c r="D119" s="139">
        <f t="shared" si="14"/>
        <v>4.0000000000000001E-3</v>
      </c>
      <c r="E119" s="139" t="str">
        <f t="shared" si="15"/>
        <v>--</v>
      </c>
      <c r="F119" s="140" t="str">
        <f t="shared" si="16"/>
        <v>--</v>
      </c>
      <c r="G119" s="1284"/>
    </row>
    <row r="120" spans="1:7">
      <c r="A120" s="2088" t="s">
        <v>299</v>
      </c>
      <c r="B120" s="2089" t="s">
        <v>300</v>
      </c>
      <c r="C120" s="2090" t="str">
        <f t="shared" si="13"/>
        <v>&lt; 0.01 (HI Calc)</v>
      </c>
      <c r="D120" s="139">
        <f t="shared" si="14"/>
        <v>0.23464285714285715</v>
      </c>
      <c r="E120" s="139" t="str">
        <f t="shared" si="15"/>
        <v>--</v>
      </c>
      <c r="F120" s="140" t="str">
        <f t="shared" si="16"/>
        <v>--</v>
      </c>
      <c r="G120" s="1284"/>
    </row>
    <row r="121" spans="1:7">
      <c r="A121" s="892" t="s">
        <v>301</v>
      </c>
      <c r="B121" s="143" t="s">
        <v>302</v>
      </c>
      <c r="C121" s="145">
        <f t="shared" si="13"/>
        <v>30</v>
      </c>
      <c r="D121" s="139">
        <f t="shared" si="14"/>
        <v>0.93231800793000008</v>
      </c>
      <c r="E121" s="139">
        <f t="shared" si="15"/>
        <v>5200</v>
      </c>
      <c r="F121" s="140">
        <f t="shared" si="16"/>
        <v>156</v>
      </c>
      <c r="G121" s="1284"/>
    </row>
    <row r="122" spans="1:7">
      <c r="A122" s="892" t="s">
        <v>303</v>
      </c>
      <c r="B122" s="143" t="s">
        <v>304</v>
      </c>
      <c r="C122" s="145">
        <f t="shared" si="13"/>
        <v>1.9000000000000001E-5</v>
      </c>
      <c r="D122" s="139">
        <f t="shared" si="14"/>
        <v>0.22770871299594589</v>
      </c>
      <c r="E122" s="139">
        <f t="shared" si="15"/>
        <v>0.16419253261358527</v>
      </c>
      <c r="F122" s="140">
        <f t="shared" si="16"/>
        <v>4.9257759784075575E-3</v>
      </c>
      <c r="G122" s="1284"/>
    </row>
    <row r="123" spans="1:7">
      <c r="A123" s="892" t="s">
        <v>305</v>
      </c>
      <c r="B123" s="143" t="s">
        <v>306</v>
      </c>
      <c r="C123" s="145">
        <f t="shared" si="13"/>
        <v>0.5</v>
      </c>
      <c r="D123" s="139">
        <f t="shared" si="14"/>
        <v>2.4</v>
      </c>
      <c r="E123" s="139" t="str">
        <f t="shared" si="15"/>
        <v>--</v>
      </c>
      <c r="F123" s="140" t="str">
        <f t="shared" si="16"/>
        <v>--</v>
      </c>
      <c r="G123" s="1284"/>
    </row>
    <row r="124" spans="1:7">
      <c r="A124" s="892" t="s">
        <v>307</v>
      </c>
      <c r="B124" s="143" t="s">
        <v>308</v>
      </c>
      <c r="C124" s="145">
        <f t="shared" si="13"/>
        <v>0.7</v>
      </c>
      <c r="D124" s="139">
        <f t="shared" si="14"/>
        <v>25</v>
      </c>
      <c r="E124" s="139" t="str">
        <f t="shared" si="15"/>
        <v>--</v>
      </c>
      <c r="F124" s="140" t="str">
        <f t="shared" si="16"/>
        <v>--</v>
      </c>
      <c r="G124" s="1284"/>
    </row>
    <row r="125" spans="1:7">
      <c r="A125" s="892" t="s">
        <v>309</v>
      </c>
      <c r="B125" s="143" t="s">
        <v>310</v>
      </c>
      <c r="C125" s="145">
        <f t="shared" si="13"/>
        <v>10</v>
      </c>
      <c r="D125" s="139">
        <f t="shared" si="14"/>
        <v>0.91121850000000004</v>
      </c>
      <c r="E125" s="139">
        <f t="shared" si="15"/>
        <v>31285.714285714286</v>
      </c>
      <c r="F125" s="140">
        <f t="shared" si="16"/>
        <v>938.57142857142856</v>
      </c>
      <c r="G125" s="1284"/>
    </row>
    <row r="126" spans="1:7">
      <c r="A126" s="892" t="s">
        <v>311</v>
      </c>
      <c r="B126" s="143" t="s">
        <v>312</v>
      </c>
      <c r="C126" s="145">
        <f t="shared" si="13"/>
        <v>12</v>
      </c>
      <c r="D126" s="139">
        <f t="shared" si="14"/>
        <v>4.879192200000001E-3</v>
      </c>
      <c r="E126" s="139">
        <f t="shared" si="15"/>
        <v>173809.52380952382</v>
      </c>
      <c r="F126" s="140">
        <f t="shared" si="16"/>
        <v>5214.2857142857147</v>
      </c>
      <c r="G126" s="1284"/>
    </row>
    <row r="127" spans="1:7">
      <c r="A127" s="892" t="s">
        <v>313</v>
      </c>
      <c r="B127" s="143" t="s">
        <v>314</v>
      </c>
      <c r="C127" s="145">
        <f t="shared" si="13"/>
        <v>0.57371019912170784</v>
      </c>
      <c r="D127" s="139">
        <f t="shared" si="14"/>
        <v>1.7095691894324229E-2</v>
      </c>
      <c r="E127" s="139">
        <f t="shared" si="15"/>
        <v>12.647262647262645</v>
      </c>
      <c r="F127" s="140">
        <f t="shared" si="16"/>
        <v>0.37941787941787936</v>
      </c>
      <c r="G127" s="1284"/>
    </row>
    <row r="128" spans="1:7">
      <c r="A128" s="892" t="s">
        <v>315</v>
      </c>
      <c r="B128" s="143" t="s">
        <v>316</v>
      </c>
      <c r="C128" s="145">
        <f t="shared" si="13"/>
        <v>1</v>
      </c>
      <c r="D128" s="139">
        <f t="shared" si="14"/>
        <v>1.8038009000000001E-2</v>
      </c>
      <c r="E128" s="139">
        <f t="shared" si="15"/>
        <v>1.6136162687886821</v>
      </c>
      <c r="F128" s="140">
        <f t="shared" si="16"/>
        <v>4.8408488063660465E-2</v>
      </c>
      <c r="G128" s="1284"/>
    </row>
    <row r="129" spans="1:7">
      <c r="A129" s="892" t="s">
        <v>317</v>
      </c>
      <c r="B129" s="143" t="s">
        <v>318</v>
      </c>
      <c r="C129" s="145">
        <f t="shared" si="13"/>
        <v>0.63606699866771998</v>
      </c>
      <c r="D129" s="139">
        <f t="shared" si="14"/>
        <v>7.9905242476613736E-2</v>
      </c>
      <c r="E129" s="139">
        <f t="shared" si="15"/>
        <v>15.342580916351405</v>
      </c>
      <c r="F129" s="140">
        <f t="shared" si="16"/>
        <v>0.46027742749054212</v>
      </c>
      <c r="G129" s="1284"/>
    </row>
    <row r="130" spans="1:7">
      <c r="A130" s="892" t="s">
        <v>319</v>
      </c>
      <c r="B130" s="143" t="s">
        <v>320</v>
      </c>
      <c r="C130" s="145">
        <f t="shared" si="13"/>
        <v>0.47</v>
      </c>
      <c r="D130" s="139">
        <f t="shared" si="14"/>
        <v>0.78214285714285725</v>
      </c>
      <c r="E130" s="139" t="str">
        <f t="shared" si="15"/>
        <v>--</v>
      </c>
      <c r="F130" s="140" t="str">
        <f t="shared" si="16"/>
        <v>--</v>
      </c>
      <c r="G130" s="1284"/>
    </row>
    <row r="131" spans="1:7">
      <c r="A131" s="892" t="s">
        <v>321</v>
      </c>
      <c r="B131" s="143" t="s">
        <v>322</v>
      </c>
      <c r="C131" s="145">
        <f t="shared" si="13"/>
        <v>40</v>
      </c>
      <c r="D131" s="139">
        <f t="shared" si="14"/>
        <v>3.2016752000000004</v>
      </c>
      <c r="E131" s="139">
        <f t="shared" si="15"/>
        <v>14600</v>
      </c>
      <c r="F131" s="140">
        <f t="shared" si="16"/>
        <v>438</v>
      </c>
      <c r="G131" s="1284"/>
    </row>
    <row r="132" spans="1:7">
      <c r="A132" s="892" t="s">
        <v>323</v>
      </c>
      <c r="B132" s="143" t="s">
        <v>324</v>
      </c>
      <c r="C132" s="145">
        <f t="shared" si="13"/>
        <v>2.0000000000000001E-4</v>
      </c>
      <c r="D132" s="139">
        <f t="shared" si="14"/>
        <v>0.45214083768107488</v>
      </c>
      <c r="E132" s="139" t="str">
        <f t="shared" si="15"/>
        <v>--</v>
      </c>
      <c r="F132" s="140" t="str">
        <f t="shared" si="16"/>
        <v>--</v>
      </c>
      <c r="G132" s="1284"/>
    </row>
    <row r="133" spans="1:7">
      <c r="A133" s="892" t="s">
        <v>325</v>
      </c>
      <c r="B133" s="143" t="s">
        <v>326</v>
      </c>
      <c r="C133" s="145">
        <f t="shared" ref="C133:C143" si="17">VLOOKUP($A133, Table_GW_Summary, MATCH("GW-ESL", heading_GW_Summary, 0), FALSE)</f>
        <v>7.5999999999999998E-2</v>
      </c>
      <c r="D133" s="139">
        <f t="shared" ref="D133:D143" si="18">VLOOKUP($A133, Table_S_Summary, MATCH("Soil-ESL", heading_S_Summary, 0), FALSE)</f>
        <v>1.7777155440000001E-2</v>
      </c>
      <c r="E133" s="139">
        <f t="shared" ref="E133:E143" si="19">VLOOKUP($A133, Table_V_Summary, MATCH("SG-ESL", heading_V_Summary, 0), FALSE)</f>
        <v>69.523809523809533</v>
      </c>
      <c r="F133" s="140">
        <f t="shared" ref="F133:F143" si="20">VLOOKUP($A133, Table_V_Summary, MATCH("IA-ESL", heading_V_Summary, 0), FALSE)</f>
        <v>2.0857142857142859</v>
      </c>
      <c r="G133" s="1284"/>
    </row>
    <row r="134" spans="1:7">
      <c r="A134" s="892" t="s">
        <v>327</v>
      </c>
      <c r="B134" s="143" t="s">
        <v>328</v>
      </c>
      <c r="C134" s="145">
        <f t="shared" si="17"/>
        <v>62</v>
      </c>
      <c r="D134" s="139">
        <f t="shared" si="18"/>
        <v>7.0708606800000009</v>
      </c>
      <c r="E134" s="139">
        <f t="shared" si="19"/>
        <v>34761.904761904763</v>
      </c>
      <c r="F134" s="140">
        <f t="shared" si="20"/>
        <v>1042.8571428571429</v>
      </c>
      <c r="G134" s="1284"/>
    </row>
    <row r="135" spans="1:7">
      <c r="A135" s="892" t="s">
        <v>329</v>
      </c>
      <c r="B135" s="143" t="s">
        <v>330</v>
      </c>
      <c r="C135" s="145">
        <f t="shared" si="17"/>
        <v>5</v>
      </c>
      <c r="D135" s="139">
        <f t="shared" si="18"/>
        <v>7.5953840000000009E-2</v>
      </c>
      <c r="E135" s="139">
        <f t="shared" si="19"/>
        <v>5.8493589743589736</v>
      </c>
      <c r="F135" s="140">
        <f t="shared" si="20"/>
        <v>0.17548076923076919</v>
      </c>
      <c r="G135" s="1284"/>
    </row>
    <row r="136" spans="1:7">
      <c r="A136" s="892" t="s">
        <v>331</v>
      </c>
      <c r="B136" s="143" t="s">
        <v>332</v>
      </c>
      <c r="C136" s="145">
        <f t="shared" si="17"/>
        <v>1.1877804862349743</v>
      </c>
      <c r="D136" s="139">
        <f t="shared" si="18"/>
        <v>8.4587965494296632E-2</v>
      </c>
      <c r="E136" s="139">
        <f t="shared" si="19"/>
        <v>15.943905409395809</v>
      </c>
      <c r="F136" s="140">
        <f t="shared" si="20"/>
        <v>0.47831716228187426</v>
      </c>
      <c r="G136" s="1284"/>
    </row>
    <row r="137" spans="1:7">
      <c r="A137" s="892" t="s">
        <v>333</v>
      </c>
      <c r="B137" s="143" t="s">
        <v>334</v>
      </c>
      <c r="C137" s="145">
        <f t="shared" si="17"/>
        <v>1</v>
      </c>
      <c r="D137" s="139">
        <f t="shared" si="18"/>
        <v>0.26511205534000004</v>
      </c>
      <c r="E137" s="139" t="str">
        <f t="shared" si="19"/>
        <v>--</v>
      </c>
      <c r="F137" s="140" t="str">
        <f t="shared" si="20"/>
        <v>--</v>
      </c>
      <c r="G137" s="1284"/>
    </row>
    <row r="138" spans="1:7">
      <c r="A138" s="892" t="s">
        <v>335</v>
      </c>
      <c r="B138" s="143" t="s">
        <v>336</v>
      </c>
      <c r="C138" s="145">
        <f t="shared" si="17"/>
        <v>0.28999999999999998</v>
      </c>
      <c r="D138" s="139">
        <f t="shared" si="18"/>
        <v>1.8346020078E-2</v>
      </c>
      <c r="E138" s="139">
        <f t="shared" si="19"/>
        <v>10</v>
      </c>
      <c r="F138" s="140">
        <f t="shared" si="20"/>
        <v>0.3</v>
      </c>
      <c r="G138" s="1284"/>
    </row>
    <row r="139" spans="1:7">
      <c r="A139" s="892" t="s">
        <v>337</v>
      </c>
      <c r="B139" s="143" t="s">
        <v>338</v>
      </c>
      <c r="C139" s="145">
        <f t="shared" si="17"/>
        <v>5.0000000000000001E-3</v>
      </c>
      <c r="D139" s="139">
        <f t="shared" si="18"/>
        <v>1.0675900499999999E-4</v>
      </c>
      <c r="E139" s="139">
        <f t="shared" si="19"/>
        <v>10.428571428571429</v>
      </c>
      <c r="F139" s="140">
        <f t="shared" si="20"/>
        <v>0.31285714285714283</v>
      </c>
      <c r="G139" s="1284"/>
    </row>
    <row r="140" spans="1:7">
      <c r="A140" s="892" t="s">
        <v>339</v>
      </c>
      <c r="B140" s="143" t="s">
        <v>340</v>
      </c>
      <c r="C140" s="145">
        <f t="shared" si="17"/>
        <v>19</v>
      </c>
      <c r="D140" s="139">
        <f t="shared" si="18"/>
        <v>18</v>
      </c>
      <c r="E140" s="139" t="str">
        <f t="shared" si="19"/>
        <v>--</v>
      </c>
      <c r="F140" s="140" t="str">
        <f t="shared" si="20"/>
        <v>--</v>
      </c>
      <c r="G140" s="1284"/>
    </row>
    <row r="141" spans="1:7">
      <c r="A141" s="892" t="s">
        <v>341</v>
      </c>
      <c r="B141" s="143" t="s">
        <v>342</v>
      </c>
      <c r="C141" s="145">
        <f t="shared" si="17"/>
        <v>8.3177281019007829E-3</v>
      </c>
      <c r="D141" s="139">
        <f t="shared" si="18"/>
        <v>1.4652657879868631E-3</v>
      </c>
      <c r="E141" s="139">
        <f t="shared" si="19"/>
        <v>0.31511698178364844</v>
      </c>
      <c r="F141" s="140">
        <f t="shared" si="20"/>
        <v>9.4535094535094528E-3</v>
      </c>
      <c r="G141" s="1284"/>
    </row>
    <row r="142" spans="1:7">
      <c r="A142" s="892" t="s">
        <v>343</v>
      </c>
      <c r="B142" s="143" t="s">
        <v>344</v>
      </c>
      <c r="C142" s="145">
        <f t="shared" si="17"/>
        <v>20</v>
      </c>
      <c r="D142" s="139">
        <f t="shared" si="18"/>
        <v>2.0942761999999999</v>
      </c>
      <c r="E142" s="139">
        <f t="shared" si="19"/>
        <v>3476.1904761904766</v>
      </c>
      <c r="F142" s="140">
        <f t="shared" si="20"/>
        <v>104.28571428571429</v>
      </c>
      <c r="G142" s="1284"/>
    </row>
    <row r="143" spans="1:7" ht="13.5" thickBot="1">
      <c r="A143" s="892" t="s">
        <v>345</v>
      </c>
      <c r="B143" s="143" t="s">
        <v>346</v>
      </c>
      <c r="C143" s="145">
        <f t="shared" si="17"/>
        <v>20</v>
      </c>
      <c r="D143" s="139">
        <f t="shared" si="18"/>
        <v>340</v>
      </c>
      <c r="E143" s="139" t="str">
        <f t="shared" si="19"/>
        <v>--</v>
      </c>
      <c r="F143" s="140" t="str">
        <f t="shared" si="20"/>
        <v>--</v>
      </c>
      <c r="G143" s="1284"/>
    </row>
    <row r="144" spans="1:7" ht="13.5" thickTop="1">
      <c r="A144" s="1120" t="s">
        <v>347</v>
      </c>
      <c r="B144" s="1121"/>
      <c r="C144" s="1121"/>
      <c r="D144" s="1121"/>
      <c r="E144" s="1121"/>
      <c r="F144" s="1122"/>
    </row>
    <row r="145" spans="1:6" ht="41.25" customHeight="1">
      <c r="A145" s="2165" t="s">
        <v>4285</v>
      </c>
      <c r="B145" s="2166"/>
      <c r="C145" s="2166"/>
      <c r="D145" s="2166"/>
      <c r="E145" s="2166"/>
      <c r="F145" s="2167"/>
    </row>
    <row r="146" spans="1:6" ht="94.9" customHeight="1">
      <c r="A146" s="2162" t="s">
        <v>4284</v>
      </c>
      <c r="B146" s="2163"/>
      <c r="C146" s="2163"/>
      <c r="D146" s="2163"/>
      <c r="E146" s="2163"/>
      <c r="F146" s="2164"/>
    </row>
    <row r="147" spans="1:6">
      <c r="A147" s="2162" t="s">
        <v>4283</v>
      </c>
      <c r="B147" s="2174"/>
      <c r="C147" s="2174"/>
      <c r="D147" s="2174"/>
      <c r="E147" s="2174"/>
      <c r="F147" s="2175"/>
    </row>
    <row r="148" spans="1:6" ht="6.75" customHeight="1">
      <c r="A148" s="2097"/>
      <c r="B148" s="2098"/>
      <c r="C148" s="2098"/>
      <c r="D148" s="2098"/>
      <c r="E148" s="2098"/>
      <c r="F148" s="2099"/>
    </row>
    <row r="149" spans="1:6" ht="27" customHeight="1">
      <c r="A149" s="2176" t="s">
        <v>4263</v>
      </c>
      <c r="B149" s="2177"/>
      <c r="C149" s="2177"/>
      <c r="D149" s="2177"/>
      <c r="E149" s="2177"/>
      <c r="F149" s="2178"/>
    </row>
    <row r="150" spans="1:6">
      <c r="A150" s="1117" t="s">
        <v>348</v>
      </c>
      <c r="F150" s="1118"/>
    </row>
    <row r="151" spans="1:6">
      <c r="A151" s="1119" t="s">
        <v>349</v>
      </c>
      <c r="F151" s="1118"/>
    </row>
    <row r="152" spans="1:6">
      <c r="A152" s="1119" t="s">
        <v>350</v>
      </c>
      <c r="F152" s="1118"/>
    </row>
    <row r="153" spans="1:6">
      <c r="A153" s="1119" t="s">
        <v>351</v>
      </c>
      <c r="F153" s="1118"/>
    </row>
    <row r="154" spans="1:6" ht="25.5" customHeight="1">
      <c r="A154" s="2171" t="s">
        <v>352</v>
      </c>
      <c r="B154" s="2172"/>
      <c r="C154" s="2172"/>
      <c r="D154" s="2172"/>
      <c r="E154" s="2172"/>
      <c r="F154" s="2173"/>
    </row>
    <row r="155" spans="1:6">
      <c r="A155" s="1119" t="s">
        <v>353</v>
      </c>
      <c r="F155" s="1118"/>
    </row>
    <row r="156" spans="1:6">
      <c r="A156" s="1119" t="s">
        <v>354</v>
      </c>
      <c r="F156" s="1118"/>
    </row>
    <row r="157" spans="1:6" ht="12.75" customHeight="1" thickBot="1">
      <c r="A157" s="2153" t="s">
        <v>355</v>
      </c>
      <c r="B157" s="2154"/>
      <c r="C157" s="2154"/>
      <c r="D157" s="2154"/>
      <c r="E157" s="2154"/>
      <c r="F157" s="2155"/>
    </row>
    <row r="158" spans="1:6" ht="13.5" thickTop="1"/>
  </sheetData>
  <sheetProtection algorithmName="SHA-512" hashValue="ZAJDDiRygX/EURZP2u53oMHJXwUSpWalddL/PwCNnJ/LsIX86UO8hfg9RseA7G/7/6QSWfz47jmk/PPjB87VBg==" saltValue="YbSKiAwkoEyoFrOXUVLA0w==" spinCount="100000" sheet="1" sort="0" autoFilter="0"/>
  <autoFilter ref="A8:B147" xr:uid="{00000000-0009-0000-0000-000003000000}"/>
  <mergeCells count="9">
    <mergeCell ref="A157:F157"/>
    <mergeCell ref="A5:F5"/>
    <mergeCell ref="A7:F7"/>
    <mergeCell ref="A146:F146"/>
    <mergeCell ref="A145:F145"/>
    <mergeCell ref="A6:F6"/>
    <mergeCell ref="A154:F154"/>
    <mergeCell ref="A147:F147"/>
    <mergeCell ref="A149:F149"/>
  </mergeCells>
  <phoneticPr fontId="5" type="noConversion"/>
  <pageMargins left="0.7" right="0.7" top="0.75" bottom="0.75" header="0.3" footer="0.3"/>
  <pageSetup scale="67" fitToHeight="0" orientation="portrait" r:id="rId1"/>
  <headerFooter>
    <oddFooter>&amp;C&amp;"Arial,Bold"&amp;P of &amp;N&amp;R&amp;"Arial,Bold"&amp;A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9" tint="0.59999389629810485"/>
    <pageSetUpPr fitToPage="1"/>
  </sheetPr>
  <dimension ref="A1:U175"/>
  <sheetViews>
    <sheetView showGridLines="0" zoomScale="120" zoomScaleNormal="120" workbookViewId="0">
      <pane xSplit="2" ySplit="5" topLeftCell="C6" activePane="bottomRight" state="frozen"/>
      <selection pane="topRight" activeCell="C1" sqref="C1"/>
      <selection pane="bottomLeft" activeCell="A7" sqref="A7"/>
      <selection pane="bottomRight" activeCell="A3" sqref="A3:B3"/>
    </sheetView>
  </sheetViews>
  <sheetFormatPr defaultColWidth="9.140625" defaultRowHeight="11.25"/>
  <cols>
    <col min="1" max="1" width="39.28515625" style="3" customWidth="1"/>
    <col min="2" max="2" width="9.28515625" style="3" bestFit="1" customWidth="1"/>
    <col min="3" max="6" width="8.42578125" style="16" customWidth="1"/>
    <col min="7" max="7" width="9.5703125" style="16" customWidth="1"/>
    <col min="8" max="8" width="10.5703125" style="16" customWidth="1"/>
    <col min="9" max="9" width="22.85546875" style="10" bestFit="1" customWidth="1"/>
    <col min="10" max="10" width="9.85546875" style="11" bestFit="1" customWidth="1"/>
    <col min="11" max="15" width="8.42578125" style="16" customWidth="1"/>
    <col min="16" max="16" width="23.28515625" style="10" customWidth="1"/>
    <col min="17" max="17" width="15.140625" style="10" customWidth="1"/>
    <col min="18" max="18" width="13.7109375" style="10" customWidth="1"/>
    <col min="19" max="16384" width="9.140625" style="3"/>
  </cols>
  <sheetData>
    <row r="1" spans="1:18" hidden="1">
      <c r="A1" s="3" t="s">
        <v>1573</v>
      </c>
      <c r="C1" s="16" t="s">
        <v>1542</v>
      </c>
      <c r="D1" s="16" t="s">
        <v>1574</v>
      </c>
      <c r="E1" s="16" t="s">
        <v>1543</v>
      </c>
      <c r="F1" s="16" t="s">
        <v>1575</v>
      </c>
      <c r="G1" s="16" t="s">
        <v>1576</v>
      </c>
      <c r="H1" s="16" t="s">
        <v>1544</v>
      </c>
      <c r="I1" s="10" t="s">
        <v>1577</v>
      </c>
      <c r="J1" s="16" t="s">
        <v>1545</v>
      </c>
      <c r="K1" s="16" t="s">
        <v>1578</v>
      </c>
      <c r="L1" s="16" t="s">
        <v>1546</v>
      </c>
      <c r="M1" s="16" t="s">
        <v>1579</v>
      </c>
      <c r="N1" s="16" t="s">
        <v>1580</v>
      </c>
      <c r="O1" s="16" t="s">
        <v>1581</v>
      </c>
      <c r="P1" s="22" t="s">
        <v>1582</v>
      </c>
      <c r="Q1" s="10" t="s">
        <v>1583</v>
      </c>
    </row>
    <row r="2" spans="1:18" s="23" customFormat="1" ht="41.25" customHeight="1" thickBot="1">
      <c r="A2" s="2874" t="s">
        <v>1584</v>
      </c>
      <c r="B2" s="2874"/>
      <c r="C2" s="2874"/>
      <c r="D2" s="2874"/>
      <c r="E2" s="2874"/>
      <c r="F2" s="2874"/>
      <c r="G2" s="2874"/>
      <c r="H2" s="2874"/>
      <c r="I2" s="2874"/>
      <c r="J2" s="2874"/>
      <c r="K2" s="2874"/>
      <c r="L2" s="2874"/>
      <c r="M2" s="2874"/>
      <c r="N2" s="2874"/>
      <c r="O2" s="2874"/>
      <c r="P2" s="2874"/>
      <c r="Q2" s="2874"/>
      <c r="R2" s="2874"/>
    </row>
    <row r="3" spans="1:18" s="23" customFormat="1" ht="15.75" customHeight="1" thickTop="1" thickBot="1">
      <c r="A3" s="2883" t="str">
        <f>'Tier 1 ESL'!A6:F6</f>
        <v>2025 (Rev 4)</v>
      </c>
      <c r="B3" s="2884"/>
      <c r="C3" s="2886" t="s">
        <v>1585</v>
      </c>
      <c r="D3" s="2887"/>
      <c r="E3" s="2887"/>
      <c r="F3" s="2887"/>
      <c r="G3" s="2887"/>
      <c r="H3" s="2887"/>
      <c r="I3" s="2887"/>
      <c r="J3" s="2887"/>
      <c r="K3" s="2887"/>
      <c r="L3" s="2887"/>
      <c r="M3" s="2887"/>
      <c r="N3" s="2887"/>
      <c r="O3" s="2887"/>
      <c r="P3" s="2888"/>
      <c r="Q3" s="2877" t="s">
        <v>1586</v>
      </c>
      <c r="R3" s="2879" t="s">
        <v>379</v>
      </c>
    </row>
    <row r="4" spans="1:18" s="23" customFormat="1" ht="23.25" customHeight="1">
      <c r="A4" s="2882" t="s">
        <v>661</v>
      </c>
      <c r="B4" s="2766" t="s">
        <v>80</v>
      </c>
      <c r="C4" s="2885" t="s">
        <v>499</v>
      </c>
      <c r="D4" s="2875"/>
      <c r="E4" s="2875"/>
      <c r="F4" s="2875"/>
      <c r="G4" s="2875"/>
      <c r="H4" s="2875"/>
      <c r="I4" s="2876"/>
      <c r="J4" s="2875" t="s">
        <v>498</v>
      </c>
      <c r="K4" s="2875"/>
      <c r="L4" s="2875"/>
      <c r="M4" s="2875"/>
      <c r="N4" s="2875"/>
      <c r="O4" s="2875"/>
      <c r="P4" s="2876"/>
      <c r="Q4" s="2878"/>
      <c r="R4" s="2880"/>
    </row>
    <row r="5" spans="1:18" s="23" customFormat="1" ht="60" customHeight="1" thickBot="1">
      <c r="A5" s="2462"/>
      <c r="B5" s="2767"/>
      <c r="C5" s="1875" t="s">
        <v>1587</v>
      </c>
      <c r="D5" s="1876" t="s">
        <v>1588</v>
      </c>
      <c r="E5" s="1876" t="s">
        <v>1589</v>
      </c>
      <c r="F5" s="1876" t="s">
        <v>1590</v>
      </c>
      <c r="G5" s="1877" t="s">
        <v>1591</v>
      </c>
      <c r="H5" s="1330" t="s">
        <v>1592</v>
      </c>
      <c r="I5" s="1878" t="s">
        <v>1593</v>
      </c>
      <c r="J5" s="1879" t="s">
        <v>1587</v>
      </c>
      <c r="K5" s="1876" t="s">
        <v>1588</v>
      </c>
      <c r="L5" s="1876" t="s">
        <v>1589</v>
      </c>
      <c r="M5" s="1876" t="s">
        <v>1590</v>
      </c>
      <c r="N5" s="1877" t="s">
        <v>1591</v>
      </c>
      <c r="O5" s="1996" t="s">
        <v>1592</v>
      </c>
      <c r="P5" s="1880" t="s">
        <v>1593</v>
      </c>
      <c r="Q5" s="2587"/>
      <c r="R5" s="2881"/>
    </row>
    <row r="6" spans="1:18" ht="11.25" customHeight="1">
      <c r="A6" s="126" t="s">
        <v>391</v>
      </c>
      <c r="B6" s="486" t="s">
        <v>392</v>
      </c>
      <c r="C6" s="163" t="s">
        <v>115</v>
      </c>
      <c r="D6" s="158" t="s">
        <v>115</v>
      </c>
      <c r="E6" s="158" t="s">
        <v>115</v>
      </c>
      <c r="F6" s="158" t="s">
        <v>115</v>
      </c>
      <c r="G6" s="158" t="s">
        <v>115</v>
      </c>
      <c r="H6" s="157">
        <v>1500</v>
      </c>
      <c r="I6" s="1881" t="s">
        <v>1594</v>
      </c>
      <c r="J6" s="485" t="s">
        <v>115</v>
      </c>
      <c r="K6" s="158" t="s">
        <v>115</v>
      </c>
      <c r="L6" s="158" t="s">
        <v>115</v>
      </c>
      <c r="M6" s="158" t="s">
        <v>115</v>
      </c>
      <c r="N6" s="158" t="s">
        <v>115</v>
      </c>
      <c r="O6" s="157" t="s">
        <v>115</v>
      </c>
      <c r="P6" s="1882" t="s">
        <v>115</v>
      </c>
      <c r="Q6" s="217" t="s">
        <v>115</v>
      </c>
      <c r="R6" s="319" t="s">
        <v>115</v>
      </c>
    </row>
    <row r="7" spans="1:18" ht="11.25" customHeight="1">
      <c r="A7" s="126" t="s">
        <v>85</v>
      </c>
      <c r="B7" s="486" t="s">
        <v>86</v>
      </c>
      <c r="C7" s="163" t="s">
        <v>115</v>
      </c>
      <c r="D7" s="158" t="s">
        <v>115</v>
      </c>
      <c r="E7" s="158">
        <v>3</v>
      </c>
      <c r="F7" s="158" t="s">
        <v>115</v>
      </c>
      <c r="G7" s="158" t="s">
        <v>115</v>
      </c>
      <c r="H7" s="158" t="s">
        <v>115</v>
      </c>
      <c r="I7" s="1344" t="s">
        <v>115</v>
      </c>
      <c r="J7" s="485" t="s">
        <v>115</v>
      </c>
      <c r="K7" s="158" t="s">
        <v>115</v>
      </c>
      <c r="L7" s="158">
        <v>1.3</v>
      </c>
      <c r="M7" s="158" t="s">
        <v>115</v>
      </c>
      <c r="N7" s="158" t="s">
        <v>115</v>
      </c>
      <c r="O7" s="158" t="s">
        <v>115</v>
      </c>
      <c r="P7" s="1345" t="s">
        <v>115</v>
      </c>
      <c r="Q7" s="217" t="s">
        <v>115</v>
      </c>
      <c r="R7" s="319" t="s">
        <v>115</v>
      </c>
    </row>
    <row r="8" spans="1:18" ht="11.25" customHeight="1">
      <c r="A8" s="126" t="s">
        <v>87</v>
      </c>
      <c r="B8" s="486" t="s">
        <v>88</v>
      </c>
      <c r="C8" s="163">
        <v>30</v>
      </c>
      <c r="D8" s="158" t="s">
        <v>115</v>
      </c>
      <c r="E8" s="158">
        <v>88</v>
      </c>
      <c r="F8" s="158" t="s">
        <v>115</v>
      </c>
      <c r="G8" s="158" t="s">
        <v>115</v>
      </c>
      <c r="H8" s="158" t="s">
        <v>115</v>
      </c>
      <c r="I8" s="1344" t="s">
        <v>115</v>
      </c>
      <c r="J8" s="485">
        <v>500</v>
      </c>
      <c r="K8" s="158" t="s">
        <v>115</v>
      </c>
      <c r="L8" s="158">
        <v>1500</v>
      </c>
      <c r="M8" s="158" t="s">
        <v>115</v>
      </c>
      <c r="N8" s="158" t="s">
        <v>115</v>
      </c>
      <c r="O8" s="158" t="s">
        <v>115</v>
      </c>
      <c r="P8" s="1345" t="s">
        <v>115</v>
      </c>
      <c r="Q8" s="217" t="s">
        <v>115</v>
      </c>
      <c r="R8" s="319" t="s">
        <v>115</v>
      </c>
    </row>
    <row r="9" spans="1:18" ht="11.25" customHeight="1">
      <c r="A9" s="126" t="s">
        <v>89</v>
      </c>
      <c r="B9" s="486" t="s">
        <v>90</v>
      </c>
      <c r="C9" s="163">
        <v>150</v>
      </c>
      <c r="D9" s="158" t="s">
        <v>115</v>
      </c>
      <c r="E9" s="158">
        <v>340</v>
      </c>
      <c r="F9" s="158" t="s">
        <v>115</v>
      </c>
      <c r="G9" s="158">
        <v>190</v>
      </c>
      <c r="H9" s="158" t="s">
        <v>115</v>
      </c>
      <c r="I9" s="1344" t="s">
        <v>115</v>
      </c>
      <c r="J9" s="485">
        <v>36</v>
      </c>
      <c r="K9" s="158" t="s">
        <v>115</v>
      </c>
      <c r="L9" s="158">
        <v>69</v>
      </c>
      <c r="M9" s="158" t="s">
        <v>115</v>
      </c>
      <c r="N9" s="158">
        <v>36</v>
      </c>
      <c r="O9" s="158" t="s">
        <v>115</v>
      </c>
      <c r="P9" s="1345" t="s">
        <v>115</v>
      </c>
      <c r="Q9" s="217" t="s">
        <v>115</v>
      </c>
      <c r="R9" s="319" t="s">
        <v>115</v>
      </c>
    </row>
    <row r="10" spans="1:18" ht="11.25" customHeight="1">
      <c r="A10" s="126" t="s">
        <v>91</v>
      </c>
      <c r="B10" s="486" t="s">
        <v>92</v>
      </c>
      <c r="C10" s="163" t="s">
        <v>115</v>
      </c>
      <c r="D10" s="158" t="s">
        <v>115</v>
      </c>
      <c r="E10" s="158" t="s">
        <v>115</v>
      </c>
      <c r="F10" s="158" t="s">
        <v>115</v>
      </c>
      <c r="G10" s="158" t="s">
        <v>115</v>
      </c>
      <c r="H10" s="158" t="s">
        <v>115</v>
      </c>
      <c r="I10" s="1344" t="s">
        <v>115</v>
      </c>
      <c r="J10" s="485" t="s">
        <v>115</v>
      </c>
      <c r="K10" s="158" t="s">
        <v>115</v>
      </c>
      <c r="L10" s="158" t="s">
        <v>115</v>
      </c>
      <c r="M10" s="158" t="s">
        <v>115</v>
      </c>
      <c r="N10" s="158" t="s">
        <v>115</v>
      </c>
      <c r="O10" s="158" t="s">
        <v>115</v>
      </c>
      <c r="P10" s="1345" t="s">
        <v>115</v>
      </c>
      <c r="Q10" s="217" t="s">
        <v>115</v>
      </c>
      <c r="R10" s="319" t="s">
        <v>115</v>
      </c>
    </row>
    <row r="11" spans="1:18" ht="11.25" customHeight="1">
      <c r="A11" s="126" t="s">
        <v>93</v>
      </c>
      <c r="B11" s="486" t="s">
        <v>94</v>
      </c>
      <c r="C11" s="163" t="s">
        <v>115</v>
      </c>
      <c r="D11" s="158" t="s">
        <v>115</v>
      </c>
      <c r="E11" s="158" t="s">
        <v>115</v>
      </c>
      <c r="F11" s="158">
        <v>5300</v>
      </c>
      <c r="G11" s="158">
        <v>46</v>
      </c>
      <c r="H11" s="158" t="s">
        <v>115</v>
      </c>
      <c r="I11" s="1344" t="s">
        <v>115</v>
      </c>
      <c r="J11" s="485" t="s">
        <v>115</v>
      </c>
      <c r="K11" s="158">
        <v>700</v>
      </c>
      <c r="L11" s="158" t="s">
        <v>115</v>
      </c>
      <c r="M11" s="158">
        <v>5100</v>
      </c>
      <c r="N11" s="158" t="s">
        <v>115</v>
      </c>
      <c r="O11" s="158" t="s">
        <v>115</v>
      </c>
      <c r="P11" s="1345" t="s">
        <v>115</v>
      </c>
      <c r="Q11" s="217" t="s">
        <v>115</v>
      </c>
      <c r="R11" s="319" t="s">
        <v>115</v>
      </c>
    </row>
    <row r="12" spans="1:18" ht="11.25" customHeight="1">
      <c r="A12" s="126" t="s">
        <v>95</v>
      </c>
      <c r="B12" s="486" t="s">
        <v>96</v>
      </c>
      <c r="C12" s="163" t="s">
        <v>115</v>
      </c>
      <c r="D12" s="158">
        <v>5.3</v>
      </c>
      <c r="E12" s="158" t="s">
        <v>115</v>
      </c>
      <c r="F12" s="158">
        <v>130</v>
      </c>
      <c r="G12" s="158">
        <v>5.0999999999999996</v>
      </c>
      <c r="H12" s="158" t="s">
        <v>115</v>
      </c>
      <c r="I12" s="1344" t="s">
        <v>115</v>
      </c>
      <c r="J12" s="485" t="s">
        <v>115</v>
      </c>
      <c r="K12" s="158" t="s">
        <v>115</v>
      </c>
      <c r="L12" s="158" t="s">
        <v>115</v>
      </c>
      <c r="M12" s="158" t="s">
        <v>115</v>
      </c>
      <c r="N12" s="158" t="s">
        <v>115</v>
      </c>
      <c r="O12" s="158" t="s">
        <v>115</v>
      </c>
      <c r="P12" s="1345" t="s">
        <v>115</v>
      </c>
      <c r="Q12" s="217" t="s">
        <v>115</v>
      </c>
      <c r="R12" s="319" t="s">
        <v>115</v>
      </c>
    </row>
    <row r="13" spans="1:18" ht="11.25" customHeight="1">
      <c r="A13" s="126" t="s">
        <v>97</v>
      </c>
      <c r="B13" s="486" t="s">
        <v>98</v>
      </c>
      <c r="C13" s="163" t="s">
        <v>115</v>
      </c>
      <c r="D13" s="158" t="s">
        <v>115</v>
      </c>
      <c r="E13" s="158" t="s">
        <v>115</v>
      </c>
      <c r="F13" s="158" t="s">
        <v>115</v>
      </c>
      <c r="G13" s="158">
        <v>14</v>
      </c>
      <c r="H13" s="158" t="s">
        <v>115</v>
      </c>
      <c r="I13" s="1344" t="s">
        <v>115</v>
      </c>
      <c r="J13" s="485" t="s">
        <v>115</v>
      </c>
      <c r="K13" s="158" t="s">
        <v>115</v>
      </c>
      <c r="L13" s="158" t="s">
        <v>115</v>
      </c>
      <c r="M13" s="158" t="s">
        <v>115</v>
      </c>
      <c r="N13" s="158" t="s">
        <v>115</v>
      </c>
      <c r="O13" s="158" t="s">
        <v>115</v>
      </c>
      <c r="P13" s="1345" t="s">
        <v>115</v>
      </c>
      <c r="Q13" s="217" t="s">
        <v>115</v>
      </c>
      <c r="R13" s="319" t="s">
        <v>115</v>
      </c>
    </row>
    <row r="14" spans="1:18" ht="11.25" customHeight="1">
      <c r="A14" s="126" t="s">
        <v>99</v>
      </c>
      <c r="B14" s="486" t="s">
        <v>100</v>
      </c>
      <c r="C14" s="163" t="s">
        <v>115</v>
      </c>
      <c r="D14" s="158">
        <v>122</v>
      </c>
      <c r="E14" s="158" t="s">
        <v>115</v>
      </c>
      <c r="F14" s="158">
        <v>238000</v>
      </c>
      <c r="G14" s="158" t="s">
        <v>115</v>
      </c>
      <c r="H14" s="158" t="s">
        <v>115</v>
      </c>
      <c r="I14" s="1344" t="s">
        <v>115</v>
      </c>
      <c r="J14" s="485" t="s">
        <v>115</v>
      </c>
      <c r="K14" s="158" t="s">
        <v>115</v>
      </c>
      <c r="L14" s="158" t="s">
        <v>115</v>
      </c>
      <c r="M14" s="158" t="s">
        <v>115</v>
      </c>
      <c r="N14" s="158" t="s">
        <v>115</v>
      </c>
      <c r="O14" s="158" t="s">
        <v>115</v>
      </c>
      <c r="P14" s="1345" t="s">
        <v>115</v>
      </c>
      <c r="Q14" s="217" t="s">
        <v>115</v>
      </c>
      <c r="R14" s="319" t="s">
        <v>115</v>
      </c>
    </row>
    <row r="15" spans="1:18" ht="11.25" customHeight="1">
      <c r="A15" s="136" t="s">
        <v>101</v>
      </c>
      <c r="B15" s="486" t="s">
        <v>102</v>
      </c>
      <c r="C15" s="163" t="s">
        <v>115</v>
      </c>
      <c r="D15" s="158">
        <v>122</v>
      </c>
      <c r="E15" s="158" t="s">
        <v>115</v>
      </c>
      <c r="F15" s="158">
        <v>238000</v>
      </c>
      <c r="G15" s="158" t="s">
        <v>115</v>
      </c>
      <c r="H15" s="158" t="s">
        <v>115</v>
      </c>
      <c r="I15" s="1344" t="s">
        <v>115</v>
      </c>
      <c r="J15" s="485" t="s">
        <v>115</v>
      </c>
      <c r="K15" s="158" t="s">
        <v>115</v>
      </c>
      <c r="L15" s="158" t="s">
        <v>115</v>
      </c>
      <c r="M15" s="158" t="s">
        <v>115</v>
      </c>
      <c r="N15" s="158" t="s">
        <v>115</v>
      </c>
      <c r="O15" s="158" t="s">
        <v>115</v>
      </c>
      <c r="P15" s="1345" t="s">
        <v>115</v>
      </c>
      <c r="Q15" s="217" t="s">
        <v>115</v>
      </c>
      <c r="R15" s="319" t="s">
        <v>115</v>
      </c>
    </row>
    <row r="16" spans="1:18" ht="11.25" customHeight="1">
      <c r="A16" s="126" t="s">
        <v>103</v>
      </c>
      <c r="B16" s="486" t="s">
        <v>104</v>
      </c>
      <c r="C16" s="163" t="s">
        <v>115</v>
      </c>
      <c r="D16" s="158" t="s">
        <v>115</v>
      </c>
      <c r="E16" s="158" t="s">
        <v>115</v>
      </c>
      <c r="F16" s="158" t="s">
        <v>115</v>
      </c>
      <c r="G16" s="158">
        <v>32</v>
      </c>
      <c r="H16" s="158" t="s">
        <v>115</v>
      </c>
      <c r="I16" s="1344" t="s">
        <v>115</v>
      </c>
      <c r="J16" s="485" t="s">
        <v>115</v>
      </c>
      <c r="K16" s="158" t="s">
        <v>115</v>
      </c>
      <c r="L16" s="158" t="s">
        <v>115</v>
      </c>
      <c r="M16" s="158" t="s">
        <v>115</v>
      </c>
      <c r="N16" s="158" t="s">
        <v>115</v>
      </c>
      <c r="O16" s="158" t="s">
        <v>115</v>
      </c>
      <c r="P16" s="1345" t="s">
        <v>115</v>
      </c>
      <c r="Q16" s="217" t="s">
        <v>115</v>
      </c>
      <c r="R16" s="319" t="s">
        <v>115</v>
      </c>
    </row>
    <row r="17" spans="1:18" ht="11.25" customHeight="1">
      <c r="A17" s="126" t="s">
        <v>105</v>
      </c>
      <c r="B17" s="486" t="s">
        <v>106</v>
      </c>
      <c r="C17" s="163" t="s">
        <v>115</v>
      </c>
      <c r="D17" s="158" t="s">
        <v>115</v>
      </c>
      <c r="E17" s="158" t="s">
        <v>115</v>
      </c>
      <c r="F17" s="158" t="s">
        <v>115</v>
      </c>
      <c r="G17" s="158" t="s">
        <v>115</v>
      </c>
      <c r="H17" s="158">
        <v>1.6</v>
      </c>
      <c r="I17" s="165" t="s">
        <v>1594</v>
      </c>
      <c r="J17" s="485" t="s">
        <v>115</v>
      </c>
      <c r="K17" s="158" t="s">
        <v>115</v>
      </c>
      <c r="L17" s="158" t="s">
        <v>115</v>
      </c>
      <c r="M17" s="158" t="s">
        <v>115</v>
      </c>
      <c r="N17" s="158" t="s">
        <v>115</v>
      </c>
      <c r="O17" s="158" t="s">
        <v>115</v>
      </c>
      <c r="P17" s="1345" t="s">
        <v>115</v>
      </c>
      <c r="Q17" s="217" t="s">
        <v>115</v>
      </c>
      <c r="R17" s="319" t="s">
        <v>115</v>
      </c>
    </row>
    <row r="18" spans="1:18" ht="11.25" customHeight="1">
      <c r="A18" s="126" t="s">
        <v>107</v>
      </c>
      <c r="B18" s="486" t="s">
        <v>108</v>
      </c>
      <c r="C18" s="163" t="s">
        <v>115</v>
      </c>
      <c r="D18" s="158" t="s">
        <v>115</v>
      </c>
      <c r="E18" s="158" t="s">
        <v>115</v>
      </c>
      <c r="F18" s="158">
        <v>11000</v>
      </c>
      <c r="G18" s="158" t="s">
        <v>115</v>
      </c>
      <c r="H18" s="158" t="s">
        <v>115</v>
      </c>
      <c r="I18" s="1344" t="s">
        <v>115</v>
      </c>
      <c r="J18" s="485" t="s">
        <v>115</v>
      </c>
      <c r="K18" s="158">
        <v>6400</v>
      </c>
      <c r="L18" s="158" t="s">
        <v>115</v>
      </c>
      <c r="M18" s="158">
        <v>12000</v>
      </c>
      <c r="N18" s="158" t="s">
        <v>115</v>
      </c>
      <c r="O18" s="158" t="s">
        <v>115</v>
      </c>
      <c r="P18" s="1345" t="s">
        <v>115</v>
      </c>
      <c r="Q18" s="217" t="s">
        <v>115</v>
      </c>
      <c r="R18" s="319" t="s">
        <v>115</v>
      </c>
    </row>
    <row r="19" spans="1:18" ht="11.25" customHeight="1">
      <c r="A19" s="126" t="s">
        <v>109</v>
      </c>
      <c r="B19" s="486" t="s">
        <v>110</v>
      </c>
      <c r="C19" s="163" t="s">
        <v>115</v>
      </c>
      <c r="D19" s="158" t="s">
        <v>115</v>
      </c>
      <c r="E19" s="158" t="s">
        <v>115</v>
      </c>
      <c r="F19" s="158">
        <v>11000</v>
      </c>
      <c r="G19" s="158" t="s">
        <v>115</v>
      </c>
      <c r="H19" s="158" t="s">
        <v>115</v>
      </c>
      <c r="I19" s="1344" t="s">
        <v>115</v>
      </c>
      <c r="J19" s="485" t="s">
        <v>115</v>
      </c>
      <c r="K19" s="158">
        <v>6400</v>
      </c>
      <c r="L19" s="158" t="s">
        <v>115</v>
      </c>
      <c r="M19" s="158">
        <v>12000</v>
      </c>
      <c r="N19" s="158" t="s">
        <v>115</v>
      </c>
      <c r="O19" s="158" t="s">
        <v>115</v>
      </c>
      <c r="P19" s="1345" t="s">
        <v>115</v>
      </c>
      <c r="Q19" s="217" t="s">
        <v>115</v>
      </c>
      <c r="R19" s="319" t="s">
        <v>115</v>
      </c>
    </row>
    <row r="20" spans="1:18" ht="11.25" customHeight="1">
      <c r="A20" s="126" t="s">
        <v>111</v>
      </c>
      <c r="B20" s="486" t="s">
        <v>112</v>
      </c>
      <c r="C20" s="163" t="s">
        <v>115</v>
      </c>
      <c r="D20" s="158" t="s">
        <v>115</v>
      </c>
      <c r="E20" s="158" t="s">
        <v>115</v>
      </c>
      <c r="F20" s="158">
        <v>11000</v>
      </c>
      <c r="G20" s="158" t="s">
        <v>115</v>
      </c>
      <c r="H20" s="158">
        <v>160</v>
      </c>
      <c r="I20" s="165" t="s">
        <v>1595</v>
      </c>
      <c r="J20" s="485" t="s">
        <v>115</v>
      </c>
      <c r="K20" s="158">
        <v>6400</v>
      </c>
      <c r="L20" s="158" t="s">
        <v>115</v>
      </c>
      <c r="M20" s="158">
        <v>12000</v>
      </c>
      <c r="N20" s="158" t="s">
        <v>115</v>
      </c>
      <c r="O20" s="158" t="s">
        <v>115</v>
      </c>
      <c r="P20" s="1345" t="s">
        <v>115</v>
      </c>
      <c r="Q20" s="217" t="s">
        <v>115</v>
      </c>
      <c r="R20" s="319" t="s">
        <v>115</v>
      </c>
    </row>
    <row r="21" spans="1:18" ht="11.25" customHeight="1">
      <c r="A21" s="126" t="s">
        <v>113</v>
      </c>
      <c r="B21" s="486" t="s">
        <v>114</v>
      </c>
      <c r="C21" s="178" t="s">
        <v>115</v>
      </c>
      <c r="D21" s="158" t="s">
        <v>115</v>
      </c>
      <c r="E21" s="171" t="s">
        <v>115</v>
      </c>
      <c r="F21" s="158" t="s">
        <v>115</v>
      </c>
      <c r="G21" s="171" t="s">
        <v>115</v>
      </c>
      <c r="H21" s="158" t="s">
        <v>115</v>
      </c>
      <c r="I21" s="1344" t="s">
        <v>115</v>
      </c>
      <c r="J21" s="687" t="s">
        <v>115</v>
      </c>
      <c r="K21" s="158" t="s">
        <v>115</v>
      </c>
      <c r="L21" s="171" t="s">
        <v>115</v>
      </c>
      <c r="M21" s="158" t="s">
        <v>115</v>
      </c>
      <c r="N21" s="171" t="s">
        <v>115</v>
      </c>
      <c r="O21" s="158" t="s">
        <v>115</v>
      </c>
      <c r="P21" s="1345" t="s">
        <v>115</v>
      </c>
      <c r="Q21" s="217" t="s">
        <v>115</v>
      </c>
      <c r="R21" s="319" t="s">
        <v>115</v>
      </c>
    </row>
    <row r="22" spans="1:18" ht="11.25" customHeight="1">
      <c r="A22" s="126" t="s">
        <v>116</v>
      </c>
      <c r="B22" s="486" t="s">
        <v>114</v>
      </c>
      <c r="C22" s="163">
        <v>0.25</v>
      </c>
      <c r="D22" s="158" t="s">
        <v>115</v>
      </c>
      <c r="E22" s="158">
        <v>2</v>
      </c>
      <c r="F22" s="158" t="s">
        <v>115</v>
      </c>
      <c r="G22" s="158">
        <v>1</v>
      </c>
      <c r="H22" s="158" t="s">
        <v>115</v>
      </c>
      <c r="I22" s="1344" t="s">
        <v>115</v>
      </c>
      <c r="J22" s="485">
        <v>7.9</v>
      </c>
      <c r="K22" s="158" t="s">
        <v>115</v>
      </c>
      <c r="L22" s="158">
        <v>33</v>
      </c>
      <c r="M22" s="158" t="s">
        <v>115</v>
      </c>
      <c r="N22" s="158">
        <v>9.3000000000000007</v>
      </c>
      <c r="O22" s="158" t="s">
        <v>115</v>
      </c>
      <c r="P22" s="1345" t="s">
        <v>115</v>
      </c>
      <c r="Q22" s="217" t="s">
        <v>115</v>
      </c>
      <c r="R22" s="319" t="s">
        <v>115</v>
      </c>
    </row>
    <row r="23" spans="1:18" ht="11.25" customHeight="1">
      <c r="A23" s="126" t="s">
        <v>117</v>
      </c>
      <c r="B23" s="486" t="s">
        <v>118</v>
      </c>
      <c r="C23" s="163" t="s">
        <v>115</v>
      </c>
      <c r="D23" s="158" t="s">
        <v>115</v>
      </c>
      <c r="E23" s="158" t="s">
        <v>115</v>
      </c>
      <c r="F23" s="158">
        <v>35200</v>
      </c>
      <c r="G23" s="158">
        <v>240</v>
      </c>
      <c r="H23" s="158">
        <v>9.8000000000000007</v>
      </c>
      <c r="I23" s="165" t="s">
        <v>1594</v>
      </c>
      <c r="J23" s="485" t="s">
        <v>115</v>
      </c>
      <c r="K23" s="158">
        <v>6400</v>
      </c>
      <c r="L23" s="158" t="s">
        <v>115</v>
      </c>
      <c r="M23" s="158">
        <v>50000</v>
      </c>
      <c r="N23" s="158" t="s">
        <v>115</v>
      </c>
      <c r="O23" s="158" t="s">
        <v>115</v>
      </c>
      <c r="P23" s="1345" t="s">
        <v>115</v>
      </c>
      <c r="Q23" s="217" t="s">
        <v>115</v>
      </c>
      <c r="R23" s="319" t="s">
        <v>115</v>
      </c>
    </row>
    <row r="24" spans="1:18" ht="11.25" customHeight="1">
      <c r="A24" s="126" t="s">
        <v>119</v>
      </c>
      <c r="B24" s="486" t="s">
        <v>120</v>
      </c>
      <c r="C24" s="163">
        <v>4.3E-3</v>
      </c>
      <c r="D24" s="158" t="s">
        <v>115</v>
      </c>
      <c r="E24" s="158">
        <v>2.4</v>
      </c>
      <c r="F24" s="158" t="s">
        <v>115</v>
      </c>
      <c r="G24" s="158" t="s">
        <v>115</v>
      </c>
      <c r="H24" s="158" t="s">
        <v>115</v>
      </c>
      <c r="I24" s="1344" t="s">
        <v>115</v>
      </c>
      <c r="J24" s="485">
        <v>4.0000000000000001E-3</v>
      </c>
      <c r="K24" s="158" t="s">
        <v>115</v>
      </c>
      <c r="L24" s="158">
        <v>0.09</v>
      </c>
      <c r="M24" s="158" t="s">
        <v>115</v>
      </c>
      <c r="N24" s="158" t="s">
        <v>115</v>
      </c>
      <c r="O24" s="158" t="s">
        <v>115</v>
      </c>
      <c r="P24" s="1345" t="s">
        <v>115</v>
      </c>
      <c r="Q24" s="217" t="s">
        <v>115</v>
      </c>
      <c r="R24" s="319" t="s">
        <v>115</v>
      </c>
    </row>
    <row r="25" spans="1:18" ht="11.25" customHeight="1">
      <c r="A25" s="126" t="s">
        <v>121</v>
      </c>
      <c r="B25" s="486" t="s">
        <v>122</v>
      </c>
      <c r="C25" s="163" t="s">
        <v>115</v>
      </c>
      <c r="D25" s="158" t="s">
        <v>115</v>
      </c>
      <c r="E25" s="158" t="s">
        <v>115</v>
      </c>
      <c r="F25" s="158" t="s">
        <v>115</v>
      </c>
      <c r="G25" s="158" t="s">
        <v>115</v>
      </c>
      <c r="H25" s="158">
        <v>5</v>
      </c>
      <c r="I25" s="165" t="s">
        <v>1595</v>
      </c>
      <c r="J25" s="485" t="s">
        <v>115</v>
      </c>
      <c r="K25" s="158" t="s">
        <v>115</v>
      </c>
      <c r="L25" s="158" t="s">
        <v>115</v>
      </c>
      <c r="M25" s="158" t="s">
        <v>115</v>
      </c>
      <c r="N25" s="158" t="s">
        <v>115</v>
      </c>
      <c r="O25" s="158" t="s">
        <v>115</v>
      </c>
      <c r="P25" s="1345" t="s">
        <v>115</v>
      </c>
      <c r="Q25" s="217" t="s">
        <v>115</v>
      </c>
      <c r="R25" s="319" t="s">
        <v>115</v>
      </c>
    </row>
    <row r="26" spans="1:18" ht="11.25" customHeight="1">
      <c r="A26" s="126" t="s">
        <v>123</v>
      </c>
      <c r="B26" s="486" t="s">
        <v>124</v>
      </c>
      <c r="C26" s="163" t="s">
        <v>115</v>
      </c>
      <c r="D26" s="158">
        <v>50</v>
      </c>
      <c r="E26" s="158" t="s">
        <v>115</v>
      </c>
      <c r="F26" s="158">
        <v>250</v>
      </c>
      <c r="G26" s="158">
        <v>130</v>
      </c>
      <c r="H26" s="158" t="s">
        <v>115</v>
      </c>
      <c r="I26" s="1344" t="s">
        <v>115</v>
      </c>
      <c r="J26" s="485" t="s">
        <v>115</v>
      </c>
      <c r="K26" s="158">
        <v>129</v>
      </c>
      <c r="L26" s="158" t="s">
        <v>115</v>
      </c>
      <c r="M26" s="158">
        <v>160</v>
      </c>
      <c r="N26" s="158" t="s">
        <v>115</v>
      </c>
      <c r="O26" s="158" t="s">
        <v>115</v>
      </c>
      <c r="P26" s="1345" t="s">
        <v>115</v>
      </c>
      <c r="Q26" s="217" t="s">
        <v>115</v>
      </c>
      <c r="R26" s="319" t="s">
        <v>115</v>
      </c>
    </row>
    <row r="27" spans="1:18" ht="11.25" customHeight="1">
      <c r="A27" s="126" t="s">
        <v>125</v>
      </c>
      <c r="B27" s="486" t="s">
        <v>126</v>
      </c>
      <c r="C27" s="163" t="s">
        <v>115</v>
      </c>
      <c r="D27" s="158" t="s">
        <v>115</v>
      </c>
      <c r="E27" s="158" t="s">
        <v>115</v>
      </c>
      <c r="F27" s="158" t="s">
        <v>115</v>
      </c>
      <c r="G27" s="158" t="s">
        <v>115</v>
      </c>
      <c r="H27" s="158" t="s">
        <v>115</v>
      </c>
      <c r="I27" s="1344" t="s">
        <v>115</v>
      </c>
      <c r="J27" s="485" t="s">
        <v>115</v>
      </c>
      <c r="K27" s="158" t="s">
        <v>115</v>
      </c>
      <c r="L27" s="158" t="s">
        <v>115</v>
      </c>
      <c r="M27" s="158" t="s">
        <v>115</v>
      </c>
      <c r="N27" s="158" t="s">
        <v>115</v>
      </c>
      <c r="O27" s="158" t="s">
        <v>115</v>
      </c>
      <c r="P27" s="1345" t="s">
        <v>115</v>
      </c>
      <c r="Q27" s="217" t="s">
        <v>115</v>
      </c>
      <c r="R27" s="319" t="s">
        <v>115</v>
      </c>
    </row>
    <row r="28" spans="1:18" ht="11.25" customHeight="1">
      <c r="A28" s="126" t="s">
        <v>127</v>
      </c>
      <c r="B28" s="486" t="s">
        <v>128</v>
      </c>
      <c r="C28" s="163" t="s">
        <v>115</v>
      </c>
      <c r="D28" s="158">
        <v>1240</v>
      </c>
      <c r="E28" s="158" t="s">
        <v>115</v>
      </c>
      <c r="F28" s="158">
        <v>28900</v>
      </c>
      <c r="G28" s="158" t="s">
        <v>115</v>
      </c>
      <c r="H28" s="158">
        <v>28</v>
      </c>
      <c r="I28" s="165" t="s">
        <v>1594</v>
      </c>
      <c r="J28" s="485" t="s">
        <v>115</v>
      </c>
      <c r="K28" s="158">
        <v>6400</v>
      </c>
      <c r="L28" s="158" t="s">
        <v>115</v>
      </c>
      <c r="M28" s="158">
        <v>12000</v>
      </c>
      <c r="N28" s="158" t="s">
        <v>115</v>
      </c>
      <c r="O28" s="158" t="s">
        <v>115</v>
      </c>
      <c r="P28" s="1345" t="s">
        <v>115</v>
      </c>
      <c r="Q28" s="217" t="s">
        <v>115</v>
      </c>
      <c r="R28" s="319" t="s">
        <v>115</v>
      </c>
    </row>
    <row r="29" spans="1:18" ht="11.25" customHeight="1">
      <c r="A29" s="126" t="s">
        <v>129</v>
      </c>
      <c r="B29" s="486" t="s">
        <v>130</v>
      </c>
      <c r="C29" s="163" t="s">
        <v>115</v>
      </c>
      <c r="D29" s="158" t="s">
        <v>115</v>
      </c>
      <c r="E29" s="158" t="s">
        <v>115</v>
      </c>
      <c r="F29" s="158">
        <v>11000</v>
      </c>
      <c r="G29" s="158" t="s">
        <v>115</v>
      </c>
      <c r="H29" s="158" t="s">
        <v>115</v>
      </c>
      <c r="I29" s="1344" t="s">
        <v>115</v>
      </c>
      <c r="J29" s="485" t="s">
        <v>115</v>
      </c>
      <c r="K29" s="158">
        <v>6400</v>
      </c>
      <c r="L29" s="158" t="s">
        <v>115</v>
      </c>
      <c r="M29" s="158">
        <v>12000</v>
      </c>
      <c r="N29" s="158" t="s">
        <v>115</v>
      </c>
      <c r="O29" s="158" t="s">
        <v>115</v>
      </c>
      <c r="P29" s="1345" t="s">
        <v>115</v>
      </c>
      <c r="Q29" s="217" t="s">
        <v>115</v>
      </c>
      <c r="R29" s="319" t="s">
        <v>115</v>
      </c>
    </row>
    <row r="30" spans="1:18" ht="11.25" customHeight="1">
      <c r="A30" s="126" t="s">
        <v>131</v>
      </c>
      <c r="B30" s="486" t="s">
        <v>132</v>
      </c>
      <c r="C30" s="163" t="s">
        <v>115</v>
      </c>
      <c r="D30" s="158" t="s">
        <v>115</v>
      </c>
      <c r="E30" s="158" t="s">
        <v>115</v>
      </c>
      <c r="F30" s="158">
        <v>4380</v>
      </c>
      <c r="G30" s="158" t="s">
        <v>115</v>
      </c>
      <c r="H30" s="158" t="s">
        <v>115</v>
      </c>
      <c r="I30" s="1344" t="s">
        <v>115</v>
      </c>
      <c r="J30" s="485" t="s">
        <v>115</v>
      </c>
      <c r="K30" s="158" t="s">
        <v>115</v>
      </c>
      <c r="L30" s="158" t="s">
        <v>115</v>
      </c>
      <c r="M30" s="158" t="s">
        <v>115</v>
      </c>
      <c r="N30" s="158" t="s">
        <v>115</v>
      </c>
      <c r="O30" s="158" t="s">
        <v>115</v>
      </c>
      <c r="P30" s="1345" t="s">
        <v>115</v>
      </c>
      <c r="Q30" s="217" t="s">
        <v>115</v>
      </c>
      <c r="R30" s="319" t="s">
        <v>115</v>
      </c>
    </row>
    <row r="31" spans="1:18" ht="11.25" customHeight="1">
      <c r="A31" s="126" t="s">
        <v>133</v>
      </c>
      <c r="B31" s="486" t="s">
        <v>134</v>
      </c>
      <c r="C31" s="163" t="s">
        <v>115</v>
      </c>
      <c r="D31" s="158" t="s">
        <v>115</v>
      </c>
      <c r="E31" s="158" t="s">
        <v>115</v>
      </c>
      <c r="F31" s="158" t="s">
        <v>115</v>
      </c>
      <c r="G31" s="158" t="s">
        <v>115</v>
      </c>
      <c r="H31" s="158" t="s">
        <v>115</v>
      </c>
      <c r="I31" s="1344" t="s">
        <v>115</v>
      </c>
      <c r="J31" s="485" t="s">
        <v>115</v>
      </c>
      <c r="K31" s="158" t="s">
        <v>115</v>
      </c>
      <c r="L31" s="158" t="s">
        <v>115</v>
      </c>
      <c r="M31" s="158" t="s">
        <v>115</v>
      </c>
      <c r="N31" s="158" t="s">
        <v>115</v>
      </c>
      <c r="O31" s="158" t="s">
        <v>115</v>
      </c>
      <c r="P31" s="1345" t="s">
        <v>115</v>
      </c>
      <c r="Q31" s="217" t="s">
        <v>115</v>
      </c>
      <c r="R31" s="319" t="s">
        <v>115</v>
      </c>
    </row>
    <row r="32" spans="1:18" ht="11.25" customHeight="1">
      <c r="A32" s="126" t="s">
        <v>135</v>
      </c>
      <c r="B32" s="486" t="s">
        <v>136</v>
      </c>
      <c r="C32" s="163">
        <v>74</v>
      </c>
      <c r="D32" s="158" t="s">
        <v>115</v>
      </c>
      <c r="E32" s="158">
        <v>570</v>
      </c>
      <c r="F32" s="158" t="s">
        <v>115</v>
      </c>
      <c r="G32" s="158">
        <v>180</v>
      </c>
      <c r="H32" s="158" t="s">
        <v>115</v>
      </c>
      <c r="I32" s="1344" t="s">
        <v>115</v>
      </c>
      <c r="J32" s="485" t="s">
        <v>115</v>
      </c>
      <c r="K32" s="158" t="s">
        <v>115</v>
      </c>
      <c r="L32" s="158" t="s">
        <v>115</v>
      </c>
      <c r="M32" s="158">
        <v>10300</v>
      </c>
      <c r="N32" s="158" t="s">
        <v>115</v>
      </c>
      <c r="O32" s="158" t="s">
        <v>115</v>
      </c>
      <c r="P32" s="1345" t="s">
        <v>115</v>
      </c>
      <c r="Q32" s="217" t="s">
        <v>115</v>
      </c>
      <c r="R32" s="319" t="s">
        <v>115</v>
      </c>
    </row>
    <row r="33" spans="1:18" ht="11.25" customHeight="1">
      <c r="A33" s="126" t="s">
        <v>137</v>
      </c>
      <c r="B33" s="486" t="s">
        <v>138</v>
      </c>
      <c r="C33" s="163">
        <v>11</v>
      </c>
      <c r="D33" s="158" t="s">
        <v>115</v>
      </c>
      <c r="E33" s="158">
        <v>16</v>
      </c>
      <c r="F33" s="158" t="s">
        <v>115</v>
      </c>
      <c r="G33" s="158">
        <v>10</v>
      </c>
      <c r="H33" s="158" t="s">
        <v>115</v>
      </c>
      <c r="I33" s="1344" t="s">
        <v>115</v>
      </c>
      <c r="J33" s="485">
        <v>50</v>
      </c>
      <c r="K33" s="158" t="s">
        <v>115</v>
      </c>
      <c r="L33" s="158">
        <v>1100</v>
      </c>
      <c r="M33" s="158" t="s">
        <v>115</v>
      </c>
      <c r="N33" s="158" t="s">
        <v>115</v>
      </c>
      <c r="O33" s="158" t="s">
        <v>115</v>
      </c>
      <c r="P33" s="1345" t="s">
        <v>115</v>
      </c>
      <c r="Q33" s="217" t="s">
        <v>115</v>
      </c>
      <c r="R33" s="319" t="s">
        <v>115</v>
      </c>
    </row>
    <row r="34" spans="1:18" ht="11.25" customHeight="1">
      <c r="A34" s="126" t="s">
        <v>139</v>
      </c>
      <c r="B34" s="486" t="s">
        <v>140</v>
      </c>
      <c r="C34" s="163" t="s">
        <v>115</v>
      </c>
      <c r="D34" s="158" t="s">
        <v>115</v>
      </c>
      <c r="E34" s="158" t="s">
        <v>115</v>
      </c>
      <c r="F34" s="158" t="s">
        <v>115</v>
      </c>
      <c r="G34" s="158">
        <v>3</v>
      </c>
      <c r="H34" s="158" t="s">
        <v>115</v>
      </c>
      <c r="I34" s="1344" t="s">
        <v>115</v>
      </c>
      <c r="J34" s="485" t="s">
        <v>115</v>
      </c>
      <c r="K34" s="158" t="s">
        <v>115</v>
      </c>
      <c r="L34" s="158" t="s">
        <v>115</v>
      </c>
      <c r="M34" s="158" t="s">
        <v>115</v>
      </c>
      <c r="N34" s="158" t="s">
        <v>115</v>
      </c>
      <c r="O34" s="158" t="s">
        <v>115</v>
      </c>
      <c r="P34" s="1345" t="s">
        <v>115</v>
      </c>
      <c r="Q34" s="217" t="s">
        <v>115</v>
      </c>
      <c r="R34" s="319" t="s">
        <v>115</v>
      </c>
    </row>
    <row r="35" spans="1:18" ht="11.25" customHeight="1">
      <c r="A35" s="126" t="s">
        <v>141</v>
      </c>
      <c r="B35" s="486" t="s">
        <v>142</v>
      </c>
      <c r="C35" s="163">
        <v>9</v>
      </c>
      <c r="D35" s="158" t="s">
        <v>115</v>
      </c>
      <c r="E35" s="158">
        <v>13</v>
      </c>
      <c r="F35" s="158" t="s">
        <v>115</v>
      </c>
      <c r="G35" s="158">
        <v>11</v>
      </c>
      <c r="H35" s="158" t="s">
        <v>115</v>
      </c>
      <c r="I35" s="1344" t="s">
        <v>115</v>
      </c>
      <c r="J35" s="485">
        <v>3.1</v>
      </c>
      <c r="K35" s="158" t="s">
        <v>115</v>
      </c>
      <c r="L35" s="158">
        <v>4.8</v>
      </c>
      <c r="M35" s="158" t="s">
        <v>115</v>
      </c>
      <c r="N35" s="158">
        <v>2.4</v>
      </c>
      <c r="O35" s="158" t="s">
        <v>115</v>
      </c>
      <c r="P35" s="1345" t="s">
        <v>115</v>
      </c>
      <c r="Q35" s="217" t="s">
        <v>115</v>
      </c>
      <c r="R35" s="319" t="s">
        <v>115</v>
      </c>
    </row>
    <row r="36" spans="1:18" ht="11.25" customHeight="1">
      <c r="A36" s="126" t="s">
        <v>143</v>
      </c>
      <c r="B36" s="486" t="s">
        <v>144</v>
      </c>
      <c r="C36" s="163">
        <v>5.2</v>
      </c>
      <c r="D36" s="158" t="s">
        <v>115</v>
      </c>
      <c r="E36" s="158">
        <v>22</v>
      </c>
      <c r="F36" s="158" t="s">
        <v>115</v>
      </c>
      <c r="G36" s="158">
        <v>5.2</v>
      </c>
      <c r="H36" s="158" t="s">
        <v>115</v>
      </c>
      <c r="I36" s="1344" t="s">
        <v>115</v>
      </c>
      <c r="J36" s="485" t="s">
        <v>115</v>
      </c>
      <c r="K36" s="158" t="s">
        <v>115</v>
      </c>
      <c r="L36" s="158">
        <v>1</v>
      </c>
      <c r="M36" s="158" t="s">
        <v>115</v>
      </c>
      <c r="N36" s="158">
        <v>1</v>
      </c>
      <c r="O36" s="158" t="s">
        <v>115</v>
      </c>
      <c r="P36" s="1345" t="s">
        <v>115</v>
      </c>
      <c r="Q36" s="217" t="s">
        <v>115</v>
      </c>
      <c r="R36" s="319" t="s">
        <v>115</v>
      </c>
    </row>
    <row r="37" spans="1:18" ht="11.25" customHeight="1">
      <c r="A37" s="126" t="s">
        <v>145</v>
      </c>
      <c r="B37" s="486" t="s">
        <v>146</v>
      </c>
      <c r="C37" s="163" t="s">
        <v>115</v>
      </c>
      <c r="D37" s="158" t="s">
        <v>115</v>
      </c>
      <c r="E37" s="158" t="s">
        <v>115</v>
      </c>
      <c r="F37" s="158">
        <v>11000</v>
      </c>
      <c r="G37" s="158" t="s">
        <v>115</v>
      </c>
      <c r="H37" s="158" t="s">
        <v>115</v>
      </c>
      <c r="I37" s="1344" t="s">
        <v>115</v>
      </c>
      <c r="J37" s="485" t="s">
        <v>115</v>
      </c>
      <c r="K37" s="158">
        <v>6400</v>
      </c>
      <c r="L37" s="158" t="s">
        <v>115</v>
      </c>
      <c r="M37" s="158">
        <v>12000</v>
      </c>
      <c r="N37" s="158" t="s">
        <v>115</v>
      </c>
      <c r="O37" s="158" t="s">
        <v>115</v>
      </c>
      <c r="P37" s="1345" t="s">
        <v>115</v>
      </c>
      <c r="Q37" s="217" t="s">
        <v>115</v>
      </c>
      <c r="R37" s="319" t="s">
        <v>115</v>
      </c>
    </row>
    <row r="38" spans="1:18" ht="11.25" customHeight="1">
      <c r="A38" s="126" t="s">
        <v>147</v>
      </c>
      <c r="B38" s="486" t="s">
        <v>148</v>
      </c>
      <c r="C38" s="163" t="s">
        <v>115</v>
      </c>
      <c r="D38" s="158" t="s">
        <v>115</v>
      </c>
      <c r="E38" s="158" t="s">
        <v>115</v>
      </c>
      <c r="F38" s="158" t="s">
        <v>115</v>
      </c>
      <c r="G38" s="158" t="s">
        <v>115</v>
      </c>
      <c r="H38" s="158" t="s">
        <v>115</v>
      </c>
      <c r="I38" s="1344" t="s">
        <v>115</v>
      </c>
      <c r="J38" s="485" t="s">
        <v>115</v>
      </c>
      <c r="K38" s="158" t="s">
        <v>115</v>
      </c>
      <c r="L38" s="158" t="s">
        <v>115</v>
      </c>
      <c r="M38" s="158" t="s">
        <v>115</v>
      </c>
      <c r="N38" s="158" t="s">
        <v>115</v>
      </c>
      <c r="O38" s="158" t="s">
        <v>115</v>
      </c>
      <c r="P38" s="1345" t="s">
        <v>115</v>
      </c>
      <c r="Q38" s="217" t="s">
        <v>115</v>
      </c>
      <c r="R38" s="319" t="s">
        <v>115</v>
      </c>
    </row>
    <row r="39" spans="1:18" ht="11.25" customHeight="1">
      <c r="A39" s="126" t="s">
        <v>149</v>
      </c>
      <c r="B39" s="486" t="s">
        <v>150</v>
      </c>
      <c r="C39" s="163" t="s">
        <v>115</v>
      </c>
      <c r="D39" s="158" t="s">
        <v>115</v>
      </c>
      <c r="E39" s="158" t="s">
        <v>115</v>
      </c>
      <c r="F39" s="158" t="s">
        <v>115</v>
      </c>
      <c r="G39" s="158" t="s">
        <v>115</v>
      </c>
      <c r="H39" s="158">
        <v>1400</v>
      </c>
      <c r="I39" s="165" t="s">
        <v>1596</v>
      </c>
      <c r="J39" s="485" t="s">
        <v>115</v>
      </c>
      <c r="K39" s="158" t="s">
        <v>115</v>
      </c>
      <c r="L39" s="158" t="s">
        <v>115</v>
      </c>
      <c r="M39" s="158" t="s">
        <v>115</v>
      </c>
      <c r="N39" s="158" t="s">
        <v>115</v>
      </c>
      <c r="O39" s="158" t="s">
        <v>115</v>
      </c>
      <c r="P39" s="1345" t="s">
        <v>115</v>
      </c>
      <c r="Q39" s="217" t="s">
        <v>115</v>
      </c>
      <c r="R39" s="319" t="s">
        <v>115</v>
      </c>
    </row>
    <row r="40" spans="1:18" ht="11.25" customHeight="1">
      <c r="A40" s="126" t="s">
        <v>151</v>
      </c>
      <c r="B40" s="486" t="s">
        <v>152</v>
      </c>
      <c r="C40" s="163" t="s">
        <v>115</v>
      </c>
      <c r="D40" s="158">
        <v>763</v>
      </c>
      <c r="E40" s="158" t="s">
        <v>115</v>
      </c>
      <c r="F40" s="158">
        <v>1120</v>
      </c>
      <c r="G40" s="158">
        <v>14</v>
      </c>
      <c r="H40" s="158" t="s">
        <v>115</v>
      </c>
      <c r="I40" s="1344" t="s">
        <v>115</v>
      </c>
      <c r="J40" s="485" t="s">
        <v>115</v>
      </c>
      <c r="K40" s="158">
        <v>129</v>
      </c>
      <c r="L40" s="158" t="s">
        <v>115</v>
      </c>
      <c r="M40" s="158">
        <v>1970</v>
      </c>
      <c r="N40" s="158" t="s">
        <v>115</v>
      </c>
      <c r="O40" s="158" t="s">
        <v>115</v>
      </c>
      <c r="P40" s="1345" t="s">
        <v>115</v>
      </c>
      <c r="Q40" s="217" t="s">
        <v>115</v>
      </c>
      <c r="R40" s="319" t="s">
        <v>115</v>
      </c>
    </row>
    <row r="41" spans="1:18" ht="11.25" customHeight="1">
      <c r="A41" s="126" t="s">
        <v>153</v>
      </c>
      <c r="B41" s="486" t="s">
        <v>154</v>
      </c>
      <c r="C41" s="163" t="s">
        <v>115</v>
      </c>
      <c r="D41" s="158">
        <v>763</v>
      </c>
      <c r="E41" s="158" t="s">
        <v>115</v>
      </c>
      <c r="F41" s="158">
        <v>1120</v>
      </c>
      <c r="G41" s="158">
        <v>15</v>
      </c>
      <c r="H41" s="158" t="s">
        <v>115</v>
      </c>
      <c r="I41" s="1344" t="s">
        <v>115</v>
      </c>
      <c r="J41" s="485" t="s">
        <v>115</v>
      </c>
      <c r="K41" s="158">
        <v>129</v>
      </c>
      <c r="L41" s="158" t="s">
        <v>115</v>
      </c>
      <c r="M41" s="158">
        <v>1970</v>
      </c>
      <c r="N41" s="158" t="s">
        <v>115</v>
      </c>
      <c r="O41" s="158" t="s">
        <v>115</v>
      </c>
      <c r="P41" s="1345" t="s">
        <v>115</v>
      </c>
      <c r="Q41" s="217" t="s">
        <v>115</v>
      </c>
      <c r="R41" s="319" t="s">
        <v>115</v>
      </c>
    </row>
    <row r="42" spans="1:18" ht="11.25" customHeight="1">
      <c r="A42" s="126" t="s">
        <v>155</v>
      </c>
      <c r="B42" s="486" t="s">
        <v>156</v>
      </c>
      <c r="C42" s="163" t="s">
        <v>115</v>
      </c>
      <c r="D42" s="158" t="s">
        <v>115</v>
      </c>
      <c r="E42" s="158" t="s">
        <v>115</v>
      </c>
      <c r="F42" s="158" t="s">
        <v>115</v>
      </c>
      <c r="G42" s="158" t="s">
        <v>115</v>
      </c>
      <c r="H42" s="158">
        <v>250</v>
      </c>
      <c r="I42" s="165" t="s">
        <v>1595</v>
      </c>
      <c r="J42" s="485" t="s">
        <v>115</v>
      </c>
      <c r="K42" s="158" t="s">
        <v>115</v>
      </c>
      <c r="L42" s="158" t="s">
        <v>115</v>
      </c>
      <c r="M42" s="158" t="s">
        <v>115</v>
      </c>
      <c r="N42" s="158" t="s">
        <v>115</v>
      </c>
      <c r="O42" s="158" t="s">
        <v>115</v>
      </c>
      <c r="P42" s="1345" t="s">
        <v>115</v>
      </c>
      <c r="Q42" s="217" t="s">
        <v>115</v>
      </c>
      <c r="R42" s="319" t="s">
        <v>115</v>
      </c>
    </row>
    <row r="43" spans="1:18" ht="11.25" customHeight="1">
      <c r="A43" s="153" t="s">
        <v>157</v>
      </c>
      <c r="B43" s="486" t="s">
        <v>158</v>
      </c>
      <c r="C43" s="163" t="s">
        <v>115</v>
      </c>
      <c r="D43" s="158" t="s">
        <v>115</v>
      </c>
      <c r="E43" s="158" t="s">
        <v>115</v>
      </c>
      <c r="F43" s="158">
        <v>0.6</v>
      </c>
      <c r="G43" s="158" t="s">
        <v>115</v>
      </c>
      <c r="H43" s="158">
        <v>1E-3</v>
      </c>
      <c r="I43" s="1345" t="s">
        <v>1597</v>
      </c>
      <c r="J43" s="485" t="s">
        <v>115</v>
      </c>
      <c r="K43" s="158" t="s">
        <v>115</v>
      </c>
      <c r="L43" s="158" t="s">
        <v>115</v>
      </c>
      <c r="M43" s="158">
        <v>3.6</v>
      </c>
      <c r="N43" s="158" t="s">
        <v>115</v>
      </c>
      <c r="O43" s="158">
        <v>1E-3</v>
      </c>
      <c r="P43" s="1345" t="s">
        <v>1598</v>
      </c>
      <c r="Q43" s="217" t="s">
        <v>115</v>
      </c>
      <c r="R43" s="319" t="s">
        <v>115</v>
      </c>
    </row>
    <row r="44" spans="1:18" ht="11.25" customHeight="1">
      <c r="A44" s="153" t="s">
        <v>159</v>
      </c>
      <c r="B44" s="486" t="s">
        <v>160</v>
      </c>
      <c r="C44" s="163" t="s">
        <v>115</v>
      </c>
      <c r="D44" s="158" t="s">
        <v>115</v>
      </c>
      <c r="E44" s="158" t="s">
        <v>115</v>
      </c>
      <c r="F44" s="158">
        <v>1050</v>
      </c>
      <c r="G44" s="158" t="s">
        <v>115</v>
      </c>
      <c r="H44" s="158">
        <v>1E-3</v>
      </c>
      <c r="I44" s="1345" t="s">
        <v>1597</v>
      </c>
      <c r="J44" s="485" t="s">
        <v>115</v>
      </c>
      <c r="K44" s="158" t="s">
        <v>115</v>
      </c>
      <c r="L44" s="158" t="s">
        <v>115</v>
      </c>
      <c r="M44" s="158">
        <v>14</v>
      </c>
      <c r="N44" s="158" t="s">
        <v>115</v>
      </c>
      <c r="O44" s="158">
        <v>1E-3</v>
      </c>
      <c r="P44" s="1345" t="s">
        <v>1598</v>
      </c>
      <c r="Q44" s="217" t="s">
        <v>115</v>
      </c>
      <c r="R44" s="319" t="s">
        <v>115</v>
      </c>
    </row>
    <row r="45" spans="1:18" ht="11.25" customHeight="1">
      <c r="A45" s="153" t="s">
        <v>161</v>
      </c>
      <c r="B45" s="486" t="s">
        <v>162</v>
      </c>
      <c r="C45" s="163">
        <v>1E-3</v>
      </c>
      <c r="D45" s="158" t="s">
        <v>115</v>
      </c>
      <c r="E45" s="158">
        <v>1.1000000000000001</v>
      </c>
      <c r="F45" s="158" t="s">
        <v>115</v>
      </c>
      <c r="G45" s="158">
        <v>1.2999999999999999E-2</v>
      </c>
      <c r="H45" s="158" t="s">
        <v>115</v>
      </c>
      <c r="I45" s="1344" t="s">
        <v>115</v>
      </c>
      <c r="J45" s="485">
        <v>1E-3</v>
      </c>
      <c r="K45" s="158" t="s">
        <v>115</v>
      </c>
      <c r="L45" s="158">
        <v>0.13</v>
      </c>
      <c r="M45" s="158" t="s">
        <v>115</v>
      </c>
      <c r="N45" s="158" t="s">
        <v>115</v>
      </c>
      <c r="O45" s="158" t="s">
        <v>115</v>
      </c>
      <c r="P45" s="1345" t="s">
        <v>115</v>
      </c>
      <c r="Q45" s="217" t="s">
        <v>115</v>
      </c>
      <c r="R45" s="319" t="s">
        <v>115</v>
      </c>
    </row>
    <row r="46" spans="1:18" ht="11.25" customHeight="1">
      <c r="A46" s="126" t="s">
        <v>163</v>
      </c>
      <c r="B46" s="486" t="s">
        <v>164</v>
      </c>
      <c r="C46" s="163" t="s">
        <v>115</v>
      </c>
      <c r="D46" s="158" t="s">
        <v>115</v>
      </c>
      <c r="E46" s="158" t="s">
        <v>115</v>
      </c>
      <c r="F46" s="158" t="s">
        <v>115</v>
      </c>
      <c r="G46" s="158">
        <v>47</v>
      </c>
      <c r="H46" s="158" t="s">
        <v>115</v>
      </c>
      <c r="I46" s="1344" t="s">
        <v>115</v>
      </c>
      <c r="J46" s="485" t="s">
        <v>115</v>
      </c>
      <c r="K46" s="158" t="s">
        <v>115</v>
      </c>
      <c r="L46" s="158" t="s">
        <v>115</v>
      </c>
      <c r="M46" s="158" t="s">
        <v>115</v>
      </c>
      <c r="N46" s="158" t="s">
        <v>115</v>
      </c>
      <c r="O46" s="158" t="s">
        <v>115</v>
      </c>
      <c r="P46" s="1345" t="s">
        <v>115</v>
      </c>
      <c r="Q46" s="217" t="s">
        <v>115</v>
      </c>
      <c r="R46" s="319" t="s">
        <v>115</v>
      </c>
    </row>
    <row r="47" spans="1:18" ht="11.25" customHeight="1">
      <c r="A47" s="126" t="s">
        <v>165</v>
      </c>
      <c r="B47" s="486" t="s">
        <v>166</v>
      </c>
      <c r="C47" s="163" t="s">
        <v>115</v>
      </c>
      <c r="D47" s="158">
        <v>20000</v>
      </c>
      <c r="E47" s="158" t="s">
        <v>115</v>
      </c>
      <c r="F47" s="158">
        <v>118000</v>
      </c>
      <c r="G47" s="158" t="s">
        <v>115</v>
      </c>
      <c r="H47" s="158">
        <v>910</v>
      </c>
      <c r="I47" s="165" t="s">
        <v>1594</v>
      </c>
      <c r="J47" s="485" t="s">
        <v>115</v>
      </c>
      <c r="K47" s="158" t="s">
        <v>115</v>
      </c>
      <c r="L47" s="158" t="s">
        <v>115</v>
      </c>
      <c r="M47" s="158">
        <v>113000</v>
      </c>
      <c r="N47" s="158" t="s">
        <v>115</v>
      </c>
      <c r="O47" s="158" t="s">
        <v>115</v>
      </c>
      <c r="P47" s="1345" t="s">
        <v>115</v>
      </c>
      <c r="Q47" s="217" t="s">
        <v>115</v>
      </c>
      <c r="R47" s="319" t="s">
        <v>115</v>
      </c>
    </row>
    <row r="48" spans="1:18" ht="11.25" customHeight="1">
      <c r="A48" s="126" t="s">
        <v>167</v>
      </c>
      <c r="B48" s="486" t="s">
        <v>168</v>
      </c>
      <c r="C48" s="163" t="s">
        <v>115</v>
      </c>
      <c r="D48" s="158" t="s">
        <v>115</v>
      </c>
      <c r="E48" s="158" t="s">
        <v>115</v>
      </c>
      <c r="F48" s="158">
        <v>11600</v>
      </c>
      <c r="G48" s="158" t="s">
        <v>115</v>
      </c>
      <c r="H48" s="158">
        <v>25</v>
      </c>
      <c r="I48" s="165" t="s">
        <v>1594</v>
      </c>
      <c r="J48" s="485" t="s">
        <v>115</v>
      </c>
      <c r="K48" s="158" t="s">
        <v>115</v>
      </c>
      <c r="L48" s="158" t="s">
        <v>115</v>
      </c>
      <c r="M48" s="158">
        <v>224000</v>
      </c>
      <c r="N48" s="158" t="s">
        <v>115</v>
      </c>
      <c r="O48" s="158" t="s">
        <v>115</v>
      </c>
      <c r="P48" s="1345" t="s">
        <v>115</v>
      </c>
      <c r="Q48" s="217" t="s">
        <v>115</v>
      </c>
      <c r="R48" s="319" t="s">
        <v>115</v>
      </c>
    </row>
    <row r="49" spans="1:18" ht="11.25" customHeight="1">
      <c r="A49" s="126" t="s">
        <v>169</v>
      </c>
      <c r="B49" s="486" t="s">
        <v>170</v>
      </c>
      <c r="C49" s="163" t="s">
        <v>115</v>
      </c>
      <c r="D49" s="158" t="s">
        <v>115</v>
      </c>
      <c r="E49" s="158" t="s">
        <v>115</v>
      </c>
      <c r="F49" s="158">
        <v>11600</v>
      </c>
      <c r="G49" s="158" t="s">
        <v>115</v>
      </c>
      <c r="H49" s="158">
        <v>590</v>
      </c>
      <c r="I49" s="165" t="s">
        <v>1594</v>
      </c>
      <c r="J49" s="485" t="s">
        <v>115</v>
      </c>
      <c r="K49" s="158" t="s">
        <v>115</v>
      </c>
      <c r="L49" s="158" t="s">
        <v>115</v>
      </c>
      <c r="M49" s="158">
        <v>224000</v>
      </c>
      <c r="N49" s="158" t="s">
        <v>115</v>
      </c>
      <c r="O49" s="158" t="s">
        <v>115</v>
      </c>
      <c r="P49" s="1345" t="s">
        <v>115</v>
      </c>
      <c r="Q49" s="217" t="s">
        <v>115</v>
      </c>
      <c r="R49" s="319" t="s">
        <v>115</v>
      </c>
    </row>
    <row r="50" spans="1:18" ht="11.25" customHeight="1">
      <c r="A50" s="126" t="s">
        <v>171</v>
      </c>
      <c r="B50" s="486" t="s">
        <v>172</v>
      </c>
      <c r="C50" s="163" t="s">
        <v>115</v>
      </c>
      <c r="D50" s="158" t="s">
        <v>115</v>
      </c>
      <c r="E50" s="158" t="s">
        <v>115</v>
      </c>
      <c r="F50" s="158">
        <v>11600</v>
      </c>
      <c r="G50" s="158" t="s">
        <v>115</v>
      </c>
      <c r="H50" s="158">
        <v>590</v>
      </c>
      <c r="I50" s="165" t="s">
        <v>1594</v>
      </c>
      <c r="J50" s="485" t="s">
        <v>115</v>
      </c>
      <c r="K50" s="158" t="s">
        <v>115</v>
      </c>
      <c r="L50" s="158" t="s">
        <v>115</v>
      </c>
      <c r="M50" s="158">
        <v>224000</v>
      </c>
      <c r="N50" s="158" t="s">
        <v>115</v>
      </c>
      <c r="O50" s="158" t="s">
        <v>115</v>
      </c>
      <c r="P50" s="1345" t="s">
        <v>115</v>
      </c>
      <c r="Q50" s="217" t="s">
        <v>115</v>
      </c>
      <c r="R50" s="319" t="s">
        <v>115</v>
      </c>
    </row>
    <row r="51" spans="1:18" ht="11.25" customHeight="1">
      <c r="A51" s="126" t="s">
        <v>173</v>
      </c>
      <c r="B51" s="486" t="s">
        <v>174</v>
      </c>
      <c r="C51" s="163" t="s">
        <v>115</v>
      </c>
      <c r="D51" s="158">
        <v>365</v>
      </c>
      <c r="E51" s="158" t="s">
        <v>115</v>
      </c>
      <c r="F51" s="158">
        <v>2020</v>
      </c>
      <c r="G51" s="158" t="s">
        <v>115</v>
      </c>
      <c r="H51" s="158" t="s">
        <v>115</v>
      </c>
      <c r="I51" s="1344" t="s">
        <v>115</v>
      </c>
      <c r="J51" s="485" t="s">
        <v>115</v>
      </c>
      <c r="K51" s="158" t="s">
        <v>115</v>
      </c>
      <c r="L51" s="158" t="s">
        <v>115</v>
      </c>
      <c r="M51" s="158" t="s">
        <v>115</v>
      </c>
      <c r="N51" s="158" t="s">
        <v>115</v>
      </c>
      <c r="O51" s="158" t="s">
        <v>115</v>
      </c>
      <c r="P51" s="1345" t="s">
        <v>115</v>
      </c>
      <c r="Q51" s="217" t="s">
        <v>115</v>
      </c>
      <c r="R51" s="319" t="s">
        <v>115</v>
      </c>
    </row>
    <row r="52" spans="1:18" ht="11.25" customHeight="1">
      <c r="A52" s="126" t="s">
        <v>175</v>
      </c>
      <c r="B52" s="486" t="s">
        <v>176</v>
      </c>
      <c r="C52" s="163" t="s">
        <v>115</v>
      </c>
      <c r="D52" s="158">
        <v>5700</v>
      </c>
      <c r="E52" s="158" t="s">
        <v>115</v>
      </c>
      <c r="F52" s="158">
        <v>23000</v>
      </c>
      <c r="G52" s="158" t="s">
        <v>115</v>
      </c>
      <c r="H52" s="158" t="s">
        <v>115</v>
      </c>
      <c r="I52" s="1344" t="s">
        <v>115</v>
      </c>
      <c r="J52" s="485" t="s">
        <v>115</v>
      </c>
      <c r="K52" s="158">
        <v>3040</v>
      </c>
      <c r="L52" s="158" t="s">
        <v>115</v>
      </c>
      <c r="M52" s="158">
        <v>10300</v>
      </c>
      <c r="N52" s="158" t="s">
        <v>115</v>
      </c>
      <c r="O52" s="158" t="s">
        <v>115</v>
      </c>
      <c r="P52" s="1345" t="s">
        <v>115</v>
      </c>
      <c r="Q52" s="217" t="s">
        <v>115</v>
      </c>
      <c r="R52" s="319" t="s">
        <v>115</v>
      </c>
    </row>
    <row r="53" spans="1:18" ht="11.25" customHeight="1">
      <c r="A53" s="126" t="s">
        <v>177</v>
      </c>
      <c r="B53" s="486" t="s">
        <v>178</v>
      </c>
      <c r="C53" s="163" t="s">
        <v>115</v>
      </c>
      <c r="D53" s="158">
        <v>244</v>
      </c>
      <c r="E53" s="158" t="s">
        <v>115</v>
      </c>
      <c r="F53" s="158">
        <v>6060</v>
      </c>
      <c r="G53" s="158" t="s">
        <v>115</v>
      </c>
      <c r="H53" s="158" t="s">
        <v>115</v>
      </c>
      <c r="I53" s="1344" t="s">
        <v>115</v>
      </c>
      <c r="J53" s="485" t="s">
        <v>115</v>
      </c>
      <c r="K53" s="158" t="s">
        <v>115</v>
      </c>
      <c r="L53" s="158" t="s">
        <v>115</v>
      </c>
      <c r="M53" s="158">
        <v>790</v>
      </c>
      <c r="N53" s="158" t="s">
        <v>115</v>
      </c>
      <c r="O53" s="158" t="s">
        <v>115</v>
      </c>
      <c r="P53" s="1345" t="s">
        <v>115</v>
      </c>
      <c r="Q53" s="217" t="s">
        <v>115</v>
      </c>
      <c r="R53" s="319" t="s">
        <v>115</v>
      </c>
    </row>
    <row r="54" spans="1:18" ht="11.25" customHeight="1">
      <c r="A54" s="126" t="s">
        <v>179</v>
      </c>
      <c r="B54" s="486" t="s">
        <v>180</v>
      </c>
      <c r="C54" s="163">
        <v>5.6000000000000001E-2</v>
      </c>
      <c r="D54" s="158" t="s">
        <v>115</v>
      </c>
      <c r="E54" s="158">
        <v>0.24</v>
      </c>
      <c r="F54" s="158" t="s">
        <v>115</v>
      </c>
      <c r="G54" s="158">
        <v>6.2E-2</v>
      </c>
      <c r="H54" s="158" t="s">
        <v>115</v>
      </c>
      <c r="I54" s="1344" t="s">
        <v>115</v>
      </c>
      <c r="J54" s="485">
        <v>1.9E-3</v>
      </c>
      <c r="K54" s="158" t="s">
        <v>115</v>
      </c>
      <c r="L54" s="158">
        <v>0.71</v>
      </c>
      <c r="M54" s="158" t="s">
        <v>115</v>
      </c>
      <c r="N54" s="158">
        <v>0.11</v>
      </c>
      <c r="O54" s="158" t="s">
        <v>115</v>
      </c>
      <c r="P54" s="1345" t="s">
        <v>115</v>
      </c>
      <c r="Q54" s="217" t="s">
        <v>115</v>
      </c>
      <c r="R54" s="319" t="s">
        <v>115</v>
      </c>
    </row>
    <row r="55" spans="1:18" ht="11.25" customHeight="1">
      <c r="A55" s="126" t="s">
        <v>181</v>
      </c>
      <c r="B55" s="486" t="s">
        <v>182</v>
      </c>
      <c r="C55" s="163" t="s">
        <v>115</v>
      </c>
      <c r="D55" s="158">
        <v>3</v>
      </c>
      <c r="E55" s="158" t="s">
        <v>115</v>
      </c>
      <c r="F55" s="158">
        <v>940</v>
      </c>
      <c r="G55" s="158">
        <v>220</v>
      </c>
      <c r="H55" s="158" t="s">
        <v>115</v>
      </c>
      <c r="I55" s="1344" t="s">
        <v>115</v>
      </c>
      <c r="J55" s="485" t="s">
        <v>115</v>
      </c>
      <c r="K55" s="158">
        <v>3.4</v>
      </c>
      <c r="L55" s="158" t="s">
        <v>115</v>
      </c>
      <c r="M55" s="158">
        <v>2944</v>
      </c>
      <c r="N55" s="158" t="s">
        <v>115</v>
      </c>
      <c r="O55" s="158" t="s">
        <v>115</v>
      </c>
      <c r="P55" s="1345" t="s">
        <v>115</v>
      </c>
      <c r="Q55" s="217" t="s">
        <v>115</v>
      </c>
      <c r="R55" s="319" t="s">
        <v>115</v>
      </c>
    </row>
    <row r="56" spans="1:18" ht="11.25" customHeight="1">
      <c r="A56" s="126" t="s">
        <v>183</v>
      </c>
      <c r="B56" s="486" t="s">
        <v>184</v>
      </c>
      <c r="C56" s="163">
        <v>530</v>
      </c>
      <c r="D56" s="158" t="s">
        <v>115</v>
      </c>
      <c r="E56" s="158">
        <v>1300</v>
      </c>
      <c r="F56" s="158" t="s">
        <v>115</v>
      </c>
      <c r="G56" s="158" t="s">
        <v>115</v>
      </c>
      <c r="H56" s="158" t="s">
        <v>115</v>
      </c>
      <c r="I56" s="1344" t="s">
        <v>115</v>
      </c>
      <c r="J56" s="485">
        <v>110</v>
      </c>
      <c r="K56" s="158" t="s">
        <v>115</v>
      </c>
      <c r="L56" s="158">
        <v>270</v>
      </c>
      <c r="M56" s="158" t="s">
        <v>115</v>
      </c>
      <c r="N56" s="158" t="s">
        <v>115</v>
      </c>
      <c r="O56" s="158" t="s">
        <v>115</v>
      </c>
      <c r="P56" s="1345" t="s">
        <v>115</v>
      </c>
      <c r="Q56" s="217" t="s">
        <v>115</v>
      </c>
      <c r="R56" s="319" t="s">
        <v>115</v>
      </c>
    </row>
    <row r="57" spans="1:18" ht="11.25" customHeight="1">
      <c r="A57" s="126" t="s">
        <v>185</v>
      </c>
      <c r="B57" s="486" t="s">
        <v>186</v>
      </c>
      <c r="C57" s="163" t="s">
        <v>115</v>
      </c>
      <c r="D57" s="158">
        <v>150</v>
      </c>
      <c r="E57" s="158" t="s">
        <v>115</v>
      </c>
      <c r="F57" s="158">
        <v>230</v>
      </c>
      <c r="G57" s="158" t="s">
        <v>115</v>
      </c>
      <c r="H57" s="158" t="s">
        <v>115</v>
      </c>
      <c r="I57" s="1344" t="s">
        <v>115</v>
      </c>
      <c r="J57" s="485" t="s">
        <v>115</v>
      </c>
      <c r="K57" s="158" t="s">
        <v>115</v>
      </c>
      <c r="L57" s="158" t="s">
        <v>115</v>
      </c>
      <c r="M57" s="158">
        <v>4850</v>
      </c>
      <c r="N57" s="158" t="s">
        <v>115</v>
      </c>
      <c r="O57" s="158" t="s">
        <v>115</v>
      </c>
      <c r="P57" s="1345" t="s">
        <v>115</v>
      </c>
      <c r="Q57" s="217" t="s">
        <v>115</v>
      </c>
      <c r="R57" s="319" t="s">
        <v>115</v>
      </c>
    </row>
    <row r="58" spans="1:18" ht="11.25" customHeight="1">
      <c r="A58" s="126" t="s">
        <v>187</v>
      </c>
      <c r="B58" s="486" t="s">
        <v>188</v>
      </c>
      <c r="C58" s="163" t="s">
        <v>115</v>
      </c>
      <c r="D58" s="158">
        <v>230</v>
      </c>
      <c r="E58" s="158" t="s">
        <v>115</v>
      </c>
      <c r="F58" s="158">
        <v>330</v>
      </c>
      <c r="G58" s="158" t="s">
        <v>115</v>
      </c>
      <c r="H58" s="158" t="s">
        <v>115</v>
      </c>
      <c r="I58" s="1344" t="s">
        <v>115</v>
      </c>
      <c r="J58" s="485" t="s">
        <v>115</v>
      </c>
      <c r="K58" s="158">
        <v>370</v>
      </c>
      <c r="L58" s="158" t="s">
        <v>115</v>
      </c>
      <c r="M58" s="158">
        <v>590</v>
      </c>
      <c r="N58" s="158" t="s">
        <v>115</v>
      </c>
      <c r="O58" s="158" t="s">
        <v>115</v>
      </c>
      <c r="P58" s="1345" t="s">
        <v>115</v>
      </c>
      <c r="Q58" s="217" t="s">
        <v>115</v>
      </c>
      <c r="R58" s="319" t="s">
        <v>115</v>
      </c>
    </row>
    <row r="59" spans="1:18" ht="11.25" customHeight="1">
      <c r="A59" s="126" t="s">
        <v>189</v>
      </c>
      <c r="B59" s="486" t="s">
        <v>190</v>
      </c>
      <c r="C59" s="163" t="s">
        <v>115</v>
      </c>
      <c r="D59" s="158" t="s">
        <v>115</v>
      </c>
      <c r="E59" s="158" t="s">
        <v>115</v>
      </c>
      <c r="F59" s="158" t="s">
        <v>115</v>
      </c>
      <c r="G59" s="158" t="s">
        <v>115</v>
      </c>
      <c r="H59" s="158">
        <v>335000</v>
      </c>
      <c r="I59" s="165" t="s">
        <v>1599</v>
      </c>
      <c r="J59" s="485" t="s">
        <v>115</v>
      </c>
      <c r="K59" s="158" t="s">
        <v>115</v>
      </c>
      <c r="L59" s="158" t="s">
        <v>115</v>
      </c>
      <c r="M59" s="158" t="s">
        <v>115</v>
      </c>
      <c r="N59" s="158" t="s">
        <v>115</v>
      </c>
      <c r="O59" s="158">
        <v>500000</v>
      </c>
      <c r="P59" s="165" t="s">
        <v>1600</v>
      </c>
      <c r="Q59" s="217" t="s">
        <v>115</v>
      </c>
      <c r="R59" s="319" t="s">
        <v>115</v>
      </c>
    </row>
    <row r="60" spans="1:18" ht="11.25" customHeight="1">
      <c r="A60" s="126" t="s">
        <v>191</v>
      </c>
      <c r="B60" s="486" t="s">
        <v>192</v>
      </c>
      <c r="C60" s="163" t="s">
        <v>115</v>
      </c>
      <c r="D60" s="158">
        <v>1.0000000000000001E-5</v>
      </c>
      <c r="E60" s="158" t="s">
        <v>115</v>
      </c>
      <c r="F60" s="158">
        <v>0.01</v>
      </c>
      <c r="G60" s="158" t="s">
        <v>115</v>
      </c>
      <c r="H60" s="158" t="s">
        <v>115</v>
      </c>
      <c r="I60" s="1344" t="s">
        <v>115</v>
      </c>
      <c r="J60" s="485" t="s">
        <v>115</v>
      </c>
      <c r="K60" s="158" t="s">
        <v>115</v>
      </c>
      <c r="L60" s="158" t="s">
        <v>115</v>
      </c>
      <c r="M60" s="158" t="s">
        <v>115</v>
      </c>
      <c r="N60" s="158" t="s">
        <v>115</v>
      </c>
      <c r="O60" s="158" t="s">
        <v>115</v>
      </c>
      <c r="P60" s="1345" t="s">
        <v>115</v>
      </c>
      <c r="Q60" s="217" t="s">
        <v>115</v>
      </c>
      <c r="R60" s="319" t="s">
        <v>115</v>
      </c>
    </row>
    <row r="61" spans="1:18" ht="11.25" customHeight="1">
      <c r="A61" s="126" t="s">
        <v>193</v>
      </c>
      <c r="B61" s="486" t="s">
        <v>194</v>
      </c>
      <c r="C61" s="163">
        <v>5.6000000000000001E-2</v>
      </c>
      <c r="D61" s="158" t="s">
        <v>115</v>
      </c>
      <c r="E61" s="158">
        <v>0.22</v>
      </c>
      <c r="F61" s="158" t="s">
        <v>115</v>
      </c>
      <c r="G61" s="158">
        <v>5.6000000000000001E-2</v>
      </c>
      <c r="H61" s="158" t="s">
        <v>115</v>
      </c>
      <c r="I61" s="1344" t="s">
        <v>115</v>
      </c>
      <c r="J61" s="485">
        <v>8.6999999999999994E-3</v>
      </c>
      <c r="K61" s="158" t="s">
        <v>115</v>
      </c>
      <c r="L61" s="158">
        <v>3.4000000000000002E-2</v>
      </c>
      <c r="M61" s="158" t="s">
        <v>115</v>
      </c>
      <c r="N61" s="158" t="s">
        <v>115</v>
      </c>
      <c r="O61" s="158" t="s">
        <v>115</v>
      </c>
      <c r="P61" s="1345" t="s">
        <v>115</v>
      </c>
      <c r="Q61" s="217" t="s">
        <v>115</v>
      </c>
      <c r="R61" s="319" t="s">
        <v>115</v>
      </c>
    </row>
    <row r="62" spans="1:18" ht="11.25" customHeight="1">
      <c r="A62" s="126" t="s">
        <v>195</v>
      </c>
      <c r="B62" s="486" t="s">
        <v>196</v>
      </c>
      <c r="C62" s="163">
        <v>3.5999999999999997E-2</v>
      </c>
      <c r="D62" s="158" t="s">
        <v>115</v>
      </c>
      <c r="E62" s="158">
        <v>8.5999999999999993E-2</v>
      </c>
      <c r="F62" s="158" t="s">
        <v>115</v>
      </c>
      <c r="G62" s="158">
        <v>6.0999999999999999E-2</v>
      </c>
      <c r="H62" s="158" t="s">
        <v>115</v>
      </c>
      <c r="I62" s="1344" t="s">
        <v>115</v>
      </c>
      <c r="J62" s="485">
        <v>2.3E-3</v>
      </c>
      <c r="K62" s="158" t="s">
        <v>115</v>
      </c>
      <c r="L62" s="158">
        <v>3.6999999999999998E-2</v>
      </c>
      <c r="M62" s="158" t="s">
        <v>115</v>
      </c>
      <c r="N62" s="158">
        <v>0.01</v>
      </c>
      <c r="O62" s="158" t="s">
        <v>115</v>
      </c>
      <c r="P62" s="1345" t="s">
        <v>115</v>
      </c>
      <c r="Q62" s="217" t="s">
        <v>115</v>
      </c>
      <c r="R62" s="319" t="s">
        <v>115</v>
      </c>
    </row>
    <row r="63" spans="1:18" ht="11.25" customHeight="1">
      <c r="A63" s="126" t="s">
        <v>197</v>
      </c>
      <c r="B63" s="486" t="s">
        <v>198</v>
      </c>
      <c r="C63" s="163" t="s">
        <v>115</v>
      </c>
      <c r="D63" s="158" t="s">
        <v>115</v>
      </c>
      <c r="E63" s="158" t="s">
        <v>115</v>
      </c>
      <c r="F63" s="158">
        <v>32000</v>
      </c>
      <c r="G63" s="158">
        <v>290</v>
      </c>
      <c r="H63" s="158" t="s">
        <v>115</v>
      </c>
      <c r="I63" s="1344" t="s">
        <v>115</v>
      </c>
      <c r="J63" s="485" t="s">
        <v>115</v>
      </c>
      <c r="K63" s="158" t="s">
        <v>115</v>
      </c>
      <c r="L63" s="158" t="s">
        <v>115</v>
      </c>
      <c r="M63" s="158">
        <v>430</v>
      </c>
      <c r="N63" s="158" t="s">
        <v>115</v>
      </c>
      <c r="O63" s="158" t="s">
        <v>115</v>
      </c>
      <c r="P63" s="1345" t="s">
        <v>115</v>
      </c>
      <c r="Q63" s="217" t="s">
        <v>115</v>
      </c>
      <c r="R63" s="319" t="s">
        <v>115</v>
      </c>
    </row>
    <row r="64" spans="1:18" ht="11.25" customHeight="1">
      <c r="A64" s="126" t="s">
        <v>199</v>
      </c>
      <c r="B64" s="486" t="s">
        <v>200</v>
      </c>
      <c r="C64" s="163">
        <v>3.8E-3</v>
      </c>
      <c r="D64" s="158" t="s">
        <v>115</v>
      </c>
      <c r="E64" s="158">
        <v>0.52</v>
      </c>
      <c r="F64" s="158" t="s">
        <v>115</v>
      </c>
      <c r="G64" s="158">
        <v>6.8999999999999999E-3</v>
      </c>
      <c r="H64" s="158" t="s">
        <v>115</v>
      </c>
      <c r="I64" s="1344" t="s">
        <v>115</v>
      </c>
      <c r="J64" s="485">
        <v>3.5999999999999999E-3</v>
      </c>
      <c r="K64" s="158" t="s">
        <v>115</v>
      </c>
      <c r="L64" s="158">
        <v>5.2999999999999999E-2</v>
      </c>
      <c r="M64" s="158" t="s">
        <v>115</v>
      </c>
      <c r="N64" s="158" t="s">
        <v>115</v>
      </c>
      <c r="O64" s="158" t="s">
        <v>115</v>
      </c>
      <c r="P64" s="1345" t="s">
        <v>115</v>
      </c>
      <c r="Q64" s="217" t="s">
        <v>115</v>
      </c>
      <c r="R64" s="319" t="s">
        <v>115</v>
      </c>
    </row>
    <row r="65" spans="1:18" ht="11.25" customHeight="1">
      <c r="A65" s="126" t="s">
        <v>201</v>
      </c>
      <c r="B65" s="486" t="s">
        <v>202</v>
      </c>
      <c r="C65" s="163">
        <v>3.8E-3</v>
      </c>
      <c r="D65" s="158" t="s">
        <v>115</v>
      </c>
      <c r="E65" s="158">
        <v>0.52</v>
      </c>
      <c r="F65" s="158" t="s">
        <v>115</v>
      </c>
      <c r="G65" s="158" t="s">
        <v>115</v>
      </c>
      <c r="H65" s="158" t="s">
        <v>115</v>
      </c>
      <c r="I65" s="1344" t="s">
        <v>115</v>
      </c>
      <c r="J65" s="485">
        <v>3.5999999999999999E-3</v>
      </c>
      <c r="K65" s="158" t="s">
        <v>115</v>
      </c>
      <c r="L65" s="158">
        <v>5.2999999999999999E-2</v>
      </c>
      <c r="M65" s="158" t="s">
        <v>115</v>
      </c>
      <c r="N65" s="158" t="s">
        <v>115</v>
      </c>
      <c r="O65" s="158" t="s">
        <v>115</v>
      </c>
      <c r="P65" s="1345" t="s">
        <v>115</v>
      </c>
      <c r="Q65" s="217" t="s">
        <v>115</v>
      </c>
      <c r="R65" s="319" t="s">
        <v>115</v>
      </c>
    </row>
    <row r="66" spans="1:18" ht="11.25" customHeight="1">
      <c r="A66" s="126" t="s">
        <v>203</v>
      </c>
      <c r="B66" s="486" t="s">
        <v>204</v>
      </c>
      <c r="C66" s="163">
        <v>3.68</v>
      </c>
      <c r="D66" s="158" t="s">
        <v>115</v>
      </c>
      <c r="E66" s="158">
        <v>6</v>
      </c>
      <c r="F66" s="158" t="s">
        <v>115</v>
      </c>
      <c r="G66" s="158" t="s">
        <v>115</v>
      </c>
      <c r="H66" s="158" t="s">
        <v>115</v>
      </c>
      <c r="I66" s="1344" t="s">
        <v>115</v>
      </c>
      <c r="J66" s="485" t="s">
        <v>115</v>
      </c>
      <c r="K66" s="158">
        <v>129</v>
      </c>
      <c r="L66" s="158" t="s">
        <v>115</v>
      </c>
      <c r="M66" s="158">
        <v>160</v>
      </c>
      <c r="N66" s="158" t="s">
        <v>115</v>
      </c>
      <c r="O66" s="158" t="s">
        <v>115</v>
      </c>
      <c r="P66" s="1345" t="s">
        <v>115</v>
      </c>
      <c r="Q66" s="217" t="s">
        <v>115</v>
      </c>
      <c r="R66" s="319" t="s">
        <v>115</v>
      </c>
    </row>
    <row r="67" spans="1:18" ht="11.25" customHeight="1">
      <c r="A67" s="126" t="s">
        <v>205</v>
      </c>
      <c r="B67" s="486" t="s">
        <v>206</v>
      </c>
      <c r="C67" s="163" t="s">
        <v>115</v>
      </c>
      <c r="D67" s="158">
        <v>9.3000000000000007</v>
      </c>
      <c r="E67" s="158" t="s">
        <v>115</v>
      </c>
      <c r="F67" s="158">
        <v>90</v>
      </c>
      <c r="G67" s="158" t="s">
        <v>115</v>
      </c>
      <c r="H67" s="158" t="s">
        <v>115</v>
      </c>
      <c r="I67" s="1344" t="s">
        <v>115</v>
      </c>
      <c r="J67" s="485" t="s">
        <v>115</v>
      </c>
      <c r="K67" s="158" t="s">
        <v>115</v>
      </c>
      <c r="L67" s="158" t="s">
        <v>115</v>
      </c>
      <c r="M67" s="158">
        <v>32</v>
      </c>
      <c r="N67" s="158" t="s">
        <v>115</v>
      </c>
      <c r="O67" s="158" t="s">
        <v>115</v>
      </c>
      <c r="P67" s="1345" t="s">
        <v>115</v>
      </c>
      <c r="Q67" s="217" t="s">
        <v>115</v>
      </c>
      <c r="R67" s="319" t="s">
        <v>115</v>
      </c>
    </row>
    <row r="68" spans="1:18" ht="11.25" customHeight="1">
      <c r="A68" s="2104" t="s">
        <v>4279</v>
      </c>
      <c r="B68" s="486" t="s">
        <v>208</v>
      </c>
      <c r="C68" s="163" t="s">
        <v>115</v>
      </c>
      <c r="D68" s="158" t="s">
        <v>115</v>
      </c>
      <c r="E68" s="158">
        <v>0.95</v>
      </c>
      <c r="F68" s="158" t="s">
        <v>115</v>
      </c>
      <c r="G68" s="158">
        <v>0.08</v>
      </c>
      <c r="H68" s="158" t="s">
        <v>115</v>
      </c>
      <c r="I68" s="1344" t="s">
        <v>115</v>
      </c>
      <c r="J68" s="485" t="s">
        <v>115</v>
      </c>
      <c r="K68" s="158" t="s">
        <v>115</v>
      </c>
      <c r="L68" s="158">
        <v>0.16</v>
      </c>
      <c r="M68" s="158" t="s">
        <v>115</v>
      </c>
      <c r="N68" s="158" t="s">
        <v>115</v>
      </c>
      <c r="O68" s="158" t="s">
        <v>115</v>
      </c>
      <c r="P68" s="1345" t="s">
        <v>115</v>
      </c>
      <c r="Q68" s="217" t="s">
        <v>115</v>
      </c>
      <c r="R68" s="319" t="s">
        <v>115</v>
      </c>
    </row>
    <row r="69" spans="1:18" ht="11.25" customHeight="1">
      <c r="A69" s="126" t="s">
        <v>209</v>
      </c>
      <c r="B69" s="486" t="s">
        <v>210</v>
      </c>
      <c r="C69" s="163" t="s">
        <v>115</v>
      </c>
      <c r="D69" s="158">
        <v>540</v>
      </c>
      <c r="E69" s="158" t="s">
        <v>115</v>
      </c>
      <c r="F69" s="158">
        <v>980</v>
      </c>
      <c r="G69" s="158">
        <v>12</v>
      </c>
      <c r="H69" s="158" t="s">
        <v>115</v>
      </c>
      <c r="I69" s="1344" t="s">
        <v>115</v>
      </c>
      <c r="J69" s="485" t="s">
        <v>115</v>
      </c>
      <c r="K69" s="158" t="s">
        <v>115</v>
      </c>
      <c r="L69" s="158" t="s">
        <v>115</v>
      </c>
      <c r="M69" s="158">
        <v>940</v>
      </c>
      <c r="N69" s="158" t="s">
        <v>115</v>
      </c>
      <c r="O69" s="158" t="s">
        <v>115</v>
      </c>
      <c r="P69" s="1345" t="s">
        <v>115</v>
      </c>
      <c r="Q69" s="217" t="s">
        <v>115</v>
      </c>
      <c r="R69" s="319" t="s">
        <v>115</v>
      </c>
    </row>
    <row r="70" spans="1:18" ht="11.25" customHeight="1">
      <c r="A70" s="126" t="s">
        <v>211</v>
      </c>
      <c r="B70" s="486" t="s">
        <v>212</v>
      </c>
      <c r="C70" s="163">
        <v>2.5</v>
      </c>
      <c r="D70" s="158" t="s">
        <v>115</v>
      </c>
      <c r="E70" s="158">
        <v>65</v>
      </c>
      <c r="F70" s="158" t="s">
        <v>115</v>
      </c>
      <c r="G70" s="158">
        <v>2.5</v>
      </c>
      <c r="H70" s="158" t="s">
        <v>115</v>
      </c>
      <c r="I70" s="1344" t="s">
        <v>115</v>
      </c>
      <c r="J70" s="485">
        <v>8.1</v>
      </c>
      <c r="K70" s="158" t="s">
        <v>115</v>
      </c>
      <c r="L70" s="158">
        <v>210</v>
      </c>
      <c r="M70" s="158" t="s">
        <v>115</v>
      </c>
      <c r="N70" s="158">
        <v>8.1</v>
      </c>
      <c r="O70" s="158" t="s">
        <v>115</v>
      </c>
      <c r="P70" s="1345" t="s">
        <v>115</v>
      </c>
      <c r="Q70" s="217" t="s">
        <v>115</v>
      </c>
      <c r="R70" s="319" t="s">
        <v>115</v>
      </c>
    </row>
    <row r="71" spans="1:18" ht="11.25" customHeight="1">
      <c r="A71" s="126" t="s">
        <v>213</v>
      </c>
      <c r="B71" s="486" t="s">
        <v>214</v>
      </c>
      <c r="C71" s="163">
        <v>0.77</v>
      </c>
      <c r="D71" s="158" t="s">
        <v>115</v>
      </c>
      <c r="E71" s="158">
        <v>1.4</v>
      </c>
      <c r="F71" s="158" t="s">
        <v>115</v>
      </c>
      <c r="G71" s="158">
        <v>1.3</v>
      </c>
      <c r="H71" s="158" t="s">
        <v>115</v>
      </c>
      <c r="I71" s="1344" t="s">
        <v>115</v>
      </c>
      <c r="J71" s="485">
        <v>0.94</v>
      </c>
      <c r="K71" s="158" t="s">
        <v>115</v>
      </c>
      <c r="L71" s="158">
        <v>1.8</v>
      </c>
      <c r="M71" s="158" t="s">
        <v>115</v>
      </c>
      <c r="N71" s="158">
        <v>1.1000000000000001</v>
      </c>
      <c r="O71" s="158" t="s">
        <v>115</v>
      </c>
      <c r="P71" s="1345" t="s">
        <v>115</v>
      </c>
      <c r="Q71" s="217" t="s">
        <v>115</v>
      </c>
      <c r="R71" s="319" t="s">
        <v>115</v>
      </c>
    </row>
    <row r="72" spans="1:18" ht="11.25" customHeight="1">
      <c r="A72" s="126" t="s">
        <v>215</v>
      </c>
      <c r="B72" s="486" t="s">
        <v>216</v>
      </c>
      <c r="C72" s="163" t="s">
        <v>115</v>
      </c>
      <c r="D72" s="158" t="s">
        <v>115</v>
      </c>
      <c r="E72" s="158">
        <v>0.03</v>
      </c>
      <c r="F72" s="158" t="s">
        <v>115</v>
      </c>
      <c r="G72" s="158">
        <v>1.9E-2</v>
      </c>
      <c r="H72" s="158" t="s">
        <v>115</v>
      </c>
      <c r="I72" s="1344" t="s">
        <v>115</v>
      </c>
      <c r="J72" s="485" t="s">
        <v>115</v>
      </c>
      <c r="K72" s="158" t="s">
        <v>115</v>
      </c>
      <c r="L72" s="158">
        <v>0.03</v>
      </c>
      <c r="M72" s="158" t="s">
        <v>115</v>
      </c>
      <c r="N72" s="158" t="s">
        <v>115</v>
      </c>
      <c r="O72" s="158" t="s">
        <v>115</v>
      </c>
      <c r="P72" s="1345" t="s">
        <v>115</v>
      </c>
      <c r="Q72" s="217" t="s">
        <v>115</v>
      </c>
      <c r="R72" s="319" t="s">
        <v>115</v>
      </c>
    </row>
    <row r="73" spans="1:18" ht="11.25" customHeight="1">
      <c r="A73" s="126" t="s">
        <v>217</v>
      </c>
      <c r="B73" s="486" t="s">
        <v>218</v>
      </c>
      <c r="C73" s="163" t="s">
        <v>115</v>
      </c>
      <c r="D73" s="158" t="s">
        <v>115</v>
      </c>
      <c r="E73" s="158" t="s">
        <v>115</v>
      </c>
      <c r="F73" s="158">
        <v>11000</v>
      </c>
      <c r="G73" s="158" t="s">
        <v>115</v>
      </c>
      <c r="H73" s="158">
        <v>2200</v>
      </c>
      <c r="I73" s="165" t="s">
        <v>1594</v>
      </c>
      <c r="J73" s="485" t="s">
        <v>115</v>
      </c>
      <c r="K73" s="158">
        <v>6400</v>
      </c>
      <c r="L73" s="158" t="s">
        <v>115</v>
      </c>
      <c r="M73" s="158">
        <v>12000</v>
      </c>
      <c r="N73" s="158" t="s">
        <v>115</v>
      </c>
      <c r="O73" s="158" t="s">
        <v>115</v>
      </c>
      <c r="P73" s="1345" t="s">
        <v>115</v>
      </c>
      <c r="Q73" s="217" t="s">
        <v>115</v>
      </c>
      <c r="R73" s="319" t="s">
        <v>115</v>
      </c>
    </row>
    <row r="74" spans="1:18" ht="11.25" customHeight="1">
      <c r="A74" s="126" t="s">
        <v>219</v>
      </c>
      <c r="B74" s="486" t="s">
        <v>220</v>
      </c>
      <c r="C74" s="163" t="s">
        <v>115</v>
      </c>
      <c r="D74" s="158" t="s">
        <v>115</v>
      </c>
      <c r="E74" s="158" t="s">
        <v>115</v>
      </c>
      <c r="F74" s="158" t="s">
        <v>115</v>
      </c>
      <c r="G74" s="158" t="s">
        <v>115</v>
      </c>
      <c r="H74" s="158">
        <v>14000</v>
      </c>
      <c r="I74" s="165" t="s">
        <v>1594</v>
      </c>
      <c r="J74" s="485" t="s">
        <v>115</v>
      </c>
      <c r="K74" s="158" t="s">
        <v>115</v>
      </c>
      <c r="L74" s="158" t="s">
        <v>115</v>
      </c>
      <c r="M74" s="158" t="s">
        <v>115</v>
      </c>
      <c r="N74" s="158" t="s">
        <v>115</v>
      </c>
      <c r="O74" s="158" t="s">
        <v>115</v>
      </c>
      <c r="P74" s="1345" t="s">
        <v>115</v>
      </c>
      <c r="Q74" s="217" t="s">
        <v>115</v>
      </c>
      <c r="R74" s="319" t="s">
        <v>115</v>
      </c>
    </row>
    <row r="75" spans="1:18" ht="11.25" customHeight="1">
      <c r="A75" s="126" t="s">
        <v>221</v>
      </c>
      <c r="B75" s="486" t="s">
        <v>222</v>
      </c>
      <c r="C75" s="163" t="s">
        <v>115</v>
      </c>
      <c r="D75" s="158" t="s">
        <v>115</v>
      </c>
      <c r="E75" s="158" t="s">
        <v>115</v>
      </c>
      <c r="F75" s="158" t="s">
        <v>115</v>
      </c>
      <c r="G75" s="158" t="s">
        <v>115</v>
      </c>
      <c r="H75" s="158">
        <v>170</v>
      </c>
      <c r="I75" s="165" t="s">
        <v>1594</v>
      </c>
      <c r="J75" s="485" t="s">
        <v>115</v>
      </c>
      <c r="K75" s="158" t="s">
        <v>115</v>
      </c>
      <c r="L75" s="158" t="s">
        <v>115</v>
      </c>
      <c r="M75" s="158" t="s">
        <v>115</v>
      </c>
      <c r="N75" s="158" t="s">
        <v>115</v>
      </c>
      <c r="O75" s="158" t="s">
        <v>115</v>
      </c>
      <c r="P75" s="1345" t="s">
        <v>115</v>
      </c>
      <c r="Q75" s="217" t="s">
        <v>115</v>
      </c>
      <c r="R75" s="319" t="s">
        <v>115</v>
      </c>
    </row>
    <row r="76" spans="1:18" ht="11.25" customHeight="1">
      <c r="A76" s="126" t="s">
        <v>223</v>
      </c>
      <c r="B76" s="486" t="s">
        <v>224</v>
      </c>
      <c r="C76" s="163" t="s">
        <v>115</v>
      </c>
      <c r="D76" s="158" t="s">
        <v>115</v>
      </c>
      <c r="E76" s="158" t="s">
        <v>115</v>
      </c>
      <c r="F76" s="158" t="s">
        <v>115</v>
      </c>
      <c r="G76" s="158">
        <v>3.0000000000000001E-3</v>
      </c>
      <c r="H76" s="158" t="s">
        <v>115</v>
      </c>
      <c r="I76" s="1344" t="s">
        <v>115</v>
      </c>
      <c r="J76" s="485" t="s">
        <v>115</v>
      </c>
      <c r="K76" s="158" t="s">
        <v>115</v>
      </c>
      <c r="L76" s="158" t="s">
        <v>115</v>
      </c>
      <c r="M76" s="158" t="s">
        <v>115</v>
      </c>
      <c r="N76" s="158" t="s">
        <v>115</v>
      </c>
      <c r="O76" s="158" t="s">
        <v>115</v>
      </c>
      <c r="P76" s="1345" t="s">
        <v>115</v>
      </c>
      <c r="Q76" s="217" t="s">
        <v>115</v>
      </c>
      <c r="R76" s="319" t="s">
        <v>115</v>
      </c>
    </row>
    <row r="77" spans="1:18" ht="11.25" customHeight="1">
      <c r="A77" s="126" t="s">
        <v>225</v>
      </c>
      <c r="B77" s="486" t="s">
        <v>226</v>
      </c>
      <c r="C77" s="163" t="s">
        <v>115</v>
      </c>
      <c r="D77" s="158" t="s">
        <v>115</v>
      </c>
      <c r="E77" s="158" t="s">
        <v>115</v>
      </c>
      <c r="F77" s="158" t="s">
        <v>115</v>
      </c>
      <c r="G77" s="158" t="s">
        <v>115</v>
      </c>
      <c r="H77" s="158">
        <v>2.1</v>
      </c>
      <c r="I77" s="165" t="s">
        <v>1594</v>
      </c>
      <c r="J77" s="485" t="s">
        <v>115</v>
      </c>
      <c r="K77" s="158" t="s">
        <v>115</v>
      </c>
      <c r="L77" s="158" t="s">
        <v>115</v>
      </c>
      <c r="M77" s="158">
        <v>300</v>
      </c>
      <c r="N77" s="158" t="s">
        <v>115</v>
      </c>
      <c r="O77" s="158" t="s">
        <v>115</v>
      </c>
      <c r="P77" s="1345" t="s">
        <v>115</v>
      </c>
      <c r="Q77" s="217" t="s">
        <v>115</v>
      </c>
      <c r="R77" s="319" t="s">
        <v>115</v>
      </c>
    </row>
    <row r="78" spans="1:18" ht="11.25" customHeight="1">
      <c r="A78" s="126" t="s">
        <v>227</v>
      </c>
      <c r="B78" s="486" t="s">
        <v>228</v>
      </c>
      <c r="C78" s="163" t="s">
        <v>115</v>
      </c>
      <c r="D78" s="158" t="s">
        <v>115</v>
      </c>
      <c r="E78" s="158" t="s">
        <v>115</v>
      </c>
      <c r="F78" s="158" t="s">
        <v>115</v>
      </c>
      <c r="G78" s="158" t="s">
        <v>115</v>
      </c>
      <c r="H78" s="158" t="s">
        <v>115</v>
      </c>
      <c r="I78" s="1344" t="s">
        <v>115</v>
      </c>
      <c r="J78" s="485" t="s">
        <v>115</v>
      </c>
      <c r="K78" s="158" t="s">
        <v>115</v>
      </c>
      <c r="L78" s="158" t="s">
        <v>115</v>
      </c>
      <c r="M78" s="158" t="s">
        <v>115</v>
      </c>
      <c r="N78" s="158" t="s">
        <v>115</v>
      </c>
      <c r="O78" s="158" t="s">
        <v>115</v>
      </c>
      <c r="P78" s="1345" t="s">
        <v>115</v>
      </c>
      <c r="Q78" s="217" t="s">
        <v>115</v>
      </c>
      <c r="R78" s="319" t="s">
        <v>115</v>
      </c>
    </row>
    <row r="79" spans="1:18" ht="11.25" customHeight="1">
      <c r="A79" s="126" t="s">
        <v>229</v>
      </c>
      <c r="B79" s="486" t="s">
        <v>230</v>
      </c>
      <c r="C79" s="163" t="s">
        <v>115</v>
      </c>
      <c r="D79" s="158" t="s">
        <v>115</v>
      </c>
      <c r="E79" s="158" t="s">
        <v>115</v>
      </c>
      <c r="F79" s="158" t="s">
        <v>115</v>
      </c>
      <c r="G79" s="158">
        <v>240</v>
      </c>
      <c r="H79" s="158" t="s">
        <v>115</v>
      </c>
      <c r="I79" s="1344" t="s">
        <v>115</v>
      </c>
      <c r="J79" s="485" t="s">
        <v>115</v>
      </c>
      <c r="K79" s="158" t="s">
        <v>115</v>
      </c>
      <c r="L79" s="158" t="s">
        <v>115</v>
      </c>
      <c r="M79" s="158" t="s">
        <v>115</v>
      </c>
      <c r="N79" s="158" t="s">
        <v>115</v>
      </c>
      <c r="O79" s="158" t="s">
        <v>115</v>
      </c>
      <c r="P79" s="1345" t="s">
        <v>115</v>
      </c>
      <c r="Q79" s="217" t="s">
        <v>115</v>
      </c>
      <c r="R79" s="319" t="s">
        <v>115</v>
      </c>
    </row>
    <row r="80" spans="1:18" ht="11.25" customHeight="1">
      <c r="A80" s="126" t="s">
        <v>231</v>
      </c>
      <c r="B80" s="486" t="s">
        <v>232</v>
      </c>
      <c r="C80" s="163">
        <v>52</v>
      </c>
      <c r="D80" s="158" t="s">
        <v>115</v>
      </c>
      <c r="E80" s="158">
        <v>470</v>
      </c>
      <c r="F80" s="158" t="s">
        <v>115</v>
      </c>
      <c r="G80" s="158">
        <v>160</v>
      </c>
      <c r="H80" s="158" t="s">
        <v>115</v>
      </c>
      <c r="I80" s="1344" t="s">
        <v>115</v>
      </c>
      <c r="J80" s="485">
        <v>8.1999999999999993</v>
      </c>
      <c r="K80" s="158" t="s">
        <v>115</v>
      </c>
      <c r="L80" s="158">
        <v>74</v>
      </c>
      <c r="M80" s="158" t="s">
        <v>115</v>
      </c>
      <c r="N80" s="158">
        <v>8.1999999999999993</v>
      </c>
      <c r="O80" s="158" t="s">
        <v>115</v>
      </c>
      <c r="P80" s="1345" t="s">
        <v>115</v>
      </c>
      <c r="Q80" s="217" t="s">
        <v>115</v>
      </c>
      <c r="R80" s="319" t="s">
        <v>115</v>
      </c>
    </row>
    <row r="81" spans="1:18" ht="11.25" customHeight="1">
      <c r="A81" s="126" t="s">
        <v>233</v>
      </c>
      <c r="B81" s="486" t="s">
        <v>234</v>
      </c>
      <c r="C81" s="163" t="s">
        <v>115</v>
      </c>
      <c r="D81" s="158">
        <v>520</v>
      </c>
      <c r="E81" s="158" t="s">
        <v>115</v>
      </c>
      <c r="F81" s="158">
        <v>1700</v>
      </c>
      <c r="G81" s="158">
        <v>23</v>
      </c>
      <c r="H81" s="158" t="s">
        <v>115</v>
      </c>
      <c r="I81" s="1344" t="s">
        <v>115</v>
      </c>
      <c r="J81" s="485" t="s">
        <v>115</v>
      </c>
      <c r="K81" s="158">
        <v>710</v>
      </c>
      <c r="L81" s="158" t="s">
        <v>115</v>
      </c>
      <c r="M81" s="158">
        <v>970</v>
      </c>
      <c r="N81" s="158">
        <v>40</v>
      </c>
      <c r="O81" s="158" t="s">
        <v>115</v>
      </c>
      <c r="P81" s="1345" t="s">
        <v>115</v>
      </c>
      <c r="Q81" s="217" t="s">
        <v>115</v>
      </c>
      <c r="R81" s="319" t="s">
        <v>115</v>
      </c>
    </row>
    <row r="82" spans="1:18" ht="11.25" customHeight="1">
      <c r="A82" s="126" t="s">
        <v>235</v>
      </c>
      <c r="B82" s="486" t="s">
        <v>236</v>
      </c>
      <c r="C82" s="163" t="s">
        <v>115</v>
      </c>
      <c r="D82" s="158" t="s">
        <v>115</v>
      </c>
      <c r="E82" s="158" t="s">
        <v>115</v>
      </c>
      <c r="F82" s="158" t="s">
        <v>115</v>
      </c>
      <c r="G82" s="158" t="s">
        <v>115</v>
      </c>
      <c r="H82" s="158">
        <v>0.73</v>
      </c>
      <c r="I82" s="1344" t="s">
        <v>1594</v>
      </c>
      <c r="J82" s="485" t="s">
        <v>115</v>
      </c>
      <c r="K82" s="158" t="s">
        <v>115</v>
      </c>
      <c r="L82" s="158" t="s">
        <v>115</v>
      </c>
      <c r="M82" s="158" t="s">
        <v>115</v>
      </c>
      <c r="N82" s="158" t="s">
        <v>115</v>
      </c>
      <c r="O82" s="158" t="s">
        <v>115</v>
      </c>
      <c r="P82" s="1345" t="s">
        <v>115</v>
      </c>
      <c r="Q82" s="217" t="s">
        <v>115</v>
      </c>
      <c r="R82" s="319" t="s">
        <v>115</v>
      </c>
    </row>
    <row r="83" spans="1:18" ht="11.25" customHeight="1">
      <c r="A83" s="126" t="s">
        <v>237</v>
      </c>
      <c r="B83" s="486" t="s">
        <v>238</v>
      </c>
      <c r="C83" s="163" t="s">
        <v>115</v>
      </c>
      <c r="D83" s="158" t="s">
        <v>115</v>
      </c>
      <c r="E83" s="158" t="s">
        <v>115</v>
      </c>
      <c r="F83" s="158" t="s">
        <v>115</v>
      </c>
      <c r="G83" s="158" t="s">
        <v>115</v>
      </c>
      <c r="H83" s="158">
        <v>2.7E-2</v>
      </c>
      <c r="I83" s="1344" t="s">
        <v>1594</v>
      </c>
      <c r="J83" s="485" t="s">
        <v>115</v>
      </c>
      <c r="K83" s="158" t="s">
        <v>115</v>
      </c>
      <c r="L83" s="158" t="s">
        <v>115</v>
      </c>
      <c r="M83" s="158" t="s">
        <v>115</v>
      </c>
      <c r="N83" s="158" t="s">
        <v>115</v>
      </c>
      <c r="O83" s="158" t="s">
        <v>115</v>
      </c>
      <c r="P83" s="1345" t="s">
        <v>115</v>
      </c>
      <c r="Q83" s="217" t="s">
        <v>115</v>
      </c>
      <c r="R83" s="319" t="s">
        <v>115</v>
      </c>
    </row>
    <row r="84" spans="1:18" ht="11.25" customHeight="1">
      <c r="A84" s="126" t="s">
        <v>239</v>
      </c>
      <c r="B84" s="486" t="s">
        <v>240</v>
      </c>
      <c r="C84" s="163" t="s">
        <v>115</v>
      </c>
      <c r="D84" s="158" t="s">
        <v>115</v>
      </c>
      <c r="E84" s="158" t="s">
        <v>115</v>
      </c>
      <c r="F84" s="158" t="s">
        <v>115</v>
      </c>
      <c r="G84" s="158">
        <v>1.4E-2</v>
      </c>
      <c r="H84" s="158" t="s">
        <v>115</v>
      </c>
      <c r="I84" s="1344" t="s">
        <v>115</v>
      </c>
      <c r="J84" s="485" t="s">
        <v>115</v>
      </c>
      <c r="K84" s="158" t="s">
        <v>115</v>
      </c>
      <c r="L84" s="158" t="s">
        <v>115</v>
      </c>
      <c r="M84" s="158" t="s">
        <v>115</v>
      </c>
      <c r="N84" s="158" t="s">
        <v>115</v>
      </c>
      <c r="O84" s="158" t="s">
        <v>115</v>
      </c>
      <c r="P84" s="1345" t="s">
        <v>115</v>
      </c>
      <c r="Q84" s="217" t="s">
        <v>115</v>
      </c>
      <c r="R84" s="319" t="s">
        <v>115</v>
      </c>
    </row>
    <row r="85" spans="1:18" ht="11.25" customHeight="1">
      <c r="A85" s="126" t="s">
        <v>241</v>
      </c>
      <c r="B85" s="486" t="s">
        <v>242</v>
      </c>
      <c r="C85" s="163" t="s">
        <v>115</v>
      </c>
      <c r="D85" s="158" t="s">
        <v>115</v>
      </c>
      <c r="E85" s="158" t="s">
        <v>115</v>
      </c>
      <c r="F85" s="158" t="s">
        <v>115</v>
      </c>
      <c r="G85" s="158" t="s">
        <v>115</v>
      </c>
      <c r="H85" s="158" t="s">
        <v>115</v>
      </c>
      <c r="I85" s="1344" t="s">
        <v>115</v>
      </c>
      <c r="J85" s="485" t="s">
        <v>115</v>
      </c>
      <c r="K85" s="158" t="s">
        <v>115</v>
      </c>
      <c r="L85" s="158" t="s">
        <v>115</v>
      </c>
      <c r="M85" s="158" t="s">
        <v>115</v>
      </c>
      <c r="N85" s="158" t="s">
        <v>115</v>
      </c>
      <c r="O85" s="158" t="s">
        <v>115</v>
      </c>
      <c r="P85" s="1345" t="s">
        <v>115</v>
      </c>
      <c r="Q85" s="217" t="s">
        <v>115</v>
      </c>
      <c r="R85" s="319" t="s">
        <v>115</v>
      </c>
    </row>
    <row r="86" spans="1:18" ht="11.25" customHeight="1">
      <c r="A86" s="126" t="s">
        <v>243</v>
      </c>
      <c r="B86" s="486" t="s">
        <v>244</v>
      </c>
      <c r="C86" s="163" t="s">
        <v>115</v>
      </c>
      <c r="D86" s="158" t="s">
        <v>115</v>
      </c>
      <c r="E86" s="158" t="s">
        <v>115</v>
      </c>
      <c r="F86" s="158" t="s">
        <v>115</v>
      </c>
      <c r="G86" s="158" t="s">
        <v>115</v>
      </c>
      <c r="H86" s="158">
        <v>3.7</v>
      </c>
      <c r="I86" s="1344" t="s">
        <v>1595</v>
      </c>
      <c r="J86" s="485" t="s">
        <v>115</v>
      </c>
      <c r="K86" s="158" t="s">
        <v>115</v>
      </c>
      <c r="L86" s="158" t="s">
        <v>115</v>
      </c>
      <c r="M86" s="158" t="s">
        <v>115</v>
      </c>
      <c r="N86" s="158" t="s">
        <v>115</v>
      </c>
      <c r="O86" s="158" t="s">
        <v>115</v>
      </c>
      <c r="P86" s="1345" t="s">
        <v>115</v>
      </c>
      <c r="Q86" s="217" t="s">
        <v>115</v>
      </c>
      <c r="R86" s="319" t="s">
        <v>115</v>
      </c>
    </row>
    <row r="87" spans="1:18" ht="11.25" customHeight="1">
      <c r="A87" s="126" t="s">
        <v>245</v>
      </c>
      <c r="B87" s="486" t="s">
        <v>246</v>
      </c>
      <c r="C87" s="163" t="s">
        <v>115</v>
      </c>
      <c r="D87" s="158" t="s">
        <v>115</v>
      </c>
      <c r="E87" s="158" t="s">
        <v>115</v>
      </c>
      <c r="F87" s="158" t="s">
        <v>115</v>
      </c>
      <c r="G87" s="158" t="s">
        <v>115</v>
      </c>
      <c r="H87" s="158">
        <v>0.35</v>
      </c>
      <c r="I87" s="1344" t="s">
        <v>1595</v>
      </c>
      <c r="J87" s="485" t="s">
        <v>115</v>
      </c>
      <c r="K87" s="158" t="s">
        <v>115</v>
      </c>
      <c r="L87" s="158" t="s">
        <v>115</v>
      </c>
      <c r="M87" s="158" t="s">
        <v>115</v>
      </c>
      <c r="N87" s="158" t="s">
        <v>115</v>
      </c>
      <c r="O87" s="158" t="s">
        <v>115</v>
      </c>
      <c r="P87" s="1345" t="s">
        <v>115</v>
      </c>
      <c r="Q87" s="217" t="s">
        <v>115</v>
      </c>
      <c r="R87" s="319" t="s">
        <v>115</v>
      </c>
    </row>
    <row r="88" spans="1:18" ht="11.25" customHeight="1">
      <c r="A88" s="126" t="s">
        <v>247</v>
      </c>
      <c r="B88" s="486" t="s">
        <v>248</v>
      </c>
      <c r="C88" s="163" t="s">
        <v>115</v>
      </c>
      <c r="D88" s="158" t="s">
        <v>115</v>
      </c>
      <c r="E88" s="158" t="s">
        <v>115</v>
      </c>
      <c r="F88" s="158" t="s">
        <v>115</v>
      </c>
      <c r="G88" s="158" t="s">
        <v>115</v>
      </c>
      <c r="H88" s="158">
        <v>7.5</v>
      </c>
      <c r="I88" s="1344" t="s">
        <v>1595</v>
      </c>
      <c r="J88" s="485" t="s">
        <v>115</v>
      </c>
      <c r="K88" s="158" t="s">
        <v>115</v>
      </c>
      <c r="L88" s="158" t="s">
        <v>115</v>
      </c>
      <c r="M88" s="158" t="s">
        <v>115</v>
      </c>
      <c r="N88" s="158" t="s">
        <v>115</v>
      </c>
      <c r="O88" s="158" t="s">
        <v>115</v>
      </c>
      <c r="P88" s="1345" t="s">
        <v>115</v>
      </c>
      <c r="Q88" s="217" t="s">
        <v>115</v>
      </c>
      <c r="R88" s="319" t="s">
        <v>115</v>
      </c>
    </row>
    <row r="89" spans="1:18" ht="11.25" customHeight="1">
      <c r="A89" s="126" t="s">
        <v>249</v>
      </c>
      <c r="B89" s="486" t="s">
        <v>250</v>
      </c>
      <c r="C89" s="163" t="s">
        <v>115</v>
      </c>
      <c r="D89" s="158" t="s">
        <v>115</v>
      </c>
      <c r="E89" s="158" t="s">
        <v>115</v>
      </c>
      <c r="F89" s="158">
        <v>3980</v>
      </c>
      <c r="G89" s="158">
        <v>8.1</v>
      </c>
      <c r="H89" s="158" t="s">
        <v>115</v>
      </c>
      <c r="I89" s="1344" t="s">
        <v>115</v>
      </c>
      <c r="J89" s="485" t="s">
        <v>115</v>
      </c>
      <c r="K89" s="158">
        <v>16</v>
      </c>
      <c r="L89" s="158" t="s">
        <v>115</v>
      </c>
      <c r="M89" s="158">
        <v>40</v>
      </c>
      <c r="N89" s="158">
        <v>11</v>
      </c>
      <c r="O89" s="158" t="s">
        <v>115</v>
      </c>
      <c r="P89" s="1345" t="s">
        <v>115</v>
      </c>
      <c r="Q89" s="217" t="s">
        <v>115</v>
      </c>
      <c r="R89" s="319" t="s">
        <v>115</v>
      </c>
    </row>
    <row r="90" spans="1:18" ht="11.25" customHeight="1">
      <c r="A90" s="126" t="s">
        <v>251</v>
      </c>
      <c r="B90" s="486" t="s">
        <v>252</v>
      </c>
      <c r="C90" s="163" t="s">
        <v>115</v>
      </c>
      <c r="D90" s="158" t="s">
        <v>115</v>
      </c>
      <c r="E90" s="158" t="s">
        <v>115</v>
      </c>
      <c r="F90" s="158" t="s">
        <v>115</v>
      </c>
      <c r="G90" s="158">
        <v>3.9</v>
      </c>
      <c r="H90" s="158" t="s">
        <v>115</v>
      </c>
      <c r="I90" s="1344" t="s">
        <v>115</v>
      </c>
      <c r="J90" s="485" t="s">
        <v>115</v>
      </c>
      <c r="K90" s="158" t="s">
        <v>115</v>
      </c>
      <c r="L90" s="158" t="s">
        <v>115</v>
      </c>
      <c r="M90" s="158">
        <v>300</v>
      </c>
      <c r="N90" s="158" t="s">
        <v>115</v>
      </c>
      <c r="O90" s="158" t="s">
        <v>115</v>
      </c>
      <c r="P90" s="1345" t="s">
        <v>115</v>
      </c>
      <c r="Q90" s="217" t="s">
        <v>115</v>
      </c>
      <c r="R90" s="319" t="s">
        <v>115</v>
      </c>
    </row>
    <row r="91" spans="1:18" ht="11.25" customHeight="1">
      <c r="A91" s="126" t="s">
        <v>253</v>
      </c>
      <c r="B91" s="486" t="s">
        <v>254</v>
      </c>
      <c r="C91" s="163" t="s">
        <v>115</v>
      </c>
      <c r="D91" s="158" t="s">
        <v>115</v>
      </c>
      <c r="E91" s="158" t="s">
        <v>115</v>
      </c>
      <c r="F91" s="158" t="s">
        <v>115</v>
      </c>
      <c r="G91" s="158" t="s">
        <v>115</v>
      </c>
      <c r="H91" s="158" t="s">
        <v>115</v>
      </c>
      <c r="I91" s="1344" t="s">
        <v>115</v>
      </c>
      <c r="J91" s="485" t="s">
        <v>115</v>
      </c>
      <c r="K91" s="158" t="s">
        <v>115</v>
      </c>
      <c r="L91" s="158" t="s">
        <v>115</v>
      </c>
      <c r="M91" s="158" t="s">
        <v>115</v>
      </c>
      <c r="N91" s="158" t="s">
        <v>115</v>
      </c>
      <c r="O91" s="158" t="s">
        <v>115</v>
      </c>
      <c r="P91" s="1345" t="s">
        <v>115</v>
      </c>
      <c r="Q91" s="217" t="s">
        <v>115</v>
      </c>
      <c r="R91" s="319" t="s">
        <v>115</v>
      </c>
    </row>
    <row r="92" spans="1:18" ht="11.25" customHeight="1">
      <c r="A92" s="126" t="s">
        <v>255</v>
      </c>
      <c r="B92" s="486" t="s">
        <v>256</v>
      </c>
      <c r="C92" s="163" t="s">
        <v>115</v>
      </c>
      <c r="D92" s="158">
        <v>620</v>
      </c>
      <c r="E92" s="158" t="s">
        <v>115</v>
      </c>
      <c r="F92" s="158">
        <v>2300</v>
      </c>
      <c r="G92" s="158">
        <v>24</v>
      </c>
      <c r="H92" s="158" t="s">
        <v>115</v>
      </c>
      <c r="I92" s="1344" t="s">
        <v>115</v>
      </c>
      <c r="J92" s="485" t="s">
        <v>115</v>
      </c>
      <c r="K92" s="158" t="s">
        <v>115</v>
      </c>
      <c r="L92" s="158" t="s">
        <v>115</v>
      </c>
      <c r="M92" s="158">
        <v>2350</v>
      </c>
      <c r="N92" s="158" t="s">
        <v>115</v>
      </c>
      <c r="O92" s="158" t="s">
        <v>115</v>
      </c>
      <c r="P92" s="1345" t="s">
        <v>115</v>
      </c>
      <c r="Q92" s="217" t="s">
        <v>115</v>
      </c>
      <c r="R92" s="319" t="s">
        <v>115</v>
      </c>
    </row>
    <row r="93" spans="1:18" ht="11.25" customHeight="1">
      <c r="A93" s="126" t="s">
        <v>257</v>
      </c>
      <c r="B93" s="486" t="s">
        <v>258</v>
      </c>
      <c r="C93" s="163" t="s">
        <v>115</v>
      </c>
      <c r="D93" s="158" t="s">
        <v>115</v>
      </c>
      <c r="E93" s="158" t="s">
        <v>115</v>
      </c>
      <c r="F93" s="158" t="s">
        <v>115</v>
      </c>
      <c r="G93" s="158" t="s">
        <v>115</v>
      </c>
      <c r="H93" s="158">
        <v>2</v>
      </c>
      <c r="I93" s="1344" t="s">
        <v>1595</v>
      </c>
      <c r="J93" s="485" t="s">
        <v>115</v>
      </c>
      <c r="K93" s="158" t="s">
        <v>115</v>
      </c>
      <c r="L93" s="158" t="s">
        <v>115</v>
      </c>
      <c r="M93" s="158" t="s">
        <v>115</v>
      </c>
      <c r="N93" s="158" t="s">
        <v>115</v>
      </c>
      <c r="O93" s="171" t="s">
        <v>115</v>
      </c>
      <c r="P93" s="1345" t="s">
        <v>115</v>
      </c>
      <c r="Q93" s="217" t="s">
        <v>115</v>
      </c>
      <c r="R93" s="319" t="s">
        <v>115</v>
      </c>
    </row>
    <row r="94" spans="1:18" ht="11.25" customHeight="1">
      <c r="A94" s="126" t="s">
        <v>259</v>
      </c>
      <c r="B94" s="486" t="s">
        <v>260</v>
      </c>
      <c r="C94" s="163">
        <v>15</v>
      </c>
      <c r="D94" s="158" t="s">
        <v>115</v>
      </c>
      <c r="E94" s="158">
        <v>19</v>
      </c>
      <c r="F94" s="158" t="s">
        <v>115</v>
      </c>
      <c r="G94" s="158">
        <v>13</v>
      </c>
      <c r="H94" s="158" t="s">
        <v>115</v>
      </c>
      <c r="I94" s="1344" t="s">
        <v>115</v>
      </c>
      <c r="J94" s="485">
        <v>7.9</v>
      </c>
      <c r="K94" s="158" t="s">
        <v>115</v>
      </c>
      <c r="L94" s="158">
        <v>13</v>
      </c>
      <c r="M94" s="158" t="s">
        <v>115</v>
      </c>
      <c r="N94" s="158">
        <v>7.9</v>
      </c>
      <c r="O94" s="158" t="s">
        <v>115</v>
      </c>
      <c r="P94" s="1345" t="s">
        <v>115</v>
      </c>
      <c r="Q94" s="217" t="s">
        <v>115</v>
      </c>
      <c r="R94" s="319" t="s">
        <v>115</v>
      </c>
    </row>
    <row r="95" spans="1:18" ht="11.25" customHeight="1">
      <c r="A95" s="126" t="s">
        <v>261</v>
      </c>
      <c r="B95" s="486" t="s">
        <v>1261</v>
      </c>
      <c r="C95" s="163" t="s">
        <v>115</v>
      </c>
      <c r="D95" s="158" t="s">
        <v>115</v>
      </c>
      <c r="E95" s="158" t="s">
        <v>115</v>
      </c>
      <c r="F95" s="158" t="s">
        <v>115</v>
      </c>
      <c r="G95" s="158">
        <v>600</v>
      </c>
      <c r="H95" s="158" t="s">
        <v>115</v>
      </c>
      <c r="I95" s="1344" t="s">
        <v>115</v>
      </c>
      <c r="J95" s="485" t="s">
        <v>115</v>
      </c>
      <c r="K95" s="158" t="s">
        <v>115</v>
      </c>
      <c r="L95" s="158" t="s">
        <v>115</v>
      </c>
      <c r="M95" s="158" t="s">
        <v>115</v>
      </c>
      <c r="N95" s="158" t="s">
        <v>115</v>
      </c>
      <c r="O95" s="158" t="s">
        <v>115</v>
      </c>
      <c r="P95" s="1345" t="s">
        <v>115</v>
      </c>
      <c r="Q95" s="217" t="s">
        <v>115</v>
      </c>
      <c r="R95" s="319" t="s">
        <v>115</v>
      </c>
    </row>
    <row r="96" spans="1:18" ht="11.25" customHeight="1">
      <c r="A96" s="136" t="s">
        <v>263</v>
      </c>
      <c r="B96" s="487" t="s">
        <v>115</v>
      </c>
      <c r="C96" s="163" t="s">
        <v>115</v>
      </c>
      <c r="D96" s="158" t="s">
        <v>115</v>
      </c>
      <c r="E96" s="158" t="s">
        <v>115</v>
      </c>
      <c r="F96" s="158" t="s">
        <v>115</v>
      </c>
      <c r="G96" s="158" t="s">
        <v>115</v>
      </c>
      <c r="H96" s="158" t="s">
        <v>115</v>
      </c>
      <c r="I96" s="1344" t="s">
        <v>115</v>
      </c>
      <c r="J96" s="485" t="s">
        <v>115</v>
      </c>
      <c r="K96" s="158" t="s">
        <v>115</v>
      </c>
      <c r="L96" s="158" t="s">
        <v>115</v>
      </c>
      <c r="M96" s="158" t="s">
        <v>115</v>
      </c>
      <c r="N96" s="158" t="s">
        <v>115</v>
      </c>
      <c r="O96" s="158" t="s">
        <v>115</v>
      </c>
      <c r="P96" s="1345" t="s">
        <v>115</v>
      </c>
      <c r="Q96" s="217" t="s">
        <v>115</v>
      </c>
      <c r="R96" s="319" t="s">
        <v>115</v>
      </c>
    </row>
    <row r="97" spans="1:18" ht="11.25" customHeight="1">
      <c r="A97" s="136" t="s">
        <v>264</v>
      </c>
      <c r="B97" s="487" t="s">
        <v>115</v>
      </c>
      <c r="C97" s="163" t="s">
        <v>115</v>
      </c>
      <c r="D97" s="158" t="s">
        <v>115</v>
      </c>
      <c r="E97" s="158" t="s">
        <v>115</v>
      </c>
      <c r="F97" s="158" t="s">
        <v>115</v>
      </c>
      <c r="G97" s="158" t="s">
        <v>115</v>
      </c>
      <c r="H97" s="158" t="s">
        <v>115</v>
      </c>
      <c r="I97" s="1344" t="s">
        <v>115</v>
      </c>
      <c r="J97" s="485" t="s">
        <v>115</v>
      </c>
      <c r="K97" s="158" t="s">
        <v>115</v>
      </c>
      <c r="L97" s="158" t="s">
        <v>115</v>
      </c>
      <c r="M97" s="158" t="s">
        <v>115</v>
      </c>
      <c r="N97" s="158" t="s">
        <v>115</v>
      </c>
      <c r="O97" s="158" t="s">
        <v>115</v>
      </c>
      <c r="P97" s="1345" t="s">
        <v>115</v>
      </c>
      <c r="Q97" s="217" t="s">
        <v>115</v>
      </c>
      <c r="R97" s="319" t="s">
        <v>115</v>
      </c>
    </row>
    <row r="98" spans="1:18" ht="11.25" customHeight="1">
      <c r="A98" s="136" t="s">
        <v>265</v>
      </c>
      <c r="B98" s="487" t="s">
        <v>115</v>
      </c>
      <c r="C98" s="163" t="s">
        <v>115</v>
      </c>
      <c r="D98" s="158" t="s">
        <v>115</v>
      </c>
      <c r="E98" s="158" t="s">
        <v>115</v>
      </c>
      <c r="F98" s="158" t="s">
        <v>115</v>
      </c>
      <c r="G98" s="158" t="s">
        <v>115</v>
      </c>
      <c r="H98" s="158" t="s">
        <v>115</v>
      </c>
      <c r="I98" s="1344" t="s">
        <v>115</v>
      </c>
      <c r="J98" s="485" t="s">
        <v>115</v>
      </c>
      <c r="K98" s="158" t="s">
        <v>115</v>
      </c>
      <c r="L98" s="158" t="s">
        <v>115</v>
      </c>
      <c r="M98" s="158" t="s">
        <v>115</v>
      </c>
      <c r="N98" s="158" t="s">
        <v>115</v>
      </c>
      <c r="O98" s="158" t="s">
        <v>115</v>
      </c>
      <c r="P98" s="1345" t="s">
        <v>115</v>
      </c>
      <c r="Q98" s="217" t="s">
        <v>115</v>
      </c>
      <c r="R98" s="319" t="s">
        <v>115</v>
      </c>
    </row>
    <row r="99" spans="1:18" ht="11.25" customHeight="1">
      <c r="A99" s="136" t="s">
        <v>266</v>
      </c>
      <c r="B99" s="487" t="s">
        <v>115</v>
      </c>
      <c r="C99" s="163" t="s">
        <v>115</v>
      </c>
      <c r="D99" s="158" t="s">
        <v>115</v>
      </c>
      <c r="E99" s="158" t="s">
        <v>115</v>
      </c>
      <c r="F99" s="158" t="s">
        <v>115</v>
      </c>
      <c r="G99" s="158" t="s">
        <v>115</v>
      </c>
      <c r="H99" s="158" t="s">
        <v>115</v>
      </c>
      <c r="I99" s="1344" t="s">
        <v>115</v>
      </c>
      <c r="J99" s="485" t="s">
        <v>115</v>
      </c>
      <c r="K99" s="158" t="s">
        <v>115</v>
      </c>
      <c r="L99" s="158" t="s">
        <v>115</v>
      </c>
      <c r="M99" s="158" t="s">
        <v>115</v>
      </c>
      <c r="N99" s="158" t="s">
        <v>115</v>
      </c>
      <c r="O99" s="158" t="s">
        <v>115</v>
      </c>
      <c r="P99" s="1345" t="s">
        <v>115</v>
      </c>
      <c r="Q99" s="217" t="s">
        <v>115</v>
      </c>
      <c r="R99" s="319" t="s">
        <v>115</v>
      </c>
    </row>
    <row r="100" spans="1:18" ht="11.25" customHeight="1">
      <c r="A100" s="136" t="s">
        <v>267</v>
      </c>
      <c r="B100" s="487" t="s">
        <v>115</v>
      </c>
      <c r="C100" s="163" t="s">
        <v>115</v>
      </c>
      <c r="D100" s="158" t="s">
        <v>115</v>
      </c>
      <c r="E100" s="158" t="s">
        <v>115</v>
      </c>
      <c r="F100" s="158" t="s">
        <v>115</v>
      </c>
      <c r="G100" s="158" t="s">
        <v>115</v>
      </c>
      <c r="H100" s="158" t="s">
        <v>115</v>
      </c>
      <c r="I100" s="1344" t="s">
        <v>115</v>
      </c>
      <c r="J100" s="485" t="s">
        <v>115</v>
      </c>
      <c r="K100" s="158" t="s">
        <v>115</v>
      </c>
      <c r="L100" s="158" t="s">
        <v>115</v>
      </c>
      <c r="M100" s="158" t="s">
        <v>115</v>
      </c>
      <c r="N100" s="158" t="s">
        <v>115</v>
      </c>
      <c r="O100" s="158" t="s">
        <v>115</v>
      </c>
      <c r="P100" s="1345" t="s">
        <v>115</v>
      </c>
      <c r="Q100" s="217" t="s">
        <v>115</v>
      </c>
      <c r="R100" s="319" t="s">
        <v>115</v>
      </c>
    </row>
    <row r="101" spans="1:18" ht="11.25" customHeight="1">
      <c r="A101" s="136" t="s">
        <v>268</v>
      </c>
      <c r="B101" s="487" t="s">
        <v>115</v>
      </c>
      <c r="C101" s="163" t="s">
        <v>115</v>
      </c>
      <c r="D101" s="158" t="s">
        <v>115</v>
      </c>
      <c r="E101" s="158" t="s">
        <v>115</v>
      </c>
      <c r="F101" s="158" t="s">
        <v>115</v>
      </c>
      <c r="G101" s="158" t="s">
        <v>115</v>
      </c>
      <c r="H101" s="158" t="s">
        <v>115</v>
      </c>
      <c r="I101" s="1344" t="s">
        <v>115</v>
      </c>
      <c r="J101" s="485" t="s">
        <v>115</v>
      </c>
      <c r="K101" s="158" t="s">
        <v>115</v>
      </c>
      <c r="L101" s="158" t="s">
        <v>115</v>
      </c>
      <c r="M101" s="158" t="s">
        <v>115</v>
      </c>
      <c r="N101" s="158" t="s">
        <v>115</v>
      </c>
      <c r="O101" s="158" t="s">
        <v>115</v>
      </c>
      <c r="P101" s="1345" t="s">
        <v>115</v>
      </c>
      <c r="Q101" s="217" t="s">
        <v>115</v>
      </c>
      <c r="R101" s="319" t="s">
        <v>115</v>
      </c>
    </row>
    <row r="102" spans="1:18" ht="11.25" customHeight="1">
      <c r="A102" s="136" t="s">
        <v>719</v>
      </c>
      <c r="B102" s="487" t="s">
        <v>115</v>
      </c>
      <c r="C102" s="163" t="s">
        <v>115</v>
      </c>
      <c r="D102" s="158" t="s">
        <v>115</v>
      </c>
      <c r="E102" s="158" t="s">
        <v>115</v>
      </c>
      <c r="F102" s="158" t="s">
        <v>115</v>
      </c>
      <c r="G102" s="158" t="s">
        <v>115</v>
      </c>
      <c r="H102" s="158" t="s">
        <v>115</v>
      </c>
      <c r="I102" s="1344" t="s">
        <v>115</v>
      </c>
      <c r="J102" s="485" t="s">
        <v>115</v>
      </c>
      <c r="K102" s="158" t="s">
        <v>115</v>
      </c>
      <c r="L102" s="158" t="s">
        <v>115</v>
      </c>
      <c r="M102" s="158" t="s">
        <v>115</v>
      </c>
      <c r="N102" s="158" t="s">
        <v>115</v>
      </c>
      <c r="O102" s="158" t="s">
        <v>115</v>
      </c>
      <c r="P102" s="1345" t="s">
        <v>115</v>
      </c>
      <c r="Q102" s="217" t="s">
        <v>115</v>
      </c>
      <c r="R102" s="319" t="s">
        <v>115</v>
      </c>
    </row>
    <row r="103" spans="1:18" ht="11.25" customHeight="1">
      <c r="A103" s="136" t="s">
        <v>720</v>
      </c>
      <c r="B103" s="487" t="s">
        <v>115</v>
      </c>
      <c r="C103" s="163" t="s">
        <v>115</v>
      </c>
      <c r="D103" s="158" t="s">
        <v>115</v>
      </c>
      <c r="E103" s="158" t="s">
        <v>115</v>
      </c>
      <c r="F103" s="158" t="s">
        <v>115</v>
      </c>
      <c r="G103" s="158" t="s">
        <v>115</v>
      </c>
      <c r="H103" s="158" t="s">
        <v>115</v>
      </c>
      <c r="I103" s="1344" t="s">
        <v>115</v>
      </c>
      <c r="J103" s="485" t="s">
        <v>115</v>
      </c>
      <c r="K103" s="158" t="s">
        <v>115</v>
      </c>
      <c r="L103" s="158" t="s">
        <v>115</v>
      </c>
      <c r="M103" s="158" t="s">
        <v>115</v>
      </c>
      <c r="N103" s="158" t="s">
        <v>115</v>
      </c>
      <c r="O103" s="158" t="s">
        <v>115</v>
      </c>
      <c r="P103" s="1345" t="s">
        <v>115</v>
      </c>
      <c r="Q103" s="217" t="s">
        <v>115</v>
      </c>
      <c r="R103" s="319" t="s">
        <v>115</v>
      </c>
    </row>
    <row r="104" spans="1:18" ht="11.25" customHeight="1">
      <c r="A104" s="136" t="s">
        <v>721</v>
      </c>
      <c r="B104" s="487" t="s">
        <v>115</v>
      </c>
      <c r="C104" s="163" t="s">
        <v>115</v>
      </c>
      <c r="D104" s="158" t="s">
        <v>115</v>
      </c>
      <c r="E104" s="158" t="s">
        <v>115</v>
      </c>
      <c r="F104" s="158" t="s">
        <v>115</v>
      </c>
      <c r="G104" s="158" t="s">
        <v>115</v>
      </c>
      <c r="H104" s="158" t="s">
        <v>115</v>
      </c>
      <c r="I104" s="1344" t="s">
        <v>115</v>
      </c>
      <c r="J104" s="485" t="s">
        <v>115</v>
      </c>
      <c r="K104" s="158" t="s">
        <v>115</v>
      </c>
      <c r="L104" s="158" t="s">
        <v>115</v>
      </c>
      <c r="M104" s="158" t="s">
        <v>115</v>
      </c>
      <c r="N104" s="158" t="s">
        <v>115</v>
      </c>
      <c r="O104" s="158" t="s">
        <v>115</v>
      </c>
      <c r="P104" s="1345" t="s">
        <v>115</v>
      </c>
      <c r="Q104" s="217" t="s">
        <v>115</v>
      </c>
      <c r="R104" s="319" t="s">
        <v>115</v>
      </c>
    </row>
    <row r="105" spans="1:18" ht="11.25" customHeight="1">
      <c r="A105" s="136" t="s">
        <v>722</v>
      </c>
      <c r="B105" s="487" t="s">
        <v>115</v>
      </c>
      <c r="C105" s="163" t="s">
        <v>115</v>
      </c>
      <c r="D105" s="158" t="s">
        <v>115</v>
      </c>
      <c r="E105" s="158" t="s">
        <v>115</v>
      </c>
      <c r="F105" s="158" t="s">
        <v>115</v>
      </c>
      <c r="G105" s="158" t="s">
        <v>115</v>
      </c>
      <c r="H105" s="158" t="s">
        <v>115</v>
      </c>
      <c r="I105" s="1344" t="s">
        <v>115</v>
      </c>
      <c r="J105" s="485" t="s">
        <v>115</v>
      </c>
      <c r="K105" s="158" t="s">
        <v>115</v>
      </c>
      <c r="L105" s="158" t="s">
        <v>115</v>
      </c>
      <c r="M105" s="158" t="s">
        <v>115</v>
      </c>
      <c r="N105" s="158" t="s">
        <v>115</v>
      </c>
      <c r="O105" s="158" t="s">
        <v>115</v>
      </c>
      <c r="P105" s="1345" t="s">
        <v>115</v>
      </c>
      <c r="Q105" s="217" t="s">
        <v>115</v>
      </c>
      <c r="R105" s="319" t="s">
        <v>115</v>
      </c>
    </row>
    <row r="106" spans="1:18" ht="11.25" customHeight="1">
      <c r="A106" s="136" t="s">
        <v>723</v>
      </c>
      <c r="B106" s="487" t="s">
        <v>115</v>
      </c>
      <c r="C106" s="163" t="s">
        <v>115</v>
      </c>
      <c r="D106" s="158" t="s">
        <v>115</v>
      </c>
      <c r="E106" s="158" t="s">
        <v>115</v>
      </c>
      <c r="F106" s="158" t="s">
        <v>115</v>
      </c>
      <c r="G106" s="158" t="s">
        <v>115</v>
      </c>
      <c r="H106" s="158" t="s">
        <v>115</v>
      </c>
      <c r="I106" s="1344" t="s">
        <v>115</v>
      </c>
      <c r="J106" s="485" t="s">
        <v>115</v>
      </c>
      <c r="K106" s="158" t="s">
        <v>115</v>
      </c>
      <c r="L106" s="158" t="s">
        <v>115</v>
      </c>
      <c r="M106" s="158" t="s">
        <v>115</v>
      </c>
      <c r="N106" s="158" t="s">
        <v>115</v>
      </c>
      <c r="O106" s="158" t="s">
        <v>115</v>
      </c>
      <c r="P106" s="1345" t="s">
        <v>115</v>
      </c>
      <c r="Q106" s="217" t="s">
        <v>115</v>
      </c>
      <c r="R106" s="319" t="s">
        <v>115</v>
      </c>
    </row>
    <row r="107" spans="1:18" ht="11.25" customHeight="1">
      <c r="A107" s="136" t="s">
        <v>269</v>
      </c>
      <c r="B107" s="486" t="s">
        <v>270</v>
      </c>
      <c r="C107" s="178" t="s">
        <v>115</v>
      </c>
      <c r="D107" s="171" t="s">
        <v>115</v>
      </c>
      <c r="E107" s="171" t="s">
        <v>115</v>
      </c>
      <c r="F107" s="171" t="s">
        <v>115</v>
      </c>
      <c r="G107" s="171" t="s">
        <v>115</v>
      </c>
      <c r="H107" s="171" t="s">
        <v>115</v>
      </c>
      <c r="I107" s="1344" t="s">
        <v>115</v>
      </c>
      <c r="J107" s="687" t="s">
        <v>115</v>
      </c>
      <c r="K107" s="171" t="s">
        <v>115</v>
      </c>
      <c r="L107" s="171" t="s">
        <v>115</v>
      </c>
      <c r="M107" s="171" t="s">
        <v>115</v>
      </c>
      <c r="N107" s="171" t="s">
        <v>115</v>
      </c>
      <c r="O107" s="158" t="s">
        <v>115</v>
      </c>
      <c r="P107" s="1345" t="s">
        <v>115</v>
      </c>
      <c r="Q107" s="328">
        <v>0.2</v>
      </c>
      <c r="R107" s="154" t="s">
        <v>1601</v>
      </c>
    </row>
    <row r="108" spans="1:18" ht="11.25" customHeight="1">
      <c r="A108" s="136" t="s">
        <v>271</v>
      </c>
      <c r="B108" s="486" t="s">
        <v>272</v>
      </c>
      <c r="C108" s="178" t="s">
        <v>115</v>
      </c>
      <c r="D108" s="171" t="s">
        <v>115</v>
      </c>
      <c r="E108" s="171" t="s">
        <v>115</v>
      </c>
      <c r="F108" s="171">
        <v>5300</v>
      </c>
      <c r="G108" s="171" t="s">
        <v>115</v>
      </c>
      <c r="H108" s="158">
        <v>75.7</v>
      </c>
      <c r="I108" s="1344" t="s">
        <v>1602</v>
      </c>
      <c r="J108" s="687" t="s">
        <v>115</v>
      </c>
      <c r="K108" s="171" t="s">
        <v>115</v>
      </c>
      <c r="L108" s="171" t="s">
        <v>115</v>
      </c>
      <c r="M108" s="171" t="s">
        <v>115</v>
      </c>
      <c r="N108" s="171" t="s">
        <v>115</v>
      </c>
      <c r="O108" s="158" t="s">
        <v>115</v>
      </c>
      <c r="P108" s="1345" t="s">
        <v>115</v>
      </c>
      <c r="Q108" s="328">
        <v>119</v>
      </c>
      <c r="R108" s="154" t="s">
        <v>1602</v>
      </c>
    </row>
    <row r="109" spans="1:18" ht="11.25" customHeight="1">
      <c r="A109" s="136" t="s">
        <v>273</v>
      </c>
      <c r="B109" s="486" t="s">
        <v>274</v>
      </c>
      <c r="C109" s="178" t="s">
        <v>115</v>
      </c>
      <c r="D109" s="171" t="s">
        <v>115</v>
      </c>
      <c r="E109" s="171" t="s">
        <v>115</v>
      </c>
      <c r="F109" s="171" t="s">
        <v>115</v>
      </c>
      <c r="G109" s="171" t="s">
        <v>115</v>
      </c>
      <c r="H109" s="158">
        <v>140</v>
      </c>
      <c r="I109" s="1344" t="s">
        <v>1601</v>
      </c>
      <c r="J109" s="687" t="s">
        <v>115</v>
      </c>
      <c r="K109" s="171" t="s">
        <v>115</v>
      </c>
      <c r="L109" s="171" t="s">
        <v>115</v>
      </c>
      <c r="M109" s="171" t="s">
        <v>115</v>
      </c>
      <c r="N109" s="171" t="s">
        <v>115</v>
      </c>
      <c r="O109" s="158" t="s">
        <v>115</v>
      </c>
      <c r="P109" s="1345" t="s">
        <v>115</v>
      </c>
      <c r="Q109" s="217" t="s">
        <v>115</v>
      </c>
      <c r="R109" s="319" t="s">
        <v>115</v>
      </c>
    </row>
    <row r="110" spans="1:18" ht="11.25" customHeight="1">
      <c r="A110" s="136" t="s">
        <v>275</v>
      </c>
      <c r="B110" s="486" t="s">
        <v>276</v>
      </c>
      <c r="C110" s="178" t="s">
        <v>115</v>
      </c>
      <c r="D110" s="171" t="s">
        <v>115</v>
      </c>
      <c r="E110" s="171" t="s">
        <v>115</v>
      </c>
      <c r="F110" s="171">
        <v>4800</v>
      </c>
      <c r="G110" s="171" t="s">
        <v>115</v>
      </c>
      <c r="H110" s="158">
        <v>33.799999999999997</v>
      </c>
      <c r="I110" s="1344" t="s">
        <v>1602</v>
      </c>
      <c r="J110" s="687" t="s">
        <v>115</v>
      </c>
      <c r="K110" s="171" t="s">
        <v>115</v>
      </c>
      <c r="L110" s="171" t="s">
        <v>115</v>
      </c>
      <c r="M110" s="171" t="s">
        <v>115</v>
      </c>
      <c r="N110" s="171" t="s">
        <v>115</v>
      </c>
      <c r="O110" s="158" t="s">
        <v>115</v>
      </c>
      <c r="P110" s="1345" t="s">
        <v>115</v>
      </c>
      <c r="Q110" s="328">
        <v>544</v>
      </c>
      <c r="R110" s="154" t="s">
        <v>1602</v>
      </c>
    </row>
    <row r="111" spans="1:18" ht="11.25" customHeight="1">
      <c r="A111" s="136" t="s">
        <v>277</v>
      </c>
      <c r="B111" s="486" t="s">
        <v>278</v>
      </c>
      <c r="C111" s="178" t="s">
        <v>115</v>
      </c>
      <c r="D111" s="171" t="s">
        <v>115</v>
      </c>
      <c r="E111" s="171" t="s">
        <v>115</v>
      </c>
      <c r="F111" s="171" t="s">
        <v>115</v>
      </c>
      <c r="G111" s="171" t="s">
        <v>115</v>
      </c>
      <c r="H111" s="158">
        <v>870</v>
      </c>
      <c r="I111" s="1344" t="s">
        <v>1601</v>
      </c>
      <c r="J111" s="687" t="s">
        <v>115</v>
      </c>
      <c r="K111" s="171" t="s">
        <v>115</v>
      </c>
      <c r="L111" s="171" t="s">
        <v>115</v>
      </c>
      <c r="M111" s="171" t="s">
        <v>115</v>
      </c>
      <c r="N111" s="171" t="s">
        <v>115</v>
      </c>
      <c r="O111" s="158" t="s">
        <v>115</v>
      </c>
      <c r="P111" s="1345" t="s">
        <v>115</v>
      </c>
      <c r="Q111" s="217" t="s">
        <v>115</v>
      </c>
      <c r="R111" s="319" t="s">
        <v>115</v>
      </c>
    </row>
    <row r="112" spans="1:18" ht="11.25" customHeight="1">
      <c r="A112" s="136" t="s">
        <v>279</v>
      </c>
      <c r="B112" s="486" t="s">
        <v>280</v>
      </c>
      <c r="C112" s="178">
        <v>100</v>
      </c>
      <c r="D112" s="171" t="s">
        <v>115</v>
      </c>
      <c r="E112" s="171">
        <v>3100</v>
      </c>
      <c r="F112" s="171" t="s">
        <v>115</v>
      </c>
      <c r="G112" s="171" t="s">
        <v>115</v>
      </c>
      <c r="H112" s="158">
        <v>109</v>
      </c>
      <c r="I112" s="165" t="s">
        <v>1602</v>
      </c>
      <c r="J112" s="687" t="s">
        <v>115</v>
      </c>
      <c r="K112" s="171" t="s">
        <v>115</v>
      </c>
      <c r="L112" s="171" t="s">
        <v>115</v>
      </c>
      <c r="M112" s="171" t="s">
        <v>115</v>
      </c>
      <c r="N112" s="171" t="s">
        <v>115</v>
      </c>
      <c r="O112" s="158">
        <v>3.16</v>
      </c>
      <c r="P112" s="165" t="s">
        <v>1602</v>
      </c>
      <c r="Q112" s="161">
        <v>47.6</v>
      </c>
      <c r="R112" s="154" t="s">
        <v>1602</v>
      </c>
    </row>
    <row r="113" spans="1:18" ht="11.25" customHeight="1">
      <c r="A113" s="136" t="s">
        <v>281</v>
      </c>
      <c r="B113" s="486" t="s">
        <v>282</v>
      </c>
      <c r="C113" s="178" t="s">
        <v>115</v>
      </c>
      <c r="D113" s="171" t="s">
        <v>115</v>
      </c>
      <c r="E113" s="171" t="s">
        <v>115</v>
      </c>
      <c r="F113" s="171">
        <v>650</v>
      </c>
      <c r="G113" s="171" t="s">
        <v>115</v>
      </c>
      <c r="H113" s="158">
        <v>16.899999999999999</v>
      </c>
      <c r="I113" s="165" t="s">
        <v>1602</v>
      </c>
      <c r="J113" s="687" t="s">
        <v>115</v>
      </c>
      <c r="K113" s="171" t="s">
        <v>115</v>
      </c>
      <c r="L113" s="171" t="s">
        <v>115</v>
      </c>
      <c r="M113" s="171" t="s">
        <v>115</v>
      </c>
      <c r="N113" s="171" t="s">
        <v>115</v>
      </c>
      <c r="O113" s="158" t="s">
        <v>115</v>
      </c>
      <c r="P113" s="1345" t="s">
        <v>115</v>
      </c>
      <c r="Q113" s="161">
        <v>0.11600000000000001</v>
      </c>
      <c r="R113" s="154" t="s">
        <v>1602</v>
      </c>
    </row>
    <row r="114" spans="1:18" ht="11.25" customHeight="1">
      <c r="A114" s="136" t="s">
        <v>283</v>
      </c>
      <c r="B114" s="486" t="s">
        <v>284</v>
      </c>
      <c r="C114" s="178" t="s">
        <v>115</v>
      </c>
      <c r="D114" s="171" t="s">
        <v>115</v>
      </c>
      <c r="E114" s="171" t="s">
        <v>115</v>
      </c>
      <c r="F114" s="171">
        <v>500</v>
      </c>
      <c r="G114" s="171" t="s">
        <v>115</v>
      </c>
      <c r="H114" s="158">
        <v>3.44</v>
      </c>
      <c r="I114" s="165" t="s">
        <v>1602</v>
      </c>
      <c r="J114" s="687" t="s">
        <v>115</v>
      </c>
      <c r="K114" s="171" t="s">
        <v>115</v>
      </c>
      <c r="L114" s="171" t="s">
        <v>115</v>
      </c>
      <c r="M114" s="171" t="s">
        <v>115</v>
      </c>
      <c r="N114" s="171" t="s">
        <v>115</v>
      </c>
      <c r="O114" s="158" t="s">
        <v>115</v>
      </c>
      <c r="P114" s="1344" t="s">
        <v>115</v>
      </c>
      <c r="Q114" s="161">
        <v>9.3700000000000006E-2</v>
      </c>
      <c r="R114" s="154" t="s">
        <v>1602</v>
      </c>
    </row>
    <row r="115" spans="1:18" ht="11.25" customHeight="1">
      <c r="A115" s="136" t="s">
        <v>285</v>
      </c>
      <c r="B115" s="486" t="s">
        <v>286</v>
      </c>
      <c r="C115" s="178" t="s">
        <v>115</v>
      </c>
      <c r="D115" s="171" t="s">
        <v>115</v>
      </c>
      <c r="E115" s="171" t="s">
        <v>115</v>
      </c>
      <c r="F115" s="171" t="s">
        <v>115</v>
      </c>
      <c r="G115" s="171" t="s">
        <v>115</v>
      </c>
      <c r="H115" s="158">
        <v>49</v>
      </c>
      <c r="I115" s="1344" t="s">
        <v>1601</v>
      </c>
      <c r="J115" s="687" t="s">
        <v>115</v>
      </c>
      <c r="K115" s="171" t="s">
        <v>115</v>
      </c>
      <c r="L115" s="171" t="s">
        <v>115</v>
      </c>
      <c r="M115" s="171" t="s">
        <v>115</v>
      </c>
      <c r="N115" s="171" t="s">
        <v>115</v>
      </c>
      <c r="O115" s="158" t="s">
        <v>115</v>
      </c>
      <c r="P115" s="1344" t="s">
        <v>115</v>
      </c>
      <c r="Q115" s="217" t="s">
        <v>115</v>
      </c>
      <c r="R115" s="319" t="s">
        <v>115</v>
      </c>
    </row>
    <row r="116" spans="1:18" ht="11.25" customHeight="1">
      <c r="A116" s="136" t="s">
        <v>287</v>
      </c>
      <c r="B116" s="486" t="s">
        <v>288</v>
      </c>
      <c r="C116" s="178" t="s">
        <v>115</v>
      </c>
      <c r="D116" s="171" t="s">
        <v>115</v>
      </c>
      <c r="E116" s="171" t="s">
        <v>115</v>
      </c>
      <c r="F116" s="171" t="s">
        <v>115</v>
      </c>
      <c r="G116" s="171" t="s">
        <v>115</v>
      </c>
      <c r="H116" s="158">
        <v>72</v>
      </c>
      <c r="I116" s="1344" t="s">
        <v>1601</v>
      </c>
      <c r="J116" s="687" t="s">
        <v>115</v>
      </c>
      <c r="K116" s="171" t="s">
        <v>115</v>
      </c>
      <c r="L116" s="171" t="s">
        <v>115</v>
      </c>
      <c r="M116" s="171" t="s">
        <v>115</v>
      </c>
      <c r="N116" s="171" t="s">
        <v>115</v>
      </c>
      <c r="O116" s="158" t="s">
        <v>115</v>
      </c>
      <c r="P116" s="1344" t="s">
        <v>115</v>
      </c>
      <c r="Q116" s="217" t="s">
        <v>115</v>
      </c>
      <c r="R116" s="319" t="s">
        <v>115</v>
      </c>
    </row>
    <row r="117" spans="1:18" ht="11.25" customHeight="1">
      <c r="A117" s="136" t="s">
        <v>289</v>
      </c>
      <c r="B117" s="486" t="s">
        <v>290</v>
      </c>
      <c r="C117" s="178" t="s">
        <v>115</v>
      </c>
      <c r="D117" s="171" t="s">
        <v>115</v>
      </c>
      <c r="E117" s="171" t="s">
        <v>115</v>
      </c>
      <c r="F117" s="171" t="s">
        <v>115</v>
      </c>
      <c r="G117" s="171" t="s">
        <v>115</v>
      </c>
      <c r="H117" s="158" t="s">
        <v>115</v>
      </c>
      <c r="I117" s="1344" t="s">
        <v>115</v>
      </c>
      <c r="J117" s="687" t="s">
        <v>115</v>
      </c>
      <c r="K117" s="171" t="s">
        <v>115</v>
      </c>
      <c r="L117" s="171" t="s">
        <v>115</v>
      </c>
      <c r="M117" s="171" t="s">
        <v>115</v>
      </c>
      <c r="N117" s="171" t="s">
        <v>115</v>
      </c>
      <c r="O117" s="158" t="s">
        <v>115</v>
      </c>
      <c r="P117" s="1344" t="s">
        <v>115</v>
      </c>
      <c r="Q117" s="217" t="s">
        <v>115</v>
      </c>
      <c r="R117" s="319" t="s">
        <v>115</v>
      </c>
    </row>
    <row r="118" spans="1:18" ht="11.25" customHeight="1">
      <c r="A118" s="136" t="s">
        <v>291</v>
      </c>
      <c r="B118" s="486" t="s">
        <v>292</v>
      </c>
      <c r="C118" s="178" t="s">
        <v>115</v>
      </c>
      <c r="D118" s="171" t="s">
        <v>115</v>
      </c>
      <c r="E118" s="171" t="s">
        <v>115</v>
      </c>
      <c r="F118" s="171" t="s">
        <v>115</v>
      </c>
      <c r="G118" s="171" t="s">
        <v>115</v>
      </c>
      <c r="H118" s="158" t="s">
        <v>115</v>
      </c>
      <c r="I118" s="1344" t="s">
        <v>115</v>
      </c>
      <c r="J118" s="687" t="s">
        <v>115</v>
      </c>
      <c r="K118" s="171" t="s">
        <v>115</v>
      </c>
      <c r="L118" s="171" t="s">
        <v>115</v>
      </c>
      <c r="M118" s="171" t="s">
        <v>115</v>
      </c>
      <c r="N118" s="171" t="s">
        <v>115</v>
      </c>
      <c r="O118" s="158" t="s">
        <v>115</v>
      </c>
      <c r="P118" s="1344" t="s">
        <v>115</v>
      </c>
      <c r="Q118" s="217" t="s">
        <v>115</v>
      </c>
      <c r="R118" s="319" t="s">
        <v>115</v>
      </c>
    </row>
    <row r="119" spans="1:18" ht="11.25" customHeight="1">
      <c r="A119" s="136" t="s">
        <v>293</v>
      </c>
      <c r="B119" s="486" t="s">
        <v>294</v>
      </c>
      <c r="C119" s="178" t="s">
        <v>115</v>
      </c>
      <c r="D119" s="171" t="s">
        <v>115</v>
      </c>
      <c r="E119" s="171" t="s">
        <v>115</v>
      </c>
      <c r="F119" s="171" t="s">
        <v>115</v>
      </c>
      <c r="G119" s="171" t="s">
        <v>115</v>
      </c>
      <c r="H119" s="158">
        <v>446</v>
      </c>
      <c r="I119" s="165" t="s">
        <v>1602</v>
      </c>
      <c r="J119" s="687" t="s">
        <v>115</v>
      </c>
      <c r="K119" s="171" t="s">
        <v>115</v>
      </c>
      <c r="L119" s="171" t="s">
        <v>115</v>
      </c>
      <c r="M119" s="171" t="s">
        <v>115</v>
      </c>
      <c r="N119" s="171" t="s">
        <v>115</v>
      </c>
      <c r="O119" s="158" t="s">
        <v>115</v>
      </c>
      <c r="P119" s="1344" t="s">
        <v>115</v>
      </c>
      <c r="Q119" s="485">
        <v>209</v>
      </c>
      <c r="R119" s="154" t="s">
        <v>1602</v>
      </c>
    </row>
    <row r="120" spans="1:18" ht="11.25" customHeight="1">
      <c r="A120" s="136" t="s">
        <v>295</v>
      </c>
      <c r="B120" s="486" t="s">
        <v>296</v>
      </c>
      <c r="C120" s="178" t="s">
        <v>115</v>
      </c>
      <c r="D120" s="171" t="s">
        <v>115</v>
      </c>
      <c r="E120" s="171" t="s">
        <v>115</v>
      </c>
      <c r="F120" s="171">
        <v>210</v>
      </c>
      <c r="G120" s="171" t="s">
        <v>115</v>
      </c>
      <c r="H120" s="171">
        <v>94.2</v>
      </c>
      <c r="I120" s="165" t="s">
        <v>1602</v>
      </c>
      <c r="J120" s="687" t="s">
        <v>115</v>
      </c>
      <c r="K120" s="171" t="s">
        <v>115</v>
      </c>
      <c r="L120" s="171" t="s">
        <v>115</v>
      </c>
      <c r="M120" s="171" t="s">
        <v>115</v>
      </c>
      <c r="N120" s="171" t="s">
        <v>115</v>
      </c>
      <c r="O120" s="158" t="s">
        <v>115</v>
      </c>
      <c r="P120" s="1344" t="s">
        <v>115</v>
      </c>
      <c r="Q120" s="161">
        <v>14.1</v>
      </c>
      <c r="R120" s="154" t="s">
        <v>1602</v>
      </c>
    </row>
    <row r="121" spans="1:18" ht="11.25" customHeight="1">
      <c r="A121" s="136" t="s">
        <v>297</v>
      </c>
      <c r="B121" s="486" t="s">
        <v>298</v>
      </c>
      <c r="C121" s="178">
        <v>0.25</v>
      </c>
      <c r="D121" s="171" t="s">
        <v>115</v>
      </c>
      <c r="E121" s="171">
        <v>71</v>
      </c>
      <c r="F121" s="171" t="s">
        <v>115</v>
      </c>
      <c r="G121" s="171" t="s">
        <v>115</v>
      </c>
      <c r="H121" s="158">
        <v>4.8499999999999996</v>
      </c>
      <c r="I121" s="165" t="s">
        <v>1602</v>
      </c>
      <c r="J121" s="687" t="s">
        <v>115</v>
      </c>
      <c r="K121" s="171" t="s">
        <v>115</v>
      </c>
      <c r="L121" s="171" t="s">
        <v>115</v>
      </c>
      <c r="M121" s="171" t="s">
        <v>115</v>
      </c>
      <c r="N121" s="171" t="s">
        <v>115</v>
      </c>
      <c r="O121" s="158">
        <v>1.44</v>
      </c>
      <c r="P121" s="165" t="s">
        <v>1602</v>
      </c>
      <c r="Q121" s="485">
        <v>1.67E-2</v>
      </c>
      <c r="R121" s="154" t="s">
        <v>1602</v>
      </c>
    </row>
    <row r="122" spans="1:18" ht="11.25" customHeight="1">
      <c r="A122" s="136" t="s">
        <v>299</v>
      </c>
      <c r="B122" s="486" t="s">
        <v>300</v>
      </c>
      <c r="C122" s="178" t="s">
        <v>115</v>
      </c>
      <c r="D122" s="171" t="s">
        <v>115</v>
      </c>
      <c r="E122" s="171" t="s">
        <v>115</v>
      </c>
      <c r="F122" s="171" t="s">
        <v>115</v>
      </c>
      <c r="G122" s="171" t="s">
        <v>115</v>
      </c>
      <c r="H122" s="158" t="s">
        <v>115</v>
      </c>
      <c r="I122" s="1344" t="s">
        <v>115</v>
      </c>
      <c r="J122" s="687" t="s">
        <v>115</v>
      </c>
      <c r="K122" s="171" t="s">
        <v>115</v>
      </c>
      <c r="L122" s="171" t="s">
        <v>115</v>
      </c>
      <c r="M122" s="171" t="s">
        <v>115</v>
      </c>
      <c r="N122" s="171" t="s">
        <v>115</v>
      </c>
      <c r="O122" s="158" t="s">
        <v>115</v>
      </c>
      <c r="P122" s="1345" t="s">
        <v>115</v>
      </c>
      <c r="Q122" s="217" t="s">
        <v>115</v>
      </c>
      <c r="R122" s="319" t="s">
        <v>115</v>
      </c>
    </row>
    <row r="123" spans="1:18" ht="11.25" customHeight="1">
      <c r="A123" s="126" t="s">
        <v>301</v>
      </c>
      <c r="B123" s="486" t="s">
        <v>302</v>
      </c>
      <c r="C123" s="163" t="s">
        <v>115</v>
      </c>
      <c r="D123" s="158">
        <v>2560</v>
      </c>
      <c r="E123" s="158" t="s">
        <v>115</v>
      </c>
      <c r="F123" s="158">
        <v>10200</v>
      </c>
      <c r="G123" s="158" t="s">
        <v>115</v>
      </c>
      <c r="H123" s="158" t="s">
        <v>115</v>
      </c>
      <c r="I123" s="1344" t="s">
        <v>115</v>
      </c>
      <c r="J123" s="485" t="s">
        <v>115</v>
      </c>
      <c r="K123" s="158" t="s">
        <v>115</v>
      </c>
      <c r="L123" s="158" t="s">
        <v>115</v>
      </c>
      <c r="M123" s="158">
        <v>5800</v>
      </c>
      <c r="N123" s="158" t="s">
        <v>115</v>
      </c>
      <c r="O123" s="158" t="s">
        <v>115</v>
      </c>
      <c r="P123" s="1345" t="s">
        <v>115</v>
      </c>
      <c r="Q123" s="217" t="s">
        <v>115</v>
      </c>
      <c r="R123" s="319" t="s">
        <v>115</v>
      </c>
    </row>
    <row r="124" spans="1:18" ht="11.25" customHeight="1">
      <c r="A124" s="126" t="s">
        <v>303</v>
      </c>
      <c r="B124" s="486" t="s">
        <v>304</v>
      </c>
      <c r="C124" s="163">
        <v>1.4E-2</v>
      </c>
      <c r="D124" s="158" t="s">
        <v>115</v>
      </c>
      <c r="E124" s="158" t="s">
        <v>115</v>
      </c>
      <c r="F124" s="158" t="s">
        <v>115</v>
      </c>
      <c r="G124" s="158">
        <v>0.19</v>
      </c>
      <c r="H124" s="158" t="s">
        <v>115</v>
      </c>
      <c r="I124" s="1344" t="s">
        <v>115</v>
      </c>
      <c r="J124" s="485">
        <v>0.03</v>
      </c>
      <c r="K124" s="158" t="s">
        <v>115</v>
      </c>
      <c r="L124" s="158" t="s">
        <v>115</v>
      </c>
      <c r="M124" s="158" t="s">
        <v>115</v>
      </c>
      <c r="N124" s="158" t="s">
        <v>115</v>
      </c>
      <c r="O124" s="158" t="s">
        <v>115</v>
      </c>
      <c r="P124" s="1345" t="s">
        <v>115</v>
      </c>
      <c r="Q124" s="217" t="s">
        <v>115</v>
      </c>
      <c r="R124" s="319" t="s">
        <v>115</v>
      </c>
    </row>
    <row r="125" spans="1:18" ht="11.25" customHeight="1">
      <c r="A125" s="126" t="s">
        <v>305</v>
      </c>
      <c r="B125" s="486" t="s">
        <v>306</v>
      </c>
      <c r="C125" s="163">
        <v>5</v>
      </c>
      <c r="D125" s="158" t="s">
        <v>115</v>
      </c>
      <c r="E125" s="158" t="s">
        <v>115</v>
      </c>
      <c r="F125" s="158" t="s">
        <v>115</v>
      </c>
      <c r="G125" s="158">
        <v>5</v>
      </c>
      <c r="H125" s="158" t="s">
        <v>115</v>
      </c>
      <c r="I125" s="1344" t="s">
        <v>115</v>
      </c>
      <c r="J125" s="485">
        <v>71</v>
      </c>
      <c r="K125" s="158" t="s">
        <v>115</v>
      </c>
      <c r="L125" s="158">
        <v>290</v>
      </c>
      <c r="M125" s="158" t="s">
        <v>115</v>
      </c>
      <c r="N125" s="158">
        <v>71</v>
      </c>
      <c r="O125" s="158" t="s">
        <v>115</v>
      </c>
      <c r="P125" s="1345" t="s">
        <v>115</v>
      </c>
      <c r="Q125" s="217" t="s">
        <v>115</v>
      </c>
      <c r="R125" s="319" t="s">
        <v>115</v>
      </c>
    </row>
    <row r="126" spans="1:18" ht="11.25" customHeight="1">
      <c r="A126" s="126" t="s">
        <v>307</v>
      </c>
      <c r="B126" s="486" t="s">
        <v>308</v>
      </c>
      <c r="C126" s="163" t="s">
        <v>115</v>
      </c>
      <c r="D126" s="158" t="s">
        <v>115</v>
      </c>
      <c r="E126" s="158">
        <v>3.2</v>
      </c>
      <c r="F126" s="158" t="s">
        <v>115</v>
      </c>
      <c r="G126" s="158" t="s">
        <v>115</v>
      </c>
      <c r="H126" s="158" t="s">
        <v>115</v>
      </c>
      <c r="I126" s="1344" t="s">
        <v>115</v>
      </c>
      <c r="J126" s="485" t="s">
        <v>115</v>
      </c>
      <c r="K126" s="158" t="s">
        <v>115</v>
      </c>
      <c r="L126" s="158">
        <v>1.9</v>
      </c>
      <c r="M126" s="158" t="s">
        <v>115</v>
      </c>
      <c r="N126" s="158" t="s">
        <v>115</v>
      </c>
      <c r="O126" s="158" t="s">
        <v>115</v>
      </c>
      <c r="P126" s="1345" t="s">
        <v>115</v>
      </c>
      <c r="Q126" s="217" t="s">
        <v>115</v>
      </c>
      <c r="R126" s="319" t="s">
        <v>115</v>
      </c>
    </row>
    <row r="127" spans="1:18" ht="11.25" customHeight="1">
      <c r="A127" s="126" t="s">
        <v>309</v>
      </c>
      <c r="B127" s="486" t="s">
        <v>310</v>
      </c>
      <c r="C127" s="163" t="s">
        <v>115</v>
      </c>
      <c r="D127" s="158" t="s">
        <v>115</v>
      </c>
      <c r="E127" s="158" t="s">
        <v>115</v>
      </c>
      <c r="F127" s="158" t="s">
        <v>115</v>
      </c>
      <c r="G127" s="158" t="s">
        <v>115</v>
      </c>
      <c r="H127" s="158" t="s">
        <v>115</v>
      </c>
      <c r="I127" s="1344" t="s">
        <v>115</v>
      </c>
      <c r="J127" s="485" t="s">
        <v>115</v>
      </c>
      <c r="K127" s="158" t="s">
        <v>115</v>
      </c>
      <c r="L127" s="158" t="s">
        <v>115</v>
      </c>
      <c r="M127" s="158" t="s">
        <v>115</v>
      </c>
      <c r="N127" s="158" t="s">
        <v>115</v>
      </c>
      <c r="O127" s="158" t="s">
        <v>115</v>
      </c>
      <c r="P127" s="1345" t="s">
        <v>115</v>
      </c>
      <c r="Q127" s="217" t="s">
        <v>115</v>
      </c>
      <c r="R127" s="319" t="s">
        <v>115</v>
      </c>
    </row>
    <row r="128" spans="1:18" ht="11.25" customHeight="1">
      <c r="A128" s="126" t="s">
        <v>311</v>
      </c>
      <c r="B128" s="486" t="s">
        <v>312</v>
      </c>
      <c r="C128" s="163" t="s">
        <v>115</v>
      </c>
      <c r="D128" s="158" t="s">
        <v>115</v>
      </c>
      <c r="E128" s="158" t="s">
        <v>115</v>
      </c>
      <c r="F128" s="158" t="s">
        <v>115</v>
      </c>
      <c r="G128" s="158" t="s">
        <v>115</v>
      </c>
      <c r="H128" s="158">
        <v>18000</v>
      </c>
      <c r="I128" s="165" t="s">
        <v>1603</v>
      </c>
      <c r="J128" s="485" t="s">
        <v>115</v>
      </c>
      <c r="K128" s="158" t="s">
        <v>115</v>
      </c>
      <c r="L128" s="158" t="s">
        <v>115</v>
      </c>
      <c r="M128" s="158" t="s">
        <v>115</v>
      </c>
      <c r="N128" s="158" t="s">
        <v>115</v>
      </c>
      <c r="O128" s="158" t="s">
        <v>115</v>
      </c>
      <c r="P128" s="1345" t="s">
        <v>115</v>
      </c>
      <c r="Q128" s="217" t="s">
        <v>115</v>
      </c>
      <c r="R128" s="319" t="s">
        <v>115</v>
      </c>
    </row>
    <row r="129" spans="1:18" ht="11.25" customHeight="1">
      <c r="A129" s="126" t="s">
        <v>313</v>
      </c>
      <c r="B129" s="486" t="s">
        <v>314</v>
      </c>
      <c r="C129" s="163" t="s">
        <v>115</v>
      </c>
      <c r="D129" s="158" t="s">
        <v>115</v>
      </c>
      <c r="E129" s="158" t="s">
        <v>115</v>
      </c>
      <c r="F129" s="158">
        <v>9320</v>
      </c>
      <c r="G129" s="158" t="s">
        <v>115</v>
      </c>
      <c r="H129" s="158" t="s">
        <v>115</v>
      </c>
      <c r="I129" s="1344" t="s">
        <v>115</v>
      </c>
      <c r="J129" s="485" t="s">
        <v>115</v>
      </c>
      <c r="K129" s="158" t="s">
        <v>115</v>
      </c>
      <c r="L129" s="158" t="s">
        <v>115</v>
      </c>
      <c r="M129" s="158" t="s">
        <v>115</v>
      </c>
      <c r="N129" s="158" t="s">
        <v>115</v>
      </c>
      <c r="O129" s="158" t="s">
        <v>115</v>
      </c>
      <c r="P129" s="1345" t="s">
        <v>115</v>
      </c>
      <c r="Q129" s="217" t="s">
        <v>115</v>
      </c>
      <c r="R129" s="319" t="s">
        <v>115</v>
      </c>
    </row>
    <row r="130" spans="1:18" ht="11.25" customHeight="1">
      <c r="A130" s="126" t="s">
        <v>315</v>
      </c>
      <c r="B130" s="486" t="s">
        <v>316</v>
      </c>
      <c r="C130" s="163" t="s">
        <v>115</v>
      </c>
      <c r="D130" s="158">
        <v>2400</v>
      </c>
      <c r="E130" s="158" t="s">
        <v>115</v>
      </c>
      <c r="F130" s="158">
        <v>9320</v>
      </c>
      <c r="G130" s="158">
        <v>420</v>
      </c>
      <c r="H130" s="158" t="s">
        <v>115</v>
      </c>
      <c r="I130" s="1344" t="s">
        <v>115</v>
      </c>
      <c r="J130" s="485" t="s">
        <v>115</v>
      </c>
      <c r="K130" s="158" t="s">
        <v>115</v>
      </c>
      <c r="L130" s="158" t="s">
        <v>115</v>
      </c>
      <c r="M130" s="158">
        <v>9020</v>
      </c>
      <c r="N130" s="158" t="s">
        <v>115</v>
      </c>
      <c r="O130" s="158" t="s">
        <v>115</v>
      </c>
      <c r="P130" s="1345" t="s">
        <v>115</v>
      </c>
      <c r="Q130" s="217" t="s">
        <v>115</v>
      </c>
      <c r="R130" s="319" t="s">
        <v>115</v>
      </c>
    </row>
    <row r="131" spans="1:18" ht="11.25" customHeight="1">
      <c r="A131" s="126" t="s">
        <v>317</v>
      </c>
      <c r="B131" s="486" t="s">
        <v>318</v>
      </c>
      <c r="C131" s="163" t="s">
        <v>115</v>
      </c>
      <c r="D131" s="158">
        <v>840</v>
      </c>
      <c r="E131" s="158" t="s">
        <v>115</v>
      </c>
      <c r="F131" s="158">
        <v>5280</v>
      </c>
      <c r="G131" s="158">
        <v>120</v>
      </c>
      <c r="H131" s="158" t="s">
        <v>115</v>
      </c>
      <c r="I131" s="1344" t="s">
        <v>115</v>
      </c>
      <c r="J131" s="485" t="s">
        <v>115</v>
      </c>
      <c r="K131" s="158">
        <v>450</v>
      </c>
      <c r="L131" s="158" t="s">
        <v>115</v>
      </c>
      <c r="M131" s="158">
        <v>10200</v>
      </c>
      <c r="N131" s="158" t="s">
        <v>115</v>
      </c>
      <c r="O131" s="158" t="s">
        <v>115</v>
      </c>
      <c r="P131" s="1345" t="s">
        <v>115</v>
      </c>
      <c r="Q131" s="217" t="s">
        <v>115</v>
      </c>
      <c r="R131" s="319" t="s">
        <v>115</v>
      </c>
    </row>
    <row r="132" spans="1:18" ht="11.25" customHeight="1">
      <c r="A132" s="126" t="s">
        <v>319</v>
      </c>
      <c r="B132" s="486" t="s">
        <v>320</v>
      </c>
      <c r="C132" s="163" t="s">
        <v>115</v>
      </c>
      <c r="D132" s="158">
        <v>40</v>
      </c>
      <c r="E132" s="158" t="s">
        <v>115</v>
      </c>
      <c r="F132" s="158">
        <v>1400</v>
      </c>
      <c r="G132" s="158" t="s">
        <v>115</v>
      </c>
      <c r="H132" s="158" t="s">
        <v>115</v>
      </c>
      <c r="I132" s="1344" t="s">
        <v>115</v>
      </c>
      <c r="J132" s="485" t="s">
        <v>115</v>
      </c>
      <c r="K132" s="158" t="s">
        <v>115</v>
      </c>
      <c r="L132" s="158" t="s">
        <v>115</v>
      </c>
      <c r="M132" s="158">
        <v>2130</v>
      </c>
      <c r="N132" s="158" t="s">
        <v>115</v>
      </c>
      <c r="O132" s="158" t="s">
        <v>115</v>
      </c>
      <c r="P132" s="1345" t="s">
        <v>115</v>
      </c>
      <c r="Q132" s="217" t="s">
        <v>115</v>
      </c>
      <c r="R132" s="319" t="s">
        <v>115</v>
      </c>
    </row>
    <row r="133" spans="1:18" ht="11.25" customHeight="1">
      <c r="A133" s="126" t="s">
        <v>321</v>
      </c>
      <c r="B133" s="486" t="s">
        <v>322</v>
      </c>
      <c r="C133" s="163" t="s">
        <v>115</v>
      </c>
      <c r="D133" s="158" t="s">
        <v>115</v>
      </c>
      <c r="E133" s="158" t="s">
        <v>115</v>
      </c>
      <c r="F133" s="158">
        <v>17500</v>
      </c>
      <c r="G133" s="158">
        <v>130</v>
      </c>
      <c r="H133" s="158" t="s">
        <v>115</v>
      </c>
      <c r="I133" s="1344" t="s">
        <v>115</v>
      </c>
      <c r="J133" s="485" t="s">
        <v>115</v>
      </c>
      <c r="K133" s="158">
        <v>5000</v>
      </c>
      <c r="L133" s="158" t="s">
        <v>115</v>
      </c>
      <c r="M133" s="158">
        <v>6300</v>
      </c>
      <c r="N133" s="158" t="s">
        <v>115</v>
      </c>
      <c r="O133" s="158" t="s">
        <v>115</v>
      </c>
      <c r="P133" s="1345" t="s">
        <v>115</v>
      </c>
      <c r="Q133" s="217" t="s">
        <v>115</v>
      </c>
      <c r="R133" s="319" t="s">
        <v>115</v>
      </c>
    </row>
    <row r="134" spans="1:18" ht="11.25" customHeight="1">
      <c r="A134" s="126" t="s">
        <v>323</v>
      </c>
      <c r="B134" s="486" t="s">
        <v>324</v>
      </c>
      <c r="C134" s="163">
        <v>2.0000000000000001E-4</v>
      </c>
      <c r="D134" s="158" t="s">
        <v>115</v>
      </c>
      <c r="E134" s="158">
        <v>0.73</v>
      </c>
      <c r="F134" s="158" t="s">
        <v>115</v>
      </c>
      <c r="G134" s="158">
        <v>1.0999999999999999E-2</v>
      </c>
      <c r="H134" s="158" t="s">
        <v>115</v>
      </c>
      <c r="I134" s="1344" t="s">
        <v>115</v>
      </c>
      <c r="J134" s="485">
        <v>2.0000000000000001E-4</v>
      </c>
      <c r="K134" s="158" t="s">
        <v>115</v>
      </c>
      <c r="L134" s="158">
        <v>0.21</v>
      </c>
      <c r="M134" s="158" t="s">
        <v>115</v>
      </c>
      <c r="N134" s="158">
        <v>0.21</v>
      </c>
      <c r="O134" s="158" t="s">
        <v>115</v>
      </c>
      <c r="P134" s="1345" t="s">
        <v>115</v>
      </c>
      <c r="Q134" s="217" t="s">
        <v>115</v>
      </c>
      <c r="R134" s="319" t="s">
        <v>115</v>
      </c>
    </row>
    <row r="135" spans="1:18" ht="11.25" customHeight="1">
      <c r="A135" s="126" t="s">
        <v>325</v>
      </c>
      <c r="B135" s="486" t="s">
        <v>326</v>
      </c>
      <c r="C135" s="163" t="s">
        <v>115</v>
      </c>
      <c r="D135" s="158">
        <v>50</v>
      </c>
      <c r="E135" s="158" t="s">
        <v>115</v>
      </c>
      <c r="F135" s="158">
        <v>250</v>
      </c>
      <c r="G135" s="158">
        <v>110</v>
      </c>
      <c r="H135" s="158" t="s">
        <v>115</v>
      </c>
      <c r="I135" s="1344" t="s">
        <v>115</v>
      </c>
      <c r="J135" s="485" t="s">
        <v>115</v>
      </c>
      <c r="K135" s="158">
        <v>129</v>
      </c>
      <c r="L135" s="158" t="s">
        <v>115</v>
      </c>
      <c r="M135" s="158">
        <v>160</v>
      </c>
      <c r="N135" s="158" t="s">
        <v>115</v>
      </c>
      <c r="O135" s="158" t="s">
        <v>115</v>
      </c>
      <c r="P135" s="1345" t="s">
        <v>115</v>
      </c>
      <c r="Q135" s="217" t="s">
        <v>115</v>
      </c>
      <c r="R135" s="319" t="s">
        <v>115</v>
      </c>
    </row>
    <row r="136" spans="1:18" ht="11.25" customHeight="1">
      <c r="A136" s="126" t="s">
        <v>327</v>
      </c>
      <c r="B136" s="486" t="s">
        <v>328</v>
      </c>
      <c r="C136" s="163" t="s">
        <v>115</v>
      </c>
      <c r="D136" s="158" t="s">
        <v>115</v>
      </c>
      <c r="E136" s="158" t="s">
        <v>115</v>
      </c>
      <c r="F136" s="158">
        <v>18000</v>
      </c>
      <c r="G136" s="158">
        <v>62</v>
      </c>
      <c r="H136" s="158" t="s">
        <v>115</v>
      </c>
      <c r="I136" s="1344" t="s">
        <v>115</v>
      </c>
      <c r="J136" s="485" t="s">
        <v>115</v>
      </c>
      <c r="K136" s="158" t="s">
        <v>115</v>
      </c>
      <c r="L136" s="158" t="s">
        <v>115</v>
      </c>
      <c r="M136" s="158">
        <v>31200</v>
      </c>
      <c r="N136" s="158" t="s">
        <v>115</v>
      </c>
      <c r="O136" s="158" t="s">
        <v>115</v>
      </c>
      <c r="P136" s="1345" t="s">
        <v>115</v>
      </c>
      <c r="Q136" s="217" t="s">
        <v>115</v>
      </c>
      <c r="R136" s="319" t="s">
        <v>115</v>
      </c>
    </row>
    <row r="137" spans="1:18" ht="11.25" customHeight="1">
      <c r="A137" s="126" t="s">
        <v>329</v>
      </c>
      <c r="B137" s="486" t="s">
        <v>330</v>
      </c>
      <c r="C137" s="163" t="s">
        <v>115</v>
      </c>
      <c r="D137" s="158">
        <v>9400</v>
      </c>
      <c r="E137" s="158" t="s">
        <v>115</v>
      </c>
      <c r="F137" s="158">
        <v>18000</v>
      </c>
      <c r="G137" s="158" t="s">
        <v>115</v>
      </c>
      <c r="H137" s="158" t="s">
        <v>115</v>
      </c>
      <c r="I137" s="1344" t="s">
        <v>115</v>
      </c>
      <c r="J137" s="485" t="s">
        <v>115</v>
      </c>
      <c r="K137" s="158" t="s">
        <v>115</v>
      </c>
      <c r="L137" s="158" t="s">
        <v>115</v>
      </c>
      <c r="M137" s="158" t="s">
        <v>115</v>
      </c>
      <c r="N137" s="158" t="s">
        <v>115</v>
      </c>
      <c r="O137" s="158" t="s">
        <v>115</v>
      </c>
      <c r="P137" s="1345" t="s">
        <v>115</v>
      </c>
      <c r="Q137" s="217" t="s">
        <v>115</v>
      </c>
      <c r="R137" s="319" t="s">
        <v>115</v>
      </c>
    </row>
    <row r="138" spans="1:18" ht="11.25" customHeight="1">
      <c r="A138" s="126" t="s">
        <v>331</v>
      </c>
      <c r="B138" s="486" t="s">
        <v>332</v>
      </c>
      <c r="C138" s="163" t="s">
        <v>115</v>
      </c>
      <c r="D138" s="158">
        <v>21900</v>
      </c>
      <c r="E138" s="158" t="s">
        <v>115</v>
      </c>
      <c r="F138" s="158">
        <v>45000</v>
      </c>
      <c r="G138" s="158">
        <v>360</v>
      </c>
      <c r="H138" s="158" t="s">
        <v>115</v>
      </c>
      <c r="I138" s="1344" t="s">
        <v>115</v>
      </c>
      <c r="J138" s="485" t="s">
        <v>115</v>
      </c>
      <c r="K138" s="158" t="s">
        <v>115</v>
      </c>
      <c r="L138" s="158" t="s">
        <v>115</v>
      </c>
      <c r="M138" s="158">
        <v>2000</v>
      </c>
      <c r="N138" s="158" t="s">
        <v>115</v>
      </c>
      <c r="O138" s="158" t="s">
        <v>115</v>
      </c>
      <c r="P138" s="1345" t="s">
        <v>115</v>
      </c>
      <c r="Q138" s="217" t="s">
        <v>115</v>
      </c>
      <c r="R138" s="319" t="s">
        <v>115</v>
      </c>
    </row>
    <row r="139" spans="1:18" ht="11.25" customHeight="1">
      <c r="A139" s="126" t="s">
        <v>333</v>
      </c>
      <c r="B139" s="486" t="s">
        <v>334</v>
      </c>
      <c r="C139" s="163">
        <v>63</v>
      </c>
      <c r="D139" s="158" t="s">
        <v>115</v>
      </c>
      <c r="E139" s="158">
        <v>100</v>
      </c>
      <c r="F139" s="158" t="s">
        <v>115</v>
      </c>
      <c r="G139" s="158" t="s">
        <v>115</v>
      </c>
      <c r="H139" s="158" t="s">
        <v>115</v>
      </c>
      <c r="I139" s="1344" t="s">
        <v>115</v>
      </c>
      <c r="J139" s="485">
        <v>11</v>
      </c>
      <c r="K139" s="158" t="s">
        <v>115</v>
      </c>
      <c r="L139" s="158">
        <v>240</v>
      </c>
      <c r="M139" s="158" t="s">
        <v>115</v>
      </c>
      <c r="N139" s="158" t="s">
        <v>115</v>
      </c>
      <c r="O139" s="158" t="s">
        <v>115</v>
      </c>
      <c r="P139" s="1345" t="s">
        <v>115</v>
      </c>
      <c r="Q139" s="217" t="s">
        <v>115</v>
      </c>
      <c r="R139" s="319" t="s">
        <v>115</v>
      </c>
    </row>
    <row r="140" spans="1:18" ht="11.25" customHeight="1">
      <c r="A140" s="126" t="s">
        <v>335</v>
      </c>
      <c r="B140" s="486" t="s">
        <v>336</v>
      </c>
      <c r="C140" s="163" t="s">
        <v>115</v>
      </c>
      <c r="D140" s="158">
        <v>970</v>
      </c>
      <c r="E140" s="158" t="s">
        <v>115</v>
      </c>
      <c r="F140" s="158" t="s">
        <v>115</v>
      </c>
      <c r="G140" s="158" t="s">
        <v>115</v>
      </c>
      <c r="H140" s="158" t="s">
        <v>115</v>
      </c>
      <c r="I140" s="1344" t="s">
        <v>115</v>
      </c>
      <c r="J140" s="485" t="s">
        <v>115</v>
      </c>
      <c r="K140" s="158" t="s">
        <v>115</v>
      </c>
      <c r="L140" s="158" t="s">
        <v>115</v>
      </c>
      <c r="M140" s="158" t="s">
        <v>115</v>
      </c>
      <c r="N140" s="158" t="s">
        <v>115</v>
      </c>
      <c r="O140" s="158" t="s">
        <v>115</v>
      </c>
      <c r="P140" s="1345" t="s">
        <v>115</v>
      </c>
      <c r="Q140" s="217" t="s">
        <v>115</v>
      </c>
      <c r="R140" s="319" t="s">
        <v>115</v>
      </c>
    </row>
    <row r="141" spans="1:18" ht="11.25" customHeight="1">
      <c r="A141" s="126" t="s">
        <v>337</v>
      </c>
      <c r="B141" s="486" t="s">
        <v>338</v>
      </c>
      <c r="C141" s="163" t="s">
        <v>115</v>
      </c>
      <c r="D141" s="171" t="s">
        <v>115</v>
      </c>
      <c r="E141" s="158" t="s">
        <v>115</v>
      </c>
      <c r="F141" s="158" t="s">
        <v>115</v>
      </c>
      <c r="G141" s="158" t="s">
        <v>115</v>
      </c>
      <c r="H141" s="158">
        <v>2700</v>
      </c>
      <c r="I141" s="165" t="s">
        <v>1603</v>
      </c>
      <c r="J141" s="485" t="s">
        <v>115</v>
      </c>
      <c r="K141" s="158" t="s">
        <v>115</v>
      </c>
      <c r="L141" s="158" t="s">
        <v>115</v>
      </c>
      <c r="M141" s="158" t="s">
        <v>115</v>
      </c>
      <c r="N141" s="158" t="s">
        <v>115</v>
      </c>
      <c r="O141" s="158">
        <v>6.0000000000000001E-3</v>
      </c>
      <c r="P141" s="1345" t="s">
        <v>1604</v>
      </c>
      <c r="Q141" s="217" t="s">
        <v>115</v>
      </c>
      <c r="R141" s="319" t="s">
        <v>115</v>
      </c>
    </row>
    <row r="142" spans="1:18" ht="11.25" customHeight="1">
      <c r="A142" s="126" t="s">
        <v>339</v>
      </c>
      <c r="B142" s="486" t="s">
        <v>340</v>
      </c>
      <c r="C142" s="163" t="s">
        <v>115</v>
      </c>
      <c r="D142" s="158" t="s">
        <v>115</v>
      </c>
      <c r="E142" s="158" t="s">
        <v>115</v>
      </c>
      <c r="F142" s="158" t="s">
        <v>115</v>
      </c>
      <c r="G142" s="158">
        <v>19</v>
      </c>
      <c r="H142" s="158" t="s">
        <v>115</v>
      </c>
      <c r="I142" s="1344" t="s">
        <v>115</v>
      </c>
      <c r="J142" s="485" t="s">
        <v>115</v>
      </c>
      <c r="K142" s="158" t="s">
        <v>115</v>
      </c>
      <c r="L142" s="158" t="s">
        <v>115</v>
      </c>
      <c r="M142" s="158" t="s">
        <v>115</v>
      </c>
      <c r="N142" s="158" t="s">
        <v>115</v>
      </c>
      <c r="O142" s="158" t="s">
        <v>115</v>
      </c>
      <c r="P142" s="1345" t="s">
        <v>115</v>
      </c>
      <c r="Q142" s="217" t="s">
        <v>115</v>
      </c>
      <c r="R142" s="319" t="s">
        <v>115</v>
      </c>
    </row>
    <row r="143" spans="1:18" ht="11.25" customHeight="1">
      <c r="A143" s="126" t="s">
        <v>341</v>
      </c>
      <c r="B143" s="486" t="s">
        <v>342</v>
      </c>
      <c r="C143" s="163" t="s">
        <v>115</v>
      </c>
      <c r="D143" s="158" t="s">
        <v>115</v>
      </c>
      <c r="E143" s="158" t="s">
        <v>115</v>
      </c>
      <c r="F143" s="158" t="s">
        <v>115</v>
      </c>
      <c r="G143" s="158" t="s">
        <v>115</v>
      </c>
      <c r="H143" s="159">
        <v>782</v>
      </c>
      <c r="I143" s="165" t="s">
        <v>1594</v>
      </c>
      <c r="J143" s="485" t="s">
        <v>115</v>
      </c>
      <c r="K143" s="158" t="s">
        <v>115</v>
      </c>
      <c r="L143" s="158" t="s">
        <v>115</v>
      </c>
      <c r="M143" s="158" t="s">
        <v>115</v>
      </c>
      <c r="N143" s="158" t="s">
        <v>115</v>
      </c>
      <c r="O143" s="158" t="s">
        <v>115</v>
      </c>
      <c r="P143" s="1345" t="s">
        <v>115</v>
      </c>
      <c r="Q143" s="217" t="s">
        <v>115</v>
      </c>
      <c r="R143" s="319" t="s">
        <v>115</v>
      </c>
    </row>
    <row r="144" spans="1:18" ht="11.25" customHeight="1">
      <c r="A144" s="126" t="s">
        <v>343</v>
      </c>
      <c r="B144" s="486" t="s">
        <v>344</v>
      </c>
      <c r="C144" s="163" t="s">
        <v>115</v>
      </c>
      <c r="D144" s="158" t="s">
        <v>115</v>
      </c>
      <c r="E144" s="158" t="s">
        <v>115</v>
      </c>
      <c r="F144" s="158" t="s">
        <v>115</v>
      </c>
      <c r="G144" s="158" t="s">
        <v>115</v>
      </c>
      <c r="H144" s="158" t="s">
        <v>115</v>
      </c>
      <c r="I144" s="1344" t="s">
        <v>115</v>
      </c>
      <c r="J144" s="485" t="s">
        <v>115</v>
      </c>
      <c r="K144" s="158" t="s">
        <v>115</v>
      </c>
      <c r="L144" s="158" t="s">
        <v>115</v>
      </c>
      <c r="M144" s="158" t="s">
        <v>115</v>
      </c>
      <c r="N144" s="158" t="s">
        <v>115</v>
      </c>
      <c r="O144" s="158">
        <v>100</v>
      </c>
      <c r="P144" s="1345" t="s">
        <v>1605</v>
      </c>
      <c r="Q144" s="217" t="s">
        <v>115</v>
      </c>
      <c r="R144" s="319" t="s">
        <v>115</v>
      </c>
    </row>
    <row r="145" spans="1:18" ht="11.25" customHeight="1" thickBot="1">
      <c r="A145" s="126" t="s">
        <v>345</v>
      </c>
      <c r="B145" s="1175" t="s">
        <v>346</v>
      </c>
      <c r="C145" s="163">
        <v>120</v>
      </c>
      <c r="D145" s="158" t="s">
        <v>115</v>
      </c>
      <c r="E145" s="158">
        <v>120</v>
      </c>
      <c r="F145" s="158" t="s">
        <v>115</v>
      </c>
      <c r="G145" s="158">
        <v>100</v>
      </c>
      <c r="H145" s="158" t="s">
        <v>115</v>
      </c>
      <c r="I145" s="1344" t="s">
        <v>115</v>
      </c>
      <c r="J145" s="485">
        <v>81</v>
      </c>
      <c r="K145" s="158" t="s">
        <v>115</v>
      </c>
      <c r="L145" s="158">
        <v>90</v>
      </c>
      <c r="M145" s="158" t="s">
        <v>115</v>
      </c>
      <c r="N145" s="158">
        <v>81</v>
      </c>
      <c r="O145" s="158" t="s">
        <v>115</v>
      </c>
      <c r="P145" s="1345" t="s">
        <v>115</v>
      </c>
      <c r="Q145" s="1888" t="s">
        <v>115</v>
      </c>
      <c r="R145" s="319" t="s">
        <v>115</v>
      </c>
    </row>
    <row r="146" spans="1:18" ht="11.25" customHeight="1" thickTop="1">
      <c r="A146" s="29" t="s">
        <v>347</v>
      </c>
      <c r="B146" s="113"/>
      <c r="C146" s="32"/>
      <c r="D146" s="32"/>
      <c r="E146" s="32"/>
      <c r="F146" s="32"/>
      <c r="G146" s="32"/>
      <c r="H146" s="32"/>
      <c r="I146" s="17"/>
      <c r="J146" s="1174"/>
      <c r="K146" s="32"/>
      <c r="L146" s="32"/>
      <c r="M146" s="32"/>
      <c r="N146" s="32"/>
      <c r="O146" s="32"/>
      <c r="P146" s="300"/>
      <c r="R146" s="269"/>
    </row>
    <row r="147" spans="1:18" ht="13.5" customHeight="1">
      <c r="A147" s="2" t="s">
        <v>1562</v>
      </c>
      <c r="P147" s="22"/>
      <c r="R147" s="167"/>
    </row>
    <row r="148" spans="1:18" ht="13.5" customHeight="1">
      <c r="A148" s="2" t="s">
        <v>1606</v>
      </c>
      <c r="P148" s="22"/>
      <c r="R148" s="167"/>
    </row>
    <row r="149" spans="1:18" ht="13.5" customHeight="1">
      <c r="A149" s="1889" t="s">
        <v>1607</v>
      </c>
      <c r="B149" s="115"/>
      <c r="P149" s="22"/>
      <c r="R149" s="167"/>
    </row>
    <row r="150" spans="1:18" ht="13.5" customHeight="1">
      <c r="A150" s="2748" t="s">
        <v>1608</v>
      </c>
      <c r="B150" s="2749"/>
      <c r="C150" s="2749"/>
      <c r="D150" s="2749"/>
      <c r="E150" s="2749"/>
      <c r="F150" s="2749"/>
      <c r="G150" s="2749"/>
      <c r="H150" s="2749"/>
      <c r="I150" s="2749"/>
      <c r="J150" s="2749"/>
      <c r="K150" s="2749"/>
      <c r="L150" s="2749"/>
      <c r="M150" s="2749"/>
      <c r="N150" s="2749"/>
      <c r="O150" s="2749"/>
      <c r="P150" s="2749"/>
      <c r="Q150" s="3"/>
      <c r="R150" s="152"/>
    </row>
    <row r="151" spans="1:18" ht="13.5" customHeight="1">
      <c r="A151" s="2008" t="s">
        <v>1609</v>
      </c>
      <c r="B151" s="2009"/>
      <c r="C151" s="2009"/>
      <c r="D151" s="2009"/>
      <c r="E151" s="2009"/>
      <c r="F151" s="2009"/>
      <c r="G151" s="2009"/>
      <c r="H151" s="2009"/>
      <c r="I151" s="2009"/>
      <c r="J151" s="2009"/>
      <c r="K151" s="2009"/>
      <c r="L151" s="2009"/>
      <c r="M151" s="2009"/>
      <c r="N151" s="2009"/>
      <c r="O151" s="2009"/>
      <c r="P151" s="1887"/>
      <c r="Q151" s="3"/>
      <c r="R151" s="152"/>
    </row>
    <row r="152" spans="1:18" customFormat="1" ht="12.75">
      <c r="A152" s="1223" t="s">
        <v>1610</v>
      </c>
      <c r="B152" s="1203"/>
      <c r="C152" s="1203"/>
      <c r="D152" s="1203"/>
      <c r="E152" s="1203"/>
      <c r="F152" s="1203"/>
      <c r="G152" s="1203"/>
      <c r="H152" s="1203"/>
      <c r="I152" s="1203"/>
      <c r="J152" s="1203"/>
      <c r="K152" s="1203"/>
      <c r="L152" s="1203"/>
      <c r="M152" s="1203"/>
      <c r="N152" s="16"/>
      <c r="P152" s="75"/>
      <c r="R152" s="407"/>
    </row>
    <row r="153" spans="1:18" customFormat="1" ht="12.75">
      <c r="A153" s="1223" t="s">
        <v>1611</v>
      </c>
      <c r="B153" s="1203"/>
      <c r="C153" s="1203"/>
      <c r="D153" s="1203"/>
      <c r="E153" s="1203"/>
      <c r="F153" s="1203"/>
      <c r="G153" s="1203"/>
      <c r="H153" s="1203"/>
      <c r="I153" s="1203"/>
      <c r="J153" s="1203"/>
      <c r="K153" s="1203"/>
      <c r="L153" s="1203"/>
      <c r="M153" s="1203"/>
      <c r="N153" s="1203"/>
      <c r="O153" s="1203"/>
      <c r="P153" s="75"/>
      <c r="R153" s="407"/>
    </row>
    <row r="154" spans="1:18" ht="13.5" customHeight="1">
      <c r="A154" s="2" t="s">
        <v>1612</v>
      </c>
      <c r="P154" s="22"/>
      <c r="R154" s="167"/>
    </row>
    <row r="155" spans="1:18" ht="13.5" customHeight="1">
      <c r="A155" s="1132" t="s">
        <v>348</v>
      </c>
      <c r="P155" s="22"/>
      <c r="R155" s="167"/>
    </row>
    <row r="156" spans="1:18" ht="13.5" customHeight="1">
      <c r="A156" s="2" t="s">
        <v>1613</v>
      </c>
      <c r="P156" s="22"/>
      <c r="R156" s="167"/>
    </row>
    <row r="157" spans="1:18" ht="13.5" customHeight="1">
      <c r="A157" s="2" t="s">
        <v>1614</v>
      </c>
      <c r="P157" s="22"/>
      <c r="R157" s="167"/>
    </row>
    <row r="158" spans="1:18" ht="13.5" customHeight="1">
      <c r="A158" s="2" t="s">
        <v>1615</v>
      </c>
      <c r="P158" s="22"/>
      <c r="R158" s="167"/>
    </row>
    <row r="159" spans="1:18" ht="13.5" customHeight="1">
      <c r="A159" s="1133" t="s">
        <v>349</v>
      </c>
      <c r="P159" s="22"/>
      <c r="R159" s="167"/>
    </row>
    <row r="160" spans="1:18" ht="13.5" customHeight="1">
      <c r="A160" s="1133" t="s">
        <v>350</v>
      </c>
      <c r="P160" s="22"/>
      <c r="R160" s="167"/>
    </row>
    <row r="161" spans="1:21" ht="13.5" customHeight="1">
      <c r="A161" s="1133" t="s">
        <v>351</v>
      </c>
      <c r="P161" s="22"/>
      <c r="R161" s="167"/>
    </row>
    <row r="162" spans="1:21" ht="13.5" customHeight="1">
      <c r="A162" s="2" t="s">
        <v>1616</v>
      </c>
      <c r="P162" s="22"/>
      <c r="R162" s="167"/>
    </row>
    <row r="163" spans="1:21" ht="13.5" customHeight="1">
      <c r="A163" s="2" t="s">
        <v>1617</v>
      </c>
      <c r="P163" s="22"/>
      <c r="R163" s="167"/>
    </row>
    <row r="164" spans="1:21" ht="13.5" customHeight="1">
      <c r="A164" s="2" t="s">
        <v>397</v>
      </c>
      <c r="P164" s="22"/>
      <c r="R164" s="167"/>
    </row>
    <row r="165" spans="1:21" ht="13.5" customHeight="1">
      <c r="A165" s="2" t="s">
        <v>1618</v>
      </c>
      <c r="P165" s="22"/>
      <c r="R165" s="167"/>
    </row>
    <row r="166" spans="1:21">
      <c r="A166" s="2" t="s">
        <v>1619</v>
      </c>
      <c r="P166" s="22"/>
      <c r="R166" s="167"/>
    </row>
    <row r="167" spans="1:21">
      <c r="A167" s="2" t="s">
        <v>353</v>
      </c>
      <c r="P167" s="22"/>
      <c r="R167" s="167"/>
    </row>
    <row r="168" spans="1:21">
      <c r="A168" s="1133" t="s">
        <v>354</v>
      </c>
      <c r="P168" s="22"/>
      <c r="R168" s="167"/>
    </row>
    <row r="169" spans="1:21">
      <c r="A169" s="2" t="s">
        <v>1620</v>
      </c>
      <c r="R169" s="167"/>
    </row>
    <row r="170" spans="1:21">
      <c r="A170" s="2" t="s">
        <v>1621</v>
      </c>
      <c r="R170" s="167"/>
    </row>
    <row r="171" spans="1:21">
      <c r="A171" s="2" t="s">
        <v>355</v>
      </c>
      <c r="R171" s="167"/>
    </row>
    <row r="172" spans="1:21">
      <c r="A172" s="2" t="s">
        <v>1622</v>
      </c>
      <c r="R172" s="167"/>
    </row>
    <row r="173" spans="1:21" ht="12" thickBot="1">
      <c r="A173" s="9" t="s">
        <v>1623</v>
      </c>
      <c r="B173" s="34"/>
      <c r="C173" s="18"/>
      <c r="D173" s="18"/>
      <c r="E173" s="18"/>
      <c r="F173" s="18"/>
      <c r="G173" s="18"/>
      <c r="H173" s="18"/>
      <c r="I173" s="28"/>
      <c r="J173" s="20"/>
      <c r="K173" s="18"/>
      <c r="L173" s="18"/>
      <c r="M173" s="18"/>
      <c r="N173" s="18"/>
      <c r="O173" s="18"/>
      <c r="P173" s="28"/>
      <c r="Q173" s="28"/>
      <c r="R173" s="813"/>
      <c r="S173" s="1992"/>
    </row>
    <row r="174" spans="1:21" ht="12" thickTop="1">
      <c r="T174" s="1992"/>
    </row>
    <row r="175" spans="1:21">
      <c r="U175" s="1992"/>
    </row>
  </sheetData>
  <sheetProtection algorithmName="SHA-512" hashValue="pRiBoHK0NPgYboU2PV7JY4rg9UajJjRQ+dl3Vb+nkpk75FksTvlymzRFm3mXg33JQocZBn+3vzGBJeISyGttBw==" saltValue="SHM0hStR9S93jDOklm0WXw==" spinCount="100000" sheet="1" sort="0" autoFilter="0"/>
  <autoFilter ref="A5:B145" xr:uid="{00000000-0009-0000-0000-00001F000000}"/>
  <mergeCells count="10">
    <mergeCell ref="A2:R2"/>
    <mergeCell ref="J4:P4"/>
    <mergeCell ref="Q3:Q5"/>
    <mergeCell ref="R3:R5"/>
    <mergeCell ref="A150:P150"/>
    <mergeCell ref="A4:A5"/>
    <mergeCell ref="A3:B3"/>
    <mergeCell ref="B4:B5"/>
    <mergeCell ref="C4:I4"/>
    <mergeCell ref="C3:P3"/>
  </mergeCells>
  <phoneticPr fontId="0" type="noConversion"/>
  <printOptions horizontalCentered="1"/>
  <pageMargins left="0.7" right="0.7" top="0.75" bottom="0.5" header="0.3" footer="0.3"/>
  <pageSetup scale="62" fitToHeight="0" orientation="landscape" r:id="rId1"/>
  <headerFooter alignWithMargins="0">
    <oddFooter>&amp;C&amp;P of &amp;N&amp;R&amp;A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pageSetUpPr fitToPage="1"/>
  </sheetPr>
  <dimension ref="A1:Q152"/>
  <sheetViews>
    <sheetView showGridLines="0" zoomScale="115" zoomScaleNormal="115" workbookViewId="0">
      <pane xSplit="1" ySplit="5" topLeftCell="B6" activePane="bottomRight" state="frozen"/>
      <selection pane="topRight" activeCell="B1" sqref="B1"/>
      <selection pane="bottomLeft" activeCell="A6" sqref="A6"/>
      <selection pane="bottomRight" activeCell="A4" sqref="A4:E4"/>
    </sheetView>
  </sheetViews>
  <sheetFormatPr defaultColWidth="9.140625" defaultRowHeight="11.25"/>
  <cols>
    <col min="1" max="1" width="37.85546875" style="3" customWidth="1"/>
    <col min="2" max="2" width="16.42578125" style="22" customWidth="1"/>
    <col min="3" max="3" width="29.85546875" style="3" customWidth="1"/>
    <col min="4" max="4" width="18.42578125" style="3" customWidth="1"/>
    <col min="5" max="5" width="21" style="3" customWidth="1"/>
    <col min="6" max="6" width="10.42578125" style="3" customWidth="1"/>
    <col min="7" max="16384" width="9.140625" style="3"/>
  </cols>
  <sheetData>
    <row r="1" spans="1:17" ht="12" hidden="1" thickTop="1">
      <c r="A1" s="3" t="s">
        <v>1624</v>
      </c>
      <c r="C1" s="3" t="s">
        <v>1625</v>
      </c>
      <c r="D1" s="3" t="s">
        <v>1626</v>
      </c>
      <c r="E1" s="3" t="s">
        <v>1627</v>
      </c>
      <c r="F1" s="221"/>
      <c r="Q1" s="221"/>
    </row>
    <row r="2" spans="1:17" s="33" customFormat="1" ht="50.25" customHeight="1">
      <c r="A2" s="2890" t="s">
        <v>1628</v>
      </c>
      <c r="B2" s="2890"/>
      <c r="C2" s="2890"/>
      <c r="D2" s="2890"/>
      <c r="E2" s="2890"/>
    </row>
    <row r="3" spans="1:17" s="33" customFormat="1" ht="13.5" customHeight="1">
      <c r="A3" s="2891" t="s">
        <v>1629</v>
      </c>
      <c r="B3" s="2891"/>
      <c r="C3" s="2891"/>
      <c r="D3" s="2891"/>
      <c r="E3" s="2891"/>
    </row>
    <row r="4" spans="1:17" s="23" customFormat="1" ht="18" customHeight="1" thickBot="1">
      <c r="A4" s="2889" t="str">
        <f>'Tier 1 ESL'!A6:F6</f>
        <v>2025 (Rev 4)</v>
      </c>
      <c r="B4" s="2889"/>
      <c r="C4" s="2889"/>
      <c r="D4" s="2889"/>
      <c r="E4" s="2889"/>
    </row>
    <row r="5" spans="1:17" s="23" customFormat="1" ht="57.75" thickTop="1" thickBot="1">
      <c r="A5" s="2129" t="s">
        <v>661</v>
      </c>
      <c r="B5" s="982" t="s">
        <v>80</v>
      </c>
      <c r="C5" s="1331" t="s">
        <v>1630</v>
      </c>
      <c r="D5" s="1331" t="s">
        <v>1631</v>
      </c>
      <c r="E5" s="2122" t="s">
        <v>1632</v>
      </c>
    </row>
    <row r="6" spans="1:17">
      <c r="A6" s="136" t="s">
        <v>391</v>
      </c>
      <c r="B6" s="425" t="s">
        <v>392</v>
      </c>
      <c r="C6" s="161" t="s">
        <v>115</v>
      </c>
      <c r="D6" s="161" t="s">
        <v>115</v>
      </c>
      <c r="E6" s="154" t="s">
        <v>115</v>
      </c>
      <c r="F6" s="22"/>
      <c r="G6" s="22"/>
    </row>
    <row r="7" spans="1:17">
      <c r="A7" s="136" t="s">
        <v>85</v>
      </c>
      <c r="B7" s="425" t="s">
        <v>86</v>
      </c>
      <c r="C7" s="161">
        <v>1.3999999999999999E-4</v>
      </c>
      <c r="D7" s="161">
        <v>2.1999999999999999E-5</v>
      </c>
      <c r="E7" s="1883">
        <v>7.7000000000000004E-7</v>
      </c>
      <c r="F7" s="10"/>
      <c r="G7" s="10"/>
    </row>
    <row r="8" spans="1:17">
      <c r="A8" s="136" t="s">
        <v>87</v>
      </c>
      <c r="B8" s="425" t="s">
        <v>88</v>
      </c>
      <c r="C8" s="161">
        <v>4300</v>
      </c>
      <c r="D8" s="161">
        <v>1200</v>
      </c>
      <c r="E8" s="1883">
        <v>640</v>
      </c>
      <c r="F8" s="10"/>
      <c r="G8" s="10"/>
    </row>
    <row r="9" spans="1:17">
      <c r="A9" s="136" t="s">
        <v>89</v>
      </c>
      <c r="B9" s="425" t="s">
        <v>90</v>
      </c>
      <c r="C9" s="161" t="s">
        <v>115</v>
      </c>
      <c r="D9" s="161" t="s">
        <v>115</v>
      </c>
      <c r="E9" s="1883">
        <v>0.14000000000000001</v>
      </c>
      <c r="F9" s="10"/>
      <c r="G9" s="10"/>
    </row>
    <row r="10" spans="1:17">
      <c r="A10" s="136" t="s">
        <v>91</v>
      </c>
      <c r="B10" s="425" t="s">
        <v>92</v>
      </c>
      <c r="C10" s="161" t="s">
        <v>115</v>
      </c>
      <c r="D10" s="161" t="s">
        <v>115</v>
      </c>
      <c r="E10" s="154" t="s">
        <v>115</v>
      </c>
      <c r="F10" s="10"/>
      <c r="G10" s="10"/>
    </row>
    <row r="11" spans="1:17">
      <c r="A11" s="136" t="s">
        <v>93</v>
      </c>
      <c r="B11" s="425" t="s">
        <v>94</v>
      </c>
      <c r="C11" s="161">
        <v>71</v>
      </c>
      <c r="D11" s="161">
        <v>5.9</v>
      </c>
      <c r="E11" s="1883">
        <v>16</v>
      </c>
      <c r="F11" s="10"/>
      <c r="G11" s="10"/>
    </row>
    <row r="12" spans="1:17">
      <c r="A12" s="136" t="s">
        <v>95</v>
      </c>
      <c r="B12" s="425" t="s">
        <v>96</v>
      </c>
      <c r="C12" s="161" t="s">
        <v>115</v>
      </c>
      <c r="D12" s="161">
        <v>3.3000000000000002E-2</v>
      </c>
      <c r="E12" s="154" t="s">
        <v>115</v>
      </c>
      <c r="F12" s="10"/>
      <c r="G12" s="10"/>
    </row>
    <row r="13" spans="1:17">
      <c r="A13" s="136" t="s">
        <v>97</v>
      </c>
      <c r="B13" s="425" t="s">
        <v>98</v>
      </c>
      <c r="C13" s="161" t="s">
        <v>115</v>
      </c>
      <c r="D13" s="161" t="s">
        <v>115</v>
      </c>
      <c r="E13" s="154" t="s">
        <v>115</v>
      </c>
      <c r="F13" s="10"/>
      <c r="G13" s="10"/>
    </row>
    <row r="14" spans="1:17">
      <c r="A14" s="136" t="s">
        <v>99</v>
      </c>
      <c r="B14" s="425" t="s">
        <v>100</v>
      </c>
      <c r="C14" s="161">
        <v>1.4</v>
      </c>
      <c r="D14" s="161">
        <v>4.4999999999999998E-2</v>
      </c>
      <c r="E14" s="1883">
        <v>2.2000000000000002</v>
      </c>
      <c r="F14" s="10"/>
      <c r="G14" s="10"/>
    </row>
    <row r="15" spans="1:17">
      <c r="A15" s="136" t="s">
        <v>101</v>
      </c>
      <c r="B15" s="425" t="s">
        <v>102</v>
      </c>
      <c r="C15" s="161">
        <v>170000</v>
      </c>
      <c r="D15" s="161" t="s">
        <v>115</v>
      </c>
      <c r="E15" s="1883">
        <v>4000</v>
      </c>
      <c r="F15" s="10"/>
      <c r="G15" s="10"/>
    </row>
    <row r="16" spans="1:17">
      <c r="A16" s="136" t="s">
        <v>103</v>
      </c>
      <c r="B16" s="425" t="s">
        <v>104</v>
      </c>
      <c r="C16" s="161">
        <v>5.9</v>
      </c>
      <c r="D16" s="161">
        <v>3.5</v>
      </c>
      <c r="E16" s="1883">
        <v>0.37</v>
      </c>
      <c r="F16" s="10"/>
      <c r="G16" s="10"/>
    </row>
    <row r="17" spans="1:7">
      <c r="A17" s="136" t="s">
        <v>105</v>
      </c>
      <c r="B17" s="425" t="s">
        <v>106</v>
      </c>
      <c r="C17" s="161" t="s">
        <v>115</v>
      </c>
      <c r="D17" s="161" t="s">
        <v>115</v>
      </c>
      <c r="E17" s="154" t="s">
        <v>115</v>
      </c>
      <c r="F17" s="10"/>
      <c r="G17" s="10"/>
    </row>
    <row r="18" spans="1:7">
      <c r="A18" s="136" t="s">
        <v>107</v>
      </c>
      <c r="B18" s="425" t="s">
        <v>108</v>
      </c>
      <c r="C18" s="161" t="s">
        <v>115</v>
      </c>
      <c r="D18" s="161" t="s">
        <v>115</v>
      </c>
      <c r="E18" s="1883">
        <v>27</v>
      </c>
      <c r="F18" s="10"/>
      <c r="G18" s="10"/>
    </row>
    <row r="19" spans="1:7">
      <c r="A19" s="136" t="s">
        <v>109</v>
      </c>
      <c r="B19" s="425" t="s">
        <v>110</v>
      </c>
      <c r="C19" s="161">
        <v>360</v>
      </c>
      <c r="D19" s="161" t="s">
        <v>115</v>
      </c>
      <c r="E19" s="1883">
        <v>120</v>
      </c>
      <c r="F19" s="10"/>
      <c r="G19" s="10"/>
    </row>
    <row r="20" spans="1:7">
      <c r="A20" s="136" t="s">
        <v>111</v>
      </c>
      <c r="B20" s="425" t="s">
        <v>112</v>
      </c>
      <c r="C20" s="161">
        <v>4000</v>
      </c>
      <c r="D20" s="161" t="s">
        <v>115</v>
      </c>
      <c r="E20" s="1883">
        <v>10000</v>
      </c>
      <c r="F20" s="10"/>
      <c r="G20" s="10"/>
    </row>
    <row r="21" spans="1:7">
      <c r="A21" s="136" t="s">
        <v>113</v>
      </c>
      <c r="B21" s="425" t="s">
        <v>114</v>
      </c>
      <c r="C21" s="161" t="s">
        <v>115</v>
      </c>
      <c r="D21" s="161" t="s">
        <v>115</v>
      </c>
      <c r="E21" s="154" t="s">
        <v>115</v>
      </c>
      <c r="F21" s="10"/>
      <c r="G21" s="10"/>
    </row>
    <row r="22" spans="1:7">
      <c r="A22" s="136" t="s">
        <v>116</v>
      </c>
      <c r="B22" s="425" t="s">
        <v>114</v>
      </c>
      <c r="C22" s="161" t="s">
        <v>115</v>
      </c>
      <c r="D22" s="161" t="s">
        <v>115</v>
      </c>
      <c r="E22" s="154" t="s">
        <v>115</v>
      </c>
      <c r="F22" s="10"/>
      <c r="G22" s="10"/>
    </row>
    <row r="23" spans="1:7">
      <c r="A23" s="136" t="s">
        <v>117</v>
      </c>
      <c r="B23" s="425" t="s">
        <v>118</v>
      </c>
      <c r="C23" s="161">
        <v>4.4000000000000004</v>
      </c>
      <c r="D23" s="161">
        <v>0.9</v>
      </c>
      <c r="E23" s="1883">
        <v>5</v>
      </c>
      <c r="F23" s="10"/>
      <c r="G23" s="10"/>
    </row>
    <row r="24" spans="1:7">
      <c r="A24" s="136" t="s">
        <v>119</v>
      </c>
      <c r="B24" s="425" t="s">
        <v>120</v>
      </c>
      <c r="C24" s="161">
        <v>5.9000000000000003E-4</v>
      </c>
      <c r="D24" s="161">
        <v>2.3E-5</v>
      </c>
      <c r="E24" s="154" t="s">
        <v>115</v>
      </c>
      <c r="F24" s="10"/>
      <c r="G24" s="10"/>
    </row>
    <row r="25" spans="1:7">
      <c r="A25" s="136" t="s">
        <v>121</v>
      </c>
      <c r="B25" s="425" t="s">
        <v>122</v>
      </c>
      <c r="C25" s="161" t="s">
        <v>115</v>
      </c>
      <c r="D25" s="161" t="s">
        <v>115</v>
      </c>
      <c r="E25" s="154" t="s">
        <v>115</v>
      </c>
      <c r="F25" s="10"/>
      <c r="G25" s="10"/>
    </row>
    <row r="26" spans="1:7">
      <c r="A26" s="136" t="s">
        <v>123</v>
      </c>
      <c r="B26" s="425" t="s">
        <v>124</v>
      </c>
      <c r="C26" s="161">
        <v>21000</v>
      </c>
      <c r="D26" s="161">
        <v>570</v>
      </c>
      <c r="E26" s="1883">
        <v>800</v>
      </c>
      <c r="F26" s="10"/>
      <c r="G26" s="10"/>
    </row>
    <row r="27" spans="1:7">
      <c r="A27" s="136" t="s">
        <v>125</v>
      </c>
      <c r="B27" s="425" t="s">
        <v>126</v>
      </c>
      <c r="C27" s="161" t="s">
        <v>115</v>
      </c>
      <c r="D27" s="161" t="s">
        <v>115</v>
      </c>
      <c r="E27" s="154" t="s">
        <v>115</v>
      </c>
      <c r="F27" s="10"/>
      <c r="G27" s="10"/>
    </row>
    <row r="28" spans="1:7">
      <c r="A28" s="136" t="s">
        <v>127</v>
      </c>
      <c r="B28" s="425" t="s">
        <v>128</v>
      </c>
      <c r="C28" s="161" t="s">
        <v>115</v>
      </c>
      <c r="D28" s="161">
        <v>130</v>
      </c>
      <c r="E28" s="1883">
        <v>2000</v>
      </c>
      <c r="F28" s="10"/>
      <c r="G28" s="10"/>
    </row>
    <row r="29" spans="1:7">
      <c r="A29" s="136" t="s">
        <v>129</v>
      </c>
      <c r="B29" s="425" t="s">
        <v>130</v>
      </c>
      <c r="C29" s="161" t="s">
        <v>115</v>
      </c>
      <c r="D29" s="161" t="s">
        <v>115</v>
      </c>
      <c r="E29" s="154" t="s">
        <v>115</v>
      </c>
      <c r="F29" s="10"/>
      <c r="G29" s="10"/>
    </row>
    <row r="30" spans="1:7">
      <c r="A30" s="136" t="s">
        <v>131</v>
      </c>
      <c r="B30" s="425" t="s">
        <v>132</v>
      </c>
      <c r="C30" s="161">
        <v>400</v>
      </c>
      <c r="D30" s="161" t="s">
        <v>115</v>
      </c>
      <c r="E30" s="1883">
        <v>800</v>
      </c>
      <c r="F30" s="10"/>
      <c r="G30" s="10"/>
    </row>
    <row r="31" spans="1:7">
      <c r="A31" s="136" t="s">
        <v>133</v>
      </c>
      <c r="B31" s="425" t="s">
        <v>134</v>
      </c>
      <c r="C31" s="161" t="s">
        <v>115</v>
      </c>
      <c r="D31" s="161" t="s">
        <v>115</v>
      </c>
      <c r="E31" s="154" t="s">
        <v>115</v>
      </c>
      <c r="F31" s="10"/>
      <c r="G31" s="10"/>
    </row>
    <row r="32" spans="1:7">
      <c r="A32" s="136" t="s">
        <v>135</v>
      </c>
      <c r="B32" s="425" t="s">
        <v>136</v>
      </c>
      <c r="C32" s="161" t="s">
        <v>115</v>
      </c>
      <c r="D32" s="161">
        <v>190000</v>
      </c>
      <c r="E32" s="154" t="s">
        <v>115</v>
      </c>
      <c r="F32" s="10"/>
      <c r="G32" s="10"/>
    </row>
    <row r="33" spans="1:7">
      <c r="A33" s="136" t="s">
        <v>137</v>
      </c>
      <c r="B33" s="425" t="s">
        <v>138</v>
      </c>
      <c r="C33" s="161" t="s">
        <v>115</v>
      </c>
      <c r="D33" s="161" t="s">
        <v>115</v>
      </c>
      <c r="E33" s="154" t="s">
        <v>115</v>
      </c>
      <c r="F33" s="10"/>
      <c r="G33" s="10"/>
    </row>
    <row r="34" spans="1:7">
      <c r="A34" s="136" t="s">
        <v>139</v>
      </c>
      <c r="B34" s="425" t="s">
        <v>140</v>
      </c>
      <c r="C34" s="161" t="s">
        <v>115</v>
      </c>
      <c r="D34" s="161" t="s">
        <v>115</v>
      </c>
      <c r="E34" s="154" t="s">
        <v>115</v>
      </c>
      <c r="F34" s="10"/>
      <c r="G34" s="10"/>
    </row>
    <row r="35" spans="1:7">
      <c r="A35" s="136" t="s">
        <v>141</v>
      </c>
      <c r="B35" s="425" t="s">
        <v>142</v>
      </c>
      <c r="C35" s="161" t="s">
        <v>115</v>
      </c>
      <c r="D35" s="161" t="s">
        <v>115</v>
      </c>
      <c r="E35" s="154" t="s">
        <v>115</v>
      </c>
      <c r="F35" s="10"/>
      <c r="G35" s="10"/>
    </row>
    <row r="36" spans="1:7">
      <c r="A36" s="136" t="s">
        <v>143</v>
      </c>
      <c r="B36" s="425" t="s">
        <v>144</v>
      </c>
      <c r="C36" s="161">
        <v>220000</v>
      </c>
      <c r="D36" s="161" t="s">
        <v>115</v>
      </c>
      <c r="E36" s="1883">
        <v>400</v>
      </c>
      <c r="F36" s="10"/>
      <c r="G36" s="10"/>
    </row>
    <row r="37" spans="1:7">
      <c r="A37" s="136" t="s">
        <v>145</v>
      </c>
      <c r="B37" s="425" t="s">
        <v>146</v>
      </c>
      <c r="C37" s="161">
        <v>34</v>
      </c>
      <c r="D37" s="161" t="s">
        <v>115</v>
      </c>
      <c r="E37" s="1883">
        <v>21</v>
      </c>
      <c r="F37" s="10"/>
      <c r="G37" s="10"/>
    </row>
    <row r="38" spans="1:7">
      <c r="A38" s="136" t="s">
        <v>147</v>
      </c>
      <c r="B38" s="425" t="s">
        <v>148</v>
      </c>
      <c r="C38" s="161" t="s">
        <v>115</v>
      </c>
      <c r="D38" s="161" t="s">
        <v>115</v>
      </c>
      <c r="E38" s="154" t="s">
        <v>115</v>
      </c>
      <c r="F38" s="10"/>
      <c r="G38" s="10"/>
    </row>
    <row r="39" spans="1:7">
      <c r="A39" s="136" t="s">
        <v>149</v>
      </c>
      <c r="B39" s="425" t="s">
        <v>150</v>
      </c>
      <c r="C39" s="161" t="s">
        <v>115</v>
      </c>
      <c r="D39" s="161" t="s">
        <v>115</v>
      </c>
      <c r="E39" s="154" t="s">
        <v>115</v>
      </c>
      <c r="F39" s="10"/>
      <c r="G39" s="10"/>
    </row>
    <row r="40" spans="1:7">
      <c r="A40" s="136" t="s">
        <v>151</v>
      </c>
      <c r="B40" s="425" t="s">
        <v>152</v>
      </c>
      <c r="C40" s="161">
        <v>17000</v>
      </c>
      <c r="D40" s="161">
        <v>5100</v>
      </c>
      <c r="E40" s="1883">
        <v>3000</v>
      </c>
      <c r="F40" s="10"/>
      <c r="G40" s="10"/>
    </row>
    <row r="41" spans="1:7">
      <c r="A41" s="136" t="s">
        <v>153</v>
      </c>
      <c r="B41" s="425" t="s">
        <v>154</v>
      </c>
      <c r="C41" s="161">
        <v>2600</v>
      </c>
      <c r="D41" s="161">
        <v>18</v>
      </c>
      <c r="E41" s="1883">
        <v>900</v>
      </c>
      <c r="F41" s="10"/>
      <c r="G41" s="10"/>
    </row>
    <row r="42" spans="1:7">
      <c r="A42" s="136" t="s">
        <v>155</v>
      </c>
      <c r="B42" s="425" t="s">
        <v>156</v>
      </c>
      <c r="C42" s="161">
        <v>7.6999999999999999E-2</v>
      </c>
      <c r="D42" s="161" t="s">
        <v>115</v>
      </c>
      <c r="E42" s="1883">
        <v>0.15</v>
      </c>
      <c r="F42" s="10"/>
      <c r="G42" s="10"/>
    </row>
    <row r="43" spans="1:7">
      <c r="A43" s="136" t="s">
        <v>157</v>
      </c>
      <c r="B43" s="425" t="s">
        <v>158</v>
      </c>
      <c r="C43" s="161">
        <v>8.4000000000000003E-4</v>
      </c>
      <c r="D43" s="161" t="s">
        <v>115</v>
      </c>
      <c r="E43" s="1883">
        <v>1.2E-4</v>
      </c>
      <c r="F43" s="10"/>
      <c r="G43" s="10"/>
    </row>
    <row r="44" spans="1:7">
      <c r="A44" s="136" t="s">
        <v>159</v>
      </c>
      <c r="B44" s="425" t="s">
        <v>160</v>
      </c>
      <c r="C44" s="161">
        <v>5.9000000000000003E-4</v>
      </c>
      <c r="D44" s="161" t="s">
        <v>115</v>
      </c>
      <c r="E44" s="1883">
        <v>1.8E-5</v>
      </c>
      <c r="F44" s="10"/>
      <c r="G44" s="10"/>
    </row>
    <row r="45" spans="1:7">
      <c r="A45" s="136" t="s">
        <v>161</v>
      </c>
      <c r="B45" s="425" t="s">
        <v>162</v>
      </c>
      <c r="C45" s="161">
        <v>5.9000000000000003E-4</v>
      </c>
      <c r="D45" s="161">
        <v>1.7000000000000001E-4</v>
      </c>
      <c r="E45" s="1883">
        <v>3.0000000000000001E-5</v>
      </c>
      <c r="F45" s="10"/>
      <c r="G45" s="10"/>
    </row>
    <row r="46" spans="1:7">
      <c r="A46" s="136" t="s">
        <v>163</v>
      </c>
      <c r="B46" s="425" t="s">
        <v>164</v>
      </c>
      <c r="C46" s="161" t="s">
        <v>115</v>
      </c>
      <c r="D46" s="161" t="s">
        <v>115</v>
      </c>
      <c r="E46" s="154" t="s">
        <v>115</v>
      </c>
      <c r="F46" s="10"/>
      <c r="G46" s="10"/>
    </row>
    <row r="47" spans="1:7">
      <c r="A47" s="136" t="s">
        <v>165</v>
      </c>
      <c r="B47" s="425" t="s">
        <v>166</v>
      </c>
      <c r="C47" s="161">
        <v>99</v>
      </c>
      <c r="D47" s="161">
        <v>28</v>
      </c>
      <c r="E47" s="1883">
        <v>650</v>
      </c>
      <c r="F47" s="10"/>
      <c r="G47" s="10"/>
    </row>
    <row r="48" spans="1:7">
      <c r="A48" s="136" t="s">
        <v>167</v>
      </c>
      <c r="B48" s="425" t="s">
        <v>168</v>
      </c>
      <c r="C48" s="161">
        <v>3.2</v>
      </c>
      <c r="D48" s="161">
        <v>0.9</v>
      </c>
      <c r="E48" s="1883">
        <v>20000</v>
      </c>
      <c r="F48" s="10"/>
      <c r="G48" s="10"/>
    </row>
    <row r="49" spans="1:7">
      <c r="A49" s="136" t="s">
        <v>169</v>
      </c>
      <c r="B49" s="425" t="s">
        <v>170</v>
      </c>
      <c r="C49" s="161" t="s">
        <v>115</v>
      </c>
      <c r="D49" s="161" t="s">
        <v>115</v>
      </c>
      <c r="E49" s="154" t="s">
        <v>115</v>
      </c>
      <c r="F49" s="10"/>
      <c r="G49" s="10"/>
    </row>
    <row r="50" spans="1:7">
      <c r="A50" s="136" t="s">
        <v>171</v>
      </c>
      <c r="B50" s="425" t="s">
        <v>172</v>
      </c>
      <c r="C50" s="161">
        <v>140000</v>
      </c>
      <c r="D50" s="161" t="s">
        <v>115</v>
      </c>
      <c r="E50" s="1883">
        <v>4000</v>
      </c>
      <c r="F50" s="10"/>
      <c r="G50" s="10"/>
    </row>
    <row r="51" spans="1:7">
      <c r="A51" s="136" t="s">
        <v>173</v>
      </c>
      <c r="B51" s="425" t="s">
        <v>174</v>
      </c>
      <c r="C51" s="161">
        <v>790</v>
      </c>
      <c r="D51" s="161" t="s">
        <v>115</v>
      </c>
      <c r="E51" s="1883">
        <v>60</v>
      </c>
      <c r="F51" s="10"/>
      <c r="G51" s="10"/>
    </row>
    <row r="52" spans="1:7">
      <c r="A52" s="136" t="s">
        <v>175</v>
      </c>
      <c r="B52" s="425" t="s">
        <v>176</v>
      </c>
      <c r="C52" s="161">
        <v>39</v>
      </c>
      <c r="D52" s="161" t="s">
        <v>115</v>
      </c>
      <c r="E52" s="1883">
        <v>31</v>
      </c>
      <c r="F52" s="10"/>
      <c r="G52" s="10"/>
    </row>
    <row r="53" spans="1:7">
      <c r="A53" s="136" t="s">
        <v>177</v>
      </c>
      <c r="B53" s="425" t="s">
        <v>178</v>
      </c>
      <c r="C53" s="161">
        <v>1700</v>
      </c>
      <c r="D53" s="161" t="s">
        <v>115</v>
      </c>
      <c r="E53" s="1883">
        <v>12</v>
      </c>
      <c r="F53" s="10"/>
      <c r="G53" s="10"/>
    </row>
    <row r="54" spans="1:7">
      <c r="A54" s="136" t="s">
        <v>179</v>
      </c>
      <c r="B54" s="425" t="s">
        <v>180</v>
      </c>
      <c r="C54" s="161">
        <v>1.3999999999999999E-4</v>
      </c>
      <c r="D54" s="161">
        <v>4.0000000000000003E-5</v>
      </c>
      <c r="E54" s="1883">
        <v>1.1999999999999999E-6</v>
      </c>
      <c r="F54" s="10"/>
      <c r="G54" s="10"/>
    </row>
    <row r="55" spans="1:7">
      <c r="A55" s="136" t="s">
        <v>181</v>
      </c>
      <c r="B55" s="425" t="s">
        <v>182</v>
      </c>
      <c r="C55" s="161">
        <v>120000</v>
      </c>
      <c r="D55" s="161" t="s">
        <v>115</v>
      </c>
      <c r="E55" s="1883">
        <v>600</v>
      </c>
      <c r="F55" s="10"/>
      <c r="G55" s="10"/>
    </row>
    <row r="56" spans="1:7">
      <c r="A56" s="136" t="s">
        <v>183</v>
      </c>
      <c r="B56" s="425" t="s">
        <v>184</v>
      </c>
      <c r="C56" s="161">
        <v>2300</v>
      </c>
      <c r="D56" s="161" t="s">
        <v>115</v>
      </c>
      <c r="E56" s="1883">
        <v>3000</v>
      </c>
      <c r="F56" s="10"/>
      <c r="G56" s="10"/>
    </row>
    <row r="57" spans="1:7">
      <c r="A57" s="136" t="s">
        <v>185</v>
      </c>
      <c r="B57" s="425" t="s">
        <v>186</v>
      </c>
      <c r="C57" s="161">
        <v>14000</v>
      </c>
      <c r="D57" s="161">
        <v>4</v>
      </c>
      <c r="E57" s="1883">
        <v>300</v>
      </c>
      <c r="F57" s="10"/>
      <c r="G57" s="10"/>
    </row>
    <row r="58" spans="1:7">
      <c r="A58" s="136" t="s">
        <v>187</v>
      </c>
      <c r="B58" s="425" t="s">
        <v>188</v>
      </c>
      <c r="C58" s="161">
        <v>9.1</v>
      </c>
      <c r="D58" s="161">
        <v>2.6</v>
      </c>
      <c r="E58" s="1883">
        <v>1.7</v>
      </c>
      <c r="F58" s="10"/>
      <c r="G58" s="10"/>
    </row>
    <row r="59" spans="1:7">
      <c r="A59" s="136" t="s">
        <v>189</v>
      </c>
      <c r="B59" s="425" t="s">
        <v>190</v>
      </c>
      <c r="C59" s="161" t="s">
        <v>115</v>
      </c>
      <c r="D59" s="161" t="s">
        <v>115</v>
      </c>
      <c r="E59" s="154" t="s">
        <v>115</v>
      </c>
      <c r="F59" s="10"/>
      <c r="G59" s="10"/>
    </row>
    <row r="60" spans="1:7">
      <c r="A60" s="136" t="s">
        <v>191</v>
      </c>
      <c r="B60" s="425" t="s">
        <v>192</v>
      </c>
      <c r="C60" s="161">
        <v>1.4E-8</v>
      </c>
      <c r="D60" s="161" t="s">
        <v>115</v>
      </c>
      <c r="E60" s="1883">
        <v>5.1000000000000002E-9</v>
      </c>
      <c r="F60" s="10"/>
      <c r="G60" s="10"/>
    </row>
    <row r="61" spans="1:7">
      <c r="A61" s="136" t="s">
        <v>193</v>
      </c>
      <c r="B61" s="425" t="s">
        <v>194</v>
      </c>
      <c r="C61" s="161">
        <v>240</v>
      </c>
      <c r="D61" s="161" t="s">
        <v>115</v>
      </c>
      <c r="E61" s="154" t="s">
        <v>115</v>
      </c>
      <c r="F61" s="10"/>
      <c r="G61" s="10"/>
    </row>
    <row r="62" spans="1:7">
      <c r="A62" s="136" t="s">
        <v>195</v>
      </c>
      <c r="B62" s="425" t="s">
        <v>196</v>
      </c>
      <c r="C62" s="161">
        <v>0.81</v>
      </c>
      <c r="D62" s="161" t="s">
        <v>115</v>
      </c>
      <c r="E62" s="1883">
        <v>0.03</v>
      </c>
      <c r="F62" s="10"/>
      <c r="G62" s="10"/>
    </row>
    <row r="63" spans="1:7">
      <c r="A63" s="136" t="s">
        <v>197</v>
      </c>
      <c r="B63" s="425" t="s">
        <v>198</v>
      </c>
      <c r="C63" s="161">
        <v>29000</v>
      </c>
      <c r="D63" s="161">
        <v>4100</v>
      </c>
      <c r="E63" s="1883">
        <v>130</v>
      </c>
      <c r="F63" s="10"/>
      <c r="G63" s="10"/>
    </row>
    <row r="64" spans="1:7">
      <c r="A64" s="136" t="s">
        <v>199</v>
      </c>
      <c r="B64" s="425" t="s">
        <v>200</v>
      </c>
      <c r="C64" s="161">
        <v>2.1000000000000001E-4</v>
      </c>
      <c r="D64" s="161">
        <v>5.0000000000000002E-5</v>
      </c>
      <c r="E64" s="1883">
        <v>5.9000000000000003E-6</v>
      </c>
      <c r="F64" s="10"/>
      <c r="G64" s="10"/>
    </row>
    <row r="65" spans="1:7">
      <c r="A65" s="136" t="s">
        <v>201</v>
      </c>
      <c r="B65" s="425" t="s">
        <v>202</v>
      </c>
      <c r="C65" s="161">
        <v>1.1E-4</v>
      </c>
      <c r="D65" s="161">
        <v>2.0000000000000002E-5</v>
      </c>
      <c r="E65" s="1883">
        <v>3.1999999999999999E-5</v>
      </c>
      <c r="F65" s="10"/>
      <c r="G65" s="10"/>
    </row>
    <row r="66" spans="1:7">
      <c r="A66" s="136" t="s">
        <v>203</v>
      </c>
      <c r="B66" s="425" t="s">
        <v>204</v>
      </c>
      <c r="C66" s="161">
        <v>7.6999999999999996E-4</v>
      </c>
      <c r="D66" s="161">
        <v>2.1000000000000001E-4</v>
      </c>
      <c r="E66" s="1883">
        <v>7.8999999999999996E-5</v>
      </c>
      <c r="F66" s="10"/>
      <c r="G66" s="10"/>
    </row>
    <row r="67" spans="1:7">
      <c r="A67" s="136" t="s">
        <v>205</v>
      </c>
      <c r="B67" s="425" t="s">
        <v>206</v>
      </c>
      <c r="C67" s="161">
        <v>50</v>
      </c>
      <c r="D67" s="161">
        <v>14</v>
      </c>
      <c r="E67" s="1883">
        <v>0.01</v>
      </c>
      <c r="F67" s="10"/>
      <c r="G67" s="10"/>
    </row>
    <row r="68" spans="1:7">
      <c r="A68" s="2106" t="s">
        <v>4279</v>
      </c>
      <c r="B68" s="425" t="s">
        <v>208</v>
      </c>
      <c r="C68" s="161">
        <v>6.3E-2</v>
      </c>
      <c r="D68" s="161" t="s">
        <v>115</v>
      </c>
      <c r="E68" s="1883">
        <v>4.4000000000000004</v>
      </c>
      <c r="F68" s="10"/>
      <c r="G68" s="10"/>
    </row>
    <row r="69" spans="1:7">
      <c r="A69" s="136" t="s">
        <v>209</v>
      </c>
      <c r="B69" s="425" t="s">
        <v>210</v>
      </c>
      <c r="C69" s="161">
        <v>8.9</v>
      </c>
      <c r="D69" s="161">
        <v>2.5</v>
      </c>
      <c r="E69" s="1883">
        <v>0.1</v>
      </c>
      <c r="F69" s="10"/>
      <c r="G69" s="10"/>
    </row>
    <row r="70" spans="1:7">
      <c r="A70" s="136" t="s">
        <v>211</v>
      </c>
      <c r="B70" s="425" t="s">
        <v>212</v>
      </c>
      <c r="C70" s="161" t="s">
        <v>115</v>
      </c>
      <c r="D70" s="161" t="s">
        <v>115</v>
      </c>
      <c r="E70" s="154" t="s">
        <v>115</v>
      </c>
      <c r="F70" s="10"/>
      <c r="G70" s="10"/>
    </row>
    <row r="71" spans="1:7">
      <c r="A71" s="136" t="s">
        <v>213</v>
      </c>
      <c r="B71" s="425" t="s">
        <v>214</v>
      </c>
      <c r="C71" s="161">
        <v>5.0999999999999997E-2</v>
      </c>
      <c r="D71" s="161" t="s">
        <v>115</v>
      </c>
      <c r="E71" s="154" t="s">
        <v>115</v>
      </c>
      <c r="F71" s="10"/>
      <c r="G71" s="10"/>
    </row>
    <row r="72" spans="1:7">
      <c r="A72" s="136" t="s">
        <v>215</v>
      </c>
      <c r="B72" s="425" t="s">
        <v>216</v>
      </c>
      <c r="C72" s="161" t="s">
        <v>115</v>
      </c>
      <c r="D72" s="161" t="s">
        <v>115</v>
      </c>
      <c r="E72" s="1883">
        <v>0.02</v>
      </c>
      <c r="F72" s="10"/>
      <c r="G72" s="10"/>
    </row>
    <row r="73" spans="1:7">
      <c r="A73" s="136" t="s">
        <v>217</v>
      </c>
      <c r="B73" s="425" t="s">
        <v>218</v>
      </c>
      <c r="C73" s="161">
        <v>1600</v>
      </c>
      <c r="D73" s="161" t="s">
        <v>115</v>
      </c>
      <c r="E73" s="1883">
        <v>1000</v>
      </c>
      <c r="F73" s="10"/>
      <c r="G73" s="10"/>
    </row>
    <row r="74" spans="1:7">
      <c r="A74" s="136" t="s">
        <v>219</v>
      </c>
      <c r="B74" s="425" t="s">
        <v>220</v>
      </c>
      <c r="C74" s="161" t="s">
        <v>115</v>
      </c>
      <c r="D74" s="161" t="s">
        <v>115</v>
      </c>
      <c r="E74" s="154" t="s">
        <v>115</v>
      </c>
      <c r="F74" s="10"/>
      <c r="G74" s="10"/>
    </row>
    <row r="75" spans="1:7">
      <c r="A75" s="136" t="s">
        <v>221</v>
      </c>
      <c r="B75" s="425" t="s">
        <v>222</v>
      </c>
      <c r="C75" s="161" t="s">
        <v>115</v>
      </c>
      <c r="D75" s="161" t="s">
        <v>115</v>
      </c>
      <c r="E75" s="154" t="s">
        <v>115</v>
      </c>
      <c r="F75" s="10"/>
      <c r="G75" s="10"/>
    </row>
    <row r="76" spans="1:7">
      <c r="A76" s="136" t="s">
        <v>223</v>
      </c>
      <c r="B76" s="425" t="s">
        <v>224</v>
      </c>
      <c r="C76" s="161" t="s">
        <v>115</v>
      </c>
      <c r="D76" s="161" t="s">
        <v>115</v>
      </c>
      <c r="E76" s="154" t="s">
        <v>115</v>
      </c>
      <c r="F76" s="10"/>
      <c r="G76" s="10"/>
    </row>
    <row r="77" spans="1:7">
      <c r="A77" s="136" t="s">
        <v>225</v>
      </c>
      <c r="B77" s="425" t="s">
        <v>226</v>
      </c>
      <c r="C77" s="161" t="s">
        <v>115</v>
      </c>
      <c r="D77" s="161" t="s">
        <v>115</v>
      </c>
      <c r="E77" s="154" t="s">
        <v>115</v>
      </c>
      <c r="F77" s="10"/>
      <c r="G77" s="10"/>
    </row>
    <row r="78" spans="1:7">
      <c r="A78" s="136" t="s">
        <v>227</v>
      </c>
      <c r="B78" s="425" t="s">
        <v>228</v>
      </c>
      <c r="C78" s="161" t="s">
        <v>115</v>
      </c>
      <c r="D78" s="161" t="s">
        <v>115</v>
      </c>
      <c r="E78" s="154" t="s">
        <v>115</v>
      </c>
      <c r="F78" s="10"/>
      <c r="G78" s="10"/>
    </row>
    <row r="79" spans="1:7">
      <c r="A79" s="136" t="s">
        <v>229</v>
      </c>
      <c r="B79" s="425" t="s">
        <v>230</v>
      </c>
      <c r="C79" s="161" t="s">
        <v>115</v>
      </c>
      <c r="D79" s="161" t="s">
        <v>115</v>
      </c>
      <c r="E79" s="154" t="s">
        <v>115</v>
      </c>
      <c r="F79" s="10"/>
      <c r="G79" s="10"/>
    </row>
    <row r="80" spans="1:7">
      <c r="A80" s="136" t="s">
        <v>231</v>
      </c>
      <c r="B80" s="425" t="s">
        <v>232</v>
      </c>
      <c r="C80" s="161">
        <v>4600</v>
      </c>
      <c r="D80" s="161" t="s">
        <v>115</v>
      </c>
      <c r="E80" s="154">
        <v>4600</v>
      </c>
      <c r="F80" s="10"/>
      <c r="G80" s="10"/>
    </row>
    <row r="81" spans="1:7">
      <c r="A81" s="2" t="s">
        <v>233</v>
      </c>
      <c r="B81" s="425" t="s">
        <v>234</v>
      </c>
      <c r="C81" s="161">
        <v>2700</v>
      </c>
      <c r="D81" s="161" t="s">
        <v>115</v>
      </c>
      <c r="E81" s="154">
        <v>90</v>
      </c>
      <c r="F81" s="10"/>
      <c r="G81" s="10"/>
    </row>
    <row r="82" spans="1:7">
      <c r="A82" s="136" t="s">
        <v>235</v>
      </c>
      <c r="B82" s="425" t="s">
        <v>236</v>
      </c>
      <c r="C82" s="161">
        <v>110000</v>
      </c>
      <c r="D82" s="161" t="s">
        <v>115</v>
      </c>
      <c r="E82" s="1883">
        <v>400</v>
      </c>
      <c r="F82" s="10"/>
      <c r="G82" s="10"/>
    </row>
    <row r="83" spans="1:7">
      <c r="A83" s="136" t="s">
        <v>237</v>
      </c>
      <c r="B83" s="425" t="s">
        <v>238</v>
      </c>
      <c r="C83" s="161">
        <v>4.9000000000000002E-2</v>
      </c>
      <c r="D83" s="161" t="s">
        <v>115</v>
      </c>
      <c r="E83" s="1883">
        <v>1.2999999999999999E-3</v>
      </c>
      <c r="F83" s="10"/>
      <c r="G83" s="10"/>
    </row>
    <row r="84" spans="1:7">
      <c r="A84" s="136" t="s">
        <v>239</v>
      </c>
      <c r="B84" s="425" t="s">
        <v>240</v>
      </c>
      <c r="C84" s="161">
        <v>4.9000000000000002E-2</v>
      </c>
      <c r="D84" s="161" t="s">
        <v>115</v>
      </c>
      <c r="E84" s="1883">
        <v>1.2999999999999999E-4</v>
      </c>
      <c r="F84" s="10"/>
      <c r="G84" s="10"/>
    </row>
    <row r="85" spans="1:7">
      <c r="A85" s="136" t="s">
        <v>241</v>
      </c>
      <c r="B85" s="425" t="s">
        <v>242</v>
      </c>
      <c r="C85" s="161">
        <v>4.9000000000000002E-2</v>
      </c>
      <c r="D85" s="161" t="s">
        <v>115</v>
      </c>
      <c r="E85" s="1883">
        <v>1.2999999999999999E-3</v>
      </c>
      <c r="F85" s="10"/>
      <c r="G85" s="10"/>
    </row>
    <row r="86" spans="1:7">
      <c r="A86" s="136" t="s">
        <v>243</v>
      </c>
      <c r="B86" s="425" t="s">
        <v>244</v>
      </c>
      <c r="C86" s="161">
        <v>4.9000000000000002E-2</v>
      </c>
      <c r="D86" s="161" t="s">
        <v>115</v>
      </c>
      <c r="E86" s="1883">
        <v>1.2999999999999999E-2</v>
      </c>
      <c r="F86" s="10"/>
      <c r="G86" s="10"/>
    </row>
    <row r="87" spans="1:7">
      <c r="A87" s="136" t="s">
        <v>245</v>
      </c>
      <c r="B87" s="425" t="s">
        <v>246</v>
      </c>
      <c r="C87" s="161">
        <v>4.9000000000000002E-2</v>
      </c>
      <c r="D87" s="161" t="s">
        <v>115</v>
      </c>
      <c r="E87" s="1883">
        <v>0.13</v>
      </c>
      <c r="F87" s="10"/>
      <c r="G87" s="10"/>
    </row>
    <row r="88" spans="1:7">
      <c r="A88" s="136" t="s">
        <v>247</v>
      </c>
      <c r="B88" s="425" t="s">
        <v>248</v>
      </c>
      <c r="C88" s="161">
        <v>4.9000000000000002E-2</v>
      </c>
      <c r="D88" s="161" t="s">
        <v>115</v>
      </c>
      <c r="E88" s="1883">
        <v>1.2999999999999999E-4</v>
      </c>
      <c r="F88" s="10"/>
      <c r="G88" s="10"/>
    </row>
    <row r="89" spans="1:7">
      <c r="A89" s="136" t="s">
        <v>249</v>
      </c>
      <c r="B89" s="425" t="s">
        <v>250</v>
      </c>
      <c r="C89" s="161">
        <v>370</v>
      </c>
      <c r="D89" s="161" t="s">
        <v>115</v>
      </c>
      <c r="E89" s="1883">
        <v>20</v>
      </c>
      <c r="F89" s="10"/>
      <c r="G89" s="10"/>
    </row>
    <row r="90" spans="1:7">
      <c r="A90" s="136" t="s">
        <v>251</v>
      </c>
      <c r="B90" s="425" t="s">
        <v>252</v>
      </c>
      <c r="C90" s="161">
        <v>14000</v>
      </c>
      <c r="D90" s="161" t="s">
        <v>115</v>
      </c>
      <c r="E90" s="1883">
        <v>70</v>
      </c>
      <c r="F90" s="10"/>
      <c r="G90" s="10"/>
    </row>
    <row r="91" spans="1:7">
      <c r="A91" s="136" t="s">
        <v>253</v>
      </c>
      <c r="B91" s="425" t="s">
        <v>254</v>
      </c>
      <c r="C91" s="161">
        <v>4.9000000000000002E-2</v>
      </c>
      <c r="D91" s="161" t="s">
        <v>115</v>
      </c>
      <c r="E91" s="1883">
        <v>1.2999999999999999E-3</v>
      </c>
      <c r="F91" s="10"/>
      <c r="G91" s="10"/>
    </row>
    <row r="92" spans="1:7">
      <c r="A92" s="136" t="s">
        <v>255</v>
      </c>
      <c r="B92" s="425" t="s">
        <v>256</v>
      </c>
      <c r="C92" s="161" t="s">
        <v>115</v>
      </c>
      <c r="D92" s="161" t="s">
        <v>115</v>
      </c>
      <c r="E92" s="154" t="s">
        <v>115</v>
      </c>
      <c r="F92" s="10"/>
      <c r="G92" s="10"/>
    </row>
    <row r="93" spans="1:7">
      <c r="A93" s="136" t="s">
        <v>257</v>
      </c>
      <c r="B93" s="425" t="s">
        <v>258</v>
      </c>
      <c r="C93" s="161">
        <v>11000</v>
      </c>
      <c r="D93" s="161" t="s">
        <v>115</v>
      </c>
      <c r="E93" s="1883">
        <v>30</v>
      </c>
      <c r="F93" s="10"/>
      <c r="G93" s="10"/>
    </row>
    <row r="94" spans="1:7">
      <c r="A94" s="136" t="s">
        <v>259</v>
      </c>
      <c r="B94" s="425" t="s">
        <v>260</v>
      </c>
      <c r="C94" s="161">
        <v>8.1999999999999993</v>
      </c>
      <c r="D94" s="161" t="s">
        <v>115</v>
      </c>
      <c r="E94" s="1883">
        <v>0.04</v>
      </c>
      <c r="F94" s="10"/>
      <c r="G94" s="10"/>
    </row>
    <row r="95" spans="1:7">
      <c r="A95" s="136" t="s">
        <v>261</v>
      </c>
      <c r="B95" s="425" t="s">
        <v>1261</v>
      </c>
      <c r="C95" s="161" t="s">
        <v>115</v>
      </c>
      <c r="D95" s="161" t="s">
        <v>115</v>
      </c>
      <c r="E95" s="154" t="s">
        <v>115</v>
      </c>
      <c r="F95" s="10"/>
      <c r="G95" s="10"/>
    </row>
    <row r="96" spans="1:7">
      <c r="A96" s="136" t="s">
        <v>263</v>
      </c>
      <c r="B96" s="425" t="s">
        <v>115</v>
      </c>
      <c r="C96" s="1282" t="s">
        <v>115</v>
      </c>
      <c r="D96" s="1282" t="s">
        <v>115</v>
      </c>
      <c r="E96" s="154" t="s">
        <v>115</v>
      </c>
      <c r="F96" s="10"/>
      <c r="G96" s="10"/>
    </row>
    <row r="97" spans="1:7">
      <c r="A97" s="136" t="s">
        <v>264</v>
      </c>
      <c r="B97" s="425" t="s">
        <v>115</v>
      </c>
      <c r="C97" s="1282" t="s">
        <v>115</v>
      </c>
      <c r="D97" s="1282" t="s">
        <v>115</v>
      </c>
      <c r="E97" s="154" t="s">
        <v>115</v>
      </c>
      <c r="F97" s="10"/>
      <c r="G97" s="10"/>
    </row>
    <row r="98" spans="1:7">
      <c r="A98" s="136" t="s">
        <v>265</v>
      </c>
      <c r="B98" s="425" t="s">
        <v>115</v>
      </c>
      <c r="C98" s="1282" t="s">
        <v>115</v>
      </c>
      <c r="D98" s="1282" t="s">
        <v>115</v>
      </c>
      <c r="E98" s="154" t="s">
        <v>115</v>
      </c>
      <c r="F98" s="10"/>
      <c r="G98" s="10"/>
    </row>
    <row r="99" spans="1:7">
      <c r="A99" s="136" t="s">
        <v>266</v>
      </c>
      <c r="B99" s="425" t="s">
        <v>115</v>
      </c>
      <c r="C99" s="1282" t="s">
        <v>115</v>
      </c>
      <c r="D99" s="1282" t="s">
        <v>115</v>
      </c>
      <c r="E99" s="154" t="s">
        <v>115</v>
      </c>
      <c r="F99" s="10"/>
      <c r="G99" s="10"/>
    </row>
    <row r="100" spans="1:7">
      <c r="A100" s="136" t="s">
        <v>267</v>
      </c>
      <c r="B100" s="425" t="s">
        <v>115</v>
      </c>
      <c r="C100" s="1282" t="s">
        <v>115</v>
      </c>
      <c r="D100" s="1282" t="s">
        <v>115</v>
      </c>
      <c r="E100" s="154" t="s">
        <v>115</v>
      </c>
      <c r="F100" s="10"/>
      <c r="G100" s="10"/>
    </row>
    <row r="101" spans="1:7">
      <c r="A101" s="136" t="s">
        <v>268</v>
      </c>
      <c r="B101" s="425" t="s">
        <v>115</v>
      </c>
      <c r="C101" s="1282" t="s">
        <v>115</v>
      </c>
      <c r="D101" s="1282" t="s">
        <v>115</v>
      </c>
      <c r="E101" s="154" t="s">
        <v>115</v>
      </c>
      <c r="F101" s="10"/>
      <c r="G101" s="10"/>
    </row>
    <row r="102" spans="1:7">
      <c r="A102" s="136" t="s">
        <v>269</v>
      </c>
      <c r="B102" s="425" t="s">
        <v>270</v>
      </c>
      <c r="C102" s="1282" t="s">
        <v>115</v>
      </c>
      <c r="D102" s="1282" t="s">
        <v>115</v>
      </c>
      <c r="E102" s="154" t="s">
        <v>115</v>
      </c>
      <c r="F102" s="10"/>
      <c r="G102" s="10"/>
    </row>
    <row r="103" spans="1:7">
      <c r="A103" s="136" t="s">
        <v>271</v>
      </c>
      <c r="B103" s="425" t="s">
        <v>272</v>
      </c>
      <c r="C103" s="1282" t="s">
        <v>115</v>
      </c>
      <c r="D103" s="1282" t="s">
        <v>115</v>
      </c>
      <c r="E103" s="154" t="s">
        <v>115</v>
      </c>
      <c r="F103" s="10"/>
      <c r="G103" s="10"/>
    </row>
    <row r="104" spans="1:7">
      <c r="A104" s="136" t="s">
        <v>273</v>
      </c>
      <c r="B104" s="425" t="s">
        <v>274</v>
      </c>
      <c r="C104" s="1282" t="s">
        <v>115</v>
      </c>
      <c r="D104" s="1282" t="s">
        <v>115</v>
      </c>
      <c r="E104" s="154" t="s">
        <v>115</v>
      </c>
      <c r="F104" s="10"/>
      <c r="G104" s="10"/>
    </row>
    <row r="105" spans="1:7">
      <c r="A105" s="136" t="s">
        <v>275</v>
      </c>
      <c r="B105" s="425" t="s">
        <v>276</v>
      </c>
      <c r="C105" s="1282" t="s">
        <v>115</v>
      </c>
      <c r="D105" s="1282" t="s">
        <v>115</v>
      </c>
      <c r="E105" s="154" t="s">
        <v>115</v>
      </c>
      <c r="F105" s="10"/>
      <c r="G105" s="10"/>
    </row>
    <row r="106" spans="1:7">
      <c r="A106" s="136" t="s">
        <v>277</v>
      </c>
      <c r="B106" s="425" t="s">
        <v>278</v>
      </c>
      <c r="C106" s="1282" t="s">
        <v>115</v>
      </c>
      <c r="D106" s="1282" t="s">
        <v>115</v>
      </c>
      <c r="E106" s="154" t="s">
        <v>115</v>
      </c>
      <c r="F106" s="10"/>
      <c r="G106" s="10"/>
    </row>
    <row r="107" spans="1:7">
      <c r="A107" s="136" t="s">
        <v>279</v>
      </c>
      <c r="B107" s="425" t="s">
        <v>280</v>
      </c>
      <c r="C107" s="1282" t="s">
        <v>115</v>
      </c>
      <c r="D107" s="1282" t="s">
        <v>115</v>
      </c>
      <c r="E107" s="154">
        <v>3.5999999999999998E-6</v>
      </c>
      <c r="F107" s="10"/>
      <c r="G107" s="10"/>
    </row>
    <row r="108" spans="1:7">
      <c r="A108" s="136" t="s">
        <v>281</v>
      </c>
      <c r="B108" s="425" t="s">
        <v>282</v>
      </c>
      <c r="C108" s="1282" t="s">
        <v>115</v>
      </c>
      <c r="D108" s="1282" t="s">
        <v>115</v>
      </c>
      <c r="E108" s="154" t="s">
        <v>115</v>
      </c>
      <c r="F108" s="10"/>
      <c r="G108" s="10"/>
    </row>
    <row r="109" spans="1:7">
      <c r="A109" s="136" t="s">
        <v>283</v>
      </c>
      <c r="B109" s="425" t="s">
        <v>284</v>
      </c>
      <c r="C109" s="1282" t="s">
        <v>115</v>
      </c>
      <c r="D109" s="1282" t="s">
        <v>115</v>
      </c>
      <c r="E109" s="154" t="s">
        <v>115</v>
      </c>
      <c r="F109" s="10"/>
      <c r="G109" s="10"/>
    </row>
    <row r="110" spans="1:7">
      <c r="A110" s="136" t="s">
        <v>285</v>
      </c>
      <c r="B110" s="425" t="s">
        <v>286</v>
      </c>
      <c r="C110" s="1282" t="s">
        <v>115</v>
      </c>
      <c r="D110" s="1282" t="s">
        <v>115</v>
      </c>
      <c r="E110" s="154" t="s">
        <v>115</v>
      </c>
      <c r="F110" s="10"/>
      <c r="G110" s="10"/>
    </row>
    <row r="111" spans="1:7">
      <c r="A111" s="136" t="s">
        <v>287</v>
      </c>
      <c r="B111" s="425" t="s">
        <v>288</v>
      </c>
      <c r="C111" s="1282" t="s">
        <v>115</v>
      </c>
      <c r="D111" s="1282" t="s">
        <v>115</v>
      </c>
      <c r="E111" s="154" t="s">
        <v>115</v>
      </c>
      <c r="F111" s="10"/>
      <c r="G111" s="10"/>
    </row>
    <row r="112" spans="1:7">
      <c r="A112" s="136" t="s">
        <v>289</v>
      </c>
      <c r="B112" s="425" t="s">
        <v>290</v>
      </c>
      <c r="C112" s="1282" t="s">
        <v>115</v>
      </c>
      <c r="D112" s="1282" t="s">
        <v>115</v>
      </c>
      <c r="E112" s="154" t="s">
        <v>115</v>
      </c>
      <c r="F112" s="10"/>
      <c r="G112" s="10"/>
    </row>
    <row r="113" spans="1:7">
      <c r="A113" s="136" t="s">
        <v>291</v>
      </c>
      <c r="B113" s="425" t="s">
        <v>292</v>
      </c>
      <c r="C113" s="1282" t="s">
        <v>115</v>
      </c>
      <c r="D113" s="1282" t="s">
        <v>115</v>
      </c>
      <c r="E113" s="154" t="s">
        <v>115</v>
      </c>
      <c r="F113" s="10"/>
      <c r="G113" s="10"/>
    </row>
    <row r="114" spans="1:7">
      <c r="A114" s="136" t="s">
        <v>293</v>
      </c>
      <c r="B114" s="425" t="s">
        <v>294</v>
      </c>
      <c r="C114" s="1282" t="s">
        <v>115</v>
      </c>
      <c r="D114" s="1282" t="s">
        <v>115</v>
      </c>
      <c r="E114" s="154">
        <v>0.5</v>
      </c>
      <c r="F114" s="10"/>
      <c r="G114" s="10"/>
    </row>
    <row r="115" spans="1:7">
      <c r="A115" s="136" t="s">
        <v>295</v>
      </c>
      <c r="B115" s="425" t="s">
        <v>296</v>
      </c>
      <c r="C115" s="1282" t="s">
        <v>115</v>
      </c>
      <c r="D115" s="1282" t="s">
        <v>115</v>
      </c>
      <c r="E115" s="154" t="s">
        <v>115</v>
      </c>
      <c r="F115" s="10"/>
      <c r="G115" s="10"/>
    </row>
    <row r="116" spans="1:7">
      <c r="A116" s="136" t="s">
        <v>297</v>
      </c>
      <c r="B116" s="425" t="s">
        <v>298</v>
      </c>
      <c r="C116" s="1282" t="s">
        <v>115</v>
      </c>
      <c r="D116" s="1282" t="s">
        <v>115</v>
      </c>
      <c r="E116" s="154">
        <v>6.9999999999999994E-5</v>
      </c>
      <c r="F116" s="10"/>
      <c r="G116" s="10"/>
    </row>
    <row r="117" spans="1:7">
      <c r="A117" s="136" t="s">
        <v>299</v>
      </c>
      <c r="B117" s="425" t="s">
        <v>300</v>
      </c>
      <c r="C117" s="1282" t="s">
        <v>115</v>
      </c>
      <c r="D117" s="1282" t="s">
        <v>115</v>
      </c>
      <c r="E117" s="154" t="s">
        <v>115</v>
      </c>
      <c r="F117" s="10"/>
      <c r="G117" s="10"/>
    </row>
    <row r="118" spans="1:7">
      <c r="A118" s="136" t="s">
        <v>301</v>
      </c>
      <c r="B118" s="425" t="s">
        <v>302</v>
      </c>
      <c r="C118" s="161">
        <v>4600000</v>
      </c>
      <c r="D118" s="161" t="s">
        <v>115</v>
      </c>
      <c r="E118" s="1883">
        <v>300000</v>
      </c>
      <c r="F118" s="10"/>
      <c r="G118" s="10"/>
    </row>
    <row r="119" spans="1:7">
      <c r="A119" s="136" t="s">
        <v>303</v>
      </c>
      <c r="B119" s="425" t="s">
        <v>304</v>
      </c>
      <c r="C119" s="161">
        <v>1.7000000000000001E-4</v>
      </c>
      <c r="D119" s="161">
        <v>1.9000000000000001E-5</v>
      </c>
      <c r="E119" s="154" t="s">
        <v>115</v>
      </c>
      <c r="F119" s="10"/>
      <c r="G119" s="10"/>
    </row>
    <row r="120" spans="1:7">
      <c r="A120" s="136" t="s">
        <v>305</v>
      </c>
      <c r="B120" s="425" t="s">
        <v>306</v>
      </c>
      <c r="C120" s="161" t="s">
        <v>115</v>
      </c>
      <c r="D120" s="161" t="s">
        <v>115</v>
      </c>
      <c r="E120" s="1883">
        <v>4200</v>
      </c>
      <c r="F120" s="10"/>
      <c r="G120" s="10"/>
    </row>
    <row r="121" spans="1:7">
      <c r="A121" s="136" t="s">
        <v>307</v>
      </c>
      <c r="B121" s="425" t="s">
        <v>308</v>
      </c>
      <c r="C121" s="161" t="s">
        <v>115</v>
      </c>
      <c r="D121" s="161" t="s">
        <v>115</v>
      </c>
      <c r="E121" s="154" t="s">
        <v>115</v>
      </c>
      <c r="F121" s="10"/>
      <c r="G121" s="10"/>
    </row>
    <row r="122" spans="1:7">
      <c r="A122" s="136" t="s">
        <v>309</v>
      </c>
      <c r="B122" s="425" t="s">
        <v>310</v>
      </c>
      <c r="C122" s="161" t="s">
        <v>115</v>
      </c>
      <c r="D122" s="161" t="s">
        <v>115</v>
      </c>
      <c r="E122" s="154" t="s">
        <v>115</v>
      </c>
      <c r="F122" s="10"/>
      <c r="G122" s="10"/>
    </row>
    <row r="123" spans="1:7">
      <c r="A123" s="136" t="s">
        <v>311</v>
      </c>
      <c r="B123" s="425" t="s">
        <v>312</v>
      </c>
      <c r="C123" s="161" t="s">
        <v>115</v>
      </c>
      <c r="D123" s="161" t="s">
        <v>115</v>
      </c>
      <c r="E123" s="154" t="s">
        <v>115</v>
      </c>
      <c r="F123" s="10"/>
      <c r="G123" s="10"/>
    </row>
    <row r="124" spans="1:7">
      <c r="A124" s="136" t="s">
        <v>313</v>
      </c>
      <c r="B124" s="425" t="s">
        <v>314</v>
      </c>
      <c r="C124" s="161" t="s">
        <v>115</v>
      </c>
      <c r="D124" s="161" t="s">
        <v>115</v>
      </c>
      <c r="E124" s="154" t="s">
        <v>115</v>
      </c>
      <c r="F124" s="10"/>
      <c r="G124" s="10"/>
    </row>
    <row r="125" spans="1:7">
      <c r="A125" s="136" t="s">
        <v>315</v>
      </c>
      <c r="B125" s="425" t="s">
        <v>316</v>
      </c>
      <c r="C125" s="161">
        <v>11</v>
      </c>
      <c r="D125" s="161">
        <v>2.2999999999999998</v>
      </c>
      <c r="E125" s="1883">
        <v>3</v>
      </c>
      <c r="F125" s="10"/>
      <c r="G125" s="10"/>
    </row>
    <row r="126" spans="1:7">
      <c r="A126" s="136" t="s">
        <v>317</v>
      </c>
      <c r="B126" s="425" t="s">
        <v>318</v>
      </c>
      <c r="C126" s="161">
        <v>8.85</v>
      </c>
      <c r="D126" s="161">
        <v>2</v>
      </c>
      <c r="E126" s="1883">
        <v>29</v>
      </c>
      <c r="F126" s="10"/>
      <c r="G126" s="10"/>
    </row>
    <row r="127" spans="1:7">
      <c r="A127" s="136" t="s">
        <v>319</v>
      </c>
      <c r="B127" s="425" t="s">
        <v>320</v>
      </c>
      <c r="C127" s="161">
        <v>6.3</v>
      </c>
      <c r="D127" s="161">
        <v>2</v>
      </c>
      <c r="E127" s="1883">
        <v>0.47</v>
      </c>
      <c r="F127" s="10"/>
      <c r="G127" s="10"/>
    </row>
    <row r="128" spans="1:7">
      <c r="A128" s="136" t="s">
        <v>321</v>
      </c>
      <c r="B128" s="425" t="s">
        <v>322</v>
      </c>
      <c r="C128" s="161">
        <v>200000</v>
      </c>
      <c r="D128" s="161">
        <v>85000</v>
      </c>
      <c r="E128" s="1883">
        <v>520</v>
      </c>
      <c r="F128" s="10"/>
      <c r="G128" s="10"/>
    </row>
    <row r="129" spans="1:7">
      <c r="A129" s="136" t="s">
        <v>323</v>
      </c>
      <c r="B129" s="425" t="s">
        <v>324</v>
      </c>
      <c r="C129" s="161">
        <v>7.5000000000000002E-4</v>
      </c>
      <c r="D129" s="161">
        <v>2.1000000000000001E-4</v>
      </c>
      <c r="E129" s="1883">
        <v>7.1000000000000002E-4</v>
      </c>
      <c r="F129" s="10"/>
      <c r="G129" s="10"/>
    </row>
    <row r="130" spans="1:7">
      <c r="A130" s="136" t="s">
        <v>325</v>
      </c>
      <c r="B130" s="425" t="s">
        <v>326</v>
      </c>
      <c r="C130" s="161" t="s">
        <v>115</v>
      </c>
      <c r="D130" s="161" t="s">
        <v>115</v>
      </c>
      <c r="E130" s="1883">
        <v>7.5999999999999998E-2</v>
      </c>
      <c r="F130" s="10"/>
      <c r="G130" s="10"/>
    </row>
    <row r="131" spans="1:7">
      <c r="A131" s="136" t="s">
        <v>327</v>
      </c>
      <c r="B131" s="425" t="s">
        <v>328</v>
      </c>
      <c r="C131" s="161" t="s">
        <v>115</v>
      </c>
      <c r="D131" s="161">
        <v>540000</v>
      </c>
      <c r="E131" s="1883">
        <v>200000</v>
      </c>
      <c r="F131" s="10"/>
      <c r="G131" s="10"/>
    </row>
    <row r="132" spans="1:7">
      <c r="A132" s="136" t="s">
        <v>329</v>
      </c>
      <c r="B132" s="425" t="s">
        <v>330</v>
      </c>
      <c r="C132" s="161">
        <v>42</v>
      </c>
      <c r="D132" s="161" t="s">
        <v>115</v>
      </c>
      <c r="E132" s="1883">
        <v>8.9</v>
      </c>
      <c r="F132" s="10"/>
      <c r="G132" s="10"/>
    </row>
    <row r="133" spans="1:7">
      <c r="A133" s="136" t="s">
        <v>331</v>
      </c>
      <c r="B133" s="425" t="s">
        <v>332</v>
      </c>
      <c r="C133" s="161">
        <v>81</v>
      </c>
      <c r="D133" s="161">
        <v>27</v>
      </c>
      <c r="E133" s="1883">
        <v>7</v>
      </c>
      <c r="F133" s="10"/>
      <c r="G133" s="10"/>
    </row>
    <row r="134" spans="1:7">
      <c r="A134" s="136" t="s">
        <v>333</v>
      </c>
      <c r="B134" s="425" t="s">
        <v>334</v>
      </c>
      <c r="C134" s="161" t="s">
        <v>115</v>
      </c>
      <c r="D134" s="161" t="s">
        <v>115</v>
      </c>
      <c r="E134" s="1883">
        <v>600</v>
      </c>
      <c r="F134" s="10"/>
      <c r="G134" s="10"/>
    </row>
    <row r="135" spans="1:7">
      <c r="A135" s="136" t="s">
        <v>335</v>
      </c>
      <c r="B135" s="425" t="s">
        <v>336</v>
      </c>
      <c r="C135" s="161">
        <v>6.5</v>
      </c>
      <c r="D135" s="161">
        <v>0.28999999999999998</v>
      </c>
      <c r="E135" s="1883">
        <v>2.8</v>
      </c>
      <c r="F135" s="10"/>
      <c r="G135" s="10"/>
    </row>
    <row r="136" spans="1:7">
      <c r="A136" s="136" t="s">
        <v>337</v>
      </c>
      <c r="B136" s="425" t="s">
        <v>338</v>
      </c>
      <c r="C136" s="176" t="s">
        <v>115</v>
      </c>
      <c r="D136" s="176" t="s">
        <v>115</v>
      </c>
      <c r="E136" s="154" t="s">
        <v>115</v>
      </c>
      <c r="F136" s="10"/>
      <c r="G136" s="10"/>
    </row>
    <row r="137" spans="1:7">
      <c r="A137" s="136" t="s">
        <v>339</v>
      </c>
      <c r="B137" s="425" t="s">
        <v>340</v>
      </c>
      <c r="C137" s="161" t="s">
        <v>115</v>
      </c>
      <c r="D137" s="161" t="s">
        <v>115</v>
      </c>
      <c r="E137" s="154" t="s">
        <v>115</v>
      </c>
      <c r="F137" s="10"/>
      <c r="G137" s="10"/>
    </row>
    <row r="138" spans="1:7">
      <c r="A138" s="136" t="s">
        <v>341</v>
      </c>
      <c r="B138" s="425" t="s">
        <v>342</v>
      </c>
      <c r="C138" s="161">
        <v>525</v>
      </c>
      <c r="D138" s="161">
        <v>36</v>
      </c>
      <c r="E138" s="1883">
        <v>1.6</v>
      </c>
      <c r="F138" s="10"/>
      <c r="G138" s="10"/>
    </row>
    <row r="139" spans="1:7">
      <c r="A139" s="136" t="s">
        <v>343</v>
      </c>
      <c r="B139" s="425" t="s">
        <v>344</v>
      </c>
      <c r="C139" s="161" t="s">
        <v>115</v>
      </c>
      <c r="D139" s="161" t="s">
        <v>115</v>
      </c>
      <c r="E139" s="154" t="s">
        <v>115</v>
      </c>
      <c r="F139" s="10"/>
      <c r="G139" s="10"/>
    </row>
    <row r="140" spans="1:7" ht="12" thickBot="1">
      <c r="A140" s="2" t="s">
        <v>345</v>
      </c>
      <c r="B140" s="1259" t="s">
        <v>346</v>
      </c>
      <c r="C140" s="177" t="s">
        <v>115</v>
      </c>
      <c r="D140" s="177" t="s">
        <v>115</v>
      </c>
      <c r="E140" s="1884">
        <v>26000</v>
      </c>
      <c r="F140" s="10"/>
      <c r="G140" s="10"/>
    </row>
    <row r="141" spans="1:7" ht="13.5" customHeight="1" thickTop="1">
      <c r="A141" s="29" t="s">
        <v>519</v>
      </c>
      <c r="B141" s="155"/>
      <c r="C141" s="113"/>
      <c r="D141" s="113"/>
      <c r="E141" s="1885"/>
      <c r="F141" s="16"/>
      <c r="G141" s="16"/>
    </row>
    <row r="142" spans="1:7">
      <c r="A142" s="2" t="s">
        <v>1562</v>
      </c>
      <c r="B142" s="118"/>
      <c r="C142" s="23"/>
      <c r="D142" s="23"/>
      <c r="E142" s="1886"/>
    </row>
    <row r="143" spans="1:7">
      <c r="A143" s="2" t="s">
        <v>1633</v>
      </c>
      <c r="B143" s="118"/>
      <c r="C143" s="23"/>
      <c r="D143" s="23"/>
      <c r="E143" s="1886"/>
    </row>
    <row r="144" spans="1:7">
      <c r="A144" s="1132" t="s">
        <v>348</v>
      </c>
      <c r="E144" s="288"/>
    </row>
    <row r="145" spans="1:5">
      <c r="A145" s="1133" t="s">
        <v>349</v>
      </c>
      <c r="E145" s="288"/>
    </row>
    <row r="146" spans="1:5">
      <c r="A146" s="1133" t="s">
        <v>350</v>
      </c>
      <c r="E146" s="288"/>
    </row>
    <row r="147" spans="1:5">
      <c r="A147" s="1133" t="s">
        <v>351</v>
      </c>
      <c r="E147" s="288"/>
    </row>
    <row r="148" spans="1:5">
      <c r="A148" s="1133" t="s">
        <v>397</v>
      </c>
      <c r="B148" s="1994"/>
      <c r="C148" s="1994"/>
      <c r="D148" s="1994"/>
      <c r="E148" s="1995"/>
    </row>
    <row r="149" spans="1:5">
      <c r="A149" s="1133" t="s">
        <v>353</v>
      </c>
      <c r="E149" s="288"/>
    </row>
    <row r="150" spans="1:5">
      <c r="A150" s="1133" t="s">
        <v>354</v>
      </c>
      <c r="E150" s="288"/>
    </row>
    <row r="151" spans="1:5" ht="12.75" customHeight="1" thickBot="1">
      <c r="A151" s="2003" t="s">
        <v>355</v>
      </c>
      <c r="B151" s="2004"/>
      <c r="C151" s="2004"/>
      <c r="D151" s="2004"/>
      <c r="E151" s="2005"/>
    </row>
    <row r="152" spans="1:5" ht="12" thickTop="1"/>
  </sheetData>
  <sheetProtection algorithmName="SHA-512" hashValue="bj0xL5z0gfyOm+H3E6ujFqgXeeUZvxne/5UYhrJm3lW0JXjKSjUFZSGLZEgcLyrqUdJX5h9hIyhYDGFLEfJIMA==" saltValue="1/8gW/3YjLDNAMO3Km4Zqg==" spinCount="100000" sheet="1" sort="0" autoFilter="0"/>
  <autoFilter ref="A5:B140" xr:uid="{00000000-0009-0000-0000-000020000000}"/>
  <mergeCells count="3">
    <mergeCell ref="A4:E4"/>
    <mergeCell ref="A2:E2"/>
    <mergeCell ref="A3:E3"/>
  </mergeCells>
  <pageMargins left="0.7" right="0.7" top="0.75" bottom="0.75" header="0.3" footer="0.3"/>
  <pageSetup fitToHeight="0" orientation="portrait" r:id="rId1"/>
  <headerFooter>
    <oddFooter>&amp;C&amp;P of &amp;N&amp;R&amp;A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pageSetUpPr fitToPage="1"/>
  </sheetPr>
  <dimension ref="A1:R160"/>
  <sheetViews>
    <sheetView showGridLines="0" zoomScaleNormal="100" workbookViewId="0">
      <pane xSplit="2" ySplit="7" topLeftCell="C8" activePane="bottomRight" state="frozen"/>
      <selection pane="topRight" activeCell="C1" sqref="C1"/>
      <selection pane="bottomLeft" activeCell="A8" sqref="A8"/>
      <selection pane="bottomRight" activeCell="A4" sqref="A4:B4"/>
    </sheetView>
  </sheetViews>
  <sheetFormatPr defaultRowHeight="12.75"/>
  <cols>
    <col min="1" max="1" width="40" customWidth="1"/>
    <col min="2" max="2" width="8.42578125" customWidth="1"/>
    <col min="3" max="4" width="11.7109375" customWidth="1"/>
    <col min="5" max="5" width="14.85546875" bestFit="1" customWidth="1"/>
    <col min="6" max="7" width="11.7109375" customWidth="1"/>
    <col min="8" max="8" width="14.85546875" bestFit="1" customWidth="1"/>
    <col min="9" max="10" width="11.7109375" customWidth="1"/>
    <col min="11" max="11" width="14.85546875" bestFit="1" customWidth="1"/>
    <col min="12" max="13" width="11.7109375" customWidth="1"/>
    <col min="14" max="14" width="15" customWidth="1"/>
    <col min="15" max="15" width="21.7109375" bestFit="1" customWidth="1"/>
    <col min="16" max="16" width="22.140625" bestFit="1" customWidth="1"/>
  </cols>
  <sheetData>
    <row r="1" spans="1:18" hidden="1">
      <c r="A1" s="55" t="s">
        <v>1634</v>
      </c>
      <c r="B1" s="55"/>
      <c r="C1" s="55" t="s">
        <v>1635</v>
      </c>
      <c r="D1" s="55" t="s">
        <v>1636</v>
      </c>
      <c r="E1" s="55" t="s">
        <v>1637</v>
      </c>
      <c r="F1" s="55" t="s">
        <v>1638</v>
      </c>
      <c r="G1" s="55" t="s">
        <v>1639</v>
      </c>
      <c r="H1" s="55" t="s">
        <v>1640</v>
      </c>
      <c r="I1" s="55" t="s">
        <v>1641</v>
      </c>
      <c r="J1" s="55" t="s">
        <v>1642</v>
      </c>
      <c r="K1" s="55" t="s">
        <v>1643</v>
      </c>
      <c r="L1" s="55" t="s">
        <v>1644</v>
      </c>
      <c r="M1" s="55" t="s">
        <v>1645</v>
      </c>
      <c r="N1" s="55" t="s">
        <v>1646</v>
      </c>
    </row>
    <row r="2" spans="1:18" ht="58.5" customHeight="1">
      <c r="A2" s="2901" t="s">
        <v>1647</v>
      </c>
      <c r="B2" s="2901"/>
      <c r="C2" s="2901"/>
      <c r="D2" s="2901"/>
      <c r="E2" s="2901"/>
      <c r="F2" s="2901"/>
      <c r="G2" s="2901"/>
      <c r="H2" s="2901"/>
      <c r="I2" s="2901"/>
      <c r="J2" s="2901"/>
      <c r="K2" s="2901"/>
      <c r="L2" s="2901"/>
      <c r="M2" s="2901"/>
      <c r="N2" s="2901"/>
    </row>
    <row r="3" spans="1:18" ht="36.75" customHeight="1" thickBot="1">
      <c r="A3" s="2904" t="s">
        <v>1648</v>
      </c>
      <c r="B3" s="2904"/>
      <c r="C3" s="2904"/>
      <c r="D3" s="2904"/>
      <c r="E3" s="2904"/>
      <c r="F3" s="2904"/>
      <c r="G3" s="2904"/>
      <c r="H3" s="2904"/>
      <c r="I3" s="2904"/>
      <c r="J3" s="2904"/>
      <c r="K3" s="2904"/>
      <c r="L3" s="2904"/>
      <c r="M3" s="2904"/>
      <c r="N3" s="2904"/>
      <c r="P3" s="490"/>
      <c r="Q3" s="490"/>
      <c r="R3" s="490"/>
    </row>
    <row r="4" spans="1:18" s="490" customFormat="1" ht="24.75" customHeight="1" thickTop="1" thickBot="1">
      <c r="A4" s="2905" t="str">
        <f>'Tier 1 ESL'!A6:F6</f>
        <v>2025 (Rev 4)</v>
      </c>
      <c r="B4" s="2906"/>
      <c r="C4" s="2912" t="s">
        <v>1649</v>
      </c>
      <c r="D4" s="2913"/>
      <c r="E4" s="2913"/>
      <c r="F4" s="2913"/>
      <c r="G4" s="2913"/>
      <c r="H4" s="2913"/>
      <c r="I4" s="2913"/>
      <c r="J4" s="2913"/>
      <c r="K4" s="2913"/>
      <c r="L4" s="2913"/>
      <c r="M4" s="2913"/>
      <c r="N4" s="2914"/>
      <c r="O4" s="860"/>
    </row>
    <row r="5" spans="1:18" s="490" customFormat="1" ht="39" customHeight="1" thickBot="1">
      <c r="A5" s="2907" t="s">
        <v>661</v>
      </c>
      <c r="B5" s="2909" t="s">
        <v>80</v>
      </c>
      <c r="C5" s="2918" t="s">
        <v>1650</v>
      </c>
      <c r="D5" s="2919"/>
      <c r="E5" s="2919"/>
      <c r="F5" s="2919"/>
      <c r="G5" s="2919"/>
      <c r="H5" s="2920"/>
      <c r="I5" s="2902" t="s">
        <v>1651</v>
      </c>
      <c r="J5" s="2902"/>
      <c r="K5" s="2902"/>
      <c r="L5" s="2902"/>
      <c r="M5" s="2902"/>
      <c r="N5" s="2903"/>
      <c r="O5" s="860"/>
      <c r="P5"/>
      <c r="Q5"/>
      <c r="R5"/>
    </row>
    <row r="6" spans="1:18" s="490" customFormat="1" ht="42" customHeight="1" thickBot="1">
      <c r="A6" s="2907"/>
      <c r="B6" s="2910"/>
      <c r="C6" s="2892" t="s">
        <v>1652</v>
      </c>
      <c r="D6" s="2893"/>
      <c r="E6" s="2894"/>
      <c r="F6" s="2892" t="s">
        <v>903</v>
      </c>
      <c r="G6" s="2893"/>
      <c r="H6" s="2894"/>
      <c r="I6" s="2892" t="s">
        <v>1653</v>
      </c>
      <c r="J6" s="2893"/>
      <c r="K6" s="2894"/>
      <c r="L6" s="2892" t="s">
        <v>1654</v>
      </c>
      <c r="M6" s="2893"/>
      <c r="N6" s="2894"/>
      <c r="P6"/>
      <c r="Q6"/>
      <c r="R6"/>
    </row>
    <row r="7" spans="1:18" ht="15" thickBot="1">
      <c r="A7" s="2908"/>
      <c r="B7" s="2911"/>
      <c r="C7" s="2024" t="s">
        <v>1655</v>
      </c>
      <c r="D7" s="713" t="s">
        <v>1592</v>
      </c>
      <c r="E7" s="1399" t="s">
        <v>699</v>
      </c>
      <c r="F7" s="2024" t="s">
        <v>1655</v>
      </c>
      <c r="G7" s="713" t="s">
        <v>1592</v>
      </c>
      <c r="H7" s="1399" t="s">
        <v>699</v>
      </c>
      <c r="I7" s="2024" t="s">
        <v>1655</v>
      </c>
      <c r="J7" s="713" t="s">
        <v>1592</v>
      </c>
      <c r="K7" s="1399" t="s">
        <v>699</v>
      </c>
      <c r="L7" s="2024" t="s">
        <v>1655</v>
      </c>
      <c r="M7" s="713" t="s">
        <v>1592</v>
      </c>
      <c r="N7" s="1399" t="s">
        <v>699</v>
      </c>
    </row>
    <row r="8" spans="1:18">
      <c r="A8" s="136" t="s">
        <v>391</v>
      </c>
      <c r="B8" s="486" t="s">
        <v>392</v>
      </c>
      <c r="C8" s="1383" t="s">
        <v>115</v>
      </c>
      <c r="D8" s="900" t="s">
        <v>115</v>
      </c>
      <c r="E8" s="1388" t="s">
        <v>115</v>
      </c>
      <c r="F8" s="1398">
        <v>56</v>
      </c>
      <c r="G8" s="900" t="s">
        <v>115</v>
      </c>
      <c r="H8" s="1388" t="s">
        <v>115</v>
      </c>
      <c r="I8" s="1383" t="s">
        <v>115</v>
      </c>
      <c r="J8" s="900" t="s">
        <v>115</v>
      </c>
      <c r="K8" s="1388" t="s">
        <v>115</v>
      </c>
      <c r="L8" s="1390">
        <v>56</v>
      </c>
      <c r="M8" s="900" t="s">
        <v>115</v>
      </c>
      <c r="N8" s="1388" t="s">
        <v>115</v>
      </c>
    </row>
    <row r="9" spans="1:18">
      <c r="A9" s="136" t="s">
        <v>85</v>
      </c>
      <c r="B9" s="486" t="s">
        <v>86</v>
      </c>
      <c r="C9" s="1385">
        <v>5.5E-2</v>
      </c>
      <c r="D9" s="900" t="s">
        <v>115</v>
      </c>
      <c r="E9" s="1388" t="s">
        <v>115</v>
      </c>
      <c r="F9" s="1385">
        <v>2.3999999999999998E-3</v>
      </c>
      <c r="G9" s="900" t="s">
        <v>115</v>
      </c>
      <c r="H9" s="1388" t="s">
        <v>115</v>
      </c>
      <c r="I9" s="1385">
        <v>0.1</v>
      </c>
      <c r="J9" s="900" t="s">
        <v>115</v>
      </c>
      <c r="K9" s="1388" t="s">
        <v>115</v>
      </c>
      <c r="L9" s="1387">
        <v>1200</v>
      </c>
      <c r="M9" s="900" t="s">
        <v>115</v>
      </c>
      <c r="N9" s="1388" t="s">
        <v>115</v>
      </c>
    </row>
    <row r="10" spans="1:18">
      <c r="A10" s="136" t="s">
        <v>87</v>
      </c>
      <c r="B10" s="486" t="s">
        <v>88</v>
      </c>
      <c r="C10" s="1385">
        <v>25</v>
      </c>
      <c r="D10" s="900" t="s">
        <v>115</v>
      </c>
      <c r="E10" s="1388" t="s">
        <v>115</v>
      </c>
      <c r="F10" s="1385">
        <v>25</v>
      </c>
      <c r="G10" s="900" t="s">
        <v>115</v>
      </c>
      <c r="H10" s="1388" t="s">
        <v>115</v>
      </c>
      <c r="I10" s="1385">
        <v>50</v>
      </c>
      <c r="J10" s="900" t="s">
        <v>115</v>
      </c>
      <c r="K10" s="1388" t="s">
        <v>115</v>
      </c>
      <c r="L10" s="1387">
        <v>1500</v>
      </c>
      <c r="M10" s="900" t="s">
        <v>115</v>
      </c>
      <c r="N10" s="1388" t="s">
        <v>115</v>
      </c>
    </row>
    <row r="11" spans="1:18">
      <c r="A11" s="136" t="s">
        <v>89</v>
      </c>
      <c r="B11" s="486" t="s">
        <v>90</v>
      </c>
      <c r="C11" s="1385">
        <v>25</v>
      </c>
      <c r="D11" s="900" t="s">
        <v>115</v>
      </c>
      <c r="E11" s="1388" t="s">
        <v>115</v>
      </c>
      <c r="F11" s="1385">
        <v>51</v>
      </c>
      <c r="G11" s="900" t="s">
        <v>115</v>
      </c>
      <c r="H11" s="1388" t="s">
        <v>115</v>
      </c>
      <c r="I11" s="1385">
        <v>50</v>
      </c>
      <c r="J11" s="900" t="s">
        <v>115</v>
      </c>
      <c r="K11" s="1388" t="s">
        <v>115</v>
      </c>
      <c r="L11" s="1387">
        <v>330</v>
      </c>
      <c r="M11" s="900" t="s">
        <v>115</v>
      </c>
      <c r="N11" s="1388" t="s">
        <v>115</v>
      </c>
    </row>
    <row r="12" spans="1:18">
      <c r="A12" s="136" t="s">
        <v>91</v>
      </c>
      <c r="B12" s="486" t="s">
        <v>92</v>
      </c>
      <c r="C12" s="1385">
        <v>1000</v>
      </c>
      <c r="D12" s="900" t="s">
        <v>115</v>
      </c>
      <c r="E12" s="1388" t="s">
        <v>115</v>
      </c>
      <c r="F12" s="1385">
        <v>390</v>
      </c>
      <c r="G12" s="900" t="s">
        <v>115</v>
      </c>
      <c r="H12" s="1388" t="s">
        <v>115</v>
      </c>
      <c r="I12" s="1385">
        <v>2000</v>
      </c>
      <c r="J12" s="900" t="s">
        <v>115</v>
      </c>
      <c r="K12" s="1388" t="s">
        <v>115</v>
      </c>
      <c r="L12" s="1387">
        <v>670</v>
      </c>
      <c r="M12" s="900" t="s">
        <v>115</v>
      </c>
      <c r="N12" s="1388" t="s">
        <v>115</v>
      </c>
    </row>
    <row r="13" spans="1:18">
      <c r="A13" s="136" t="s">
        <v>93</v>
      </c>
      <c r="B13" s="486" t="s">
        <v>94</v>
      </c>
      <c r="C13" s="1385">
        <v>60</v>
      </c>
      <c r="D13" s="900" t="s">
        <v>115</v>
      </c>
      <c r="E13" s="1388" t="s">
        <v>115</v>
      </c>
      <c r="F13" s="1385">
        <v>370</v>
      </c>
      <c r="G13" s="900" t="s">
        <v>115</v>
      </c>
      <c r="H13" s="1388" t="s">
        <v>115</v>
      </c>
      <c r="I13" s="1385">
        <v>310</v>
      </c>
      <c r="J13" s="900" t="s">
        <v>115</v>
      </c>
      <c r="K13" s="1388" t="s">
        <v>115</v>
      </c>
      <c r="L13" s="1387">
        <v>6800</v>
      </c>
      <c r="M13" s="900" t="s">
        <v>115</v>
      </c>
      <c r="N13" s="1388" t="s">
        <v>115</v>
      </c>
    </row>
    <row r="14" spans="1:18">
      <c r="A14" s="136" t="s">
        <v>95</v>
      </c>
      <c r="B14" s="486" t="s">
        <v>96</v>
      </c>
      <c r="C14" s="1385">
        <v>5</v>
      </c>
      <c r="D14" s="900" t="s">
        <v>115</v>
      </c>
      <c r="E14" s="1388" t="s">
        <v>115</v>
      </c>
      <c r="F14" s="1385">
        <v>13</v>
      </c>
      <c r="G14" s="900" t="s">
        <v>115</v>
      </c>
      <c r="H14" s="1388" t="s">
        <v>115</v>
      </c>
      <c r="I14" s="1385">
        <v>10</v>
      </c>
      <c r="J14" s="900" t="s">
        <v>115</v>
      </c>
      <c r="K14" s="1388" t="s">
        <v>115</v>
      </c>
      <c r="L14" s="941" t="s">
        <v>115</v>
      </c>
      <c r="M14" s="900" t="s">
        <v>115</v>
      </c>
      <c r="N14" s="1388" t="s">
        <v>115</v>
      </c>
    </row>
    <row r="15" spans="1:18">
      <c r="A15" s="136" t="s">
        <v>97</v>
      </c>
      <c r="B15" s="486" t="s">
        <v>98</v>
      </c>
      <c r="C15" s="1384" t="s">
        <v>115</v>
      </c>
      <c r="D15" s="900" t="s">
        <v>115</v>
      </c>
      <c r="E15" s="1388" t="s">
        <v>115</v>
      </c>
      <c r="F15" s="1384" t="s">
        <v>115</v>
      </c>
      <c r="G15" s="900" t="s">
        <v>115</v>
      </c>
      <c r="H15" s="1388" t="s">
        <v>115</v>
      </c>
      <c r="I15" s="1384" t="s">
        <v>115</v>
      </c>
      <c r="J15" s="900" t="s">
        <v>115</v>
      </c>
      <c r="K15" s="1388" t="s">
        <v>115</v>
      </c>
      <c r="L15" s="941" t="s">
        <v>115</v>
      </c>
      <c r="M15" s="900" t="s">
        <v>115</v>
      </c>
      <c r="N15" s="1388" t="s">
        <v>115</v>
      </c>
    </row>
    <row r="16" spans="1:18">
      <c r="A16" s="136" t="s">
        <v>99</v>
      </c>
      <c r="B16" s="486" t="s">
        <v>100</v>
      </c>
      <c r="C16" s="1384" t="s">
        <v>115</v>
      </c>
      <c r="D16" s="900" t="s">
        <v>115</v>
      </c>
      <c r="E16" s="1388" t="s">
        <v>115</v>
      </c>
      <c r="F16" s="1384" t="s">
        <v>115</v>
      </c>
      <c r="G16" s="900" t="s">
        <v>115</v>
      </c>
      <c r="H16" s="1388" t="s">
        <v>115</v>
      </c>
      <c r="I16" s="1384" t="s">
        <v>115</v>
      </c>
      <c r="J16" s="900" t="s">
        <v>115</v>
      </c>
      <c r="K16" s="1388" t="s">
        <v>115</v>
      </c>
      <c r="L16" s="941" t="s">
        <v>115</v>
      </c>
      <c r="M16" s="900" t="s">
        <v>115</v>
      </c>
      <c r="N16" s="1388" t="s">
        <v>115</v>
      </c>
    </row>
    <row r="17" spans="1:14">
      <c r="A17" s="136" t="s">
        <v>101</v>
      </c>
      <c r="B17" s="486" t="s">
        <v>102</v>
      </c>
      <c r="C17" s="1384" t="s">
        <v>115</v>
      </c>
      <c r="D17" s="900" t="s">
        <v>115</v>
      </c>
      <c r="E17" s="1388" t="s">
        <v>115</v>
      </c>
      <c r="F17" s="1384" t="s">
        <v>115</v>
      </c>
      <c r="G17" s="900" t="s">
        <v>115</v>
      </c>
      <c r="H17" s="1388" t="s">
        <v>115</v>
      </c>
      <c r="I17" s="1384" t="s">
        <v>115</v>
      </c>
      <c r="J17" s="900" t="s">
        <v>115</v>
      </c>
      <c r="K17" s="1388" t="s">
        <v>115</v>
      </c>
      <c r="L17" s="941" t="s">
        <v>115</v>
      </c>
      <c r="M17" s="900" t="s">
        <v>115</v>
      </c>
      <c r="N17" s="1388" t="s">
        <v>115</v>
      </c>
    </row>
    <row r="18" spans="1:14">
      <c r="A18" s="136" t="s">
        <v>103</v>
      </c>
      <c r="B18" s="486" t="s">
        <v>104</v>
      </c>
      <c r="C18" s="1385">
        <v>17</v>
      </c>
      <c r="D18" s="900" t="s">
        <v>115</v>
      </c>
      <c r="E18" s="1388" t="s">
        <v>115</v>
      </c>
      <c r="F18" s="1385">
        <v>0.8</v>
      </c>
      <c r="G18" s="900" t="s">
        <v>115</v>
      </c>
      <c r="H18" s="1388" t="s">
        <v>115</v>
      </c>
      <c r="I18" s="1385">
        <v>35</v>
      </c>
      <c r="J18" s="900" t="s">
        <v>115</v>
      </c>
      <c r="K18" s="1388" t="s">
        <v>115</v>
      </c>
      <c r="L18" s="1387">
        <v>140000</v>
      </c>
      <c r="M18" s="900" t="s">
        <v>115</v>
      </c>
      <c r="N18" s="1388" t="s">
        <v>115</v>
      </c>
    </row>
    <row r="19" spans="1:14">
      <c r="A19" s="136" t="s">
        <v>105</v>
      </c>
      <c r="B19" s="486" t="s">
        <v>106</v>
      </c>
      <c r="C19" s="1384" t="s">
        <v>115</v>
      </c>
      <c r="D19" s="900" t="s">
        <v>115</v>
      </c>
      <c r="E19" s="1388" t="s">
        <v>115</v>
      </c>
      <c r="F19" s="1385">
        <v>120</v>
      </c>
      <c r="G19" s="900" t="s">
        <v>115</v>
      </c>
      <c r="H19" s="1388" t="s">
        <v>115</v>
      </c>
      <c r="I19" s="1384" t="s">
        <v>115</v>
      </c>
      <c r="J19" s="900" t="s">
        <v>115</v>
      </c>
      <c r="K19" s="1388" t="s">
        <v>115</v>
      </c>
      <c r="L19" s="1387">
        <v>120</v>
      </c>
      <c r="M19" s="900" t="s">
        <v>115</v>
      </c>
      <c r="N19" s="1388" t="s">
        <v>115</v>
      </c>
    </row>
    <row r="20" spans="1:14">
      <c r="A20" s="136" t="s">
        <v>107</v>
      </c>
      <c r="B20" s="486" t="s">
        <v>108</v>
      </c>
      <c r="C20" s="1384" t="s">
        <v>115</v>
      </c>
      <c r="D20" s="900" t="s">
        <v>115</v>
      </c>
      <c r="E20" s="1388" t="s">
        <v>115</v>
      </c>
      <c r="F20" s="1384" t="s">
        <v>115</v>
      </c>
      <c r="G20" s="900" t="s">
        <v>115</v>
      </c>
      <c r="H20" s="1388" t="s">
        <v>115</v>
      </c>
      <c r="I20" s="1384" t="s">
        <v>115</v>
      </c>
      <c r="J20" s="900" t="s">
        <v>115</v>
      </c>
      <c r="K20" s="1388" t="s">
        <v>115</v>
      </c>
      <c r="L20" s="941" t="s">
        <v>115</v>
      </c>
      <c r="M20" s="900" t="s">
        <v>115</v>
      </c>
      <c r="N20" s="1388" t="s">
        <v>115</v>
      </c>
    </row>
    <row r="21" spans="1:14">
      <c r="A21" s="136" t="s">
        <v>109</v>
      </c>
      <c r="B21" s="486" t="s">
        <v>110</v>
      </c>
      <c r="C21" s="1384" t="s">
        <v>115</v>
      </c>
      <c r="D21" s="900" t="s">
        <v>115</v>
      </c>
      <c r="E21" s="1388" t="s">
        <v>115</v>
      </c>
      <c r="F21" s="1384" t="s">
        <v>115</v>
      </c>
      <c r="G21" s="900" t="s">
        <v>115</v>
      </c>
      <c r="H21" s="1388" t="s">
        <v>115</v>
      </c>
      <c r="I21" s="1384" t="s">
        <v>115</v>
      </c>
      <c r="J21" s="900" t="s">
        <v>115</v>
      </c>
      <c r="K21" s="1388" t="s">
        <v>115</v>
      </c>
      <c r="L21" s="941" t="s">
        <v>115</v>
      </c>
      <c r="M21" s="900" t="s">
        <v>115</v>
      </c>
      <c r="N21" s="1388" t="s">
        <v>115</v>
      </c>
    </row>
    <row r="22" spans="1:14">
      <c r="A22" s="136" t="s">
        <v>111</v>
      </c>
      <c r="B22" s="486" t="s">
        <v>112</v>
      </c>
      <c r="C22" s="1384" t="s">
        <v>115</v>
      </c>
      <c r="D22" s="900" t="s">
        <v>115</v>
      </c>
      <c r="E22" s="1388" t="s">
        <v>115</v>
      </c>
      <c r="F22" s="1384" t="s">
        <v>115</v>
      </c>
      <c r="G22" s="900" t="s">
        <v>115</v>
      </c>
      <c r="H22" s="1388" t="s">
        <v>115</v>
      </c>
      <c r="I22" s="1384" t="s">
        <v>115</v>
      </c>
      <c r="J22" s="900" t="s">
        <v>115</v>
      </c>
      <c r="K22" s="1388" t="s">
        <v>115</v>
      </c>
      <c r="L22" s="941" t="s">
        <v>115</v>
      </c>
      <c r="M22" s="900" t="s">
        <v>115</v>
      </c>
      <c r="N22" s="1388" t="s">
        <v>115</v>
      </c>
    </row>
    <row r="23" spans="1:14">
      <c r="A23" s="136" t="s">
        <v>113</v>
      </c>
      <c r="B23" s="486" t="s">
        <v>114</v>
      </c>
      <c r="C23" s="1385">
        <v>12</v>
      </c>
      <c r="D23" s="900" t="s">
        <v>115</v>
      </c>
      <c r="E23" s="1388" t="s">
        <v>115</v>
      </c>
      <c r="F23" s="1385">
        <v>1.9</v>
      </c>
      <c r="G23" s="900" t="s">
        <v>115</v>
      </c>
      <c r="H23" s="1388" t="s">
        <v>115</v>
      </c>
      <c r="I23" s="1385">
        <v>30</v>
      </c>
      <c r="J23" s="900" t="s">
        <v>115</v>
      </c>
      <c r="K23" s="1388" t="s">
        <v>115</v>
      </c>
      <c r="L23" s="1387">
        <v>1.9</v>
      </c>
      <c r="M23" s="900" t="s">
        <v>115</v>
      </c>
      <c r="N23" s="1388" t="s">
        <v>115</v>
      </c>
    </row>
    <row r="24" spans="1:14">
      <c r="A24" s="136" t="s">
        <v>116</v>
      </c>
      <c r="B24" s="486" t="s">
        <v>114</v>
      </c>
      <c r="C24" s="1385"/>
      <c r="D24" s="900" t="s">
        <v>115</v>
      </c>
      <c r="E24" s="1388" t="s">
        <v>115</v>
      </c>
      <c r="F24" s="1385"/>
      <c r="G24" s="900" t="s">
        <v>115</v>
      </c>
      <c r="H24" s="1388" t="s">
        <v>115</v>
      </c>
      <c r="I24" s="1385"/>
      <c r="J24" s="900" t="s">
        <v>115</v>
      </c>
      <c r="K24" s="1388" t="s">
        <v>115</v>
      </c>
      <c r="L24" s="1387"/>
      <c r="M24" s="900" t="s">
        <v>115</v>
      </c>
      <c r="N24" s="1388" t="s">
        <v>115</v>
      </c>
    </row>
    <row r="25" spans="1:14">
      <c r="A25" s="136" t="s">
        <v>117</v>
      </c>
      <c r="B25" s="486" t="s">
        <v>118</v>
      </c>
      <c r="C25" s="1385">
        <v>7.3</v>
      </c>
      <c r="D25" s="900" t="s">
        <v>115</v>
      </c>
      <c r="E25" s="1388" t="s">
        <v>115</v>
      </c>
      <c r="F25" s="1385">
        <v>7.6</v>
      </c>
      <c r="G25" s="900" t="s">
        <v>115</v>
      </c>
      <c r="H25" s="1388" t="s">
        <v>115</v>
      </c>
      <c r="I25" s="1385">
        <v>15</v>
      </c>
      <c r="J25" s="900" t="s">
        <v>115</v>
      </c>
      <c r="K25" s="1388" t="s">
        <v>115</v>
      </c>
      <c r="L25" s="1387">
        <v>880</v>
      </c>
      <c r="M25" s="900" t="s">
        <v>115</v>
      </c>
      <c r="N25" s="1388" t="s">
        <v>115</v>
      </c>
    </row>
    <row r="26" spans="1:14">
      <c r="A26" s="136" t="s">
        <v>119</v>
      </c>
      <c r="B26" s="486" t="s">
        <v>120</v>
      </c>
      <c r="C26" s="1385">
        <v>1.4</v>
      </c>
      <c r="D26" s="900" t="s">
        <v>115</v>
      </c>
      <c r="E26" s="1388" t="s">
        <v>115</v>
      </c>
      <c r="F26" s="1385">
        <v>8.5000000000000006E-3</v>
      </c>
      <c r="G26" s="900" t="s">
        <v>115</v>
      </c>
      <c r="H26" s="1388" t="s">
        <v>115</v>
      </c>
      <c r="I26" s="1385">
        <v>2.7</v>
      </c>
      <c r="J26" s="900" t="s">
        <v>115</v>
      </c>
      <c r="K26" s="1388" t="s">
        <v>115</v>
      </c>
      <c r="L26" s="1387">
        <v>8.5000000000000006E-3</v>
      </c>
      <c r="M26" s="900" t="s">
        <v>115</v>
      </c>
      <c r="N26" s="1388" t="s">
        <v>115</v>
      </c>
    </row>
    <row r="27" spans="1:14">
      <c r="A27" s="136" t="s">
        <v>121</v>
      </c>
      <c r="B27" s="486" t="s">
        <v>122</v>
      </c>
      <c r="C27" s="1385">
        <v>25</v>
      </c>
      <c r="D27" s="900" t="s">
        <v>115</v>
      </c>
      <c r="E27" s="1388" t="s">
        <v>115</v>
      </c>
      <c r="F27" s="1384" t="s">
        <v>115</v>
      </c>
      <c r="G27" s="900" t="s">
        <v>115</v>
      </c>
      <c r="H27" s="1388" t="s">
        <v>115</v>
      </c>
      <c r="I27" s="1385">
        <v>50</v>
      </c>
      <c r="J27" s="900" t="s">
        <v>115</v>
      </c>
      <c r="K27" s="1388" t="s">
        <v>115</v>
      </c>
      <c r="L27" s="941" t="s">
        <v>115</v>
      </c>
      <c r="M27" s="900" t="s">
        <v>115</v>
      </c>
      <c r="N27" s="1388" t="s">
        <v>115</v>
      </c>
    </row>
    <row r="28" spans="1:14">
      <c r="A28" s="136" t="s">
        <v>123</v>
      </c>
      <c r="B28" s="486" t="s">
        <v>124</v>
      </c>
      <c r="C28" s="1385">
        <v>7.5</v>
      </c>
      <c r="D28" s="900" t="s">
        <v>115</v>
      </c>
      <c r="E28" s="1388" t="s">
        <v>115</v>
      </c>
      <c r="F28" s="1384" t="s">
        <v>115</v>
      </c>
      <c r="G28" s="900" t="s">
        <v>115</v>
      </c>
      <c r="H28" s="1388" t="s">
        <v>115</v>
      </c>
      <c r="I28" s="1385">
        <v>15</v>
      </c>
      <c r="J28" s="900" t="s">
        <v>115</v>
      </c>
      <c r="K28" s="1388" t="s">
        <v>115</v>
      </c>
      <c r="L28" s="941" t="s">
        <v>115</v>
      </c>
      <c r="M28" s="900" t="s">
        <v>115</v>
      </c>
      <c r="N28" s="1388" t="s">
        <v>115</v>
      </c>
    </row>
    <row r="29" spans="1:14">
      <c r="A29" s="136" t="s">
        <v>125</v>
      </c>
      <c r="B29" s="486" t="s">
        <v>126</v>
      </c>
      <c r="C29" s="1384" t="s">
        <v>115</v>
      </c>
      <c r="D29" s="900" t="s">
        <v>115</v>
      </c>
      <c r="E29" s="1388" t="s">
        <v>115</v>
      </c>
      <c r="F29" s="1384" t="s">
        <v>115</v>
      </c>
      <c r="G29" s="900" t="s">
        <v>115</v>
      </c>
      <c r="H29" s="1388" t="s">
        <v>115</v>
      </c>
      <c r="I29" s="1384" t="s">
        <v>115</v>
      </c>
      <c r="J29" s="900" t="s">
        <v>115</v>
      </c>
      <c r="K29" s="1388" t="s">
        <v>115</v>
      </c>
      <c r="L29" s="941" t="s">
        <v>115</v>
      </c>
      <c r="M29" s="900" t="s">
        <v>115</v>
      </c>
      <c r="N29" s="1388" t="s">
        <v>115</v>
      </c>
    </row>
    <row r="30" spans="1:14">
      <c r="A30" s="136" t="s">
        <v>127</v>
      </c>
      <c r="B30" s="486" t="s">
        <v>128</v>
      </c>
      <c r="C30" s="1385">
        <v>43</v>
      </c>
      <c r="D30" s="900" t="s">
        <v>115</v>
      </c>
      <c r="E30" s="1388" t="s">
        <v>115</v>
      </c>
      <c r="F30" s="1385">
        <v>81</v>
      </c>
      <c r="G30" s="900" t="s">
        <v>115</v>
      </c>
      <c r="H30" s="1388" t="s">
        <v>115</v>
      </c>
      <c r="I30" s="1385">
        <v>85</v>
      </c>
      <c r="J30" s="900" t="s">
        <v>115</v>
      </c>
      <c r="K30" s="1388" t="s">
        <v>115</v>
      </c>
      <c r="L30" s="1387">
        <v>830</v>
      </c>
      <c r="M30" s="900" t="s">
        <v>115</v>
      </c>
      <c r="N30" s="1388" t="s">
        <v>115</v>
      </c>
    </row>
    <row r="31" spans="1:14">
      <c r="A31" s="136" t="s">
        <v>129</v>
      </c>
      <c r="B31" s="486" t="s">
        <v>130</v>
      </c>
      <c r="C31" s="1384" t="s">
        <v>115</v>
      </c>
      <c r="D31" s="900" t="s">
        <v>115</v>
      </c>
      <c r="E31" s="1388" t="s">
        <v>115</v>
      </c>
      <c r="F31" s="1384" t="s">
        <v>115</v>
      </c>
      <c r="G31" s="900" t="s">
        <v>115</v>
      </c>
      <c r="H31" s="1388" t="s">
        <v>115</v>
      </c>
      <c r="I31" s="1384" t="s">
        <v>115</v>
      </c>
      <c r="J31" s="900" t="s">
        <v>115</v>
      </c>
      <c r="K31" s="1388" t="s">
        <v>115</v>
      </c>
      <c r="L31" s="941" t="s">
        <v>115</v>
      </c>
      <c r="M31" s="900" t="s">
        <v>115</v>
      </c>
      <c r="N31" s="1388" t="s">
        <v>115</v>
      </c>
    </row>
    <row r="32" spans="1:14">
      <c r="A32" s="136" t="s">
        <v>131</v>
      </c>
      <c r="B32" s="486" t="s">
        <v>132</v>
      </c>
      <c r="C32" s="1385">
        <v>2</v>
      </c>
      <c r="D32" s="900" t="s">
        <v>115</v>
      </c>
      <c r="E32" s="1388" t="s">
        <v>115</v>
      </c>
      <c r="F32" s="1384" t="s">
        <v>115</v>
      </c>
      <c r="G32" s="900" t="s">
        <v>115</v>
      </c>
      <c r="H32" s="1388" t="s">
        <v>115</v>
      </c>
      <c r="I32" s="1385">
        <v>3.9</v>
      </c>
      <c r="J32" s="900" t="s">
        <v>115</v>
      </c>
      <c r="K32" s="1388" t="s">
        <v>115</v>
      </c>
      <c r="L32" s="941" t="s">
        <v>115</v>
      </c>
      <c r="M32" s="900" t="s">
        <v>115</v>
      </c>
      <c r="N32" s="1388" t="s">
        <v>115</v>
      </c>
    </row>
    <row r="33" spans="1:14">
      <c r="A33" s="136" t="s">
        <v>133</v>
      </c>
      <c r="B33" s="486" t="s">
        <v>134</v>
      </c>
      <c r="C33" s="1385">
        <v>390</v>
      </c>
      <c r="D33" s="900" t="s">
        <v>115</v>
      </c>
      <c r="E33" s="1388" t="s">
        <v>115</v>
      </c>
      <c r="F33" s="1385">
        <v>160</v>
      </c>
      <c r="G33" s="900" t="s">
        <v>115</v>
      </c>
      <c r="H33" s="1388" t="s">
        <v>115</v>
      </c>
      <c r="I33" s="1385">
        <v>630</v>
      </c>
      <c r="J33" s="900" t="s">
        <v>115</v>
      </c>
      <c r="K33" s="1388" t="s">
        <v>115</v>
      </c>
      <c r="L33" s="1387">
        <v>160</v>
      </c>
      <c r="M33" s="900" t="s">
        <v>115</v>
      </c>
      <c r="N33" s="1388" t="s">
        <v>115</v>
      </c>
    </row>
    <row r="34" spans="1:14">
      <c r="A34" s="136" t="s">
        <v>135</v>
      </c>
      <c r="B34" s="486" t="s">
        <v>136</v>
      </c>
      <c r="C34" s="1384" t="s">
        <v>115</v>
      </c>
      <c r="D34" s="900" t="s">
        <v>115</v>
      </c>
      <c r="E34" s="1388" t="s">
        <v>115</v>
      </c>
      <c r="F34" s="1384" t="s">
        <v>115</v>
      </c>
      <c r="G34" s="900" t="s">
        <v>115</v>
      </c>
      <c r="H34" s="1388" t="s">
        <v>115</v>
      </c>
      <c r="I34" s="1384" t="s">
        <v>115</v>
      </c>
      <c r="J34" s="900" t="s">
        <v>115</v>
      </c>
      <c r="K34" s="1388" t="s">
        <v>115</v>
      </c>
      <c r="L34" s="941" t="s">
        <v>115</v>
      </c>
      <c r="M34" s="900" t="s">
        <v>115</v>
      </c>
      <c r="N34" s="1388" t="s">
        <v>115</v>
      </c>
    </row>
    <row r="35" spans="1:14">
      <c r="A35" s="136" t="s">
        <v>137</v>
      </c>
      <c r="B35" s="486" t="s">
        <v>138</v>
      </c>
      <c r="C35" s="1385">
        <v>10</v>
      </c>
      <c r="D35" s="900" t="s">
        <v>115</v>
      </c>
      <c r="E35" s="1388" t="s">
        <v>115</v>
      </c>
      <c r="F35" s="1385">
        <v>910</v>
      </c>
      <c r="G35" s="900" t="s">
        <v>115</v>
      </c>
      <c r="H35" s="1388" t="s">
        <v>115</v>
      </c>
      <c r="I35" s="1385">
        <v>10</v>
      </c>
      <c r="J35" s="900" t="s">
        <v>115</v>
      </c>
      <c r="K35" s="1388" t="s">
        <v>115</v>
      </c>
      <c r="L35" s="1387">
        <v>8500</v>
      </c>
      <c r="M35" s="900" t="s">
        <v>115</v>
      </c>
      <c r="N35" s="1388" t="s">
        <v>115</v>
      </c>
    </row>
    <row r="36" spans="1:14">
      <c r="A36" s="136" t="s">
        <v>139</v>
      </c>
      <c r="B36" s="486" t="s">
        <v>140</v>
      </c>
      <c r="C36" s="1385">
        <v>50</v>
      </c>
      <c r="D36" s="900" t="s">
        <v>115</v>
      </c>
      <c r="E36" s="1388" t="s">
        <v>115</v>
      </c>
      <c r="F36" s="1385">
        <v>180</v>
      </c>
      <c r="G36" s="900" t="s">
        <v>115</v>
      </c>
      <c r="H36" s="1388" t="s">
        <v>115</v>
      </c>
      <c r="I36" s="1385">
        <v>100</v>
      </c>
      <c r="J36" s="900" t="s">
        <v>115</v>
      </c>
      <c r="K36" s="1388" t="s">
        <v>115</v>
      </c>
      <c r="L36" s="1387">
        <v>180</v>
      </c>
      <c r="M36" s="900" t="s">
        <v>115</v>
      </c>
      <c r="N36" s="1388" t="s">
        <v>115</v>
      </c>
    </row>
    <row r="37" spans="1:14">
      <c r="A37" s="136" t="s">
        <v>141</v>
      </c>
      <c r="B37" s="486" t="s">
        <v>142</v>
      </c>
      <c r="C37" s="1385">
        <v>180</v>
      </c>
      <c r="D37" s="900" t="s">
        <v>115</v>
      </c>
      <c r="E37" s="1388" t="s">
        <v>115</v>
      </c>
      <c r="F37" s="1385">
        <v>280</v>
      </c>
      <c r="G37" s="900" t="s">
        <v>115</v>
      </c>
      <c r="H37" s="1388" t="s">
        <v>115</v>
      </c>
      <c r="I37" s="1385">
        <v>300</v>
      </c>
      <c r="J37" s="900" t="s">
        <v>115</v>
      </c>
      <c r="K37" s="1388" t="s">
        <v>115</v>
      </c>
      <c r="L37" s="1387">
        <v>3100</v>
      </c>
      <c r="M37" s="900" t="s">
        <v>115</v>
      </c>
      <c r="N37" s="1388" t="s">
        <v>115</v>
      </c>
    </row>
    <row r="38" spans="1:14">
      <c r="A38" s="136" t="s">
        <v>143</v>
      </c>
      <c r="B38" s="486" t="s">
        <v>144</v>
      </c>
      <c r="C38" s="1385">
        <v>1.1000000000000001</v>
      </c>
      <c r="D38" s="900" t="s">
        <v>115</v>
      </c>
      <c r="E38" s="1388" t="s">
        <v>115</v>
      </c>
      <c r="F38" s="1385">
        <v>0.11</v>
      </c>
      <c r="G38" s="900" t="s">
        <v>115</v>
      </c>
      <c r="H38" s="1388" t="s">
        <v>115</v>
      </c>
      <c r="I38" s="1385">
        <v>10</v>
      </c>
      <c r="J38" s="900" t="s">
        <v>115</v>
      </c>
      <c r="K38" s="1388" t="s">
        <v>115</v>
      </c>
      <c r="L38" s="1387">
        <v>0.11</v>
      </c>
      <c r="M38" s="900" t="s">
        <v>115</v>
      </c>
      <c r="N38" s="1388" t="s">
        <v>115</v>
      </c>
    </row>
    <row r="39" spans="1:14">
      <c r="A39" s="136" t="s">
        <v>145</v>
      </c>
      <c r="B39" s="486" t="s">
        <v>146</v>
      </c>
      <c r="C39" s="1384" t="s">
        <v>115</v>
      </c>
      <c r="D39" s="900" t="s">
        <v>115</v>
      </c>
      <c r="E39" s="1388" t="s">
        <v>115</v>
      </c>
      <c r="F39" s="1384" t="s">
        <v>115</v>
      </c>
      <c r="G39" s="900" t="s">
        <v>115</v>
      </c>
      <c r="H39" s="1388" t="s">
        <v>115</v>
      </c>
      <c r="I39" s="1384" t="s">
        <v>115</v>
      </c>
      <c r="J39" s="900" t="s">
        <v>115</v>
      </c>
      <c r="K39" s="1388" t="s">
        <v>115</v>
      </c>
      <c r="L39" s="941" t="s">
        <v>115</v>
      </c>
      <c r="M39" s="900" t="s">
        <v>115</v>
      </c>
      <c r="N39" s="1388" t="s">
        <v>115</v>
      </c>
    </row>
    <row r="40" spans="1:14">
      <c r="A40" s="136" t="s">
        <v>147</v>
      </c>
      <c r="B40" s="486" t="s">
        <v>148</v>
      </c>
      <c r="C40" s="1384" t="s">
        <v>115</v>
      </c>
      <c r="D40" s="900" t="s">
        <v>115</v>
      </c>
      <c r="E40" s="1388" t="s">
        <v>115</v>
      </c>
      <c r="F40" s="1384" t="s">
        <v>115</v>
      </c>
      <c r="G40" s="900" t="s">
        <v>115</v>
      </c>
      <c r="H40" s="1388" t="s">
        <v>115</v>
      </c>
      <c r="I40" s="1384" t="s">
        <v>115</v>
      </c>
      <c r="J40" s="900" t="s">
        <v>115</v>
      </c>
      <c r="K40" s="1388" t="s">
        <v>115</v>
      </c>
      <c r="L40" s="941" t="s">
        <v>115</v>
      </c>
      <c r="M40" s="900" t="s">
        <v>115</v>
      </c>
      <c r="N40" s="1388" t="s">
        <v>115</v>
      </c>
    </row>
    <row r="41" spans="1:14">
      <c r="A41" s="136" t="s">
        <v>149</v>
      </c>
      <c r="B41" s="486" t="s">
        <v>150</v>
      </c>
      <c r="C41" s="1384" t="s">
        <v>115</v>
      </c>
      <c r="D41" s="900" t="s">
        <v>115</v>
      </c>
      <c r="E41" s="1388" t="s">
        <v>115</v>
      </c>
      <c r="F41" s="1384" t="s">
        <v>115</v>
      </c>
      <c r="G41" s="900" t="s">
        <v>115</v>
      </c>
      <c r="H41" s="1388" t="s">
        <v>115</v>
      </c>
      <c r="I41" s="1384" t="s">
        <v>115</v>
      </c>
      <c r="J41" s="900" t="s">
        <v>115</v>
      </c>
      <c r="K41" s="1388" t="s">
        <v>115</v>
      </c>
      <c r="L41" s="941" t="s">
        <v>115</v>
      </c>
      <c r="M41" s="900" t="s">
        <v>115</v>
      </c>
      <c r="N41" s="1388" t="s">
        <v>115</v>
      </c>
    </row>
    <row r="42" spans="1:14">
      <c r="A42" s="136" t="s">
        <v>151</v>
      </c>
      <c r="B42" s="486" t="s">
        <v>152</v>
      </c>
      <c r="C42" s="1385">
        <v>4.3</v>
      </c>
      <c r="D42" s="900" t="s">
        <v>115</v>
      </c>
      <c r="E42" s="1388" t="s">
        <v>115</v>
      </c>
      <c r="F42" s="1384" t="s">
        <v>115</v>
      </c>
      <c r="G42" s="900" t="s">
        <v>115</v>
      </c>
      <c r="H42" s="1388" t="s">
        <v>115</v>
      </c>
      <c r="I42" s="1385">
        <v>8.5</v>
      </c>
      <c r="J42" s="900" t="s">
        <v>115</v>
      </c>
      <c r="K42" s="1388" t="s">
        <v>115</v>
      </c>
      <c r="L42" s="941" t="s">
        <v>115</v>
      </c>
      <c r="M42" s="900" t="s">
        <v>115</v>
      </c>
      <c r="N42" s="1388" t="s">
        <v>115</v>
      </c>
    </row>
    <row r="43" spans="1:14">
      <c r="A43" s="136" t="s">
        <v>153</v>
      </c>
      <c r="B43" s="486" t="s">
        <v>154</v>
      </c>
      <c r="C43" s="1384">
        <v>4.5</v>
      </c>
      <c r="D43" s="900" t="s">
        <v>115</v>
      </c>
      <c r="E43" s="1388" t="s">
        <v>115</v>
      </c>
      <c r="F43" s="1384" t="s">
        <v>115</v>
      </c>
      <c r="G43" s="900" t="s">
        <v>115</v>
      </c>
      <c r="H43" s="1388" t="s">
        <v>115</v>
      </c>
      <c r="I43" s="1385">
        <v>9</v>
      </c>
      <c r="J43" s="900" t="s">
        <v>115</v>
      </c>
      <c r="K43" s="1388" t="s">
        <v>115</v>
      </c>
      <c r="L43" s="941" t="s">
        <v>115</v>
      </c>
      <c r="M43" s="900" t="s">
        <v>115</v>
      </c>
      <c r="N43" s="1388" t="s">
        <v>115</v>
      </c>
    </row>
    <row r="44" spans="1:14">
      <c r="A44" s="136" t="s">
        <v>155</v>
      </c>
      <c r="B44" s="486" t="s">
        <v>156</v>
      </c>
      <c r="C44" s="1384" t="s">
        <v>115</v>
      </c>
      <c r="D44" s="900" t="s">
        <v>115</v>
      </c>
      <c r="E44" s="1388" t="s">
        <v>115</v>
      </c>
      <c r="F44" s="1384" t="s">
        <v>115</v>
      </c>
      <c r="G44" s="900" t="s">
        <v>115</v>
      </c>
      <c r="H44" s="1388" t="s">
        <v>115</v>
      </c>
      <c r="I44" s="1384" t="s">
        <v>115</v>
      </c>
      <c r="J44" s="900" t="s">
        <v>115</v>
      </c>
      <c r="K44" s="1388" t="s">
        <v>115</v>
      </c>
      <c r="L44" s="941" t="s">
        <v>115</v>
      </c>
      <c r="M44" s="900" t="s">
        <v>115</v>
      </c>
      <c r="N44" s="1388" t="s">
        <v>115</v>
      </c>
    </row>
    <row r="45" spans="1:14">
      <c r="A45" s="136" t="s">
        <v>157</v>
      </c>
      <c r="B45" s="486" t="s">
        <v>158</v>
      </c>
      <c r="C45" s="1385">
        <v>8.5</v>
      </c>
      <c r="D45" s="900" t="s">
        <v>115</v>
      </c>
      <c r="E45" s="1388" t="s">
        <v>115</v>
      </c>
      <c r="F45" s="1384" t="s">
        <v>115</v>
      </c>
      <c r="G45" s="900" t="s">
        <v>115</v>
      </c>
      <c r="H45" s="1388" t="s">
        <v>115</v>
      </c>
      <c r="I45" s="1385">
        <v>17</v>
      </c>
      <c r="J45" s="900" t="s">
        <v>115</v>
      </c>
      <c r="K45" s="1388" t="s">
        <v>115</v>
      </c>
      <c r="L45" s="941" t="s">
        <v>115</v>
      </c>
      <c r="M45" s="900" t="s">
        <v>115</v>
      </c>
      <c r="N45" s="1388" t="s">
        <v>115</v>
      </c>
    </row>
    <row r="46" spans="1:14">
      <c r="A46" s="136" t="s">
        <v>159</v>
      </c>
      <c r="B46" s="486" t="s">
        <v>160</v>
      </c>
      <c r="C46" s="1385">
        <v>0.33</v>
      </c>
      <c r="D46" s="900" t="s">
        <v>115</v>
      </c>
      <c r="E46" s="1388" t="s">
        <v>115</v>
      </c>
      <c r="F46" s="1384" t="s">
        <v>115</v>
      </c>
      <c r="G46" s="900" t="s">
        <v>115</v>
      </c>
      <c r="H46" s="1388" t="s">
        <v>115</v>
      </c>
      <c r="I46" s="1385">
        <v>0.65</v>
      </c>
      <c r="J46" s="900" t="s">
        <v>115</v>
      </c>
      <c r="K46" s="1388" t="s">
        <v>115</v>
      </c>
      <c r="L46" s="941" t="s">
        <v>115</v>
      </c>
      <c r="M46" s="900" t="s">
        <v>115</v>
      </c>
      <c r="N46" s="1388" t="s">
        <v>115</v>
      </c>
    </row>
    <row r="47" spans="1:14">
      <c r="A47" s="136" t="s">
        <v>161</v>
      </c>
      <c r="B47" s="486" t="s">
        <v>162</v>
      </c>
      <c r="C47" s="1385">
        <v>1.3</v>
      </c>
      <c r="D47" s="900" t="s">
        <v>115</v>
      </c>
      <c r="E47" s="1388" t="s">
        <v>115</v>
      </c>
      <c r="F47" s="1384" t="s">
        <v>115</v>
      </c>
      <c r="G47" s="900">
        <v>2.1000000000000001E-2</v>
      </c>
      <c r="H47" s="1388" t="s">
        <v>1656</v>
      </c>
      <c r="I47" s="1385">
        <v>7.8</v>
      </c>
      <c r="J47" s="900" t="s">
        <v>115</v>
      </c>
      <c r="K47" s="1388" t="s">
        <v>115</v>
      </c>
      <c r="L47" s="941" t="s">
        <v>115</v>
      </c>
      <c r="M47" s="900" t="s">
        <v>115</v>
      </c>
      <c r="N47" s="1388" t="s">
        <v>115</v>
      </c>
    </row>
    <row r="48" spans="1:14">
      <c r="A48" s="136" t="s">
        <v>163</v>
      </c>
      <c r="B48" s="486" t="s">
        <v>164</v>
      </c>
      <c r="C48" s="1385">
        <v>11</v>
      </c>
      <c r="D48" s="900" t="s">
        <v>115</v>
      </c>
      <c r="E48" s="1388" t="s">
        <v>115</v>
      </c>
      <c r="F48" s="1384" t="s">
        <v>115</v>
      </c>
      <c r="G48" s="900" t="s">
        <v>115</v>
      </c>
      <c r="H48" s="1388" t="s">
        <v>115</v>
      </c>
      <c r="I48" s="1385">
        <v>21</v>
      </c>
      <c r="J48" s="900" t="s">
        <v>115</v>
      </c>
      <c r="K48" s="1388" t="s">
        <v>115</v>
      </c>
      <c r="L48" s="941" t="s">
        <v>115</v>
      </c>
      <c r="M48" s="900" t="s">
        <v>115</v>
      </c>
      <c r="N48" s="1388" t="s">
        <v>115</v>
      </c>
    </row>
    <row r="49" spans="1:14">
      <c r="A49" s="136" t="s">
        <v>165</v>
      </c>
      <c r="B49" s="486" t="s">
        <v>166</v>
      </c>
      <c r="C49" s="1385">
        <v>60</v>
      </c>
      <c r="D49" s="900" t="s">
        <v>115</v>
      </c>
      <c r="E49" s="1388" t="s">
        <v>115</v>
      </c>
      <c r="F49" s="1385">
        <v>29</v>
      </c>
      <c r="G49" s="900" t="s">
        <v>115</v>
      </c>
      <c r="H49" s="1388" t="s">
        <v>115</v>
      </c>
      <c r="I49" s="1385">
        <v>120</v>
      </c>
      <c r="J49" s="900" t="s">
        <v>115</v>
      </c>
      <c r="K49" s="1388" t="s">
        <v>115</v>
      </c>
      <c r="L49" s="1387">
        <v>29</v>
      </c>
      <c r="M49" s="900" t="s">
        <v>115</v>
      </c>
      <c r="N49" s="1388" t="s">
        <v>115</v>
      </c>
    </row>
    <row r="50" spans="1:14">
      <c r="A50" s="136" t="s">
        <v>167</v>
      </c>
      <c r="B50" s="486" t="s">
        <v>168</v>
      </c>
      <c r="C50" s="1385">
        <v>63</v>
      </c>
      <c r="D50" s="900" t="s">
        <v>115</v>
      </c>
      <c r="E50" s="1388" t="s">
        <v>115</v>
      </c>
      <c r="F50" s="1385">
        <v>43</v>
      </c>
      <c r="G50" s="900" t="s">
        <v>115</v>
      </c>
      <c r="H50" s="1388" t="s">
        <v>115</v>
      </c>
      <c r="I50" s="1385">
        <v>130</v>
      </c>
      <c r="J50" s="900" t="s">
        <v>115</v>
      </c>
      <c r="K50" s="1388" t="s">
        <v>115</v>
      </c>
      <c r="L50" s="1387">
        <v>760</v>
      </c>
      <c r="M50" s="900" t="s">
        <v>115</v>
      </c>
      <c r="N50" s="1388" t="s">
        <v>115</v>
      </c>
    </row>
    <row r="51" spans="1:14">
      <c r="A51" s="136" t="s">
        <v>169</v>
      </c>
      <c r="B51" s="486" t="s">
        <v>170</v>
      </c>
      <c r="C51" s="1384" t="s">
        <v>115</v>
      </c>
      <c r="D51" s="900" t="s">
        <v>115</v>
      </c>
      <c r="E51" s="1388" t="s">
        <v>115</v>
      </c>
      <c r="F51" s="1385">
        <v>84</v>
      </c>
      <c r="G51" s="900" t="s">
        <v>115</v>
      </c>
      <c r="H51" s="1388" t="s">
        <v>115</v>
      </c>
      <c r="I51" s="1384" t="s">
        <v>115</v>
      </c>
      <c r="J51" s="900" t="s">
        <v>115</v>
      </c>
      <c r="K51" s="1388" t="s">
        <v>115</v>
      </c>
      <c r="L51" s="1387">
        <v>940</v>
      </c>
      <c r="M51" s="900" t="s">
        <v>115</v>
      </c>
      <c r="N51" s="1388" t="s">
        <v>115</v>
      </c>
    </row>
    <row r="52" spans="1:14">
      <c r="A52" s="136" t="s">
        <v>171</v>
      </c>
      <c r="B52" s="486" t="s">
        <v>172</v>
      </c>
      <c r="C52" s="1384" t="s">
        <v>115</v>
      </c>
      <c r="D52" s="900" t="s">
        <v>115</v>
      </c>
      <c r="E52" s="1388" t="s">
        <v>115</v>
      </c>
      <c r="F52" s="1385">
        <v>84</v>
      </c>
      <c r="G52" s="900" t="s">
        <v>115</v>
      </c>
      <c r="H52" s="1388" t="s">
        <v>115</v>
      </c>
      <c r="I52" s="1384" t="s">
        <v>115</v>
      </c>
      <c r="J52" s="900" t="s">
        <v>115</v>
      </c>
      <c r="K52" s="1388" t="s">
        <v>115</v>
      </c>
      <c r="L52" s="1387">
        <v>940</v>
      </c>
      <c r="M52" s="900" t="s">
        <v>115</v>
      </c>
      <c r="N52" s="1388" t="s">
        <v>115</v>
      </c>
    </row>
    <row r="53" spans="1:14">
      <c r="A53" s="136" t="s">
        <v>173</v>
      </c>
      <c r="B53" s="486" t="s">
        <v>174</v>
      </c>
      <c r="C53" s="1385">
        <v>2.1</v>
      </c>
      <c r="D53" s="900" t="s">
        <v>115</v>
      </c>
      <c r="E53" s="1388" t="s">
        <v>115</v>
      </c>
      <c r="F53" s="1384" t="s">
        <v>115</v>
      </c>
      <c r="G53" s="900" t="s">
        <v>115</v>
      </c>
      <c r="H53" s="1388" t="s">
        <v>115</v>
      </c>
      <c r="I53" s="1384" t="s">
        <v>115</v>
      </c>
      <c r="J53" s="900" t="s">
        <v>115</v>
      </c>
      <c r="K53" s="1388" t="s">
        <v>115</v>
      </c>
      <c r="L53" s="941" t="s">
        <v>115</v>
      </c>
      <c r="M53" s="900" t="s">
        <v>115</v>
      </c>
      <c r="N53" s="1388" t="s">
        <v>115</v>
      </c>
    </row>
    <row r="54" spans="1:14">
      <c r="A54" s="136" t="s">
        <v>175</v>
      </c>
      <c r="B54" s="486" t="s">
        <v>176</v>
      </c>
      <c r="C54" s="1385">
        <v>31</v>
      </c>
      <c r="D54" s="900" t="s">
        <v>115</v>
      </c>
      <c r="E54" s="1388" t="s">
        <v>115</v>
      </c>
      <c r="F54" s="1384" t="s">
        <v>115</v>
      </c>
      <c r="G54" s="900" t="s">
        <v>115</v>
      </c>
      <c r="H54" s="1388" t="s">
        <v>115</v>
      </c>
      <c r="I54" s="1385">
        <v>63</v>
      </c>
      <c r="J54" s="900" t="s">
        <v>115</v>
      </c>
      <c r="K54" s="1388" t="s">
        <v>115</v>
      </c>
      <c r="L54" s="941" t="s">
        <v>115</v>
      </c>
      <c r="M54" s="900" t="s">
        <v>115</v>
      </c>
      <c r="N54" s="1388" t="s">
        <v>115</v>
      </c>
    </row>
    <row r="55" spans="1:14">
      <c r="A55" s="136" t="s">
        <v>177</v>
      </c>
      <c r="B55" s="486" t="s">
        <v>178</v>
      </c>
      <c r="C55" s="1385">
        <v>31</v>
      </c>
      <c r="D55" s="900" t="s">
        <v>115</v>
      </c>
      <c r="E55" s="1388" t="s">
        <v>115</v>
      </c>
      <c r="F55" s="1384" t="s">
        <v>115</v>
      </c>
      <c r="G55" s="900" t="s">
        <v>115</v>
      </c>
      <c r="H55" s="1388" t="s">
        <v>115</v>
      </c>
      <c r="I55" s="1385">
        <v>63</v>
      </c>
      <c r="J55" s="900" t="s">
        <v>115</v>
      </c>
      <c r="K55" s="1388" t="s">
        <v>115</v>
      </c>
      <c r="L55" s="941" t="s">
        <v>115</v>
      </c>
      <c r="M55" s="900" t="s">
        <v>115</v>
      </c>
      <c r="N55" s="1388" t="s">
        <v>115</v>
      </c>
    </row>
    <row r="56" spans="1:14">
      <c r="A56" s="136" t="s">
        <v>179</v>
      </c>
      <c r="B56" s="486" t="s">
        <v>180</v>
      </c>
      <c r="C56" s="1385">
        <v>5.5E-2</v>
      </c>
      <c r="D56" s="900" t="s">
        <v>115</v>
      </c>
      <c r="E56" s="1388" t="s">
        <v>115</v>
      </c>
      <c r="F56" s="1385">
        <v>9.6000000000000002E-4</v>
      </c>
      <c r="G56" s="900" t="s">
        <v>115</v>
      </c>
      <c r="H56" s="1388" t="s">
        <v>115</v>
      </c>
      <c r="I56" s="1385">
        <v>0.11</v>
      </c>
      <c r="J56" s="900" t="s">
        <v>115</v>
      </c>
      <c r="K56" s="1388" t="s">
        <v>115</v>
      </c>
      <c r="L56" s="1387">
        <v>240</v>
      </c>
      <c r="M56" s="900" t="s">
        <v>115</v>
      </c>
      <c r="N56" s="1388" t="s">
        <v>115</v>
      </c>
    </row>
    <row r="57" spans="1:14">
      <c r="A57" s="136" t="s">
        <v>181</v>
      </c>
      <c r="B57" s="486" t="s">
        <v>182</v>
      </c>
      <c r="C57" s="1385">
        <v>13</v>
      </c>
      <c r="D57" s="900" t="s">
        <v>115</v>
      </c>
      <c r="E57" s="1388" t="s">
        <v>115</v>
      </c>
      <c r="F57" s="1385">
        <v>85</v>
      </c>
      <c r="G57" s="900" t="s">
        <v>115</v>
      </c>
      <c r="H57" s="1388" t="s">
        <v>115</v>
      </c>
      <c r="I57" s="1385">
        <v>27</v>
      </c>
      <c r="J57" s="900" t="s">
        <v>115</v>
      </c>
      <c r="K57" s="1388" t="s">
        <v>115</v>
      </c>
      <c r="L57" s="1387">
        <v>1000000</v>
      </c>
      <c r="M57" s="900" t="s">
        <v>115</v>
      </c>
      <c r="N57" s="1388" t="s">
        <v>115</v>
      </c>
    </row>
    <row r="58" spans="1:14">
      <c r="A58" s="136" t="s">
        <v>183</v>
      </c>
      <c r="B58" s="486" t="s">
        <v>184</v>
      </c>
      <c r="C58" s="1384" t="s">
        <v>115</v>
      </c>
      <c r="D58" s="900" t="s">
        <v>115</v>
      </c>
      <c r="E58" s="1388" t="s">
        <v>115</v>
      </c>
      <c r="F58" s="1384" t="s">
        <v>115</v>
      </c>
      <c r="G58" s="900" t="s">
        <v>115</v>
      </c>
      <c r="H58" s="1388" t="s">
        <v>115</v>
      </c>
      <c r="I58" s="1384" t="s">
        <v>115</v>
      </c>
      <c r="J58" s="900" t="s">
        <v>115</v>
      </c>
      <c r="K58" s="1388" t="s">
        <v>115</v>
      </c>
      <c r="L58" s="941" t="s">
        <v>115</v>
      </c>
      <c r="M58" s="900" t="s">
        <v>115</v>
      </c>
      <c r="N58" s="1388" t="s">
        <v>115</v>
      </c>
    </row>
    <row r="59" spans="1:14">
      <c r="A59" s="136" t="s">
        <v>185</v>
      </c>
      <c r="B59" s="486" t="s">
        <v>186</v>
      </c>
      <c r="C59" s="1384" t="s">
        <v>115</v>
      </c>
      <c r="D59" s="900" t="s">
        <v>115</v>
      </c>
      <c r="E59" s="1388" t="s">
        <v>115</v>
      </c>
      <c r="F59" s="1384" t="s">
        <v>115</v>
      </c>
      <c r="G59" s="900" t="s">
        <v>115</v>
      </c>
      <c r="H59" s="1388" t="s">
        <v>115</v>
      </c>
      <c r="I59" s="1384" t="s">
        <v>115</v>
      </c>
      <c r="J59" s="900" t="s">
        <v>115</v>
      </c>
      <c r="K59" s="1388" t="s">
        <v>115</v>
      </c>
      <c r="L59" s="941" t="s">
        <v>115</v>
      </c>
      <c r="M59" s="900" t="s">
        <v>115</v>
      </c>
      <c r="N59" s="1388" t="s">
        <v>115</v>
      </c>
    </row>
    <row r="60" spans="1:14">
      <c r="A60" s="136" t="s">
        <v>187</v>
      </c>
      <c r="B60" s="486" t="s">
        <v>188</v>
      </c>
      <c r="C60" s="1384" t="s">
        <v>115</v>
      </c>
      <c r="D60" s="900" t="s">
        <v>115</v>
      </c>
      <c r="E60" s="1388" t="s">
        <v>115</v>
      </c>
      <c r="F60" s="1384" t="s">
        <v>115</v>
      </c>
      <c r="G60" s="900" t="s">
        <v>115</v>
      </c>
      <c r="H60" s="1388" t="s">
        <v>115</v>
      </c>
      <c r="I60" s="1384" t="s">
        <v>115</v>
      </c>
      <c r="J60" s="900" t="s">
        <v>115</v>
      </c>
      <c r="K60" s="1388" t="s">
        <v>115</v>
      </c>
      <c r="L60" s="941" t="s">
        <v>115</v>
      </c>
      <c r="M60" s="900" t="s">
        <v>115</v>
      </c>
      <c r="N60" s="1388" t="s">
        <v>115</v>
      </c>
    </row>
    <row r="61" spans="1:14">
      <c r="A61" s="136" t="s">
        <v>189</v>
      </c>
      <c r="B61" s="486" t="s">
        <v>190</v>
      </c>
      <c r="C61" s="1384" t="s">
        <v>115</v>
      </c>
      <c r="D61" s="900" t="s">
        <v>115</v>
      </c>
      <c r="E61" s="1388" t="s">
        <v>115</v>
      </c>
      <c r="F61" s="1385">
        <v>1.8</v>
      </c>
      <c r="G61" s="900" t="s">
        <v>115</v>
      </c>
      <c r="H61" s="1388" t="s">
        <v>115</v>
      </c>
      <c r="I61" s="1384" t="s">
        <v>115</v>
      </c>
      <c r="J61" s="900" t="s">
        <v>115</v>
      </c>
      <c r="K61" s="1388" t="s">
        <v>115</v>
      </c>
      <c r="L61" s="1387">
        <v>1.8</v>
      </c>
      <c r="M61" s="900" t="s">
        <v>115</v>
      </c>
      <c r="N61" s="1388" t="s">
        <v>115</v>
      </c>
    </row>
    <row r="62" spans="1:14">
      <c r="A62" s="136" t="s">
        <v>191</v>
      </c>
      <c r="B62" s="486" t="s">
        <v>192</v>
      </c>
      <c r="C62" s="1384" t="s">
        <v>115</v>
      </c>
      <c r="D62" s="900" t="s">
        <v>115</v>
      </c>
      <c r="E62" s="1388" t="s">
        <v>115</v>
      </c>
      <c r="F62" s="1385">
        <v>1.2999999999999999E-5</v>
      </c>
      <c r="G62" s="900" t="s">
        <v>115</v>
      </c>
      <c r="H62" s="1388" t="s">
        <v>115</v>
      </c>
      <c r="I62" s="1384" t="s">
        <v>115</v>
      </c>
      <c r="J62" s="900" t="s">
        <v>115</v>
      </c>
      <c r="K62" s="1388" t="s">
        <v>115</v>
      </c>
      <c r="L62" s="1387">
        <v>9.8999999999999994E-5</v>
      </c>
      <c r="M62" s="900" t="s">
        <v>115</v>
      </c>
      <c r="N62" s="1388" t="s">
        <v>115</v>
      </c>
    </row>
    <row r="63" spans="1:14">
      <c r="A63" s="136" t="s">
        <v>193</v>
      </c>
      <c r="B63" s="486" t="s">
        <v>194</v>
      </c>
      <c r="C63" s="1385">
        <v>0.19</v>
      </c>
      <c r="D63" s="900" t="s">
        <v>115</v>
      </c>
      <c r="E63" s="1388" t="s">
        <v>115</v>
      </c>
      <c r="F63" s="1385">
        <v>2.3E-2</v>
      </c>
      <c r="G63" s="900" t="s">
        <v>115</v>
      </c>
      <c r="H63" s="1388" t="s">
        <v>115</v>
      </c>
      <c r="I63" s="1385">
        <v>0.38</v>
      </c>
      <c r="J63" s="900" t="s">
        <v>115</v>
      </c>
      <c r="K63" s="1388" t="s">
        <v>115</v>
      </c>
      <c r="L63" s="1387">
        <v>1.2</v>
      </c>
      <c r="M63" s="900" t="s">
        <v>115</v>
      </c>
      <c r="N63" s="1388" t="s">
        <v>115</v>
      </c>
    </row>
    <row r="64" spans="1:14">
      <c r="A64" s="136" t="s">
        <v>195</v>
      </c>
      <c r="B64" s="486" t="s">
        <v>196</v>
      </c>
      <c r="C64" s="1385">
        <v>2.4E-2</v>
      </c>
      <c r="D64" s="900" t="s">
        <v>115</v>
      </c>
      <c r="E64" s="1388" t="s">
        <v>115</v>
      </c>
      <c r="F64" s="1385">
        <v>1.1000000000000001E-3</v>
      </c>
      <c r="G64" s="900" t="s">
        <v>115</v>
      </c>
      <c r="H64" s="1388" t="s">
        <v>115</v>
      </c>
      <c r="I64" s="1385">
        <v>4.8000000000000001E-2</v>
      </c>
      <c r="J64" s="900" t="s">
        <v>115</v>
      </c>
      <c r="K64" s="1388" t="s">
        <v>115</v>
      </c>
      <c r="L64" s="1387">
        <v>1.1000000000000001E-3</v>
      </c>
      <c r="M64" s="900" t="s">
        <v>115</v>
      </c>
      <c r="N64" s="1388" t="s">
        <v>115</v>
      </c>
    </row>
    <row r="65" spans="1:14">
      <c r="A65" s="136" t="s">
        <v>197</v>
      </c>
      <c r="B65" s="486" t="s">
        <v>198</v>
      </c>
      <c r="C65" s="1385">
        <v>120</v>
      </c>
      <c r="D65" s="900" t="s">
        <v>115</v>
      </c>
      <c r="E65" s="1388" t="s">
        <v>115</v>
      </c>
      <c r="F65" s="1385">
        <v>90</v>
      </c>
      <c r="G65" s="900" t="s">
        <v>115</v>
      </c>
      <c r="H65" s="1388" t="s">
        <v>115</v>
      </c>
      <c r="I65" s="1385">
        <v>430</v>
      </c>
      <c r="J65" s="900" t="s">
        <v>115</v>
      </c>
      <c r="K65" s="1388" t="s">
        <v>115</v>
      </c>
      <c r="L65" s="1387">
        <v>38000</v>
      </c>
      <c r="M65" s="900" t="s">
        <v>115</v>
      </c>
      <c r="N65" s="1388" t="s">
        <v>115</v>
      </c>
    </row>
    <row r="66" spans="1:14">
      <c r="A66" s="136" t="s">
        <v>199</v>
      </c>
      <c r="B66" s="486" t="s">
        <v>200</v>
      </c>
      <c r="C66" s="1385">
        <v>0.25</v>
      </c>
      <c r="D66" s="900" t="s">
        <v>115</v>
      </c>
      <c r="E66" s="1388" t="s">
        <v>115</v>
      </c>
      <c r="F66" s="1385">
        <v>3.9</v>
      </c>
      <c r="G66" s="900" t="s">
        <v>115</v>
      </c>
      <c r="H66" s="1388" t="s">
        <v>115</v>
      </c>
      <c r="I66" s="1385">
        <v>0.5</v>
      </c>
      <c r="J66" s="900" t="s">
        <v>115</v>
      </c>
      <c r="K66" s="1388" t="s">
        <v>115</v>
      </c>
      <c r="L66" s="1387">
        <v>1100</v>
      </c>
      <c r="M66" s="900" t="s">
        <v>115</v>
      </c>
      <c r="N66" s="1388" t="s">
        <v>115</v>
      </c>
    </row>
    <row r="67" spans="1:14">
      <c r="A67" s="136" t="s">
        <v>201</v>
      </c>
      <c r="B67" s="486" t="s">
        <v>202</v>
      </c>
      <c r="C67" s="1384" t="s">
        <v>115</v>
      </c>
      <c r="D67" s="900" t="s">
        <v>115</v>
      </c>
      <c r="E67" s="1388" t="s">
        <v>115</v>
      </c>
      <c r="F67" s="1384" t="s">
        <v>115</v>
      </c>
      <c r="G67" s="900" t="s">
        <v>115</v>
      </c>
      <c r="H67" s="1388" t="s">
        <v>115</v>
      </c>
      <c r="I67" s="1384" t="s">
        <v>115</v>
      </c>
      <c r="J67" s="900" t="s">
        <v>115</v>
      </c>
      <c r="K67" s="1388" t="s">
        <v>115</v>
      </c>
      <c r="L67" s="941" t="s">
        <v>115</v>
      </c>
      <c r="M67" s="900" t="s">
        <v>115</v>
      </c>
      <c r="N67" s="1388" t="s">
        <v>115</v>
      </c>
    </row>
    <row r="68" spans="1:14">
      <c r="A68" s="136" t="s">
        <v>203</v>
      </c>
      <c r="B68" s="486" t="s">
        <v>204</v>
      </c>
      <c r="C68" s="1385">
        <v>130</v>
      </c>
      <c r="D68" s="900" t="s">
        <v>115</v>
      </c>
      <c r="E68" s="1388" t="s">
        <v>115</v>
      </c>
      <c r="F68" s="1384" t="s">
        <v>115</v>
      </c>
      <c r="G68" s="900" t="s">
        <v>115</v>
      </c>
      <c r="H68" s="1388" t="s">
        <v>115</v>
      </c>
      <c r="I68" s="1385">
        <v>250</v>
      </c>
      <c r="J68" s="900" t="s">
        <v>115</v>
      </c>
      <c r="K68" s="1388" t="s">
        <v>115</v>
      </c>
      <c r="L68" s="941" t="s">
        <v>115</v>
      </c>
      <c r="M68" s="900" t="s">
        <v>115</v>
      </c>
      <c r="N68" s="1388" t="s">
        <v>115</v>
      </c>
    </row>
    <row r="69" spans="1:14">
      <c r="A69" s="136" t="s">
        <v>205</v>
      </c>
      <c r="B69" s="486" t="s">
        <v>206</v>
      </c>
      <c r="C69" s="1384" t="s">
        <v>115</v>
      </c>
      <c r="D69" s="900" t="s">
        <v>115</v>
      </c>
      <c r="E69" s="1388" t="s">
        <v>115</v>
      </c>
      <c r="F69" s="1384" t="s">
        <v>115</v>
      </c>
      <c r="G69" s="900" t="s">
        <v>115</v>
      </c>
      <c r="H69" s="1388" t="s">
        <v>115</v>
      </c>
      <c r="I69" s="1384" t="s">
        <v>115</v>
      </c>
      <c r="J69" s="900" t="s">
        <v>115</v>
      </c>
      <c r="K69" s="1388" t="s">
        <v>115</v>
      </c>
      <c r="L69" s="941" t="s">
        <v>115</v>
      </c>
      <c r="M69" s="900" t="s">
        <v>115</v>
      </c>
      <c r="N69" s="1388" t="s">
        <v>115</v>
      </c>
    </row>
    <row r="70" spans="1:14">
      <c r="A70" s="306" t="s">
        <v>1123</v>
      </c>
      <c r="B70" s="486" t="s">
        <v>208</v>
      </c>
      <c r="C70" s="1385">
        <v>7.4</v>
      </c>
      <c r="D70" s="900" t="s">
        <v>115</v>
      </c>
      <c r="E70" s="1388" t="s">
        <v>115</v>
      </c>
      <c r="F70" s="1384" t="s">
        <v>115</v>
      </c>
      <c r="G70" s="900" t="s">
        <v>115</v>
      </c>
      <c r="H70" s="1388" t="s">
        <v>115</v>
      </c>
      <c r="I70" s="1385">
        <v>15</v>
      </c>
      <c r="J70" s="900" t="s">
        <v>115</v>
      </c>
      <c r="K70" s="1388" t="s">
        <v>115</v>
      </c>
      <c r="L70" s="941" t="s">
        <v>115</v>
      </c>
      <c r="M70" s="900" t="s">
        <v>115</v>
      </c>
      <c r="N70" s="1388" t="s">
        <v>115</v>
      </c>
    </row>
    <row r="71" spans="1:14">
      <c r="A71" s="136" t="s">
        <v>209</v>
      </c>
      <c r="B71" s="486" t="s">
        <v>210</v>
      </c>
      <c r="C71" s="1384" t="s">
        <v>115</v>
      </c>
      <c r="D71" s="900" t="s">
        <v>115</v>
      </c>
      <c r="E71" s="1388" t="s">
        <v>115</v>
      </c>
      <c r="F71" s="1384" t="s">
        <v>115</v>
      </c>
      <c r="G71" s="900" t="s">
        <v>115</v>
      </c>
      <c r="H71" s="1388" t="s">
        <v>115</v>
      </c>
      <c r="I71" s="1384" t="s">
        <v>115</v>
      </c>
      <c r="J71" s="900" t="s">
        <v>115</v>
      </c>
      <c r="K71" s="1388" t="s">
        <v>115</v>
      </c>
      <c r="L71" s="941" t="s">
        <v>115</v>
      </c>
      <c r="M71" s="900" t="s">
        <v>115</v>
      </c>
      <c r="N71" s="1388" t="s">
        <v>115</v>
      </c>
    </row>
    <row r="72" spans="1:14">
      <c r="A72" s="136" t="s">
        <v>211</v>
      </c>
      <c r="B72" s="486" t="s">
        <v>212</v>
      </c>
      <c r="C72" s="1385">
        <v>310</v>
      </c>
      <c r="D72" s="900" t="s">
        <v>115</v>
      </c>
      <c r="E72" s="1388" t="s">
        <v>115</v>
      </c>
      <c r="F72" s="1385">
        <v>32</v>
      </c>
      <c r="G72" s="900" t="s">
        <v>115</v>
      </c>
      <c r="H72" s="1388" t="s">
        <v>115</v>
      </c>
      <c r="I72" s="1385">
        <v>1400</v>
      </c>
      <c r="J72" s="900" t="s">
        <v>115</v>
      </c>
      <c r="K72" s="1388" t="s">
        <v>115</v>
      </c>
      <c r="L72" s="1387">
        <v>32</v>
      </c>
      <c r="M72" s="900" t="s">
        <v>115</v>
      </c>
      <c r="N72" s="1388" t="s">
        <v>115</v>
      </c>
    </row>
    <row r="73" spans="1:14">
      <c r="A73" s="136" t="s">
        <v>213</v>
      </c>
      <c r="B73" s="486" t="s">
        <v>214</v>
      </c>
      <c r="C73" s="1385">
        <v>15</v>
      </c>
      <c r="D73" s="900" t="s">
        <v>115</v>
      </c>
      <c r="E73" s="1388" t="s">
        <v>115</v>
      </c>
      <c r="F73" s="1385">
        <v>20</v>
      </c>
      <c r="G73" s="900" t="s">
        <v>115</v>
      </c>
      <c r="H73" s="1388" t="s">
        <v>115</v>
      </c>
      <c r="I73" s="1385">
        <v>63</v>
      </c>
      <c r="J73" s="900" t="s">
        <v>115</v>
      </c>
      <c r="K73" s="1388" t="s">
        <v>115</v>
      </c>
      <c r="L73" s="1387">
        <v>20</v>
      </c>
      <c r="M73" s="900" t="s">
        <v>115</v>
      </c>
      <c r="N73" s="1388" t="s">
        <v>115</v>
      </c>
    </row>
    <row r="74" spans="1:14">
      <c r="A74" s="136" t="s">
        <v>215</v>
      </c>
      <c r="B74" s="486" t="s">
        <v>216</v>
      </c>
      <c r="C74" s="1384" t="s">
        <v>115</v>
      </c>
      <c r="D74" s="900" t="s">
        <v>115</v>
      </c>
      <c r="E74" s="1388" t="s">
        <v>115</v>
      </c>
      <c r="F74" s="1385">
        <v>0.13</v>
      </c>
      <c r="G74" s="900" t="s">
        <v>115</v>
      </c>
      <c r="H74" s="1388" t="s">
        <v>115</v>
      </c>
      <c r="I74" s="1384" t="s">
        <v>115</v>
      </c>
      <c r="J74" s="900" t="s">
        <v>115</v>
      </c>
      <c r="K74" s="1388" t="s">
        <v>115</v>
      </c>
      <c r="L74" s="1387">
        <v>4100</v>
      </c>
      <c r="M74" s="900" t="s">
        <v>115</v>
      </c>
      <c r="N74" s="1388" t="s">
        <v>115</v>
      </c>
    </row>
    <row r="75" spans="1:14">
      <c r="A75" s="136" t="s">
        <v>217</v>
      </c>
      <c r="B75" s="486" t="s">
        <v>218</v>
      </c>
      <c r="C75" s="1385">
        <v>0.98</v>
      </c>
      <c r="D75" s="900" t="s">
        <v>115</v>
      </c>
      <c r="E75" s="1388" t="s">
        <v>115</v>
      </c>
      <c r="F75" s="1385">
        <v>350</v>
      </c>
      <c r="G75" s="900" t="s">
        <v>115</v>
      </c>
      <c r="H75" s="1388" t="s">
        <v>115</v>
      </c>
      <c r="I75" s="1385">
        <v>2</v>
      </c>
      <c r="J75" s="900" t="s">
        <v>115</v>
      </c>
      <c r="K75" s="1388" t="s">
        <v>115</v>
      </c>
      <c r="L75" s="1387">
        <v>400</v>
      </c>
      <c r="M75" s="900" t="s">
        <v>115</v>
      </c>
      <c r="N75" s="1388" t="s">
        <v>115</v>
      </c>
    </row>
    <row r="76" spans="1:14">
      <c r="A76" s="136" t="s">
        <v>219</v>
      </c>
      <c r="B76" s="486" t="s">
        <v>220</v>
      </c>
      <c r="C76" s="1384">
        <v>44</v>
      </c>
      <c r="D76" s="900" t="s">
        <v>115</v>
      </c>
      <c r="E76" s="1388" t="s">
        <v>115</v>
      </c>
      <c r="F76" s="1384">
        <v>9900</v>
      </c>
      <c r="G76" s="900" t="s">
        <v>115</v>
      </c>
      <c r="H76" s="1388" t="s">
        <v>115</v>
      </c>
      <c r="I76" s="1385">
        <v>88</v>
      </c>
      <c r="J76" s="900" t="s">
        <v>115</v>
      </c>
      <c r="K76" s="1388" t="s">
        <v>115</v>
      </c>
      <c r="L76" s="1387">
        <v>9900</v>
      </c>
      <c r="M76" s="900" t="s">
        <v>115</v>
      </c>
      <c r="N76" s="1388" t="s">
        <v>115</v>
      </c>
    </row>
    <row r="77" spans="1:14">
      <c r="A77" s="136" t="s">
        <v>221</v>
      </c>
      <c r="B77" s="486" t="s">
        <v>222</v>
      </c>
      <c r="C77" s="1384" t="s">
        <v>115</v>
      </c>
      <c r="D77" s="900" t="s">
        <v>115</v>
      </c>
      <c r="E77" s="1388" t="s">
        <v>115</v>
      </c>
      <c r="F77" s="1384" t="s">
        <v>115</v>
      </c>
      <c r="G77" s="900" t="s">
        <v>115</v>
      </c>
      <c r="H77" s="1388" t="s">
        <v>115</v>
      </c>
      <c r="I77" s="1384" t="s">
        <v>115</v>
      </c>
      <c r="J77" s="900" t="s">
        <v>115</v>
      </c>
      <c r="K77" s="1388" t="s">
        <v>115</v>
      </c>
      <c r="L77" s="941" t="s">
        <v>115</v>
      </c>
      <c r="M77" s="900" t="s">
        <v>115</v>
      </c>
      <c r="N77" s="1388" t="s">
        <v>115</v>
      </c>
    </row>
    <row r="78" spans="1:14">
      <c r="A78" s="136" t="s">
        <v>223</v>
      </c>
      <c r="B78" s="486" t="s">
        <v>224</v>
      </c>
      <c r="C78" s="1385">
        <v>0.8</v>
      </c>
      <c r="D78" s="900" t="s">
        <v>115</v>
      </c>
      <c r="E78" s="1388" t="s">
        <v>115</v>
      </c>
      <c r="F78" s="1385">
        <v>3.4000000000000002E-2</v>
      </c>
      <c r="G78" s="900" t="s">
        <v>115</v>
      </c>
      <c r="H78" s="1388" t="s">
        <v>115</v>
      </c>
      <c r="I78" s="1385">
        <v>2</v>
      </c>
      <c r="J78" s="900" t="s">
        <v>115</v>
      </c>
      <c r="K78" s="1388" t="s">
        <v>115</v>
      </c>
      <c r="L78" s="1387">
        <v>3.4000000000000002E-2</v>
      </c>
      <c r="M78" s="900" t="s">
        <v>115</v>
      </c>
      <c r="N78" s="1388" t="s">
        <v>115</v>
      </c>
    </row>
    <row r="79" spans="1:14">
      <c r="A79" s="136" t="s">
        <v>225</v>
      </c>
      <c r="B79" s="486" t="s">
        <v>226</v>
      </c>
      <c r="C79" s="1384" t="s">
        <v>115</v>
      </c>
      <c r="D79" s="900" t="s">
        <v>115</v>
      </c>
      <c r="E79" s="1388" t="s">
        <v>115</v>
      </c>
      <c r="F79" s="1384" t="s">
        <v>115</v>
      </c>
      <c r="G79" s="900" t="s">
        <v>115</v>
      </c>
      <c r="H79" s="1388" t="s">
        <v>115</v>
      </c>
      <c r="I79" s="1384" t="s">
        <v>115</v>
      </c>
      <c r="J79" s="900" t="s">
        <v>115</v>
      </c>
      <c r="K79" s="1388" t="s">
        <v>115</v>
      </c>
      <c r="L79" s="941" t="s">
        <v>115</v>
      </c>
      <c r="M79" s="900" t="s">
        <v>115</v>
      </c>
      <c r="N79" s="1388" t="s">
        <v>115</v>
      </c>
    </row>
    <row r="80" spans="1:14">
      <c r="A80" s="136" t="s">
        <v>227</v>
      </c>
      <c r="B80" s="486" t="s">
        <v>228</v>
      </c>
      <c r="C80" s="1385">
        <v>31</v>
      </c>
      <c r="D80" s="900" t="s">
        <v>115</v>
      </c>
      <c r="E80" s="1388" t="s">
        <v>115</v>
      </c>
      <c r="F80" s="1384" t="s">
        <v>115</v>
      </c>
      <c r="G80" s="900" t="s">
        <v>115</v>
      </c>
      <c r="H80" s="1388" t="s">
        <v>115</v>
      </c>
      <c r="I80" s="1385">
        <v>63</v>
      </c>
      <c r="J80" s="900" t="s">
        <v>115</v>
      </c>
      <c r="K80" s="1388" t="s">
        <v>115</v>
      </c>
      <c r="L80" s="941" t="s">
        <v>115</v>
      </c>
      <c r="M80" s="900" t="s">
        <v>115</v>
      </c>
      <c r="N80" s="1388" t="s">
        <v>115</v>
      </c>
    </row>
    <row r="81" spans="1:14">
      <c r="A81" s="136" t="s">
        <v>229</v>
      </c>
      <c r="B81" s="486" t="s">
        <v>230</v>
      </c>
      <c r="C81" s="1385">
        <v>40</v>
      </c>
      <c r="D81" s="900" t="s">
        <v>115</v>
      </c>
      <c r="E81" s="1388" t="s">
        <v>115</v>
      </c>
      <c r="F81" s="1385">
        <v>6.9</v>
      </c>
      <c r="G81" s="900" t="s">
        <v>115</v>
      </c>
      <c r="H81" s="1388" t="s">
        <v>115</v>
      </c>
      <c r="I81" s="1385">
        <v>40</v>
      </c>
      <c r="J81" s="900" t="s">
        <v>115</v>
      </c>
      <c r="K81" s="1388" t="s">
        <v>115</v>
      </c>
      <c r="L81" s="1387">
        <v>74</v>
      </c>
      <c r="M81" s="900" t="s">
        <v>115</v>
      </c>
      <c r="N81" s="1388" t="s">
        <v>115</v>
      </c>
    </row>
    <row r="82" spans="1:14">
      <c r="A82" s="136" t="s">
        <v>231</v>
      </c>
      <c r="B82" s="486" t="s">
        <v>232</v>
      </c>
      <c r="C82" s="1385">
        <v>130</v>
      </c>
      <c r="D82" s="900" t="s">
        <v>115</v>
      </c>
      <c r="E82" s="1388" t="s">
        <v>115</v>
      </c>
      <c r="F82" s="1385">
        <v>5000</v>
      </c>
      <c r="G82" s="900" t="s">
        <v>115</v>
      </c>
      <c r="H82" s="1388" t="s">
        <v>115</v>
      </c>
      <c r="I82" s="1385">
        <v>340</v>
      </c>
      <c r="J82" s="900" t="s">
        <v>115</v>
      </c>
      <c r="K82" s="1388" t="s">
        <v>115</v>
      </c>
      <c r="L82" s="1387">
        <v>5400</v>
      </c>
      <c r="M82" s="900" t="s">
        <v>115</v>
      </c>
      <c r="N82" s="1388" t="s">
        <v>115</v>
      </c>
    </row>
    <row r="83" spans="1:14">
      <c r="A83" s="2" t="s">
        <v>233</v>
      </c>
      <c r="B83" s="486" t="s">
        <v>234</v>
      </c>
      <c r="C83" s="1383" t="s">
        <v>115</v>
      </c>
      <c r="D83" s="900" t="s">
        <v>115</v>
      </c>
      <c r="E83" s="1388" t="s">
        <v>115</v>
      </c>
      <c r="F83" s="1383">
        <v>6600</v>
      </c>
      <c r="G83" s="900" t="s">
        <v>115</v>
      </c>
      <c r="H83" s="1388" t="s">
        <v>115</v>
      </c>
      <c r="I83" s="1383" t="s">
        <v>115</v>
      </c>
      <c r="J83" s="900" t="s">
        <v>115</v>
      </c>
      <c r="K83" s="1388" t="s">
        <v>115</v>
      </c>
      <c r="L83" s="1390">
        <v>46000</v>
      </c>
      <c r="M83" s="900" t="s">
        <v>115</v>
      </c>
      <c r="N83" s="1388" t="s">
        <v>115</v>
      </c>
    </row>
    <row r="84" spans="1:14">
      <c r="A84" s="136" t="s">
        <v>235</v>
      </c>
      <c r="B84" s="486" t="s">
        <v>236</v>
      </c>
      <c r="C84" s="1385">
        <v>3.1</v>
      </c>
      <c r="D84" s="900" t="s">
        <v>115</v>
      </c>
      <c r="E84" s="1388" t="s">
        <v>115</v>
      </c>
      <c r="F84" s="1385">
        <v>38000</v>
      </c>
      <c r="G84" s="900" t="s">
        <v>115</v>
      </c>
      <c r="H84" s="1388" t="s">
        <v>115</v>
      </c>
      <c r="I84" s="1385">
        <v>40</v>
      </c>
      <c r="J84" s="900" t="s">
        <v>115</v>
      </c>
      <c r="K84" s="1388" t="s">
        <v>115</v>
      </c>
      <c r="L84" s="1387">
        <v>470000</v>
      </c>
      <c r="M84" s="900" t="s">
        <v>115</v>
      </c>
      <c r="N84" s="1388" t="s">
        <v>115</v>
      </c>
    </row>
    <row r="85" spans="1:14">
      <c r="A85" s="136" t="s">
        <v>237</v>
      </c>
      <c r="B85" s="486" t="s">
        <v>238</v>
      </c>
      <c r="C85" s="1385">
        <v>0.63</v>
      </c>
      <c r="D85" s="900" t="s">
        <v>115</v>
      </c>
      <c r="E85" s="1388" t="s">
        <v>115</v>
      </c>
      <c r="F85" s="1384" t="s">
        <v>115</v>
      </c>
      <c r="G85" s="900" t="s">
        <v>115</v>
      </c>
      <c r="H85" s="1388" t="s">
        <v>115</v>
      </c>
      <c r="I85" s="1385">
        <v>1.3</v>
      </c>
      <c r="J85" s="900" t="s">
        <v>115</v>
      </c>
      <c r="K85" s="1388" t="s">
        <v>115</v>
      </c>
      <c r="L85" s="941" t="s">
        <v>115</v>
      </c>
      <c r="M85" s="900" t="s">
        <v>115</v>
      </c>
      <c r="N85" s="1388" t="s">
        <v>115</v>
      </c>
    </row>
    <row r="86" spans="1:14">
      <c r="A86" s="136" t="s">
        <v>239</v>
      </c>
      <c r="B86" s="486" t="s">
        <v>240</v>
      </c>
      <c r="C86" s="1385">
        <v>25</v>
      </c>
      <c r="D86" s="900" t="s">
        <v>115</v>
      </c>
      <c r="E86" s="1388" t="s">
        <v>115</v>
      </c>
      <c r="F86" s="1385">
        <v>1600</v>
      </c>
      <c r="G86" s="900" t="s">
        <v>115</v>
      </c>
      <c r="H86" s="1388" t="s">
        <v>115</v>
      </c>
      <c r="I86" s="1385">
        <v>90</v>
      </c>
      <c r="J86" s="900" t="s">
        <v>115</v>
      </c>
      <c r="K86" s="1388" t="s">
        <v>115</v>
      </c>
      <c r="L86" s="1387">
        <v>46000</v>
      </c>
      <c r="M86" s="900" t="s">
        <v>115</v>
      </c>
      <c r="N86" s="1388" t="s">
        <v>115</v>
      </c>
    </row>
    <row r="87" spans="1:14">
      <c r="A87" s="136" t="s">
        <v>241</v>
      </c>
      <c r="B87" s="486" t="s">
        <v>242</v>
      </c>
      <c r="C87" s="1384" t="s">
        <v>115</v>
      </c>
      <c r="D87" s="900" t="s">
        <v>115</v>
      </c>
      <c r="E87" s="1388" t="s">
        <v>115</v>
      </c>
      <c r="F87" s="1384" t="s">
        <v>115</v>
      </c>
      <c r="G87" s="900" t="s">
        <v>115</v>
      </c>
      <c r="H87" s="1388" t="s">
        <v>115</v>
      </c>
      <c r="I87" s="1384" t="s">
        <v>115</v>
      </c>
      <c r="J87" s="900" t="s">
        <v>115</v>
      </c>
      <c r="K87" s="1388" t="s">
        <v>115</v>
      </c>
      <c r="L87" s="941" t="s">
        <v>115</v>
      </c>
      <c r="M87" s="900" t="s">
        <v>115</v>
      </c>
      <c r="N87" s="1388" t="s">
        <v>115</v>
      </c>
    </row>
    <row r="88" spans="1:14">
      <c r="A88" s="136" t="s">
        <v>243</v>
      </c>
      <c r="B88" s="486" t="s">
        <v>244</v>
      </c>
      <c r="C88" s="1385">
        <v>9.5</v>
      </c>
      <c r="D88" s="900" t="s">
        <v>115</v>
      </c>
      <c r="E88" s="1388" t="s">
        <v>115</v>
      </c>
      <c r="F88" s="1384" t="s">
        <v>115</v>
      </c>
      <c r="G88" s="900" t="s">
        <v>115</v>
      </c>
      <c r="H88" s="1388" t="s">
        <v>115</v>
      </c>
      <c r="I88" s="1385">
        <v>19</v>
      </c>
      <c r="J88" s="900" t="s">
        <v>115</v>
      </c>
      <c r="K88" s="1388" t="s">
        <v>115</v>
      </c>
      <c r="L88" s="941" t="s">
        <v>115</v>
      </c>
      <c r="M88" s="900" t="s">
        <v>115</v>
      </c>
      <c r="N88" s="1388" t="s">
        <v>115</v>
      </c>
    </row>
    <row r="89" spans="1:14">
      <c r="A89" s="136" t="s">
        <v>245</v>
      </c>
      <c r="B89" s="486" t="s">
        <v>246</v>
      </c>
      <c r="C89" s="1385">
        <v>8.8000000000000007</v>
      </c>
      <c r="D89" s="900" t="s">
        <v>115</v>
      </c>
      <c r="E89" s="1388" t="s">
        <v>115</v>
      </c>
      <c r="F89" s="1384" t="s">
        <v>115</v>
      </c>
      <c r="G89" s="900" t="s">
        <v>115</v>
      </c>
      <c r="H89" s="1388" t="s">
        <v>115</v>
      </c>
      <c r="I89" s="1385">
        <v>18</v>
      </c>
      <c r="J89" s="900" t="s">
        <v>115</v>
      </c>
      <c r="K89" s="1388" t="s">
        <v>115</v>
      </c>
      <c r="L89" s="941" t="s">
        <v>115</v>
      </c>
      <c r="M89" s="900" t="s">
        <v>115</v>
      </c>
      <c r="N89" s="1388" t="s">
        <v>115</v>
      </c>
    </row>
    <row r="90" spans="1:14">
      <c r="A90" s="136" t="s">
        <v>247</v>
      </c>
      <c r="B90" s="486" t="s">
        <v>248</v>
      </c>
      <c r="C90" s="1384" t="s">
        <v>115</v>
      </c>
      <c r="D90" s="900" t="s">
        <v>115</v>
      </c>
      <c r="E90" s="1388" t="s">
        <v>115</v>
      </c>
      <c r="F90" s="1384" t="s">
        <v>115</v>
      </c>
      <c r="G90" s="900" t="s">
        <v>115</v>
      </c>
      <c r="H90" s="1388" t="s">
        <v>115</v>
      </c>
      <c r="I90" s="1384" t="s">
        <v>115</v>
      </c>
      <c r="J90" s="900" t="s">
        <v>115</v>
      </c>
      <c r="K90" s="1388" t="s">
        <v>115</v>
      </c>
      <c r="L90" s="941" t="s">
        <v>115</v>
      </c>
      <c r="M90" s="900" t="s">
        <v>115</v>
      </c>
      <c r="N90" s="1388" t="s">
        <v>115</v>
      </c>
    </row>
    <row r="91" spans="1:14">
      <c r="A91" s="136" t="s">
        <v>249</v>
      </c>
      <c r="B91" s="486" t="s">
        <v>250</v>
      </c>
      <c r="C91" s="1384">
        <v>63</v>
      </c>
      <c r="D91" s="900" t="s">
        <v>115</v>
      </c>
      <c r="E91" s="1388" t="s">
        <v>115</v>
      </c>
      <c r="F91" s="1384">
        <v>0.69</v>
      </c>
      <c r="G91" s="900" t="s">
        <v>115</v>
      </c>
      <c r="H91" s="1388" t="s">
        <v>115</v>
      </c>
      <c r="I91" s="1384" t="s">
        <v>115</v>
      </c>
      <c r="J91" s="900" t="s">
        <v>115</v>
      </c>
      <c r="K91" s="1388" t="s">
        <v>115</v>
      </c>
      <c r="L91" s="1387">
        <v>120000</v>
      </c>
      <c r="M91" s="900" t="s">
        <v>115</v>
      </c>
      <c r="N91" s="1388" t="s">
        <v>115</v>
      </c>
    </row>
    <row r="92" spans="1:14">
      <c r="A92" s="136" t="s">
        <v>251</v>
      </c>
      <c r="B92" s="486" t="s">
        <v>252</v>
      </c>
      <c r="C92" s="1384" t="s">
        <v>115</v>
      </c>
      <c r="D92" s="900" t="s">
        <v>115</v>
      </c>
      <c r="E92" s="1388" t="s">
        <v>115</v>
      </c>
      <c r="F92" s="1384" t="s">
        <v>115</v>
      </c>
      <c r="G92" s="900" t="s">
        <v>115</v>
      </c>
      <c r="H92" s="1388" t="s">
        <v>115</v>
      </c>
      <c r="I92" s="1384" t="s">
        <v>115</v>
      </c>
      <c r="J92" s="900" t="s">
        <v>115</v>
      </c>
      <c r="K92" s="1388" t="s">
        <v>115</v>
      </c>
      <c r="L92" s="941" t="s">
        <v>115</v>
      </c>
      <c r="M92" s="900" t="s">
        <v>115</v>
      </c>
      <c r="N92" s="1388" t="s">
        <v>115</v>
      </c>
    </row>
    <row r="93" spans="1:14">
      <c r="A93" s="136" t="s">
        <v>253</v>
      </c>
      <c r="B93" s="486" t="s">
        <v>254</v>
      </c>
      <c r="C93" s="1385">
        <v>0.48</v>
      </c>
      <c r="D93" s="900" t="s">
        <v>115</v>
      </c>
      <c r="E93" s="1388" t="s">
        <v>115</v>
      </c>
      <c r="F93" s="1384" t="s">
        <v>115</v>
      </c>
      <c r="G93" s="900" t="s">
        <v>115</v>
      </c>
      <c r="H93" s="1388" t="s">
        <v>115</v>
      </c>
      <c r="I93" s="1385">
        <v>0.95</v>
      </c>
      <c r="J93" s="900" t="s">
        <v>115</v>
      </c>
      <c r="K93" s="1388" t="s">
        <v>115</v>
      </c>
      <c r="L93" s="941" t="s">
        <v>115</v>
      </c>
      <c r="M93" s="900" t="s">
        <v>115</v>
      </c>
      <c r="N93" s="1388" t="s">
        <v>115</v>
      </c>
    </row>
    <row r="94" spans="1:14">
      <c r="A94" s="136" t="s">
        <v>255</v>
      </c>
      <c r="B94" s="486" t="s">
        <v>256</v>
      </c>
      <c r="C94" s="1385">
        <v>0.75</v>
      </c>
      <c r="D94" s="900" t="s">
        <v>115</v>
      </c>
      <c r="E94" s="1388" t="s">
        <v>115</v>
      </c>
      <c r="F94" s="1385">
        <v>380</v>
      </c>
      <c r="G94" s="900" t="s">
        <v>115</v>
      </c>
      <c r="H94" s="1388" t="s">
        <v>115</v>
      </c>
      <c r="I94" s="1385">
        <v>28</v>
      </c>
      <c r="J94" s="900" t="s">
        <v>115</v>
      </c>
      <c r="K94" s="1388" t="s">
        <v>115</v>
      </c>
      <c r="L94" s="1387">
        <v>1300</v>
      </c>
      <c r="M94" s="900" t="s">
        <v>115</v>
      </c>
      <c r="N94" s="1388" t="s">
        <v>115</v>
      </c>
    </row>
    <row r="95" spans="1:14">
      <c r="A95" s="136" t="s">
        <v>257</v>
      </c>
      <c r="B95" s="486" t="s">
        <v>258</v>
      </c>
      <c r="C95" s="1384" t="s">
        <v>115</v>
      </c>
      <c r="D95" s="900" t="s">
        <v>115</v>
      </c>
      <c r="E95" s="1388" t="s">
        <v>115</v>
      </c>
      <c r="F95" s="1385">
        <v>4700</v>
      </c>
      <c r="G95" s="900" t="s">
        <v>115</v>
      </c>
      <c r="H95" s="1388" t="s">
        <v>115</v>
      </c>
      <c r="I95" s="1384" t="s">
        <v>115</v>
      </c>
      <c r="J95" s="900" t="s">
        <v>115</v>
      </c>
      <c r="K95" s="1388" t="s">
        <v>115</v>
      </c>
      <c r="L95" s="1387">
        <v>99000</v>
      </c>
      <c r="M95" s="900" t="s">
        <v>115</v>
      </c>
      <c r="N95" s="1388" t="s">
        <v>115</v>
      </c>
    </row>
    <row r="96" spans="1:14">
      <c r="A96" s="136" t="s">
        <v>259</v>
      </c>
      <c r="B96" s="486" t="s">
        <v>260</v>
      </c>
      <c r="C96" s="1385">
        <v>21</v>
      </c>
      <c r="D96" s="900" t="s">
        <v>115</v>
      </c>
      <c r="E96" s="1388" t="s">
        <v>115</v>
      </c>
      <c r="F96" s="1385">
        <v>1.2999999999999999E-2</v>
      </c>
      <c r="G96" s="900" t="s">
        <v>115</v>
      </c>
      <c r="H96" s="1388" t="s">
        <v>115</v>
      </c>
      <c r="I96" s="1385">
        <v>39</v>
      </c>
      <c r="J96" s="900" t="s">
        <v>115</v>
      </c>
      <c r="K96" s="1388" t="s">
        <v>115</v>
      </c>
      <c r="L96" s="1387">
        <v>2000</v>
      </c>
      <c r="M96" s="900" t="s">
        <v>115</v>
      </c>
      <c r="N96" s="1388" t="s">
        <v>115</v>
      </c>
    </row>
    <row r="97" spans="1:14">
      <c r="A97" s="1400" t="s">
        <v>261</v>
      </c>
      <c r="B97" s="486" t="s">
        <v>1261</v>
      </c>
      <c r="C97" s="1384" t="s">
        <v>115</v>
      </c>
      <c r="D97" s="900" t="s">
        <v>115</v>
      </c>
      <c r="E97" s="1388" t="s">
        <v>115</v>
      </c>
      <c r="F97" s="1384" t="s">
        <v>115</v>
      </c>
      <c r="G97" s="900" t="s">
        <v>115</v>
      </c>
      <c r="H97" s="1388" t="s">
        <v>115</v>
      </c>
      <c r="I97" s="1384" t="s">
        <v>115</v>
      </c>
      <c r="J97" s="900" t="s">
        <v>115</v>
      </c>
      <c r="K97" s="1388" t="s">
        <v>115</v>
      </c>
      <c r="L97" s="941" t="s">
        <v>115</v>
      </c>
      <c r="M97" s="900" t="s">
        <v>115</v>
      </c>
      <c r="N97" s="1388" t="s">
        <v>115</v>
      </c>
    </row>
    <row r="98" spans="1:14">
      <c r="A98" s="919" t="s">
        <v>263</v>
      </c>
      <c r="B98" s="487" t="s">
        <v>115</v>
      </c>
      <c r="C98" s="1384" t="s">
        <v>115</v>
      </c>
      <c r="D98" s="903">
        <v>120</v>
      </c>
      <c r="E98" s="1389" t="s">
        <v>1657</v>
      </c>
      <c r="F98" s="1384" t="s">
        <v>115</v>
      </c>
      <c r="G98" s="900" t="s">
        <v>115</v>
      </c>
      <c r="H98" s="1388" t="s">
        <v>115</v>
      </c>
      <c r="I98" s="1384" t="s">
        <v>115</v>
      </c>
      <c r="J98" s="903">
        <v>120</v>
      </c>
      <c r="K98" s="1389" t="s">
        <v>1657</v>
      </c>
      <c r="L98" s="941" t="s">
        <v>115</v>
      </c>
      <c r="M98" s="900" t="s">
        <v>115</v>
      </c>
      <c r="N98" s="1388" t="s">
        <v>115</v>
      </c>
    </row>
    <row r="99" spans="1:14">
      <c r="A99" s="919" t="s">
        <v>264</v>
      </c>
      <c r="B99" s="487" t="s">
        <v>115</v>
      </c>
      <c r="C99" s="1384" t="s">
        <v>115</v>
      </c>
      <c r="D99" s="903">
        <v>260</v>
      </c>
      <c r="E99" s="1389" t="s">
        <v>1658</v>
      </c>
      <c r="F99" s="1384" t="s">
        <v>115</v>
      </c>
      <c r="G99" s="900" t="s">
        <v>115</v>
      </c>
      <c r="H99" s="1388" t="s">
        <v>115</v>
      </c>
      <c r="I99" s="1384" t="s">
        <v>115</v>
      </c>
      <c r="J99" s="903">
        <v>260</v>
      </c>
      <c r="K99" s="1389" t="s">
        <v>1658</v>
      </c>
      <c r="L99" s="941" t="s">
        <v>115</v>
      </c>
      <c r="M99" s="900" t="s">
        <v>115</v>
      </c>
      <c r="N99" s="1388" t="s">
        <v>115</v>
      </c>
    </row>
    <row r="100" spans="1:14">
      <c r="A100" s="919" t="s">
        <v>265</v>
      </c>
      <c r="B100" s="487" t="s">
        <v>115</v>
      </c>
      <c r="C100" s="1384" t="s">
        <v>115</v>
      </c>
      <c r="D100" s="903">
        <v>260</v>
      </c>
      <c r="E100" s="1389" t="s">
        <v>1658</v>
      </c>
      <c r="F100" s="1384" t="s">
        <v>115</v>
      </c>
      <c r="G100" s="900" t="s">
        <v>115</v>
      </c>
      <c r="H100" s="1388" t="s">
        <v>115</v>
      </c>
      <c r="I100" s="1384" t="s">
        <v>115</v>
      </c>
      <c r="J100" s="903">
        <v>260</v>
      </c>
      <c r="K100" s="1389" t="s">
        <v>1658</v>
      </c>
      <c r="L100" s="941" t="s">
        <v>115</v>
      </c>
      <c r="M100" s="900" t="s">
        <v>115</v>
      </c>
      <c r="N100" s="1388" t="s">
        <v>115</v>
      </c>
    </row>
    <row r="101" spans="1:14">
      <c r="A101" s="919" t="s">
        <v>266</v>
      </c>
      <c r="B101" s="487" t="s">
        <v>115</v>
      </c>
      <c r="C101" s="1384" t="s">
        <v>115</v>
      </c>
      <c r="D101" s="903">
        <v>260</v>
      </c>
      <c r="E101" s="1389" t="s">
        <v>1657</v>
      </c>
      <c r="F101" s="1384" t="s">
        <v>115</v>
      </c>
      <c r="G101" s="900" t="s">
        <v>115</v>
      </c>
      <c r="H101" s="1388" t="s">
        <v>115</v>
      </c>
      <c r="I101" s="1384" t="s">
        <v>115</v>
      </c>
      <c r="J101" s="903">
        <v>260</v>
      </c>
      <c r="K101" s="1389" t="s">
        <v>1657</v>
      </c>
      <c r="L101" s="941" t="s">
        <v>115</v>
      </c>
      <c r="M101" s="900" t="s">
        <v>115</v>
      </c>
      <c r="N101" s="1388" t="s">
        <v>115</v>
      </c>
    </row>
    <row r="102" spans="1:14">
      <c r="A102" s="919" t="s">
        <v>267</v>
      </c>
      <c r="B102" s="487" t="s">
        <v>115</v>
      </c>
      <c r="C102" s="1384" t="s">
        <v>115</v>
      </c>
      <c r="D102" s="903" t="s">
        <v>115</v>
      </c>
      <c r="E102" s="1386" t="s">
        <v>115</v>
      </c>
      <c r="F102" s="1384" t="s">
        <v>115</v>
      </c>
      <c r="G102" s="900" t="s">
        <v>115</v>
      </c>
      <c r="H102" s="1388" t="s">
        <v>115</v>
      </c>
      <c r="I102" s="1384" t="s">
        <v>115</v>
      </c>
      <c r="J102" s="903" t="s">
        <v>115</v>
      </c>
      <c r="K102" s="1386" t="s">
        <v>115</v>
      </c>
      <c r="L102" s="941" t="s">
        <v>115</v>
      </c>
      <c r="M102" s="900" t="s">
        <v>115</v>
      </c>
      <c r="N102" s="1388" t="s">
        <v>115</v>
      </c>
    </row>
    <row r="103" spans="1:14">
      <c r="A103" s="919" t="s">
        <v>268</v>
      </c>
      <c r="B103" s="487" t="s">
        <v>115</v>
      </c>
      <c r="C103" s="1384" t="s">
        <v>115</v>
      </c>
      <c r="D103" s="902">
        <v>1600</v>
      </c>
      <c r="E103" s="1389" t="s">
        <v>1657</v>
      </c>
      <c r="F103" s="1384" t="s">
        <v>115</v>
      </c>
      <c r="G103" s="900" t="s">
        <v>115</v>
      </c>
      <c r="H103" s="1388" t="s">
        <v>115</v>
      </c>
      <c r="I103" s="1384" t="s">
        <v>115</v>
      </c>
      <c r="J103" s="902">
        <v>1600</v>
      </c>
      <c r="K103" s="1389" t="s">
        <v>1657</v>
      </c>
      <c r="L103" s="941" t="s">
        <v>115</v>
      </c>
      <c r="M103" s="900" t="s">
        <v>115</v>
      </c>
      <c r="N103" s="1388" t="s">
        <v>115</v>
      </c>
    </row>
    <row r="104" spans="1:14">
      <c r="A104" s="136" t="s">
        <v>269</v>
      </c>
      <c r="B104" s="486" t="s">
        <v>270</v>
      </c>
      <c r="C104" s="1384" t="s">
        <v>115</v>
      </c>
      <c r="D104" s="902" t="s">
        <v>115</v>
      </c>
      <c r="E104" s="1386" t="s">
        <v>115</v>
      </c>
      <c r="F104" s="1384" t="s">
        <v>115</v>
      </c>
      <c r="G104" s="902" t="s">
        <v>115</v>
      </c>
      <c r="H104" s="1388" t="s">
        <v>115</v>
      </c>
      <c r="I104" s="1384" t="s">
        <v>115</v>
      </c>
      <c r="J104" s="903" t="s">
        <v>115</v>
      </c>
      <c r="K104" s="1386" t="s">
        <v>115</v>
      </c>
      <c r="L104" s="941" t="s">
        <v>115</v>
      </c>
      <c r="M104" s="900" t="s">
        <v>115</v>
      </c>
      <c r="N104" s="1388" t="s">
        <v>115</v>
      </c>
    </row>
    <row r="105" spans="1:14">
      <c r="A105" s="136" t="s">
        <v>271</v>
      </c>
      <c r="B105" s="486" t="s">
        <v>272</v>
      </c>
      <c r="C105" s="1384" t="s">
        <v>115</v>
      </c>
      <c r="D105" s="902">
        <v>642</v>
      </c>
      <c r="E105" s="1386" t="s">
        <v>1659</v>
      </c>
      <c r="F105" s="1384" t="s">
        <v>115</v>
      </c>
      <c r="G105" s="902">
        <v>2.98</v>
      </c>
      <c r="H105" s="1386" t="s">
        <v>1660</v>
      </c>
      <c r="I105" s="1384" t="s">
        <v>115</v>
      </c>
      <c r="J105" s="902">
        <v>642</v>
      </c>
      <c r="K105" s="1386" t="s">
        <v>1659</v>
      </c>
      <c r="L105" s="941" t="s">
        <v>115</v>
      </c>
      <c r="M105" s="899">
        <v>70</v>
      </c>
      <c r="N105" s="1388" t="s">
        <v>1661</v>
      </c>
    </row>
    <row r="106" spans="1:14">
      <c r="A106" s="136" t="s">
        <v>273</v>
      </c>
      <c r="B106" s="486" t="s">
        <v>274</v>
      </c>
      <c r="C106" s="1384" t="s">
        <v>115</v>
      </c>
      <c r="D106" s="902" t="s">
        <v>115</v>
      </c>
      <c r="E106" s="1386" t="s">
        <v>115</v>
      </c>
      <c r="F106" s="1384" t="s">
        <v>115</v>
      </c>
      <c r="G106" s="902" t="s">
        <v>115</v>
      </c>
      <c r="H106" s="1388" t="s">
        <v>115</v>
      </c>
      <c r="I106" s="1384" t="s">
        <v>115</v>
      </c>
      <c r="J106" s="903" t="s">
        <v>115</v>
      </c>
      <c r="K106" s="1386" t="s">
        <v>115</v>
      </c>
      <c r="L106" s="941" t="s">
        <v>115</v>
      </c>
      <c r="M106" s="900" t="s">
        <v>115</v>
      </c>
      <c r="N106" s="1388" t="s">
        <v>115</v>
      </c>
    </row>
    <row r="107" spans="1:14">
      <c r="A107" s="136" t="s">
        <v>275</v>
      </c>
      <c r="B107" s="486" t="s">
        <v>276</v>
      </c>
      <c r="C107" s="1384" t="s">
        <v>115</v>
      </c>
      <c r="D107" s="902" t="s">
        <v>115</v>
      </c>
      <c r="E107" s="1386" t="s">
        <v>115</v>
      </c>
      <c r="F107" s="1384" t="s">
        <v>115</v>
      </c>
      <c r="G107" s="902">
        <v>6.2</v>
      </c>
      <c r="H107" s="1386" t="s">
        <v>1660</v>
      </c>
      <c r="I107" s="1384" t="s">
        <v>115</v>
      </c>
      <c r="J107" s="903" t="s">
        <v>115</v>
      </c>
      <c r="K107" s="1386" t="s">
        <v>115</v>
      </c>
      <c r="L107" s="941" t="s">
        <v>115</v>
      </c>
      <c r="M107" s="899">
        <v>260</v>
      </c>
      <c r="N107" s="1388" t="s">
        <v>1661</v>
      </c>
    </row>
    <row r="108" spans="1:14">
      <c r="A108" s="136" t="s">
        <v>277</v>
      </c>
      <c r="B108" s="486" t="s">
        <v>278</v>
      </c>
      <c r="C108" s="1384" t="s">
        <v>115</v>
      </c>
      <c r="D108" s="902">
        <v>1</v>
      </c>
      <c r="E108" s="1386" t="s">
        <v>1659</v>
      </c>
      <c r="F108" s="1384" t="s">
        <v>115</v>
      </c>
      <c r="G108" s="902" t="s">
        <v>115</v>
      </c>
      <c r="H108" s="1388" t="s">
        <v>115</v>
      </c>
      <c r="I108" s="1384" t="s">
        <v>115</v>
      </c>
      <c r="J108" s="900">
        <v>100</v>
      </c>
      <c r="K108" s="1386" t="s">
        <v>1659</v>
      </c>
      <c r="L108" s="941" t="s">
        <v>115</v>
      </c>
      <c r="M108" s="903" t="s">
        <v>115</v>
      </c>
      <c r="N108" s="1386" t="s">
        <v>115</v>
      </c>
    </row>
    <row r="109" spans="1:14">
      <c r="A109" s="136" t="s">
        <v>279</v>
      </c>
      <c r="B109" s="486" t="s">
        <v>280</v>
      </c>
      <c r="C109" s="1384" t="s">
        <v>115</v>
      </c>
      <c r="D109" s="902">
        <v>8.4000000000000005E-2</v>
      </c>
      <c r="E109" s="1386" t="s">
        <v>1659</v>
      </c>
      <c r="F109" s="1384" t="s">
        <v>115</v>
      </c>
      <c r="G109" s="902">
        <v>0.56999999999999995</v>
      </c>
      <c r="H109" s="1386" t="s">
        <v>1659</v>
      </c>
      <c r="I109" s="1384" t="s">
        <v>115</v>
      </c>
      <c r="J109" s="900">
        <v>0.84</v>
      </c>
      <c r="K109" s="1386" t="s">
        <v>1659</v>
      </c>
      <c r="L109" s="941" t="s">
        <v>115</v>
      </c>
      <c r="M109" s="899">
        <v>1.1000000000000001</v>
      </c>
      <c r="N109" s="1388" t="s">
        <v>1661</v>
      </c>
    </row>
    <row r="110" spans="1:14">
      <c r="A110" s="136" t="s">
        <v>281</v>
      </c>
      <c r="B110" s="486" t="s">
        <v>282</v>
      </c>
      <c r="C110" s="1384" t="s">
        <v>115</v>
      </c>
      <c r="D110" s="902">
        <v>1</v>
      </c>
      <c r="E110" s="1386" t="s">
        <v>1659</v>
      </c>
      <c r="F110" s="1384" t="s">
        <v>115</v>
      </c>
      <c r="G110" s="902">
        <v>2.4199999999999999E-2</v>
      </c>
      <c r="H110" s="1386" t="s">
        <v>1660</v>
      </c>
      <c r="I110" s="1384" t="s">
        <v>115</v>
      </c>
      <c r="J110" s="900">
        <v>100</v>
      </c>
      <c r="K110" s="1386" t="s">
        <v>1659</v>
      </c>
      <c r="L110" s="941" t="s">
        <v>115</v>
      </c>
      <c r="M110" s="899">
        <v>1.3</v>
      </c>
      <c r="N110" s="1388" t="s">
        <v>1661</v>
      </c>
    </row>
    <row r="111" spans="1:14">
      <c r="A111" s="136" t="s">
        <v>283</v>
      </c>
      <c r="B111" s="486" t="s">
        <v>284</v>
      </c>
      <c r="C111" s="1384" t="s">
        <v>115</v>
      </c>
      <c r="D111" s="902">
        <v>51</v>
      </c>
      <c r="E111" s="1386" t="s">
        <v>1659</v>
      </c>
      <c r="F111" s="1384" t="s">
        <v>115</v>
      </c>
      <c r="G111" s="902">
        <v>6.7699999999999996E-2</v>
      </c>
      <c r="H111" s="1386" t="s">
        <v>1660</v>
      </c>
      <c r="I111" s="1384" t="s">
        <v>115</v>
      </c>
      <c r="J111" s="902">
        <v>51</v>
      </c>
      <c r="K111" s="1386" t="s">
        <v>1659</v>
      </c>
      <c r="L111" s="941" t="s">
        <v>115</v>
      </c>
      <c r="M111" s="902">
        <v>6.7699999999999996E-2</v>
      </c>
      <c r="N111" s="1386" t="s">
        <v>1660</v>
      </c>
    </row>
    <row r="112" spans="1:14">
      <c r="A112" s="136" t="s">
        <v>285</v>
      </c>
      <c r="B112" s="486" t="s">
        <v>286</v>
      </c>
      <c r="C112" s="1384" t="s">
        <v>115</v>
      </c>
      <c r="D112" s="902" t="s">
        <v>115</v>
      </c>
      <c r="E112" s="1386" t="s">
        <v>115</v>
      </c>
      <c r="F112" s="1384" t="s">
        <v>115</v>
      </c>
      <c r="G112" s="902" t="s">
        <v>115</v>
      </c>
      <c r="H112" s="1386" t="s">
        <v>115</v>
      </c>
      <c r="I112" s="1384" t="s">
        <v>115</v>
      </c>
      <c r="J112" s="903" t="s">
        <v>115</v>
      </c>
      <c r="K112" s="1386" t="s">
        <v>115</v>
      </c>
      <c r="L112" s="941" t="s">
        <v>115</v>
      </c>
      <c r="M112" s="903" t="s">
        <v>115</v>
      </c>
      <c r="N112" s="1386" t="s">
        <v>115</v>
      </c>
    </row>
    <row r="113" spans="1:15">
      <c r="A113" s="136" t="s">
        <v>287</v>
      </c>
      <c r="B113" s="486" t="s">
        <v>288</v>
      </c>
      <c r="C113" s="1384" t="s">
        <v>115</v>
      </c>
      <c r="D113" s="902" t="s">
        <v>115</v>
      </c>
      <c r="E113" s="1386" t="s">
        <v>115</v>
      </c>
      <c r="F113" s="1384" t="s">
        <v>115</v>
      </c>
      <c r="G113" s="902" t="s">
        <v>115</v>
      </c>
      <c r="H113" s="1386" t="s">
        <v>115</v>
      </c>
      <c r="I113" s="1384" t="s">
        <v>115</v>
      </c>
      <c r="J113" s="903" t="s">
        <v>115</v>
      </c>
      <c r="K113" s="1386" t="s">
        <v>115</v>
      </c>
      <c r="L113" s="941" t="s">
        <v>115</v>
      </c>
      <c r="M113" s="903" t="s">
        <v>115</v>
      </c>
      <c r="N113" s="1386" t="s">
        <v>115</v>
      </c>
    </row>
    <row r="114" spans="1:15">
      <c r="A114" s="136" t="s">
        <v>289</v>
      </c>
      <c r="B114" s="486" t="s">
        <v>290</v>
      </c>
      <c r="C114" s="1384" t="s">
        <v>115</v>
      </c>
      <c r="D114" s="902" t="s">
        <v>115</v>
      </c>
      <c r="E114" s="1386" t="s">
        <v>115</v>
      </c>
      <c r="F114" s="1384" t="s">
        <v>115</v>
      </c>
      <c r="G114" s="902" t="s">
        <v>115</v>
      </c>
      <c r="H114" s="1386" t="s">
        <v>115</v>
      </c>
      <c r="I114" s="1384" t="s">
        <v>115</v>
      </c>
      <c r="J114" s="903" t="s">
        <v>115</v>
      </c>
      <c r="K114" s="1386" t="s">
        <v>115</v>
      </c>
      <c r="L114" s="941" t="s">
        <v>115</v>
      </c>
      <c r="M114" s="903" t="s">
        <v>115</v>
      </c>
      <c r="N114" s="1386" t="s">
        <v>115</v>
      </c>
    </row>
    <row r="115" spans="1:15">
      <c r="A115" s="136" t="s">
        <v>291</v>
      </c>
      <c r="B115" s="486" t="s">
        <v>292</v>
      </c>
      <c r="C115" s="1384" t="s">
        <v>115</v>
      </c>
      <c r="D115" s="902" t="s">
        <v>115</v>
      </c>
      <c r="E115" s="1386" t="s">
        <v>115</v>
      </c>
      <c r="F115" s="1384" t="s">
        <v>115</v>
      </c>
      <c r="G115" s="902" t="s">
        <v>115</v>
      </c>
      <c r="H115" s="1386" t="s">
        <v>115</v>
      </c>
      <c r="I115" s="1384" t="s">
        <v>115</v>
      </c>
      <c r="J115" s="903" t="s">
        <v>115</v>
      </c>
      <c r="K115" s="1386" t="s">
        <v>115</v>
      </c>
      <c r="L115" s="941" t="s">
        <v>115</v>
      </c>
      <c r="M115" s="903" t="s">
        <v>115</v>
      </c>
      <c r="N115" s="1386" t="s">
        <v>115</v>
      </c>
    </row>
    <row r="116" spans="1:15">
      <c r="A116" s="136" t="s">
        <v>293</v>
      </c>
      <c r="B116" s="486" t="s">
        <v>294</v>
      </c>
      <c r="C116" s="1384" t="s">
        <v>115</v>
      </c>
      <c r="D116" s="902">
        <v>10</v>
      </c>
      <c r="E116" s="1386" t="s">
        <v>1659</v>
      </c>
      <c r="F116" s="1384" t="s">
        <v>115</v>
      </c>
      <c r="G116" s="902">
        <v>0.81699999999999995</v>
      </c>
      <c r="H116" s="1386" t="s">
        <v>1660</v>
      </c>
      <c r="I116" s="1384" t="s">
        <v>115</v>
      </c>
      <c r="J116" s="902">
        <v>10</v>
      </c>
      <c r="K116" s="1386" t="s">
        <v>1659</v>
      </c>
      <c r="L116" s="941" t="s">
        <v>115</v>
      </c>
      <c r="M116" s="899">
        <v>15</v>
      </c>
      <c r="N116" s="1388" t="s">
        <v>1661</v>
      </c>
    </row>
    <row r="117" spans="1:15">
      <c r="A117" s="136" t="s">
        <v>295</v>
      </c>
      <c r="B117" s="486" t="s">
        <v>296</v>
      </c>
      <c r="C117" s="1384" t="s">
        <v>115</v>
      </c>
      <c r="D117" s="902">
        <v>1</v>
      </c>
      <c r="E117" s="1386" t="s">
        <v>1659</v>
      </c>
      <c r="F117" s="1384" t="s">
        <v>115</v>
      </c>
      <c r="G117" s="902">
        <v>0.14499999999999999</v>
      </c>
      <c r="H117" s="1386" t="s">
        <v>1660</v>
      </c>
      <c r="I117" s="1384" t="s">
        <v>115</v>
      </c>
      <c r="J117" s="902">
        <v>1</v>
      </c>
      <c r="K117" s="1386" t="s">
        <v>1659</v>
      </c>
      <c r="L117" s="941" t="s">
        <v>115</v>
      </c>
      <c r="M117" s="903" t="s">
        <v>115</v>
      </c>
      <c r="N117" s="1386" t="s">
        <v>115</v>
      </c>
    </row>
    <row r="118" spans="1:15">
      <c r="A118" s="136" t="s">
        <v>297</v>
      </c>
      <c r="B118" s="486" t="s">
        <v>298</v>
      </c>
      <c r="C118" s="1384" t="s">
        <v>115</v>
      </c>
      <c r="D118" s="902">
        <v>7.7</v>
      </c>
      <c r="E118" s="1386" t="s">
        <v>1659</v>
      </c>
      <c r="F118" s="1384" t="s">
        <v>115</v>
      </c>
      <c r="G118" s="902">
        <v>4.0000000000000001E-3</v>
      </c>
      <c r="H118" s="1386" t="s">
        <v>1660</v>
      </c>
      <c r="I118" s="1384" t="s">
        <v>115</v>
      </c>
      <c r="J118" s="900">
        <v>33</v>
      </c>
      <c r="K118" s="1386" t="s">
        <v>1659</v>
      </c>
      <c r="L118" s="941" t="s">
        <v>115</v>
      </c>
      <c r="M118" s="899">
        <v>0.05</v>
      </c>
      <c r="N118" s="1388" t="s">
        <v>1661</v>
      </c>
    </row>
    <row r="119" spans="1:15">
      <c r="A119" s="136" t="s">
        <v>299</v>
      </c>
      <c r="B119" s="486" t="s">
        <v>300</v>
      </c>
      <c r="C119" s="1384" t="s">
        <v>115</v>
      </c>
      <c r="D119" s="902" t="s">
        <v>115</v>
      </c>
      <c r="E119" s="1386" t="s">
        <v>115</v>
      </c>
      <c r="F119" s="1384" t="s">
        <v>115</v>
      </c>
      <c r="G119" s="902" t="s">
        <v>115</v>
      </c>
      <c r="H119" s="1386" t="s">
        <v>115</v>
      </c>
      <c r="I119" s="1384" t="s">
        <v>115</v>
      </c>
      <c r="J119" s="902" t="s">
        <v>115</v>
      </c>
      <c r="K119" s="1386" t="s">
        <v>115</v>
      </c>
      <c r="L119" s="941" t="s">
        <v>115</v>
      </c>
      <c r="M119" s="899" t="s">
        <v>115</v>
      </c>
      <c r="N119" s="1388" t="s">
        <v>115</v>
      </c>
    </row>
    <row r="120" spans="1:15">
      <c r="A120" s="136" t="s">
        <v>301</v>
      </c>
      <c r="B120" s="486" t="s">
        <v>302</v>
      </c>
      <c r="C120" s="1385">
        <v>22</v>
      </c>
      <c r="D120" s="902" t="s">
        <v>115</v>
      </c>
      <c r="E120" s="1386" t="s">
        <v>115</v>
      </c>
      <c r="F120" s="1385">
        <v>9.4</v>
      </c>
      <c r="G120" s="902" t="s">
        <v>115</v>
      </c>
      <c r="H120" s="1386" t="s">
        <v>115</v>
      </c>
      <c r="I120" s="1385">
        <v>40</v>
      </c>
      <c r="J120" s="902" t="s">
        <v>115</v>
      </c>
      <c r="K120" s="1386" t="s">
        <v>115</v>
      </c>
      <c r="L120" s="1387">
        <v>9.4</v>
      </c>
      <c r="M120" s="904" t="s">
        <v>115</v>
      </c>
      <c r="N120" s="1389" t="s">
        <v>115</v>
      </c>
    </row>
    <row r="121" spans="1:15">
      <c r="A121" s="136" t="s">
        <v>303</v>
      </c>
      <c r="B121" s="486" t="s">
        <v>304</v>
      </c>
      <c r="C121" s="1385">
        <v>41</v>
      </c>
      <c r="D121" s="902" t="s">
        <v>115</v>
      </c>
      <c r="E121" s="1386" t="s">
        <v>115</v>
      </c>
      <c r="F121" s="1385">
        <v>1.1000000000000001</v>
      </c>
      <c r="G121" s="902" t="s">
        <v>115</v>
      </c>
      <c r="H121" s="1386" t="s">
        <v>115</v>
      </c>
      <c r="I121" s="1387">
        <v>41</v>
      </c>
      <c r="J121" s="902" t="s">
        <v>115</v>
      </c>
      <c r="K121" s="1386" t="s">
        <v>115</v>
      </c>
      <c r="L121" s="1387">
        <v>1.1000000000000001</v>
      </c>
      <c r="M121" s="904" t="s">
        <v>115</v>
      </c>
      <c r="N121" s="1389" t="s">
        <v>115</v>
      </c>
    </row>
    <row r="122" spans="1:15">
      <c r="A122" s="136" t="s">
        <v>305</v>
      </c>
      <c r="B122" s="486" t="s">
        <v>306</v>
      </c>
      <c r="C122" s="1385">
        <v>13</v>
      </c>
      <c r="D122" s="903" t="s">
        <v>115</v>
      </c>
      <c r="E122" s="1389" t="s">
        <v>115</v>
      </c>
      <c r="F122" s="1385">
        <v>2.4</v>
      </c>
      <c r="G122" s="903" t="s">
        <v>115</v>
      </c>
      <c r="H122" s="1389" t="s">
        <v>115</v>
      </c>
      <c r="I122" s="1387">
        <v>13</v>
      </c>
      <c r="J122" s="903" t="s">
        <v>115</v>
      </c>
      <c r="K122" s="1389" t="s">
        <v>115</v>
      </c>
      <c r="L122" s="1387">
        <v>5.5</v>
      </c>
      <c r="M122" s="904" t="s">
        <v>115</v>
      </c>
      <c r="N122" s="1389" t="s">
        <v>115</v>
      </c>
    </row>
    <row r="123" spans="1:15">
      <c r="A123" s="136" t="s">
        <v>307</v>
      </c>
      <c r="B123" s="486" t="s">
        <v>308</v>
      </c>
      <c r="C123" s="1385">
        <v>25</v>
      </c>
      <c r="D123" s="903" t="s">
        <v>115</v>
      </c>
      <c r="E123" s="1389" t="s">
        <v>115</v>
      </c>
      <c r="F123" s="1384" t="s">
        <v>115</v>
      </c>
      <c r="G123" s="903" t="s">
        <v>115</v>
      </c>
      <c r="H123" s="1389" t="s">
        <v>115</v>
      </c>
      <c r="I123" s="1387">
        <v>50</v>
      </c>
      <c r="J123" s="903" t="s">
        <v>115</v>
      </c>
      <c r="K123" s="1389" t="s">
        <v>115</v>
      </c>
      <c r="L123" s="941" t="s">
        <v>115</v>
      </c>
      <c r="M123" s="904" t="s">
        <v>115</v>
      </c>
      <c r="N123" s="1386" t="s">
        <v>115</v>
      </c>
    </row>
    <row r="124" spans="1:15">
      <c r="A124" s="136" t="s">
        <v>309</v>
      </c>
      <c r="B124" s="486" t="s">
        <v>310</v>
      </c>
      <c r="C124" s="1385">
        <v>22</v>
      </c>
      <c r="D124" s="903" t="s">
        <v>115</v>
      </c>
      <c r="E124" s="1389" t="s">
        <v>115</v>
      </c>
      <c r="F124" s="1384" t="s">
        <v>115</v>
      </c>
      <c r="G124" s="903" t="s">
        <v>115</v>
      </c>
      <c r="H124" s="1389" t="s">
        <v>115</v>
      </c>
      <c r="I124" s="1387">
        <v>43</v>
      </c>
      <c r="J124" s="903" t="s">
        <v>115</v>
      </c>
      <c r="K124" s="1389" t="s">
        <v>115</v>
      </c>
      <c r="L124" s="941" t="s">
        <v>115</v>
      </c>
      <c r="M124" s="904" t="s">
        <v>115</v>
      </c>
      <c r="N124" s="1386" t="s">
        <v>115</v>
      </c>
    </row>
    <row r="125" spans="1:15">
      <c r="A125" s="136" t="s">
        <v>311</v>
      </c>
      <c r="B125" s="486" t="s">
        <v>312</v>
      </c>
      <c r="C125" s="1384" t="s">
        <v>115</v>
      </c>
      <c r="D125" s="902" t="s">
        <v>115</v>
      </c>
      <c r="E125" s="1386" t="s">
        <v>115</v>
      </c>
      <c r="F125" s="1384" t="s">
        <v>115</v>
      </c>
      <c r="G125" s="902" t="s">
        <v>115</v>
      </c>
      <c r="H125" s="1386" t="s">
        <v>115</v>
      </c>
      <c r="I125" s="941" t="s">
        <v>115</v>
      </c>
      <c r="J125" s="902" t="s">
        <v>115</v>
      </c>
      <c r="K125" s="1386" t="s">
        <v>115</v>
      </c>
      <c r="L125" s="941" t="s">
        <v>115</v>
      </c>
      <c r="M125" s="901" t="s">
        <v>115</v>
      </c>
      <c r="N125" s="1386" t="s">
        <v>115</v>
      </c>
    </row>
    <row r="126" spans="1:15">
      <c r="A126" s="136" t="s">
        <v>313</v>
      </c>
      <c r="B126" s="486" t="s">
        <v>314</v>
      </c>
      <c r="C126" s="1384" t="s">
        <v>115</v>
      </c>
      <c r="D126" s="902" t="s">
        <v>115</v>
      </c>
      <c r="E126" s="1386" t="s">
        <v>115</v>
      </c>
      <c r="F126" s="1384" t="s">
        <v>115</v>
      </c>
      <c r="G126" s="902" t="s">
        <v>115</v>
      </c>
      <c r="H126" s="1386" t="s">
        <v>115</v>
      </c>
      <c r="I126" s="941" t="s">
        <v>115</v>
      </c>
      <c r="J126" s="902" t="s">
        <v>115</v>
      </c>
      <c r="K126" s="1386" t="s">
        <v>115</v>
      </c>
      <c r="L126" s="941" t="s">
        <v>115</v>
      </c>
      <c r="M126" s="901" t="s">
        <v>115</v>
      </c>
      <c r="N126" s="1386" t="s">
        <v>115</v>
      </c>
    </row>
    <row r="127" spans="1:15">
      <c r="A127" s="136" t="s">
        <v>315</v>
      </c>
      <c r="B127" s="486" t="s">
        <v>316</v>
      </c>
      <c r="C127" s="1384" t="s">
        <v>115</v>
      </c>
      <c r="D127" s="902" t="s">
        <v>115</v>
      </c>
      <c r="E127" s="1386" t="s">
        <v>115</v>
      </c>
      <c r="F127" s="1384" t="s">
        <v>115</v>
      </c>
      <c r="G127" s="902" t="s">
        <v>115</v>
      </c>
      <c r="H127" s="1386" t="s">
        <v>115</v>
      </c>
      <c r="I127" s="941" t="s">
        <v>115</v>
      </c>
      <c r="J127" s="902" t="s">
        <v>115</v>
      </c>
      <c r="K127" s="1386" t="s">
        <v>115</v>
      </c>
      <c r="L127" s="941" t="s">
        <v>115</v>
      </c>
      <c r="M127" s="901" t="s">
        <v>115</v>
      </c>
      <c r="N127" s="1386" t="s">
        <v>115</v>
      </c>
    </row>
    <row r="128" spans="1:15">
      <c r="A128" s="136" t="s">
        <v>317</v>
      </c>
      <c r="B128" s="486" t="s">
        <v>318</v>
      </c>
      <c r="C128" s="1385">
        <v>4.8</v>
      </c>
      <c r="D128" s="903" t="s">
        <v>115</v>
      </c>
      <c r="E128" s="1389" t="s">
        <v>115</v>
      </c>
      <c r="F128" s="1385">
        <v>4.5</v>
      </c>
      <c r="G128" s="903" t="s">
        <v>115</v>
      </c>
      <c r="H128" s="1389" t="s">
        <v>115</v>
      </c>
      <c r="I128" s="1387">
        <v>43</v>
      </c>
      <c r="J128" s="903" t="s">
        <v>115</v>
      </c>
      <c r="K128" s="1389" t="s">
        <v>115</v>
      </c>
      <c r="L128" s="1387">
        <v>310</v>
      </c>
      <c r="M128" s="904" t="s">
        <v>115</v>
      </c>
      <c r="N128" s="1389" t="s">
        <v>115</v>
      </c>
      <c r="O128" s="859"/>
    </row>
    <row r="129" spans="1:15" ht="15.75" customHeight="1">
      <c r="A129" s="136" t="s">
        <v>319</v>
      </c>
      <c r="B129" s="486" t="s">
        <v>320</v>
      </c>
      <c r="C129" s="1385">
        <v>1.8</v>
      </c>
      <c r="D129" s="903" t="s">
        <v>115</v>
      </c>
      <c r="E129" s="1389" t="s">
        <v>115</v>
      </c>
      <c r="F129" s="1385">
        <v>3.9</v>
      </c>
      <c r="G129" s="903" t="s">
        <v>115</v>
      </c>
      <c r="H129" s="1389" t="s">
        <v>115</v>
      </c>
      <c r="I129" s="1387">
        <v>4.5</v>
      </c>
      <c r="J129" s="903" t="s">
        <v>115</v>
      </c>
      <c r="K129" s="1389" t="s">
        <v>115</v>
      </c>
      <c r="L129" s="1387">
        <v>47</v>
      </c>
      <c r="M129" s="904" t="s">
        <v>115</v>
      </c>
      <c r="N129" s="1389" t="s">
        <v>115</v>
      </c>
      <c r="O129" s="859"/>
    </row>
    <row r="130" spans="1:15" ht="15.75" customHeight="1">
      <c r="A130" s="136" t="s">
        <v>321</v>
      </c>
      <c r="B130" s="486" t="s">
        <v>322</v>
      </c>
      <c r="C130" s="1385">
        <v>220</v>
      </c>
      <c r="D130" s="903" t="s">
        <v>115</v>
      </c>
      <c r="E130" s="1389" t="s">
        <v>115</v>
      </c>
      <c r="F130" s="1385">
        <v>140</v>
      </c>
      <c r="G130" s="903" t="s">
        <v>115</v>
      </c>
      <c r="H130" s="1389" t="s">
        <v>115</v>
      </c>
      <c r="I130" s="1387">
        <v>660</v>
      </c>
      <c r="J130" s="903" t="s">
        <v>115</v>
      </c>
      <c r="K130" s="1389" t="s">
        <v>115</v>
      </c>
      <c r="L130" s="1387">
        <v>14000</v>
      </c>
      <c r="M130" s="904" t="s">
        <v>115</v>
      </c>
      <c r="N130" s="1389" t="s">
        <v>115</v>
      </c>
      <c r="O130" s="859"/>
    </row>
    <row r="131" spans="1:15">
      <c r="A131" s="136" t="s">
        <v>323</v>
      </c>
      <c r="B131" s="486" t="s">
        <v>324</v>
      </c>
      <c r="C131" s="1384" t="s">
        <v>115</v>
      </c>
      <c r="D131" s="902" t="s">
        <v>115</v>
      </c>
      <c r="E131" s="1386" t="s">
        <v>115</v>
      </c>
      <c r="F131" s="1384" t="s">
        <v>115</v>
      </c>
      <c r="G131" s="902" t="s">
        <v>115</v>
      </c>
      <c r="H131" s="1386" t="s">
        <v>115</v>
      </c>
      <c r="I131" s="1384" t="s">
        <v>115</v>
      </c>
      <c r="J131" s="902" t="s">
        <v>115</v>
      </c>
      <c r="K131" s="1386" t="s">
        <v>115</v>
      </c>
      <c r="L131" s="941" t="s">
        <v>115</v>
      </c>
      <c r="M131" s="901" t="s">
        <v>115</v>
      </c>
      <c r="N131" s="1386" t="s">
        <v>115</v>
      </c>
      <c r="O131" s="859"/>
    </row>
    <row r="132" spans="1:15">
      <c r="A132" s="136" t="s">
        <v>325</v>
      </c>
      <c r="B132" s="486" t="s">
        <v>326</v>
      </c>
      <c r="C132" s="1385">
        <v>16</v>
      </c>
      <c r="D132" s="903" t="s">
        <v>115</v>
      </c>
      <c r="E132" s="1389" t="s">
        <v>115</v>
      </c>
      <c r="F132" s="1384" t="s">
        <v>115</v>
      </c>
      <c r="G132" s="903" t="s">
        <v>115</v>
      </c>
      <c r="H132" s="1389" t="s">
        <v>115</v>
      </c>
      <c r="I132" s="1385">
        <v>30</v>
      </c>
      <c r="J132" s="903" t="s">
        <v>115</v>
      </c>
      <c r="K132" s="1389" t="s">
        <v>115</v>
      </c>
      <c r="L132" s="941" t="s">
        <v>115</v>
      </c>
      <c r="M132" s="904" t="s">
        <v>115</v>
      </c>
      <c r="N132" s="1386" t="s">
        <v>115</v>
      </c>
      <c r="O132" s="859"/>
    </row>
    <row r="133" spans="1:15">
      <c r="A133" s="136" t="s">
        <v>327</v>
      </c>
      <c r="B133" s="486" t="s">
        <v>328</v>
      </c>
      <c r="C133" s="1385">
        <v>22</v>
      </c>
      <c r="D133" s="903" t="s">
        <v>115</v>
      </c>
      <c r="E133" s="1389" t="s">
        <v>115</v>
      </c>
      <c r="F133" s="1385">
        <v>820</v>
      </c>
      <c r="G133" s="903" t="s">
        <v>115</v>
      </c>
      <c r="H133" s="1389" t="s">
        <v>115</v>
      </c>
      <c r="I133" s="1387">
        <v>44</v>
      </c>
      <c r="J133" s="903" t="s">
        <v>115</v>
      </c>
      <c r="K133" s="1389" t="s">
        <v>115</v>
      </c>
      <c r="L133" s="1387">
        <v>39000</v>
      </c>
      <c r="M133" s="904" t="s">
        <v>115</v>
      </c>
      <c r="N133" s="1389" t="s">
        <v>115</v>
      </c>
      <c r="O133" s="859"/>
    </row>
    <row r="134" spans="1:15">
      <c r="A134" s="136" t="s">
        <v>329</v>
      </c>
      <c r="B134" s="486" t="s">
        <v>330</v>
      </c>
      <c r="C134" s="1385">
        <v>100</v>
      </c>
      <c r="D134" s="903" t="s">
        <v>115</v>
      </c>
      <c r="E134" s="1389" t="s">
        <v>115</v>
      </c>
      <c r="F134" s="1384" t="s">
        <v>115</v>
      </c>
      <c r="G134" s="903" t="s">
        <v>115</v>
      </c>
      <c r="H134" s="1389" t="s">
        <v>115</v>
      </c>
      <c r="I134" s="1387">
        <v>200</v>
      </c>
      <c r="J134" s="903" t="s">
        <v>115</v>
      </c>
      <c r="K134" s="1389" t="s">
        <v>115</v>
      </c>
      <c r="L134" s="941" t="s">
        <v>115</v>
      </c>
      <c r="M134" s="904" t="s">
        <v>115</v>
      </c>
      <c r="N134" s="1386" t="s">
        <v>115</v>
      </c>
      <c r="O134" s="859"/>
    </row>
    <row r="135" spans="1:15">
      <c r="A135" s="136" t="s">
        <v>331</v>
      </c>
      <c r="B135" s="486" t="s">
        <v>332</v>
      </c>
      <c r="C135" s="1385">
        <v>130</v>
      </c>
      <c r="D135" s="903" t="s">
        <v>115</v>
      </c>
      <c r="E135" s="1389" t="s">
        <v>115</v>
      </c>
      <c r="F135" s="1385">
        <v>8.1</v>
      </c>
      <c r="G135" s="903" t="s">
        <v>115</v>
      </c>
      <c r="H135" s="1389" t="s">
        <v>115</v>
      </c>
      <c r="I135" s="1387">
        <v>250</v>
      </c>
      <c r="J135" s="903" t="s">
        <v>115</v>
      </c>
      <c r="K135" s="1389" t="s">
        <v>115</v>
      </c>
      <c r="L135" s="1387">
        <v>390</v>
      </c>
      <c r="M135" s="904" t="s">
        <v>115</v>
      </c>
      <c r="N135" s="1389" t="s">
        <v>115</v>
      </c>
      <c r="O135" s="859"/>
    </row>
    <row r="136" spans="1:15">
      <c r="A136" s="136" t="s">
        <v>333</v>
      </c>
      <c r="B136" s="486" t="s">
        <v>334</v>
      </c>
      <c r="C136" s="1385">
        <v>5.5</v>
      </c>
      <c r="D136" s="903" t="s">
        <v>115</v>
      </c>
      <c r="E136" s="1389" t="s">
        <v>115</v>
      </c>
      <c r="F136" s="1384" t="s">
        <v>115</v>
      </c>
      <c r="G136" s="903" t="s">
        <v>115</v>
      </c>
      <c r="H136" s="1389" t="s">
        <v>115</v>
      </c>
      <c r="I136" s="1387">
        <v>10</v>
      </c>
      <c r="J136" s="903" t="s">
        <v>115</v>
      </c>
      <c r="K136" s="1389" t="s">
        <v>115</v>
      </c>
      <c r="L136" s="941" t="s">
        <v>115</v>
      </c>
      <c r="M136" s="904" t="s">
        <v>115</v>
      </c>
      <c r="N136" s="1386" t="s">
        <v>115</v>
      </c>
      <c r="O136" s="859"/>
    </row>
    <row r="137" spans="1:15">
      <c r="A137" s="136" t="s">
        <v>335</v>
      </c>
      <c r="B137" s="486" t="s">
        <v>336</v>
      </c>
      <c r="C137" s="1385">
        <v>5.5</v>
      </c>
      <c r="D137" s="903" t="s">
        <v>115</v>
      </c>
      <c r="E137" s="1389" t="s">
        <v>115</v>
      </c>
      <c r="F137" s="1384" t="s">
        <v>115</v>
      </c>
      <c r="G137" s="903" t="s">
        <v>115</v>
      </c>
      <c r="H137" s="1389" t="s">
        <v>115</v>
      </c>
      <c r="I137" s="1387">
        <v>10</v>
      </c>
      <c r="J137" s="903" t="s">
        <v>115</v>
      </c>
      <c r="K137" s="1389" t="s">
        <v>115</v>
      </c>
      <c r="L137" s="941" t="s">
        <v>115</v>
      </c>
      <c r="M137" s="904" t="s">
        <v>115</v>
      </c>
      <c r="N137" s="1386" t="s">
        <v>115</v>
      </c>
      <c r="O137" s="859"/>
    </row>
    <row r="138" spans="1:15">
      <c r="A138" s="136" t="s">
        <v>337</v>
      </c>
      <c r="B138" s="486" t="s">
        <v>338</v>
      </c>
      <c r="C138" s="1384" t="s">
        <v>115</v>
      </c>
      <c r="D138" s="902" t="s">
        <v>115</v>
      </c>
      <c r="E138" s="1386" t="s">
        <v>115</v>
      </c>
      <c r="F138" s="1384" t="s">
        <v>115</v>
      </c>
      <c r="G138" s="902" t="s">
        <v>115</v>
      </c>
      <c r="H138" s="1386" t="s">
        <v>115</v>
      </c>
      <c r="I138" s="941" t="s">
        <v>115</v>
      </c>
      <c r="J138" s="902" t="s">
        <v>115</v>
      </c>
      <c r="K138" s="1386" t="s">
        <v>115</v>
      </c>
      <c r="L138" s="941" t="s">
        <v>115</v>
      </c>
      <c r="M138" s="901" t="s">
        <v>115</v>
      </c>
      <c r="N138" s="1386" t="s">
        <v>115</v>
      </c>
      <c r="O138" s="859"/>
    </row>
    <row r="139" spans="1:15" ht="12.75" customHeight="1">
      <c r="A139" s="136" t="s">
        <v>339</v>
      </c>
      <c r="B139" s="486" t="s">
        <v>340</v>
      </c>
      <c r="C139" s="1385">
        <v>250</v>
      </c>
      <c r="D139" s="903" t="s">
        <v>115</v>
      </c>
      <c r="E139" s="1389" t="s">
        <v>115</v>
      </c>
      <c r="F139" s="1385">
        <v>18</v>
      </c>
      <c r="G139" s="903" t="s">
        <v>115</v>
      </c>
      <c r="H139" s="1389" t="s">
        <v>115</v>
      </c>
      <c r="I139" s="1387">
        <v>250</v>
      </c>
      <c r="J139" s="903" t="s">
        <v>115</v>
      </c>
      <c r="K139" s="1389" t="s">
        <v>115</v>
      </c>
      <c r="L139" s="1387">
        <v>18</v>
      </c>
      <c r="M139" s="904" t="s">
        <v>115</v>
      </c>
      <c r="N139" s="1389" t="s">
        <v>115</v>
      </c>
      <c r="O139" s="859"/>
    </row>
    <row r="140" spans="1:15">
      <c r="A140" s="136" t="s">
        <v>341</v>
      </c>
      <c r="B140" s="486" t="s">
        <v>342</v>
      </c>
      <c r="C140" s="1385">
        <v>4.3</v>
      </c>
      <c r="D140" s="903" t="s">
        <v>115</v>
      </c>
      <c r="E140" s="1389" t="s">
        <v>115</v>
      </c>
      <c r="F140" s="1385">
        <v>12</v>
      </c>
      <c r="G140" s="903" t="s">
        <v>115</v>
      </c>
      <c r="H140" s="1389" t="s">
        <v>115</v>
      </c>
      <c r="I140" s="1387">
        <v>8.5</v>
      </c>
      <c r="J140" s="903" t="s">
        <v>115</v>
      </c>
      <c r="K140" s="1389" t="s">
        <v>115</v>
      </c>
      <c r="L140" s="1387">
        <v>12</v>
      </c>
      <c r="M140" s="904" t="s">
        <v>115</v>
      </c>
      <c r="N140" s="1389" t="s">
        <v>115</v>
      </c>
    </row>
    <row r="141" spans="1:15">
      <c r="A141" s="136" t="s">
        <v>343</v>
      </c>
      <c r="B141" s="486" t="s">
        <v>344</v>
      </c>
      <c r="C141" s="1385">
        <v>55</v>
      </c>
      <c r="D141" s="903" t="s">
        <v>115</v>
      </c>
      <c r="E141" s="1389" t="s">
        <v>115</v>
      </c>
      <c r="F141" s="1385">
        <v>96</v>
      </c>
      <c r="G141" s="903" t="s">
        <v>115</v>
      </c>
      <c r="H141" s="1389" t="s">
        <v>115</v>
      </c>
      <c r="I141" s="1387">
        <v>210</v>
      </c>
      <c r="J141" s="903" t="s">
        <v>115</v>
      </c>
      <c r="K141" s="1389" t="s">
        <v>115</v>
      </c>
      <c r="L141" s="1387">
        <v>47000</v>
      </c>
      <c r="M141" s="904" t="s">
        <v>115</v>
      </c>
      <c r="N141" s="1389" t="s">
        <v>115</v>
      </c>
    </row>
    <row r="142" spans="1:15" ht="13.5" thickBot="1">
      <c r="A142" s="1158" t="s">
        <v>345</v>
      </c>
      <c r="B142" s="1397" t="s">
        <v>346</v>
      </c>
      <c r="C142" s="1395">
        <v>500</v>
      </c>
      <c r="D142" s="906" t="s">
        <v>115</v>
      </c>
      <c r="E142" s="1396" t="s">
        <v>115</v>
      </c>
      <c r="F142" s="1395">
        <v>340</v>
      </c>
      <c r="G142" s="906" t="s">
        <v>115</v>
      </c>
      <c r="H142" s="1396" t="s">
        <v>115</v>
      </c>
      <c r="I142" s="1391">
        <v>800</v>
      </c>
      <c r="J142" s="906" t="s">
        <v>115</v>
      </c>
      <c r="K142" s="1396" t="s">
        <v>115</v>
      </c>
      <c r="L142" s="1391">
        <v>340</v>
      </c>
      <c r="M142" s="905" t="s">
        <v>115</v>
      </c>
      <c r="N142" s="1396" t="s">
        <v>115</v>
      </c>
    </row>
    <row r="143" spans="1:15" ht="13.5" thickTop="1">
      <c r="A143" s="1393" t="s">
        <v>347</v>
      </c>
      <c r="B143" s="1394"/>
      <c r="C143" s="1382"/>
      <c r="D143" s="1382"/>
      <c r="E143" s="1382"/>
      <c r="F143" s="1382"/>
      <c r="G143" s="1382"/>
      <c r="H143" s="1382"/>
      <c r="I143" s="1382"/>
      <c r="J143" s="1382"/>
      <c r="K143" s="1382"/>
      <c r="L143" s="1382"/>
      <c r="M143" s="1382"/>
      <c r="N143" s="1392"/>
    </row>
    <row r="144" spans="1:15">
      <c r="A144" s="2898" t="s">
        <v>1662</v>
      </c>
      <c r="B144" s="2899"/>
      <c r="C144" s="2899"/>
      <c r="D144" s="2899"/>
      <c r="E144" s="2899"/>
      <c r="F144" s="2899"/>
      <c r="G144" s="2899"/>
      <c r="H144" s="2899"/>
      <c r="I144" s="2899"/>
      <c r="J144" s="2899"/>
      <c r="K144" s="2899"/>
      <c r="L144" s="2899"/>
      <c r="M144" s="2899"/>
      <c r="N144" s="2900"/>
    </row>
    <row r="145" spans="1:14">
      <c r="A145" s="2" t="s">
        <v>1663</v>
      </c>
      <c r="B145" s="2025"/>
      <c r="C145" s="2025"/>
      <c r="D145" s="2025"/>
      <c r="E145" s="2025"/>
      <c r="F145" s="2025"/>
      <c r="G145" s="2025"/>
      <c r="H145" s="2025"/>
      <c r="I145" s="2025"/>
      <c r="J145" s="2025"/>
      <c r="K145" s="2025"/>
      <c r="L145" s="2025"/>
      <c r="M145" s="2025"/>
      <c r="N145" s="2026"/>
    </row>
    <row r="146" spans="1:14">
      <c r="A146" s="2" t="s">
        <v>1664</v>
      </c>
      <c r="B146" s="2025"/>
      <c r="C146" s="2025"/>
      <c r="D146" s="2025"/>
      <c r="E146" s="2025"/>
      <c r="F146" s="2025"/>
      <c r="G146" s="2025"/>
      <c r="H146" s="2025"/>
      <c r="I146" s="2025"/>
      <c r="J146" s="2025"/>
      <c r="K146" s="2025"/>
      <c r="L146" s="2025"/>
      <c r="M146" s="2025"/>
      <c r="N146" s="2026"/>
    </row>
    <row r="147" spans="1:14" ht="24.75" customHeight="1">
      <c r="A147" s="2895" t="s">
        <v>1665</v>
      </c>
      <c r="B147" s="2896"/>
      <c r="C147" s="2896"/>
      <c r="D147" s="2896"/>
      <c r="E147" s="2896"/>
      <c r="F147" s="2896"/>
      <c r="G147" s="2896"/>
      <c r="H147" s="2896"/>
      <c r="I147" s="2896"/>
      <c r="J147" s="2896"/>
      <c r="K147" s="2896"/>
      <c r="L147" s="2896"/>
      <c r="M147" s="2896"/>
      <c r="N147" s="2897"/>
    </row>
    <row r="148" spans="1:14">
      <c r="A148" s="1223" t="s">
        <v>1666</v>
      </c>
      <c r="B148" s="1203"/>
      <c r="C148" s="1203"/>
      <c r="D148" s="1203"/>
      <c r="E148" s="1203"/>
      <c r="F148" s="1203"/>
      <c r="G148" s="1203"/>
      <c r="H148" s="1203"/>
      <c r="I148" s="1203"/>
      <c r="J148" s="1203"/>
      <c r="K148" s="1203"/>
      <c r="L148" s="1203"/>
      <c r="M148" s="1203"/>
      <c r="N148" s="1222"/>
    </row>
    <row r="149" spans="1:14">
      <c r="A149" s="1223" t="s">
        <v>1667</v>
      </c>
      <c r="B149" s="1203"/>
      <c r="C149" s="1203"/>
      <c r="D149" s="1203"/>
      <c r="E149" s="1203"/>
      <c r="F149" s="1203"/>
      <c r="G149" s="1203"/>
      <c r="H149" s="1203"/>
      <c r="I149" s="1203"/>
      <c r="J149" s="1203"/>
      <c r="K149" s="1203"/>
      <c r="L149" s="1203"/>
      <c r="M149" s="1203"/>
      <c r="N149" s="1222"/>
    </row>
    <row r="150" spans="1:14">
      <c r="A150" s="1223" t="s">
        <v>1668</v>
      </c>
      <c r="B150" s="1203"/>
      <c r="C150" s="1203"/>
      <c r="D150" s="1203"/>
      <c r="E150" s="1203"/>
      <c r="F150" s="1203"/>
      <c r="G150" s="1203"/>
      <c r="H150" s="1203"/>
      <c r="I150" s="1203"/>
      <c r="J150" s="1203"/>
      <c r="K150" s="1203"/>
      <c r="L150" s="1203"/>
      <c r="M150" s="1203"/>
      <c r="N150" s="1222"/>
    </row>
    <row r="151" spans="1:14">
      <c r="A151" s="1223" t="s">
        <v>1669</v>
      </c>
      <c r="B151" s="1203"/>
      <c r="C151" s="1203"/>
      <c r="D151" s="1203"/>
      <c r="E151" s="1203"/>
      <c r="F151" s="1203"/>
      <c r="G151" s="1203"/>
      <c r="H151" s="1203"/>
      <c r="I151" s="1203"/>
      <c r="J151" s="1203"/>
      <c r="K151" s="1203"/>
      <c r="L151" s="1203"/>
      <c r="M151" s="1203"/>
      <c r="N151" s="1222"/>
    </row>
    <row r="152" spans="1:14">
      <c r="A152" s="1132" t="s">
        <v>348</v>
      </c>
      <c r="B152" s="22"/>
      <c r="C152" s="3"/>
      <c r="D152" s="3"/>
      <c r="E152" s="3"/>
      <c r="N152" s="407"/>
    </row>
    <row r="153" spans="1:14">
      <c r="A153" s="1133" t="s">
        <v>349</v>
      </c>
      <c r="B153" s="22"/>
      <c r="C153" s="3"/>
      <c r="D153" s="3"/>
      <c r="E153" s="3"/>
      <c r="N153" s="407"/>
    </row>
    <row r="154" spans="1:14">
      <c r="A154" s="1133" t="s">
        <v>350</v>
      </c>
      <c r="B154" s="22"/>
      <c r="C154" s="3"/>
      <c r="D154" s="3"/>
      <c r="E154" s="3"/>
      <c r="N154" s="407"/>
    </row>
    <row r="155" spans="1:14">
      <c r="A155" s="1133" t="s">
        <v>351</v>
      </c>
      <c r="B155" s="22"/>
      <c r="C155" s="3"/>
      <c r="D155" s="3"/>
      <c r="E155" s="3"/>
      <c r="N155" s="407"/>
    </row>
    <row r="156" spans="1:14">
      <c r="A156" s="2915" t="s">
        <v>1670</v>
      </c>
      <c r="B156" s="2916"/>
      <c r="C156" s="2916"/>
      <c r="D156" s="2916"/>
      <c r="E156" s="2916"/>
      <c r="F156" s="2916"/>
      <c r="G156" s="2916"/>
      <c r="H156" s="2916"/>
      <c r="I156" s="2916"/>
      <c r="J156" s="2916"/>
      <c r="K156" s="2916"/>
      <c r="L156" s="2916"/>
      <c r="M156" s="2916"/>
      <c r="N156" s="2917"/>
    </row>
    <row r="157" spans="1:14">
      <c r="A157" s="1133" t="s">
        <v>353</v>
      </c>
      <c r="B157" s="22"/>
      <c r="C157" s="3"/>
      <c r="D157" s="3"/>
      <c r="E157" s="3"/>
      <c r="N157" s="407"/>
    </row>
    <row r="158" spans="1:14">
      <c r="A158" s="1133" t="s">
        <v>354</v>
      </c>
      <c r="B158" s="22"/>
      <c r="C158" s="3"/>
      <c r="D158" s="3"/>
      <c r="E158" s="3"/>
      <c r="N158" s="407"/>
    </row>
    <row r="159" spans="1:14" ht="13.5" thickBot="1">
      <c r="A159" s="2608" t="s">
        <v>355</v>
      </c>
      <c r="B159" s="2609"/>
      <c r="C159" s="2609"/>
      <c r="D159" s="2609"/>
      <c r="E159" s="2609"/>
      <c r="F159" s="2609"/>
      <c r="G159" s="2609"/>
      <c r="H159" s="2609"/>
      <c r="I159" s="2609"/>
      <c r="J159" s="2609"/>
      <c r="K159" s="2609"/>
      <c r="L159" s="2609"/>
      <c r="M159" s="2609"/>
      <c r="N159" s="2610"/>
    </row>
    <row r="160" spans="1:14" ht="13.5" thickTop="1"/>
  </sheetData>
  <sheetProtection algorithmName="SHA-512" hashValue="VodlsMZ1r6mQyTw30r0DeNonF6spHGP94P3UhSL168s4tkd2bciVd5ZTy5TO9Hf9SulV4Ip88nbSoXqhyR25vw==" saltValue="UPHVWgeBDxboq5Jux3UZxg==" spinCount="100000" sheet="1" sort="0" autoFilter="0"/>
  <autoFilter ref="A7:B7" xr:uid="{00000000-0009-0000-0000-000021000000}"/>
  <mergeCells count="16">
    <mergeCell ref="L6:N6"/>
    <mergeCell ref="A159:N159"/>
    <mergeCell ref="A147:N147"/>
    <mergeCell ref="A144:N144"/>
    <mergeCell ref="A2:N2"/>
    <mergeCell ref="I5:N5"/>
    <mergeCell ref="A3:N3"/>
    <mergeCell ref="A4:B4"/>
    <mergeCell ref="A5:A7"/>
    <mergeCell ref="B5:B7"/>
    <mergeCell ref="C4:N4"/>
    <mergeCell ref="A156:N156"/>
    <mergeCell ref="C5:H5"/>
    <mergeCell ref="C6:E6"/>
    <mergeCell ref="F6:H6"/>
    <mergeCell ref="I6:K6"/>
  </mergeCells>
  <phoneticPr fontId="5" type="noConversion"/>
  <pageMargins left="0.7" right="0.7" top="0.75" bottom="0.75" header="0.3" footer="0.3"/>
  <pageSetup scale="47" fitToHeight="0" orientation="portrait" r:id="rId1"/>
  <headerFooter>
    <oddFooter>&amp;C&amp;P of &amp;N&amp;R&amp;A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59999389629810485"/>
    <pageSetUpPr fitToPage="1"/>
  </sheetPr>
  <dimension ref="A1:L44"/>
  <sheetViews>
    <sheetView showGridLines="0" zoomScaleNormal="100" workbookViewId="0">
      <selection activeCell="B2" sqref="B2:C3"/>
    </sheetView>
  </sheetViews>
  <sheetFormatPr defaultColWidth="9.140625" defaultRowHeight="12.75"/>
  <cols>
    <col min="1" max="1" width="6.140625" style="46" customWidth="1"/>
    <col min="2" max="2" width="15" style="46" bestFit="1" customWidth="1"/>
    <col min="3" max="3" width="19.42578125" style="532" customWidth="1"/>
    <col min="4" max="10" width="12.85546875" style="55" customWidth="1"/>
    <col min="11" max="11" width="12.85546875" style="490" customWidth="1"/>
    <col min="12" max="12" width="12.85546875" style="55" customWidth="1"/>
    <col min="13" max="13" width="19.28515625" style="55" customWidth="1"/>
    <col min="14" max="14" width="9.140625" style="55"/>
    <col min="15" max="15" width="12" style="55" bestFit="1" customWidth="1"/>
    <col min="16" max="16384" width="9.140625" style="55"/>
  </cols>
  <sheetData>
    <row r="1" spans="1:12" ht="46.5" customHeight="1" thickBot="1">
      <c r="B1" s="2817" t="s">
        <v>1671</v>
      </c>
      <c r="C1" s="2817"/>
      <c r="D1" s="2817"/>
      <c r="E1" s="2817"/>
      <c r="F1" s="2817"/>
      <c r="G1" s="2817"/>
      <c r="H1" s="2817"/>
      <c r="I1" s="2817"/>
      <c r="J1" s="2817"/>
      <c r="K1" s="2817"/>
      <c r="L1" s="2817"/>
    </row>
    <row r="2" spans="1:12" ht="23.25" customHeight="1" thickBot="1">
      <c r="A2" s="642"/>
      <c r="B2" s="2955" t="str">
        <f>Update</f>
        <v>2025 (Rev 4)</v>
      </c>
      <c r="C2" s="2956"/>
      <c r="D2" s="2945" t="s">
        <v>1672</v>
      </c>
      <c r="E2" s="2946"/>
      <c r="F2" s="2946"/>
      <c r="G2" s="2946"/>
      <c r="H2" s="2946"/>
      <c r="I2" s="2947"/>
      <c r="J2" s="642"/>
    </row>
    <row r="3" spans="1:12" ht="23.45" customHeight="1" thickBot="1">
      <c r="A3" s="642"/>
      <c r="B3" s="2957"/>
      <c r="C3" s="2958"/>
      <c r="D3" s="646" t="s">
        <v>1673</v>
      </c>
      <c r="E3" s="647" t="s">
        <v>1674</v>
      </c>
      <c r="F3" s="816" t="s">
        <v>1675</v>
      </c>
      <c r="G3" s="646" t="s">
        <v>1676</v>
      </c>
      <c r="H3" s="647" t="s">
        <v>1677</v>
      </c>
      <c r="I3" s="648" t="s">
        <v>1678</v>
      </c>
      <c r="J3" s="642"/>
      <c r="K3" s="55"/>
    </row>
    <row r="4" spans="1:12" ht="12.75" customHeight="1">
      <c r="A4" s="644"/>
      <c r="B4" s="2951" t="s">
        <v>1679</v>
      </c>
      <c r="C4" s="2952"/>
      <c r="D4" s="954" t="s">
        <v>1680</v>
      </c>
      <c r="E4" s="956" t="s">
        <v>1680</v>
      </c>
      <c r="F4" s="955" t="s">
        <v>1680</v>
      </c>
      <c r="G4" s="954" t="s">
        <v>1681</v>
      </c>
      <c r="H4" s="956" t="s">
        <v>1681</v>
      </c>
      <c r="I4" s="955" t="s">
        <v>1681</v>
      </c>
      <c r="K4" s="55"/>
    </row>
    <row r="5" spans="1:12" ht="12.75" customHeight="1">
      <c r="A5" s="644"/>
      <c r="B5" s="2959" t="s">
        <v>1682</v>
      </c>
      <c r="C5" s="2960"/>
      <c r="D5" s="957" t="s">
        <v>1683</v>
      </c>
      <c r="E5" s="958" t="s">
        <v>1684</v>
      </c>
      <c r="F5" s="959" t="s">
        <v>1685</v>
      </c>
      <c r="G5" s="957" t="s">
        <v>1686</v>
      </c>
      <c r="H5" s="958" t="s">
        <v>1687</v>
      </c>
      <c r="I5" s="960" t="s">
        <v>1688</v>
      </c>
      <c r="J5" s="642"/>
      <c r="K5" s="55"/>
    </row>
    <row r="6" spans="1:12" ht="12.75" customHeight="1">
      <c r="A6" s="644"/>
      <c r="B6" s="2953" t="s">
        <v>1689</v>
      </c>
      <c r="C6" s="2954"/>
      <c r="D6" s="872" t="s">
        <v>1690</v>
      </c>
      <c r="E6" s="873" t="s">
        <v>1691</v>
      </c>
      <c r="F6" s="874" t="s">
        <v>1692</v>
      </c>
      <c r="G6" s="875" t="s">
        <v>1693</v>
      </c>
      <c r="H6" s="873" t="s">
        <v>1694</v>
      </c>
      <c r="I6" s="876" t="s">
        <v>4309</v>
      </c>
      <c r="J6" s="642"/>
      <c r="K6" s="55"/>
    </row>
    <row r="7" spans="1:12" s="96" customFormat="1" ht="76.5">
      <c r="A7" s="2921"/>
      <c r="B7" s="2934" t="s">
        <v>1695</v>
      </c>
      <c r="C7" s="2935"/>
      <c r="D7" s="961" t="s">
        <v>4269</v>
      </c>
      <c r="E7" s="1624" t="s">
        <v>4270</v>
      </c>
      <c r="F7" s="1625" t="s">
        <v>4271</v>
      </c>
      <c r="G7" s="2942" t="s">
        <v>1696</v>
      </c>
      <c r="H7" s="1625" t="s">
        <v>4272</v>
      </c>
      <c r="I7" s="964" t="s">
        <v>4273</v>
      </c>
      <c r="J7" s="642"/>
    </row>
    <row r="8" spans="1:12" s="96" customFormat="1" ht="24.95" customHeight="1">
      <c r="A8" s="2921"/>
      <c r="B8" s="2936" t="s">
        <v>1698</v>
      </c>
      <c r="C8" s="2937"/>
      <c r="D8" s="2100">
        <v>0.3</v>
      </c>
      <c r="E8" s="1626">
        <v>0.01</v>
      </c>
      <c r="F8" s="962">
        <v>3</v>
      </c>
      <c r="G8" s="2943"/>
      <c r="H8" s="1626">
        <v>0.03</v>
      </c>
      <c r="I8" s="962">
        <v>0.04</v>
      </c>
      <c r="J8" s="645"/>
    </row>
    <row r="9" spans="1:12" s="96" customFormat="1" ht="24.95" customHeight="1">
      <c r="A9" s="2921"/>
      <c r="B9" s="2936" t="s">
        <v>1699</v>
      </c>
      <c r="C9" s="2937"/>
      <c r="D9" s="2100">
        <v>0.7</v>
      </c>
      <c r="E9" s="1626">
        <v>0.1</v>
      </c>
      <c r="F9" s="963" t="s">
        <v>115</v>
      </c>
      <c r="G9" s="2943"/>
      <c r="H9" s="1626">
        <v>0.05</v>
      </c>
      <c r="I9" s="963" t="s">
        <v>115</v>
      </c>
    </row>
    <row r="10" spans="1:12" s="96" customFormat="1" ht="24.95" customHeight="1" thickBot="1">
      <c r="A10" s="2921"/>
      <c r="B10" s="2928" t="s">
        <v>1700</v>
      </c>
      <c r="C10" s="2929"/>
      <c r="D10" s="2101">
        <v>74</v>
      </c>
      <c r="E10" s="1627">
        <v>140</v>
      </c>
      <c r="F10" s="2102">
        <v>330</v>
      </c>
      <c r="G10" s="2944"/>
      <c r="H10" s="1627">
        <v>0.26</v>
      </c>
      <c r="I10" s="2103">
        <v>3.6000000000000002E-4</v>
      </c>
    </row>
    <row r="11" spans="1:12" s="96" customFormat="1" ht="9" customHeight="1" thickBot="1">
      <c r="A11" s="2029"/>
      <c r="B11" s="2029"/>
      <c r="C11" s="651"/>
      <c r="D11" s="649"/>
      <c r="E11" s="649"/>
      <c r="F11" s="650"/>
      <c r="G11" s="650"/>
      <c r="H11" s="649"/>
      <c r="I11" s="650"/>
    </row>
    <row r="12" spans="1:12" s="96" customFormat="1" ht="18" customHeight="1">
      <c r="B12" s="2972" t="str">
        <f>Update</f>
        <v>2025 (Rev 4)</v>
      </c>
      <c r="C12" s="2973"/>
      <c r="D12" s="2925" t="s">
        <v>1701</v>
      </c>
      <c r="E12" s="2926"/>
      <c r="F12" s="2926"/>
      <c r="G12" s="2926"/>
      <c r="H12" s="2926"/>
      <c r="I12" s="2927"/>
      <c r="J12" s="2948" t="s">
        <v>1702</v>
      </c>
      <c r="K12" s="2949"/>
      <c r="L12" s="2950"/>
    </row>
    <row r="13" spans="1:12" s="96" customFormat="1" ht="14.25" customHeight="1" thickBot="1">
      <c r="B13" s="2974"/>
      <c r="C13" s="2975"/>
      <c r="D13" s="2970" t="s">
        <v>1673</v>
      </c>
      <c r="E13" s="2938" t="s">
        <v>1674</v>
      </c>
      <c r="F13" s="2938" t="s">
        <v>1675</v>
      </c>
      <c r="G13" s="2938" t="s">
        <v>1676</v>
      </c>
      <c r="H13" s="2938" t="s">
        <v>1677</v>
      </c>
      <c r="I13" s="2940" t="s">
        <v>1678</v>
      </c>
      <c r="J13" s="2961" t="s">
        <v>1703</v>
      </c>
      <c r="K13" s="2963" t="s">
        <v>1704</v>
      </c>
      <c r="L13" s="2965" t="s">
        <v>1705</v>
      </c>
    </row>
    <row r="14" spans="1:12" s="96" customFormat="1" ht="18" customHeight="1" thickBot="1">
      <c r="B14" s="889" t="s">
        <v>1706</v>
      </c>
      <c r="C14" s="890" t="s">
        <v>1707</v>
      </c>
      <c r="D14" s="2971"/>
      <c r="E14" s="2939"/>
      <c r="F14" s="2939"/>
      <c r="G14" s="2939"/>
      <c r="H14" s="2939"/>
      <c r="I14" s="2941"/>
      <c r="J14" s="2962"/>
      <c r="K14" s="2964"/>
      <c r="L14" s="2966"/>
    </row>
    <row r="15" spans="1:12" ht="18" customHeight="1">
      <c r="A15" s="55"/>
      <c r="B15" s="2922" t="s">
        <v>1708</v>
      </c>
      <c r="C15" s="887" t="s">
        <v>1709</v>
      </c>
      <c r="D15" s="965">
        <f>(0.23+0.22)/(1-0.275)</f>
        <v>0.62068965517241381</v>
      </c>
      <c r="E15" s="657">
        <f>(0.09+0.03)/(1-0.275)</f>
        <v>0.16551724137931034</v>
      </c>
      <c r="F15" s="660" t="s">
        <v>115</v>
      </c>
      <c r="G15" s="2930" t="s">
        <v>1710</v>
      </c>
      <c r="H15" s="641">
        <f>(0.13+0.025)/(1-0.275)</f>
        <v>0.21379310344827587</v>
      </c>
      <c r="I15" s="669" t="s">
        <v>115</v>
      </c>
      <c r="J15" s="653">
        <f>1/((D15/D8)+(E15/E8)+(H15/H8))</f>
        <v>3.8839285714285708E-2</v>
      </c>
      <c r="K15" s="671" t="s">
        <v>115</v>
      </c>
      <c r="L15" s="672" t="s">
        <v>115</v>
      </c>
    </row>
    <row r="16" spans="1:12" ht="18" customHeight="1">
      <c r="A16" s="55"/>
      <c r="B16" s="2923"/>
      <c r="C16" s="966" t="s">
        <v>1711</v>
      </c>
      <c r="D16" s="967">
        <v>1</v>
      </c>
      <c r="E16" s="968" t="s">
        <v>115</v>
      </c>
      <c r="F16" s="968" t="s">
        <v>115</v>
      </c>
      <c r="G16" s="2931"/>
      <c r="H16" s="968" t="s">
        <v>1712</v>
      </c>
      <c r="I16" s="969" t="s">
        <v>115</v>
      </c>
      <c r="J16" s="970">
        <f>D16*D8</f>
        <v>0.3</v>
      </c>
      <c r="K16" s="971" t="s">
        <v>115</v>
      </c>
      <c r="L16" s="972" t="s">
        <v>115</v>
      </c>
    </row>
    <row r="17" spans="1:12" ht="18" customHeight="1" thickBot="1">
      <c r="A17" s="55"/>
      <c r="B17" s="2923"/>
      <c r="C17" s="886" t="s">
        <v>1713</v>
      </c>
      <c r="D17" s="652">
        <v>0.99</v>
      </c>
      <c r="E17" s="659" t="s">
        <v>115</v>
      </c>
      <c r="F17" s="659" t="s">
        <v>115</v>
      </c>
      <c r="G17" s="2932"/>
      <c r="H17" s="878">
        <v>0.01</v>
      </c>
      <c r="I17" s="668" t="s">
        <v>115</v>
      </c>
      <c r="J17" s="670" t="s">
        <v>115</v>
      </c>
      <c r="K17" s="654">
        <f>1/((D17/D9)+(H17/H9))*1000</f>
        <v>619.46902654867256</v>
      </c>
      <c r="L17" s="655">
        <f>(D17*D10)+(H17*H10)</f>
        <v>73.262600000000006</v>
      </c>
    </row>
    <row r="18" spans="1:12" s="643" customFormat="1" ht="18" customHeight="1">
      <c r="B18" s="2922" t="s">
        <v>1714</v>
      </c>
      <c r="C18" s="887" t="s">
        <v>1709</v>
      </c>
      <c r="D18" s="661" t="s">
        <v>1712</v>
      </c>
      <c r="E18" s="657">
        <v>0.86</v>
      </c>
      <c r="F18" s="660" t="s">
        <v>115</v>
      </c>
      <c r="G18" s="2932"/>
      <c r="H18" s="641">
        <v>0.14000000000000001</v>
      </c>
      <c r="I18" s="669" t="s">
        <v>115</v>
      </c>
      <c r="J18" s="653">
        <f>1/((E18/E8)+(H18/H8))</f>
        <v>1.1029411764705881E-2</v>
      </c>
      <c r="K18" s="671" t="s">
        <v>115</v>
      </c>
      <c r="L18" s="672" t="s">
        <v>115</v>
      </c>
    </row>
    <row r="19" spans="1:12" s="643" customFormat="1" ht="18" customHeight="1">
      <c r="B19" s="2923"/>
      <c r="C19" s="966" t="s">
        <v>1711</v>
      </c>
      <c r="D19" s="973" t="s">
        <v>1712</v>
      </c>
      <c r="E19" s="968" t="s">
        <v>115</v>
      </c>
      <c r="F19" s="968" t="s">
        <v>115</v>
      </c>
      <c r="G19" s="2932"/>
      <c r="H19" s="975">
        <v>1</v>
      </c>
      <c r="I19" s="969" t="s">
        <v>115</v>
      </c>
      <c r="J19" s="970">
        <f>H19*H8</f>
        <v>0.03</v>
      </c>
      <c r="K19" s="971" t="s">
        <v>115</v>
      </c>
      <c r="L19" s="972" t="s">
        <v>115</v>
      </c>
    </row>
    <row r="20" spans="1:12" s="643" customFormat="1" ht="18" customHeight="1" thickBot="1">
      <c r="B20" s="2924"/>
      <c r="C20" s="888" t="s">
        <v>1713</v>
      </c>
      <c r="D20" s="879">
        <v>0.82</v>
      </c>
      <c r="E20" s="870">
        <v>0.14000000000000001</v>
      </c>
      <c r="F20" s="664" t="s">
        <v>115</v>
      </c>
      <c r="G20" s="2932"/>
      <c r="H20" s="974">
        <v>0.04</v>
      </c>
      <c r="I20" s="667" t="s">
        <v>115</v>
      </c>
      <c r="J20" s="670" t="s">
        <v>115</v>
      </c>
      <c r="K20" s="654">
        <f>1/((D20/D9)+(E20/E9)+(H20/H9))*1000</f>
        <v>296.61016949152543</v>
      </c>
      <c r="L20" s="655">
        <f>(D20*D10)+(E20*E10)+(H20*H10)</f>
        <v>80.290400000000005</v>
      </c>
    </row>
    <row r="21" spans="1:12" s="643" customFormat="1" ht="18" customHeight="1">
      <c r="B21" s="2923" t="s">
        <v>1715</v>
      </c>
      <c r="C21" s="887" t="s">
        <v>1709</v>
      </c>
      <c r="D21" s="973" t="s">
        <v>1712</v>
      </c>
      <c r="E21" s="877">
        <v>0.73</v>
      </c>
      <c r="F21" s="659" t="s">
        <v>115</v>
      </c>
      <c r="G21" s="2932"/>
      <c r="H21" s="878">
        <v>0.27</v>
      </c>
      <c r="I21" s="668" t="s">
        <v>115</v>
      </c>
      <c r="J21" s="653">
        <f>1/((E21/E8)+(H21/H8))</f>
        <v>1.2195121951219513E-2</v>
      </c>
      <c r="K21" s="671"/>
      <c r="L21" s="672"/>
    </row>
    <row r="22" spans="1:12" s="643" customFormat="1" ht="18" customHeight="1">
      <c r="B22" s="2923"/>
      <c r="C22" s="966" t="s">
        <v>1711</v>
      </c>
      <c r="D22" s="973" t="s">
        <v>1712</v>
      </c>
      <c r="E22" s="968" t="s">
        <v>115</v>
      </c>
      <c r="F22" s="968" t="s">
        <v>115</v>
      </c>
      <c r="G22" s="2932"/>
      <c r="H22" s="975">
        <v>1</v>
      </c>
      <c r="I22" s="969" t="s">
        <v>115</v>
      </c>
      <c r="J22" s="970">
        <f>H22*H8</f>
        <v>0.03</v>
      </c>
      <c r="K22" s="971"/>
      <c r="L22" s="972"/>
    </row>
    <row r="23" spans="1:12" s="643" customFormat="1" ht="18" customHeight="1" thickBot="1">
      <c r="B23" s="2924"/>
      <c r="C23" s="888" t="s">
        <v>1713</v>
      </c>
      <c r="D23" s="879">
        <v>0.82</v>
      </c>
      <c r="E23" s="870">
        <v>0.14000000000000001</v>
      </c>
      <c r="F23" s="664" t="s">
        <v>115</v>
      </c>
      <c r="G23" s="2932"/>
      <c r="H23" s="878">
        <v>0.04</v>
      </c>
      <c r="I23" s="668" t="s">
        <v>115</v>
      </c>
      <c r="J23" s="670"/>
      <c r="K23" s="654">
        <f>1/((D23/D9)+(E23/E9)+(H23/H9))*1000</f>
        <v>296.61016949152543</v>
      </c>
      <c r="L23" s="655">
        <f>(D23*D10)+(E23*E10)+(H23*H10)</f>
        <v>80.290400000000005</v>
      </c>
    </row>
    <row r="24" spans="1:12" s="643" customFormat="1" ht="18" customHeight="1">
      <c r="B24" s="2922" t="s">
        <v>1716</v>
      </c>
      <c r="C24" s="887" t="s">
        <v>1709</v>
      </c>
      <c r="D24" s="973" t="s">
        <v>1712</v>
      </c>
      <c r="E24" s="877">
        <v>0.45</v>
      </c>
      <c r="F24" s="880">
        <v>0.35</v>
      </c>
      <c r="G24" s="2932"/>
      <c r="H24" s="641">
        <v>0.2</v>
      </c>
      <c r="I24" s="669" t="s">
        <v>115</v>
      </c>
      <c r="J24" s="653">
        <f>1/((E24/E8)+(F24/F8)+(H24/H8))</f>
        <v>1.931123270035404E-2</v>
      </c>
      <c r="K24" s="671" t="s">
        <v>115</v>
      </c>
      <c r="L24" s="672" t="s">
        <v>115</v>
      </c>
    </row>
    <row r="25" spans="1:12" ht="18" customHeight="1">
      <c r="A25" s="55"/>
      <c r="B25" s="2923"/>
      <c r="C25" s="966" t="s">
        <v>1711</v>
      </c>
      <c r="D25" s="973" t="s">
        <v>1712</v>
      </c>
      <c r="E25" s="968" t="s">
        <v>115</v>
      </c>
      <c r="F25" s="968" t="s">
        <v>115</v>
      </c>
      <c r="G25" s="2932"/>
      <c r="H25" s="975">
        <v>1</v>
      </c>
      <c r="I25" s="969" t="s">
        <v>115</v>
      </c>
      <c r="J25" s="970">
        <f>H25*H8</f>
        <v>0.03</v>
      </c>
      <c r="K25" s="971" t="s">
        <v>115</v>
      </c>
      <c r="L25" s="972" t="s">
        <v>115</v>
      </c>
    </row>
    <row r="26" spans="1:12" ht="18" customHeight="1" thickBot="1">
      <c r="A26" s="55"/>
      <c r="B26" s="2924"/>
      <c r="C26" s="888" t="s">
        <v>1713</v>
      </c>
      <c r="D26" s="879">
        <v>0.73</v>
      </c>
      <c r="E26" s="870">
        <v>0.13</v>
      </c>
      <c r="F26" s="664" t="s">
        <v>115</v>
      </c>
      <c r="G26" s="2932"/>
      <c r="H26" s="974">
        <v>0.14000000000000001</v>
      </c>
      <c r="I26" s="667" t="s">
        <v>115</v>
      </c>
      <c r="J26" s="976" t="s">
        <v>115</v>
      </c>
      <c r="K26" s="654">
        <f>1/((D26/D9)+(E26/E9)+(H26/H9))*1000</f>
        <v>194.44444444444443</v>
      </c>
      <c r="L26" s="655">
        <f>(D26*D10)+(E26*E10)+(H26*H10)</f>
        <v>72.256399999999999</v>
      </c>
    </row>
    <row r="27" spans="1:12" ht="18" customHeight="1">
      <c r="A27" s="55"/>
      <c r="B27" s="2922" t="s">
        <v>1717</v>
      </c>
      <c r="C27" s="887" t="s">
        <v>1709</v>
      </c>
      <c r="D27" s="661" t="s">
        <v>115</v>
      </c>
      <c r="E27" s="662" t="s">
        <v>115</v>
      </c>
      <c r="F27" s="656">
        <v>0.75</v>
      </c>
      <c r="G27" s="2932"/>
      <c r="H27" s="665" t="s">
        <v>115</v>
      </c>
      <c r="I27" s="658">
        <v>0.25</v>
      </c>
      <c r="J27" s="653">
        <f>1/((F27/F8)+(I27/I8))</f>
        <v>0.15384615384615385</v>
      </c>
      <c r="K27" s="671" t="s">
        <v>115</v>
      </c>
      <c r="L27" s="672" t="s">
        <v>115</v>
      </c>
    </row>
    <row r="28" spans="1:12" ht="18" customHeight="1">
      <c r="A28" s="55"/>
      <c r="B28" s="2923"/>
      <c r="C28" s="966" t="s">
        <v>1711</v>
      </c>
      <c r="D28" s="973" t="s">
        <v>115</v>
      </c>
      <c r="E28" s="968" t="s">
        <v>115</v>
      </c>
      <c r="F28" s="968" t="s">
        <v>115</v>
      </c>
      <c r="G28" s="2932"/>
      <c r="H28" s="977" t="s">
        <v>115</v>
      </c>
      <c r="I28" s="969" t="s">
        <v>115</v>
      </c>
      <c r="J28" s="978" t="s">
        <v>115</v>
      </c>
      <c r="K28" s="971" t="s">
        <v>115</v>
      </c>
      <c r="L28" s="972" t="s">
        <v>115</v>
      </c>
    </row>
    <row r="29" spans="1:12" ht="18" customHeight="1" thickBot="1">
      <c r="A29" s="55"/>
      <c r="B29" s="2924"/>
      <c r="C29" s="888" t="s">
        <v>1713</v>
      </c>
      <c r="D29" s="663" t="s">
        <v>115</v>
      </c>
      <c r="E29" s="664" t="s">
        <v>115</v>
      </c>
      <c r="F29" s="664" t="s">
        <v>115</v>
      </c>
      <c r="G29" s="2933"/>
      <c r="H29" s="666" t="s">
        <v>115</v>
      </c>
      <c r="I29" s="667" t="s">
        <v>115</v>
      </c>
      <c r="J29" s="670" t="s">
        <v>115</v>
      </c>
      <c r="K29" s="673" t="s">
        <v>115</v>
      </c>
      <c r="L29" s="674" t="s">
        <v>115</v>
      </c>
    </row>
    <row r="30" spans="1:12" ht="12.75" customHeight="1">
      <c r="A30" s="55"/>
      <c r="B30" s="933"/>
      <c r="C30" s="931"/>
      <c r="D30" s="932"/>
      <c r="E30" s="932"/>
      <c r="F30" s="932"/>
      <c r="G30" s="932"/>
      <c r="H30" s="932"/>
      <c r="I30" s="932"/>
      <c r="J30" s="932"/>
      <c r="K30" s="932"/>
      <c r="L30" s="934"/>
    </row>
    <row r="31" spans="1:12" ht="12.75" customHeight="1">
      <c r="B31" s="935" t="s">
        <v>347</v>
      </c>
      <c r="C31" s="55"/>
      <c r="K31" s="55"/>
      <c r="L31" s="62"/>
    </row>
    <row r="32" spans="1:12" ht="12.75" customHeight="1">
      <c r="B32" s="936" t="s">
        <v>1718</v>
      </c>
      <c r="C32" s="55"/>
      <c r="K32" s="55"/>
      <c r="L32" s="62"/>
    </row>
    <row r="33" spans="2:12" ht="13.5" customHeight="1">
      <c r="B33" s="936" t="s">
        <v>1719</v>
      </c>
      <c r="C33" s="55"/>
      <c r="K33" s="55"/>
      <c r="L33" s="62"/>
    </row>
    <row r="34" spans="2:12" ht="13.5" customHeight="1">
      <c r="B34" s="936" t="s">
        <v>4278</v>
      </c>
      <c r="L34" s="62"/>
    </row>
    <row r="35" spans="2:12" ht="51" customHeight="1">
      <c r="B35" s="2967" t="s">
        <v>4277</v>
      </c>
      <c r="C35" s="2968"/>
      <c r="D35" s="2968"/>
      <c r="E35" s="2968"/>
      <c r="F35" s="2968"/>
      <c r="G35" s="2968"/>
      <c r="H35" s="2968"/>
      <c r="I35" s="2968"/>
      <c r="J35" s="2968"/>
      <c r="K35" s="2968"/>
      <c r="L35" s="2969"/>
    </row>
    <row r="36" spans="2:12">
      <c r="B36" s="936" t="s">
        <v>1720</v>
      </c>
      <c r="C36" s="2027"/>
      <c r="D36" s="2027"/>
      <c r="E36" s="2027"/>
      <c r="F36" s="2027"/>
      <c r="G36" s="2027"/>
      <c r="H36" s="2027"/>
      <c r="I36" s="2027"/>
      <c r="J36" s="2027"/>
      <c r="K36" s="2027"/>
      <c r="L36" s="2028"/>
    </row>
    <row r="37" spans="2:12">
      <c r="B37" s="936" t="s">
        <v>1721</v>
      </c>
      <c r="C37" s="2027"/>
      <c r="D37" s="2027"/>
      <c r="E37" s="2027"/>
      <c r="F37" s="2027"/>
      <c r="G37" s="2027"/>
      <c r="H37" s="2027"/>
      <c r="I37" s="2027"/>
      <c r="J37" s="2027"/>
      <c r="K37" s="2027"/>
      <c r="L37" s="2028"/>
    </row>
    <row r="38" spans="2:12" ht="36.75" customHeight="1">
      <c r="B38" s="2967" t="s">
        <v>1722</v>
      </c>
      <c r="C38" s="2968"/>
      <c r="D38" s="2968"/>
      <c r="E38" s="2968"/>
      <c r="F38" s="2968"/>
      <c r="G38" s="2968"/>
      <c r="H38" s="2968"/>
      <c r="I38" s="2968"/>
      <c r="J38" s="2968"/>
      <c r="K38" s="2968"/>
      <c r="L38" s="2969"/>
    </row>
    <row r="39" spans="2:12" ht="13.5" customHeight="1">
      <c r="B39" s="936" t="s">
        <v>1723</v>
      </c>
      <c r="C39" s="55"/>
      <c r="K39" s="55"/>
      <c r="L39" s="62"/>
    </row>
    <row r="40" spans="2:12" ht="13.5" customHeight="1">
      <c r="B40" s="936" t="s">
        <v>1724</v>
      </c>
      <c r="C40" s="55"/>
      <c r="K40" s="55"/>
      <c r="L40" s="62"/>
    </row>
    <row r="41" spans="2:12" ht="13.5" thickBot="1">
      <c r="B41" s="979" t="s">
        <v>1725</v>
      </c>
      <c r="C41" s="980"/>
      <c r="D41" s="980"/>
      <c r="E41" s="980"/>
      <c r="F41" s="980"/>
      <c r="G41" s="980"/>
      <c r="H41" s="980"/>
      <c r="I41" s="980"/>
      <c r="J41" s="980"/>
      <c r="K41" s="980"/>
      <c r="L41" s="981"/>
    </row>
    <row r="42" spans="2:12">
      <c r="B42" s="55"/>
      <c r="C42" s="55"/>
      <c r="K42" s="55"/>
    </row>
    <row r="43" spans="2:12">
      <c r="B43" s="55"/>
      <c r="C43" s="55"/>
      <c r="K43" s="55"/>
    </row>
    <row r="44" spans="2:12">
      <c r="B44" s="55"/>
      <c r="C44" s="55"/>
      <c r="K44" s="55"/>
    </row>
  </sheetData>
  <sheetProtection algorithmName="SHA-512" hashValue="5zSsSvHhjbd02Ddi429Eg3R4aS7b7m4xZPD71j+ucI1gAkTXHn/GSpKzHIDEgbrzSG5x5s6yVImtx/c83zdxzA==" saltValue="2Jw3t452nHljKu4VlWAzqw==" spinCount="100000" sheet="1" objects="1" scenarios="1"/>
  <mergeCells count="32">
    <mergeCell ref="J13:J14"/>
    <mergeCell ref="K13:K14"/>
    <mergeCell ref="L13:L14"/>
    <mergeCell ref="B35:L35"/>
    <mergeCell ref="B38:L38"/>
    <mergeCell ref="D13:D14"/>
    <mergeCell ref="E13:E14"/>
    <mergeCell ref="F13:F14"/>
    <mergeCell ref="G13:G14"/>
    <mergeCell ref="B12:C13"/>
    <mergeCell ref="B1:L1"/>
    <mergeCell ref="D2:I2"/>
    <mergeCell ref="J12:L12"/>
    <mergeCell ref="B4:C4"/>
    <mergeCell ref="B6:C6"/>
    <mergeCell ref="B2:C3"/>
    <mergeCell ref="B5:C5"/>
    <mergeCell ref="A7:A10"/>
    <mergeCell ref="B18:B20"/>
    <mergeCell ref="B15:B17"/>
    <mergeCell ref="D12:I12"/>
    <mergeCell ref="B10:C10"/>
    <mergeCell ref="G15:G29"/>
    <mergeCell ref="B24:B26"/>
    <mergeCell ref="B27:B29"/>
    <mergeCell ref="B21:B23"/>
    <mergeCell ref="B7:C7"/>
    <mergeCell ref="B8:C8"/>
    <mergeCell ref="B9:C9"/>
    <mergeCell ref="H13:H14"/>
    <mergeCell ref="I13:I14"/>
    <mergeCell ref="G7:G10"/>
  </mergeCells>
  <pageMargins left="0.7" right="0.7" top="0.75" bottom="0.75" header="0.3" footer="0.3"/>
  <pageSetup scale="83" fitToHeight="0" orientation="landscape" r:id="rId1"/>
  <headerFooter>
    <oddFooter>&amp;CPage &amp;P of &amp;N&amp;R&amp;A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CA2E0-6656-43C6-B2AB-AE8AA7D72716}">
  <dimension ref="A1:W140"/>
  <sheetViews>
    <sheetView zoomScaleNormal="100" workbookViewId="0">
      <pane xSplit="2" ySplit="4" topLeftCell="K5" activePane="bottomRight" state="frozen"/>
      <selection pane="topRight" activeCell="C1" sqref="C1"/>
      <selection pane="bottomLeft" activeCell="A5" sqref="A5"/>
      <selection pane="bottomRight" activeCell="Q54" sqref="Q54"/>
    </sheetView>
  </sheetViews>
  <sheetFormatPr defaultRowHeight="12.75"/>
  <cols>
    <col min="1" max="1" width="40.85546875" bestFit="1" customWidth="1"/>
    <col min="3" max="7" width="16.7109375" customWidth="1"/>
    <col min="8" max="8" width="16.7109375" style="1895" customWidth="1"/>
    <col min="9" max="12" width="16.7109375" customWidth="1"/>
    <col min="13" max="13" width="16.7109375" style="1895" customWidth="1"/>
    <col min="14" max="17" width="16.7109375" customWidth="1"/>
    <col min="18" max="18" width="16.7109375" style="1895" customWidth="1"/>
    <col min="19" max="22" width="16.7109375" customWidth="1"/>
    <col min="23" max="23" width="9.140625" style="1895"/>
  </cols>
  <sheetData>
    <row r="1" spans="1:23" s="1923" customFormat="1" ht="18.75" thickBot="1">
      <c r="A1" s="2982" t="s">
        <v>4255</v>
      </c>
      <c r="B1" s="2982"/>
      <c r="C1" s="2982"/>
      <c r="D1" s="2982"/>
      <c r="E1" s="2982"/>
      <c r="F1" s="2982"/>
      <c r="G1" s="2982"/>
      <c r="H1" s="2982"/>
      <c r="I1" s="2982"/>
      <c r="J1" s="2982"/>
      <c r="K1" s="2982"/>
      <c r="L1" s="2982"/>
      <c r="M1" s="2982"/>
      <c r="N1" s="2982"/>
      <c r="O1" s="2982"/>
      <c r="P1" s="2982"/>
      <c r="Q1" s="2982"/>
      <c r="R1" s="2982"/>
      <c r="S1" s="2982"/>
      <c r="T1" s="2982"/>
      <c r="U1" s="2982"/>
      <c r="V1" s="2983"/>
      <c r="W1" s="1924"/>
    </row>
    <row r="2" spans="1:23">
      <c r="A2" s="2984" t="s">
        <v>661</v>
      </c>
      <c r="B2" s="2987" t="s">
        <v>80</v>
      </c>
      <c r="C2" s="2990" t="s">
        <v>4256</v>
      </c>
      <c r="D2" s="2977"/>
      <c r="E2" s="2977"/>
      <c r="F2" s="2977"/>
      <c r="G2" s="2978"/>
      <c r="H2" s="2976" t="s">
        <v>642</v>
      </c>
      <c r="I2" s="2977"/>
      <c r="J2" s="2977"/>
      <c r="K2" s="2977"/>
      <c r="L2" s="2978"/>
      <c r="M2" s="2976" t="s">
        <v>4215</v>
      </c>
      <c r="N2" s="2977"/>
      <c r="O2" s="2977"/>
      <c r="P2" s="2977"/>
      <c r="Q2" s="2978"/>
      <c r="R2" s="2976" t="s">
        <v>4216</v>
      </c>
      <c r="S2" s="2977"/>
      <c r="T2" s="2977"/>
      <c r="U2" s="2977"/>
      <c r="V2" s="2978"/>
      <c r="W2"/>
    </row>
    <row r="3" spans="1:23" s="643" customFormat="1">
      <c r="A3" s="2985"/>
      <c r="B3" s="2988"/>
      <c r="C3" s="2991"/>
      <c r="D3" s="2980"/>
      <c r="E3" s="2980"/>
      <c r="F3" s="2980"/>
      <c r="G3" s="2981"/>
      <c r="H3" s="2979"/>
      <c r="I3" s="2980"/>
      <c r="J3" s="2980"/>
      <c r="K3" s="2980"/>
      <c r="L3" s="2981"/>
      <c r="M3" s="2979"/>
      <c r="N3" s="2980"/>
      <c r="O3" s="2980"/>
      <c r="P3" s="2980"/>
      <c r="Q3" s="2981"/>
      <c r="R3" s="2979"/>
      <c r="S3" s="2980"/>
      <c r="T3" s="2980"/>
      <c r="U3" s="2980"/>
      <c r="V3" s="2981"/>
    </row>
    <row r="4" spans="1:23" s="643" customFormat="1" ht="13.5" thickBot="1">
      <c r="A4" s="2986"/>
      <c r="B4" s="2989"/>
      <c r="C4" s="1904">
        <v>2019</v>
      </c>
      <c r="D4" s="1917" t="s">
        <v>379</v>
      </c>
      <c r="E4" s="1898">
        <v>2025</v>
      </c>
      <c r="F4" s="1917" t="s">
        <v>379</v>
      </c>
      <c r="G4" s="1899" t="s">
        <v>3555</v>
      </c>
      <c r="H4" s="1902">
        <v>2019</v>
      </c>
      <c r="I4" s="1917" t="s">
        <v>379</v>
      </c>
      <c r="J4" s="1898">
        <v>2025</v>
      </c>
      <c r="K4" s="1917" t="s">
        <v>379</v>
      </c>
      <c r="L4" s="1899" t="s">
        <v>3555</v>
      </c>
      <c r="M4" s="1902">
        <v>2019</v>
      </c>
      <c r="N4" s="1917" t="s">
        <v>379</v>
      </c>
      <c r="O4" s="1898">
        <v>2025</v>
      </c>
      <c r="P4" s="1917" t="s">
        <v>379</v>
      </c>
      <c r="Q4" s="1899" t="s">
        <v>3555</v>
      </c>
      <c r="R4" s="1902">
        <v>2019</v>
      </c>
      <c r="S4" s="1917" t="s">
        <v>379</v>
      </c>
      <c r="T4" s="1898">
        <v>2025</v>
      </c>
      <c r="U4" s="1917" t="s">
        <v>379</v>
      </c>
      <c r="V4" s="1899" t="s">
        <v>3555</v>
      </c>
    </row>
    <row r="5" spans="1:23">
      <c r="A5" s="1909" t="s">
        <v>391</v>
      </c>
      <c r="B5" s="1900" t="s">
        <v>392</v>
      </c>
      <c r="C5" s="1905">
        <f t="shared" ref="C5:C36" si="0">VLOOKUP($B5,Table_T1_19,MATCH("Gw",heading_T1_19,0),FALSE)</f>
        <v>1500</v>
      </c>
      <c r="D5" s="1685" t="str">
        <f t="shared" ref="D5:D36" si="1">VLOOKUP($B5,Table_T1_19,MATCH("Gw-b",heading_T1_19,0),FALSE)</f>
        <v>Aquatic Habitat</v>
      </c>
      <c r="E5" s="1684">
        <f t="shared" ref="E5:E19" si="2">VLOOKUP($A5,Table_GW_Summary,MATCH("GW-ESL",heading_GW_Summary,0),FALSE)</f>
        <v>1500</v>
      </c>
      <c r="F5" s="1685" t="str">
        <f t="shared" ref="F5:F19" si="3">VLOOKUP($A5,Table_GW_Summary,MATCH("GW-B",heading_GW_Summary,0),FALSE)</f>
        <v>Aquatic Habitat</v>
      </c>
      <c r="G5" s="1919" t="str">
        <f>IF(AND(C5="--",E5="--"),"--",IF(AND(C5="--",E5&lt;&gt;"--"),"New",IF(AND(E5="--",C5&lt;&gt;"--"),"Removed",IF((C5-E5)=0,"--",(E5-C5)/E5))))</f>
        <v>--</v>
      </c>
      <c r="H5" s="1685">
        <f t="shared" ref="H5:H20" si="4">VLOOKUP($B5,Table_T1_19,MATCH("S",heading_T1_19,0),FALSE)</f>
        <v>0.9234675</v>
      </c>
      <c r="I5" s="1685" t="str">
        <f t="shared" ref="I5:I36" si="5">VLOOKUP($B5,Table_T1_19,MATCH("S-b",heading_T1_19,0),FALSE)</f>
        <v>Leaching</v>
      </c>
      <c r="J5" s="1684">
        <f t="shared" ref="J5:J20" si="6">VLOOKUP($A5,Table_S_Summary,MATCH("Soil-ESL",heading_S_Summary,0),FALSE)</f>
        <v>0.91450350000000002</v>
      </c>
      <c r="K5" s="1685" t="str">
        <f t="shared" ref="K5:K20" si="7">VLOOKUP($A5,Table_S_Summary,MATCH("S-B",heading_S_Summary,0),FALSE)</f>
        <v>Leaching</v>
      </c>
      <c r="L5" s="1919">
        <f>IF(AND(H5="--",J5="--"),"--",IF(AND(H5="--",J5&lt;&gt;"--"),"New",IF(AND(J5="--",H5&lt;&gt;"--"),"Removed",IF((H5-J5)=0,"--",(J5-H5)/J5))))</f>
        <v>-9.8020401234111976E-3</v>
      </c>
      <c r="M5" s="1685">
        <f t="shared" ref="M5:M36" si="8">VLOOKUP($B5,Table_T1_19,MATCH("SG",heading_T1_19,0),FALSE)</f>
        <v>1028733.3333333334</v>
      </c>
      <c r="N5" s="1685" t="str">
        <f t="shared" ref="N5:N36" si="9">VLOOKUP($B5,Table_T1_19,MATCH("SG-b",heading_T1_19,0),FALSE)</f>
        <v>Odor/Nuis</v>
      </c>
      <c r="O5" s="1684">
        <f t="shared" ref="O5:O30" si="10">VLOOKUP($A5,Table_V_Summary,MATCH("SG-ESL",heading_V_Summary,0),FALSE)</f>
        <v>1028733.3333333334</v>
      </c>
      <c r="P5" s="1685" t="str">
        <f t="shared" ref="P5:P30" si="11">VLOOKUP($A5,Table_V_Summary,MATCH("SG-B",heading_V_Summary,0),FALSE)</f>
        <v>Odor/Nuis</v>
      </c>
      <c r="Q5" s="1919" t="str">
        <f>IF(AND(M5="--",O5="--"),"--",IF(AND(M5="--",O5&lt;&gt;"--"),"New",IF(AND(O5="--",M5&lt;&gt;"--"),"Removed",IF((M5-O5)=0,"--",(O5-M5)/O5))))</f>
        <v>--</v>
      </c>
      <c r="R5" s="1685">
        <f t="shared" ref="R5:R36" si="12">VLOOKUP($B5,Table_T1_19,MATCH("IA",heading_T1_19,0),FALSE)</f>
        <v>30862</v>
      </c>
      <c r="S5" s="1685" t="str">
        <f t="shared" ref="S5:S36" si="13">VLOOKUP($B5,Table_T1_19,MATCH("IA-b",heading_T1_19,0),FALSE)</f>
        <v>Nuis/Odor</v>
      </c>
      <c r="T5" s="1684">
        <f t="shared" ref="T5:T30" si="14">VLOOKUP($A5,Table_V_Summary,MATCH("IA-ESL",heading_V_Summary,0),FALSE)</f>
        <v>30862</v>
      </c>
      <c r="U5" s="1685" t="str">
        <f t="shared" ref="U5:U30" si="15">VLOOKUP($A5,Table_V_Summary,MATCH("IA-B",heading_V_Summary,0),FALSE)</f>
        <v>Nuis/Odor</v>
      </c>
      <c r="V5" s="1919" t="str">
        <f>IF(AND(R5="--",T5="--"),"--",IF(AND(R5="--",T5&lt;&gt;"--"),"New",IF(AND(T5="--",R5&lt;&gt;"--"),"Removed",IF((R5-T5)=0,"--",(T5-R5)/T5))))</f>
        <v>--</v>
      </c>
      <c r="W5"/>
    </row>
    <row r="6" spans="1:23">
      <c r="A6" s="1910" t="s">
        <v>85</v>
      </c>
      <c r="B6" s="1901" t="s">
        <v>86</v>
      </c>
      <c r="C6" s="1905">
        <f t="shared" si="0"/>
        <v>1.3999999999999999E-4</v>
      </c>
      <c r="D6" s="1685" t="str">
        <f t="shared" si="1"/>
        <v>Aquatic Habitat</v>
      </c>
      <c r="E6" s="1684">
        <f t="shared" si="2"/>
        <v>7.7000000000000004E-7</v>
      </c>
      <c r="F6" s="1685" t="str">
        <f t="shared" si="3"/>
        <v>Aquatic Habitat</v>
      </c>
      <c r="G6" s="1919">
        <f t="shared" ref="G6:G70" si="16">IF(AND(C6="--",E6="--"),"--",IF(AND(C6="--",E6&lt;&gt;"--"),"New",IF(AND(E6="--",C6&lt;&gt;"--"),"Removed",IF((C6-E6)=0,"--",(E6-C6)/E6))))</f>
        <v>-180.81818181818178</v>
      </c>
      <c r="H6" s="1685">
        <f t="shared" si="4"/>
        <v>2.3999999999999998E-3</v>
      </c>
      <c r="I6" s="1685" t="str">
        <f t="shared" si="5"/>
        <v>Terr Habitat</v>
      </c>
      <c r="J6" s="1684">
        <f t="shared" si="6"/>
        <v>2.3999999999999998E-3</v>
      </c>
      <c r="K6" s="1685" t="str">
        <f t="shared" si="7"/>
        <v>Terr Habitat</v>
      </c>
      <c r="L6" s="1919" t="str">
        <f t="shared" ref="L6:L70" si="17">IF(AND(H6="--",J6="--"),"--",IF(AND(H6="--",J6&lt;&gt;"--"),"New",IF(AND(J6="--",H6&lt;&gt;"--"),"Removed",IF((H6-J6)=0,"--",(J6-H6)/J6))))</f>
        <v>--</v>
      </c>
      <c r="M6" s="1685">
        <f t="shared" si="8"/>
        <v>1.9099947671376245E-2</v>
      </c>
      <c r="N6" s="1685" t="str">
        <f t="shared" si="9"/>
        <v>Canc-Risk</v>
      </c>
      <c r="O6" s="1684">
        <f t="shared" si="10"/>
        <v>1.9099947671376245E-2</v>
      </c>
      <c r="P6" s="1685" t="str">
        <f t="shared" si="11"/>
        <v>Canc-Risk</v>
      </c>
      <c r="Q6" s="1919" t="str">
        <f t="shared" ref="Q6:Q70" si="18">IF(AND(M6="--",O6="--"),"--",IF(AND(M6="--",O6&lt;&gt;"--"),"New",IF(AND(O6="--",M6&lt;&gt;"--"),"Removed",IF((M6-O6)=0,"--",(O6-M6)/O6))))</f>
        <v>--</v>
      </c>
      <c r="R6" s="1685">
        <f t="shared" si="12"/>
        <v>5.729984301412873E-4</v>
      </c>
      <c r="S6" s="1685" t="str">
        <f t="shared" si="13"/>
        <v>Canc-Risk</v>
      </c>
      <c r="T6" s="1684">
        <f t="shared" si="14"/>
        <v>5.729984301412873E-4</v>
      </c>
      <c r="U6" s="1685" t="str">
        <f t="shared" si="15"/>
        <v>Canc-Risk</v>
      </c>
      <c r="V6" s="1919" t="str">
        <f t="shared" ref="V6:V70" si="19">IF(AND(R6="--",T6="--"),"--",IF(AND(R6="--",T6&lt;&gt;"--"),"New",IF(AND(T6="--",R6&lt;&gt;"--"),"Removed",IF((R6-T6)=0,"--",(T6-R6)/T6))))</f>
        <v>--</v>
      </c>
      <c r="W6"/>
    </row>
    <row r="7" spans="1:23">
      <c r="A7" s="1910" t="s">
        <v>87</v>
      </c>
      <c r="B7" s="1901" t="s">
        <v>88</v>
      </c>
      <c r="C7" s="1905">
        <f t="shared" si="0"/>
        <v>6</v>
      </c>
      <c r="D7" s="1685" t="str">
        <f t="shared" si="1"/>
        <v>MCL</v>
      </c>
      <c r="E7" s="1684">
        <f t="shared" si="2"/>
        <v>6</v>
      </c>
      <c r="F7" s="1685" t="str">
        <f t="shared" si="3"/>
        <v>MCL</v>
      </c>
      <c r="G7" s="1919" t="str">
        <f t="shared" si="16"/>
        <v>--</v>
      </c>
      <c r="H7" s="1685">
        <f t="shared" si="4"/>
        <v>10.95</v>
      </c>
      <c r="I7" s="1685" t="str">
        <f t="shared" si="5"/>
        <v>NC-Hazard</v>
      </c>
      <c r="J7" s="1684">
        <f t="shared" si="6"/>
        <v>25</v>
      </c>
      <c r="K7" s="1685" t="str">
        <f t="shared" si="7"/>
        <v>Terr Habitat</v>
      </c>
      <c r="L7" s="1920">
        <f t="shared" si="17"/>
        <v>0.56200000000000006</v>
      </c>
      <c r="M7" s="1685" t="str">
        <f t="shared" si="8"/>
        <v>--</v>
      </c>
      <c r="N7" s="1685" t="str">
        <f t="shared" si="9"/>
        <v>--</v>
      </c>
      <c r="O7" s="1684" t="str">
        <f t="shared" si="10"/>
        <v>--</v>
      </c>
      <c r="P7" s="1685" t="str">
        <f t="shared" si="11"/>
        <v>--</v>
      </c>
      <c r="Q7" s="1919" t="str">
        <f t="shared" si="18"/>
        <v>--</v>
      </c>
      <c r="R7" s="1685" t="str">
        <f t="shared" si="12"/>
        <v>--</v>
      </c>
      <c r="S7" s="1685" t="str">
        <f t="shared" si="13"/>
        <v>--</v>
      </c>
      <c r="T7" s="1684" t="str">
        <f t="shared" si="14"/>
        <v>--</v>
      </c>
      <c r="U7" s="1685" t="str">
        <f t="shared" si="15"/>
        <v>--</v>
      </c>
      <c r="V7" s="1919" t="str">
        <f t="shared" si="19"/>
        <v>--</v>
      </c>
      <c r="W7"/>
    </row>
    <row r="8" spans="1:23">
      <c r="A8" s="1910" t="s">
        <v>89</v>
      </c>
      <c r="B8" s="1901" t="s">
        <v>90</v>
      </c>
      <c r="C8" s="1905">
        <f t="shared" si="0"/>
        <v>10</v>
      </c>
      <c r="D8" s="1685" t="str">
        <f t="shared" si="1"/>
        <v>MCL</v>
      </c>
      <c r="E8" s="1684">
        <f t="shared" si="2"/>
        <v>0.14000000000000001</v>
      </c>
      <c r="F8" s="1685" t="str">
        <f t="shared" si="3"/>
        <v>Aquatic Habitat</v>
      </c>
      <c r="G8" s="1919">
        <f t="shared" si="16"/>
        <v>-70.428571428571416</v>
      </c>
      <c r="H8" s="1685">
        <f t="shared" si="4"/>
        <v>6.7481921873171993E-2</v>
      </c>
      <c r="I8" s="1685" t="str">
        <f t="shared" si="5"/>
        <v>Canc-Risk</v>
      </c>
      <c r="J8" s="1684">
        <f t="shared" si="6"/>
        <v>3.1743737335997779E-2</v>
      </c>
      <c r="K8" s="1685" t="str">
        <f t="shared" si="7"/>
        <v>Canc-Risk</v>
      </c>
      <c r="L8" s="1919">
        <f t="shared" si="17"/>
        <v>-1.1258341813661206</v>
      </c>
      <c r="M8" s="1685" t="str">
        <f t="shared" si="8"/>
        <v>--</v>
      </c>
      <c r="N8" s="1685" t="str">
        <f t="shared" si="9"/>
        <v>--</v>
      </c>
      <c r="O8" s="1684" t="str">
        <f t="shared" si="10"/>
        <v>--</v>
      </c>
      <c r="P8" s="1685" t="str">
        <f t="shared" si="11"/>
        <v>--</v>
      </c>
      <c r="Q8" s="1919" t="str">
        <f t="shared" si="18"/>
        <v>--</v>
      </c>
      <c r="R8" s="1685" t="str">
        <f t="shared" si="12"/>
        <v>--</v>
      </c>
      <c r="S8" s="1685" t="str">
        <f t="shared" si="13"/>
        <v>--</v>
      </c>
      <c r="T8" s="1684" t="str">
        <f t="shared" si="14"/>
        <v>--</v>
      </c>
      <c r="U8" s="1685" t="str">
        <f t="shared" si="15"/>
        <v>--</v>
      </c>
      <c r="V8" s="1919" t="str">
        <f t="shared" si="19"/>
        <v>--</v>
      </c>
      <c r="W8"/>
    </row>
    <row r="9" spans="1:23">
      <c r="A9" s="1910" t="s">
        <v>91</v>
      </c>
      <c r="B9" s="1901" t="s">
        <v>92</v>
      </c>
      <c r="C9" s="1905">
        <f t="shared" si="0"/>
        <v>1000</v>
      </c>
      <c r="D9" s="1685" t="str">
        <f t="shared" si="1"/>
        <v>MCL</v>
      </c>
      <c r="E9" s="1684">
        <f t="shared" si="2"/>
        <v>1000</v>
      </c>
      <c r="F9" s="1685" t="str">
        <f t="shared" si="3"/>
        <v>MCL</v>
      </c>
      <c r="G9" s="1919" t="str">
        <f t="shared" si="16"/>
        <v>--</v>
      </c>
      <c r="H9" s="1685">
        <f t="shared" si="4"/>
        <v>390</v>
      </c>
      <c r="I9" s="1685" t="str">
        <f t="shared" si="5"/>
        <v>Terr Habitat</v>
      </c>
      <c r="J9" s="1684">
        <f t="shared" si="6"/>
        <v>390</v>
      </c>
      <c r="K9" s="1685" t="str">
        <f t="shared" si="7"/>
        <v>Terr Habitat</v>
      </c>
      <c r="L9" s="1919" t="str">
        <f t="shared" si="17"/>
        <v>--</v>
      </c>
      <c r="M9" s="1685" t="str">
        <f t="shared" si="8"/>
        <v>--</v>
      </c>
      <c r="N9" s="1685" t="str">
        <f t="shared" si="9"/>
        <v>--</v>
      </c>
      <c r="O9" s="1684" t="str">
        <f t="shared" si="10"/>
        <v>--</v>
      </c>
      <c r="P9" s="1685" t="str">
        <f t="shared" si="11"/>
        <v>--</v>
      </c>
      <c r="Q9" s="1919" t="str">
        <f t="shared" si="18"/>
        <v>--</v>
      </c>
      <c r="R9" s="1685" t="str">
        <f t="shared" si="12"/>
        <v>--</v>
      </c>
      <c r="S9" s="1685" t="str">
        <f t="shared" si="13"/>
        <v>--</v>
      </c>
      <c r="T9" s="1684" t="str">
        <f t="shared" si="14"/>
        <v>--</v>
      </c>
      <c r="U9" s="1685" t="str">
        <f t="shared" si="15"/>
        <v>--</v>
      </c>
      <c r="V9" s="1919" t="str">
        <f t="shared" si="19"/>
        <v>--</v>
      </c>
      <c r="W9"/>
    </row>
    <row r="10" spans="1:23">
      <c r="A10" s="1910" t="s">
        <v>93</v>
      </c>
      <c r="B10" s="1901" t="s">
        <v>94</v>
      </c>
      <c r="C10" s="1905">
        <f t="shared" si="0"/>
        <v>0.42094337446661273</v>
      </c>
      <c r="D10" s="1685" t="str">
        <f t="shared" si="1"/>
        <v>Vapor Intrusion</v>
      </c>
      <c r="E10" s="1684">
        <f t="shared" si="2"/>
        <v>0.42669247496832674</v>
      </c>
      <c r="F10" s="1685" t="str">
        <f t="shared" si="3"/>
        <v>Vapor Intrusion</v>
      </c>
      <c r="G10" s="1919">
        <f t="shared" si="16"/>
        <v>1.3473639304608698E-2</v>
      </c>
      <c r="H10" s="1685">
        <f t="shared" si="4"/>
        <v>2.5167290875203044E-2</v>
      </c>
      <c r="I10" s="1685" t="str">
        <f t="shared" si="5"/>
        <v>Leaching</v>
      </c>
      <c r="J10" s="1684">
        <f t="shared" si="6"/>
        <v>2.5026217699476064E-2</v>
      </c>
      <c r="K10" s="1685" t="str">
        <f t="shared" si="7"/>
        <v>Leaching</v>
      </c>
      <c r="L10" s="1919">
        <f t="shared" si="17"/>
        <v>-5.6370154460029936E-3</v>
      </c>
      <c r="M10" s="1685">
        <f t="shared" si="8"/>
        <v>3.2272325375773643</v>
      </c>
      <c r="N10" s="1685" t="str">
        <f t="shared" si="9"/>
        <v>Canc-Risk</v>
      </c>
      <c r="O10" s="1684">
        <f t="shared" si="10"/>
        <v>3.2272325375773643</v>
      </c>
      <c r="P10" s="1685" t="str">
        <f t="shared" si="11"/>
        <v>Canc-Risk</v>
      </c>
      <c r="Q10" s="1919" t="str">
        <f t="shared" si="18"/>
        <v>--</v>
      </c>
      <c r="R10" s="1685">
        <f t="shared" si="12"/>
        <v>9.6816976127320931E-2</v>
      </c>
      <c r="S10" s="1685" t="str">
        <f t="shared" si="13"/>
        <v>Canc-Risk</v>
      </c>
      <c r="T10" s="1684">
        <f t="shared" si="14"/>
        <v>9.6816976127320931E-2</v>
      </c>
      <c r="U10" s="1685" t="str">
        <f t="shared" si="15"/>
        <v>Canc-Risk</v>
      </c>
      <c r="V10" s="1919" t="str">
        <f t="shared" si="19"/>
        <v>--</v>
      </c>
      <c r="W10"/>
    </row>
    <row r="11" spans="1:23">
      <c r="A11" s="1910" t="s">
        <v>95</v>
      </c>
      <c r="B11" s="1901" t="s">
        <v>96</v>
      </c>
      <c r="C11" s="1905">
        <f t="shared" si="0"/>
        <v>2.65</v>
      </c>
      <c r="D11" s="1685" t="str">
        <f t="shared" si="1"/>
        <v>Aquatic Habitat</v>
      </c>
      <c r="E11" s="1684">
        <f t="shared" si="2"/>
        <v>3.3000000000000002E-2</v>
      </c>
      <c r="F11" s="1685" t="str">
        <f t="shared" si="3"/>
        <v>Aquatic Habitat</v>
      </c>
      <c r="G11" s="1919">
        <f t="shared" si="16"/>
        <v>-79.303030303030297</v>
      </c>
      <c r="H11" s="1685">
        <f t="shared" si="4"/>
        <v>5</v>
      </c>
      <c r="I11" s="1685" t="str">
        <f t="shared" si="5"/>
        <v>Terr Habitat</v>
      </c>
      <c r="J11" s="1684">
        <f t="shared" si="6"/>
        <v>5</v>
      </c>
      <c r="K11" s="1685" t="str">
        <f t="shared" si="7"/>
        <v>Terr Habitat</v>
      </c>
      <c r="L11" s="1919" t="str">
        <f t="shared" si="17"/>
        <v>--</v>
      </c>
      <c r="M11" s="1685" t="str">
        <f t="shared" si="8"/>
        <v>--</v>
      </c>
      <c r="N11" s="1685" t="str">
        <f t="shared" si="9"/>
        <v>--</v>
      </c>
      <c r="O11" s="1684" t="str">
        <f t="shared" si="10"/>
        <v>--</v>
      </c>
      <c r="P11" s="1685" t="str">
        <f t="shared" si="11"/>
        <v>--</v>
      </c>
      <c r="Q11" s="1919" t="str">
        <f t="shared" si="18"/>
        <v>--</v>
      </c>
      <c r="R11" s="1685" t="str">
        <f t="shared" si="12"/>
        <v>--</v>
      </c>
      <c r="S11" s="1685" t="str">
        <f t="shared" si="13"/>
        <v>--</v>
      </c>
      <c r="T11" s="1684" t="str">
        <f t="shared" si="14"/>
        <v>--</v>
      </c>
      <c r="U11" s="1685" t="str">
        <f t="shared" si="15"/>
        <v>--</v>
      </c>
      <c r="V11" s="1919" t="str">
        <f t="shared" si="19"/>
        <v>--</v>
      </c>
      <c r="W11"/>
    </row>
    <row r="12" spans="1:23">
      <c r="A12" s="1910" t="s">
        <v>97</v>
      </c>
      <c r="B12" s="1901" t="s">
        <v>98</v>
      </c>
      <c r="C12" s="1905">
        <f t="shared" si="0"/>
        <v>0.5</v>
      </c>
      <c r="D12" s="1685" t="str">
        <f t="shared" si="1"/>
        <v>Odor/Nuis</v>
      </c>
      <c r="E12" s="1684">
        <f t="shared" si="2"/>
        <v>0.5</v>
      </c>
      <c r="F12" s="1685" t="str">
        <f t="shared" si="3"/>
        <v>Odor/Nuis</v>
      </c>
      <c r="G12" s="1919" t="str">
        <f t="shared" si="16"/>
        <v>--</v>
      </c>
      <c r="H12" s="1685">
        <f t="shared" si="4"/>
        <v>0.42425587800000003</v>
      </c>
      <c r="I12" s="1685" t="str">
        <f t="shared" si="5"/>
        <v>Leaching</v>
      </c>
      <c r="J12" s="1684">
        <f t="shared" si="6"/>
        <v>0.42666287800000002</v>
      </c>
      <c r="K12" s="1685" t="str">
        <f t="shared" si="7"/>
        <v>Leaching</v>
      </c>
      <c r="L12" s="1919">
        <f t="shared" si="17"/>
        <v>5.641456344369365E-3</v>
      </c>
      <c r="M12" s="1685">
        <f t="shared" si="8"/>
        <v>13.904761904761905</v>
      </c>
      <c r="N12" s="1685" t="str">
        <f t="shared" si="9"/>
        <v>NC-Hazard</v>
      </c>
      <c r="O12" s="1684">
        <f t="shared" si="10"/>
        <v>13.904761904761905</v>
      </c>
      <c r="P12" s="1685" t="str">
        <f t="shared" si="11"/>
        <v>NC-Hazard</v>
      </c>
      <c r="Q12" s="1919" t="str">
        <f t="shared" si="18"/>
        <v>--</v>
      </c>
      <c r="R12" s="1685">
        <f t="shared" si="12"/>
        <v>0.41714285714285715</v>
      </c>
      <c r="S12" s="1685" t="str">
        <f t="shared" si="13"/>
        <v>NC-Hazard</v>
      </c>
      <c r="T12" s="1684">
        <f t="shared" si="14"/>
        <v>0.41714285714285715</v>
      </c>
      <c r="U12" s="1685" t="str">
        <f t="shared" si="15"/>
        <v>NC-Hazard</v>
      </c>
      <c r="V12" s="1919" t="str">
        <f t="shared" si="19"/>
        <v>--</v>
      </c>
      <c r="W12"/>
    </row>
    <row r="13" spans="1:23">
      <c r="A13" s="1910" t="s">
        <v>99</v>
      </c>
      <c r="B13" s="1901" t="s">
        <v>100</v>
      </c>
      <c r="C13" s="1905">
        <f t="shared" si="0"/>
        <v>6.2734340587365257E-3</v>
      </c>
      <c r="D13" s="1685" t="str">
        <f t="shared" si="1"/>
        <v>Tap Canc-Risk</v>
      </c>
      <c r="E13" s="1684">
        <f t="shared" si="2"/>
        <v>6.2748389659023776E-3</v>
      </c>
      <c r="F13" s="1685" t="str">
        <f t="shared" si="3"/>
        <v>Tapwater</v>
      </c>
      <c r="G13" s="1919">
        <f t="shared" si="16"/>
        <v>2.2389533396574373E-4</v>
      </c>
      <c r="H13" s="1685">
        <f t="shared" si="4"/>
        <v>3.3990597156025147E-5</v>
      </c>
      <c r="I13" s="1685" t="str">
        <f t="shared" si="5"/>
        <v>Leaching</v>
      </c>
      <c r="J13" s="1684">
        <f t="shared" si="6"/>
        <v>3.4212800206067848E-5</v>
      </c>
      <c r="K13" s="1685" t="str">
        <f t="shared" si="7"/>
        <v>Leaching</v>
      </c>
      <c r="L13" s="1919">
        <f t="shared" si="17"/>
        <v>6.4947343890106833E-3</v>
      </c>
      <c r="M13" s="1685">
        <f t="shared" si="8"/>
        <v>0.13181654026724449</v>
      </c>
      <c r="N13" s="1685" t="str">
        <f t="shared" si="9"/>
        <v>Canc-Risk</v>
      </c>
      <c r="O13" s="1684">
        <f t="shared" si="10"/>
        <v>0.13181654026724449</v>
      </c>
      <c r="P13" s="1685" t="str">
        <f t="shared" si="11"/>
        <v>Canc-Risk</v>
      </c>
      <c r="Q13" s="1919" t="str">
        <f t="shared" si="18"/>
        <v>--</v>
      </c>
      <c r="R13" s="1685">
        <f t="shared" si="12"/>
        <v>3.9544962080173343E-3</v>
      </c>
      <c r="S13" s="1685" t="str">
        <f t="shared" si="13"/>
        <v>Canc-Risk</v>
      </c>
      <c r="T13" s="1684">
        <f t="shared" si="14"/>
        <v>3.9544962080173343E-3</v>
      </c>
      <c r="U13" s="1685" t="str">
        <f t="shared" si="15"/>
        <v>Canc-Risk</v>
      </c>
      <c r="V13" s="1919" t="str">
        <f t="shared" si="19"/>
        <v>--</v>
      </c>
      <c r="W13"/>
    </row>
    <row r="14" spans="1:23">
      <c r="A14" s="1910" t="s">
        <v>101</v>
      </c>
      <c r="B14" s="1901" t="s">
        <v>102</v>
      </c>
      <c r="C14" s="1905">
        <f t="shared" si="0"/>
        <v>0.35646608680418945</v>
      </c>
      <c r="D14" s="1685" t="str">
        <f t="shared" si="1"/>
        <v>Tap Canc-Risk</v>
      </c>
      <c r="E14" s="1684">
        <f t="shared" si="2"/>
        <v>61</v>
      </c>
      <c r="F14" s="1685" t="str">
        <f t="shared" si="3"/>
        <v>Aquatic Habitat</v>
      </c>
      <c r="G14" s="1920">
        <f t="shared" si="16"/>
        <v>0.99415629365894775</v>
      </c>
      <c r="H14" s="1685">
        <f t="shared" si="4"/>
        <v>5.0736027205858947E-3</v>
      </c>
      <c r="I14" s="1685" t="str">
        <f t="shared" si="5"/>
        <v>Leaching</v>
      </c>
      <c r="J14" s="1684">
        <f t="shared" si="6"/>
        <v>0.86774204339999994</v>
      </c>
      <c r="K14" s="1685" t="str">
        <f t="shared" si="7"/>
        <v>Leaching</v>
      </c>
      <c r="L14" s="1920">
        <f t="shared" si="17"/>
        <v>0.99415309796364548</v>
      </c>
      <c r="M14" s="1685">
        <f t="shared" si="8"/>
        <v>9.3589743589743577</v>
      </c>
      <c r="N14" s="1685" t="str">
        <f t="shared" si="9"/>
        <v>Canc-Risk</v>
      </c>
      <c r="O14" s="1684">
        <f t="shared" si="10"/>
        <v>74666.666666666672</v>
      </c>
      <c r="P14" s="1685" t="str">
        <f t="shared" si="11"/>
        <v>Odor/Nuis</v>
      </c>
      <c r="Q14" s="1920">
        <f t="shared" si="18"/>
        <v>0.99987465659340669</v>
      </c>
      <c r="R14" s="1685">
        <f t="shared" si="12"/>
        <v>0.28076923076923072</v>
      </c>
      <c r="S14" s="1685" t="str">
        <f t="shared" si="13"/>
        <v>Canc-Risk</v>
      </c>
      <c r="T14" s="1684">
        <f t="shared" si="14"/>
        <v>2240</v>
      </c>
      <c r="U14" s="1685" t="str">
        <f t="shared" si="15"/>
        <v>Nuis/Odor</v>
      </c>
      <c r="V14" s="1920">
        <f t="shared" si="19"/>
        <v>0.99987465659340657</v>
      </c>
      <c r="W14"/>
    </row>
    <row r="15" spans="1:23">
      <c r="A15" s="1910" t="s">
        <v>103</v>
      </c>
      <c r="B15" s="1901" t="s">
        <v>104</v>
      </c>
      <c r="C15" s="1905">
        <f t="shared" si="0"/>
        <v>4</v>
      </c>
      <c r="D15" s="1685" t="str">
        <f t="shared" si="1"/>
        <v>MCL</v>
      </c>
      <c r="E15" s="1684">
        <f t="shared" si="2"/>
        <v>0.37</v>
      </c>
      <c r="F15" s="1685" t="str">
        <f t="shared" si="3"/>
        <v>Aquatic Habitat</v>
      </c>
      <c r="G15" s="1919">
        <f t="shared" si="16"/>
        <v>-9.8108108108108105</v>
      </c>
      <c r="H15" s="1685">
        <f t="shared" si="4"/>
        <v>0.8</v>
      </c>
      <c r="I15" s="1685" t="str">
        <f t="shared" si="5"/>
        <v>Terr Habitat</v>
      </c>
      <c r="J15" s="1684">
        <f t="shared" si="6"/>
        <v>0.8</v>
      </c>
      <c r="K15" s="1685" t="str">
        <f t="shared" si="7"/>
        <v>Terr Habitat</v>
      </c>
      <c r="L15" s="1919" t="str">
        <f t="shared" si="17"/>
        <v>--</v>
      </c>
      <c r="M15" s="1685" t="str">
        <f t="shared" si="8"/>
        <v>--</v>
      </c>
      <c r="N15" s="1685" t="str">
        <f t="shared" si="9"/>
        <v>--</v>
      </c>
      <c r="O15" s="1684" t="str">
        <f t="shared" si="10"/>
        <v>--</v>
      </c>
      <c r="P15" s="1685" t="str">
        <f t="shared" si="11"/>
        <v>--</v>
      </c>
      <c r="Q15" s="1919" t="str">
        <f t="shared" si="18"/>
        <v>--</v>
      </c>
      <c r="R15" s="1685" t="str">
        <f t="shared" si="12"/>
        <v>--</v>
      </c>
      <c r="S15" s="1685" t="str">
        <f t="shared" si="13"/>
        <v>--</v>
      </c>
      <c r="T15" s="1684" t="str">
        <f t="shared" si="14"/>
        <v>--</v>
      </c>
      <c r="U15" s="1685" t="str">
        <f t="shared" si="15"/>
        <v>--</v>
      </c>
      <c r="V15" s="1919" t="str">
        <f t="shared" si="19"/>
        <v>--</v>
      </c>
      <c r="W15"/>
    </row>
    <row r="16" spans="1:23">
      <c r="A16" s="1910" t="s">
        <v>105</v>
      </c>
      <c r="B16" s="1901" t="s">
        <v>106</v>
      </c>
      <c r="C16" s="1905">
        <f t="shared" si="0"/>
        <v>1.6</v>
      </c>
      <c r="D16" s="1685" t="str">
        <f t="shared" si="1"/>
        <v>Aquatic Habitat</v>
      </c>
      <c r="E16" s="1684">
        <f t="shared" si="2"/>
        <v>1.6</v>
      </c>
      <c r="F16" s="1685" t="str">
        <f t="shared" si="3"/>
        <v>Aquatic Habitat</v>
      </c>
      <c r="G16" s="1919" t="str">
        <f t="shared" si="16"/>
        <v>--</v>
      </c>
      <c r="H16" s="1685">
        <f t="shared" si="4"/>
        <v>120</v>
      </c>
      <c r="I16" s="1685" t="str">
        <f t="shared" si="5"/>
        <v>Terr Habitat</v>
      </c>
      <c r="J16" s="1684">
        <f t="shared" si="6"/>
        <v>120</v>
      </c>
      <c r="K16" s="1685" t="str">
        <f t="shared" si="7"/>
        <v>Terr Habitat</v>
      </c>
      <c r="L16" s="1919" t="str">
        <f t="shared" si="17"/>
        <v>--</v>
      </c>
      <c r="M16" s="1685" t="str">
        <f t="shared" si="8"/>
        <v>--</v>
      </c>
      <c r="N16" s="1685" t="str">
        <f t="shared" si="9"/>
        <v>--</v>
      </c>
      <c r="O16" s="1684" t="str">
        <f t="shared" si="10"/>
        <v>--</v>
      </c>
      <c r="P16" s="1685" t="str">
        <f t="shared" si="11"/>
        <v>--</v>
      </c>
      <c r="Q16" s="1919" t="str">
        <f t="shared" si="18"/>
        <v>--</v>
      </c>
      <c r="R16" s="1685" t="str">
        <f t="shared" si="12"/>
        <v>--</v>
      </c>
      <c r="S16" s="1685" t="str">
        <f t="shared" si="13"/>
        <v>--</v>
      </c>
      <c r="T16" s="1684" t="str">
        <f t="shared" si="14"/>
        <v>--</v>
      </c>
      <c r="U16" s="1685" t="str">
        <f t="shared" si="15"/>
        <v>--</v>
      </c>
      <c r="V16" s="1919" t="str">
        <f t="shared" si="19"/>
        <v>--</v>
      </c>
      <c r="W16"/>
    </row>
    <row r="17" spans="1:23">
      <c r="A17" s="1910" t="s">
        <v>107</v>
      </c>
      <c r="B17" s="1901" t="s">
        <v>108</v>
      </c>
      <c r="C17" s="1905">
        <f t="shared" si="0"/>
        <v>0.87222501015604459</v>
      </c>
      <c r="D17" s="1685" t="str">
        <f t="shared" si="1"/>
        <v>Vapor Intrusion</v>
      </c>
      <c r="E17" s="1684">
        <f t="shared" si="2"/>
        <v>0.87552465382658373</v>
      </c>
      <c r="F17" s="1685" t="str">
        <f t="shared" si="3"/>
        <v>Vapor Intrusion</v>
      </c>
      <c r="G17" s="1919">
        <f t="shared" si="16"/>
        <v>3.7687615718388526E-3</v>
      </c>
      <c r="H17" s="1685">
        <f t="shared" si="4"/>
        <v>1.6143751812828566E-2</v>
      </c>
      <c r="I17" s="1685" t="str">
        <f t="shared" si="5"/>
        <v>Leaching</v>
      </c>
      <c r="J17" s="1684">
        <f t="shared" si="6"/>
        <v>1.6145515120229877E-2</v>
      </c>
      <c r="K17" s="1685" t="str">
        <f t="shared" si="7"/>
        <v>Leaching</v>
      </c>
      <c r="L17" s="1919">
        <f t="shared" si="17"/>
        <v>1.0921344956666884E-4</v>
      </c>
      <c r="M17" s="1685">
        <f t="shared" si="8"/>
        <v>2.5294525294525294</v>
      </c>
      <c r="N17" s="1685" t="str">
        <f t="shared" si="9"/>
        <v>Canc-Risk</v>
      </c>
      <c r="O17" s="1684">
        <f t="shared" si="10"/>
        <v>2.5294525294525294</v>
      </c>
      <c r="P17" s="1685" t="str">
        <f t="shared" si="11"/>
        <v>Canc-Risk</v>
      </c>
      <c r="Q17" s="1919" t="str">
        <f t="shared" si="18"/>
        <v>--</v>
      </c>
      <c r="R17" s="1685">
        <f t="shared" si="12"/>
        <v>7.5883575883575874E-2</v>
      </c>
      <c r="S17" s="1685" t="str">
        <f t="shared" si="13"/>
        <v>Canc-Risk</v>
      </c>
      <c r="T17" s="1684">
        <f t="shared" si="14"/>
        <v>7.5883575883575874E-2</v>
      </c>
      <c r="U17" s="1685" t="str">
        <f t="shared" si="15"/>
        <v>Canc-Risk</v>
      </c>
      <c r="V17" s="1919" t="str">
        <f t="shared" si="19"/>
        <v>--</v>
      </c>
      <c r="W17"/>
    </row>
    <row r="18" spans="1:23">
      <c r="A18" s="1910" t="s">
        <v>109</v>
      </c>
      <c r="B18" s="1901" t="s">
        <v>110</v>
      </c>
      <c r="C18" s="1905">
        <f t="shared" si="0"/>
        <v>80</v>
      </c>
      <c r="D18" s="1685" t="str">
        <f t="shared" si="1"/>
        <v>MCL</v>
      </c>
      <c r="E18" s="1684">
        <f t="shared" si="2"/>
        <v>80</v>
      </c>
      <c r="F18" s="1685" t="str">
        <f t="shared" si="3"/>
        <v>MCL</v>
      </c>
      <c r="G18" s="1919" t="str">
        <f t="shared" si="16"/>
        <v>--</v>
      </c>
      <c r="H18" s="1685">
        <f t="shared" si="4"/>
        <v>0.6919277419354839</v>
      </c>
      <c r="I18" s="1685" t="str">
        <f t="shared" si="5"/>
        <v>Leaching</v>
      </c>
      <c r="J18" s="1684">
        <f t="shared" si="6"/>
        <v>0.68822919999999999</v>
      </c>
      <c r="K18" s="1685" t="str">
        <f t="shared" si="7"/>
        <v>Leaching</v>
      </c>
      <c r="L18" s="1919">
        <f t="shared" si="17"/>
        <v>-5.3739974059280136E-3</v>
      </c>
      <c r="M18" s="1685">
        <f t="shared" si="8"/>
        <v>85.081585081585075</v>
      </c>
      <c r="N18" s="1685" t="str">
        <f t="shared" si="9"/>
        <v>Canc-Risk</v>
      </c>
      <c r="O18" s="1684">
        <f t="shared" si="10"/>
        <v>85.081585081585075</v>
      </c>
      <c r="P18" s="1685" t="str">
        <f t="shared" si="11"/>
        <v>Canc-Risk</v>
      </c>
      <c r="Q18" s="1919" t="str">
        <f t="shared" si="18"/>
        <v>--</v>
      </c>
      <c r="R18" s="1685">
        <f t="shared" si="12"/>
        <v>2.5524475524475521</v>
      </c>
      <c r="S18" s="1685" t="str">
        <f t="shared" si="13"/>
        <v>Canc-Risk</v>
      </c>
      <c r="T18" s="1684">
        <f t="shared" si="14"/>
        <v>2.5524475524475521</v>
      </c>
      <c r="U18" s="1685" t="str">
        <f t="shared" si="15"/>
        <v>Canc-Risk</v>
      </c>
      <c r="V18" s="1919" t="str">
        <f t="shared" si="19"/>
        <v>--</v>
      </c>
      <c r="W18"/>
    </row>
    <row r="19" spans="1:23">
      <c r="A19" s="1910" t="s">
        <v>111</v>
      </c>
      <c r="B19" s="1901" t="s">
        <v>112</v>
      </c>
      <c r="C19" s="1905">
        <f t="shared" si="0"/>
        <v>7.5465111954055581</v>
      </c>
      <c r="D19" s="1685" t="str">
        <f t="shared" si="1"/>
        <v>Tap NC-Hazard</v>
      </c>
      <c r="E19" s="1684">
        <f t="shared" si="2"/>
        <v>7.5466281908805035</v>
      </c>
      <c r="F19" s="1685" t="str">
        <f t="shared" si="3"/>
        <v>Tapwater</v>
      </c>
      <c r="G19" s="1919">
        <f t="shared" si="16"/>
        <v>1.5503012999467646E-5</v>
      </c>
      <c r="H19" s="1685">
        <f t="shared" si="4"/>
        <v>0.35969589161336774</v>
      </c>
      <c r="I19" s="1685" t="str">
        <f t="shared" si="5"/>
        <v>Leaching</v>
      </c>
      <c r="J19" s="1684">
        <f t="shared" si="6"/>
        <v>0.36038092796448851</v>
      </c>
      <c r="K19" s="1685" t="str">
        <f t="shared" si="7"/>
        <v>Leaching</v>
      </c>
      <c r="L19" s="1919">
        <f t="shared" si="17"/>
        <v>1.9008673821614499E-3</v>
      </c>
      <c r="M19" s="1685">
        <f t="shared" si="8"/>
        <v>173.80952380952382</v>
      </c>
      <c r="N19" s="1685" t="str">
        <f t="shared" si="9"/>
        <v>NC-Hazard</v>
      </c>
      <c r="O19" s="1684">
        <f t="shared" si="10"/>
        <v>173.80952380952382</v>
      </c>
      <c r="P19" s="1685" t="str">
        <f t="shared" si="11"/>
        <v>NC-Hazard</v>
      </c>
      <c r="Q19" s="1919" t="str">
        <f t="shared" si="18"/>
        <v>--</v>
      </c>
      <c r="R19" s="1685">
        <f t="shared" si="12"/>
        <v>5.2142857142857144</v>
      </c>
      <c r="S19" s="1685" t="str">
        <f t="shared" si="13"/>
        <v>NC-Hazard</v>
      </c>
      <c r="T19" s="1684">
        <f t="shared" si="14"/>
        <v>5.2142857142857144</v>
      </c>
      <c r="U19" s="1685" t="str">
        <f t="shared" si="15"/>
        <v>NC-Hazard</v>
      </c>
      <c r="V19" s="1919" t="str">
        <f t="shared" si="19"/>
        <v>--</v>
      </c>
      <c r="W19"/>
    </row>
    <row r="20" spans="1:23">
      <c r="A20" s="1910" t="s">
        <v>113</v>
      </c>
      <c r="B20" s="1901" t="s">
        <v>114</v>
      </c>
      <c r="C20" s="1905" t="str">
        <f t="shared" si="0"/>
        <v>--</v>
      </c>
      <c r="D20" s="1685" t="str">
        <f t="shared" si="1"/>
        <v>--</v>
      </c>
      <c r="E20" s="1897" t="s">
        <v>115</v>
      </c>
      <c r="F20" s="1903" t="s">
        <v>115</v>
      </c>
      <c r="G20" s="1919" t="str">
        <f t="shared" si="16"/>
        <v>--</v>
      </c>
      <c r="H20" s="1685">
        <f t="shared" si="4"/>
        <v>1.9</v>
      </c>
      <c r="I20" s="1685" t="str">
        <f t="shared" si="5"/>
        <v>Terr Habitat</v>
      </c>
      <c r="J20" s="1684">
        <f t="shared" si="6"/>
        <v>1.9</v>
      </c>
      <c r="K20" s="1685" t="str">
        <f t="shared" si="7"/>
        <v>Terr Habitat</v>
      </c>
      <c r="L20" s="1919" t="str">
        <f t="shared" si="17"/>
        <v>--</v>
      </c>
      <c r="M20" s="1685" t="str">
        <f t="shared" si="8"/>
        <v>--</v>
      </c>
      <c r="N20" s="1685" t="str">
        <f t="shared" si="9"/>
        <v>--</v>
      </c>
      <c r="O20" s="1684" t="str">
        <f t="shared" si="10"/>
        <v>--</v>
      </c>
      <c r="P20" s="1685" t="str">
        <f t="shared" si="11"/>
        <v>--</v>
      </c>
      <c r="Q20" s="1919" t="str">
        <f t="shared" si="18"/>
        <v>--</v>
      </c>
      <c r="R20" s="1685" t="str">
        <f t="shared" si="12"/>
        <v>--</v>
      </c>
      <c r="S20" s="1685" t="str">
        <f t="shared" si="13"/>
        <v>--</v>
      </c>
      <c r="T20" s="1684" t="str">
        <f t="shared" si="14"/>
        <v>--</v>
      </c>
      <c r="U20" s="1685" t="str">
        <f t="shared" si="15"/>
        <v>--</v>
      </c>
      <c r="V20" s="1919" t="str">
        <f t="shared" si="19"/>
        <v>--</v>
      </c>
      <c r="W20"/>
    </row>
    <row r="21" spans="1:23">
      <c r="A21" s="1910" t="s">
        <v>116</v>
      </c>
      <c r="B21" s="1901" t="s">
        <v>114</v>
      </c>
      <c r="C21" s="1905" t="str">
        <f t="shared" si="0"/>
        <v>--</v>
      </c>
      <c r="D21" s="1685" t="str">
        <f t="shared" si="1"/>
        <v>--</v>
      </c>
      <c r="E21" s="1684">
        <f t="shared" ref="E21:E30" si="20">VLOOKUP($A21,Table_GW_Summary,MATCH("GW-ESL",heading_GW_Summary,0),FALSE)</f>
        <v>0.25</v>
      </c>
      <c r="F21" s="1685" t="str">
        <f t="shared" ref="F21:F30" si="21">VLOOKUP($A21,Table_GW_Summary,MATCH("GW-B",heading_GW_Summary,0),FALSE)</f>
        <v>Aquatic Habitat</v>
      </c>
      <c r="G21" s="1919" t="str">
        <f t="shared" si="16"/>
        <v>New</v>
      </c>
      <c r="H21" s="1903" t="s">
        <v>115</v>
      </c>
      <c r="I21" s="1685" t="str">
        <f t="shared" si="5"/>
        <v>Terr Habitat</v>
      </c>
      <c r="J21" s="1897" t="s">
        <v>115</v>
      </c>
      <c r="K21" s="1903" t="s">
        <v>115</v>
      </c>
      <c r="L21" s="1919" t="str">
        <f t="shared" si="17"/>
        <v>--</v>
      </c>
      <c r="M21" s="1685" t="str">
        <f t="shared" si="8"/>
        <v>--</v>
      </c>
      <c r="N21" s="1685" t="str">
        <f t="shared" si="9"/>
        <v>--</v>
      </c>
      <c r="O21" s="1684" t="str">
        <f t="shared" si="10"/>
        <v>--</v>
      </c>
      <c r="P21" s="1685" t="str">
        <f t="shared" si="11"/>
        <v>--</v>
      </c>
      <c r="Q21" s="1919" t="str">
        <f t="shared" si="18"/>
        <v>--</v>
      </c>
      <c r="R21" s="1685" t="str">
        <f t="shared" si="12"/>
        <v>--</v>
      </c>
      <c r="S21" s="1685" t="str">
        <f t="shared" si="13"/>
        <v>--</v>
      </c>
      <c r="T21" s="1684" t="str">
        <f t="shared" si="14"/>
        <v>--</v>
      </c>
      <c r="U21" s="1685" t="str">
        <f t="shared" si="15"/>
        <v>--</v>
      </c>
      <c r="V21" s="1919" t="str">
        <f t="shared" si="19"/>
        <v>--</v>
      </c>
      <c r="W21"/>
    </row>
    <row r="22" spans="1:23">
      <c r="A22" s="1910" t="s">
        <v>117</v>
      </c>
      <c r="B22" s="1901" t="s">
        <v>118</v>
      </c>
      <c r="C22" s="1905">
        <f t="shared" si="0"/>
        <v>0.42540792540792527</v>
      </c>
      <c r="D22" s="1685" t="str">
        <f t="shared" si="1"/>
        <v>Vapor Intrusion</v>
      </c>
      <c r="E22" s="1684">
        <f t="shared" si="20"/>
        <v>0.41471107395020562</v>
      </c>
      <c r="F22" s="1685" t="str">
        <f t="shared" si="21"/>
        <v>Vapor Intrusion</v>
      </c>
      <c r="G22" s="1919">
        <f t="shared" si="16"/>
        <v>-2.5793503307808989E-2</v>
      </c>
      <c r="H22" s="1685">
        <f t="shared" ref="H22:H53" si="22">VLOOKUP($B22,Table_T1_19,MATCH("S",heading_T1_19,0),FALSE)</f>
        <v>7.598517249417247E-2</v>
      </c>
      <c r="I22" s="1685" t="str">
        <f t="shared" si="5"/>
        <v>Leaching</v>
      </c>
      <c r="J22" s="1684">
        <f t="shared" ref="J22:J53" si="23">VLOOKUP($A22,Table_S_Summary,MATCH("Soil-ESL",heading_S_Summary,0),FALSE)</f>
        <v>7.4066958213768339E-2</v>
      </c>
      <c r="K22" s="1685" t="str">
        <f t="shared" ref="K22:K53" si="24">VLOOKUP($A22,Table_S_Summary,MATCH("S-B",heading_S_Summary,0),FALSE)</f>
        <v>Leaching</v>
      </c>
      <c r="L22" s="1919">
        <f t="shared" si="17"/>
        <v>-2.5898380690454144E-2</v>
      </c>
      <c r="M22" s="1685">
        <f t="shared" si="8"/>
        <v>15.598290598290594</v>
      </c>
      <c r="N22" s="1685" t="str">
        <f t="shared" si="9"/>
        <v>Canc-Risk</v>
      </c>
      <c r="O22" s="1684">
        <f t="shared" si="10"/>
        <v>15.598290598290594</v>
      </c>
      <c r="P22" s="1685" t="str">
        <f t="shared" si="11"/>
        <v>Canc-Risk</v>
      </c>
      <c r="Q22" s="1919" t="str">
        <f t="shared" si="18"/>
        <v>--</v>
      </c>
      <c r="R22" s="1685">
        <f t="shared" si="12"/>
        <v>0.46794871794871784</v>
      </c>
      <c r="S22" s="1685" t="str">
        <f t="shared" si="13"/>
        <v>Canc-Risk</v>
      </c>
      <c r="T22" s="1684">
        <f t="shared" si="14"/>
        <v>0.46794871794871784</v>
      </c>
      <c r="U22" s="1685" t="str">
        <f t="shared" si="15"/>
        <v>Canc-Risk</v>
      </c>
      <c r="V22" s="1919" t="str">
        <f t="shared" si="19"/>
        <v>--</v>
      </c>
      <c r="W22"/>
    </row>
    <row r="23" spans="1:23">
      <c r="A23" s="1910" t="s">
        <v>119</v>
      </c>
      <c r="B23" s="1901" t="s">
        <v>120</v>
      </c>
      <c r="C23" s="1905">
        <f t="shared" si="0"/>
        <v>5.9000000000000003E-4</v>
      </c>
      <c r="D23" s="1685" t="str">
        <f t="shared" si="1"/>
        <v>Aquatic Habitat</v>
      </c>
      <c r="E23" s="1684">
        <f t="shared" si="20"/>
        <v>2.3E-5</v>
      </c>
      <c r="F23" s="1685" t="str">
        <f t="shared" si="21"/>
        <v>Aquatic Habitat</v>
      </c>
      <c r="G23" s="1919">
        <f t="shared" si="16"/>
        <v>-24.65217391304348</v>
      </c>
      <c r="H23" s="1685">
        <f t="shared" si="22"/>
        <v>8.5000000000000006E-3</v>
      </c>
      <c r="I23" s="1685" t="str">
        <f t="shared" si="5"/>
        <v>Terr Habitat</v>
      </c>
      <c r="J23" s="1684">
        <f t="shared" si="23"/>
        <v>8.5000000000000006E-3</v>
      </c>
      <c r="K23" s="1685" t="str">
        <f t="shared" si="24"/>
        <v>Terr Habitat</v>
      </c>
      <c r="L23" s="1919" t="str">
        <f t="shared" si="17"/>
        <v>--</v>
      </c>
      <c r="M23" s="1685">
        <f t="shared" si="8"/>
        <v>0.27526395173453994</v>
      </c>
      <c r="N23" s="1685" t="str">
        <f t="shared" si="9"/>
        <v>Canc-Risk</v>
      </c>
      <c r="O23" s="1684">
        <f t="shared" si="10"/>
        <v>0.93589743589743579</v>
      </c>
      <c r="P23" s="1685" t="str">
        <f t="shared" si="11"/>
        <v>Canc-Risk</v>
      </c>
      <c r="Q23" s="1920">
        <f t="shared" si="18"/>
        <v>0.70588235294117641</v>
      </c>
      <c r="R23" s="1685">
        <f t="shared" si="12"/>
        <v>8.2579185520361975E-3</v>
      </c>
      <c r="S23" s="1685" t="str">
        <f t="shared" si="13"/>
        <v>Canc-Risk</v>
      </c>
      <c r="T23" s="1684">
        <f t="shared" si="14"/>
        <v>2.8076923076923072E-2</v>
      </c>
      <c r="U23" s="1685" t="str">
        <f t="shared" si="15"/>
        <v>Canc-Risk</v>
      </c>
      <c r="V23" s="1920">
        <f t="shared" si="19"/>
        <v>0.70588235294117652</v>
      </c>
      <c r="W23"/>
    </row>
    <row r="24" spans="1:23">
      <c r="A24" s="1910" t="s">
        <v>121</v>
      </c>
      <c r="B24" s="1901" t="s">
        <v>122</v>
      </c>
      <c r="C24" s="1905">
        <f t="shared" si="0"/>
        <v>0.36447347082281667</v>
      </c>
      <c r="D24" s="1685" t="str">
        <f t="shared" si="1"/>
        <v>Tap Canc-Risk</v>
      </c>
      <c r="E24" s="1684">
        <f t="shared" si="20"/>
        <v>0.36543272383745468</v>
      </c>
      <c r="F24" s="1685" t="str">
        <f t="shared" si="21"/>
        <v>Tapwater</v>
      </c>
      <c r="G24" s="1919">
        <f t="shared" si="16"/>
        <v>2.6249784216497377E-3</v>
      </c>
      <c r="H24" s="1685">
        <f t="shared" si="22"/>
        <v>6.6579098299513733E-3</v>
      </c>
      <c r="I24" s="1685" t="str">
        <f t="shared" si="5"/>
        <v>Leaching</v>
      </c>
      <c r="J24" s="1684">
        <f t="shared" si="23"/>
        <v>6.8392196435594268E-3</v>
      </c>
      <c r="K24" s="1685" t="str">
        <f t="shared" si="24"/>
        <v>Leaching</v>
      </c>
      <c r="L24" s="1919">
        <f t="shared" si="17"/>
        <v>2.6510307177924176E-2</v>
      </c>
      <c r="M24" s="1685" t="str">
        <f t="shared" si="8"/>
        <v>--</v>
      </c>
      <c r="N24" s="1685" t="str">
        <f t="shared" si="9"/>
        <v>--</v>
      </c>
      <c r="O24" s="1684" t="str">
        <f t="shared" si="10"/>
        <v>--</v>
      </c>
      <c r="P24" s="1685" t="str">
        <f t="shared" si="11"/>
        <v>--</v>
      </c>
      <c r="Q24" s="1919" t="str">
        <f t="shared" si="18"/>
        <v>--</v>
      </c>
      <c r="R24" s="1685" t="str">
        <f t="shared" si="12"/>
        <v>--</v>
      </c>
      <c r="S24" s="1685" t="str">
        <f t="shared" si="13"/>
        <v>--</v>
      </c>
      <c r="T24" s="1684" t="str">
        <f t="shared" si="14"/>
        <v>--</v>
      </c>
      <c r="U24" s="1685" t="str">
        <f t="shared" si="15"/>
        <v>--</v>
      </c>
      <c r="V24" s="1919" t="str">
        <f t="shared" si="19"/>
        <v>--</v>
      </c>
      <c r="W24"/>
    </row>
    <row r="25" spans="1:23">
      <c r="A25" s="1910" t="s">
        <v>123</v>
      </c>
      <c r="B25" s="1901" t="s">
        <v>124</v>
      </c>
      <c r="C25" s="1905">
        <f t="shared" si="0"/>
        <v>25</v>
      </c>
      <c r="D25" s="1685" t="str">
        <f t="shared" si="1"/>
        <v>Aquatic Habitat</v>
      </c>
      <c r="E25" s="1684">
        <f t="shared" si="20"/>
        <v>25</v>
      </c>
      <c r="F25" s="1685" t="str">
        <f t="shared" si="21"/>
        <v>Aquatic Habitat</v>
      </c>
      <c r="G25" s="1919" t="str">
        <f t="shared" si="16"/>
        <v>--</v>
      </c>
      <c r="H25" s="1685">
        <f t="shared" si="22"/>
        <v>1.4370942500000001</v>
      </c>
      <c r="I25" s="1685" t="str">
        <f t="shared" si="5"/>
        <v>Leaching</v>
      </c>
      <c r="J25" s="1684">
        <f t="shared" si="23"/>
        <v>1.45327925</v>
      </c>
      <c r="K25" s="1685" t="str">
        <f t="shared" si="24"/>
        <v>Leaching</v>
      </c>
      <c r="L25" s="1919">
        <f t="shared" si="17"/>
        <v>1.1136882330082049E-2</v>
      </c>
      <c r="M25" s="1685">
        <f t="shared" si="8"/>
        <v>1738.0952380952383</v>
      </c>
      <c r="N25" s="1685" t="str">
        <f t="shared" si="9"/>
        <v>NC-Hazard</v>
      </c>
      <c r="O25" s="1684">
        <f t="shared" si="10"/>
        <v>1738.0952380952383</v>
      </c>
      <c r="P25" s="1685" t="str">
        <f t="shared" si="11"/>
        <v>NC-Hazard</v>
      </c>
      <c r="Q25" s="1919" t="str">
        <f t="shared" si="18"/>
        <v>--</v>
      </c>
      <c r="R25" s="1685">
        <f t="shared" si="12"/>
        <v>52.142857142857146</v>
      </c>
      <c r="S25" s="1685" t="str">
        <f t="shared" si="13"/>
        <v>NC-Hazard</v>
      </c>
      <c r="T25" s="1684">
        <f t="shared" si="14"/>
        <v>52.142857142857146</v>
      </c>
      <c r="U25" s="1685" t="str">
        <f t="shared" si="15"/>
        <v>NC-Hazard</v>
      </c>
      <c r="V25" s="1919" t="str">
        <f t="shared" si="19"/>
        <v>--</v>
      </c>
      <c r="W25"/>
    </row>
    <row r="26" spans="1:23">
      <c r="A26" s="1910" t="s">
        <v>125</v>
      </c>
      <c r="B26" s="1901" t="s">
        <v>126</v>
      </c>
      <c r="C26" s="1905">
        <f t="shared" si="0"/>
        <v>16</v>
      </c>
      <c r="D26" s="1685" t="str">
        <f t="shared" si="1"/>
        <v>Odor/Nuis</v>
      </c>
      <c r="E26" s="1684">
        <f t="shared" si="20"/>
        <v>16</v>
      </c>
      <c r="F26" s="1685" t="str">
        <f t="shared" si="21"/>
        <v>Odor/Nuis</v>
      </c>
      <c r="G26" s="1919" t="str">
        <f t="shared" si="16"/>
        <v>--</v>
      </c>
      <c r="H26" s="1685">
        <f t="shared" si="22"/>
        <v>1.1505727624633433</v>
      </c>
      <c r="I26" s="1685" t="str">
        <f t="shared" si="5"/>
        <v>Leaching</v>
      </c>
      <c r="J26" s="1684">
        <f t="shared" si="23"/>
        <v>1.1600780800000001</v>
      </c>
      <c r="K26" s="1685" t="str">
        <f t="shared" si="24"/>
        <v>Leaching</v>
      </c>
      <c r="L26" s="1919">
        <f t="shared" si="17"/>
        <v>8.193687735791752E-3</v>
      </c>
      <c r="M26" s="1685">
        <f t="shared" si="8"/>
        <v>347619.04761904763</v>
      </c>
      <c r="N26" s="1685" t="str">
        <f t="shared" si="9"/>
        <v>NC-Hazard</v>
      </c>
      <c r="O26" s="1684">
        <f t="shared" si="10"/>
        <v>139047.61904761905</v>
      </c>
      <c r="P26" s="1685" t="str">
        <f t="shared" si="11"/>
        <v>NC-Hazard</v>
      </c>
      <c r="Q26" s="1919">
        <f t="shared" si="18"/>
        <v>-1.5</v>
      </c>
      <c r="R26" s="1685">
        <f t="shared" si="12"/>
        <v>10428.571428571429</v>
      </c>
      <c r="S26" s="1685" t="str">
        <f t="shared" si="13"/>
        <v>NC-Hazard</v>
      </c>
      <c r="T26" s="1684">
        <f t="shared" si="14"/>
        <v>4171.4285714285716</v>
      </c>
      <c r="U26" s="1685" t="str">
        <f t="shared" si="15"/>
        <v>NC-Hazard</v>
      </c>
      <c r="V26" s="1919">
        <f t="shared" si="19"/>
        <v>-1.5</v>
      </c>
      <c r="W26"/>
    </row>
    <row r="27" spans="1:23">
      <c r="A27" s="1910" t="s">
        <v>127</v>
      </c>
      <c r="B27" s="1901" t="s">
        <v>128</v>
      </c>
      <c r="C27" s="1905">
        <f t="shared" si="0"/>
        <v>0.81382385730211804</v>
      </c>
      <c r="D27" s="1685" t="str">
        <f t="shared" si="1"/>
        <v>Vapor Intrusion</v>
      </c>
      <c r="E27" s="1684">
        <f t="shared" si="20"/>
        <v>0.81360210693226576</v>
      </c>
      <c r="F27" s="1685" t="str">
        <f t="shared" si="21"/>
        <v>Vapor Intrusion</v>
      </c>
      <c r="G27" s="1919">
        <f t="shared" si="16"/>
        <v>-2.7255382939997928E-4</v>
      </c>
      <c r="H27" s="1685">
        <f t="shared" si="22"/>
        <v>2.2839911663838728E-2</v>
      </c>
      <c r="I27" s="1685" t="str">
        <f t="shared" si="5"/>
        <v>Leaching</v>
      </c>
      <c r="J27" s="1684">
        <f t="shared" si="23"/>
        <v>2.2831147740332926E-2</v>
      </c>
      <c r="K27" s="1685" t="str">
        <f t="shared" si="24"/>
        <v>Leaching</v>
      </c>
      <c r="L27" s="1919">
        <f t="shared" si="17"/>
        <v>-3.8385821008548747E-4</v>
      </c>
      <c r="M27" s="1685">
        <f t="shared" si="8"/>
        <v>4.0691192865105901</v>
      </c>
      <c r="N27" s="1685" t="str">
        <f t="shared" si="9"/>
        <v>Canc-Risk</v>
      </c>
      <c r="O27" s="1684">
        <f t="shared" si="10"/>
        <v>4.0691192865105901</v>
      </c>
      <c r="P27" s="1685" t="str">
        <f t="shared" si="11"/>
        <v>Canc-Risk</v>
      </c>
      <c r="Q27" s="1919" t="str">
        <f t="shared" si="18"/>
        <v>--</v>
      </c>
      <c r="R27" s="1685">
        <f t="shared" si="12"/>
        <v>0.1220735785953177</v>
      </c>
      <c r="S27" s="1685" t="str">
        <f t="shared" si="13"/>
        <v>Canc-Risk</v>
      </c>
      <c r="T27" s="1684">
        <f t="shared" si="14"/>
        <v>0.1220735785953177</v>
      </c>
      <c r="U27" s="1685" t="str">
        <f t="shared" si="15"/>
        <v>Canc-Risk</v>
      </c>
      <c r="V27" s="1919" t="str">
        <f t="shared" si="19"/>
        <v>--</v>
      </c>
      <c r="W27"/>
    </row>
    <row r="28" spans="1:23">
      <c r="A28" s="1910" t="s">
        <v>129</v>
      </c>
      <c r="B28" s="1901" t="s">
        <v>130</v>
      </c>
      <c r="C28" s="1905">
        <f t="shared" si="0"/>
        <v>187.71428571428572</v>
      </c>
      <c r="D28" s="1685" t="str">
        <f t="shared" si="1"/>
        <v>Tap NC-Hazard</v>
      </c>
      <c r="E28" s="1684">
        <f t="shared" si="20"/>
        <v>187.71428571428572</v>
      </c>
      <c r="F28" s="1685" t="str">
        <f t="shared" si="21"/>
        <v>Tapwater</v>
      </c>
      <c r="G28" s="1919" t="str">
        <f t="shared" si="16"/>
        <v>--</v>
      </c>
      <c r="H28" s="1685">
        <f t="shared" si="22"/>
        <v>10.655608584834519</v>
      </c>
      <c r="I28" s="1685" t="str">
        <f t="shared" si="5"/>
        <v>Leaching</v>
      </c>
      <c r="J28" s="1684">
        <f t="shared" si="23"/>
        <v>10.688500234285714</v>
      </c>
      <c r="K28" s="1685" t="str">
        <f t="shared" si="24"/>
        <v>Leaching</v>
      </c>
      <c r="L28" s="1919">
        <f t="shared" si="17"/>
        <v>3.0772932338708463E-3</v>
      </c>
      <c r="M28" s="1685">
        <f t="shared" si="8"/>
        <v>3128.5714285714289</v>
      </c>
      <c r="N28" s="1685" t="str">
        <f t="shared" si="9"/>
        <v>NC-Hazard</v>
      </c>
      <c r="O28" s="1684">
        <f t="shared" si="10"/>
        <v>3128.5714285714289</v>
      </c>
      <c r="P28" s="1685" t="str">
        <f t="shared" si="11"/>
        <v>NC-Hazard</v>
      </c>
      <c r="Q28" s="1919" t="str">
        <f t="shared" si="18"/>
        <v>--</v>
      </c>
      <c r="R28" s="1685">
        <f t="shared" si="12"/>
        <v>93.857142857142861</v>
      </c>
      <c r="S28" s="1685" t="str">
        <f t="shared" si="13"/>
        <v>NC-Hazard</v>
      </c>
      <c r="T28" s="1684">
        <f t="shared" si="14"/>
        <v>93.857142857142861</v>
      </c>
      <c r="U28" s="1685" t="str">
        <f t="shared" si="15"/>
        <v>NC-Hazard</v>
      </c>
      <c r="V28" s="1919" t="str">
        <f t="shared" si="19"/>
        <v>--</v>
      </c>
      <c r="W28"/>
    </row>
    <row r="29" spans="1:23">
      <c r="A29" s="1910" t="s">
        <v>131</v>
      </c>
      <c r="B29" s="1901" t="s">
        <v>132</v>
      </c>
      <c r="C29" s="1905">
        <f t="shared" si="0"/>
        <v>0.18</v>
      </c>
      <c r="D29" s="1685" t="str">
        <f t="shared" si="1"/>
        <v>Odor/Nuis</v>
      </c>
      <c r="E29" s="1684">
        <f t="shared" si="20"/>
        <v>0.18</v>
      </c>
      <c r="F29" s="1685" t="str">
        <f t="shared" si="21"/>
        <v>Odor/Nuis</v>
      </c>
      <c r="G29" s="1919" t="str">
        <f t="shared" si="16"/>
        <v>--</v>
      </c>
      <c r="H29" s="1685">
        <f t="shared" si="22"/>
        <v>1.1665759618768331E-2</v>
      </c>
      <c r="I29" s="1685" t="str">
        <f t="shared" si="5"/>
        <v>Leaching</v>
      </c>
      <c r="J29" s="1684">
        <f t="shared" si="23"/>
        <v>1.1605953312000001E-2</v>
      </c>
      <c r="K29" s="1685" t="str">
        <f t="shared" si="24"/>
        <v>Leaching</v>
      </c>
      <c r="L29" s="1919">
        <f t="shared" si="17"/>
        <v>-5.1530714591530727E-3</v>
      </c>
      <c r="M29" s="1685">
        <f t="shared" si="8"/>
        <v>633.33333333333337</v>
      </c>
      <c r="N29" s="1685" t="str">
        <f t="shared" si="9"/>
        <v>Odor/Nuis</v>
      </c>
      <c r="O29" s="1684">
        <f t="shared" si="10"/>
        <v>633.33333333333337</v>
      </c>
      <c r="P29" s="1685" t="str">
        <f t="shared" si="11"/>
        <v>Odor/Nuis</v>
      </c>
      <c r="Q29" s="1919" t="str">
        <f t="shared" si="18"/>
        <v>--</v>
      </c>
      <c r="R29" s="1685">
        <f t="shared" si="12"/>
        <v>19</v>
      </c>
      <c r="S29" s="1685" t="str">
        <f t="shared" si="13"/>
        <v>Nuis/Odor</v>
      </c>
      <c r="T29" s="1684">
        <f t="shared" si="14"/>
        <v>19</v>
      </c>
      <c r="U29" s="1685" t="str">
        <f t="shared" si="15"/>
        <v>Nuis/Odor</v>
      </c>
      <c r="V29" s="1919" t="str">
        <f t="shared" si="19"/>
        <v>--</v>
      </c>
      <c r="W29"/>
    </row>
    <row r="30" spans="1:23">
      <c r="A30" s="1910" t="s">
        <v>133</v>
      </c>
      <c r="B30" s="1901" t="s">
        <v>134</v>
      </c>
      <c r="C30" s="1905">
        <f t="shared" si="0"/>
        <v>50</v>
      </c>
      <c r="D30" s="1685" t="str">
        <f t="shared" si="1"/>
        <v>MCL</v>
      </c>
      <c r="E30" s="1684">
        <f t="shared" si="20"/>
        <v>50</v>
      </c>
      <c r="F30" s="1685" t="str">
        <f t="shared" si="21"/>
        <v>MCL</v>
      </c>
      <c r="G30" s="1919" t="str">
        <f t="shared" si="16"/>
        <v>--</v>
      </c>
      <c r="H30" s="1685">
        <f t="shared" si="22"/>
        <v>160</v>
      </c>
      <c r="I30" s="1685" t="str">
        <f t="shared" si="5"/>
        <v>Terr Habitat</v>
      </c>
      <c r="J30" s="1684">
        <f t="shared" si="23"/>
        <v>160</v>
      </c>
      <c r="K30" s="1685" t="str">
        <f t="shared" si="24"/>
        <v>Terr Habitat</v>
      </c>
      <c r="L30" s="1919" t="str">
        <f t="shared" si="17"/>
        <v>--</v>
      </c>
      <c r="M30" s="1685" t="str">
        <f t="shared" si="8"/>
        <v>--</v>
      </c>
      <c r="N30" s="1685" t="str">
        <f t="shared" si="9"/>
        <v>--</v>
      </c>
      <c r="O30" s="1684" t="str">
        <f t="shared" si="10"/>
        <v>--</v>
      </c>
      <c r="P30" s="1685" t="str">
        <f t="shared" si="11"/>
        <v>--</v>
      </c>
      <c r="Q30" s="1919" t="str">
        <f t="shared" si="18"/>
        <v>--</v>
      </c>
      <c r="R30" s="1685" t="str">
        <f t="shared" si="12"/>
        <v>--</v>
      </c>
      <c r="S30" s="1685" t="str">
        <f t="shared" si="13"/>
        <v>--</v>
      </c>
      <c r="T30" s="1684" t="str">
        <f t="shared" si="14"/>
        <v>--</v>
      </c>
      <c r="U30" s="1685" t="str">
        <f t="shared" si="15"/>
        <v>--</v>
      </c>
      <c r="V30" s="1919" t="str">
        <f t="shared" si="19"/>
        <v>--</v>
      </c>
      <c r="W30"/>
    </row>
    <row r="31" spans="1:23">
      <c r="A31" s="1910" t="s">
        <v>439</v>
      </c>
      <c r="B31" s="1901" t="s">
        <v>136</v>
      </c>
      <c r="C31" s="1905">
        <f t="shared" si="0"/>
        <v>180</v>
      </c>
      <c r="D31" s="1685" t="str">
        <f t="shared" si="1"/>
        <v>Aquatic Habitat</v>
      </c>
      <c r="E31" s="1684">
        <f>VLOOKUP("Chromium III",Table_GW_Summary,MATCH("GW-ESL",heading_GW_Summary,0),FALSE)</f>
        <v>180</v>
      </c>
      <c r="F31" s="1685" t="str">
        <f>VLOOKUP("chromium iii",Table_GW_Summary,MATCH("GW-B",heading_GW_Summary,0),FALSE)</f>
        <v>Aquatic Habitat</v>
      </c>
      <c r="G31" s="1919" t="str">
        <f t="shared" si="16"/>
        <v>--</v>
      </c>
      <c r="H31" s="1685">
        <f t="shared" si="22"/>
        <v>117321.42857142858</v>
      </c>
      <c r="I31" s="1685" t="str">
        <f t="shared" si="5"/>
        <v>NC-Hazard</v>
      </c>
      <c r="J31" s="1684">
        <f t="shared" si="23"/>
        <v>275.94</v>
      </c>
      <c r="K31" s="1685" t="str">
        <f t="shared" si="24"/>
        <v>NC-Hazard</v>
      </c>
      <c r="L31" s="1919">
        <f t="shared" ref="L31:L32" si="25">IF(AND(H31="--",J31="--"),"--",IF(AND(H31="--",J31&lt;&gt;"--"),"New",IF(AND(J31="--",H31&lt;&gt;"--"),"Removed",IF((H31-J31)=0,"--",(J31-H31)/J31))))</f>
        <v>-424.1700680272109</v>
      </c>
      <c r="M31" s="1685" t="str">
        <f t="shared" si="8"/>
        <v>--</v>
      </c>
      <c r="N31" s="1685" t="str">
        <f t="shared" si="9"/>
        <v>--</v>
      </c>
      <c r="O31" s="1684" t="str">
        <f>VLOOKUP("chromium iii",Table_V_Summary,MATCH("SG-ESL",heading_V_Summary,0),FALSE)</f>
        <v>--</v>
      </c>
      <c r="P31" s="1685" t="str">
        <f>VLOOKUP("chromium iii",Table_V_Summary,MATCH("SG-B",heading_V_Summary,0),FALSE)</f>
        <v>--</v>
      </c>
      <c r="Q31" s="1919" t="str">
        <f t="shared" ref="Q31:Q32" si="26">IF(AND(M31="--",O31="--"),"--",IF(AND(M31="--",O31&lt;&gt;"--"),"New",IF(AND(O31="--",M31&lt;&gt;"--"),"Removed",IF((M31-O31)=0,"--",(O31-M31)/O31))))</f>
        <v>--</v>
      </c>
      <c r="R31" s="1685" t="str">
        <f t="shared" si="12"/>
        <v>--</v>
      </c>
      <c r="S31" s="1685" t="str">
        <f t="shared" si="13"/>
        <v>--</v>
      </c>
      <c r="T31" s="1684" t="str">
        <f>VLOOKUP("chromium iii",Table_V_Summary,MATCH("IA-ESL",heading_V_Summary,0),FALSE)</f>
        <v>--</v>
      </c>
      <c r="U31" s="1685" t="str">
        <f>VLOOKUP("chromium iii",Table_V_Summary,MATCH("IA-B",heading_V_Summary,0),FALSE)</f>
        <v>--</v>
      </c>
      <c r="V31" s="1919" t="str">
        <f t="shared" ref="V31:V32" si="27">IF(AND(R31="--",T31="--"),"--",IF(AND(R31="--",T31&lt;&gt;"--"),"New",IF(AND(T31="--",R31&lt;&gt;"--"),"Removed",IF((R31-T31)=0,"--",(T31-R31)/T31))))</f>
        <v>--</v>
      </c>
      <c r="W31"/>
    </row>
    <row r="32" spans="1:23">
      <c r="A32" s="1910" t="s">
        <v>440</v>
      </c>
      <c r="B32" s="1901" t="s">
        <v>136</v>
      </c>
      <c r="C32" s="1905">
        <f t="shared" si="0"/>
        <v>180</v>
      </c>
      <c r="D32" s="1685" t="str">
        <f t="shared" si="1"/>
        <v>Aquatic Habitat</v>
      </c>
      <c r="E32" s="1684">
        <f>VLOOKUP("Chromium III",Table_GW_Summary,MATCH("GW-ESL",heading_GW_Summary,0),FALSE)</f>
        <v>180</v>
      </c>
      <c r="F32" s="1685" t="str">
        <f>VLOOKUP("chromium iii",Table_GW_Summary,MATCH("GW-B",heading_GW_Summary,0),FALSE)</f>
        <v>Aquatic Habitat</v>
      </c>
      <c r="G32" s="1919" t="str">
        <f t="shared" ref="G32" si="28">IF(AND(C32="--",E32="--"),"--",IF(AND(C32="--",E32&lt;&gt;"--"),"New",IF(AND(E32="--",C32&lt;&gt;"--"),"Removed",IF((C32-E32)=0,"--",(E32-C32)/E32))))</f>
        <v>--</v>
      </c>
      <c r="H32" s="1685">
        <f t="shared" si="22"/>
        <v>117321.42857142858</v>
      </c>
      <c r="I32" s="1685" t="str">
        <f t="shared" si="5"/>
        <v>NC-Hazard</v>
      </c>
      <c r="J32" s="1684">
        <f t="shared" si="23"/>
        <v>117321.42857142858</v>
      </c>
      <c r="K32" s="1685" t="str">
        <f t="shared" si="24"/>
        <v>NC-Hazard</v>
      </c>
      <c r="L32" s="1919" t="str">
        <f t="shared" si="25"/>
        <v>--</v>
      </c>
      <c r="M32" s="1685" t="str">
        <f t="shared" si="8"/>
        <v>--</v>
      </c>
      <c r="N32" s="1685" t="str">
        <f t="shared" si="9"/>
        <v>--</v>
      </c>
      <c r="O32" s="1684" t="str">
        <f>VLOOKUP("chromium iii",Table_V_Summary,MATCH("SG-ESL",heading_V_Summary,0),FALSE)</f>
        <v>--</v>
      </c>
      <c r="P32" s="1685" t="str">
        <f>VLOOKUP("chromium iii",Table_V_Summary,MATCH("SG-B",heading_V_Summary,0),FALSE)</f>
        <v>--</v>
      </c>
      <c r="Q32" s="1919" t="str">
        <f t="shared" si="26"/>
        <v>--</v>
      </c>
      <c r="R32" s="1685" t="str">
        <f t="shared" si="12"/>
        <v>--</v>
      </c>
      <c r="S32" s="1685" t="str">
        <f t="shared" si="13"/>
        <v>--</v>
      </c>
      <c r="T32" s="1684" t="str">
        <f>VLOOKUP("chromium iii",Table_V_Summary,MATCH("IA-ESL",heading_V_Summary,0),FALSE)</f>
        <v>--</v>
      </c>
      <c r="U32" s="1685" t="str">
        <f>VLOOKUP("chromium iii",Table_V_Summary,MATCH("IA-B",heading_V_Summary,0),FALSE)</f>
        <v>--</v>
      </c>
      <c r="V32" s="1919" t="str">
        <f t="shared" si="27"/>
        <v>--</v>
      </c>
      <c r="W32"/>
    </row>
    <row r="33" spans="1:23">
      <c r="A33" s="1910" t="s">
        <v>137</v>
      </c>
      <c r="B33" s="1901" t="s">
        <v>138</v>
      </c>
      <c r="C33" s="1905">
        <f t="shared" si="0"/>
        <v>0.02</v>
      </c>
      <c r="D33" s="1685" t="str">
        <f t="shared" si="1"/>
        <v>Tap Canc-Risk</v>
      </c>
      <c r="E33" s="1684">
        <f t="shared" ref="E33:E64" si="29">VLOOKUP($A33,Table_GW_Summary,MATCH("GW-ESL",heading_GW_Summary,0),FALSE)</f>
        <v>2</v>
      </c>
      <c r="F33" s="1685" t="str">
        <f t="shared" ref="F33:F64" si="30">VLOOKUP($A33,Table_GW_Summary,MATCH("GW-B",heading_GW_Summary,0),FALSE)</f>
        <v>Aquatic Habitat</v>
      </c>
      <c r="G33" s="1920">
        <f t="shared" si="16"/>
        <v>0.99</v>
      </c>
      <c r="H33" s="1685">
        <f t="shared" si="22"/>
        <v>0.29641719745222933</v>
      </c>
      <c r="I33" s="1685" t="str">
        <f t="shared" si="5"/>
        <v>Canc-Risk</v>
      </c>
      <c r="J33" s="1684">
        <f t="shared" si="23"/>
        <v>0.29641719745222933</v>
      </c>
      <c r="K33" s="1685" t="str">
        <f t="shared" si="24"/>
        <v>Canc-Risk</v>
      </c>
      <c r="L33" s="1919" t="str">
        <f t="shared" si="17"/>
        <v>--</v>
      </c>
      <c r="M33" s="1685" t="str">
        <f t="shared" si="8"/>
        <v>--</v>
      </c>
      <c r="N33" s="1685" t="str">
        <f t="shared" si="9"/>
        <v>--</v>
      </c>
      <c r="O33" s="1684" t="str">
        <f t="shared" ref="O33:O64" si="31">VLOOKUP($A33,Table_V_Summary,MATCH("SG-ESL",heading_V_Summary,0),FALSE)</f>
        <v>--</v>
      </c>
      <c r="P33" s="1685" t="str">
        <f t="shared" ref="P33:P64" si="32">VLOOKUP($A33,Table_V_Summary,MATCH("SG-B",heading_V_Summary,0),FALSE)</f>
        <v>--</v>
      </c>
      <c r="Q33" s="1919" t="str">
        <f t="shared" si="18"/>
        <v>--</v>
      </c>
      <c r="R33" s="1685" t="str">
        <f t="shared" si="12"/>
        <v>--</v>
      </c>
      <c r="S33" s="1685" t="str">
        <f t="shared" si="13"/>
        <v>--</v>
      </c>
      <c r="T33" s="1684" t="str">
        <f t="shared" ref="T33:T64" si="33">VLOOKUP($A33,Table_V_Summary,MATCH("IA-ESL",heading_V_Summary,0),FALSE)</f>
        <v>--</v>
      </c>
      <c r="U33" s="1685" t="str">
        <f t="shared" ref="U33:U64" si="34">VLOOKUP($A33,Table_V_Summary,MATCH("IA-B",heading_V_Summary,0),FALSE)</f>
        <v>--</v>
      </c>
      <c r="V33" s="1919" t="str">
        <f t="shared" si="19"/>
        <v>--</v>
      </c>
      <c r="W33"/>
    </row>
    <row r="34" spans="1:23">
      <c r="A34" s="1910" t="s">
        <v>139</v>
      </c>
      <c r="B34" s="1901" t="s">
        <v>140</v>
      </c>
      <c r="C34" s="1905">
        <f t="shared" si="0"/>
        <v>3</v>
      </c>
      <c r="D34" s="1685" t="str">
        <f t="shared" si="1"/>
        <v>Aquatic Habitat</v>
      </c>
      <c r="E34" s="1684">
        <f t="shared" si="29"/>
        <v>3</v>
      </c>
      <c r="F34" s="1685" t="str">
        <f t="shared" si="30"/>
        <v>Aquatic Habitat</v>
      </c>
      <c r="G34" s="1919" t="str">
        <f t="shared" si="16"/>
        <v>--</v>
      </c>
      <c r="H34" s="1685">
        <f t="shared" si="22"/>
        <v>23.399764305355507</v>
      </c>
      <c r="I34" s="1685" t="str">
        <f t="shared" si="5"/>
        <v>NC-Hazard</v>
      </c>
      <c r="J34" s="1684">
        <f t="shared" si="23"/>
        <v>21.90217283460661</v>
      </c>
      <c r="K34" s="1685" t="str">
        <f t="shared" si="24"/>
        <v>NC-Hazard</v>
      </c>
      <c r="L34" s="1919">
        <f t="shared" si="17"/>
        <v>-6.8376388135455796E-2</v>
      </c>
      <c r="M34" s="1685" t="str">
        <f t="shared" si="8"/>
        <v>--</v>
      </c>
      <c r="N34" s="1685" t="str">
        <f t="shared" si="9"/>
        <v>--</v>
      </c>
      <c r="O34" s="1684" t="str">
        <f t="shared" si="31"/>
        <v>--</v>
      </c>
      <c r="P34" s="1685" t="str">
        <f t="shared" si="32"/>
        <v>--</v>
      </c>
      <c r="Q34" s="1919" t="str">
        <f t="shared" si="18"/>
        <v>--</v>
      </c>
      <c r="R34" s="1685" t="str">
        <f t="shared" si="12"/>
        <v>--</v>
      </c>
      <c r="S34" s="1685" t="str">
        <f t="shared" si="13"/>
        <v>--</v>
      </c>
      <c r="T34" s="1684" t="str">
        <f t="shared" si="33"/>
        <v>--</v>
      </c>
      <c r="U34" s="1685" t="str">
        <f t="shared" si="34"/>
        <v>--</v>
      </c>
      <c r="V34" s="1919" t="str">
        <f t="shared" si="19"/>
        <v>--</v>
      </c>
      <c r="W34"/>
    </row>
    <row r="35" spans="1:23">
      <c r="A35" s="1910" t="s">
        <v>141</v>
      </c>
      <c r="B35" s="1901" t="s">
        <v>142</v>
      </c>
      <c r="C35" s="1905">
        <f t="shared" si="0"/>
        <v>3.1</v>
      </c>
      <c r="D35" s="1685" t="str">
        <f t="shared" si="1"/>
        <v>Aquatic Habitat</v>
      </c>
      <c r="E35" s="1684">
        <f t="shared" si="29"/>
        <v>3</v>
      </c>
      <c r="F35" s="1685" t="str">
        <f t="shared" si="30"/>
        <v>Aquatic Habitat</v>
      </c>
      <c r="G35" s="1919">
        <f t="shared" si="16"/>
        <v>-3.3333333333333361E-2</v>
      </c>
      <c r="H35" s="1685">
        <f t="shared" si="22"/>
        <v>180</v>
      </c>
      <c r="I35" s="1685" t="str">
        <f t="shared" si="5"/>
        <v>Terr Habitat</v>
      </c>
      <c r="J35" s="1684">
        <f t="shared" si="23"/>
        <v>180</v>
      </c>
      <c r="K35" s="1685" t="str">
        <f t="shared" si="24"/>
        <v>Terr Habitat</v>
      </c>
      <c r="L35" s="1919" t="str">
        <f t="shared" si="17"/>
        <v>--</v>
      </c>
      <c r="M35" s="1685" t="str">
        <f t="shared" si="8"/>
        <v>--</v>
      </c>
      <c r="N35" s="1685" t="str">
        <f t="shared" si="9"/>
        <v>--</v>
      </c>
      <c r="O35" s="1684" t="str">
        <f t="shared" si="31"/>
        <v>--</v>
      </c>
      <c r="P35" s="1685" t="str">
        <f t="shared" si="32"/>
        <v>--</v>
      </c>
      <c r="Q35" s="1919" t="str">
        <f t="shared" si="18"/>
        <v>--</v>
      </c>
      <c r="R35" s="1685" t="str">
        <f t="shared" si="12"/>
        <v>--</v>
      </c>
      <c r="S35" s="1685" t="str">
        <f t="shared" si="13"/>
        <v>--</v>
      </c>
      <c r="T35" s="1684" t="str">
        <f t="shared" si="33"/>
        <v>--</v>
      </c>
      <c r="U35" s="1685" t="str">
        <f t="shared" si="34"/>
        <v>--</v>
      </c>
      <c r="V35" s="1919" t="str">
        <f t="shared" si="19"/>
        <v>--</v>
      </c>
      <c r="W35"/>
    </row>
    <row r="36" spans="1:23">
      <c r="A36" s="1910" t="s">
        <v>143</v>
      </c>
      <c r="B36" s="1901" t="s">
        <v>144</v>
      </c>
      <c r="C36" s="1905">
        <f t="shared" si="0"/>
        <v>1</v>
      </c>
      <c r="D36" s="1685" t="str">
        <f t="shared" si="1"/>
        <v>Aquatic Habitat</v>
      </c>
      <c r="E36" s="1684">
        <f t="shared" si="29"/>
        <v>1</v>
      </c>
      <c r="F36" s="1685" t="str">
        <f t="shared" si="30"/>
        <v>Aquatic Habitat</v>
      </c>
      <c r="G36" s="1919" t="str">
        <f t="shared" si="16"/>
        <v>--</v>
      </c>
      <c r="H36" s="1685">
        <f t="shared" si="22"/>
        <v>3.4427000000000004E-3</v>
      </c>
      <c r="I36" s="1685" t="str">
        <f t="shared" si="5"/>
        <v>Leaching</v>
      </c>
      <c r="J36" s="1684">
        <f t="shared" si="23"/>
        <v>0.11</v>
      </c>
      <c r="K36" s="1685" t="str">
        <f t="shared" si="24"/>
        <v>Terr Habitat</v>
      </c>
      <c r="L36" s="1920">
        <f t="shared" si="17"/>
        <v>0.96870272727272722</v>
      </c>
      <c r="M36" s="1685">
        <f t="shared" si="8"/>
        <v>27.80952380952381</v>
      </c>
      <c r="N36" s="1685" t="str">
        <f t="shared" si="9"/>
        <v>NC-Hazard</v>
      </c>
      <c r="O36" s="1684">
        <f t="shared" si="31"/>
        <v>27.80952380952381</v>
      </c>
      <c r="P36" s="1685" t="str">
        <f t="shared" si="32"/>
        <v>NC-Hazard</v>
      </c>
      <c r="Q36" s="1919" t="str">
        <f t="shared" si="18"/>
        <v>--</v>
      </c>
      <c r="R36" s="1685">
        <f t="shared" si="12"/>
        <v>0.8342857142857143</v>
      </c>
      <c r="S36" s="1685" t="str">
        <f t="shared" si="13"/>
        <v>NC-Hazard</v>
      </c>
      <c r="T36" s="1684">
        <f t="shared" si="33"/>
        <v>0.8342857142857143</v>
      </c>
      <c r="U36" s="1685" t="str">
        <f t="shared" si="34"/>
        <v>NC-Hazard</v>
      </c>
      <c r="V36" s="1919" t="str">
        <f t="shared" si="19"/>
        <v>--</v>
      </c>
      <c r="W36"/>
    </row>
    <row r="37" spans="1:23">
      <c r="A37" s="1910" t="s">
        <v>145</v>
      </c>
      <c r="B37" s="1901" t="s">
        <v>146</v>
      </c>
      <c r="C37" s="1905">
        <f t="shared" ref="C37:C68" si="35">VLOOKUP($B37,Table_T1_19,MATCH("Gw",heading_T1_19,0),FALSE)</f>
        <v>34</v>
      </c>
      <c r="D37" s="1685" t="str">
        <f t="shared" ref="D37:D68" si="36">VLOOKUP($B37,Table_T1_19,MATCH("Gw-b",heading_T1_19,0),FALSE)</f>
        <v>Aquatic Habitat</v>
      </c>
      <c r="E37" s="1684">
        <f t="shared" si="29"/>
        <v>21</v>
      </c>
      <c r="F37" s="1685" t="str">
        <f t="shared" si="30"/>
        <v>Aquatic Habitat</v>
      </c>
      <c r="G37" s="1919">
        <f t="shared" si="16"/>
        <v>-0.61904761904761907</v>
      </c>
      <c r="H37" s="1685">
        <f t="shared" si="22"/>
        <v>0.34564260410557185</v>
      </c>
      <c r="I37" s="1685" t="str">
        <f t="shared" ref="I37:I68" si="37">VLOOKUP($B37,Table_T1_19,MATCH("S-b",heading_T1_19,0),FALSE)</f>
        <v>Leaching</v>
      </c>
      <c r="J37" s="1684">
        <f t="shared" si="23"/>
        <v>0.212986221</v>
      </c>
      <c r="K37" s="1685" t="str">
        <f t="shared" si="24"/>
        <v>Leaching</v>
      </c>
      <c r="L37" s="1919">
        <f t="shared" si="17"/>
        <v>-0.62284021230449382</v>
      </c>
      <c r="M37" s="1685" t="str">
        <f t="shared" ref="M37:M68" si="38">VLOOKUP($B37,Table_T1_19,MATCH("SG",heading_T1_19,0),FALSE)</f>
        <v>--</v>
      </c>
      <c r="N37" s="1685" t="str">
        <f t="shared" ref="N37:N68" si="39">VLOOKUP($B37,Table_T1_19,MATCH("SG-b",heading_T1_19,0),FALSE)</f>
        <v>--</v>
      </c>
      <c r="O37" s="1684" t="str">
        <f t="shared" si="31"/>
        <v>--</v>
      </c>
      <c r="P37" s="1685" t="str">
        <f t="shared" si="32"/>
        <v>--</v>
      </c>
      <c r="Q37" s="1919" t="str">
        <f t="shared" si="18"/>
        <v>--</v>
      </c>
      <c r="R37" s="1685" t="str">
        <f t="shared" ref="R37:R68" si="40">VLOOKUP($B37,Table_T1_19,MATCH("IA",heading_T1_19,0),FALSE)</f>
        <v>--</v>
      </c>
      <c r="S37" s="1685" t="str">
        <f t="shared" ref="S37:S68" si="41">VLOOKUP($B37,Table_T1_19,MATCH("IA-b",heading_T1_19,0),FALSE)</f>
        <v>--</v>
      </c>
      <c r="T37" s="1684" t="str">
        <f t="shared" si="33"/>
        <v>--</v>
      </c>
      <c r="U37" s="1685" t="str">
        <f t="shared" si="34"/>
        <v>--</v>
      </c>
      <c r="V37" s="1919" t="str">
        <f t="shared" si="19"/>
        <v>--</v>
      </c>
      <c r="W37"/>
    </row>
    <row r="38" spans="1:23">
      <c r="A38" s="1910" t="s">
        <v>147</v>
      </c>
      <c r="B38" s="1901" t="s">
        <v>148</v>
      </c>
      <c r="C38" s="1905">
        <f t="shared" si="35"/>
        <v>2.8163580246913573E-2</v>
      </c>
      <c r="D38" s="1685" t="str">
        <f t="shared" si="36"/>
        <v>Vapor Intrusion</v>
      </c>
      <c r="E38" s="1684">
        <f t="shared" si="29"/>
        <v>2.8117598891397772E-2</v>
      </c>
      <c r="F38" s="1685" t="str">
        <f t="shared" si="30"/>
        <v>Vapor Intrusion</v>
      </c>
      <c r="G38" s="1919">
        <f t="shared" si="16"/>
        <v>-1.6353229766667146E-3</v>
      </c>
      <c r="H38" s="1685">
        <f t="shared" si="22"/>
        <v>5.866506801889866E-4</v>
      </c>
      <c r="I38" s="1685" t="str">
        <f t="shared" si="37"/>
        <v>Leaching</v>
      </c>
      <c r="J38" s="1684">
        <f t="shared" si="23"/>
        <v>5.6615429260844022E-4</v>
      </c>
      <c r="K38" s="1685" t="str">
        <f t="shared" si="24"/>
        <v>Leaching</v>
      </c>
      <c r="L38" s="1919">
        <f t="shared" si="17"/>
        <v>-3.6202829949612256E-2</v>
      </c>
      <c r="M38" s="1685">
        <f t="shared" si="38"/>
        <v>5.6327160493827143E-3</v>
      </c>
      <c r="N38" s="1685" t="str">
        <f t="shared" si="39"/>
        <v>Canc-Risk</v>
      </c>
      <c r="O38" s="1684">
        <f t="shared" si="31"/>
        <v>5.6327160493827143E-3</v>
      </c>
      <c r="P38" s="1685" t="str">
        <f t="shared" si="32"/>
        <v>Canc-Risk</v>
      </c>
      <c r="Q38" s="1919" t="str">
        <f t="shared" si="18"/>
        <v>--</v>
      </c>
      <c r="R38" s="1685">
        <f t="shared" si="40"/>
        <v>1.6898148148148143E-4</v>
      </c>
      <c r="S38" s="1685" t="str">
        <f t="shared" si="41"/>
        <v>Canc-Risk</v>
      </c>
      <c r="T38" s="1684">
        <f t="shared" si="33"/>
        <v>1.6898148148148143E-4</v>
      </c>
      <c r="U38" s="1685" t="str">
        <f t="shared" si="34"/>
        <v>Canc-Risk</v>
      </c>
      <c r="V38" s="1919" t="str">
        <f t="shared" si="19"/>
        <v>--</v>
      </c>
      <c r="W38"/>
    </row>
    <row r="39" spans="1:23">
      <c r="A39" s="1910" t="s">
        <v>149</v>
      </c>
      <c r="B39" s="1901" t="s">
        <v>150</v>
      </c>
      <c r="C39" s="1905">
        <f t="shared" si="35"/>
        <v>0.05</v>
      </c>
      <c r="D39" s="1685" t="str">
        <f t="shared" si="36"/>
        <v>MCL</v>
      </c>
      <c r="E39" s="1684">
        <f t="shared" si="29"/>
        <v>0.05</v>
      </c>
      <c r="F39" s="1685" t="str">
        <f t="shared" si="30"/>
        <v>MCL</v>
      </c>
      <c r="G39" s="1919" t="str">
        <f t="shared" si="16"/>
        <v>--</v>
      </c>
      <c r="H39" s="1685">
        <f t="shared" si="22"/>
        <v>5.3372750000000007E-4</v>
      </c>
      <c r="I39" s="1685" t="str">
        <f t="shared" si="37"/>
        <v>Leaching</v>
      </c>
      <c r="J39" s="1684">
        <f t="shared" si="23"/>
        <v>5.3040750000000005E-4</v>
      </c>
      <c r="K39" s="1685" t="str">
        <f t="shared" si="24"/>
        <v>Leaching</v>
      </c>
      <c r="L39" s="1919">
        <f t="shared" si="17"/>
        <v>-6.2593383389186906E-3</v>
      </c>
      <c r="M39" s="1685">
        <f t="shared" si="38"/>
        <v>0.15598290598290598</v>
      </c>
      <c r="N39" s="1685" t="str">
        <f t="shared" si="39"/>
        <v>Canc-Risk</v>
      </c>
      <c r="O39" s="1684">
        <f t="shared" si="31"/>
        <v>0.15598290598290598</v>
      </c>
      <c r="P39" s="1685" t="str">
        <f t="shared" si="32"/>
        <v>Canc-Risk</v>
      </c>
      <c r="Q39" s="1919" t="str">
        <f t="shared" si="18"/>
        <v>--</v>
      </c>
      <c r="R39" s="1685">
        <f t="shared" si="40"/>
        <v>4.679487179487179E-3</v>
      </c>
      <c r="S39" s="1685" t="str">
        <f t="shared" si="41"/>
        <v>Canc-Risk</v>
      </c>
      <c r="T39" s="1684">
        <f t="shared" si="33"/>
        <v>4.679487179487179E-3</v>
      </c>
      <c r="U39" s="1685" t="str">
        <f t="shared" si="34"/>
        <v>Canc-Risk</v>
      </c>
      <c r="V39" s="1919" t="str">
        <f t="shared" si="19"/>
        <v>--</v>
      </c>
      <c r="W39"/>
    </row>
    <row r="40" spans="1:23">
      <c r="A40" s="1910" t="s">
        <v>151</v>
      </c>
      <c r="B40" s="1901" t="s">
        <v>152</v>
      </c>
      <c r="C40" s="1905">
        <f t="shared" si="35"/>
        <v>14</v>
      </c>
      <c r="D40" s="1685" t="str">
        <f t="shared" si="36"/>
        <v>Aquatic Habitat</v>
      </c>
      <c r="E40" s="1684">
        <f t="shared" si="29"/>
        <v>14</v>
      </c>
      <c r="F40" s="1685" t="str">
        <f t="shared" si="30"/>
        <v>Aquatic Habitat</v>
      </c>
      <c r="G40" s="1919" t="str">
        <f t="shared" si="16"/>
        <v>--</v>
      </c>
      <c r="H40" s="1685">
        <f t="shared" si="22"/>
        <v>1.0487613489736072</v>
      </c>
      <c r="I40" s="1685" t="str">
        <f t="shared" si="37"/>
        <v>Leaching</v>
      </c>
      <c r="J40" s="1684">
        <f t="shared" si="23"/>
        <v>1.0567037600000002</v>
      </c>
      <c r="K40" s="1685" t="str">
        <f t="shared" si="24"/>
        <v>Leaching</v>
      </c>
      <c r="L40" s="1919">
        <f t="shared" si="17"/>
        <v>7.5162134621277734E-3</v>
      </c>
      <c r="M40" s="1685">
        <f t="shared" si="38"/>
        <v>6952.3809523809532</v>
      </c>
      <c r="N40" s="1685" t="str">
        <f t="shared" si="39"/>
        <v>NC-Hazard</v>
      </c>
      <c r="O40" s="1684">
        <f t="shared" si="31"/>
        <v>6952.3809523809532</v>
      </c>
      <c r="P40" s="1685" t="str">
        <f t="shared" si="32"/>
        <v>NC-Hazard</v>
      </c>
      <c r="Q40" s="1919" t="str">
        <f t="shared" si="18"/>
        <v>--</v>
      </c>
      <c r="R40" s="1685">
        <f t="shared" si="40"/>
        <v>208.57142857142858</v>
      </c>
      <c r="S40" s="1685" t="str">
        <f t="shared" si="41"/>
        <v>NC-Hazard</v>
      </c>
      <c r="T40" s="1684">
        <f t="shared" si="33"/>
        <v>208.57142857142858</v>
      </c>
      <c r="U40" s="1685" t="str">
        <f t="shared" si="34"/>
        <v>NC-Hazard</v>
      </c>
      <c r="V40" s="1919" t="str">
        <f t="shared" si="19"/>
        <v>--</v>
      </c>
      <c r="W40"/>
    </row>
    <row r="41" spans="1:23">
      <c r="A41" s="1910" t="s">
        <v>153</v>
      </c>
      <c r="B41" s="1901" t="s">
        <v>154</v>
      </c>
      <c r="C41" s="1905">
        <f t="shared" si="35"/>
        <v>2.5782298509571233</v>
      </c>
      <c r="D41" s="1685" t="str">
        <f t="shared" si="36"/>
        <v>Vapor Intrusion</v>
      </c>
      <c r="E41" s="1684">
        <f t="shared" si="29"/>
        <v>2.5905753997040555</v>
      </c>
      <c r="F41" s="1685" t="str">
        <f t="shared" si="30"/>
        <v>Vapor Intrusion</v>
      </c>
      <c r="G41" s="1919">
        <f t="shared" si="16"/>
        <v>4.7655624107070995E-3</v>
      </c>
      <c r="H41" s="1685">
        <f t="shared" si="22"/>
        <v>0.20135185033278877</v>
      </c>
      <c r="I41" s="1685" t="str">
        <f t="shared" si="37"/>
        <v>Leaching</v>
      </c>
      <c r="J41" s="1684">
        <f t="shared" si="23"/>
        <v>0.20014440991585375</v>
      </c>
      <c r="K41" s="1685" t="str">
        <f t="shared" si="24"/>
        <v>Leaching</v>
      </c>
      <c r="L41" s="1919">
        <f t="shared" si="17"/>
        <v>-6.0328460707079444E-3</v>
      </c>
      <c r="M41" s="1685">
        <f t="shared" si="38"/>
        <v>8.5081585081585072</v>
      </c>
      <c r="N41" s="1685" t="str">
        <f t="shared" si="39"/>
        <v>Canc-Risk</v>
      </c>
      <c r="O41" s="1684">
        <f t="shared" si="31"/>
        <v>8.5081585081585072</v>
      </c>
      <c r="P41" s="1685" t="str">
        <f t="shared" si="32"/>
        <v>Canc-Risk</v>
      </c>
      <c r="Q41" s="1919" t="str">
        <f t="shared" si="18"/>
        <v>--</v>
      </c>
      <c r="R41" s="1685">
        <f t="shared" si="40"/>
        <v>0.25524475524475521</v>
      </c>
      <c r="S41" s="1685" t="str">
        <f t="shared" si="41"/>
        <v>Canc-Risk</v>
      </c>
      <c r="T41" s="1684">
        <f t="shared" si="33"/>
        <v>0.25524475524475521</v>
      </c>
      <c r="U41" s="1685" t="str">
        <f t="shared" si="34"/>
        <v>Canc-Risk</v>
      </c>
      <c r="V41" s="1919" t="str">
        <f t="shared" si="19"/>
        <v>--</v>
      </c>
      <c r="W41"/>
    </row>
    <row r="42" spans="1:23">
      <c r="A42" s="1910" t="s">
        <v>155</v>
      </c>
      <c r="B42" s="1901" t="s">
        <v>156</v>
      </c>
      <c r="C42" s="1905">
        <f t="shared" si="35"/>
        <v>4.6414079459102586E-2</v>
      </c>
      <c r="D42" s="1685" t="str">
        <f t="shared" si="36"/>
        <v>Tap Canc-Risk</v>
      </c>
      <c r="E42" s="1684">
        <f t="shared" si="29"/>
        <v>4.6960197920817265E-2</v>
      </c>
      <c r="F42" s="1685" t="str">
        <f t="shared" si="30"/>
        <v>Tapwater</v>
      </c>
      <c r="G42" s="1919">
        <f t="shared" si="16"/>
        <v>1.1629390119597143E-2</v>
      </c>
      <c r="H42" s="1685">
        <f t="shared" si="22"/>
        <v>2.4655159016857116E-2</v>
      </c>
      <c r="I42" s="1685" t="str">
        <f t="shared" si="37"/>
        <v>Leaching</v>
      </c>
      <c r="J42" s="1684">
        <f t="shared" si="23"/>
        <v>2.4867303215267669E-2</v>
      </c>
      <c r="K42" s="1685" t="str">
        <f t="shared" si="24"/>
        <v>Leaching</v>
      </c>
      <c r="L42" s="1919">
        <f t="shared" si="17"/>
        <v>8.5310496507841494E-3</v>
      </c>
      <c r="M42" s="1685" t="str">
        <f t="shared" si="38"/>
        <v>--</v>
      </c>
      <c r="N42" s="1685" t="str">
        <f t="shared" si="39"/>
        <v>--</v>
      </c>
      <c r="O42" s="1684" t="str">
        <f t="shared" si="31"/>
        <v>--</v>
      </c>
      <c r="P42" s="1685" t="str">
        <f t="shared" si="32"/>
        <v>--</v>
      </c>
      <c r="Q42" s="1919" t="str">
        <f t="shared" si="18"/>
        <v>--</v>
      </c>
      <c r="R42" s="1685" t="str">
        <f t="shared" si="40"/>
        <v>--</v>
      </c>
      <c r="S42" s="1685" t="str">
        <f t="shared" si="41"/>
        <v>--</v>
      </c>
      <c r="T42" s="1684" t="str">
        <f t="shared" si="33"/>
        <v>--</v>
      </c>
      <c r="U42" s="1685" t="str">
        <f t="shared" si="34"/>
        <v>--</v>
      </c>
      <c r="V42" s="1919" t="str">
        <f t="shared" si="19"/>
        <v>--</v>
      </c>
      <c r="W42"/>
    </row>
    <row r="43" spans="1:23">
      <c r="A43" s="1910" t="s">
        <v>157</v>
      </c>
      <c r="B43" s="1901" t="s">
        <v>158</v>
      </c>
      <c r="C43" s="1905">
        <f t="shared" si="35"/>
        <v>8.4000000000000003E-4</v>
      </c>
      <c r="D43" s="1685" t="str">
        <f t="shared" si="36"/>
        <v>Aquatic Habitat</v>
      </c>
      <c r="E43" s="1684">
        <f t="shared" si="29"/>
        <v>1.2E-4</v>
      </c>
      <c r="F43" s="1685" t="str">
        <f t="shared" si="30"/>
        <v>Aquatic Habitat</v>
      </c>
      <c r="G43" s="1919">
        <f t="shared" si="16"/>
        <v>-6</v>
      </c>
      <c r="H43" s="1685">
        <f t="shared" si="22"/>
        <v>2.6712334642226963</v>
      </c>
      <c r="I43" s="1685" t="str">
        <f t="shared" si="37"/>
        <v>Canc-Risk</v>
      </c>
      <c r="J43" s="1684">
        <f t="shared" si="23"/>
        <v>2.2606974962228725</v>
      </c>
      <c r="K43" s="1685" t="str">
        <f t="shared" si="24"/>
        <v>Canc-Risk</v>
      </c>
      <c r="L43" s="1919">
        <f t="shared" si="17"/>
        <v>-0.18159703750092124</v>
      </c>
      <c r="M43" s="1685" t="str">
        <f t="shared" si="38"/>
        <v>--</v>
      </c>
      <c r="N43" s="1685" t="str">
        <f t="shared" si="39"/>
        <v>--</v>
      </c>
      <c r="O43" s="1684" t="str">
        <f t="shared" si="31"/>
        <v>--</v>
      </c>
      <c r="P43" s="1685" t="str">
        <f t="shared" si="32"/>
        <v>--</v>
      </c>
      <c r="Q43" s="1919" t="str">
        <f t="shared" si="18"/>
        <v>--</v>
      </c>
      <c r="R43" s="1685" t="str">
        <f t="shared" si="40"/>
        <v>--</v>
      </c>
      <c r="S43" s="1685" t="str">
        <f t="shared" si="41"/>
        <v>--</v>
      </c>
      <c r="T43" s="1684" t="str">
        <f t="shared" si="33"/>
        <v>--</v>
      </c>
      <c r="U43" s="1685" t="str">
        <f t="shared" si="34"/>
        <v>--</v>
      </c>
      <c r="V43" s="1919" t="str">
        <f t="shared" si="19"/>
        <v>--</v>
      </c>
      <c r="W43"/>
    </row>
    <row r="44" spans="1:23">
      <c r="A44" s="1910" t="s">
        <v>159</v>
      </c>
      <c r="B44" s="1901" t="s">
        <v>160</v>
      </c>
      <c r="C44" s="1905">
        <f t="shared" si="35"/>
        <v>5.9000000000000003E-4</v>
      </c>
      <c r="D44" s="1685" t="str">
        <f t="shared" si="36"/>
        <v>Aquatic Habitat</v>
      </c>
      <c r="E44" s="1684">
        <f t="shared" si="29"/>
        <v>1.8E-5</v>
      </c>
      <c r="F44" s="1685" t="str">
        <f t="shared" si="30"/>
        <v>Aquatic Habitat</v>
      </c>
      <c r="G44" s="1919">
        <f t="shared" si="16"/>
        <v>-31.777777777777779</v>
      </c>
      <c r="H44" s="1685">
        <f t="shared" si="22"/>
        <v>0.33</v>
      </c>
      <c r="I44" s="1685" t="str">
        <f t="shared" si="37"/>
        <v>Terr Habitat</v>
      </c>
      <c r="J44" s="1684">
        <f t="shared" si="23"/>
        <v>0.33</v>
      </c>
      <c r="K44" s="1685" t="str">
        <f t="shared" si="24"/>
        <v>Terr Habitat</v>
      </c>
      <c r="L44" s="1919" t="str">
        <f t="shared" si="17"/>
        <v>--</v>
      </c>
      <c r="M44" s="1685">
        <f t="shared" si="38"/>
        <v>0.9648427174200368</v>
      </c>
      <c r="N44" s="1685" t="str">
        <f t="shared" si="39"/>
        <v>Canc-Risk</v>
      </c>
      <c r="O44" s="1684">
        <f t="shared" si="31"/>
        <v>0.9648427174200368</v>
      </c>
      <c r="P44" s="1685" t="str">
        <f t="shared" si="32"/>
        <v>Canc-Risk</v>
      </c>
      <c r="Q44" s="1919" t="str">
        <f t="shared" si="18"/>
        <v>--</v>
      </c>
      <c r="R44" s="1685">
        <f t="shared" si="40"/>
        <v>2.8945281522601105E-2</v>
      </c>
      <c r="S44" s="1685" t="str">
        <f t="shared" si="41"/>
        <v>Canc-Risk</v>
      </c>
      <c r="T44" s="1684">
        <f t="shared" si="33"/>
        <v>2.8945281522601105E-2</v>
      </c>
      <c r="U44" s="1685" t="str">
        <f t="shared" si="34"/>
        <v>Canc-Risk</v>
      </c>
      <c r="V44" s="1919" t="str">
        <f t="shared" si="19"/>
        <v>--</v>
      </c>
      <c r="W44"/>
    </row>
    <row r="45" spans="1:23">
      <c r="A45" s="1910" t="s">
        <v>161</v>
      </c>
      <c r="B45" s="1901" t="s">
        <v>162</v>
      </c>
      <c r="C45" s="1905">
        <f t="shared" si="35"/>
        <v>5.9000000000000003E-4</v>
      </c>
      <c r="D45" s="1685" t="str">
        <f t="shared" si="36"/>
        <v>Aquatic Habitat</v>
      </c>
      <c r="E45" s="1684">
        <f t="shared" si="29"/>
        <v>3.0000000000000001E-5</v>
      </c>
      <c r="F45" s="1685" t="str">
        <f t="shared" si="30"/>
        <v>Aquatic Habitat</v>
      </c>
      <c r="G45" s="1919">
        <f t="shared" si="16"/>
        <v>-18.666666666666668</v>
      </c>
      <c r="H45" s="1685">
        <f t="shared" si="22"/>
        <v>1.1000000000000001E-3</v>
      </c>
      <c r="I45" s="1685" t="str">
        <f t="shared" si="37"/>
        <v>Terr Habitat</v>
      </c>
      <c r="J45" s="1684">
        <f t="shared" si="23"/>
        <v>2.1000000000000001E-2</v>
      </c>
      <c r="K45" s="1685" t="str">
        <f t="shared" si="24"/>
        <v>Terr Habitat</v>
      </c>
      <c r="L45" s="1920">
        <f t="shared" si="17"/>
        <v>0.94761904761904758</v>
      </c>
      <c r="M45" s="1685" t="str">
        <f t="shared" si="38"/>
        <v>--</v>
      </c>
      <c r="N45" s="1685" t="str">
        <f t="shared" si="39"/>
        <v>--</v>
      </c>
      <c r="O45" s="1684" t="str">
        <f t="shared" si="31"/>
        <v>--</v>
      </c>
      <c r="P45" s="1685" t="str">
        <f t="shared" si="32"/>
        <v>--</v>
      </c>
      <c r="Q45" s="1919" t="str">
        <f t="shared" si="18"/>
        <v>--</v>
      </c>
      <c r="R45" s="1685" t="str">
        <f t="shared" si="40"/>
        <v>--</v>
      </c>
      <c r="S45" s="1685" t="str">
        <f t="shared" si="41"/>
        <v>--</v>
      </c>
      <c r="T45" s="1684" t="str">
        <f t="shared" si="33"/>
        <v>--</v>
      </c>
      <c r="U45" s="1685" t="str">
        <f t="shared" si="34"/>
        <v>--</v>
      </c>
      <c r="V45" s="1919" t="str">
        <f t="shared" si="19"/>
        <v>--</v>
      </c>
      <c r="W45"/>
    </row>
    <row r="46" spans="1:23">
      <c r="A46" s="1910" t="s">
        <v>163</v>
      </c>
      <c r="B46" s="1901" t="s">
        <v>164</v>
      </c>
      <c r="C46" s="1905">
        <f t="shared" si="35"/>
        <v>5</v>
      </c>
      <c r="D46" s="1685" t="str">
        <f t="shared" si="36"/>
        <v>MCL</v>
      </c>
      <c r="E46" s="1684">
        <f t="shared" si="29"/>
        <v>5</v>
      </c>
      <c r="F46" s="1685" t="str">
        <f t="shared" si="30"/>
        <v>MCL</v>
      </c>
      <c r="G46" s="1919" t="str">
        <f t="shared" si="16"/>
        <v>--</v>
      </c>
      <c r="H46" s="1685">
        <f t="shared" si="22"/>
        <v>0.2009991495601173</v>
      </c>
      <c r="I46" s="1685" t="str">
        <f t="shared" si="37"/>
        <v>Leaching</v>
      </c>
      <c r="J46" s="1684">
        <f t="shared" si="23"/>
        <v>0.20082729999999999</v>
      </c>
      <c r="K46" s="1685" t="str">
        <f t="shared" si="24"/>
        <v>Leaching</v>
      </c>
      <c r="L46" s="1919">
        <f t="shared" si="17"/>
        <v>-8.5570816376715386E-4</v>
      </c>
      <c r="M46" s="1685">
        <f t="shared" si="38"/>
        <v>58.493589743589737</v>
      </c>
      <c r="N46" s="1685" t="str">
        <f t="shared" si="39"/>
        <v>Canc-Risk</v>
      </c>
      <c r="O46" s="1684">
        <f t="shared" si="31"/>
        <v>58.493589743589737</v>
      </c>
      <c r="P46" s="1685" t="str">
        <f t="shared" si="32"/>
        <v>Canc-Risk</v>
      </c>
      <c r="Q46" s="1919" t="str">
        <f t="shared" si="18"/>
        <v>--</v>
      </c>
      <c r="R46" s="1685">
        <f t="shared" si="40"/>
        <v>1.7548076923076921</v>
      </c>
      <c r="S46" s="1685" t="str">
        <f t="shared" si="41"/>
        <v>Canc-Risk</v>
      </c>
      <c r="T46" s="1684">
        <f t="shared" si="33"/>
        <v>1.7548076923076921</v>
      </c>
      <c r="U46" s="1685" t="str">
        <f t="shared" si="34"/>
        <v>Canc-Risk</v>
      </c>
      <c r="V46" s="1919" t="str">
        <f t="shared" si="19"/>
        <v>--</v>
      </c>
      <c r="W46"/>
    </row>
    <row r="47" spans="1:23">
      <c r="A47" s="1910" t="s">
        <v>165</v>
      </c>
      <c r="B47" s="1901" t="s">
        <v>166</v>
      </c>
      <c r="C47" s="1905">
        <f t="shared" si="35"/>
        <v>0.5</v>
      </c>
      <c r="D47" s="1685" t="str">
        <f t="shared" si="36"/>
        <v>MCL</v>
      </c>
      <c r="E47" s="1684">
        <f t="shared" si="29"/>
        <v>0.5</v>
      </c>
      <c r="F47" s="1685" t="str">
        <f t="shared" si="30"/>
        <v>MCL</v>
      </c>
      <c r="G47" s="1919" t="str">
        <f t="shared" si="16"/>
        <v>--</v>
      </c>
      <c r="H47" s="1685">
        <f t="shared" si="22"/>
        <v>6.960469208211144E-3</v>
      </c>
      <c r="I47" s="1685" t="str">
        <f t="shared" si="37"/>
        <v>Leaching</v>
      </c>
      <c r="J47" s="1684">
        <f t="shared" si="23"/>
        <v>6.9489300000000007E-3</v>
      </c>
      <c r="K47" s="1685" t="str">
        <f t="shared" si="24"/>
        <v>Leaching</v>
      </c>
      <c r="L47" s="1919">
        <f t="shared" si="17"/>
        <v>-1.6605733848438946E-3</v>
      </c>
      <c r="M47" s="1685">
        <f t="shared" si="38"/>
        <v>3.5996055226824457</v>
      </c>
      <c r="N47" s="1685" t="str">
        <f t="shared" si="39"/>
        <v>Canc-Risk</v>
      </c>
      <c r="O47" s="1684">
        <f t="shared" si="31"/>
        <v>3.5996055226824457</v>
      </c>
      <c r="P47" s="1685" t="str">
        <f t="shared" si="32"/>
        <v>Canc-Risk</v>
      </c>
      <c r="Q47" s="1919" t="str">
        <f t="shared" si="18"/>
        <v>--</v>
      </c>
      <c r="R47" s="1685">
        <f t="shared" si="40"/>
        <v>0.10798816568047337</v>
      </c>
      <c r="S47" s="1685" t="str">
        <f t="shared" si="41"/>
        <v>Canc-Risk</v>
      </c>
      <c r="T47" s="1684">
        <f t="shared" si="33"/>
        <v>0.10798816568047337</v>
      </c>
      <c r="U47" s="1685" t="str">
        <f t="shared" si="34"/>
        <v>Canc-Risk</v>
      </c>
      <c r="V47" s="1919" t="str">
        <f t="shared" si="19"/>
        <v>--</v>
      </c>
      <c r="W47"/>
    </row>
    <row r="48" spans="1:23">
      <c r="A48" s="1910" t="s">
        <v>167</v>
      </c>
      <c r="B48" s="1901" t="s">
        <v>168</v>
      </c>
      <c r="C48" s="1905">
        <f t="shared" si="35"/>
        <v>3.2</v>
      </c>
      <c r="D48" s="1685" t="str">
        <f t="shared" si="36"/>
        <v>Aquatic Habitat</v>
      </c>
      <c r="E48" s="1684">
        <f t="shared" si="29"/>
        <v>0.9</v>
      </c>
      <c r="F48" s="1685" t="str">
        <f t="shared" si="30"/>
        <v>Aquatic Habitat</v>
      </c>
      <c r="G48" s="1919">
        <f t="shared" si="16"/>
        <v>-2.5555555555555558</v>
      </c>
      <c r="H48" s="1685">
        <f t="shared" si="22"/>
        <v>0.53540704000000006</v>
      </c>
      <c r="I48" s="1685" t="str">
        <f t="shared" si="37"/>
        <v>Leaching</v>
      </c>
      <c r="J48" s="1684">
        <f t="shared" si="23"/>
        <v>0.15055633800000001</v>
      </c>
      <c r="K48" s="1685" t="str">
        <f t="shared" si="24"/>
        <v>Leaching</v>
      </c>
      <c r="L48" s="1919">
        <f t="shared" si="17"/>
        <v>-2.5561906400778693</v>
      </c>
      <c r="M48" s="1685">
        <f t="shared" si="38"/>
        <v>2433.3333333333335</v>
      </c>
      <c r="N48" s="1685" t="str">
        <f t="shared" si="39"/>
        <v>NC-Hazard</v>
      </c>
      <c r="O48" s="1922">
        <f t="shared" si="31"/>
        <v>137.65714285714287</v>
      </c>
      <c r="P48" s="1685" t="str">
        <f t="shared" si="32"/>
        <v>NC-Hazard</v>
      </c>
      <c r="Q48" s="1919">
        <f t="shared" si="18"/>
        <v>-16.676767676767675</v>
      </c>
      <c r="R48" s="1685">
        <f t="shared" si="40"/>
        <v>73</v>
      </c>
      <c r="S48" s="1685" t="str">
        <f t="shared" si="41"/>
        <v>NC-Hazard</v>
      </c>
      <c r="T48" s="1922">
        <f t="shared" si="33"/>
        <v>4.1297142857142859</v>
      </c>
      <c r="U48" s="1691" t="str">
        <f t="shared" si="34"/>
        <v>NC-Hazard</v>
      </c>
      <c r="V48" s="1919">
        <f t="shared" si="19"/>
        <v>-16.676767676767675</v>
      </c>
      <c r="W48"/>
    </row>
    <row r="49" spans="1:23">
      <c r="A49" s="1910" t="s">
        <v>169</v>
      </c>
      <c r="B49" s="1901" t="s">
        <v>170</v>
      </c>
      <c r="C49" s="1905">
        <f t="shared" si="35"/>
        <v>6</v>
      </c>
      <c r="D49" s="1685" t="str">
        <f t="shared" si="36"/>
        <v>MCL</v>
      </c>
      <c r="E49" s="1684">
        <f t="shared" si="29"/>
        <v>6</v>
      </c>
      <c r="F49" s="1685" t="str">
        <f t="shared" si="30"/>
        <v>MCL</v>
      </c>
      <c r="G49" s="1919" t="str">
        <f t="shared" si="16"/>
        <v>--</v>
      </c>
      <c r="H49" s="1685">
        <f t="shared" si="22"/>
        <v>0.19178736000000002</v>
      </c>
      <c r="I49" s="1685" t="str">
        <f t="shared" si="37"/>
        <v>Leaching</v>
      </c>
      <c r="J49" s="1684">
        <f t="shared" si="23"/>
        <v>0.19138896000000002</v>
      </c>
      <c r="K49" s="1685" t="str">
        <f t="shared" si="24"/>
        <v>Leaching</v>
      </c>
      <c r="L49" s="1919">
        <f t="shared" si="17"/>
        <v>-2.0816247708331406E-3</v>
      </c>
      <c r="M49" s="1685">
        <f t="shared" si="38"/>
        <v>278.09523809523813</v>
      </c>
      <c r="N49" s="1685" t="str">
        <f t="shared" si="39"/>
        <v>NC-Hazard</v>
      </c>
      <c r="O49" s="1922">
        <f t="shared" si="31"/>
        <v>1390.4761904761906</v>
      </c>
      <c r="P49" s="1685" t="str">
        <f t="shared" si="32"/>
        <v>NC-Hazard</v>
      </c>
      <c r="Q49" s="1920">
        <f>IF(AND(M49="--",O49="--"),"--",IF(AND(M49="--",O49&lt;&gt;"--"),"New",IF(AND(O49="--",M49&lt;&gt;"--"),"Removed",IF((M49-O49)=0,"--",(O49-M49)/O49))))</f>
        <v>0.8</v>
      </c>
      <c r="R49" s="1685">
        <f t="shared" si="40"/>
        <v>8.3428571428571434</v>
      </c>
      <c r="S49" s="1685" t="str">
        <f t="shared" si="41"/>
        <v>NC-Hazard</v>
      </c>
      <c r="T49" s="1684">
        <f t="shared" si="33"/>
        <v>41.714285714285715</v>
      </c>
      <c r="U49" s="1685" t="str">
        <f t="shared" si="34"/>
        <v>NC-Hazard</v>
      </c>
      <c r="V49" s="1920">
        <f t="shared" si="19"/>
        <v>0.8</v>
      </c>
      <c r="W49"/>
    </row>
    <row r="50" spans="1:23">
      <c r="A50" s="1910" t="s">
        <v>171</v>
      </c>
      <c r="B50" s="1901" t="s">
        <v>172</v>
      </c>
      <c r="C50" s="1905">
        <f t="shared" si="35"/>
        <v>10</v>
      </c>
      <c r="D50" s="1685" t="str">
        <f t="shared" si="36"/>
        <v>MCL</v>
      </c>
      <c r="E50" s="1684">
        <f t="shared" si="29"/>
        <v>10</v>
      </c>
      <c r="F50" s="1685" t="str">
        <f t="shared" si="30"/>
        <v>MCL</v>
      </c>
      <c r="G50" s="1919" t="str">
        <f t="shared" si="16"/>
        <v>--</v>
      </c>
      <c r="H50" s="1685">
        <f t="shared" si="22"/>
        <v>0.6486166000000001</v>
      </c>
      <c r="I50" s="1685" t="str">
        <f t="shared" si="37"/>
        <v>Leaching</v>
      </c>
      <c r="J50" s="1684">
        <f t="shared" si="23"/>
        <v>0.64795259999999999</v>
      </c>
      <c r="K50" s="1685" t="str">
        <f t="shared" si="24"/>
        <v>Leaching</v>
      </c>
      <c r="L50" s="1919">
        <f t="shared" si="17"/>
        <v>-1.02476631778329E-3</v>
      </c>
      <c r="M50" s="1685">
        <f t="shared" si="38"/>
        <v>2780.9523809523812</v>
      </c>
      <c r="N50" s="1685" t="str">
        <f t="shared" si="39"/>
        <v>NC-Hazard</v>
      </c>
      <c r="O50" s="1922">
        <f t="shared" si="31"/>
        <v>1390.4761904761906</v>
      </c>
      <c r="P50" s="1685" t="str">
        <f t="shared" si="32"/>
        <v>NC-Hazard</v>
      </c>
      <c r="Q50" s="1919">
        <f>IF(AND(M50="--",O50="--"),"--",IF(AND(M50="--",O50&lt;&gt;"--"),"New",IF(AND(O50="--",M50&lt;&gt;"--"),"Removed",IF((M50-O50)=0,"--",(O50-M50)/O50))))</f>
        <v>-1</v>
      </c>
      <c r="R50" s="1685">
        <f t="shared" si="40"/>
        <v>83.428571428571431</v>
      </c>
      <c r="S50" s="1685" t="str">
        <f t="shared" si="41"/>
        <v>NC-Hazard</v>
      </c>
      <c r="T50" s="1684">
        <f t="shared" si="33"/>
        <v>41.714285714285715</v>
      </c>
      <c r="U50" s="1685" t="str">
        <f t="shared" si="34"/>
        <v>NC-Hazard</v>
      </c>
      <c r="V50" s="1919">
        <f t="shared" si="19"/>
        <v>-1</v>
      </c>
      <c r="W50"/>
    </row>
    <row r="51" spans="1:23">
      <c r="A51" s="1910" t="s">
        <v>173</v>
      </c>
      <c r="B51" s="1901" t="s">
        <v>174</v>
      </c>
      <c r="C51" s="1905">
        <f t="shared" si="35"/>
        <v>0.3</v>
      </c>
      <c r="D51" s="1685" t="str">
        <f t="shared" si="36"/>
        <v>Odor/Nuis</v>
      </c>
      <c r="E51" s="1684">
        <f t="shared" si="29"/>
        <v>0.3</v>
      </c>
      <c r="F51" s="1685" t="str">
        <f t="shared" si="30"/>
        <v>Odor/Nuis</v>
      </c>
      <c r="G51" s="1919" t="str">
        <f t="shared" si="16"/>
        <v>--</v>
      </c>
      <c r="H51" s="1685">
        <f t="shared" si="22"/>
        <v>7.4779884090000011E-3</v>
      </c>
      <c r="I51" s="1685" t="str">
        <f t="shared" si="37"/>
        <v>Leaching</v>
      </c>
      <c r="J51" s="1684">
        <f t="shared" si="23"/>
        <v>7.3285884090000001E-3</v>
      </c>
      <c r="K51" s="1685" t="str">
        <f t="shared" si="24"/>
        <v>Leaching</v>
      </c>
      <c r="L51" s="1919">
        <f t="shared" si="17"/>
        <v>-2.038591767775192E-2</v>
      </c>
      <c r="M51" s="1685">
        <f t="shared" si="38"/>
        <v>46666.666666666672</v>
      </c>
      <c r="N51" s="1685" t="str">
        <f t="shared" si="39"/>
        <v>Odor/Nuis</v>
      </c>
      <c r="O51" s="1684">
        <f t="shared" si="31"/>
        <v>46666.666666666672</v>
      </c>
      <c r="P51" s="1685" t="str">
        <f t="shared" si="32"/>
        <v>Odor/Nuis</v>
      </c>
      <c r="Q51" s="1919" t="str">
        <f t="shared" si="18"/>
        <v>--</v>
      </c>
      <c r="R51" s="1685">
        <f t="shared" si="40"/>
        <v>1400</v>
      </c>
      <c r="S51" s="1685" t="str">
        <f t="shared" si="41"/>
        <v>Nuis/Odor</v>
      </c>
      <c r="T51" s="1684">
        <f t="shared" si="33"/>
        <v>1400</v>
      </c>
      <c r="U51" s="1685" t="str">
        <f t="shared" si="34"/>
        <v>Nuis/Odor</v>
      </c>
      <c r="V51" s="1919" t="str">
        <f t="shared" si="19"/>
        <v>--</v>
      </c>
      <c r="W51"/>
    </row>
    <row r="52" spans="1:23">
      <c r="A52" s="1910" t="s">
        <v>175</v>
      </c>
      <c r="B52" s="1901" t="s">
        <v>176</v>
      </c>
      <c r="C52" s="1905">
        <f t="shared" si="35"/>
        <v>2.339743589743589</v>
      </c>
      <c r="D52" s="1685" t="str">
        <f t="shared" si="36"/>
        <v>Vapor Intrusion</v>
      </c>
      <c r="E52" s="1684">
        <f t="shared" si="29"/>
        <v>5</v>
      </c>
      <c r="F52" s="1685" t="str">
        <f t="shared" si="30"/>
        <v>MCL</v>
      </c>
      <c r="G52" s="1920">
        <f t="shared" si="16"/>
        <v>0.53205128205128216</v>
      </c>
      <c r="H52" s="1685">
        <f t="shared" si="22"/>
        <v>6.4646507051282026E-2</v>
      </c>
      <c r="I52" s="1685" t="str">
        <f t="shared" si="37"/>
        <v>Leaching</v>
      </c>
      <c r="J52" s="1684">
        <f t="shared" si="23"/>
        <v>0.13789969999999999</v>
      </c>
      <c r="K52" s="1685" t="str">
        <f t="shared" si="24"/>
        <v>Leaching</v>
      </c>
      <c r="L52" s="1920">
        <f t="shared" si="17"/>
        <v>0.53120632567524051</v>
      </c>
      <c r="M52" s="1685">
        <f t="shared" si="38"/>
        <v>9.3589743589743577</v>
      </c>
      <c r="N52" s="1685" t="str">
        <f t="shared" si="39"/>
        <v>Canc-Risk</v>
      </c>
      <c r="O52" s="1684">
        <f t="shared" si="31"/>
        <v>25.29452529452529</v>
      </c>
      <c r="P52" s="1685" t="str">
        <f t="shared" si="32"/>
        <v>Canc-Risk</v>
      </c>
      <c r="Q52" s="1920">
        <f t="shared" si="18"/>
        <v>0.63</v>
      </c>
      <c r="R52" s="1685">
        <f t="shared" si="40"/>
        <v>0.28076923076923072</v>
      </c>
      <c r="S52" s="1685" t="str">
        <f t="shared" si="41"/>
        <v>Canc-Risk</v>
      </c>
      <c r="T52" s="1684">
        <f t="shared" si="33"/>
        <v>0.75883575883575871</v>
      </c>
      <c r="U52" s="1685" t="str">
        <f t="shared" si="34"/>
        <v>Canc-Risk</v>
      </c>
      <c r="V52" s="1920">
        <f t="shared" si="19"/>
        <v>0.63</v>
      </c>
      <c r="W52"/>
    </row>
    <row r="53" spans="1:23">
      <c r="A53" s="1910" t="s">
        <v>177</v>
      </c>
      <c r="B53" s="1901" t="s">
        <v>178</v>
      </c>
      <c r="C53" s="1905">
        <f t="shared" si="35"/>
        <v>0.5</v>
      </c>
      <c r="D53" s="1685" t="str">
        <f t="shared" si="36"/>
        <v>MCL</v>
      </c>
      <c r="E53" s="1684">
        <f t="shared" si="29"/>
        <v>0.5</v>
      </c>
      <c r="F53" s="1685" t="str">
        <f t="shared" si="30"/>
        <v>MCL</v>
      </c>
      <c r="G53" s="1919" t="str">
        <f t="shared" si="16"/>
        <v>--</v>
      </c>
      <c r="H53" s="1685">
        <f t="shared" si="22"/>
        <v>1.6993425000000003E-2</v>
      </c>
      <c r="I53" s="1685" t="str">
        <f t="shared" si="37"/>
        <v>Leaching</v>
      </c>
      <c r="J53" s="1684">
        <f t="shared" si="23"/>
        <v>1.7007535000000001E-2</v>
      </c>
      <c r="K53" s="1685" t="str">
        <f t="shared" si="24"/>
        <v>Leaching</v>
      </c>
      <c r="L53" s="1919">
        <f t="shared" si="17"/>
        <v>8.2963227769325388E-4</v>
      </c>
      <c r="M53" s="1685">
        <f t="shared" si="38"/>
        <v>5.8493589743589736</v>
      </c>
      <c r="N53" s="1685" t="str">
        <f t="shared" si="39"/>
        <v>Canc-Risk</v>
      </c>
      <c r="O53" s="1684">
        <f t="shared" si="31"/>
        <v>23.397435897435894</v>
      </c>
      <c r="P53" s="1685" t="str">
        <f t="shared" si="32"/>
        <v>Canc-Risk</v>
      </c>
      <c r="Q53" s="1920">
        <f t="shared" si="18"/>
        <v>0.75</v>
      </c>
      <c r="R53" s="1685">
        <f t="shared" si="40"/>
        <v>0.17548076923076919</v>
      </c>
      <c r="S53" s="1685" t="str">
        <f t="shared" si="41"/>
        <v>Canc-Risk</v>
      </c>
      <c r="T53" s="1684">
        <f t="shared" si="33"/>
        <v>0.70192307692307676</v>
      </c>
      <c r="U53" s="1685" t="str">
        <f t="shared" si="34"/>
        <v>Canc-Risk</v>
      </c>
      <c r="V53" s="1920">
        <f t="shared" si="19"/>
        <v>0.75</v>
      </c>
      <c r="W53"/>
    </row>
    <row r="54" spans="1:23">
      <c r="A54" s="1910" t="s">
        <v>179</v>
      </c>
      <c r="B54" s="1901" t="s">
        <v>180</v>
      </c>
      <c r="C54" s="1905">
        <f t="shared" si="35"/>
        <v>1.3999999999999999E-4</v>
      </c>
      <c r="D54" s="1685" t="str">
        <f t="shared" si="36"/>
        <v>Aquatic Habitat</v>
      </c>
      <c r="E54" s="1684">
        <f t="shared" si="29"/>
        <v>1.1999999999999999E-6</v>
      </c>
      <c r="F54" s="1685" t="str">
        <f t="shared" si="30"/>
        <v>Aquatic Habitat</v>
      </c>
      <c r="G54" s="1919">
        <f t="shared" si="16"/>
        <v>-115.66666666666666</v>
      </c>
      <c r="H54" s="1685">
        <f t="shared" ref="H54:H85" si="42">VLOOKUP($B54,Table_T1_19,MATCH("S",heading_T1_19,0),FALSE)</f>
        <v>4.6480870678885627E-4</v>
      </c>
      <c r="I54" s="1685" t="str">
        <f t="shared" si="37"/>
        <v>Leaching</v>
      </c>
      <c r="J54" s="1684">
        <f t="shared" ref="J54:J85" si="43">VLOOKUP($A54,Table_S_Summary,MATCH("Soil-ESL",heading_S_Summary,0),FALSE)</f>
        <v>4.0020024840000001E-6</v>
      </c>
      <c r="K54" s="1685" t="str">
        <f t="shared" ref="K54:K85" si="44">VLOOKUP($A54,Table_S_Summary,MATCH("S-B",heading_S_Summary,0),FALSE)</f>
        <v>Leaching</v>
      </c>
      <c r="L54" s="1919">
        <f t="shared" si="17"/>
        <v>-115.1440325554921</v>
      </c>
      <c r="M54" s="1685">
        <f t="shared" si="38"/>
        <v>2.0345596432552952E-2</v>
      </c>
      <c r="N54" s="1685" t="str">
        <f t="shared" si="39"/>
        <v>Canc-Risk</v>
      </c>
      <c r="O54" s="1684" t="str">
        <f t="shared" si="31"/>
        <v>--</v>
      </c>
      <c r="P54" s="1685" t="str">
        <f t="shared" si="32"/>
        <v>--</v>
      </c>
      <c r="Q54" s="1919" t="str">
        <f t="shared" si="18"/>
        <v>Removed</v>
      </c>
      <c r="R54" s="1685">
        <f t="shared" si="40"/>
        <v>6.1036789297658851E-4</v>
      </c>
      <c r="S54" s="1685" t="str">
        <f t="shared" si="41"/>
        <v>Canc-Risk</v>
      </c>
      <c r="T54" s="1684" t="str">
        <f t="shared" si="33"/>
        <v>--</v>
      </c>
      <c r="U54" s="1685" t="str">
        <f t="shared" si="34"/>
        <v>--</v>
      </c>
      <c r="V54" s="1919" t="str">
        <f t="shared" si="19"/>
        <v>Removed</v>
      </c>
      <c r="W54"/>
    </row>
    <row r="55" spans="1:23">
      <c r="A55" s="1910" t="s">
        <v>181</v>
      </c>
      <c r="B55" s="1901" t="s">
        <v>182</v>
      </c>
      <c r="C55" s="1905">
        <f t="shared" si="35"/>
        <v>1.5</v>
      </c>
      <c r="D55" s="1685" t="str">
        <f t="shared" si="36"/>
        <v>Aquatic Habitat</v>
      </c>
      <c r="E55" s="1684">
        <f t="shared" si="29"/>
        <v>1.5</v>
      </c>
      <c r="F55" s="1685" t="str">
        <f t="shared" si="30"/>
        <v>Aquatic Habitat</v>
      </c>
      <c r="G55" s="1919" t="str">
        <f t="shared" si="16"/>
        <v>--</v>
      </c>
      <c r="H55" s="1685">
        <f t="shared" si="42"/>
        <v>2.4905688233137831E-2</v>
      </c>
      <c r="I55" s="1685" t="str">
        <f t="shared" si="37"/>
        <v>Leaching</v>
      </c>
      <c r="J55" s="1684">
        <f t="shared" si="43"/>
        <v>2.6125779405000004E-2</v>
      </c>
      <c r="K55" s="1685" t="str">
        <f t="shared" si="44"/>
        <v>Leaching</v>
      </c>
      <c r="L55" s="1919">
        <f t="shared" si="17"/>
        <v>4.6700661172568499E-2</v>
      </c>
      <c r="M55" s="1685" t="str">
        <f t="shared" si="38"/>
        <v>--</v>
      </c>
      <c r="N55" s="1685" t="str">
        <f t="shared" si="39"/>
        <v>--</v>
      </c>
      <c r="O55" s="1684" t="str">
        <f t="shared" si="31"/>
        <v>--</v>
      </c>
      <c r="P55" s="1685" t="str">
        <f t="shared" si="32"/>
        <v>--</v>
      </c>
      <c r="Q55" s="1919" t="str">
        <f t="shared" si="18"/>
        <v>--</v>
      </c>
      <c r="R55" s="1685" t="str">
        <f t="shared" si="40"/>
        <v>--</v>
      </c>
      <c r="S55" s="1685" t="str">
        <f t="shared" si="41"/>
        <v>--</v>
      </c>
      <c r="T55" s="1684" t="str">
        <f t="shared" si="33"/>
        <v>--</v>
      </c>
      <c r="U55" s="1685" t="str">
        <f t="shared" si="34"/>
        <v>--</v>
      </c>
      <c r="V55" s="1919" t="str">
        <f t="shared" si="19"/>
        <v>--</v>
      </c>
      <c r="W55"/>
    </row>
    <row r="56" spans="1:23">
      <c r="A56" s="1910" t="s">
        <v>183</v>
      </c>
      <c r="B56" s="1901" t="s">
        <v>184</v>
      </c>
      <c r="C56" s="1905">
        <f t="shared" si="35"/>
        <v>100</v>
      </c>
      <c r="D56" s="1685" t="str">
        <f t="shared" si="36"/>
        <v>Tap NC-Hazard</v>
      </c>
      <c r="E56" s="1684">
        <f t="shared" si="29"/>
        <v>30</v>
      </c>
      <c r="F56" s="1685" t="str">
        <f t="shared" si="30"/>
        <v>Aquatic Habitat</v>
      </c>
      <c r="G56" s="1919">
        <f t="shared" si="16"/>
        <v>-2.3333333333333335</v>
      </c>
      <c r="H56" s="1685">
        <f t="shared" si="42"/>
        <v>8.1345915762463346</v>
      </c>
      <c r="I56" s="1685" t="str">
        <f t="shared" si="37"/>
        <v>Leaching</v>
      </c>
      <c r="J56" s="1684">
        <f t="shared" si="43"/>
        <v>2.44934108571</v>
      </c>
      <c r="K56" s="1685" t="str">
        <f t="shared" si="44"/>
        <v>Leaching</v>
      </c>
      <c r="L56" s="1919">
        <f t="shared" si="17"/>
        <v>-2.321134660952429</v>
      </c>
      <c r="M56" s="1685">
        <f t="shared" si="38"/>
        <v>33.333333333333336</v>
      </c>
      <c r="N56" s="1685" t="str">
        <f t="shared" si="39"/>
        <v>Odor/Nuis</v>
      </c>
      <c r="O56" s="1684">
        <f t="shared" si="31"/>
        <v>33.333333333333336</v>
      </c>
      <c r="P56" s="1685" t="str">
        <f t="shared" si="32"/>
        <v>Odor/Nuis</v>
      </c>
      <c r="Q56" s="1919" t="str">
        <f t="shared" si="18"/>
        <v>--</v>
      </c>
      <c r="R56" s="1685">
        <f t="shared" si="40"/>
        <v>1</v>
      </c>
      <c r="S56" s="1685" t="str">
        <f t="shared" si="41"/>
        <v>Nuis/Odor</v>
      </c>
      <c r="T56" s="1684">
        <f t="shared" si="33"/>
        <v>1</v>
      </c>
      <c r="U56" s="1685" t="str">
        <f t="shared" si="34"/>
        <v>Nuis/Odor</v>
      </c>
      <c r="V56" s="1919" t="str">
        <f t="shared" si="19"/>
        <v>--</v>
      </c>
      <c r="W56"/>
    </row>
    <row r="57" spans="1:23">
      <c r="A57" s="1910" t="s">
        <v>185</v>
      </c>
      <c r="B57" s="1901" t="s">
        <v>186</v>
      </c>
      <c r="C57" s="1905">
        <f t="shared" si="35"/>
        <v>38.828326615696639</v>
      </c>
      <c r="D57" s="1685" t="str">
        <f t="shared" si="36"/>
        <v>Tap NC-Hazard</v>
      </c>
      <c r="E57" s="1684">
        <f t="shared" si="29"/>
        <v>4</v>
      </c>
      <c r="F57" s="1685" t="str">
        <f t="shared" si="30"/>
        <v>Aquatic Habitat</v>
      </c>
      <c r="G57" s="1919">
        <f t="shared" si="16"/>
        <v>-8.7070816539241598</v>
      </c>
      <c r="H57" s="1685">
        <f t="shared" si="42"/>
        <v>2.964951634401515</v>
      </c>
      <c r="I57" s="1685" t="str">
        <f t="shared" si="37"/>
        <v>Leaching</v>
      </c>
      <c r="J57" s="1684">
        <f t="shared" si="43"/>
        <v>0.30597333520800002</v>
      </c>
      <c r="K57" s="1685" t="str">
        <f t="shared" si="44"/>
        <v>Leaching</v>
      </c>
      <c r="L57" s="1919">
        <f t="shared" si="17"/>
        <v>-8.6902288311690548</v>
      </c>
      <c r="M57" s="1685" t="str">
        <f t="shared" si="38"/>
        <v>--</v>
      </c>
      <c r="N57" s="1685" t="str">
        <f t="shared" si="39"/>
        <v>--</v>
      </c>
      <c r="O57" s="1684" t="str">
        <f t="shared" si="31"/>
        <v>--</v>
      </c>
      <c r="P57" s="1685" t="str">
        <f t="shared" si="32"/>
        <v>--</v>
      </c>
      <c r="Q57" s="1919" t="str">
        <f t="shared" si="18"/>
        <v>--</v>
      </c>
      <c r="R57" s="1685" t="str">
        <f t="shared" si="40"/>
        <v>--</v>
      </c>
      <c r="S57" s="1685" t="str">
        <f t="shared" si="41"/>
        <v>--</v>
      </c>
      <c r="T57" s="1684" t="str">
        <f t="shared" si="33"/>
        <v>--</v>
      </c>
      <c r="U57" s="1685" t="str">
        <f t="shared" si="34"/>
        <v>--</v>
      </c>
      <c r="V57" s="1919" t="str">
        <f t="shared" si="19"/>
        <v>--</v>
      </c>
      <c r="W57"/>
    </row>
    <row r="58" spans="1:23">
      <c r="A58" s="1910" t="s">
        <v>187</v>
      </c>
      <c r="B58" s="1901" t="s">
        <v>188</v>
      </c>
      <c r="C58" s="1905">
        <f t="shared" si="35"/>
        <v>0.23693102809718977</v>
      </c>
      <c r="D58" s="1685" t="str">
        <f t="shared" si="36"/>
        <v>Tap Canc-Risk</v>
      </c>
      <c r="E58" s="1684">
        <f t="shared" si="29"/>
        <v>0.23748554600466867</v>
      </c>
      <c r="F58" s="1685" t="str">
        <f t="shared" si="30"/>
        <v>Tapwater</v>
      </c>
      <c r="G58" s="1919">
        <f t="shared" si="16"/>
        <v>2.3349543448341098E-3</v>
      </c>
      <c r="H58" s="1685">
        <f t="shared" si="42"/>
        <v>2.281179845137439E-2</v>
      </c>
      <c r="I58" s="1685" t="str">
        <f t="shared" si="37"/>
        <v>Leaching</v>
      </c>
      <c r="J58" s="1684">
        <f t="shared" si="43"/>
        <v>2.2691728526458031E-2</v>
      </c>
      <c r="K58" s="1685" t="str">
        <f t="shared" si="44"/>
        <v>Leaching</v>
      </c>
      <c r="L58" s="1919">
        <f t="shared" si="17"/>
        <v>-5.2913520790785259E-3</v>
      </c>
      <c r="M58" s="1685" t="str">
        <f t="shared" si="38"/>
        <v>--</v>
      </c>
      <c r="N58" s="1685" t="str">
        <f t="shared" si="39"/>
        <v>--</v>
      </c>
      <c r="O58" s="1684" t="str">
        <f t="shared" si="31"/>
        <v>--</v>
      </c>
      <c r="P58" s="1685" t="str">
        <f t="shared" si="32"/>
        <v>--</v>
      </c>
      <c r="Q58" s="1919" t="str">
        <f t="shared" si="18"/>
        <v>--</v>
      </c>
      <c r="R58" s="1685" t="str">
        <f t="shared" si="40"/>
        <v>--</v>
      </c>
      <c r="S58" s="1685" t="str">
        <f t="shared" si="41"/>
        <v>--</v>
      </c>
      <c r="T58" s="1684" t="str">
        <f t="shared" si="33"/>
        <v>--</v>
      </c>
      <c r="U58" s="1685" t="str">
        <f t="shared" si="34"/>
        <v>--</v>
      </c>
      <c r="V58" s="1919" t="str">
        <f t="shared" si="19"/>
        <v>--</v>
      </c>
      <c r="W58"/>
    </row>
    <row r="59" spans="1:23">
      <c r="A59" s="1910" t="s">
        <v>189</v>
      </c>
      <c r="B59" s="1901" t="s">
        <v>190</v>
      </c>
      <c r="C59" s="1905">
        <f t="shared" si="35"/>
        <v>0.37602802115206441</v>
      </c>
      <c r="D59" s="1685" t="str">
        <f t="shared" si="36"/>
        <v>Tap Canc-Risk</v>
      </c>
      <c r="E59" s="1684">
        <f t="shared" si="29"/>
        <v>0.4590593892974133</v>
      </c>
      <c r="F59" s="1685" t="str">
        <f t="shared" si="30"/>
        <v>Tapwater</v>
      </c>
      <c r="G59" s="1920">
        <f t="shared" si="16"/>
        <v>0.18087282404228291</v>
      </c>
      <c r="H59" s="1685">
        <f t="shared" si="42"/>
        <v>1.7349692238022716E-4</v>
      </c>
      <c r="I59" s="1685" t="str">
        <f t="shared" si="37"/>
        <v>Leaching</v>
      </c>
      <c r="J59" s="1684">
        <f t="shared" si="43"/>
        <v>2.1432179157630622E-4</v>
      </c>
      <c r="K59" s="1685" t="str">
        <f t="shared" si="44"/>
        <v>Leaching</v>
      </c>
      <c r="L59" s="1920">
        <f t="shared" si="17"/>
        <v>0.19048398623312154</v>
      </c>
      <c r="M59" s="1685">
        <f t="shared" si="38"/>
        <v>12.154512154512153</v>
      </c>
      <c r="N59" s="1685" t="str">
        <f t="shared" si="39"/>
        <v>Canc-Risk</v>
      </c>
      <c r="O59" s="1684">
        <f t="shared" si="31"/>
        <v>18.717948717948715</v>
      </c>
      <c r="P59" s="1685" t="str">
        <f t="shared" si="32"/>
        <v>Canc-Risk</v>
      </c>
      <c r="Q59" s="1920">
        <f t="shared" si="18"/>
        <v>0.35064935064935066</v>
      </c>
      <c r="R59" s="1685">
        <f t="shared" si="40"/>
        <v>0.36463536463536456</v>
      </c>
      <c r="S59" s="1685" t="str">
        <f t="shared" si="41"/>
        <v>Canc-Risk</v>
      </c>
      <c r="T59" s="1684">
        <f t="shared" si="33"/>
        <v>0.56153846153846143</v>
      </c>
      <c r="U59" s="1685" t="str">
        <f t="shared" si="34"/>
        <v>Canc-Risk</v>
      </c>
      <c r="V59" s="1920">
        <f t="shared" si="19"/>
        <v>0.35064935064935066</v>
      </c>
      <c r="W59"/>
    </row>
    <row r="60" spans="1:23">
      <c r="A60" s="1910" t="s">
        <v>191</v>
      </c>
      <c r="B60" s="1901" t="s">
        <v>192</v>
      </c>
      <c r="C60" s="1905">
        <f t="shared" si="35"/>
        <v>1.4E-8</v>
      </c>
      <c r="D60" s="1685" t="str">
        <f t="shared" si="36"/>
        <v>Aquatic Habitat</v>
      </c>
      <c r="E60" s="1684">
        <f t="shared" si="29"/>
        <v>5.1000000000000002E-9</v>
      </c>
      <c r="F60" s="1685" t="str">
        <f t="shared" si="30"/>
        <v>Aquatic Habitat</v>
      </c>
      <c r="G60" s="1919">
        <f t="shared" si="16"/>
        <v>-1.7450980392156863</v>
      </c>
      <c r="H60" s="1685">
        <f t="shared" si="42"/>
        <v>4.772718494296102E-6</v>
      </c>
      <c r="I60" s="1685" t="str">
        <f t="shared" si="37"/>
        <v>Canc-Risk</v>
      </c>
      <c r="J60" s="1684">
        <f t="shared" si="43"/>
        <v>4.7692840206178896E-6</v>
      </c>
      <c r="K60" s="1685" t="str">
        <f t="shared" si="44"/>
        <v>Canc-Risk</v>
      </c>
      <c r="L60" s="1919">
        <f t="shared" si="17"/>
        <v>-7.2012353706864935E-4</v>
      </c>
      <c r="M60" s="1685">
        <f t="shared" si="38"/>
        <v>2.4628879892037785E-6</v>
      </c>
      <c r="N60" s="1685" t="str">
        <f t="shared" si="39"/>
        <v>Canc-Risk</v>
      </c>
      <c r="O60" s="1684">
        <f t="shared" si="31"/>
        <v>2.4628879892037785E-6</v>
      </c>
      <c r="P60" s="1685" t="str">
        <f t="shared" si="32"/>
        <v>Canc-Risk</v>
      </c>
      <c r="Q60" s="1919" t="str">
        <f t="shared" si="18"/>
        <v>--</v>
      </c>
      <c r="R60" s="1685">
        <f t="shared" si="40"/>
        <v>7.3886639676113351E-8</v>
      </c>
      <c r="S60" s="1685" t="str">
        <f t="shared" si="41"/>
        <v>Canc-Risk</v>
      </c>
      <c r="T60" s="1684">
        <f t="shared" si="33"/>
        <v>7.3886639676113351E-8</v>
      </c>
      <c r="U60" s="1685" t="str">
        <f t="shared" si="34"/>
        <v>Canc-Risk</v>
      </c>
      <c r="V60" s="1919" t="str">
        <f t="shared" si="19"/>
        <v>--</v>
      </c>
      <c r="W60"/>
    </row>
    <row r="61" spans="1:23">
      <c r="A61" s="1910" t="s">
        <v>193</v>
      </c>
      <c r="B61" s="1901" t="s">
        <v>194</v>
      </c>
      <c r="C61" s="1905">
        <f t="shared" si="35"/>
        <v>8.6999999999999994E-3</v>
      </c>
      <c r="D61" s="1685" t="str">
        <f t="shared" si="36"/>
        <v>Aquatic Habitat</v>
      </c>
      <c r="E61" s="1684">
        <f t="shared" si="29"/>
        <v>8.6999999999999994E-3</v>
      </c>
      <c r="F61" s="1685" t="str">
        <f t="shared" si="30"/>
        <v>Aquatic Habitat</v>
      </c>
      <c r="G61" s="1919" t="str">
        <f t="shared" si="16"/>
        <v>--</v>
      </c>
      <c r="H61" s="1685">
        <f t="shared" si="42"/>
        <v>9.824070058499999E-3</v>
      </c>
      <c r="I61" s="1685" t="str">
        <f t="shared" si="37"/>
        <v>Leaching</v>
      </c>
      <c r="J61" s="1684">
        <f t="shared" si="43"/>
        <v>9.7677462584999999E-3</v>
      </c>
      <c r="K61" s="1685" t="str">
        <f t="shared" si="44"/>
        <v>Leaching</v>
      </c>
      <c r="L61" s="1919">
        <f t="shared" si="17"/>
        <v>-5.766304581364963E-3</v>
      </c>
      <c r="M61" s="1685" t="str">
        <f t="shared" si="38"/>
        <v>--</v>
      </c>
      <c r="N61" s="1685" t="str">
        <f t="shared" si="39"/>
        <v>--</v>
      </c>
      <c r="O61" s="1684" t="str">
        <f t="shared" si="31"/>
        <v>--</v>
      </c>
      <c r="P61" s="1685" t="str">
        <f t="shared" si="32"/>
        <v>--</v>
      </c>
      <c r="Q61" s="1919" t="str">
        <f t="shared" si="18"/>
        <v>--</v>
      </c>
      <c r="R61" s="1685" t="str">
        <f t="shared" si="40"/>
        <v>--</v>
      </c>
      <c r="S61" s="1685" t="str">
        <f t="shared" si="41"/>
        <v>--</v>
      </c>
      <c r="T61" s="1684" t="str">
        <f t="shared" si="33"/>
        <v>--</v>
      </c>
      <c r="U61" s="1685" t="str">
        <f t="shared" si="34"/>
        <v>--</v>
      </c>
      <c r="V61" s="1919" t="str">
        <f t="shared" si="19"/>
        <v>--</v>
      </c>
      <c r="W61"/>
    </row>
    <row r="62" spans="1:23">
      <c r="A62" s="1910" t="s">
        <v>195</v>
      </c>
      <c r="B62" s="1901" t="s">
        <v>196</v>
      </c>
      <c r="C62" s="1905">
        <f t="shared" si="35"/>
        <v>2.3E-3</v>
      </c>
      <c r="D62" s="1685" t="str">
        <f t="shared" si="36"/>
        <v>Aquatic Habitat</v>
      </c>
      <c r="E62" s="1684">
        <f t="shared" si="29"/>
        <v>2E-3</v>
      </c>
      <c r="F62" s="1685" t="str">
        <f t="shared" si="30"/>
        <v>Aquatic Habitat</v>
      </c>
      <c r="G62" s="1919">
        <f t="shared" si="16"/>
        <v>-0.14999999999999997</v>
      </c>
      <c r="H62" s="1685">
        <f t="shared" si="42"/>
        <v>1.1000000000000001E-3</v>
      </c>
      <c r="I62" s="1685" t="str">
        <f t="shared" si="37"/>
        <v>Terr Habitat</v>
      </c>
      <c r="J62" s="1684">
        <f t="shared" si="43"/>
        <v>1.1000000000000001E-3</v>
      </c>
      <c r="K62" s="1685" t="str">
        <f t="shared" si="44"/>
        <v>Terr Habitat</v>
      </c>
      <c r="L62" s="1919" t="str">
        <f t="shared" si="17"/>
        <v>--</v>
      </c>
      <c r="M62" s="1685" t="str">
        <f t="shared" si="38"/>
        <v>--</v>
      </c>
      <c r="N62" s="1685" t="str">
        <f t="shared" si="39"/>
        <v>--</v>
      </c>
      <c r="O62" s="1684" t="str">
        <f t="shared" si="31"/>
        <v>--</v>
      </c>
      <c r="P62" s="1685" t="str">
        <f t="shared" si="32"/>
        <v>--</v>
      </c>
      <c r="Q62" s="1919" t="str">
        <f t="shared" si="18"/>
        <v>--</v>
      </c>
      <c r="R62" s="1685" t="str">
        <f t="shared" si="40"/>
        <v>--</v>
      </c>
      <c r="S62" s="1685" t="str">
        <f t="shared" si="41"/>
        <v>--</v>
      </c>
      <c r="T62" s="1684" t="str">
        <f t="shared" si="33"/>
        <v>--</v>
      </c>
      <c r="U62" s="1685" t="str">
        <f t="shared" si="34"/>
        <v>--</v>
      </c>
      <c r="V62" s="1919" t="str">
        <f t="shared" si="19"/>
        <v>--</v>
      </c>
      <c r="W62"/>
    </row>
    <row r="63" spans="1:23">
      <c r="A63" s="1910" t="s">
        <v>197</v>
      </c>
      <c r="B63" s="1901" t="s">
        <v>198</v>
      </c>
      <c r="C63" s="1905">
        <f t="shared" si="35"/>
        <v>3.5096153846153837</v>
      </c>
      <c r="D63" s="1685" t="str">
        <f t="shared" si="36"/>
        <v>Vapor Intrusion</v>
      </c>
      <c r="E63" s="1684">
        <f t="shared" si="29"/>
        <v>3.4860991800078076</v>
      </c>
      <c r="F63" s="1685" t="str">
        <f t="shared" si="30"/>
        <v>Vapor Intrusion</v>
      </c>
      <c r="G63" s="1919">
        <f t="shared" si="16"/>
        <v>-6.7457072771875118E-3</v>
      </c>
      <c r="H63" s="1685">
        <f t="shared" si="42"/>
        <v>0.43382762884615383</v>
      </c>
      <c r="I63" s="1685" t="str">
        <f t="shared" si="37"/>
        <v>Leaching</v>
      </c>
      <c r="J63" s="1684">
        <f t="shared" si="43"/>
        <v>0.42866386290667685</v>
      </c>
      <c r="K63" s="1685" t="str">
        <f t="shared" si="44"/>
        <v>Leaching</v>
      </c>
      <c r="L63" s="1919">
        <f t="shared" si="17"/>
        <v>-1.204618906866234E-2</v>
      </c>
      <c r="M63" s="1685">
        <f t="shared" si="38"/>
        <v>37.435897435897431</v>
      </c>
      <c r="N63" s="1685" t="str">
        <f t="shared" si="39"/>
        <v>Canc-Risk</v>
      </c>
      <c r="O63" s="1684">
        <f t="shared" si="31"/>
        <v>37.435897435897431</v>
      </c>
      <c r="P63" s="1685" t="str">
        <f t="shared" si="32"/>
        <v>Canc-Risk</v>
      </c>
      <c r="Q63" s="1919" t="str">
        <f t="shared" si="18"/>
        <v>--</v>
      </c>
      <c r="R63" s="1685">
        <f t="shared" si="40"/>
        <v>1.1230769230769229</v>
      </c>
      <c r="S63" s="1685" t="str">
        <f t="shared" si="41"/>
        <v>Canc-Risk</v>
      </c>
      <c r="T63" s="1684">
        <f t="shared" si="33"/>
        <v>1.1230769230769229</v>
      </c>
      <c r="U63" s="1685" t="str">
        <f t="shared" si="34"/>
        <v>Canc-Risk</v>
      </c>
      <c r="V63" s="1919" t="str">
        <f t="shared" si="19"/>
        <v>--</v>
      </c>
      <c r="W63"/>
    </row>
    <row r="64" spans="1:23">
      <c r="A64" s="1910" t="s">
        <v>199</v>
      </c>
      <c r="B64" s="1901" t="s">
        <v>200</v>
      </c>
      <c r="C64" s="1905">
        <f t="shared" si="35"/>
        <v>2.1000000000000001E-4</v>
      </c>
      <c r="D64" s="1685" t="str">
        <f t="shared" si="36"/>
        <v>Aquatic Habitat</v>
      </c>
      <c r="E64" s="1684">
        <f t="shared" si="29"/>
        <v>5.9000000000000003E-6</v>
      </c>
      <c r="F64" s="1685" t="str">
        <f t="shared" si="30"/>
        <v>Aquatic Habitat</v>
      </c>
      <c r="G64" s="1919">
        <f t="shared" si="16"/>
        <v>-34.593220338983052</v>
      </c>
      <c r="H64" s="1685">
        <f t="shared" si="42"/>
        <v>0.11996885301687323</v>
      </c>
      <c r="I64" s="1685" t="str">
        <f t="shared" si="37"/>
        <v>Canc-Risk</v>
      </c>
      <c r="J64" s="1684">
        <f t="shared" si="43"/>
        <v>0.13442642614676834</v>
      </c>
      <c r="K64" s="1685" t="str">
        <f t="shared" si="44"/>
        <v>Canc-Risk</v>
      </c>
      <c r="L64" s="1920">
        <f t="shared" si="17"/>
        <v>0.10755008181285845</v>
      </c>
      <c r="M64" s="1685">
        <f t="shared" si="38"/>
        <v>7.1992110453648908E-2</v>
      </c>
      <c r="N64" s="1685" t="str">
        <f t="shared" si="39"/>
        <v>Canc-Risk</v>
      </c>
      <c r="O64" s="1684">
        <f t="shared" si="31"/>
        <v>7.1992110453648908E-2</v>
      </c>
      <c r="P64" s="1685" t="str">
        <f t="shared" si="32"/>
        <v>Canc-Risk</v>
      </c>
      <c r="Q64" s="1919" t="str">
        <f t="shared" si="18"/>
        <v>--</v>
      </c>
      <c r="R64" s="1685">
        <f t="shared" si="40"/>
        <v>2.1597633136094673E-3</v>
      </c>
      <c r="S64" s="1685" t="str">
        <f t="shared" si="41"/>
        <v>Canc-Risk</v>
      </c>
      <c r="T64" s="1684">
        <f t="shared" si="33"/>
        <v>2.1597633136094673E-3</v>
      </c>
      <c r="U64" s="1685" t="str">
        <f t="shared" si="34"/>
        <v>Canc-Risk</v>
      </c>
      <c r="V64" s="1919" t="str">
        <f t="shared" si="19"/>
        <v>--</v>
      </c>
      <c r="W64"/>
    </row>
    <row r="65" spans="1:23">
      <c r="A65" s="1910" t="s">
        <v>201</v>
      </c>
      <c r="B65" s="1901" t="s">
        <v>202</v>
      </c>
      <c r="C65" s="1905">
        <f t="shared" si="35"/>
        <v>1.1E-4</v>
      </c>
      <c r="D65" s="1685" t="str">
        <f t="shared" si="36"/>
        <v>Aquatic Habitat</v>
      </c>
      <c r="E65" s="1684">
        <f t="shared" ref="E65:E96" si="45">VLOOKUP($A65,Table_GW_Summary,MATCH("GW-ESL",heading_GW_Summary,0),FALSE)</f>
        <v>2.0000000000000002E-5</v>
      </c>
      <c r="F65" s="1685" t="str">
        <f t="shared" ref="F65:F96" si="46">VLOOKUP($A65,Table_GW_Summary,MATCH("GW-B",heading_GW_Summary,0),FALSE)</f>
        <v>Aquatic Habitat</v>
      </c>
      <c r="G65" s="1919">
        <f t="shared" si="16"/>
        <v>-4.5</v>
      </c>
      <c r="H65" s="1685">
        <f t="shared" si="42"/>
        <v>1.8261434951612903E-4</v>
      </c>
      <c r="I65" s="1685" t="str">
        <f t="shared" si="37"/>
        <v>Leaching</v>
      </c>
      <c r="J65" s="1684">
        <f t="shared" si="43"/>
        <v>3.3567806940000001E-5</v>
      </c>
      <c r="K65" s="1685" t="str">
        <f t="shared" si="44"/>
        <v>Leaching</v>
      </c>
      <c r="L65" s="1919">
        <f t="shared" si="17"/>
        <v>-4.4401632445795105</v>
      </c>
      <c r="M65" s="1685">
        <f t="shared" si="38"/>
        <v>3.5996055226824454E-2</v>
      </c>
      <c r="N65" s="1685" t="str">
        <f t="shared" si="39"/>
        <v>Canc-Risk</v>
      </c>
      <c r="O65" s="1684">
        <f t="shared" ref="O65:O96" si="47">VLOOKUP($A65,Table_V_Summary,MATCH("SG-ESL",heading_V_Summary,0),FALSE)</f>
        <v>3.5996055226824454E-2</v>
      </c>
      <c r="P65" s="1685" t="str">
        <f t="shared" ref="P65:P96" si="48">VLOOKUP($A65,Table_V_Summary,MATCH("SG-B",heading_V_Summary,0),FALSE)</f>
        <v>Canc-Risk</v>
      </c>
      <c r="Q65" s="1919" t="str">
        <f t="shared" si="18"/>
        <v>--</v>
      </c>
      <c r="R65" s="1685">
        <f t="shared" si="40"/>
        <v>1.0798816568047336E-3</v>
      </c>
      <c r="S65" s="1685" t="str">
        <f t="shared" si="41"/>
        <v>Canc-Risk</v>
      </c>
      <c r="T65" s="1684">
        <f t="shared" ref="T65:T96" si="49">VLOOKUP($A65,Table_V_Summary,MATCH("IA-ESL",heading_V_Summary,0),FALSE)</f>
        <v>1.0798816568047336E-3</v>
      </c>
      <c r="U65" s="1685" t="str">
        <f t="shared" ref="U65:U96" si="50">VLOOKUP($A65,Table_V_Summary,MATCH("IA-B",heading_V_Summary,0),FALSE)</f>
        <v>Canc-Risk</v>
      </c>
      <c r="V65" s="1919" t="str">
        <f t="shared" si="19"/>
        <v>--</v>
      </c>
      <c r="W65"/>
    </row>
    <row r="66" spans="1:23">
      <c r="A66" s="1910" t="s">
        <v>203</v>
      </c>
      <c r="B66" s="1901" t="s">
        <v>204</v>
      </c>
      <c r="C66" s="1905">
        <f t="shared" si="35"/>
        <v>7.6999999999999996E-4</v>
      </c>
      <c r="D66" s="1685" t="str">
        <f t="shared" si="36"/>
        <v>Aquatic Habitat</v>
      </c>
      <c r="E66" s="1684">
        <f t="shared" si="45"/>
        <v>7.8999999999999996E-5</v>
      </c>
      <c r="F66" s="1685" t="str">
        <f t="shared" si="46"/>
        <v>Aquatic Habitat</v>
      </c>
      <c r="G66" s="1919">
        <f t="shared" si="16"/>
        <v>-8.7468354430379751</v>
      </c>
      <c r="H66" s="1685">
        <f t="shared" si="42"/>
        <v>8.0065988709677419E-4</v>
      </c>
      <c r="I66" s="1685" t="str">
        <f t="shared" si="37"/>
        <v>Leaching</v>
      </c>
      <c r="J66" s="1684">
        <f t="shared" si="43"/>
        <v>8.2074830099999996E-5</v>
      </c>
      <c r="K66" s="1685" t="str">
        <f t="shared" si="44"/>
        <v>Leaching</v>
      </c>
      <c r="L66" s="1919">
        <f t="shared" si="17"/>
        <v>-8.7552426989035492</v>
      </c>
      <c r="M66" s="1685">
        <f t="shared" si="38"/>
        <v>0.18350930115635997</v>
      </c>
      <c r="N66" s="1685" t="str">
        <f t="shared" si="39"/>
        <v>Canc-Risk</v>
      </c>
      <c r="O66" s="1684">
        <f t="shared" si="47"/>
        <v>0.18350930115635997</v>
      </c>
      <c r="P66" s="1685" t="str">
        <f t="shared" si="48"/>
        <v>Canc-Risk</v>
      </c>
      <c r="Q66" s="1919" t="str">
        <f t="shared" si="18"/>
        <v>--</v>
      </c>
      <c r="R66" s="1685">
        <f t="shared" si="40"/>
        <v>5.5052790346907989E-3</v>
      </c>
      <c r="S66" s="1685" t="str">
        <f t="shared" si="41"/>
        <v>Canc-Risk</v>
      </c>
      <c r="T66" s="1684">
        <f t="shared" si="49"/>
        <v>5.5052790346907989E-3</v>
      </c>
      <c r="U66" s="1685" t="str">
        <f t="shared" si="50"/>
        <v>Canc-Risk</v>
      </c>
      <c r="V66" s="1919" t="str">
        <f t="shared" si="19"/>
        <v>--</v>
      </c>
      <c r="W66"/>
    </row>
    <row r="67" spans="1:23">
      <c r="A67" s="1910" t="s">
        <v>205</v>
      </c>
      <c r="B67" s="1901" t="s">
        <v>206</v>
      </c>
      <c r="C67" s="1905">
        <f t="shared" si="35"/>
        <v>0.13684482281127774</v>
      </c>
      <c r="D67" s="1685" t="str">
        <f t="shared" si="36"/>
        <v>Tap Canc-Risk</v>
      </c>
      <c r="E67" s="1684">
        <f t="shared" si="45"/>
        <v>0.01</v>
      </c>
      <c r="F67" s="1685" t="str">
        <f t="shared" si="46"/>
        <v>Aquatic Habitat</v>
      </c>
      <c r="G67" s="1919">
        <f t="shared" si="16"/>
        <v>-12.684482281127773</v>
      </c>
      <c r="H67" s="1685">
        <f t="shared" si="42"/>
        <v>2.8026943364253706E-2</v>
      </c>
      <c r="I67" s="1685" t="str">
        <f t="shared" si="37"/>
        <v>Leaching</v>
      </c>
      <c r="J67" s="1684">
        <f t="shared" si="43"/>
        <v>2.0423529999999998E-3</v>
      </c>
      <c r="K67" s="1685" t="str">
        <f t="shared" si="44"/>
        <v>Leaching</v>
      </c>
      <c r="L67" s="1919">
        <f t="shared" si="17"/>
        <v>-12.722869339557711</v>
      </c>
      <c r="M67" s="1685">
        <f t="shared" si="38"/>
        <v>4.2540792540792536</v>
      </c>
      <c r="N67" s="1685" t="str">
        <f t="shared" si="39"/>
        <v>Canc-Risk</v>
      </c>
      <c r="O67" s="1684">
        <f t="shared" si="47"/>
        <v>4.2540792540792536</v>
      </c>
      <c r="P67" s="1685" t="str">
        <f t="shared" si="48"/>
        <v>Canc-Risk</v>
      </c>
      <c r="Q67" s="1919" t="str">
        <f t="shared" si="18"/>
        <v>--</v>
      </c>
      <c r="R67" s="1685">
        <f t="shared" si="40"/>
        <v>0.1276223776223776</v>
      </c>
      <c r="S67" s="1685" t="str">
        <f t="shared" si="41"/>
        <v>Canc-Risk</v>
      </c>
      <c r="T67" s="1684">
        <f t="shared" si="49"/>
        <v>0.1276223776223776</v>
      </c>
      <c r="U67" s="1685" t="str">
        <f t="shared" si="50"/>
        <v>Canc-Risk</v>
      </c>
      <c r="V67" s="1919" t="str">
        <f t="shared" si="19"/>
        <v>--</v>
      </c>
      <c r="W67"/>
    </row>
    <row r="68" spans="1:23">
      <c r="A68" s="1911" t="s">
        <v>1123</v>
      </c>
      <c r="B68" s="1901" t="s">
        <v>208</v>
      </c>
      <c r="C68" s="1905">
        <f t="shared" si="35"/>
        <v>1.6E-2</v>
      </c>
      <c r="D68" s="1685" t="str">
        <f t="shared" si="36"/>
        <v>Aquatic Habitat</v>
      </c>
      <c r="E68" s="1684">
        <f t="shared" si="45"/>
        <v>4.0000000000000001E-3</v>
      </c>
      <c r="F68" s="1685" t="str">
        <f t="shared" si="46"/>
        <v>Aquatic Habitat</v>
      </c>
      <c r="G68" s="1919">
        <f t="shared" si="16"/>
        <v>-3</v>
      </c>
      <c r="H68" s="1685">
        <f t="shared" si="42"/>
        <v>7.4373096656891492E-3</v>
      </c>
      <c r="I68" s="1685" t="str">
        <f t="shared" si="37"/>
        <v>Leaching</v>
      </c>
      <c r="J68" s="1684">
        <f t="shared" si="43"/>
        <v>1.86397561592E-3</v>
      </c>
      <c r="K68" s="1685" t="str">
        <f t="shared" si="44"/>
        <v>Leaching</v>
      </c>
      <c r="L68" s="1919">
        <f t="shared" si="17"/>
        <v>-2.9900251924799592</v>
      </c>
      <c r="M68" s="1685" t="str">
        <f t="shared" si="38"/>
        <v>--</v>
      </c>
      <c r="N68" s="1685" t="str">
        <f t="shared" si="39"/>
        <v>--</v>
      </c>
      <c r="O68" s="1684" t="str">
        <f t="shared" si="47"/>
        <v>--</v>
      </c>
      <c r="P68" s="1685" t="str">
        <f t="shared" si="48"/>
        <v>--</v>
      </c>
      <c r="Q68" s="1919" t="str">
        <f t="shared" si="18"/>
        <v>--</v>
      </c>
      <c r="R68" s="1685" t="str">
        <f t="shared" si="40"/>
        <v>--</v>
      </c>
      <c r="S68" s="1685" t="str">
        <f t="shared" si="41"/>
        <v>--</v>
      </c>
      <c r="T68" s="1684" t="str">
        <f t="shared" si="49"/>
        <v>--</v>
      </c>
      <c r="U68" s="1685" t="str">
        <f t="shared" si="50"/>
        <v>--</v>
      </c>
      <c r="V68" s="1919" t="str">
        <f t="shared" si="19"/>
        <v>--</v>
      </c>
      <c r="W68"/>
    </row>
    <row r="69" spans="1:23">
      <c r="A69" s="1910" t="s">
        <v>209</v>
      </c>
      <c r="B69" s="1901" t="s">
        <v>210</v>
      </c>
      <c r="C69" s="1905">
        <f t="shared" ref="C69:C101" si="51">VLOOKUP($B69,Table_T1_19,MATCH("Gw",heading_T1_19,0),FALSE)</f>
        <v>0.32577612159631375</v>
      </c>
      <c r="D69" s="1685" t="str">
        <f t="shared" ref="D69:D101" si="52">VLOOKUP($B69,Table_T1_19,MATCH("Gw-b",heading_T1_19,0),FALSE)</f>
        <v>Tap Canc-Risk</v>
      </c>
      <c r="E69" s="1684">
        <f t="shared" si="45"/>
        <v>0.1</v>
      </c>
      <c r="F69" s="1685" t="str">
        <f t="shared" si="46"/>
        <v>Aquatic Habitat</v>
      </c>
      <c r="G69" s="1919">
        <f t="shared" si="16"/>
        <v>-2.2577612159631375</v>
      </c>
      <c r="H69" s="1685">
        <f t="shared" si="42"/>
        <v>1.872228683327648E-2</v>
      </c>
      <c r="I69" s="1685" t="str">
        <f t="shared" ref="I69:I101" si="53">VLOOKUP($B69,Table_T1_19,MATCH("S-b",heading_T1_19,0),FALSE)</f>
        <v>Leaching</v>
      </c>
      <c r="J69" s="1684">
        <f t="shared" si="43"/>
        <v>5.6814030000000007E-3</v>
      </c>
      <c r="K69" s="1685" t="str">
        <f t="shared" si="44"/>
        <v>Leaching</v>
      </c>
      <c r="L69" s="1919">
        <f t="shared" si="17"/>
        <v>-2.2953632814423615</v>
      </c>
      <c r="M69" s="1685">
        <f t="shared" ref="M69:M101" si="54">VLOOKUP($B69,Table_T1_19,MATCH("SG",heading_T1_19,0),FALSE)</f>
        <v>8.5081585081585072</v>
      </c>
      <c r="N69" s="1685" t="str">
        <f t="shared" ref="N69:N101" si="55">VLOOKUP($B69,Table_T1_19,MATCH("SG-b",heading_T1_19,0),FALSE)</f>
        <v>Canc-Risk</v>
      </c>
      <c r="O69" s="1684">
        <f t="shared" si="47"/>
        <v>8.5081585081585072</v>
      </c>
      <c r="P69" s="1685" t="str">
        <f t="shared" si="48"/>
        <v>Canc-Risk</v>
      </c>
      <c r="Q69" s="1919" t="str">
        <f t="shared" si="18"/>
        <v>--</v>
      </c>
      <c r="R69" s="1685">
        <f t="shared" ref="R69:R101" si="56">VLOOKUP($B69,Table_T1_19,MATCH("IA",heading_T1_19,0),FALSE)</f>
        <v>0.25524475524475521</v>
      </c>
      <c r="S69" s="1685" t="str">
        <f t="shared" ref="S69:S101" si="57">VLOOKUP($B69,Table_T1_19,MATCH("IA-b",heading_T1_19,0),FALSE)</f>
        <v>Canc-Risk</v>
      </c>
      <c r="T69" s="1684">
        <f t="shared" si="49"/>
        <v>0.25524475524475521</v>
      </c>
      <c r="U69" s="1685" t="str">
        <f t="shared" si="50"/>
        <v>Canc-Risk</v>
      </c>
      <c r="V69" s="1919" t="str">
        <f t="shared" si="19"/>
        <v>--</v>
      </c>
      <c r="W69"/>
    </row>
    <row r="70" spans="1:23">
      <c r="A70" s="1910" t="s">
        <v>211</v>
      </c>
      <c r="B70" s="1901" t="s">
        <v>212</v>
      </c>
      <c r="C70" s="1905">
        <f t="shared" si="51"/>
        <v>2.5</v>
      </c>
      <c r="D70" s="1685" t="str">
        <f t="shared" si="52"/>
        <v>Aquatic Habitat</v>
      </c>
      <c r="E70" s="1684">
        <f t="shared" si="45"/>
        <v>2</v>
      </c>
      <c r="F70" s="1685" t="str">
        <f t="shared" si="46"/>
        <v>Aquatic Habitat</v>
      </c>
      <c r="G70" s="1919">
        <f t="shared" si="16"/>
        <v>-0.25</v>
      </c>
      <c r="H70" s="1685">
        <f t="shared" si="42"/>
        <v>32</v>
      </c>
      <c r="I70" s="1685" t="str">
        <f t="shared" si="53"/>
        <v>Terr Habitat</v>
      </c>
      <c r="J70" s="1684">
        <f t="shared" si="43"/>
        <v>32</v>
      </c>
      <c r="K70" s="1685" t="str">
        <f t="shared" si="44"/>
        <v>Terr Habitat</v>
      </c>
      <c r="L70" s="1919" t="str">
        <f t="shared" si="17"/>
        <v>--</v>
      </c>
      <c r="M70" s="1685" t="str">
        <f t="shared" si="54"/>
        <v>--</v>
      </c>
      <c r="N70" s="1685" t="str">
        <f t="shared" si="55"/>
        <v>--</v>
      </c>
      <c r="O70" s="1684" t="str">
        <f t="shared" si="47"/>
        <v>--</v>
      </c>
      <c r="P70" s="1685" t="str">
        <f t="shared" si="48"/>
        <v>--</v>
      </c>
      <c r="Q70" s="1919" t="str">
        <f t="shared" si="18"/>
        <v>--</v>
      </c>
      <c r="R70" s="1685" t="str">
        <f t="shared" si="56"/>
        <v>--</v>
      </c>
      <c r="S70" s="1685" t="str">
        <f t="shared" si="57"/>
        <v>--</v>
      </c>
      <c r="T70" s="1684" t="str">
        <f t="shared" si="49"/>
        <v>--</v>
      </c>
      <c r="U70" s="1685" t="str">
        <f t="shared" si="50"/>
        <v>--</v>
      </c>
      <c r="V70" s="1919" t="str">
        <f t="shared" si="19"/>
        <v>--</v>
      </c>
      <c r="W70"/>
    </row>
    <row r="71" spans="1:23">
      <c r="A71" s="1910" t="s">
        <v>213</v>
      </c>
      <c r="B71" s="1901" t="s">
        <v>214</v>
      </c>
      <c r="C71" s="1905">
        <f t="shared" si="51"/>
        <v>2.5000000000000001E-2</v>
      </c>
      <c r="D71" s="1685" t="str">
        <f t="shared" si="52"/>
        <v>Aquatic Habitat</v>
      </c>
      <c r="E71" s="1684">
        <f t="shared" si="45"/>
        <v>2.5000000000000001E-2</v>
      </c>
      <c r="F71" s="1685" t="str">
        <f t="shared" si="46"/>
        <v>Aquatic Habitat</v>
      </c>
      <c r="G71" s="1919" t="str">
        <f t="shared" ref="G71:G134" si="58">IF(AND(C71="--",E71="--"),"--",IF(AND(C71="--",E71&lt;&gt;"--"),"New",IF(AND(E71="--",C71&lt;&gt;"--"),"Removed",IF((C71-E71)=0,"--",(E71-C71)/E71))))</f>
        <v>--</v>
      </c>
      <c r="H71" s="1685">
        <f t="shared" si="42"/>
        <v>12.51060612424917</v>
      </c>
      <c r="I71" s="1685" t="str">
        <f t="shared" si="53"/>
        <v>NC-Hazard</v>
      </c>
      <c r="J71" s="1684">
        <f t="shared" si="43"/>
        <v>0.65137049501684874</v>
      </c>
      <c r="K71" s="1685" t="str">
        <f t="shared" si="44"/>
        <v>NC-Hazard</v>
      </c>
      <c r="L71" s="1919">
        <f t="shared" ref="L71:L134" si="59">IF(AND(H71="--",J71="--"),"--",IF(AND(H71="--",J71&lt;&gt;"--"),"New",IF(AND(J71="--",H71&lt;&gt;"--"),"Removed",IF((H71-J71)=0,"--",(J71-H71)/J71))))</f>
        <v>-18.206590135657837</v>
      </c>
      <c r="M71" s="1685">
        <f t="shared" si="54"/>
        <v>1.0428571428571429</v>
      </c>
      <c r="N71" s="1685" t="str">
        <f t="shared" si="55"/>
        <v>NC-Hazard</v>
      </c>
      <c r="O71" s="1684">
        <f t="shared" si="47"/>
        <v>1.0428571428571429</v>
      </c>
      <c r="P71" s="1685" t="str">
        <f t="shared" si="48"/>
        <v>NC-Hazard</v>
      </c>
      <c r="Q71" s="1919" t="str">
        <f t="shared" ref="Q71:Q134" si="60">IF(AND(M71="--",O71="--"),"--",IF(AND(M71="--",O71&lt;&gt;"--"),"New",IF(AND(O71="--",M71&lt;&gt;"--"),"Removed",IF((M71-O71)=0,"--",(O71-M71)/O71))))</f>
        <v>--</v>
      </c>
      <c r="R71" s="1685">
        <f t="shared" si="56"/>
        <v>3.1285714285714285E-2</v>
      </c>
      <c r="S71" s="1685" t="str">
        <f t="shared" si="57"/>
        <v>NC-Hazard</v>
      </c>
      <c r="T71" s="1684">
        <f t="shared" si="49"/>
        <v>3.1285714285714285E-2</v>
      </c>
      <c r="U71" s="1685" t="str">
        <f t="shared" si="50"/>
        <v>NC-Hazard</v>
      </c>
      <c r="V71" s="1919" t="str">
        <f t="shared" ref="V71:V134" si="61">IF(AND(R71="--",T71="--"),"--",IF(AND(R71="--",T71&lt;&gt;"--"),"New",IF(AND(T71="--",R71&lt;&gt;"--"),"Removed",IF((R71-T71)=0,"--",(T71-R71)/T71))))</f>
        <v>--</v>
      </c>
      <c r="W71"/>
    </row>
    <row r="72" spans="1:23">
      <c r="A72" s="1910" t="s">
        <v>215</v>
      </c>
      <c r="B72" s="1901" t="s">
        <v>216</v>
      </c>
      <c r="C72" s="1905">
        <f t="shared" si="51"/>
        <v>3.0000000000000001E-3</v>
      </c>
      <c r="D72" s="1685" t="str">
        <f t="shared" si="52"/>
        <v>Aquatic Habitat</v>
      </c>
      <c r="E72" s="1684">
        <f t="shared" si="45"/>
        <v>3.0000000000000001E-3</v>
      </c>
      <c r="F72" s="1685" t="str">
        <f t="shared" si="46"/>
        <v>Aquatic Habitat</v>
      </c>
      <c r="G72" s="1919" t="str">
        <f t="shared" si="58"/>
        <v>--</v>
      </c>
      <c r="H72" s="1685">
        <f t="shared" si="42"/>
        <v>1.3446003776986805E-2</v>
      </c>
      <c r="I72" s="1685" t="str">
        <f t="shared" si="53"/>
        <v>Leaching</v>
      </c>
      <c r="J72" s="1684">
        <f t="shared" si="43"/>
        <v>1.3391223780063001E-2</v>
      </c>
      <c r="K72" s="1685" t="str">
        <f t="shared" si="44"/>
        <v>Leaching</v>
      </c>
      <c r="L72" s="1919">
        <f t="shared" si="59"/>
        <v>-4.0907386676160675E-3</v>
      </c>
      <c r="M72" s="1685" t="str">
        <f t="shared" si="54"/>
        <v>--</v>
      </c>
      <c r="N72" s="1685" t="str">
        <f t="shared" si="55"/>
        <v>--</v>
      </c>
      <c r="O72" s="1684" t="str">
        <f t="shared" si="47"/>
        <v>--</v>
      </c>
      <c r="P72" s="1685" t="str">
        <f t="shared" si="48"/>
        <v>--</v>
      </c>
      <c r="Q72" s="1919" t="str">
        <f t="shared" si="60"/>
        <v>--</v>
      </c>
      <c r="R72" s="1685" t="str">
        <f t="shared" si="56"/>
        <v>--</v>
      </c>
      <c r="S72" s="1685" t="str">
        <f t="shared" si="57"/>
        <v>--</v>
      </c>
      <c r="T72" s="1684" t="str">
        <f t="shared" si="49"/>
        <v>--</v>
      </c>
      <c r="U72" s="1685" t="str">
        <f t="shared" si="50"/>
        <v>--</v>
      </c>
      <c r="V72" s="1919" t="str">
        <f t="shared" si="61"/>
        <v>--</v>
      </c>
      <c r="W72"/>
    </row>
    <row r="73" spans="1:23">
      <c r="A73" s="1910" t="s">
        <v>217</v>
      </c>
      <c r="B73" s="1901" t="s">
        <v>218</v>
      </c>
      <c r="C73" s="1905">
        <f t="shared" si="51"/>
        <v>5</v>
      </c>
      <c r="D73" s="1685" t="str">
        <f t="shared" si="52"/>
        <v>MCL</v>
      </c>
      <c r="E73" s="1684">
        <f t="shared" si="45"/>
        <v>5</v>
      </c>
      <c r="F73" s="1685" t="str">
        <f t="shared" si="46"/>
        <v>MCL</v>
      </c>
      <c r="G73" s="1919" t="str">
        <f t="shared" si="58"/>
        <v>--</v>
      </c>
      <c r="H73" s="1685">
        <f t="shared" si="42"/>
        <v>0.11912375</v>
      </c>
      <c r="I73" s="1685" t="str">
        <f t="shared" si="53"/>
        <v>Leaching</v>
      </c>
      <c r="J73" s="1684">
        <f t="shared" si="43"/>
        <v>0.11889965000000001</v>
      </c>
      <c r="K73" s="1685" t="str">
        <f t="shared" si="44"/>
        <v>Leaching</v>
      </c>
      <c r="L73" s="1919">
        <f t="shared" si="59"/>
        <v>-1.8847826717739787E-3</v>
      </c>
      <c r="M73" s="1685">
        <f t="shared" si="54"/>
        <v>33.796296296296298</v>
      </c>
      <c r="N73" s="1685" t="str">
        <f t="shared" si="55"/>
        <v>Canc-Risk</v>
      </c>
      <c r="O73" s="1684">
        <f t="shared" si="47"/>
        <v>33.796296296296298</v>
      </c>
      <c r="P73" s="1685" t="str">
        <f t="shared" si="48"/>
        <v>Canc-Risk</v>
      </c>
      <c r="Q73" s="1919" t="str">
        <f t="shared" si="60"/>
        <v>--</v>
      </c>
      <c r="R73" s="1685">
        <f t="shared" si="56"/>
        <v>1.0138888888888888</v>
      </c>
      <c r="S73" s="1685" t="str">
        <f t="shared" si="57"/>
        <v>Canc-Risk</v>
      </c>
      <c r="T73" s="1684">
        <f t="shared" si="49"/>
        <v>1.0138888888888888</v>
      </c>
      <c r="U73" s="1685" t="str">
        <f t="shared" si="50"/>
        <v>Canc-Risk</v>
      </c>
      <c r="V73" s="1919" t="str">
        <f t="shared" si="61"/>
        <v>--</v>
      </c>
      <c r="W73"/>
    </row>
    <row r="74" spans="1:23">
      <c r="A74" s="1910" t="s">
        <v>219</v>
      </c>
      <c r="B74" s="1901" t="s">
        <v>220</v>
      </c>
      <c r="C74" s="1905">
        <f t="shared" si="51"/>
        <v>5565.423465859968</v>
      </c>
      <c r="D74" s="1685" t="str">
        <f t="shared" si="52"/>
        <v>Tap NC-Hazard</v>
      </c>
      <c r="E74" s="1684">
        <f t="shared" si="45"/>
        <v>5565.4670122467714</v>
      </c>
      <c r="F74" s="1685" t="str">
        <f t="shared" si="46"/>
        <v>Tapwater</v>
      </c>
      <c r="G74" s="1919">
        <f t="shared" si="58"/>
        <v>7.8243904253864176E-6</v>
      </c>
      <c r="H74" s="1685">
        <f t="shared" si="42"/>
        <v>6.1229581274499276</v>
      </c>
      <c r="I74" s="1685" t="str">
        <f t="shared" si="53"/>
        <v>Leaching</v>
      </c>
      <c r="J74" s="1684">
        <f t="shared" si="43"/>
        <v>6.1322447114800624</v>
      </c>
      <c r="K74" s="1685" t="str">
        <f t="shared" si="44"/>
        <v>Leaching</v>
      </c>
      <c r="L74" s="1919">
        <f t="shared" si="59"/>
        <v>1.5143857538414249E-3</v>
      </c>
      <c r="M74" s="1685">
        <f t="shared" si="54"/>
        <v>173809.52380952382</v>
      </c>
      <c r="N74" s="1685" t="str">
        <f t="shared" si="55"/>
        <v>NC-Hazard</v>
      </c>
      <c r="O74" s="1684">
        <f t="shared" si="47"/>
        <v>173809.52380952382</v>
      </c>
      <c r="P74" s="1685" t="str">
        <f t="shared" si="48"/>
        <v>NC-Hazard</v>
      </c>
      <c r="Q74" s="1919" t="str">
        <f t="shared" si="60"/>
        <v>--</v>
      </c>
      <c r="R74" s="1685">
        <f t="shared" si="56"/>
        <v>5214.2857142857147</v>
      </c>
      <c r="S74" s="1685" t="str">
        <f t="shared" si="57"/>
        <v>NC-Hazard</v>
      </c>
      <c r="T74" s="1684">
        <f t="shared" si="49"/>
        <v>5214.2857142857147</v>
      </c>
      <c r="U74" s="1685" t="str">
        <f t="shared" si="50"/>
        <v>NC-Hazard</v>
      </c>
      <c r="V74" s="1919" t="str">
        <f t="shared" si="61"/>
        <v>--</v>
      </c>
      <c r="W74"/>
    </row>
    <row r="75" spans="1:23">
      <c r="A75" s="1910" t="s">
        <v>221</v>
      </c>
      <c r="B75" s="1901" t="s">
        <v>222</v>
      </c>
      <c r="C75" s="1905">
        <f t="shared" si="51"/>
        <v>120</v>
      </c>
      <c r="D75" s="1685" t="str">
        <f t="shared" si="52"/>
        <v>Tap NC-Hazard</v>
      </c>
      <c r="E75" s="1684">
        <f t="shared" si="45"/>
        <v>120</v>
      </c>
      <c r="F75" s="1685" t="str">
        <f t="shared" si="46"/>
        <v>Tapwater</v>
      </c>
      <c r="G75" s="1919" t="str">
        <f t="shared" si="58"/>
        <v>--</v>
      </c>
      <c r="H75" s="1685">
        <f t="shared" si="42"/>
        <v>0.360893137829912</v>
      </c>
      <c r="I75" s="1685" t="str">
        <f t="shared" si="53"/>
        <v>Leaching</v>
      </c>
      <c r="J75" s="1684">
        <f t="shared" si="43"/>
        <v>0.35377992000000003</v>
      </c>
      <c r="K75" s="1685" t="str">
        <f t="shared" si="44"/>
        <v>Leaching</v>
      </c>
      <c r="L75" s="1919">
        <f t="shared" si="59"/>
        <v>-2.0106335684376822E-2</v>
      </c>
      <c r="M75" s="1685">
        <f t="shared" si="54"/>
        <v>14000</v>
      </c>
      <c r="N75" s="1685" t="str">
        <f t="shared" si="55"/>
        <v>Odor/Nuis</v>
      </c>
      <c r="O75" s="1684">
        <f t="shared" si="47"/>
        <v>14000</v>
      </c>
      <c r="P75" s="1685" t="str">
        <f t="shared" si="48"/>
        <v>Odor/Nuis</v>
      </c>
      <c r="Q75" s="1919" t="str">
        <f t="shared" si="60"/>
        <v>--</v>
      </c>
      <c r="R75" s="1685">
        <f t="shared" si="56"/>
        <v>420</v>
      </c>
      <c r="S75" s="1685" t="str">
        <f t="shared" si="57"/>
        <v>Nuis/Odor</v>
      </c>
      <c r="T75" s="1684">
        <f t="shared" si="49"/>
        <v>420</v>
      </c>
      <c r="U75" s="1685" t="str">
        <f t="shared" si="50"/>
        <v>Nuis/Odor</v>
      </c>
      <c r="V75" s="1919" t="str">
        <f t="shared" si="61"/>
        <v>--</v>
      </c>
      <c r="W75"/>
    </row>
    <row r="76" spans="1:23">
      <c r="A76" s="1910" t="s">
        <v>223</v>
      </c>
      <c r="B76" s="1901" t="s">
        <v>224</v>
      </c>
      <c r="C76" s="1905">
        <f t="shared" si="51"/>
        <v>3.0000000000000001E-3</v>
      </c>
      <c r="D76" s="1685" t="str">
        <f t="shared" si="52"/>
        <v>Aquatic Habitat</v>
      </c>
      <c r="E76" s="1684">
        <f t="shared" si="45"/>
        <v>3.0000000000000001E-3</v>
      </c>
      <c r="F76" s="1685" t="str">
        <f t="shared" si="46"/>
        <v>Aquatic Habitat</v>
      </c>
      <c r="G76" s="1919" t="str">
        <f t="shared" si="58"/>
        <v>--</v>
      </c>
      <c r="H76" s="1685">
        <f t="shared" si="42"/>
        <v>3.4000000000000002E-2</v>
      </c>
      <c r="I76" s="1685" t="str">
        <f t="shared" si="53"/>
        <v>Terr Habitat</v>
      </c>
      <c r="J76" s="1684">
        <f t="shared" si="43"/>
        <v>3.4000000000000002E-2</v>
      </c>
      <c r="K76" s="1685" t="str">
        <f t="shared" si="44"/>
        <v>Terr Habitat</v>
      </c>
      <c r="L76" s="1919" t="str">
        <f t="shared" si="59"/>
        <v>--</v>
      </c>
      <c r="M76" s="1685" t="str">
        <f t="shared" si="54"/>
        <v>--</v>
      </c>
      <c r="N76" s="1685" t="str">
        <f t="shared" si="55"/>
        <v>--</v>
      </c>
      <c r="O76" s="1684" t="str">
        <f t="shared" si="47"/>
        <v>--</v>
      </c>
      <c r="P76" s="1685" t="str">
        <f t="shared" si="48"/>
        <v>--</v>
      </c>
      <c r="Q76" s="1919" t="str">
        <f t="shared" si="60"/>
        <v>--</v>
      </c>
      <c r="R76" s="1685" t="str">
        <f t="shared" si="56"/>
        <v>--</v>
      </c>
      <c r="S76" s="1685" t="str">
        <f t="shared" si="57"/>
        <v>--</v>
      </c>
      <c r="T76" s="1684" t="str">
        <f t="shared" si="49"/>
        <v>--</v>
      </c>
      <c r="U76" s="1685" t="str">
        <f t="shared" si="50"/>
        <v>--</v>
      </c>
      <c r="V76" s="1919" t="str">
        <f t="shared" si="61"/>
        <v>--</v>
      </c>
      <c r="W76"/>
    </row>
    <row r="77" spans="1:23">
      <c r="A77" s="1910" t="s">
        <v>225</v>
      </c>
      <c r="B77" s="1901" t="s">
        <v>226</v>
      </c>
      <c r="C77" s="1905">
        <f t="shared" si="51"/>
        <v>2.1</v>
      </c>
      <c r="D77" s="1685" t="str">
        <f t="shared" si="52"/>
        <v>Aquatic Habitat</v>
      </c>
      <c r="E77" s="1684">
        <f t="shared" si="45"/>
        <v>2.1</v>
      </c>
      <c r="F77" s="1685" t="str">
        <f t="shared" si="46"/>
        <v>Aquatic Habitat</v>
      </c>
      <c r="G77" s="1919" t="str">
        <f t="shared" si="58"/>
        <v>--</v>
      </c>
      <c r="H77" s="1685">
        <f t="shared" si="42"/>
        <v>0.87818936217008803</v>
      </c>
      <c r="I77" s="1685" t="str">
        <f t="shared" si="53"/>
        <v>Leaching</v>
      </c>
      <c r="J77" s="1684">
        <f t="shared" si="43"/>
        <v>0.8705827746</v>
      </c>
      <c r="K77" s="1685" t="str">
        <f t="shared" si="44"/>
        <v>Leaching</v>
      </c>
      <c r="L77" s="1919">
        <f t="shared" si="59"/>
        <v>-8.7373513375370547E-3</v>
      </c>
      <c r="M77" s="1685">
        <f t="shared" si="54"/>
        <v>2266.666666666667</v>
      </c>
      <c r="N77" s="1685" t="str">
        <f t="shared" si="55"/>
        <v>Odor/Nuis</v>
      </c>
      <c r="O77" s="1684">
        <f t="shared" si="47"/>
        <v>2266.666666666667</v>
      </c>
      <c r="P77" s="1685" t="str">
        <f t="shared" si="48"/>
        <v>Odor/Nuis</v>
      </c>
      <c r="Q77" s="1919" t="str">
        <f t="shared" si="60"/>
        <v>--</v>
      </c>
      <c r="R77" s="1685">
        <f t="shared" si="56"/>
        <v>68</v>
      </c>
      <c r="S77" s="1685" t="str">
        <f t="shared" si="57"/>
        <v>Nuis/Odor</v>
      </c>
      <c r="T77" s="1684">
        <f t="shared" si="49"/>
        <v>68</v>
      </c>
      <c r="U77" s="1685" t="str">
        <f t="shared" si="50"/>
        <v>Nuis/Odor</v>
      </c>
      <c r="V77" s="1919" t="str">
        <f t="shared" si="61"/>
        <v>--</v>
      </c>
      <c r="W77"/>
    </row>
    <row r="78" spans="1:23">
      <c r="A78" s="1910" t="s">
        <v>227</v>
      </c>
      <c r="B78" s="1901" t="s">
        <v>228</v>
      </c>
      <c r="C78" s="1905">
        <f t="shared" si="51"/>
        <v>5</v>
      </c>
      <c r="D78" s="1685" t="str">
        <f t="shared" si="52"/>
        <v>Odor/Nuis</v>
      </c>
      <c r="E78" s="1684">
        <f t="shared" si="45"/>
        <v>5</v>
      </c>
      <c r="F78" s="1685" t="str">
        <f t="shared" si="46"/>
        <v>Odor/Nuis</v>
      </c>
      <c r="G78" s="1919" t="str">
        <f t="shared" si="58"/>
        <v>--</v>
      </c>
      <c r="H78" s="1685">
        <f t="shared" si="42"/>
        <v>2.8162346041055719E-2</v>
      </c>
      <c r="I78" s="1685" t="str">
        <f t="shared" si="53"/>
        <v>Leaching</v>
      </c>
      <c r="J78" s="1684">
        <f t="shared" si="43"/>
        <v>2.7812345000000002E-2</v>
      </c>
      <c r="K78" s="1685" t="str">
        <f t="shared" si="44"/>
        <v>Leaching</v>
      </c>
      <c r="L78" s="1919">
        <f t="shared" si="59"/>
        <v>-1.2584377227296616E-2</v>
      </c>
      <c r="M78" s="1685">
        <f t="shared" si="54"/>
        <v>359.96055226824456</v>
      </c>
      <c r="N78" s="1685" t="str">
        <f t="shared" si="55"/>
        <v>Canc-Risk</v>
      </c>
      <c r="O78" s="1684">
        <f t="shared" si="47"/>
        <v>359.96055226824456</v>
      </c>
      <c r="P78" s="1685" t="str">
        <f t="shared" si="48"/>
        <v>Canc-Risk</v>
      </c>
      <c r="Q78" s="1919" t="str">
        <f t="shared" si="60"/>
        <v>--</v>
      </c>
      <c r="R78" s="1685">
        <f t="shared" si="56"/>
        <v>10.798816568047336</v>
      </c>
      <c r="S78" s="1685" t="str">
        <f t="shared" si="57"/>
        <v>Canc-Risk</v>
      </c>
      <c r="T78" s="1684">
        <f t="shared" si="49"/>
        <v>10.798816568047336</v>
      </c>
      <c r="U78" s="1685" t="str">
        <f t="shared" si="50"/>
        <v>Canc-Risk</v>
      </c>
      <c r="V78" s="1919" t="str">
        <f t="shared" si="61"/>
        <v>--</v>
      </c>
      <c r="W78"/>
    </row>
    <row r="79" spans="1:23">
      <c r="A79" s="1910" t="s">
        <v>229</v>
      </c>
      <c r="B79" s="1901" t="s">
        <v>230</v>
      </c>
      <c r="C79" s="1905">
        <f t="shared" si="51"/>
        <v>99.833904828190825</v>
      </c>
      <c r="D79" s="1685" t="str">
        <f t="shared" si="52"/>
        <v>Tap NC-Hazard</v>
      </c>
      <c r="E79" s="1684">
        <f t="shared" si="45"/>
        <v>99.83479939140706</v>
      </c>
      <c r="F79" s="1685" t="str">
        <f t="shared" si="46"/>
        <v>Tapwater</v>
      </c>
      <c r="G79" s="1919">
        <f t="shared" si="58"/>
        <v>8.9604348552650295E-6</v>
      </c>
      <c r="H79" s="1685">
        <f t="shared" si="42"/>
        <v>6.9</v>
      </c>
      <c r="I79" s="1685" t="str">
        <f t="shared" si="53"/>
        <v>Terr Habitat</v>
      </c>
      <c r="J79" s="1684">
        <f t="shared" si="43"/>
        <v>6.9</v>
      </c>
      <c r="K79" s="1685" t="str">
        <f t="shared" si="44"/>
        <v>Terr Habitat</v>
      </c>
      <c r="L79" s="1919" t="str">
        <f t="shared" si="59"/>
        <v>--</v>
      </c>
      <c r="M79" s="1685" t="str">
        <f t="shared" si="54"/>
        <v>--</v>
      </c>
      <c r="N79" s="1685" t="str">
        <f t="shared" si="55"/>
        <v>--</v>
      </c>
      <c r="O79" s="1684" t="str">
        <f t="shared" si="47"/>
        <v>--</v>
      </c>
      <c r="P79" s="1685" t="str">
        <f t="shared" si="48"/>
        <v>--</v>
      </c>
      <c r="Q79" s="1919" t="str">
        <f t="shared" si="60"/>
        <v>--</v>
      </c>
      <c r="R79" s="1685" t="str">
        <f t="shared" si="56"/>
        <v>--</v>
      </c>
      <c r="S79" s="1685" t="str">
        <f t="shared" si="57"/>
        <v>--</v>
      </c>
      <c r="T79" s="1684" t="str">
        <f t="shared" si="49"/>
        <v>--</v>
      </c>
      <c r="U79" s="1685" t="str">
        <f t="shared" si="50"/>
        <v>--</v>
      </c>
      <c r="V79" s="1919" t="str">
        <f t="shared" si="61"/>
        <v>--</v>
      </c>
      <c r="W79"/>
    </row>
    <row r="80" spans="1:23">
      <c r="A80" s="1910" t="s">
        <v>231</v>
      </c>
      <c r="B80" s="1901" t="s">
        <v>232</v>
      </c>
      <c r="C80" s="1905">
        <f t="shared" si="51"/>
        <v>8.1999999999999993</v>
      </c>
      <c r="D80" s="1685" t="str">
        <f t="shared" si="52"/>
        <v>Aquatic Habitat</v>
      </c>
      <c r="E80" s="1684">
        <f t="shared" si="45"/>
        <v>5</v>
      </c>
      <c r="F80" s="1685" t="str">
        <f t="shared" si="46"/>
        <v>Aquatic Habitat</v>
      </c>
      <c r="G80" s="1919">
        <f t="shared" si="58"/>
        <v>-0.6399999999999999</v>
      </c>
      <c r="H80" s="1685">
        <f t="shared" si="42"/>
        <v>86.342550944576985</v>
      </c>
      <c r="I80" s="1685" t="str">
        <f t="shared" si="53"/>
        <v>NC-Hazard</v>
      </c>
      <c r="J80" s="1684">
        <f t="shared" si="43"/>
        <v>63.338538912730719</v>
      </c>
      <c r="K80" s="1685" t="str">
        <f t="shared" si="44"/>
        <v>NC-Hazard</v>
      </c>
      <c r="L80" s="1919">
        <f t="shared" si="59"/>
        <v>-0.36319139068777251</v>
      </c>
      <c r="M80" s="1685" t="str">
        <f t="shared" si="54"/>
        <v>--</v>
      </c>
      <c r="N80" s="1685" t="str">
        <f t="shared" si="55"/>
        <v>--</v>
      </c>
      <c r="O80" s="1684" t="str">
        <f t="shared" si="47"/>
        <v>--</v>
      </c>
      <c r="P80" s="1685" t="str">
        <f t="shared" si="48"/>
        <v>--</v>
      </c>
      <c r="Q80" s="1919" t="str">
        <f t="shared" si="60"/>
        <v>--</v>
      </c>
      <c r="R80" s="1685" t="str">
        <f t="shared" si="56"/>
        <v>--</v>
      </c>
      <c r="S80" s="1685" t="str">
        <f t="shared" si="57"/>
        <v>--</v>
      </c>
      <c r="T80" s="1684" t="str">
        <f t="shared" si="49"/>
        <v>--</v>
      </c>
      <c r="U80" s="1685" t="str">
        <f t="shared" si="50"/>
        <v>--</v>
      </c>
      <c r="V80" s="1919" t="str">
        <f t="shared" si="61"/>
        <v>--</v>
      </c>
      <c r="W80"/>
    </row>
    <row r="81" spans="1:23">
      <c r="A81" s="1912" t="s">
        <v>233</v>
      </c>
      <c r="B81" s="1901" t="s">
        <v>234</v>
      </c>
      <c r="C81" s="1905">
        <f t="shared" si="51"/>
        <v>15</v>
      </c>
      <c r="D81" s="1685" t="str">
        <f t="shared" si="52"/>
        <v>Aquatic Habitat</v>
      </c>
      <c r="E81" s="1684">
        <f t="shared" si="45"/>
        <v>15</v>
      </c>
      <c r="F81" s="1685" t="str">
        <f t="shared" si="46"/>
        <v>Aquatic Habitat</v>
      </c>
      <c r="G81" s="1919" t="str">
        <f t="shared" si="58"/>
        <v>--</v>
      </c>
      <c r="H81" s="1685">
        <f t="shared" si="42"/>
        <v>12.467064699413491</v>
      </c>
      <c r="I81" s="1685" t="str">
        <f t="shared" si="53"/>
        <v>Leaching</v>
      </c>
      <c r="J81" s="1684">
        <f t="shared" si="43"/>
        <v>12.53436132</v>
      </c>
      <c r="K81" s="1685" t="str">
        <f t="shared" si="44"/>
        <v>Leaching</v>
      </c>
      <c r="L81" s="1919">
        <f t="shared" si="59"/>
        <v>5.3689708528770171E-3</v>
      </c>
      <c r="M81" s="1685">
        <f t="shared" si="54"/>
        <v>17100</v>
      </c>
      <c r="N81" s="1685" t="str">
        <f t="shared" si="55"/>
        <v>Odor/Nuis</v>
      </c>
      <c r="O81" s="1684">
        <f t="shared" si="47"/>
        <v>17100</v>
      </c>
      <c r="P81" s="1685" t="str">
        <f t="shared" si="48"/>
        <v>Odor/Nuis</v>
      </c>
      <c r="Q81" s="1919" t="str">
        <f t="shared" si="60"/>
        <v>--</v>
      </c>
      <c r="R81" s="1685">
        <f t="shared" si="56"/>
        <v>513</v>
      </c>
      <c r="S81" s="1685" t="str">
        <f t="shared" si="57"/>
        <v>Nuis/Odor</v>
      </c>
      <c r="T81" s="1684">
        <f t="shared" si="49"/>
        <v>513</v>
      </c>
      <c r="U81" s="1685" t="str">
        <f t="shared" si="50"/>
        <v>Nuis/Odor</v>
      </c>
      <c r="V81" s="1919" t="str">
        <f t="shared" si="61"/>
        <v>--</v>
      </c>
      <c r="W81"/>
    </row>
    <row r="82" spans="1:23">
      <c r="A82" s="1910" t="s">
        <v>235</v>
      </c>
      <c r="B82" s="1901" t="s">
        <v>236</v>
      </c>
      <c r="C82" s="1905">
        <f t="shared" si="51"/>
        <v>0.73</v>
      </c>
      <c r="D82" s="1685" t="str">
        <f t="shared" si="52"/>
        <v>Aquatic Habitat</v>
      </c>
      <c r="E82" s="1684">
        <f t="shared" si="45"/>
        <v>0.73</v>
      </c>
      <c r="F82" s="1685" t="str">
        <f t="shared" si="46"/>
        <v>Aquatic Habitat</v>
      </c>
      <c r="G82" s="1919" t="str">
        <f t="shared" si="58"/>
        <v>--</v>
      </c>
      <c r="H82" s="1685">
        <f t="shared" si="42"/>
        <v>1.9391346811583579</v>
      </c>
      <c r="I82" s="1685" t="str">
        <f t="shared" si="53"/>
        <v>Leaching</v>
      </c>
      <c r="J82" s="1684">
        <f t="shared" si="43"/>
        <v>1.9827567297160003</v>
      </c>
      <c r="K82" s="1685" t="str">
        <f t="shared" si="44"/>
        <v>Leaching</v>
      </c>
      <c r="L82" s="1919">
        <f t="shared" si="59"/>
        <v>2.200070634176619E-2</v>
      </c>
      <c r="M82" s="1685" t="str">
        <f t="shared" si="54"/>
        <v>--</v>
      </c>
      <c r="N82" s="1685" t="str">
        <f t="shared" si="55"/>
        <v>--</v>
      </c>
      <c r="O82" s="1684" t="str">
        <f t="shared" si="47"/>
        <v>--</v>
      </c>
      <c r="P82" s="1685" t="str">
        <f t="shared" si="48"/>
        <v>--</v>
      </c>
      <c r="Q82" s="1919" t="str">
        <f t="shared" si="60"/>
        <v>--</v>
      </c>
      <c r="R82" s="1685" t="str">
        <f t="shared" si="56"/>
        <v>--</v>
      </c>
      <c r="S82" s="1685" t="str">
        <f t="shared" si="57"/>
        <v>--</v>
      </c>
      <c r="T82" s="1684" t="str">
        <f t="shared" si="49"/>
        <v>--</v>
      </c>
      <c r="U82" s="1685" t="str">
        <f t="shared" si="50"/>
        <v>--</v>
      </c>
      <c r="V82" s="1919" t="str">
        <f t="shared" si="61"/>
        <v>--</v>
      </c>
      <c r="W82"/>
    </row>
    <row r="83" spans="1:23">
      <c r="A83" s="1910" t="s">
        <v>237</v>
      </c>
      <c r="B83" s="1901" t="s">
        <v>238</v>
      </c>
      <c r="C83" s="1905">
        <f t="shared" si="51"/>
        <v>1.7170814319988709E-2</v>
      </c>
      <c r="D83" s="1685" t="str">
        <f t="shared" si="52"/>
        <v>Tap Canc-Risk</v>
      </c>
      <c r="E83" s="1684">
        <f t="shared" si="45"/>
        <v>1.2999999999999999E-3</v>
      </c>
      <c r="F83" s="1685" t="str">
        <f t="shared" si="46"/>
        <v>Aquatic Habitat</v>
      </c>
      <c r="G83" s="1919">
        <f t="shared" si="58"/>
        <v>-12.208318707683624</v>
      </c>
      <c r="H83" s="1685">
        <f t="shared" si="42"/>
        <v>0.63</v>
      </c>
      <c r="I83" s="1685" t="str">
        <f t="shared" si="53"/>
        <v>Terr Habitat</v>
      </c>
      <c r="J83" s="1684">
        <f t="shared" si="43"/>
        <v>0.63</v>
      </c>
      <c r="K83" s="1685" t="str">
        <f t="shared" si="44"/>
        <v>Terr Habitat</v>
      </c>
      <c r="L83" s="1919" t="str">
        <f t="shared" si="59"/>
        <v>--</v>
      </c>
      <c r="M83" s="1685">
        <f t="shared" si="54"/>
        <v>0.3072390572390572</v>
      </c>
      <c r="N83" s="1685" t="str">
        <f t="shared" si="55"/>
        <v>Canc-Risk</v>
      </c>
      <c r="O83" s="1684">
        <f t="shared" si="47"/>
        <v>0.3072390572390572</v>
      </c>
      <c r="P83" s="1685" t="str">
        <f t="shared" si="48"/>
        <v>Canc-Risk</v>
      </c>
      <c r="Q83" s="1919" t="str">
        <f t="shared" si="60"/>
        <v>--</v>
      </c>
      <c r="R83" s="1685">
        <f t="shared" si="56"/>
        <v>9.2171717171717158E-3</v>
      </c>
      <c r="S83" s="1685" t="str">
        <f t="shared" si="57"/>
        <v>Canc-Risk</v>
      </c>
      <c r="T83" s="1684">
        <f t="shared" si="49"/>
        <v>9.2171717171717158E-3</v>
      </c>
      <c r="U83" s="1685" t="str">
        <f t="shared" si="50"/>
        <v>Canc-Risk</v>
      </c>
      <c r="V83" s="1919" t="str">
        <f t="shared" si="61"/>
        <v>--</v>
      </c>
      <c r="W83"/>
    </row>
    <row r="84" spans="1:23">
      <c r="A84" s="1910" t="s">
        <v>239</v>
      </c>
      <c r="B84" s="1901" t="s">
        <v>240</v>
      </c>
      <c r="C84" s="1905">
        <f t="shared" si="51"/>
        <v>1.4E-2</v>
      </c>
      <c r="D84" s="1685" t="str">
        <f t="shared" si="52"/>
        <v>Aquatic Habitat</v>
      </c>
      <c r="E84" s="1684">
        <f t="shared" si="45"/>
        <v>1.2999999999999999E-4</v>
      </c>
      <c r="F84" s="1685" t="str">
        <f t="shared" si="46"/>
        <v>Aquatic Habitat</v>
      </c>
      <c r="G84" s="1919">
        <f t="shared" si="58"/>
        <v>-106.69230769230771</v>
      </c>
      <c r="H84" s="1685">
        <f t="shared" si="42"/>
        <v>0.11481726168201646</v>
      </c>
      <c r="I84" s="1685" t="str">
        <f t="shared" si="53"/>
        <v>Gross Contam</v>
      </c>
      <c r="J84" s="1684">
        <f t="shared" si="43"/>
        <v>0.11481726168201646</v>
      </c>
      <c r="K84" s="1685" t="str">
        <f t="shared" si="44"/>
        <v>Canc-Risk</v>
      </c>
      <c r="L84" s="1919" t="str">
        <f t="shared" si="59"/>
        <v>--</v>
      </c>
      <c r="M84" s="1685" t="str">
        <f t="shared" si="54"/>
        <v>--</v>
      </c>
      <c r="N84" s="1685" t="str">
        <f t="shared" si="55"/>
        <v>--</v>
      </c>
      <c r="O84" s="1684" t="str">
        <f t="shared" si="47"/>
        <v>--</v>
      </c>
      <c r="P84" s="1685" t="str">
        <f t="shared" si="48"/>
        <v>--</v>
      </c>
      <c r="Q84" s="1919" t="str">
        <f t="shared" si="60"/>
        <v>--</v>
      </c>
      <c r="R84" s="1685" t="str">
        <f t="shared" si="56"/>
        <v>--</v>
      </c>
      <c r="S84" s="1685" t="str">
        <f t="shared" si="57"/>
        <v>--</v>
      </c>
      <c r="T84" s="1684" t="str">
        <f t="shared" si="49"/>
        <v>--</v>
      </c>
      <c r="U84" s="1685" t="str">
        <f t="shared" si="50"/>
        <v>--</v>
      </c>
      <c r="V84" s="1919" t="str">
        <f t="shared" si="61"/>
        <v>--</v>
      </c>
      <c r="W84"/>
    </row>
    <row r="85" spans="1:23">
      <c r="A85" s="1910" t="s">
        <v>241</v>
      </c>
      <c r="B85" s="1901" t="s">
        <v>242</v>
      </c>
      <c r="C85" s="1905">
        <f t="shared" si="51"/>
        <v>4.9000000000000002E-2</v>
      </c>
      <c r="D85" s="1685" t="str">
        <f t="shared" si="52"/>
        <v>Aquatic Habitat</v>
      </c>
      <c r="E85" s="1684">
        <f t="shared" si="45"/>
        <v>1.2999999999999999E-3</v>
      </c>
      <c r="F85" s="1685" t="str">
        <f t="shared" si="46"/>
        <v>Aquatic Habitat</v>
      </c>
      <c r="G85" s="1919">
        <f t="shared" si="58"/>
        <v>-36.692307692307693</v>
      </c>
      <c r="H85" s="1685">
        <f t="shared" si="42"/>
        <v>1.1481726168201645</v>
      </c>
      <c r="I85" s="1685" t="str">
        <f t="shared" si="53"/>
        <v>Canc-Risk</v>
      </c>
      <c r="J85" s="1684">
        <f t="shared" si="43"/>
        <v>1.1481726168201645</v>
      </c>
      <c r="K85" s="1685" t="str">
        <f t="shared" si="44"/>
        <v>Canc-Risk</v>
      </c>
      <c r="L85" s="1919" t="str">
        <f t="shared" si="59"/>
        <v>--</v>
      </c>
      <c r="M85" s="1685" t="str">
        <f t="shared" si="54"/>
        <v>--</v>
      </c>
      <c r="N85" s="1685" t="str">
        <f t="shared" si="55"/>
        <v>--</v>
      </c>
      <c r="O85" s="1684" t="str">
        <f t="shared" si="47"/>
        <v>--</v>
      </c>
      <c r="P85" s="1685" t="str">
        <f t="shared" si="48"/>
        <v>--</v>
      </c>
      <c r="Q85" s="1919" t="str">
        <f t="shared" si="60"/>
        <v>--</v>
      </c>
      <c r="R85" s="1685" t="str">
        <f t="shared" si="56"/>
        <v>--</v>
      </c>
      <c r="S85" s="1685" t="str">
        <f t="shared" si="57"/>
        <v>--</v>
      </c>
      <c r="T85" s="1684" t="str">
        <f t="shared" si="49"/>
        <v>--</v>
      </c>
      <c r="U85" s="1685" t="str">
        <f t="shared" si="50"/>
        <v>--</v>
      </c>
      <c r="V85" s="1919" t="str">
        <f t="shared" si="61"/>
        <v>--</v>
      </c>
      <c r="W85"/>
    </row>
    <row r="86" spans="1:23">
      <c r="A86" s="1910" t="s">
        <v>243</v>
      </c>
      <c r="B86" s="1901" t="s">
        <v>244</v>
      </c>
      <c r="C86" s="1905">
        <f t="shared" si="51"/>
        <v>4.9000000000000002E-2</v>
      </c>
      <c r="D86" s="1685" t="str">
        <f t="shared" si="52"/>
        <v>Aquatic Habitat</v>
      </c>
      <c r="E86" s="1684">
        <f t="shared" si="45"/>
        <v>1.2999999999999999E-2</v>
      </c>
      <c r="F86" s="1685" t="str">
        <f t="shared" si="46"/>
        <v>Aquatic Habitat</v>
      </c>
      <c r="G86" s="1919">
        <f t="shared" si="58"/>
        <v>-2.7692307692307696</v>
      </c>
      <c r="H86" s="1685">
        <f t="shared" ref="H86:H101" si="62">VLOOKUP($B86,Table_T1_19,MATCH("S",heading_T1_19,0),FALSE)</f>
        <v>2.8320800036347169</v>
      </c>
      <c r="I86" s="1685" t="str">
        <f t="shared" si="53"/>
        <v>Canc-Risk</v>
      </c>
      <c r="J86" s="1684">
        <f t="shared" ref="J86:J117" si="63">VLOOKUP($A86,Table_S_Summary,MATCH("Soil-ESL",heading_S_Summary,0),FALSE)</f>
        <v>2.8196000036158946</v>
      </c>
      <c r="K86" s="1685" t="str">
        <f t="shared" ref="K86:K117" si="64">VLOOKUP($A86,Table_S_Summary,MATCH("S-B",heading_S_Summary,0),FALSE)</f>
        <v>Leaching</v>
      </c>
      <c r="L86" s="1919">
        <f t="shared" si="59"/>
        <v>-4.4261597399694267E-3</v>
      </c>
      <c r="M86" s="1685" t="str">
        <f t="shared" si="54"/>
        <v>--</v>
      </c>
      <c r="N86" s="1685" t="str">
        <f t="shared" si="55"/>
        <v>--</v>
      </c>
      <c r="O86" s="1684" t="str">
        <f t="shared" si="47"/>
        <v>--</v>
      </c>
      <c r="P86" s="1685" t="str">
        <f t="shared" si="48"/>
        <v>--</v>
      </c>
      <c r="Q86" s="1919" t="str">
        <f t="shared" si="60"/>
        <v>--</v>
      </c>
      <c r="R86" s="1685" t="str">
        <f t="shared" si="56"/>
        <v>--</v>
      </c>
      <c r="S86" s="1685" t="str">
        <f t="shared" si="57"/>
        <v>--</v>
      </c>
      <c r="T86" s="1684" t="str">
        <f t="shared" si="49"/>
        <v>--</v>
      </c>
      <c r="U86" s="1685" t="str">
        <f t="shared" si="50"/>
        <v>--</v>
      </c>
      <c r="V86" s="1919" t="str">
        <f t="shared" si="61"/>
        <v>--</v>
      </c>
      <c r="W86"/>
    </row>
    <row r="87" spans="1:23">
      <c r="A87" s="1910" t="s">
        <v>245</v>
      </c>
      <c r="B87" s="1901" t="s">
        <v>246</v>
      </c>
      <c r="C87" s="1905">
        <f t="shared" si="51"/>
        <v>4.9000000000000002E-2</v>
      </c>
      <c r="D87" s="1685" t="str">
        <f t="shared" si="52"/>
        <v>Aquatic Habitat</v>
      </c>
      <c r="E87" s="1684">
        <f t="shared" si="45"/>
        <v>4.9000000000000002E-2</v>
      </c>
      <c r="F87" s="1685" t="str">
        <f t="shared" si="46"/>
        <v>Aquatic Habitat</v>
      </c>
      <c r="G87" s="1919" t="str">
        <f t="shared" si="58"/>
        <v>--</v>
      </c>
      <c r="H87" s="1685">
        <f t="shared" si="62"/>
        <v>2.1602000795094338</v>
      </c>
      <c r="I87" s="1685" t="str">
        <f t="shared" si="53"/>
        <v>Leaching</v>
      </c>
      <c r="J87" s="1684">
        <f t="shared" si="63"/>
        <v>2.1662000809551727</v>
      </c>
      <c r="K87" s="1685" t="str">
        <f t="shared" si="64"/>
        <v>Leaching</v>
      </c>
      <c r="L87" s="1919">
        <f t="shared" si="59"/>
        <v>2.7698279113225789E-3</v>
      </c>
      <c r="M87" s="1685" t="str">
        <f t="shared" si="54"/>
        <v>--</v>
      </c>
      <c r="N87" s="1685" t="str">
        <f t="shared" si="55"/>
        <v>--</v>
      </c>
      <c r="O87" s="1684" t="str">
        <f t="shared" si="47"/>
        <v>--</v>
      </c>
      <c r="P87" s="1685" t="str">
        <f t="shared" si="48"/>
        <v>--</v>
      </c>
      <c r="Q87" s="1919" t="str">
        <f t="shared" si="60"/>
        <v>--</v>
      </c>
      <c r="R87" s="1685" t="str">
        <f t="shared" si="56"/>
        <v>--</v>
      </c>
      <c r="S87" s="1685" t="str">
        <f t="shared" si="57"/>
        <v>--</v>
      </c>
      <c r="T87" s="1684" t="str">
        <f t="shared" si="49"/>
        <v>--</v>
      </c>
      <c r="U87" s="1685" t="str">
        <f t="shared" si="50"/>
        <v>--</v>
      </c>
      <c r="V87" s="1919" t="str">
        <f t="shared" si="61"/>
        <v>--</v>
      </c>
      <c r="W87"/>
    </row>
    <row r="88" spans="1:23">
      <c r="A88" s="1910" t="s">
        <v>247</v>
      </c>
      <c r="B88" s="1901" t="s">
        <v>248</v>
      </c>
      <c r="C88" s="1905">
        <f t="shared" si="51"/>
        <v>2.5051475634866163E-2</v>
      </c>
      <c r="D88" s="1685" t="str">
        <f t="shared" si="52"/>
        <v>Tap Canc-Risk</v>
      </c>
      <c r="E88" s="1684">
        <f t="shared" si="45"/>
        <v>1.2999999999999999E-4</v>
      </c>
      <c r="F88" s="1685" t="str">
        <f t="shared" si="46"/>
        <v>Aquatic Habitat</v>
      </c>
      <c r="G88" s="1919">
        <f t="shared" si="58"/>
        <v>-191.70365872973971</v>
      </c>
      <c r="H88" s="1685">
        <f t="shared" si="62"/>
        <v>0.11481630563008834</v>
      </c>
      <c r="I88" s="1685" t="str">
        <f t="shared" si="53"/>
        <v>Canc-Risk</v>
      </c>
      <c r="J88" s="1684">
        <f t="shared" si="63"/>
        <v>2.8006092837957575E-2</v>
      </c>
      <c r="K88" s="1685" t="str">
        <f t="shared" si="64"/>
        <v>Canc-Risk</v>
      </c>
      <c r="L88" s="1919">
        <f t="shared" si="59"/>
        <v>-3.0996902457765918</v>
      </c>
      <c r="M88" s="1685" t="str">
        <f t="shared" si="54"/>
        <v>--</v>
      </c>
      <c r="N88" s="1685" t="str">
        <f t="shared" si="55"/>
        <v>--</v>
      </c>
      <c r="O88" s="1684" t="str">
        <f t="shared" si="47"/>
        <v>--</v>
      </c>
      <c r="P88" s="1685" t="str">
        <f t="shared" si="48"/>
        <v>--</v>
      </c>
      <c r="Q88" s="1919" t="str">
        <f t="shared" si="60"/>
        <v>--</v>
      </c>
      <c r="R88" s="1685" t="str">
        <f t="shared" si="56"/>
        <v>--</v>
      </c>
      <c r="S88" s="1685" t="str">
        <f t="shared" si="57"/>
        <v>--</v>
      </c>
      <c r="T88" s="1684" t="str">
        <f t="shared" si="49"/>
        <v>--</v>
      </c>
      <c r="U88" s="1685" t="str">
        <f t="shared" si="50"/>
        <v>--</v>
      </c>
      <c r="V88" s="1919" t="str">
        <f t="shared" si="61"/>
        <v>--</v>
      </c>
      <c r="W88"/>
    </row>
    <row r="89" spans="1:23">
      <c r="A89" s="1910" t="s">
        <v>249</v>
      </c>
      <c r="B89" s="1901" t="s">
        <v>250</v>
      </c>
      <c r="C89" s="1905">
        <f t="shared" si="51"/>
        <v>8</v>
      </c>
      <c r="D89" s="1685" t="str">
        <f t="shared" si="52"/>
        <v>Aquatic Habitat</v>
      </c>
      <c r="E89" s="1684">
        <f t="shared" si="45"/>
        <v>8</v>
      </c>
      <c r="F89" s="1685" t="str">
        <f t="shared" si="46"/>
        <v>Aquatic Habitat</v>
      </c>
      <c r="G89" s="1919" t="str">
        <f t="shared" si="58"/>
        <v>--</v>
      </c>
      <c r="H89" s="1685">
        <f t="shared" si="62"/>
        <v>0.69</v>
      </c>
      <c r="I89" s="1685" t="str">
        <f t="shared" si="53"/>
        <v>Terr Habitat</v>
      </c>
      <c r="J89" s="1684">
        <f t="shared" si="63"/>
        <v>0.69</v>
      </c>
      <c r="K89" s="1685" t="str">
        <f t="shared" si="64"/>
        <v>Terr Habitat</v>
      </c>
      <c r="L89" s="1919" t="str">
        <f t="shared" si="59"/>
        <v>--</v>
      </c>
      <c r="M89" s="1685" t="str">
        <f t="shared" si="54"/>
        <v>--</v>
      </c>
      <c r="N89" s="1685" t="str">
        <f t="shared" si="55"/>
        <v>--</v>
      </c>
      <c r="O89" s="1684" t="str">
        <f t="shared" si="47"/>
        <v>--</v>
      </c>
      <c r="P89" s="1685" t="str">
        <f t="shared" si="48"/>
        <v>--</v>
      </c>
      <c r="Q89" s="1919" t="str">
        <f t="shared" si="60"/>
        <v>--</v>
      </c>
      <c r="R89" s="1685" t="str">
        <f t="shared" si="56"/>
        <v>--</v>
      </c>
      <c r="S89" s="1685" t="str">
        <f t="shared" si="57"/>
        <v>--</v>
      </c>
      <c r="T89" s="1684" t="str">
        <f t="shared" si="49"/>
        <v>--</v>
      </c>
      <c r="U89" s="1685" t="str">
        <f t="shared" si="50"/>
        <v>--</v>
      </c>
      <c r="V89" s="1919" t="str">
        <f t="shared" si="61"/>
        <v>--</v>
      </c>
      <c r="W89"/>
    </row>
    <row r="90" spans="1:23">
      <c r="A90" s="1910" t="s">
        <v>251</v>
      </c>
      <c r="B90" s="1901" t="s">
        <v>252</v>
      </c>
      <c r="C90" s="1905">
        <f t="shared" si="51"/>
        <v>3.9</v>
      </c>
      <c r="D90" s="1685" t="str">
        <f t="shared" si="52"/>
        <v>Aquatic Habitat</v>
      </c>
      <c r="E90" s="1684">
        <f t="shared" si="45"/>
        <v>3.9</v>
      </c>
      <c r="F90" s="1685" t="str">
        <f t="shared" si="46"/>
        <v>Aquatic Habitat</v>
      </c>
      <c r="G90" s="1919" t="str">
        <f t="shared" si="58"/>
        <v>--</v>
      </c>
      <c r="H90" s="1685">
        <f t="shared" si="62"/>
        <v>5.9583871473607042</v>
      </c>
      <c r="I90" s="1685" t="str">
        <f t="shared" si="53"/>
        <v>Leaching</v>
      </c>
      <c r="J90" s="1684">
        <f t="shared" si="63"/>
        <v>5.9325127422600001</v>
      </c>
      <c r="K90" s="1685" t="str">
        <f t="shared" si="64"/>
        <v>Leaching</v>
      </c>
      <c r="L90" s="1919">
        <f t="shared" si="59"/>
        <v>-4.3614579900332672E-3</v>
      </c>
      <c r="M90" s="1685" t="str">
        <f t="shared" si="54"/>
        <v>--</v>
      </c>
      <c r="N90" s="1685" t="str">
        <f t="shared" si="55"/>
        <v>--</v>
      </c>
      <c r="O90" s="1684" t="str">
        <f t="shared" si="47"/>
        <v>--</v>
      </c>
      <c r="P90" s="1685" t="str">
        <f t="shared" si="48"/>
        <v>--</v>
      </c>
      <c r="Q90" s="1919" t="str">
        <f t="shared" si="60"/>
        <v>--</v>
      </c>
      <c r="R90" s="1685" t="str">
        <f t="shared" si="56"/>
        <v>--</v>
      </c>
      <c r="S90" s="1685" t="str">
        <f t="shared" si="57"/>
        <v>--</v>
      </c>
      <c r="T90" s="1684" t="str">
        <f t="shared" si="49"/>
        <v>--</v>
      </c>
      <c r="U90" s="1685" t="str">
        <f t="shared" si="50"/>
        <v>--</v>
      </c>
      <c r="V90" s="1919" t="str">
        <f t="shared" si="61"/>
        <v>--</v>
      </c>
      <c r="W90"/>
    </row>
    <row r="91" spans="1:23">
      <c r="A91" s="1910" t="s">
        <v>253</v>
      </c>
      <c r="B91" s="1901" t="s">
        <v>254</v>
      </c>
      <c r="C91" s="1905">
        <f t="shared" si="51"/>
        <v>4.9000000000000002E-2</v>
      </c>
      <c r="D91" s="1685" t="str">
        <f t="shared" si="52"/>
        <v>Aquatic Habitat</v>
      </c>
      <c r="E91" s="1684">
        <f t="shared" si="45"/>
        <v>1.2999999999999999E-3</v>
      </c>
      <c r="F91" s="1685" t="str">
        <f t="shared" si="46"/>
        <v>Aquatic Habitat</v>
      </c>
      <c r="G91" s="1919">
        <f t="shared" si="58"/>
        <v>-36.692307692307693</v>
      </c>
      <c r="H91" s="1685">
        <f t="shared" si="62"/>
        <v>0.48</v>
      </c>
      <c r="I91" s="1685" t="str">
        <f t="shared" si="53"/>
        <v>Terr Habitat</v>
      </c>
      <c r="J91" s="1684">
        <f t="shared" si="63"/>
        <v>0.48</v>
      </c>
      <c r="K91" s="1685" t="str">
        <f t="shared" si="64"/>
        <v>Terr Habitat</v>
      </c>
      <c r="L91" s="1919" t="str">
        <f t="shared" si="59"/>
        <v>--</v>
      </c>
      <c r="M91" s="1685" t="str">
        <f t="shared" si="54"/>
        <v>--</v>
      </c>
      <c r="N91" s="1685" t="str">
        <f t="shared" si="55"/>
        <v>--</v>
      </c>
      <c r="O91" s="1684" t="str">
        <f t="shared" si="47"/>
        <v>--</v>
      </c>
      <c r="P91" s="1685" t="str">
        <f t="shared" si="48"/>
        <v>--</v>
      </c>
      <c r="Q91" s="1919" t="str">
        <f t="shared" si="60"/>
        <v>--</v>
      </c>
      <c r="R91" s="1685" t="str">
        <f t="shared" si="56"/>
        <v>--</v>
      </c>
      <c r="S91" s="1685" t="str">
        <f t="shared" si="57"/>
        <v>--</v>
      </c>
      <c r="T91" s="1684" t="str">
        <f t="shared" si="49"/>
        <v>--</v>
      </c>
      <c r="U91" s="1685" t="str">
        <f t="shared" si="50"/>
        <v>--</v>
      </c>
      <c r="V91" s="1919" t="str">
        <f t="shared" si="61"/>
        <v>--</v>
      </c>
      <c r="W91"/>
    </row>
    <row r="92" spans="1:23">
      <c r="A92" s="1910" t="s">
        <v>255</v>
      </c>
      <c r="B92" s="1901" t="s">
        <v>256</v>
      </c>
      <c r="C92" s="1905">
        <f t="shared" si="51"/>
        <v>0.16515837104072398</v>
      </c>
      <c r="D92" s="1685" t="str">
        <f t="shared" si="52"/>
        <v>Tap Canc-Risk</v>
      </c>
      <c r="E92" s="1684">
        <f t="shared" si="45"/>
        <v>0.11691092078404149</v>
      </c>
      <c r="F92" s="1685" t="str">
        <f t="shared" si="46"/>
        <v>Tapwater</v>
      </c>
      <c r="G92" s="1919">
        <f t="shared" si="58"/>
        <v>-0.41268557234106001</v>
      </c>
      <c r="H92" s="1685">
        <f t="shared" si="62"/>
        <v>4.1575374862329317E-2</v>
      </c>
      <c r="I92" s="1685" t="str">
        <f t="shared" si="53"/>
        <v>Leaching</v>
      </c>
      <c r="J92" s="1684">
        <f t="shared" si="63"/>
        <v>3.0284029718167856E-2</v>
      </c>
      <c r="K92" s="1685" t="str">
        <f t="shared" si="64"/>
        <v>Leaching</v>
      </c>
      <c r="L92" s="1919">
        <f t="shared" si="59"/>
        <v>-0.37284817275778892</v>
      </c>
      <c r="M92" s="1685">
        <f t="shared" si="54"/>
        <v>2.7526395173453992</v>
      </c>
      <c r="N92" s="1685" t="str">
        <f t="shared" si="55"/>
        <v>Canc-Risk</v>
      </c>
      <c r="O92" s="1684">
        <f t="shared" si="47"/>
        <v>2.7526395173453992</v>
      </c>
      <c r="P92" s="1685" t="str">
        <f t="shared" si="48"/>
        <v>Canc-Risk</v>
      </c>
      <c r="Q92" s="1919" t="str">
        <f t="shared" si="60"/>
        <v>--</v>
      </c>
      <c r="R92" s="1685">
        <f t="shared" si="56"/>
        <v>8.2579185520361975E-2</v>
      </c>
      <c r="S92" s="1685" t="str">
        <f t="shared" si="57"/>
        <v>Canc-Risk</v>
      </c>
      <c r="T92" s="1684">
        <f t="shared" si="49"/>
        <v>8.2579185520361975E-2</v>
      </c>
      <c r="U92" s="1685" t="str">
        <f t="shared" si="50"/>
        <v>Canc-Risk</v>
      </c>
      <c r="V92" s="1919" t="str">
        <f t="shared" si="61"/>
        <v>--</v>
      </c>
      <c r="W92"/>
    </row>
    <row r="93" spans="1:23">
      <c r="A93" s="1910" t="s">
        <v>257</v>
      </c>
      <c r="B93" s="1901" t="s">
        <v>258</v>
      </c>
      <c r="C93" s="1905">
        <f t="shared" si="51"/>
        <v>2</v>
      </c>
      <c r="D93" s="1685" t="str">
        <f t="shared" si="52"/>
        <v>Aquatic Habitat</v>
      </c>
      <c r="E93" s="1684">
        <f t="shared" si="45"/>
        <v>2</v>
      </c>
      <c r="F93" s="1685" t="str">
        <f t="shared" si="46"/>
        <v>Aquatic Habitat</v>
      </c>
      <c r="G93" s="1919" t="str">
        <f t="shared" si="58"/>
        <v>--</v>
      </c>
      <c r="H93" s="1685">
        <f t="shared" si="62"/>
        <v>45.374012986540876</v>
      </c>
      <c r="I93" s="1685" t="str">
        <f t="shared" si="53"/>
        <v>Leaching</v>
      </c>
      <c r="J93" s="1684">
        <f t="shared" si="63"/>
        <v>44.028912433507159</v>
      </c>
      <c r="K93" s="1685" t="str">
        <f t="shared" si="64"/>
        <v>Leaching</v>
      </c>
      <c r="L93" s="1919">
        <f t="shared" si="59"/>
        <v>-3.0550392428273114E-2</v>
      </c>
      <c r="M93" s="1685" t="str">
        <f t="shared" si="54"/>
        <v>--</v>
      </c>
      <c r="N93" s="1685" t="str">
        <f t="shared" si="55"/>
        <v>--</v>
      </c>
      <c r="O93" s="1684" t="str">
        <f t="shared" si="47"/>
        <v>--</v>
      </c>
      <c r="P93" s="1685" t="str">
        <f t="shared" si="48"/>
        <v>--</v>
      </c>
      <c r="Q93" s="1919" t="str">
        <f t="shared" si="60"/>
        <v>--</v>
      </c>
      <c r="R93" s="1685" t="str">
        <f t="shared" si="56"/>
        <v>--</v>
      </c>
      <c r="S93" s="1685" t="str">
        <f t="shared" si="57"/>
        <v>--</v>
      </c>
      <c r="T93" s="1684" t="str">
        <f t="shared" si="49"/>
        <v>--</v>
      </c>
      <c r="U93" s="1685" t="str">
        <f t="shared" si="50"/>
        <v>--</v>
      </c>
      <c r="V93" s="1919" t="str">
        <f t="shared" si="61"/>
        <v>--</v>
      </c>
      <c r="W93"/>
    </row>
    <row r="94" spans="1:23">
      <c r="A94" s="1910" t="s">
        <v>259</v>
      </c>
      <c r="B94" s="1901" t="s">
        <v>260</v>
      </c>
      <c r="C94" s="1905">
        <f t="shared" si="51"/>
        <v>1</v>
      </c>
      <c r="D94" s="1685" t="str">
        <f t="shared" si="52"/>
        <v>MCL</v>
      </c>
      <c r="E94" s="1684">
        <f t="shared" si="45"/>
        <v>0.04</v>
      </c>
      <c r="F94" s="1685" t="str">
        <f t="shared" si="46"/>
        <v>Aquatic Habitat</v>
      </c>
      <c r="G94" s="1919">
        <f t="shared" si="58"/>
        <v>-24</v>
      </c>
      <c r="H94" s="1685">
        <f t="shared" si="62"/>
        <v>1.2999999999999999E-2</v>
      </c>
      <c r="I94" s="1685" t="str">
        <f t="shared" si="53"/>
        <v>Terr Habitat</v>
      </c>
      <c r="J94" s="1684">
        <f t="shared" si="63"/>
        <v>3.9308860828600007E-3</v>
      </c>
      <c r="K94" s="1685" t="str">
        <f t="shared" si="64"/>
        <v>Leaching</v>
      </c>
      <c r="L94" s="1919">
        <f t="shared" si="59"/>
        <v>-2.3071423913006326</v>
      </c>
      <c r="M94" s="1685" t="str">
        <f t="shared" si="54"/>
        <v>--</v>
      </c>
      <c r="N94" s="1685" t="str">
        <f t="shared" si="55"/>
        <v>--</v>
      </c>
      <c r="O94" s="1684" t="str">
        <f t="shared" si="47"/>
        <v>--</v>
      </c>
      <c r="P94" s="1685" t="str">
        <f t="shared" si="48"/>
        <v>--</v>
      </c>
      <c r="Q94" s="1919" t="str">
        <f t="shared" si="60"/>
        <v>--</v>
      </c>
      <c r="R94" s="1685" t="str">
        <f t="shared" si="56"/>
        <v>--</v>
      </c>
      <c r="S94" s="1685" t="str">
        <f t="shared" si="57"/>
        <v>--</v>
      </c>
      <c r="T94" s="1684" t="str">
        <f t="shared" si="49"/>
        <v>--</v>
      </c>
      <c r="U94" s="1685" t="str">
        <f t="shared" si="50"/>
        <v>--</v>
      </c>
      <c r="V94" s="1919" t="str">
        <f t="shared" si="61"/>
        <v>--</v>
      </c>
      <c r="W94"/>
    </row>
    <row r="95" spans="1:23">
      <c r="A95" s="1913" t="s">
        <v>261</v>
      </c>
      <c r="B95" s="1901" t="s">
        <v>262</v>
      </c>
      <c r="C95" s="1905">
        <f t="shared" si="51"/>
        <v>6</v>
      </c>
      <c r="D95" s="1685" t="str">
        <f t="shared" si="52"/>
        <v>MCL</v>
      </c>
      <c r="E95" s="1684">
        <f t="shared" si="45"/>
        <v>6</v>
      </c>
      <c r="F95" s="1685" t="str">
        <f t="shared" si="46"/>
        <v>MCL</v>
      </c>
      <c r="G95" s="1919" t="str">
        <f t="shared" si="58"/>
        <v>--</v>
      </c>
      <c r="H95" s="1685">
        <f t="shared" si="62"/>
        <v>54.75</v>
      </c>
      <c r="I95" s="1685" t="str">
        <f t="shared" si="53"/>
        <v>NC-Hazard</v>
      </c>
      <c r="J95" s="1684">
        <f t="shared" si="63"/>
        <v>1.2000000000000004E-2</v>
      </c>
      <c r="K95" s="1685" t="str">
        <f t="shared" si="64"/>
        <v>Leaching</v>
      </c>
      <c r="L95" s="1919">
        <f t="shared" si="59"/>
        <v>-4561.4999999999982</v>
      </c>
      <c r="M95" s="1685" t="str">
        <f t="shared" si="54"/>
        <v>--</v>
      </c>
      <c r="N95" s="1685" t="str">
        <f t="shared" si="55"/>
        <v>--</v>
      </c>
      <c r="O95" s="1684" t="str">
        <f t="shared" si="47"/>
        <v>--</v>
      </c>
      <c r="P95" s="1685" t="str">
        <f t="shared" si="48"/>
        <v>--</v>
      </c>
      <c r="Q95" s="1919" t="str">
        <f t="shared" si="60"/>
        <v>--</v>
      </c>
      <c r="R95" s="1685" t="str">
        <f t="shared" si="56"/>
        <v>--</v>
      </c>
      <c r="S95" s="1685" t="str">
        <f t="shared" si="57"/>
        <v>--</v>
      </c>
      <c r="T95" s="1684" t="str">
        <f t="shared" si="49"/>
        <v>--</v>
      </c>
      <c r="U95" s="1685" t="str">
        <f t="shared" si="50"/>
        <v>--</v>
      </c>
      <c r="V95" s="1919" t="str">
        <f t="shared" si="61"/>
        <v>--</v>
      </c>
      <c r="W95"/>
    </row>
    <row r="96" spans="1:23">
      <c r="A96" s="1914" t="s">
        <v>263</v>
      </c>
      <c r="B96" s="919" t="s">
        <v>263</v>
      </c>
      <c r="C96" s="1905">
        <f t="shared" si="51"/>
        <v>100</v>
      </c>
      <c r="D96" s="1685" t="str">
        <f t="shared" si="52"/>
        <v>Odor/Nuis</v>
      </c>
      <c r="E96" s="1684">
        <f t="shared" si="45"/>
        <v>100</v>
      </c>
      <c r="F96" s="1685" t="str">
        <f t="shared" si="46"/>
        <v>Odor/Nuis</v>
      </c>
      <c r="G96" s="1919" t="str">
        <f t="shared" si="58"/>
        <v>--</v>
      </c>
      <c r="H96" s="1685">
        <f t="shared" si="62"/>
        <v>100</v>
      </c>
      <c r="I96" s="1685" t="str">
        <f t="shared" si="53"/>
        <v>Odor/Nuis</v>
      </c>
      <c r="J96" s="1684">
        <f t="shared" si="63"/>
        <v>100</v>
      </c>
      <c r="K96" s="1685" t="str">
        <f t="shared" si="64"/>
        <v>Odor/Nuis</v>
      </c>
      <c r="L96" s="1919" t="str">
        <f t="shared" si="59"/>
        <v>--</v>
      </c>
      <c r="M96" s="1685">
        <f t="shared" si="54"/>
        <v>3333.3333333333335</v>
      </c>
      <c r="N96" s="1685" t="str">
        <f t="shared" si="55"/>
        <v>Odor/Nuis</v>
      </c>
      <c r="O96" s="1684">
        <f t="shared" si="47"/>
        <v>3333.3333333333335</v>
      </c>
      <c r="P96" s="1685" t="str">
        <f t="shared" si="48"/>
        <v>Odor/Nuis</v>
      </c>
      <c r="Q96" s="1919" t="str">
        <f t="shared" si="60"/>
        <v>--</v>
      </c>
      <c r="R96" s="1685">
        <f t="shared" si="56"/>
        <v>100</v>
      </c>
      <c r="S96" s="1685" t="str">
        <f t="shared" si="57"/>
        <v>Nuis/Odor</v>
      </c>
      <c r="T96" s="1684">
        <f t="shared" si="49"/>
        <v>100</v>
      </c>
      <c r="U96" s="1685" t="str">
        <f t="shared" si="50"/>
        <v>Nuis/Odor</v>
      </c>
      <c r="V96" s="1919" t="str">
        <f t="shared" si="61"/>
        <v>--</v>
      </c>
      <c r="W96"/>
    </row>
    <row r="97" spans="1:23">
      <c r="A97" s="1914" t="s">
        <v>264</v>
      </c>
      <c r="B97" s="919" t="s">
        <v>264</v>
      </c>
      <c r="C97" s="1905">
        <f t="shared" si="51"/>
        <v>100</v>
      </c>
      <c r="D97" s="1685" t="str">
        <f t="shared" si="52"/>
        <v>Odor/Nuis</v>
      </c>
      <c r="E97" s="1684">
        <f t="shared" ref="E97:E128" si="65">VLOOKUP($A97,Table_GW_Summary,MATCH("GW-ESL",heading_GW_Summary,0),FALSE)</f>
        <v>100</v>
      </c>
      <c r="F97" s="1685" t="str">
        <f t="shared" ref="F97:F128" si="66">VLOOKUP($A97,Table_GW_Summary,MATCH("GW-B",heading_GW_Summary,0),FALSE)</f>
        <v>Odor/Nuis</v>
      </c>
      <c r="G97" s="1919" t="str">
        <f t="shared" si="58"/>
        <v>--</v>
      </c>
      <c r="H97" s="1685">
        <f t="shared" si="62"/>
        <v>100</v>
      </c>
      <c r="I97" s="1685" t="str">
        <f t="shared" si="53"/>
        <v>Odor/Nuis</v>
      </c>
      <c r="J97" s="1684">
        <f t="shared" si="63"/>
        <v>100</v>
      </c>
      <c r="K97" s="1685" t="str">
        <f t="shared" si="64"/>
        <v>Odor/Nuis</v>
      </c>
      <c r="L97" s="1919" t="str">
        <f t="shared" si="59"/>
        <v>--</v>
      </c>
      <c r="M97" s="1685">
        <f t="shared" si="54"/>
        <v>10977.443609022557</v>
      </c>
      <c r="N97" s="1685" t="str">
        <f t="shared" si="55"/>
        <v>NC-Hazard</v>
      </c>
      <c r="O97" s="1684">
        <f t="shared" ref="O97:O128" si="67">VLOOKUP($A97,Table_V_Summary,MATCH("SG-ESL",heading_V_Summary,0),FALSE)</f>
        <v>10310.734463276838</v>
      </c>
      <c r="P97" s="1685" t="str">
        <f t="shared" ref="P97:P128" si="68">VLOOKUP($A97,Table_V_Summary,MATCH("SG-B",heading_V_Summary,0),FALSE)</f>
        <v>NC-Hazard</v>
      </c>
      <c r="Q97" s="1920">
        <f t="shared" si="60"/>
        <v>-6.4661654135338226E-2</v>
      </c>
      <c r="R97" s="1685">
        <f t="shared" si="56"/>
        <v>329.3233082706767</v>
      </c>
      <c r="S97" s="1685" t="str">
        <f t="shared" si="57"/>
        <v>NC-Hazard</v>
      </c>
      <c r="T97" s="1684">
        <f t="shared" ref="T97:T128" si="69">VLOOKUP($A97,Table_V_Summary,MATCH("IA-ESL",heading_V_Summary,0),FALSE)</f>
        <v>309.32203389830511</v>
      </c>
      <c r="U97" s="1685" t="str">
        <f t="shared" ref="U97:U128" si="70">VLOOKUP($A97,Table_V_Summary,MATCH("IA-B",heading_V_Summary,0),FALSE)</f>
        <v>NC-Hazard</v>
      </c>
      <c r="V97" s="1920">
        <f t="shared" si="61"/>
        <v>-6.4661654135338309E-2</v>
      </c>
      <c r="W97"/>
    </row>
    <row r="98" spans="1:23">
      <c r="A98" s="1914" t="s">
        <v>265</v>
      </c>
      <c r="B98" s="919" t="s">
        <v>265</v>
      </c>
      <c r="C98" s="1905">
        <f t="shared" si="51"/>
        <v>100</v>
      </c>
      <c r="D98" s="1685" t="str">
        <f t="shared" si="52"/>
        <v>Odor/Nuis</v>
      </c>
      <c r="E98" s="1684">
        <f t="shared" si="65"/>
        <v>100</v>
      </c>
      <c r="F98" s="1685" t="str">
        <f t="shared" si="66"/>
        <v>Odor/Nuis</v>
      </c>
      <c r="G98" s="1919" t="str">
        <f t="shared" si="58"/>
        <v>--</v>
      </c>
      <c r="H98" s="1685">
        <f t="shared" si="62"/>
        <v>100</v>
      </c>
      <c r="I98" s="1685" t="str">
        <f t="shared" si="53"/>
        <v>Odor/Nuis</v>
      </c>
      <c r="J98" s="1684">
        <f t="shared" si="63"/>
        <v>100</v>
      </c>
      <c r="K98" s="1685" t="str">
        <f t="shared" si="64"/>
        <v>Odor/Nuis</v>
      </c>
      <c r="L98" s="1919" t="str">
        <f t="shared" si="59"/>
        <v>--</v>
      </c>
      <c r="M98" s="1685">
        <f t="shared" si="54"/>
        <v>10977.443609022557</v>
      </c>
      <c r="N98" s="1685" t="str">
        <f t="shared" si="55"/>
        <v>NC-Hazard</v>
      </c>
      <c r="O98" s="1684">
        <f t="shared" si="67"/>
        <v>10310.734463276838</v>
      </c>
      <c r="P98" s="1685" t="str">
        <f t="shared" si="68"/>
        <v>NC-Hazard</v>
      </c>
      <c r="Q98" s="1920">
        <f t="shared" si="60"/>
        <v>-6.4661654135338226E-2</v>
      </c>
      <c r="R98" s="1685">
        <f t="shared" si="56"/>
        <v>329.3233082706767</v>
      </c>
      <c r="S98" s="1685" t="str">
        <f t="shared" si="57"/>
        <v>NC-Hazard</v>
      </c>
      <c r="T98" s="1684">
        <f t="shared" si="69"/>
        <v>309.32203389830511</v>
      </c>
      <c r="U98" s="1685" t="str">
        <f t="shared" si="70"/>
        <v>NC-Hazard</v>
      </c>
      <c r="V98" s="1920">
        <f t="shared" si="61"/>
        <v>-6.4661654135338309E-2</v>
      </c>
      <c r="W98"/>
    </row>
    <row r="99" spans="1:23">
      <c r="A99" s="1914" t="s">
        <v>266</v>
      </c>
      <c r="B99" s="919" t="s">
        <v>266</v>
      </c>
      <c r="C99" s="1905">
        <f t="shared" si="51"/>
        <v>100</v>
      </c>
      <c r="D99" s="1685" t="str">
        <f t="shared" si="52"/>
        <v>Odor/Nuis</v>
      </c>
      <c r="E99" s="1684">
        <f t="shared" si="65"/>
        <v>100</v>
      </c>
      <c r="F99" s="1685" t="str">
        <f t="shared" si="66"/>
        <v>Odor/Nuis</v>
      </c>
      <c r="G99" s="1919" t="str">
        <f t="shared" si="58"/>
        <v>--</v>
      </c>
      <c r="H99" s="1685">
        <f t="shared" si="62"/>
        <v>255.042582255767</v>
      </c>
      <c r="I99" s="1685" t="str">
        <f t="shared" si="53"/>
        <v>NC-Hazard</v>
      </c>
      <c r="J99" s="1684">
        <f t="shared" si="63"/>
        <v>201.31571747633836</v>
      </c>
      <c r="K99" s="1685" t="str">
        <f t="shared" si="64"/>
        <v>NC-Hazard</v>
      </c>
      <c r="L99" s="1920">
        <f t="shared" si="59"/>
        <v>-0.26687863944723256</v>
      </c>
      <c r="M99" s="1685">
        <f t="shared" si="54"/>
        <v>8875.3799392097262</v>
      </c>
      <c r="N99" s="1685" t="str">
        <f t="shared" si="55"/>
        <v>NC-Hazard</v>
      </c>
      <c r="O99" s="1684">
        <f t="shared" si="67"/>
        <v>6759.2592592592582</v>
      </c>
      <c r="P99" s="1685" t="str">
        <f t="shared" si="68"/>
        <v>NC-Hazard</v>
      </c>
      <c r="Q99" s="1920">
        <f t="shared" si="60"/>
        <v>-0.31306990881458985</v>
      </c>
      <c r="R99" s="1685">
        <f t="shared" si="56"/>
        <v>266.26139817629178</v>
      </c>
      <c r="S99" s="1685" t="str">
        <f t="shared" si="57"/>
        <v>NC-Hazard</v>
      </c>
      <c r="T99" s="1684">
        <f t="shared" si="69"/>
        <v>202.77777777777774</v>
      </c>
      <c r="U99" s="1685" t="str">
        <f t="shared" si="70"/>
        <v>NC-Hazard</v>
      </c>
      <c r="V99" s="1920">
        <f t="shared" si="61"/>
        <v>-0.31306990881458979</v>
      </c>
      <c r="W99"/>
    </row>
    <row r="100" spans="1:23">
      <c r="A100" s="1914" t="s">
        <v>267</v>
      </c>
      <c r="B100" s="919" t="s">
        <v>267</v>
      </c>
      <c r="C100" s="1905">
        <f t="shared" si="51"/>
        <v>100</v>
      </c>
      <c r="D100" s="1685" t="str">
        <f t="shared" si="52"/>
        <v>Odor/Nuis</v>
      </c>
      <c r="E100" s="1684">
        <f t="shared" si="65"/>
        <v>100</v>
      </c>
      <c r="F100" s="1685" t="str">
        <f t="shared" si="66"/>
        <v>Odor/Nuis</v>
      </c>
      <c r="G100" s="1919" t="str">
        <f t="shared" si="58"/>
        <v>--</v>
      </c>
      <c r="H100" s="1685" t="str">
        <f t="shared" si="62"/>
        <v>--</v>
      </c>
      <c r="I100" s="1685" t="str">
        <f t="shared" si="53"/>
        <v>--</v>
      </c>
      <c r="J100" s="1684" t="str">
        <f t="shared" si="63"/>
        <v>--</v>
      </c>
      <c r="K100" s="1685" t="str">
        <f t="shared" si="64"/>
        <v>--</v>
      </c>
      <c r="L100" s="1919" t="str">
        <f t="shared" si="59"/>
        <v>--</v>
      </c>
      <c r="M100" s="1685" t="str">
        <f t="shared" si="54"/>
        <v>--</v>
      </c>
      <c r="N100" s="1685" t="str">
        <f t="shared" si="55"/>
        <v>--</v>
      </c>
      <c r="O100" s="1684" t="str">
        <f t="shared" si="67"/>
        <v>--</v>
      </c>
      <c r="P100" s="1685" t="str">
        <f t="shared" si="68"/>
        <v>--</v>
      </c>
      <c r="Q100" s="1919" t="str">
        <f t="shared" si="60"/>
        <v>--</v>
      </c>
      <c r="R100" s="1685" t="str">
        <f t="shared" si="56"/>
        <v>--</v>
      </c>
      <c r="S100" s="1685" t="str">
        <f t="shared" si="57"/>
        <v>--</v>
      </c>
      <c r="T100" s="1684" t="str">
        <f t="shared" si="69"/>
        <v>--</v>
      </c>
      <c r="U100" s="1685" t="str">
        <f t="shared" si="70"/>
        <v>--</v>
      </c>
      <c r="V100" s="1919" t="str">
        <f t="shared" si="61"/>
        <v>--</v>
      </c>
      <c r="W100"/>
    </row>
    <row r="101" spans="1:23">
      <c r="A101" s="1914" t="s">
        <v>268</v>
      </c>
      <c r="B101" s="919" t="s">
        <v>268</v>
      </c>
      <c r="C101" s="1905" t="str">
        <f t="shared" si="51"/>
        <v>--</v>
      </c>
      <c r="D101" s="1685" t="str">
        <f t="shared" si="52"/>
        <v>--</v>
      </c>
      <c r="E101" s="1684" t="str">
        <f t="shared" si="65"/>
        <v>--</v>
      </c>
      <c r="F101" s="1685" t="str">
        <f t="shared" si="66"/>
        <v>--</v>
      </c>
      <c r="G101" s="1919" t="str">
        <f t="shared" si="58"/>
        <v>--</v>
      </c>
      <c r="H101" s="1685">
        <f t="shared" si="62"/>
        <v>1600</v>
      </c>
      <c r="I101" s="1685" t="str">
        <f t="shared" si="53"/>
        <v>Terr Habitat</v>
      </c>
      <c r="J101" s="1684">
        <f t="shared" si="63"/>
        <v>1600</v>
      </c>
      <c r="K101" s="1685" t="str">
        <f t="shared" si="64"/>
        <v>Terr Habitat</v>
      </c>
      <c r="L101" s="1919" t="str">
        <f t="shared" si="59"/>
        <v>--</v>
      </c>
      <c r="M101" s="1685" t="str">
        <f t="shared" si="54"/>
        <v>--</v>
      </c>
      <c r="N101" s="1685" t="str">
        <f t="shared" si="55"/>
        <v>--</v>
      </c>
      <c r="O101" s="1684" t="str">
        <f t="shared" si="67"/>
        <v>--</v>
      </c>
      <c r="P101" s="1685" t="str">
        <f t="shared" si="68"/>
        <v>--</v>
      </c>
      <c r="Q101" s="1919" t="str">
        <f t="shared" si="60"/>
        <v>--</v>
      </c>
      <c r="R101" s="1685" t="str">
        <f t="shared" si="56"/>
        <v>--</v>
      </c>
      <c r="S101" s="1685" t="str">
        <f t="shared" si="57"/>
        <v>--</v>
      </c>
      <c r="T101" s="1684" t="str">
        <f t="shared" si="69"/>
        <v>--</v>
      </c>
      <c r="U101" s="1685" t="str">
        <f t="shared" si="70"/>
        <v>--</v>
      </c>
      <c r="V101" s="1919" t="str">
        <f t="shared" si="61"/>
        <v>--</v>
      </c>
      <c r="W101"/>
    </row>
    <row r="102" spans="1:23">
      <c r="A102" s="1910" t="s">
        <v>269</v>
      </c>
      <c r="B102" s="1901" t="s">
        <v>270</v>
      </c>
      <c r="C102" s="1905" t="s">
        <v>115</v>
      </c>
      <c r="D102" s="1903" t="s">
        <v>115</v>
      </c>
      <c r="E102" s="1684">
        <f t="shared" si="65"/>
        <v>0.2</v>
      </c>
      <c r="F102" s="1685" t="str">
        <f t="shared" si="66"/>
        <v>Aquatic Habitat</v>
      </c>
      <c r="G102" s="1919" t="str">
        <f t="shared" si="58"/>
        <v>New</v>
      </c>
      <c r="H102" s="1903" t="s">
        <v>115</v>
      </c>
      <c r="I102" s="1903" t="s">
        <v>115</v>
      </c>
      <c r="J102" s="1684">
        <f t="shared" si="63"/>
        <v>39.107142857142854</v>
      </c>
      <c r="K102" s="1685" t="str">
        <f t="shared" si="64"/>
        <v>NC-Hazard</v>
      </c>
      <c r="L102" s="1919" t="str">
        <f t="shared" si="59"/>
        <v>New</v>
      </c>
      <c r="M102" s="1903" t="s">
        <v>115</v>
      </c>
      <c r="N102" s="1903" t="s">
        <v>115</v>
      </c>
      <c r="O102" s="1684" t="str">
        <f t="shared" si="67"/>
        <v>--</v>
      </c>
      <c r="P102" s="1685" t="str">
        <f t="shared" si="68"/>
        <v>--</v>
      </c>
      <c r="Q102" s="1919" t="str">
        <f t="shared" si="60"/>
        <v>--</v>
      </c>
      <c r="R102" s="1903" t="s">
        <v>115</v>
      </c>
      <c r="S102" s="1903" t="s">
        <v>115</v>
      </c>
      <c r="T102" s="1684" t="str">
        <f t="shared" si="69"/>
        <v>--</v>
      </c>
      <c r="U102" s="1685" t="str">
        <f t="shared" si="70"/>
        <v>--</v>
      </c>
      <c r="V102" s="1919" t="str">
        <f t="shared" si="61"/>
        <v>--</v>
      </c>
      <c r="W102"/>
    </row>
    <row r="103" spans="1:23">
      <c r="A103" s="1910" t="s">
        <v>271</v>
      </c>
      <c r="B103" s="1901" t="s">
        <v>272</v>
      </c>
      <c r="C103" s="1905" t="s">
        <v>115</v>
      </c>
      <c r="D103" s="1903" t="s">
        <v>115</v>
      </c>
      <c r="E103" s="1684">
        <f t="shared" si="65"/>
        <v>18.453992005678288</v>
      </c>
      <c r="F103" s="1685" t="str">
        <f t="shared" si="66"/>
        <v>Tapwater</v>
      </c>
      <c r="G103" s="1919" t="str">
        <f t="shared" si="58"/>
        <v>New</v>
      </c>
      <c r="H103" s="1903" t="s">
        <v>115</v>
      </c>
      <c r="I103" s="1903" t="s">
        <v>115</v>
      </c>
      <c r="J103" s="1684">
        <f t="shared" si="63"/>
        <v>2.98</v>
      </c>
      <c r="K103" s="1685" t="str">
        <f t="shared" si="64"/>
        <v>Terr Habitat</v>
      </c>
      <c r="L103" s="1919" t="str">
        <f t="shared" si="59"/>
        <v>New</v>
      </c>
      <c r="M103" s="1903" t="s">
        <v>115</v>
      </c>
      <c r="N103" s="1903" t="s">
        <v>115</v>
      </c>
      <c r="O103" s="1684" t="str">
        <f t="shared" si="67"/>
        <v>--</v>
      </c>
      <c r="P103" s="1685" t="str">
        <f t="shared" si="68"/>
        <v>--</v>
      </c>
      <c r="Q103" s="1919" t="str">
        <f t="shared" si="60"/>
        <v>--</v>
      </c>
      <c r="R103" s="1903" t="s">
        <v>115</v>
      </c>
      <c r="S103" s="1903" t="s">
        <v>115</v>
      </c>
      <c r="T103" s="1684" t="str">
        <f t="shared" si="69"/>
        <v>--</v>
      </c>
      <c r="U103" s="1685" t="str">
        <f t="shared" si="70"/>
        <v>--</v>
      </c>
      <c r="V103" s="1919" t="str">
        <f t="shared" si="61"/>
        <v>--</v>
      </c>
      <c r="W103"/>
    </row>
    <row r="104" spans="1:23">
      <c r="A104" s="1910" t="s">
        <v>273</v>
      </c>
      <c r="B104" s="1901" t="s">
        <v>274</v>
      </c>
      <c r="C104" s="1905" t="s">
        <v>115</v>
      </c>
      <c r="D104" s="1903" t="s">
        <v>115</v>
      </c>
      <c r="E104" s="1684">
        <f t="shared" si="65"/>
        <v>140</v>
      </c>
      <c r="F104" s="1685" t="str">
        <f t="shared" si="66"/>
        <v>Aquatic Habitat</v>
      </c>
      <c r="G104" s="1919" t="str">
        <f t="shared" si="58"/>
        <v>New</v>
      </c>
      <c r="H104" s="1903" t="s">
        <v>115</v>
      </c>
      <c r="I104" s="1903" t="s">
        <v>115</v>
      </c>
      <c r="J104" s="1684">
        <f t="shared" si="63"/>
        <v>100</v>
      </c>
      <c r="K104" s="1685" t="str">
        <f t="shared" si="64"/>
        <v>Odor/Nuis</v>
      </c>
      <c r="L104" s="1919" t="str">
        <f t="shared" si="59"/>
        <v>New</v>
      </c>
      <c r="M104" s="1903" t="s">
        <v>115</v>
      </c>
      <c r="N104" s="1903" t="s">
        <v>115</v>
      </c>
      <c r="O104" s="1684" t="str">
        <f t="shared" si="67"/>
        <v>--</v>
      </c>
      <c r="P104" s="1685" t="str">
        <f t="shared" si="68"/>
        <v>--</v>
      </c>
      <c r="Q104" s="1919" t="str">
        <f t="shared" si="60"/>
        <v>--</v>
      </c>
      <c r="R104" s="1903" t="s">
        <v>115</v>
      </c>
      <c r="S104" s="1903" t="s">
        <v>115</v>
      </c>
      <c r="T104" s="1684" t="str">
        <f t="shared" si="69"/>
        <v>--</v>
      </c>
      <c r="U104" s="1685" t="str">
        <f t="shared" si="70"/>
        <v>--</v>
      </c>
      <c r="V104" s="1919" t="str">
        <f t="shared" si="61"/>
        <v>--</v>
      </c>
      <c r="W104"/>
    </row>
    <row r="105" spans="1:23">
      <c r="A105" s="1910" t="s">
        <v>275</v>
      </c>
      <c r="B105" s="1901" t="s">
        <v>276</v>
      </c>
      <c r="C105" s="1906" t="s">
        <v>115</v>
      </c>
      <c r="D105" s="1903" t="s">
        <v>115</v>
      </c>
      <c r="E105" s="1684">
        <f t="shared" si="65"/>
        <v>9.9189668276470293</v>
      </c>
      <c r="F105" s="1685" t="str">
        <f t="shared" si="66"/>
        <v>Tapwater</v>
      </c>
      <c r="G105" s="1919" t="str">
        <f t="shared" si="58"/>
        <v>New</v>
      </c>
      <c r="H105" s="1903" t="s">
        <v>115</v>
      </c>
      <c r="I105" s="1903" t="s">
        <v>115</v>
      </c>
      <c r="J105" s="1684">
        <f t="shared" si="63"/>
        <v>6.2</v>
      </c>
      <c r="K105" s="1685" t="str">
        <f t="shared" si="64"/>
        <v>Terr Habitat</v>
      </c>
      <c r="L105" s="1919" t="str">
        <f t="shared" si="59"/>
        <v>New</v>
      </c>
      <c r="M105" s="1903" t="s">
        <v>115</v>
      </c>
      <c r="N105" s="1903" t="s">
        <v>115</v>
      </c>
      <c r="O105" s="1684" t="str">
        <f t="shared" si="67"/>
        <v>--</v>
      </c>
      <c r="P105" s="1685" t="str">
        <f t="shared" si="68"/>
        <v>--</v>
      </c>
      <c r="Q105" s="1919" t="str">
        <f t="shared" si="60"/>
        <v>--</v>
      </c>
      <c r="R105" s="1903" t="s">
        <v>115</v>
      </c>
      <c r="S105" s="1903" t="s">
        <v>115</v>
      </c>
      <c r="T105" s="1684" t="str">
        <f t="shared" si="69"/>
        <v>--</v>
      </c>
      <c r="U105" s="1685" t="str">
        <f t="shared" si="70"/>
        <v>--</v>
      </c>
      <c r="V105" s="1919" t="str">
        <f t="shared" si="61"/>
        <v>--</v>
      </c>
      <c r="W105"/>
    </row>
    <row r="106" spans="1:23">
      <c r="A106" s="1910" t="s">
        <v>277</v>
      </c>
      <c r="B106" s="1901" t="s">
        <v>278</v>
      </c>
      <c r="C106" s="1906" t="s">
        <v>115</v>
      </c>
      <c r="D106" s="1903" t="s">
        <v>115</v>
      </c>
      <c r="E106" s="1684">
        <f t="shared" si="65"/>
        <v>870</v>
      </c>
      <c r="F106" s="1685" t="str">
        <f t="shared" si="66"/>
        <v>Aquatic Habitat</v>
      </c>
      <c r="G106" s="1919" t="str">
        <f t="shared" si="58"/>
        <v>New</v>
      </c>
      <c r="H106" s="1903" t="s">
        <v>115</v>
      </c>
      <c r="I106" s="1903" t="s">
        <v>115</v>
      </c>
      <c r="J106" s="1684">
        <f t="shared" si="63"/>
        <v>1</v>
      </c>
      <c r="K106" s="1685" t="str">
        <f t="shared" si="64"/>
        <v>Terr Habitat</v>
      </c>
      <c r="L106" s="1919" t="str">
        <f t="shared" si="59"/>
        <v>New</v>
      </c>
      <c r="M106" s="1903" t="s">
        <v>115</v>
      </c>
      <c r="N106" s="1903" t="s">
        <v>115</v>
      </c>
      <c r="O106" s="1684" t="str">
        <f t="shared" si="67"/>
        <v>--</v>
      </c>
      <c r="P106" s="1685" t="str">
        <f t="shared" si="68"/>
        <v>--</v>
      </c>
      <c r="Q106" s="1919" t="str">
        <f t="shared" si="60"/>
        <v>--</v>
      </c>
      <c r="R106" s="1903" t="s">
        <v>115</v>
      </c>
      <c r="S106" s="1903" t="s">
        <v>115</v>
      </c>
      <c r="T106" s="1684" t="str">
        <f t="shared" si="69"/>
        <v>--</v>
      </c>
      <c r="U106" s="1685" t="str">
        <f t="shared" si="70"/>
        <v>--</v>
      </c>
      <c r="V106" s="1919" t="str">
        <f t="shared" si="61"/>
        <v>--</v>
      </c>
      <c r="W106"/>
    </row>
    <row r="107" spans="1:23">
      <c r="A107" s="1910" t="s">
        <v>279</v>
      </c>
      <c r="B107" s="1901" t="s">
        <v>280</v>
      </c>
      <c r="C107" s="1906" t="s">
        <v>115</v>
      </c>
      <c r="D107" s="1903" t="s">
        <v>115</v>
      </c>
      <c r="E107" s="1684">
        <f t="shared" si="65"/>
        <v>3.5999999999999998E-6</v>
      </c>
      <c r="F107" s="1685" t="str">
        <f t="shared" si="66"/>
        <v>Aquatic Habitat</v>
      </c>
      <c r="G107" s="1919" t="str">
        <f t="shared" si="58"/>
        <v>New</v>
      </c>
      <c r="H107" s="1903" t="s">
        <v>115</v>
      </c>
      <c r="I107" s="1903" t="s">
        <v>115</v>
      </c>
      <c r="J107" s="1684">
        <f t="shared" si="63"/>
        <v>1.8518415168662176E-5</v>
      </c>
      <c r="K107" s="1685" t="str">
        <f t="shared" si="64"/>
        <v>Canc-Risk</v>
      </c>
      <c r="L107" s="1919" t="str">
        <f t="shared" si="59"/>
        <v>New</v>
      </c>
      <c r="M107" s="1903" t="s">
        <v>115</v>
      </c>
      <c r="N107" s="1903" t="s">
        <v>115</v>
      </c>
      <c r="O107" s="1684" t="str">
        <f t="shared" si="67"/>
        <v>--</v>
      </c>
      <c r="P107" s="1685" t="str">
        <f t="shared" si="68"/>
        <v>--</v>
      </c>
      <c r="Q107" s="1919" t="str">
        <f t="shared" si="60"/>
        <v>--</v>
      </c>
      <c r="R107" s="1903" t="s">
        <v>115</v>
      </c>
      <c r="S107" s="1903" t="s">
        <v>115</v>
      </c>
      <c r="T107" s="1684" t="str">
        <f t="shared" si="69"/>
        <v>--</v>
      </c>
      <c r="U107" s="1685" t="str">
        <f t="shared" si="70"/>
        <v>--</v>
      </c>
      <c r="V107" s="1919" t="str">
        <f t="shared" si="61"/>
        <v>--</v>
      </c>
      <c r="W107"/>
    </row>
    <row r="108" spans="1:23">
      <c r="A108" s="1910" t="s">
        <v>281</v>
      </c>
      <c r="B108" s="1901" t="s">
        <v>282</v>
      </c>
      <c r="C108" s="1906" t="s">
        <v>115</v>
      </c>
      <c r="D108" s="1903" t="s">
        <v>115</v>
      </c>
      <c r="E108" s="1684" t="str">
        <f t="shared" si="65"/>
        <v>&lt; 0.01 (HI Calc)</v>
      </c>
      <c r="F108" s="1685" t="str">
        <f t="shared" si="66"/>
        <v>MCL</v>
      </c>
      <c r="G108" s="1919" t="str">
        <f t="shared" si="58"/>
        <v>New</v>
      </c>
      <c r="H108" s="1903" t="s">
        <v>115</v>
      </c>
      <c r="I108" s="1903" t="s">
        <v>115</v>
      </c>
      <c r="J108" s="1684">
        <f t="shared" si="63"/>
        <v>2.4199999999999999E-2</v>
      </c>
      <c r="K108" s="1685" t="str">
        <f t="shared" si="64"/>
        <v>Terr Habitat</v>
      </c>
      <c r="L108" s="1919" t="str">
        <f t="shared" si="59"/>
        <v>New</v>
      </c>
      <c r="M108" s="1903" t="s">
        <v>115</v>
      </c>
      <c r="N108" s="1903" t="s">
        <v>115</v>
      </c>
      <c r="O108" s="1684" t="str">
        <f t="shared" si="67"/>
        <v>--</v>
      </c>
      <c r="P108" s="1685" t="str">
        <f t="shared" si="68"/>
        <v>--</v>
      </c>
      <c r="Q108" s="1919" t="str">
        <f t="shared" si="60"/>
        <v>--</v>
      </c>
      <c r="R108" s="1903" t="s">
        <v>115</v>
      </c>
      <c r="S108" s="1903" t="s">
        <v>115</v>
      </c>
      <c r="T108" s="1684" t="str">
        <f t="shared" si="69"/>
        <v>--</v>
      </c>
      <c r="U108" s="1685" t="str">
        <f t="shared" si="70"/>
        <v>--</v>
      </c>
      <c r="V108" s="1919" t="str">
        <f t="shared" si="61"/>
        <v>--</v>
      </c>
      <c r="W108"/>
    </row>
    <row r="109" spans="1:23">
      <c r="A109" s="1910" t="s">
        <v>283</v>
      </c>
      <c r="B109" s="1901" t="s">
        <v>284</v>
      </c>
      <c r="C109" s="1906" t="s">
        <v>115</v>
      </c>
      <c r="D109" s="1903" t="s">
        <v>115</v>
      </c>
      <c r="E109" s="1684">
        <f t="shared" si="65"/>
        <v>4.0109890109890117E-5</v>
      </c>
      <c r="F109" s="1685" t="str">
        <f t="shared" si="66"/>
        <v>Tapwater</v>
      </c>
      <c r="G109" s="1919" t="str">
        <f t="shared" si="58"/>
        <v>New</v>
      </c>
      <c r="H109" s="1903" t="s">
        <v>115</v>
      </c>
      <c r="I109" s="1903" t="s">
        <v>115</v>
      </c>
      <c r="J109" s="1684">
        <f t="shared" si="63"/>
        <v>1.2642735911142926E-4</v>
      </c>
      <c r="K109" s="1685" t="str">
        <f t="shared" si="64"/>
        <v>NC-Hazard</v>
      </c>
      <c r="L109" s="1919" t="str">
        <f t="shared" si="59"/>
        <v>New</v>
      </c>
      <c r="M109" s="1903" t="s">
        <v>115</v>
      </c>
      <c r="N109" s="1903" t="s">
        <v>115</v>
      </c>
      <c r="O109" s="1684" t="str">
        <f t="shared" si="67"/>
        <v>--</v>
      </c>
      <c r="P109" s="1685" t="str">
        <f t="shared" si="68"/>
        <v>--</v>
      </c>
      <c r="Q109" s="1919" t="str">
        <f t="shared" si="60"/>
        <v>--</v>
      </c>
      <c r="R109" s="1903" t="s">
        <v>115</v>
      </c>
      <c r="S109" s="1903" t="s">
        <v>115</v>
      </c>
      <c r="T109" s="1684" t="str">
        <f t="shared" si="69"/>
        <v>--</v>
      </c>
      <c r="U109" s="1685" t="str">
        <f t="shared" si="70"/>
        <v>--</v>
      </c>
      <c r="V109" s="1919" t="str">
        <f t="shared" si="61"/>
        <v>--</v>
      </c>
      <c r="W109"/>
    </row>
    <row r="110" spans="1:23">
      <c r="A110" s="1910" t="s">
        <v>285</v>
      </c>
      <c r="B110" s="1901" t="s">
        <v>286</v>
      </c>
      <c r="C110" s="1906" t="s">
        <v>115</v>
      </c>
      <c r="D110" s="1903" t="s">
        <v>115</v>
      </c>
      <c r="E110" s="1684">
        <f t="shared" si="65"/>
        <v>6.0164835164835164</v>
      </c>
      <c r="F110" s="1685" t="str">
        <f t="shared" si="66"/>
        <v>Tapwater</v>
      </c>
      <c r="G110" s="1919" t="str">
        <f t="shared" si="58"/>
        <v>New</v>
      </c>
      <c r="H110" s="1903" t="s">
        <v>115</v>
      </c>
      <c r="I110" s="1903" t="s">
        <v>115</v>
      </c>
      <c r="J110" s="1684">
        <f t="shared" si="63"/>
        <v>18.964103866714392</v>
      </c>
      <c r="K110" s="1685" t="str">
        <f t="shared" si="64"/>
        <v>NC-Hazard</v>
      </c>
      <c r="L110" s="1919" t="str">
        <f t="shared" si="59"/>
        <v>New</v>
      </c>
      <c r="M110" s="1903" t="s">
        <v>115</v>
      </c>
      <c r="N110" s="1903" t="s">
        <v>115</v>
      </c>
      <c r="O110" s="1684" t="str">
        <f t="shared" si="67"/>
        <v>--</v>
      </c>
      <c r="P110" s="1685" t="str">
        <f t="shared" si="68"/>
        <v>--</v>
      </c>
      <c r="Q110" s="1919" t="str">
        <f t="shared" si="60"/>
        <v>--</v>
      </c>
      <c r="R110" s="1903" t="s">
        <v>115</v>
      </c>
      <c r="S110" s="1903" t="s">
        <v>115</v>
      </c>
      <c r="T110" s="1684" t="str">
        <f t="shared" si="69"/>
        <v>--</v>
      </c>
      <c r="U110" s="1685" t="str">
        <f t="shared" si="70"/>
        <v>--</v>
      </c>
      <c r="V110" s="1919" t="str">
        <f t="shared" si="61"/>
        <v>--</v>
      </c>
      <c r="W110"/>
    </row>
    <row r="111" spans="1:23">
      <c r="A111" s="1910" t="s">
        <v>287</v>
      </c>
      <c r="B111" s="1901" t="s">
        <v>288</v>
      </c>
      <c r="C111" s="1906" t="s">
        <v>115</v>
      </c>
      <c r="D111" s="1903" t="s">
        <v>115</v>
      </c>
      <c r="E111" s="1684">
        <f t="shared" si="65"/>
        <v>1.0027472527472527</v>
      </c>
      <c r="F111" s="1685" t="str">
        <f t="shared" si="66"/>
        <v>Tapwater</v>
      </c>
      <c r="G111" s="1919" t="str">
        <f t="shared" si="58"/>
        <v>New</v>
      </c>
      <c r="H111" s="1903" t="s">
        <v>115</v>
      </c>
      <c r="I111" s="1903" t="s">
        <v>115</v>
      </c>
      <c r="J111" s="1684">
        <f t="shared" si="63"/>
        <v>3.1606839777857316</v>
      </c>
      <c r="K111" s="1685" t="str">
        <f t="shared" si="64"/>
        <v>NC-Hazard</v>
      </c>
      <c r="L111" s="1919" t="str">
        <f t="shared" si="59"/>
        <v>New</v>
      </c>
      <c r="M111" s="1903" t="s">
        <v>115</v>
      </c>
      <c r="N111" s="1903" t="s">
        <v>115</v>
      </c>
      <c r="O111" s="1684" t="str">
        <f t="shared" si="67"/>
        <v>--</v>
      </c>
      <c r="P111" s="1685" t="str">
        <f t="shared" si="68"/>
        <v>--</v>
      </c>
      <c r="Q111" s="1919" t="str">
        <f t="shared" si="60"/>
        <v>--</v>
      </c>
      <c r="R111" s="1903" t="s">
        <v>115</v>
      </c>
      <c r="S111" s="1903" t="s">
        <v>115</v>
      </c>
      <c r="T111" s="1684" t="str">
        <f t="shared" si="69"/>
        <v>--</v>
      </c>
      <c r="U111" s="1685" t="str">
        <f t="shared" si="70"/>
        <v>--</v>
      </c>
      <c r="V111" s="1919" t="str">
        <f t="shared" si="61"/>
        <v>--</v>
      </c>
      <c r="W111"/>
    </row>
    <row r="112" spans="1:23">
      <c r="A112" s="1910" t="s">
        <v>289</v>
      </c>
      <c r="B112" s="1901" t="s">
        <v>290</v>
      </c>
      <c r="C112" s="1906" t="s">
        <v>115</v>
      </c>
      <c r="D112" s="1903" t="s">
        <v>115</v>
      </c>
      <c r="E112" s="1684">
        <f t="shared" si="65"/>
        <v>20.054945054945055</v>
      </c>
      <c r="F112" s="1685" t="str">
        <f t="shared" si="66"/>
        <v>Tapwater</v>
      </c>
      <c r="G112" s="1919" t="str">
        <f t="shared" si="58"/>
        <v>New</v>
      </c>
      <c r="H112" s="1903" t="s">
        <v>115</v>
      </c>
      <c r="I112" s="1903" t="s">
        <v>115</v>
      </c>
      <c r="J112" s="1684">
        <f t="shared" si="63"/>
        <v>63.213679555714634</v>
      </c>
      <c r="K112" s="1685" t="str">
        <f t="shared" si="64"/>
        <v>NC-Hazard</v>
      </c>
      <c r="L112" s="1919" t="str">
        <f t="shared" si="59"/>
        <v>New</v>
      </c>
      <c r="M112" s="1903" t="s">
        <v>115</v>
      </c>
      <c r="N112" s="1903" t="s">
        <v>115</v>
      </c>
      <c r="O112" s="1684" t="str">
        <f t="shared" si="67"/>
        <v>--</v>
      </c>
      <c r="P112" s="1685" t="str">
        <f t="shared" si="68"/>
        <v>--</v>
      </c>
      <c r="Q112" s="1919" t="str">
        <f t="shared" si="60"/>
        <v>--</v>
      </c>
      <c r="R112" s="1903" t="s">
        <v>115</v>
      </c>
      <c r="S112" s="1903" t="s">
        <v>115</v>
      </c>
      <c r="T112" s="1684" t="str">
        <f t="shared" si="69"/>
        <v>--</v>
      </c>
      <c r="U112" s="1685" t="str">
        <f t="shared" si="70"/>
        <v>--</v>
      </c>
      <c r="V112" s="1919" t="str">
        <f t="shared" si="61"/>
        <v>--</v>
      </c>
      <c r="W112"/>
    </row>
    <row r="113" spans="1:23">
      <c r="A113" s="1910" t="s">
        <v>291</v>
      </c>
      <c r="B113" s="1901" t="s">
        <v>292</v>
      </c>
      <c r="C113" s="1906" t="s">
        <v>115</v>
      </c>
      <c r="D113" s="1903" t="s">
        <v>115</v>
      </c>
      <c r="E113" s="1684">
        <f t="shared" si="65"/>
        <v>2.35</v>
      </c>
      <c r="F113" s="1685" t="str">
        <f t="shared" si="66"/>
        <v>Gross Contam</v>
      </c>
      <c r="G113" s="1919" t="str">
        <f t="shared" si="58"/>
        <v>New</v>
      </c>
      <c r="H113" s="1903" t="s">
        <v>115</v>
      </c>
      <c r="I113" s="1903" t="s">
        <v>115</v>
      </c>
      <c r="J113" s="1684">
        <f t="shared" si="63"/>
        <v>3.807470000005019</v>
      </c>
      <c r="K113" s="1685" t="str">
        <f t="shared" si="64"/>
        <v>Gross Contam</v>
      </c>
      <c r="L113" s="1919" t="str">
        <f t="shared" si="59"/>
        <v>New</v>
      </c>
      <c r="M113" s="1903" t="s">
        <v>115</v>
      </c>
      <c r="N113" s="1903" t="s">
        <v>115</v>
      </c>
      <c r="O113" s="1684" t="str">
        <f t="shared" si="67"/>
        <v>--</v>
      </c>
      <c r="P113" s="1685" t="str">
        <f t="shared" si="68"/>
        <v>--</v>
      </c>
      <c r="Q113" s="1919" t="str">
        <f t="shared" si="60"/>
        <v>--</v>
      </c>
      <c r="R113" s="1903" t="s">
        <v>115</v>
      </c>
      <c r="S113" s="1903" t="s">
        <v>115</v>
      </c>
      <c r="T113" s="1684" t="str">
        <f t="shared" si="69"/>
        <v>--</v>
      </c>
      <c r="U113" s="1685" t="str">
        <f t="shared" si="70"/>
        <v>--</v>
      </c>
      <c r="V113" s="1919" t="str">
        <f t="shared" si="61"/>
        <v>--</v>
      </c>
      <c r="W113"/>
    </row>
    <row r="114" spans="1:23">
      <c r="A114" s="1910" t="s">
        <v>293</v>
      </c>
      <c r="B114" s="1901" t="s">
        <v>294</v>
      </c>
      <c r="C114" s="1906" t="s">
        <v>115</v>
      </c>
      <c r="D114" s="1903" t="s">
        <v>115</v>
      </c>
      <c r="E114" s="1684">
        <f t="shared" si="65"/>
        <v>0.5</v>
      </c>
      <c r="F114" s="1685" t="str">
        <f t="shared" si="66"/>
        <v>Aquatic Habitat</v>
      </c>
      <c r="G114" s="1919" t="str">
        <f t="shared" si="58"/>
        <v>New</v>
      </c>
      <c r="H114" s="1903" t="s">
        <v>115</v>
      </c>
      <c r="I114" s="1903" t="s">
        <v>115</v>
      </c>
      <c r="J114" s="1684">
        <f t="shared" si="63"/>
        <v>0.81699999999999995</v>
      </c>
      <c r="K114" s="1685" t="str">
        <f t="shared" si="64"/>
        <v>Terr Habitat</v>
      </c>
      <c r="L114" s="1919" t="str">
        <f t="shared" si="59"/>
        <v>New</v>
      </c>
      <c r="M114" s="1903" t="s">
        <v>115</v>
      </c>
      <c r="N114" s="1903" t="s">
        <v>115</v>
      </c>
      <c r="O114" s="1684" t="str">
        <f t="shared" si="67"/>
        <v>--</v>
      </c>
      <c r="P114" s="1685" t="str">
        <f t="shared" si="68"/>
        <v>--</v>
      </c>
      <c r="Q114" s="1919" t="str">
        <f t="shared" si="60"/>
        <v>--</v>
      </c>
      <c r="R114" s="1903" t="s">
        <v>115</v>
      </c>
      <c r="S114" s="1903" t="s">
        <v>115</v>
      </c>
      <c r="T114" s="1684" t="str">
        <f t="shared" si="69"/>
        <v>--</v>
      </c>
      <c r="U114" s="1685" t="str">
        <f t="shared" si="70"/>
        <v>--</v>
      </c>
      <c r="V114" s="1919" t="str">
        <f t="shared" si="61"/>
        <v>--</v>
      </c>
      <c r="W114"/>
    </row>
    <row r="115" spans="1:23">
      <c r="A115" s="1910" t="s">
        <v>295</v>
      </c>
      <c r="B115" s="1901" t="s">
        <v>296</v>
      </c>
      <c r="C115" s="1906" t="s">
        <v>115</v>
      </c>
      <c r="D115" s="1903" t="s">
        <v>115</v>
      </c>
      <c r="E115" s="1684" t="str">
        <f t="shared" si="65"/>
        <v>&lt; 0.01 (HI Calc)</v>
      </c>
      <c r="F115" s="1685" t="str">
        <f t="shared" si="66"/>
        <v>MCL</v>
      </c>
      <c r="G115" s="1919" t="str">
        <f t="shared" si="58"/>
        <v>New</v>
      </c>
      <c r="H115" s="1903" t="s">
        <v>115</v>
      </c>
      <c r="I115" s="1903" t="s">
        <v>115</v>
      </c>
      <c r="J115" s="1684">
        <f t="shared" si="63"/>
        <v>0.14499999999999999</v>
      </c>
      <c r="K115" s="1685" t="str">
        <f t="shared" si="64"/>
        <v>Terr Habitat</v>
      </c>
      <c r="L115" s="1919" t="str">
        <f t="shared" si="59"/>
        <v>New</v>
      </c>
      <c r="M115" s="1903" t="s">
        <v>115</v>
      </c>
      <c r="N115" s="1903" t="s">
        <v>115</v>
      </c>
      <c r="O115" s="1684" t="str">
        <f t="shared" si="67"/>
        <v>--</v>
      </c>
      <c r="P115" s="1685" t="str">
        <f t="shared" si="68"/>
        <v>--</v>
      </c>
      <c r="Q115" s="1919" t="str">
        <f t="shared" si="60"/>
        <v>--</v>
      </c>
      <c r="R115" s="1903" t="s">
        <v>115</v>
      </c>
      <c r="S115" s="1903" t="s">
        <v>115</v>
      </c>
      <c r="T115" s="1684" t="str">
        <f t="shared" si="69"/>
        <v>--</v>
      </c>
      <c r="U115" s="1685" t="str">
        <f t="shared" si="70"/>
        <v>--</v>
      </c>
      <c r="V115" s="1919" t="str">
        <f t="shared" si="61"/>
        <v>--</v>
      </c>
      <c r="W115"/>
    </row>
    <row r="116" spans="1:23">
      <c r="A116" s="1910" t="s">
        <v>297</v>
      </c>
      <c r="B116" s="1901" t="s">
        <v>298</v>
      </c>
      <c r="C116" s="1906" t="s">
        <v>115</v>
      </c>
      <c r="D116" s="1903" t="s">
        <v>115</v>
      </c>
      <c r="E116" s="1684">
        <f t="shared" si="65"/>
        <v>6.9999999999999994E-5</v>
      </c>
      <c r="F116" s="1685" t="str">
        <f t="shared" si="66"/>
        <v>Aquatic Habitat</v>
      </c>
      <c r="G116" s="1919" t="str">
        <f t="shared" si="58"/>
        <v>New</v>
      </c>
      <c r="H116" s="1903" t="s">
        <v>115</v>
      </c>
      <c r="I116" s="1903" t="s">
        <v>115</v>
      </c>
      <c r="J116" s="1684">
        <f t="shared" si="63"/>
        <v>4.0000000000000001E-3</v>
      </c>
      <c r="K116" s="1685" t="str">
        <f t="shared" si="64"/>
        <v>Terr Habitat</v>
      </c>
      <c r="L116" s="1919" t="str">
        <f t="shared" si="59"/>
        <v>New</v>
      </c>
      <c r="M116" s="1903" t="s">
        <v>115</v>
      </c>
      <c r="N116" s="1903" t="s">
        <v>115</v>
      </c>
      <c r="O116" s="1684" t="str">
        <f t="shared" si="67"/>
        <v>--</v>
      </c>
      <c r="P116" s="1685" t="str">
        <f t="shared" si="68"/>
        <v>--</v>
      </c>
      <c r="Q116" s="1919" t="str">
        <f t="shared" si="60"/>
        <v>--</v>
      </c>
      <c r="R116" s="1903" t="s">
        <v>115</v>
      </c>
      <c r="S116" s="1903" t="s">
        <v>115</v>
      </c>
      <c r="T116" s="1684" t="str">
        <f t="shared" si="69"/>
        <v>--</v>
      </c>
      <c r="U116" s="1685" t="str">
        <f t="shared" si="70"/>
        <v>--</v>
      </c>
      <c r="V116" s="1919" t="str">
        <f t="shared" si="61"/>
        <v>--</v>
      </c>
      <c r="W116"/>
    </row>
    <row r="117" spans="1:23">
      <c r="A117" s="1910" t="s">
        <v>299</v>
      </c>
      <c r="B117" s="1901" t="s">
        <v>300</v>
      </c>
      <c r="C117" s="1906" t="s">
        <v>115</v>
      </c>
      <c r="D117" s="1903" t="s">
        <v>115</v>
      </c>
      <c r="E117" s="1684" t="str">
        <f t="shared" si="65"/>
        <v>&lt; 0.01 (HI Calc)</v>
      </c>
      <c r="F117" s="1685" t="str">
        <f t="shared" si="66"/>
        <v>MCL</v>
      </c>
      <c r="G117" s="1919" t="str">
        <f t="shared" si="58"/>
        <v>New</v>
      </c>
      <c r="H117" s="1903" t="s">
        <v>115</v>
      </c>
      <c r="I117" s="1903" t="s">
        <v>115</v>
      </c>
      <c r="J117" s="1684">
        <f t="shared" si="63"/>
        <v>0.23464285714285715</v>
      </c>
      <c r="K117" s="1685" t="str">
        <f t="shared" si="64"/>
        <v>NC-Hazard</v>
      </c>
      <c r="L117" s="1919" t="str">
        <f t="shared" si="59"/>
        <v>New</v>
      </c>
      <c r="M117" s="1903" t="s">
        <v>115</v>
      </c>
      <c r="N117" s="1903" t="s">
        <v>115</v>
      </c>
      <c r="O117" s="1684" t="str">
        <f t="shared" si="67"/>
        <v>--</v>
      </c>
      <c r="P117" s="1685" t="str">
        <f t="shared" si="68"/>
        <v>--</v>
      </c>
      <c r="Q117" s="1919" t="str">
        <f t="shared" si="60"/>
        <v>--</v>
      </c>
      <c r="R117" s="1903" t="s">
        <v>115</v>
      </c>
      <c r="S117" s="1903" t="s">
        <v>115</v>
      </c>
      <c r="T117" s="1684" t="str">
        <f t="shared" si="69"/>
        <v>--</v>
      </c>
      <c r="U117" s="1685" t="str">
        <f t="shared" si="70"/>
        <v>--</v>
      </c>
      <c r="V117" s="1919" t="str">
        <f t="shared" si="61"/>
        <v>--</v>
      </c>
      <c r="W117"/>
    </row>
    <row r="118" spans="1:23">
      <c r="A118" s="1910" t="s">
        <v>301</v>
      </c>
      <c r="B118" s="1901" t="s">
        <v>302</v>
      </c>
      <c r="C118" s="1905">
        <f t="shared" ref="C118:C140" si="71">VLOOKUP($B118,Table_T1_19,MATCH("Gw",heading_T1_19,0),FALSE)</f>
        <v>5</v>
      </c>
      <c r="D118" s="1685" t="str">
        <f t="shared" ref="D118:D140" si="72">VLOOKUP($B118,Table_T1_19,MATCH("Gw-b",heading_T1_19,0),FALSE)</f>
        <v>Odor/Nuis</v>
      </c>
      <c r="E118" s="1684">
        <f t="shared" si="65"/>
        <v>30</v>
      </c>
      <c r="F118" s="1685" t="str">
        <f t="shared" si="66"/>
        <v>Aquatic Habitat</v>
      </c>
      <c r="G118" s="1920">
        <f t="shared" si="58"/>
        <v>0.83333333333333337</v>
      </c>
      <c r="H118" s="1685">
        <f t="shared" ref="H118:H140" si="73">VLOOKUP($B118,Table_T1_19,MATCH("S",heading_T1_19,0),FALSE)</f>
        <v>0.15771033465500003</v>
      </c>
      <c r="I118" s="1685" t="str">
        <f t="shared" ref="I118:I140" si="74">VLOOKUP($B118,Table_T1_19,MATCH("S-b",heading_T1_19,0),FALSE)</f>
        <v>Leaching</v>
      </c>
      <c r="J118" s="1684">
        <f t="shared" ref="J118:J140" si="75">VLOOKUP($A118,Table_S_Summary,MATCH("Soil-ESL",heading_S_Summary,0),FALSE)</f>
        <v>0.93231800793000008</v>
      </c>
      <c r="K118" s="1685" t="str">
        <f t="shared" ref="K118:K140" si="76">VLOOKUP($A118,Table_S_Summary,MATCH("S-B",heading_S_Summary,0),FALSE)</f>
        <v>Leaching</v>
      </c>
      <c r="L118" s="1920">
        <f t="shared" si="59"/>
        <v>0.83084062164029204</v>
      </c>
      <c r="M118" s="1685">
        <f t="shared" ref="M118:M140" si="77">VLOOKUP($B118,Table_T1_19,MATCH("SG",heading_T1_19,0),FALSE)</f>
        <v>5200</v>
      </c>
      <c r="N118" s="1685" t="str">
        <f t="shared" ref="N118:N140" si="78">VLOOKUP($B118,Table_T1_19,MATCH("SG-b",heading_T1_19,0),FALSE)</f>
        <v>Odor/Nuis</v>
      </c>
      <c r="O118" s="1684">
        <f t="shared" si="67"/>
        <v>5200</v>
      </c>
      <c r="P118" s="1685" t="str">
        <f t="shared" si="68"/>
        <v>Odor/Nuis</v>
      </c>
      <c r="Q118" s="1919" t="str">
        <f t="shared" si="60"/>
        <v>--</v>
      </c>
      <c r="R118" s="1685">
        <f t="shared" ref="R118:R140" si="79">VLOOKUP($B118,Table_T1_19,MATCH("IA",heading_T1_19,0),FALSE)</f>
        <v>156</v>
      </c>
      <c r="S118" s="1685" t="str">
        <f t="shared" ref="S118:S140" si="80">VLOOKUP($B118,Table_T1_19,MATCH("IA-b",heading_T1_19,0),FALSE)</f>
        <v>Nuis/Odor</v>
      </c>
      <c r="T118" s="1684">
        <f t="shared" si="69"/>
        <v>156</v>
      </c>
      <c r="U118" s="1685" t="str">
        <f t="shared" si="70"/>
        <v>Nuis/Odor</v>
      </c>
      <c r="V118" s="1919" t="str">
        <f t="shared" si="61"/>
        <v>--</v>
      </c>
      <c r="W118"/>
    </row>
    <row r="119" spans="1:23">
      <c r="A119" s="1910" t="s">
        <v>303</v>
      </c>
      <c r="B119" s="1901" t="s">
        <v>304</v>
      </c>
      <c r="C119" s="1905">
        <f t="shared" si="71"/>
        <v>1.7000000000000001E-4</v>
      </c>
      <c r="D119" s="1685" t="str">
        <f t="shared" si="72"/>
        <v>Aquatic Habitat</v>
      </c>
      <c r="E119" s="1684">
        <f t="shared" si="65"/>
        <v>1.9000000000000001E-5</v>
      </c>
      <c r="F119" s="1685" t="str">
        <f t="shared" si="66"/>
        <v>Aquatic Habitat</v>
      </c>
      <c r="G119" s="1919">
        <f t="shared" si="58"/>
        <v>-7.9473684210526319</v>
      </c>
      <c r="H119" s="1685">
        <f t="shared" si="73"/>
        <v>0.22799563006333995</v>
      </c>
      <c r="I119" s="1685" t="str">
        <f t="shared" si="74"/>
        <v>Canc-Risk</v>
      </c>
      <c r="J119" s="1684">
        <f t="shared" si="75"/>
        <v>0.22770871299594589</v>
      </c>
      <c r="K119" s="1685" t="str">
        <f t="shared" si="76"/>
        <v>Canc-Risk</v>
      </c>
      <c r="L119" s="1919">
        <f t="shared" si="59"/>
        <v>-1.2600179572363067E-3</v>
      </c>
      <c r="M119" s="1685">
        <f t="shared" si="77"/>
        <v>0.16419253261358527</v>
      </c>
      <c r="N119" s="1685" t="str">
        <f t="shared" si="78"/>
        <v>Canc-Risk</v>
      </c>
      <c r="O119" s="1684">
        <f t="shared" si="67"/>
        <v>0.16419253261358527</v>
      </c>
      <c r="P119" s="1685" t="str">
        <f t="shared" si="68"/>
        <v>Canc-Risk</v>
      </c>
      <c r="Q119" s="1919" t="str">
        <f t="shared" si="60"/>
        <v>--</v>
      </c>
      <c r="R119" s="1685">
        <f t="shared" si="79"/>
        <v>4.9257759784075575E-3</v>
      </c>
      <c r="S119" s="1685" t="str">
        <f t="shared" si="80"/>
        <v>Canc-Risk</v>
      </c>
      <c r="T119" s="1684">
        <f t="shared" si="69"/>
        <v>4.9257759784075575E-3</v>
      </c>
      <c r="U119" s="1685" t="str">
        <f t="shared" si="70"/>
        <v>Canc-Risk</v>
      </c>
      <c r="V119" s="1919" t="str">
        <f t="shared" si="61"/>
        <v>--</v>
      </c>
      <c r="W119"/>
    </row>
    <row r="120" spans="1:23">
      <c r="A120" s="1910" t="s">
        <v>305</v>
      </c>
      <c r="B120" s="1901" t="s">
        <v>306</v>
      </c>
      <c r="C120" s="1905">
        <f t="shared" si="71"/>
        <v>0.5</v>
      </c>
      <c r="D120" s="1685" t="str">
        <f t="shared" si="72"/>
        <v>Aquatic Habitat</v>
      </c>
      <c r="E120" s="1684">
        <f t="shared" si="65"/>
        <v>0.5</v>
      </c>
      <c r="F120" s="1685" t="str">
        <f t="shared" si="66"/>
        <v>Aquatic Habitat</v>
      </c>
      <c r="G120" s="1919" t="str">
        <f t="shared" si="58"/>
        <v>--</v>
      </c>
      <c r="H120" s="1685">
        <f t="shared" si="73"/>
        <v>2.4</v>
      </c>
      <c r="I120" s="1685" t="str">
        <f t="shared" si="74"/>
        <v>Terr Habitat</v>
      </c>
      <c r="J120" s="1684">
        <f t="shared" si="75"/>
        <v>2.4</v>
      </c>
      <c r="K120" s="1685" t="str">
        <f t="shared" si="76"/>
        <v>Terr Habitat</v>
      </c>
      <c r="L120" s="1919" t="str">
        <f t="shared" si="59"/>
        <v>--</v>
      </c>
      <c r="M120" s="1685" t="str">
        <f t="shared" si="77"/>
        <v>--</v>
      </c>
      <c r="N120" s="1685" t="str">
        <f t="shared" si="78"/>
        <v>--</v>
      </c>
      <c r="O120" s="1684" t="str">
        <f t="shared" si="67"/>
        <v>--</v>
      </c>
      <c r="P120" s="1685" t="str">
        <f t="shared" si="68"/>
        <v>--</v>
      </c>
      <c r="Q120" s="1919" t="str">
        <f t="shared" si="60"/>
        <v>--</v>
      </c>
      <c r="R120" s="1685" t="str">
        <f t="shared" si="79"/>
        <v>--</v>
      </c>
      <c r="S120" s="1685" t="str">
        <f t="shared" si="80"/>
        <v>--</v>
      </c>
      <c r="T120" s="1684" t="str">
        <f t="shared" si="69"/>
        <v>--</v>
      </c>
      <c r="U120" s="1685" t="str">
        <f t="shared" si="70"/>
        <v>--</v>
      </c>
      <c r="V120" s="1919" t="str">
        <f t="shared" si="61"/>
        <v>--</v>
      </c>
      <c r="W120"/>
    </row>
    <row r="121" spans="1:23">
      <c r="A121" s="1910" t="s">
        <v>307</v>
      </c>
      <c r="B121" s="1901" t="s">
        <v>308</v>
      </c>
      <c r="C121" s="1905">
        <f t="shared" si="71"/>
        <v>0.19</v>
      </c>
      <c r="D121" s="1685" t="str">
        <f t="shared" si="72"/>
        <v>Aquatic Habitat</v>
      </c>
      <c r="E121" s="1684">
        <f t="shared" si="65"/>
        <v>0.7</v>
      </c>
      <c r="F121" s="1685" t="str">
        <f t="shared" si="66"/>
        <v>Aquatic Habitat</v>
      </c>
      <c r="G121" s="1920">
        <f t="shared" si="58"/>
        <v>0.72857142857142865</v>
      </c>
      <c r="H121" s="1685">
        <f t="shared" si="73"/>
        <v>25</v>
      </c>
      <c r="I121" s="1685" t="str">
        <f t="shared" si="74"/>
        <v>Terr Habitat</v>
      </c>
      <c r="J121" s="1684">
        <f t="shared" si="75"/>
        <v>25</v>
      </c>
      <c r="K121" s="1685" t="str">
        <f t="shared" si="76"/>
        <v>Terr Habitat</v>
      </c>
      <c r="L121" s="1919" t="str">
        <f t="shared" si="59"/>
        <v>--</v>
      </c>
      <c r="M121" s="1685" t="str">
        <f t="shared" si="77"/>
        <v>--</v>
      </c>
      <c r="N121" s="1685" t="str">
        <f t="shared" si="78"/>
        <v>--</v>
      </c>
      <c r="O121" s="1684" t="str">
        <f t="shared" si="67"/>
        <v>--</v>
      </c>
      <c r="P121" s="1685" t="str">
        <f t="shared" si="68"/>
        <v>--</v>
      </c>
      <c r="Q121" s="1919" t="str">
        <f t="shared" si="60"/>
        <v>--</v>
      </c>
      <c r="R121" s="1685" t="str">
        <f t="shared" si="79"/>
        <v>--</v>
      </c>
      <c r="S121" s="1685" t="str">
        <f t="shared" si="80"/>
        <v>--</v>
      </c>
      <c r="T121" s="1684" t="str">
        <f t="shared" si="69"/>
        <v>--</v>
      </c>
      <c r="U121" s="1685" t="str">
        <f t="shared" si="70"/>
        <v>--</v>
      </c>
      <c r="V121" s="1919" t="str">
        <f t="shared" si="61"/>
        <v>--</v>
      </c>
      <c r="W121"/>
    </row>
    <row r="122" spans="1:23">
      <c r="A122" s="1910" t="s">
        <v>309</v>
      </c>
      <c r="B122" s="1901" t="s">
        <v>310</v>
      </c>
      <c r="C122" s="1905">
        <f t="shared" si="71"/>
        <v>10</v>
      </c>
      <c r="D122" s="1685" t="str">
        <f t="shared" si="72"/>
        <v>Odor/Nuis</v>
      </c>
      <c r="E122" s="1684">
        <f t="shared" si="65"/>
        <v>10</v>
      </c>
      <c r="F122" s="1685" t="str">
        <f t="shared" si="66"/>
        <v>Odor/Nuis</v>
      </c>
      <c r="G122" s="1919" t="str">
        <f t="shared" si="58"/>
        <v>--</v>
      </c>
      <c r="H122" s="1685">
        <f t="shared" si="73"/>
        <v>0.91769250000000002</v>
      </c>
      <c r="I122" s="1685" t="str">
        <f t="shared" si="74"/>
        <v>Leaching</v>
      </c>
      <c r="J122" s="1684">
        <f t="shared" si="75"/>
        <v>0.91121850000000004</v>
      </c>
      <c r="K122" s="1685" t="str">
        <f t="shared" si="76"/>
        <v>Leaching</v>
      </c>
      <c r="L122" s="1919">
        <f t="shared" si="59"/>
        <v>-7.1047723460399229E-3</v>
      </c>
      <c r="M122" s="1685">
        <f t="shared" si="77"/>
        <v>31285.714285714286</v>
      </c>
      <c r="N122" s="1685" t="str">
        <f t="shared" si="78"/>
        <v>NC-Hazard</v>
      </c>
      <c r="O122" s="1684">
        <f t="shared" si="67"/>
        <v>31285.714285714286</v>
      </c>
      <c r="P122" s="1685" t="str">
        <f t="shared" si="68"/>
        <v>NC-Hazard</v>
      </c>
      <c r="Q122" s="1919" t="str">
        <f t="shared" si="60"/>
        <v>--</v>
      </c>
      <c r="R122" s="1685">
        <f t="shared" si="79"/>
        <v>938.57142857142856</v>
      </c>
      <c r="S122" s="1685" t="str">
        <f t="shared" si="80"/>
        <v>NC-Hazard</v>
      </c>
      <c r="T122" s="1684">
        <f t="shared" si="69"/>
        <v>938.57142857142856</v>
      </c>
      <c r="U122" s="1685" t="str">
        <f t="shared" si="70"/>
        <v>NC-Hazard</v>
      </c>
      <c r="V122" s="1919" t="str">
        <f t="shared" si="61"/>
        <v>--</v>
      </c>
      <c r="W122"/>
    </row>
    <row r="123" spans="1:23">
      <c r="A123" s="1910" t="s">
        <v>311</v>
      </c>
      <c r="B123" s="1901" t="s">
        <v>312</v>
      </c>
      <c r="C123" s="1905">
        <f t="shared" si="71"/>
        <v>12</v>
      </c>
      <c r="D123" s="1685" t="str">
        <f t="shared" si="72"/>
        <v>Tap Canc-Risk</v>
      </c>
      <c r="E123" s="1684">
        <f t="shared" si="65"/>
        <v>12</v>
      </c>
      <c r="F123" s="1685" t="str">
        <f t="shared" si="66"/>
        <v>Tapwater</v>
      </c>
      <c r="G123" s="1919" t="str">
        <f t="shared" si="58"/>
        <v>--</v>
      </c>
      <c r="H123" s="1685">
        <f t="shared" si="73"/>
        <v>7.4577712609970676E-2</v>
      </c>
      <c r="I123" s="1685" t="str">
        <f t="shared" si="74"/>
        <v>Leaching</v>
      </c>
      <c r="J123" s="1684">
        <f t="shared" si="75"/>
        <v>4.879192200000001E-3</v>
      </c>
      <c r="K123" s="1685" t="str">
        <f t="shared" si="76"/>
        <v>Leaching</v>
      </c>
      <c r="L123" s="1919">
        <f t="shared" si="59"/>
        <v>-14.284848301317307</v>
      </c>
      <c r="M123" s="1685" t="str">
        <f t="shared" si="77"/>
        <v>--</v>
      </c>
      <c r="N123" s="1685" t="str">
        <f t="shared" si="78"/>
        <v>--</v>
      </c>
      <c r="O123" s="1684">
        <f t="shared" si="67"/>
        <v>173809.52380952382</v>
      </c>
      <c r="P123" s="1685" t="str">
        <f t="shared" si="68"/>
        <v>NC-Hazard</v>
      </c>
      <c r="Q123" s="1919" t="str">
        <f t="shared" si="60"/>
        <v>New</v>
      </c>
      <c r="R123" s="1685" t="str">
        <f t="shared" si="79"/>
        <v>--</v>
      </c>
      <c r="S123" s="1685" t="str">
        <f t="shared" si="80"/>
        <v>--</v>
      </c>
      <c r="T123" s="1684">
        <f t="shared" si="69"/>
        <v>5214.2857142857147</v>
      </c>
      <c r="U123" s="1685" t="str">
        <f t="shared" si="70"/>
        <v>NC-Hazard</v>
      </c>
      <c r="V123" s="1919" t="str">
        <f t="shared" si="61"/>
        <v>New</v>
      </c>
      <c r="W123"/>
    </row>
    <row r="124" spans="1:23">
      <c r="A124" s="1910" t="s">
        <v>313</v>
      </c>
      <c r="B124" s="1901" t="s">
        <v>314</v>
      </c>
      <c r="C124" s="1905">
        <f t="shared" si="71"/>
        <v>0.57243223384883424</v>
      </c>
      <c r="D124" s="1685" t="str">
        <f t="shared" si="72"/>
        <v>Tap Canc-Risk</v>
      </c>
      <c r="E124" s="1684">
        <f t="shared" si="65"/>
        <v>0.57371019912170784</v>
      </c>
      <c r="F124" s="1685" t="str">
        <f t="shared" si="66"/>
        <v>Tapwater</v>
      </c>
      <c r="G124" s="1919">
        <f t="shared" si="58"/>
        <v>2.2275449779872135E-3</v>
      </c>
      <c r="H124" s="1685">
        <f t="shared" si="73"/>
        <v>1.7054759759175246E-2</v>
      </c>
      <c r="I124" s="1685" t="str">
        <f t="shared" si="74"/>
        <v>Leaching</v>
      </c>
      <c r="J124" s="1684">
        <f t="shared" si="75"/>
        <v>1.7095691894324229E-2</v>
      </c>
      <c r="K124" s="1685" t="str">
        <f t="shared" si="76"/>
        <v>Leaching</v>
      </c>
      <c r="L124" s="1919">
        <f t="shared" si="59"/>
        <v>2.3942953231727475E-3</v>
      </c>
      <c r="M124" s="1685">
        <f t="shared" si="77"/>
        <v>12.647262647262645</v>
      </c>
      <c r="N124" s="1685" t="str">
        <f t="shared" si="78"/>
        <v>Canc-Risk</v>
      </c>
      <c r="O124" s="1684">
        <f t="shared" si="67"/>
        <v>12.647262647262645</v>
      </c>
      <c r="P124" s="1685" t="str">
        <f t="shared" si="68"/>
        <v>Canc-Risk</v>
      </c>
      <c r="Q124" s="1919" t="str">
        <f t="shared" si="60"/>
        <v>--</v>
      </c>
      <c r="R124" s="1685">
        <f t="shared" si="79"/>
        <v>0.37941787941787936</v>
      </c>
      <c r="S124" s="1685" t="str">
        <f t="shared" si="80"/>
        <v>Canc-Risk</v>
      </c>
      <c r="T124" s="1684">
        <f t="shared" si="69"/>
        <v>0.37941787941787936</v>
      </c>
      <c r="U124" s="1685" t="str">
        <f t="shared" si="70"/>
        <v>Canc-Risk</v>
      </c>
      <c r="V124" s="1919" t="str">
        <f t="shared" si="61"/>
        <v>--</v>
      </c>
      <c r="W124"/>
    </row>
    <row r="125" spans="1:23">
      <c r="A125" s="1910" t="s">
        <v>315</v>
      </c>
      <c r="B125" s="1901" t="s">
        <v>316</v>
      </c>
      <c r="C125" s="1905">
        <f t="shared" si="71"/>
        <v>1</v>
      </c>
      <c r="D125" s="1685" t="str">
        <f t="shared" si="72"/>
        <v>MCL</v>
      </c>
      <c r="E125" s="1684">
        <f t="shared" si="65"/>
        <v>1</v>
      </c>
      <c r="F125" s="1685" t="str">
        <f t="shared" si="66"/>
        <v>MCL</v>
      </c>
      <c r="G125" s="1919" t="str">
        <f t="shared" si="58"/>
        <v>--</v>
      </c>
      <c r="H125" s="1685">
        <f t="shared" si="73"/>
        <v>1.8045293255131968E-2</v>
      </c>
      <c r="I125" s="1685" t="str">
        <f t="shared" si="74"/>
        <v>Leaching</v>
      </c>
      <c r="J125" s="1684">
        <f t="shared" si="75"/>
        <v>1.8038009000000001E-2</v>
      </c>
      <c r="K125" s="1685" t="str">
        <f t="shared" si="76"/>
        <v>Leaching</v>
      </c>
      <c r="L125" s="1919">
        <f t="shared" si="59"/>
        <v>-4.0382811273502516E-4</v>
      </c>
      <c r="M125" s="1685">
        <f t="shared" si="77"/>
        <v>1.6136162687886821</v>
      </c>
      <c r="N125" s="1685" t="str">
        <f t="shared" si="78"/>
        <v>Canc-Risk</v>
      </c>
      <c r="O125" s="1684">
        <f t="shared" si="67"/>
        <v>1.6136162687886821</v>
      </c>
      <c r="P125" s="1685" t="str">
        <f t="shared" si="68"/>
        <v>Canc-Risk</v>
      </c>
      <c r="Q125" s="1919" t="str">
        <f t="shared" si="60"/>
        <v>--</v>
      </c>
      <c r="R125" s="1685">
        <f t="shared" si="79"/>
        <v>4.8408488063660465E-2</v>
      </c>
      <c r="S125" s="1685" t="str">
        <f t="shared" si="80"/>
        <v>Canc-Risk</v>
      </c>
      <c r="T125" s="1684">
        <f t="shared" si="69"/>
        <v>4.8408488063660465E-2</v>
      </c>
      <c r="U125" s="1685" t="str">
        <f t="shared" si="70"/>
        <v>Canc-Risk</v>
      </c>
      <c r="V125" s="1919" t="str">
        <f t="shared" si="61"/>
        <v>--</v>
      </c>
      <c r="W125"/>
    </row>
    <row r="126" spans="1:23">
      <c r="A126" s="1910" t="s">
        <v>317</v>
      </c>
      <c r="B126" s="1901" t="s">
        <v>318</v>
      </c>
      <c r="C126" s="1905">
        <f t="shared" si="71"/>
        <v>0.63927420484797515</v>
      </c>
      <c r="D126" s="1685" t="str">
        <f t="shared" si="72"/>
        <v>Vapor Intrusion</v>
      </c>
      <c r="E126" s="1684">
        <f t="shared" si="65"/>
        <v>0.63606699866771998</v>
      </c>
      <c r="F126" s="1685" t="str">
        <f t="shared" si="66"/>
        <v>Vapor Intrusion</v>
      </c>
      <c r="G126" s="1919">
        <f t="shared" si="58"/>
        <v>-5.0422458435555456E-3</v>
      </c>
      <c r="H126" s="1685">
        <f t="shared" si="73"/>
        <v>7.9899095961034047E-2</v>
      </c>
      <c r="I126" s="1685" t="str">
        <f t="shared" si="74"/>
        <v>Leaching</v>
      </c>
      <c r="J126" s="1684">
        <f t="shared" si="75"/>
        <v>7.9905242476613736E-2</v>
      </c>
      <c r="K126" s="1685" t="str">
        <f t="shared" si="76"/>
        <v>Leaching</v>
      </c>
      <c r="L126" s="1919">
        <f t="shared" si="59"/>
        <v>7.6922557133689002E-5</v>
      </c>
      <c r="M126" s="1685">
        <f t="shared" si="77"/>
        <v>15.342580916351405</v>
      </c>
      <c r="N126" s="1685" t="str">
        <f t="shared" si="78"/>
        <v>Canc-Risk</v>
      </c>
      <c r="O126" s="1684">
        <f t="shared" si="67"/>
        <v>15.342580916351405</v>
      </c>
      <c r="P126" s="1685" t="str">
        <f t="shared" si="68"/>
        <v>Canc-Risk</v>
      </c>
      <c r="Q126" s="1919" t="str">
        <f t="shared" si="60"/>
        <v>--</v>
      </c>
      <c r="R126" s="1685">
        <f t="shared" si="79"/>
        <v>0.46027742749054212</v>
      </c>
      <c r="S126" s="1685" t="str">
        <f t="shared" si="80"/>
        <v>Canc-Risk</v>
      </c>
      <c r="T126" s="1684">
        <f t="shared" si="69"/>
        <v>0.46027742749054212</v>
      </c>
      <c r="U126" s="1685" t="str">
        <f t="shared" si="70"/>
        <v>Canc-Risk</v>
      </c>
      <c r="V126" s="1919" t="str">
        <f t="shared" si="61"/>
        <v>--</v>
      </c>
      <c r="W126"/>
    </row>
    <row r="127" spans="1:23">
      <c r="A127" s="1910" t="s">
        <v>319</v>
      </c>
      <c r="B127" s="1901" t="s">
        <v>320</v>
      </c>
      <c r="C127" s="1905">
        <f t="shared" si="71"/>
        <v>2</v>
      </c>
      <c r="D127" s="1685" t="str">
        <f t="shared" si="72"/>
        <v>MCL</v>
      </c>
      <c r="E127" s="1684">
        <f t="shared" si="65"/>
        <v>0.47</v>
      </c>
      <c r="F127" s="1685" t="str">
        <f t="shared" si="66"/>
        <v>Aquatic Habitat</v>
      </c>
      <c r="G127" s="1919">
        <f t="shared" si="58"/>
        <v>-3.2553191489361706</v>
      </c>
      <c r="H127" s="1685">
        <f t="shared" si="73"/>
        <v>0.78214285714285725</v>
      </c>
      <c r="I127" s="1685" t="str">
        <f t="shared" si="74"/>
        <v>NC-Hazard</v>
      </c>
      <c r="J127" s="1684">
        <f t="shared" si="75"/>
        <v>0.78214285714285725</v>
      </c>
      <c r="K127" s="1685" t="str">
        <f t="shared" si="76"/>
        <v>NC-Hazard</v>
      </c>
      <c r="L127" s="1919" t="str">
        <f t="shared" si="59"/>
        <v>--</v>
      </c>
      <c r="M127" s="1685" t="str">
        <f t="shared" si="77"/>
        <v>--</v>
      </c>
      <c r="N127" s="1685" t="str">
        <f t="shared" si="78"/>
        <v>--</v>
      </c>
      <c r="O127" s="1684" t="str">
        <f t="shared" si="67"/>
        <v>--</v>
      </c>
      <c r="P127" s="1685" t="str">
        <f t="shared" si="68"/>
        <v>--</v>
      </c>
      <c r="Q127" s="1919" t="str">
        <f t="shared" si="60"/>
        <v>--</v>
      </c>
      <c r="R127" s="1685" t="str">
        <f t="shared" si="79"/>
        <v>--</v>
      </c>
      <c r="S127" s="1685" t="str">
        <f t="shared" si="80"/>
        <v>--</v>
      </c>
      <c r="T127" s="1684" t="str">
        <f t="shared" si="69"/>
        <v>--</v>
      </c>
      <c r="U127" s="1685" t="str">
        <f t="shared" si="70"/>
        <v>--</v>
      </c>
      <c r="V127" s="1919" t="str">
        <f t="shared" si="61"/>
        <v>--</v>
      </c>
      <c r="W127"/>
    </row>
    <row r="128" spans="1:23">
      <c r="A128" s="1910" t="s">
        <v>321</v>
      </c>
      <c r="B128" s="1901" t="s">
        <v>322</v>
      </c>
      <c r="C128" s="1905">
        <f t="shared" si="71"/>
        <v>40</v>
      </c>
      <c r="D128" s="1685" t="str">
        <f t="shared" si="72"/>
        <v>Odor/Nuis</v>
      </c>
      <c r="E128" s="1684">
        <f t="shared" si="65"/>
        <v>40</v>
      </c>
      <c r="F128" s="1685" t="str">
        <f t="shared" si="66"/>
        <v>Odor/Nuis</v>
      </c>
      <c r="G128" s="1919" t="str">
        <f t="shared" si="58"/>
        <v>--</v>
      </c>
      <c r="H128" s="1685">
        <f t="shared" si="73"/>
        <v>3.1654111436950143</v>
      </c>
      <c r="I128" s="1685" t="str">
        <f t="shared" si="74"/>
        <v>Leaching</v>
      </c>
      <c r="J128" s="1684">
        <f t="shared" si="75"/>
        <v>3.2016752000000004</v>
      </c>
      <c r="K128" s="1685" t="str">
        <f t="shared" si="76"/>
        <v>Leaching</v>
      </c>
      <c r="L128" s="1919">
        <f t="shared" si="59"/>
        <v>1.1326588126423965E-2</v>
      </c>
      <c r="M128" s="1685">
        <f t="shared" si="77"/>
        <v>10428.571428571428</v>
      </c>
      <c r="N128" s="1685" t="str">
        <f t="shared" si="78"/>
        <v>NC-Hazard</v>
      </c>
      <c r="O128" s="1684">
        <f t="shared" si="67"/>
        <v>14600</v>
      </c>
      <c r="P128" s="1685" t="str">
        <f t="shared" si="68"/>
        <v>NC-Hazard</v>
      </c>
      <c r="Q128" s="1920">
        <f t="shared" si="60"/>
        <v>0.28571428571428581</v>
      </c>
      <c r="R128" s="1685">
        <f t="shared" si="79"/>
        <v>312.85714285714283</v>
      </c>
      <c r="S128" s="1685" t="str">
        <f t="shared" si="80"/>
        <v>NC-Hazard</v>
      </c>
      <c r="T128" s="1684">
        <f t="shared" si="69"/>
        <v>438</v>
      </c>
      <c r="U128" s="1685" t="str">
        <f t="shared" si="70"/>
        <v>NC-Hazard</v>
      </c>
      <c r="V128" s="1920">
        <f t="shared" si="61"/>
        <v>0.28571428571428575</v>
      </c>
      <c r="W128"/>
    </row>
    <row r="129" spans="1:23">
      <c r="A129" s="1910" t="s">
        <v>323</v>
      </c>
      <c r="B129" s="1901" t="s">
        <v>324</v>
      </c>
      <c r="C129" s="1905">
        <f t="shared" si="71"/>
        <v>2.0000000000000001E-4</v>
      </c>
      <c r="D129" s="1685" t="str">
        <f t="shared" si="72"/>
        <v>Aquatic Habitat</v>
      </c>
      <c r="E129" s="1684">
        <f t="shared" ref="E129:E140" si="81">VLOOKUP($A129,Table_GW_Summary,MATCH("GW-ESL",heading_GW_Summary,0),FALSE)</f>
        <v>2.0000000000000001E-4</v>
      </c>
      <c r="F129" s="1685" t="str">
        <f t="shared" ref="F129:F140" si="82">VLOOKUP($A129,Table_GW_Summary,MATCH("GW-B",heading_GW_Summary,0),FALSE)</f>
        <v>Aquatic Habitat</v>
      </c>
      <c r="G129" s="1919" t="str">
        <f t="shared" si="58"/>
        <v>--</v>
      </c>
      <c r="H129" s="1685">
        <f t="shared" si="73"/>
        <v>0.50789498401522282</v>
      </c>
      <c r="I129" s="1685" t="str">
        <f t="shared" si="74"/>
        <v>Canc-Risk</v>
      </c>
      <c r="J129" s="1684">
        <f t="shared" si="75"/>
        <v>0.45214083768107488</v>
      </c>
      <c r="K129" s="1685" t="str">
        <f t="shared" si="76"/>
        <v>Canc-Risk</v>
      </c>
      <c r="L129" s="1919">
        <f t="shared" si="59"/>
        <v>-0.123311458925272</v>
      </c>
      <c r="M129" s="1685" t="str">
        <f t="shared" si="77"/>
        <v>--</v>
      </c>
      <c r="N129" s="1685" t="str">
        <f t="shared" si="78"/>
        <v>--</v>
      </c>
      <c r="O129" s="1684" t="str">
        <f t="shared" ref="O129:O140" si="83">VLOOKUP($A129,Table_V_Summary,MATCH("SG-ESL",heading_V_Summary,0),FALSE)</f>
        <v>--</v>
      </c>
      <c r="P129" s="1685" t="str">
        <f t="shared" ref="P129:P140" si="84">VLOOKUP($A129,Table_V_Summary,MATCH("SG-B",heading_V_Summary,0),FALSE)</f>
        <v>--</v>
      </c>
      <c r="Q129" s="1919" t="str">
        <f t="shared" si="60"/>
        <v>--</v>
      </c>
      <c r="R129" s="1685" t="str">
        <f t="shared" si="79"/>
        <v>--</v>
      </c>
      <c r="S129" s="1685" t="str">
        <f t="shared" si="80"/>
        <v>--</v>
      </c>
      <c r="T129" s="1684" t="str">
        <f t="shared" ref="T129:T140" si="85">VLOOKUP($A129,Table_V_Summary,MATCH("IA-ESL",heading_V_Summary,0),FALSE)</f>
        <v>--</v>
      </c>
      <c r="U129" s="1685" t="str">
        <f t="shared" ref="U129:U140" si="86">VLOOKUP($A129,Table_V_Summary,MATCH("IA-B",heading_V_Summary,0),FALSE)</f>
        <v>--</v>
      </c>
      <c r="V129" s="1919" t="str">
        <f t="shared" si="61"/>
        <v>--</v>
      </c>
      <c r="W129"/>
    </row>
    <row r="130" spans="1:23">
      <c r="A130" s="1910" t="s">
        <v>325</v>
      </c>
      <c r="B130" s="1901" t="s">
        <v>326</v>
      </c>
      <c r="C130" s="1905">
        <f t="shared" si="71"/>
        <v>5</v>
      </c>
      <c r="D130" s="1685" t="str">
        <f t="shared" si="72"/>
        <v>MCL</v>
      </c>
      <c r="E130" s="1684">
        <f t="shared" si="81"/>
        <v>7.5999999999999998E-2</v>
      </c>
      <c r="F130" s="1685" t="str">
        <f t="shared" si="82"/>
        <v>Aquatic Habitat</v>
      </c>
      <c r="G130" s="1919">
        <f t="shared" si="58"/>
        <v>-64.789473684210535</v>
      </c>
      <c r="H130" s="1685">
        <f t="shared" si="73"/>
        <v>1.2059890029325513</v>
      </c>
      <c r="I130" s="1685" t="str">
        <f t="shared" si="74"/>
        <v>Leaching</v>
      </c>
      <c r="J130" s="1684">
        <f t="shared" si="75"/>
        <v>1.7777155440000001E-2</v>
      </c>
      <c r="K130" s="1685" t="str">
        <f t="shared" si="76"/>
        <v>Leaching</v>
      </c>
      <c r="L130" s="1919">
        <f t="shared" si="59"/>
        <v>-66.839256229879226</v>
      </c>
      <c r="M130" s="1685">
        <f t="shared" si="77"/>
        <v>69.523809523809533</v>
      </c>
      <c r="N130" s="1685" t="str">
        <f t="shared" si="78"/>
        <v>NC-Hazard</v>
      </c>
      <c r="O130" s="1684">
        <f t="shared" si="83"/>
        <v>69.523809523809533</v>
      </c>
      <c r="P130" s="1685" t="str">
        <f t="shared" si="84"/>
        <v>NC-Hazard</v>
      </c>
      <c r="Q130" s="1919" t="str">
        <f t="shared" si="60"/>
        <v>--</v>
      </c>
      <c r="R130" s="1685">
        <f t="shared" si="79"/>
        <v>2.0857142857142859</v>
      </c>
      <c r="S130" s="1685" t="str">
        <f t="shared" si="80"/>
        <v>NC-Hazard</v>
      </c>
      <c r="T130" s="1684">
        <f t="shared" si="85"/>
        <v>2.0857142857142859</v>
      </c>
      <c r="U130" s="1685" t="str">
        <f t="shared" si="86"/>
        <v>NC-Hazard</v>
      </c>
      <c r="V130" s="1919" t="str">
        <f t="shared" si="61"/>
        <v>--</v>
      </c>
      <c r="W130"/>
    </row>
    <row r="131" spans="1:23">
      <c r="A131" s="1910" t="s">
        <v>327</v>
      </c>
      <c r="B131" s="1901" t="s">
        <v>328</v>
      </c>
      <c r="C131" s="1905">
        <f t="shared" si="71"/>
        <v>62</v>
      </c>
      <c r="D131" s="1685" t="str">
        <f t="shared" si="72"/>
        <v>Aquatic Habitat</v>
      </c>
      <c r="E131" s="1684">
        <f t="shared" si="81"/>
        <v>62</v>
      </c>
      <c r="F131" s="1685" t="str">
        <f t="shared" si="82"/>
        <v>Aquatic Habitat</v>
      </c>
      <c r="G131" s="1919" t="str">
        <f t="shared" si="58"/>
        <v>--</v>
      </c>
      <c r="H131" s="1685">
        <f t="shared" si="73"/>
        <v>7.0360298181818184</v>
      </c>
      <c r="I131" s="1685" t="str">
        <f t="shared" si="74"/>
        <v>Leaching</v>
      </c>
      <c r="J131" s="1684">
        <f t="shared" si="75"/>
        <v>7.0708606800000009</v>
      </c>
      <c r="K131" s="1685" t="str">
        <f t="shared" si="76"/>
        <v>Leaching</v>
      </c>
      <c r="L131" s="1919">
        <f t="shared" si="59"/>
        <v>4.9259720130962201E-3</v>
      </c>
      <c r="M131" s="1685">
        <f t="shared" si="77"/>
        <v>34761.904761904763</v>
      </c>
      <c r="N131" s="1685" t="str">
        <f t="shared" si="78"/>
        <v>NC-Hazard</v>
      </c>
      <c r="O131" s="1684">
        <f t="shared" si="83"/>
        <v>34761.904761904763</v>
      </c>
      <c r="P131" s="1685" t="str">
        <f t="shared" si="84"/>
        <v>NC-Hazard</v>
      </c>
      <c r="Q131" s="1919" t="str">
        <f t="shared" si="60"/>
        <v>--</v>
      </c>
      <c r="R131" s="1685">
        <f t="shared" si="79"/>
        <v>1042.8571428571429</v>
      </c>
      <c r="S131" s="1685" t="str">
        <f t="shared" si="80"/>
        <v>NC-Hazard</v>
      </c>
      <c r="T131" s="1684">
        <f t="shared" si="85"/>
        <v>1042.8571428571429</v>
      </c>
      <c r="U131" s="1685" t="str">
        <f t="shared" si="86"/>
        <v>NC-Hazard</v>
      </c>
      <c r="V131" s="1919" t="str">
        <f t="shared" si="61"/>
        <v>--</v>
      </c>
      <c r="W131"/>
    </row>
    <row r="132" spans="1:23">
      <c r="A132" s="1910" t="s">
        <v>329</v>
      </c>
      <c r="B132" s="1901" t="s">
        <v>330</v>
      </c>
      <c r="C132" s="1905">
        <f t="shared" si="71"/>
        <v>5</v>
      </c>
      <c r="D132" s="1685" t="str">
        <f t="shared" si="72"/>
        <v>MCL</v>
      </c>
      <c r="E132" s="1684">
        <f t="shared" si="81"/>
        <v>5</v>
      </c>
      <c r="F132" s="1685" t="str">
        <f t="shared" si="82"/>
        <v>MCL</v>
      </c>
      <c r="G132" s="1919" t="str">
        <f t="shared" si="58"/>
        <v>--</v>
      </c>
      <c r="H132" s="1685">
        <f t="shared" si="73"/>
        <v>7.6202840000000008E-2</v>
      </c>
      <c r="I132" s="1685" t="str">
        <f t="shared" si="74"/>
        <v>Leaching</v>
      </c>
      <c r="J132" s="1684">
        <f t="shared" si="75"/>
        <v>7.5953840000000009E-2</v>
      </c>
      <c r="K132" s="1685" t="str">
        <f t="shared" si="76"/>
        <v>Leaching</v>
      </c>
      <c r="L132" s="1919">
        <f t="shared" si="59"/>
        <v>-3.2783069295772168E-3</v>
      </c>
      <c r="M132" s="1685">
        <f t="shared" si="77"/>
        <v>5.8493589743589736</v>
      </c>
      <c r="N132" s="1685" t="str">
        <f t="shared" si="78"/>
        <v>Canc-Risk</v>
      </c>
      <c r="O132" s="1684">
        <f t="shared" si="83"/>
        <v>5.8493589743589736</v>
      </c>
      <c r="P132" s="1685" t="str">
        <f t="shared" si="84"/>
        <v>Canc-Risk</v>
      </c>
      <c r="Q132" s="1919" t="str">
        <f t="shared" si="60"/>
        <v>--</v>
      </c>
      <c r="R132" s="1685">
        <f t="shared" si="79"/>
        <v>0.17548076923076919</v>
      </c>
      <c r="S132" s="1685" t="str">
        <f t="shared" si="80"/>
        <v>Canc-Risk</v>
      </c>
      <c r="T132" s="1684">
        <f t="shared" si="85"/>
        <v>0.17548076923076919</v>
      </c>
      <c r="U132" s="1685" t="str">
        <f t="shared" si="86"/>
        <v>Canc-Risk</v>
      </c>
      <c r="V132" s="1919" t="str">
        <f t="shared" si="61"/>
        <v>--</v>
      </c>
      <c r="W132"/>
    </row>
    <row r="133" spans="1:23">
      <c r="A133" s="1910" t="s">
        <v>331</v>
      </c>
      <c r="B133" s="1901" t="s">
        <v>332</v>
      </c>
      <c r="C133" s="1905">
        <f t="shared" si="71"/>
        <v>1.1957929057046857</v>
      </c>
      <c r="D133" s="1685" t="str">
        <f t="shared" si="72"/>
        <v>Vapor Intrusion</v>
      </c>
      <c r="E133" s="1684">
        <f t="shared" si="81"/>
        <v>1.1877804862349743</v>
      </c>
      <c r="F133" s="1685" t="str">
        <f t="shared" si="82"/>
        <v>Vapor Intrusion</v>
      </c>
      <c r="G133" s="1919">
        <f t="shared" si="58"/>
        <v>-6.7457072771999133E-3</v>
      </c>
      <c r="H133" s="1685">
        <f t="shared" si="73"/>
        <v>8.4662719840086317E-2</v>
      </c>
      <c r="I133" s="1685" t="str">
        <f t="shared" si="74"/>
        <v>Leaching</v>
      </c>
      <c r="J133" s="1684">
        <f t="shared" si="75"/>
        <v>8.4587965494296632E-2</v>
      </c>
      <c r="K133" s="1685" t="str">
        <f t="shared" si="76"/>
        <v>Leaching</v>
      </c>
      <c r="L133" s="1919">
        <f t="shared" si="59"/>
        <v>-8.8374682323722755E-4</v>
      </c>
      <c r="M133" s="1685">
        <f t="shared" si="77"/>
        <v>15.943905409395809</v>
      </c>
      <c r="N133" s="1685" t="str">
        <f t="shared" si="78"/>
        <v>Canc-Risk</v>
      </c>
      <c r="O133" s="1684">
        <f t="shared" si="83"/>
        <v>15.943905409395809</v>
      </c>
      <c r="P133" s="1685" t="str">
        <f t="shared" si="84"/>
        <v>Canc-Risk</v>
      </c>
      <c r="Q133" s="1919" t="str">
        <f t="shared" si="60"/>
        <v>--</v>
      </c>
      <c r="R133" s="1685">
        <f t="shared" si="79"/>
        <v>0.47831716228187426</v>
      </c>
      <c r="S133" s="1685" t="str">
        <f t="shared" si="80"/>
        <v>Canc-Risk</v>
      </c>
      <c r="T133" s="1684">
        <f t="shared" si="85"/>
        <v>0.47831716228187426</v>
      </c>
      <c r="U133" s="1685" t="str">
        <f t="shared" si="86"/>
        <v>Canc-Risk</v>
      </c>
      <c r="V133" s="1919" t="str">
        <f t="shared" si="61"/>
        <v>--</v>
      </c>
      <c r="W133"/>
    </row>
    <row r="134" spans="1:23">
      <c r="A134" s="1910" t="s">
        <v>333</v>
      </c>
      <c r="B134" s="1901" t="s">
        <v>334</v>
      </c>
      <c r="C134" s="1905">
        <f t="shared" si="71"/>
        <v>11</v>
      </c>
      <c r="D134" s="1685" t="str">
        <f t="shared" si="72"/>
        <v>Aquatic Habitat</v>
      </c>
      <c r="E134" s="1684">
        <f t="shared" si="81"/>
        <v>1</v>
      </c>
      <c r="F134" s="1685" t="str">
        <f t="shared" si="82"/>
        <v>Aquatic Habitat</v>
      </c>
      <c r="G134" s="1919">
        <f t="shared" si="58"/>
        <v>-10</v>
      </c>
      <c r="H134" s="1685">
        <f t="shared" si="73"/>
        <v>2.9217101241935488</v>
      </c>
      <c r="I134" s="1685" t="str">
        <f t="shared" si="74"/>
        <v>Leaching</v>
      </c>
      <c r="J134" s="1684">
        <f t="shared" si="75"/>
        <v>0.26511205534000004</v>
      </c>
      <c r="K134" s="1685" t="str">
        <f t="shared" si="76"/>
        <v>Leaching</v>
      </c>
      <c r="L134" s="1919">
        <f t="shared" si="59"/>
        <v>-10.020661133068897</v>
      </c>
      <c r="M134" s="1685" t="str">
        <f t="shared" si="77"/>
        <v>--</v>
      </c>
      <c r="N134" s="1685" t="str">
        <f t="shared" si="78"/>
        <v>--</v>
      </c>
      <c r="O134" s="1684" t="str">
        <f t="shared" si="83"/>
        <v>--</v>
      </c>
      <c r="P134" s="1685" t="str">
        <f t="shared" si="84"/>
        <v>--</v>
      </c>
      <c r="Q134" s="1919" t="str">
        <f t="shared" si="60"/>
        <v>--</v>
      </c>
      <c r="R134" s="1685" t="str">
        <f t="shared" si="79"/>
        <v>--</v>
      </c>
      <c r="S134" s="1685" t="str">
        <f t="shared" si="80"/>
        <v>--</v>
      </c>
      <c r="T134" s="1684" t="str">
        <f t="shared" si="85"/>
        <v>--</v>
      </c>
      <c r="U134" s="1685" t="str">
        <f t="shared" si="86"/>
        <v>--</v>
      </c>
      <c r="V134" s="1919" t="str">
        <f t="shared" si="61"/>
        <v>--</v>
      </c>
      <c r="W134"/>
    </row>
    <row r="135" spans="1:23">
      <c r="A135" s="1910" t="s">
        <v>335</v>
      </c>
      <c r="B135" s="1901" t="s">
        <v>336</v>
      </c>
      <c r="C135" s="1905">
        <f t="shared" si="71"/>
        <v>0.63495320458078863</v>
      </c>
      <c r="D135" s="1685" t="str">
        <f t="shared" si="72"/>
        <v>Tap Canc-Risk</v>
      </c>
      <c r="E135" s="1684">
        <f t="shared" si="81"/>
        <v>0.28999999999999998</v>
      </c>
      <c r="F135" s="1685" t="str">
        <f t="shared" si="82"/>
        <v>Aquatic Habitat</v>
      </c>
      <c r="G135" s="1919">
        <f t="shared" ref="G135:G140" si="87">IF(AND(C135="--",E135="--"),"--",IF(AND(C135="--",E135&lt;&gt;"--"),"New",IF(AND(E135="--",C135&lt;&gt;"--"),"Removed",IF((C135-E135)=0,"--",(E135-C135)/E135))))</f>
        <v>-1.1894938088992713</v>
      </c>
      <c r="H135" s="1685">
        <f t="shared" si="73"/>
        <v>4.0063095146762318E-2</v>
      </c>
      <c r="I135" s="1685" t="str">
        <f t="shared" si="74"/>
        <v>Leaching</v>
      </c>
      <c r="J135" s="1684">
        <f t="shared" si="75"/>
        <v>1.8346020078E-2</v>
      </c>
      <c r="K135" s="1685" t="str">
        <f t="shared" si="76"/>
        <v>Leaching</v>
      </c>
      <c r="L135" s="1919">
        <f t="shared" ref="L135:L140" si="88">IF(AND(H135="--",J135="--"),"--",IF(AND(H135="--",J135&lt;&gt;"--"),"New",IF(AND(J135="--",H135&lt;&gt;"--"),"Removed",IF((H135-J135)=0,"--",(J135-H135)/J135))))</f>
        <v>-1.1837485719752801</v>
      </c>
      <c r="M135" s="1685">
        <f t="shared" si="77"/>
        <v>10</v>
      </c>
      <c r="N135" s="1685" t="str">
        <f t="shared" si="78"/>
        <v>Odor/Nuis</v>
      </c>
      <c r="O135" s="1684">
        <f t="shared" si="83"/>
        <v>10</v>
      </c>
      <c r="P135" s="1685" t="str">
        <f t="shared" si="84"/>
        <v>Odor/Nuis</v>
      </c>
      <c r="Q135" s="1919" t="str">
        <f t="shared" ref="Q135:Q140" si="89">IF(AND(M135="--",O135="--"),"--",IF(AND(M135="--",O135&lt;&gt;"--"),"New",IF(AND(O135="--",M135&lt;&gt;"--"),"Removed",IF((M135-O135)=0,"--",(O135-M135)/O135))))</f>
        <v>--</v>
      </c>
      <c r="R135" s="1685">
        <f t="shared" si="79"/>
        <v>0.3</v>
      </c>
      <c r="S135" s="1685" t="str">
        <f t="shared" si="80"/>
        <v>Nuis/Odor</v>
      </c>
      <c r="T135" s="1684">
        <f t="shared" si="85"/>
        <v>0.3</v>
      </c>
      <c r="U135" s="1685" t="str">
        <f t="shared" si="86"/>
        <v>Nuis/Odor</v>
      </c>
      <c r="V135" s="1919" t="str">
        <f t="shared" ref="V135:V140" si="90">IF(AND(R135="--",T135="--"),"--",IF(AND(R135="--",T135&lt;&gt;"--"),"New",IF(AND(T135="--",R135&lt;&gt;"--"),"Removed",IF((R135-T135)=0,"--",(T135-R135)/T135))))</f>
        <v>--</v>
      </c>
      <c r="W135"/>
    </row>
    <row r="136" spans="1:23">
      <c r="A136" s="1910" t="s">
        <v>337</v>
      </c>
      <c r="B136" s="1901" t="s">
        <v>338</v>
      </c>
      <c r="C136" s="1905">
        <f t="shared" si="71"/>
        <v>5.0000000000000001E-3</v>
      </c>
      <c r="D136" s="1685" t="str">
        <f t="shared" si="72"/>
        <v>MCL</v>
      </c>
      <c r="E136" s="1684">
        <f t="shared" si="81"/>
        <v>5.0000000000000001E-3</v>
      </c>
      <c r="F136" s="1685" t="str">
        <f t="shared" si="82"/>
        <v>MCL</v>
      </c>
      <c r="G136" s="1919" t="str">
        <f t="shared" si="87"/>
        <v>--</v>
      </c>
      <c r="H136" s="1685">
        <f t="shared" si="73"/>
        <v>1.0675900499999999E-4</v>
      </c>
      <c r="I136" s="1685" t="str">
        <f t="shared" si="74"/>
        <v>Leaching</v>
      </c>
      <c r="J136" s="1684">
        <f t="shared" si="75"/>
        <v>1.0675900499999999E-4</v>
      </c>
      <c r="K136" s="1685" t="str">
        <f t="shared" si="76"/>
        <v>Leaching</v>
      </c>
      <c r="L136" s="1919" t="str">
        <f t="shared" si="88"/>
        <v>--</v>
      </c>
      <c r="M136" s="1685">
        <f t="shared" si="77"/>
        <v>10.428571428571429</v>
      </c>
      <c r="N136" s="1685" t="str">
        <f t="shared" si="78"/>
        <v>NC-Hazard</v>
      </c>
      <c r="O136" s="1684">
        <f t="shared" si="83"/>
        <v>10.428571428571429</v>
      </c>
      <c r="P136" s="1685" t="str">
        <f t="shared" si="84"/>
        <v>NC-Hazard</v>
      </c>
      <c r="Q136" s="1919" t="str">
        <f t="shared" si="89"/>
        <v>--</v>
      </c>
      <c r="R136" s="1685">
        <f t="shared" si="79"/>
        <v>0.31285714285714283</v>
      </c>
      <c r="S136" s="1685" t="str">
        <f t="shared" si="80"/>
        <v>NC-Hazard</v>
      </c>
      <c r="T136" s="1684">
        <f t="shared" si="85"/>
        <v>0.31285714285714283</v>
      </c>
      <c r="U136" s="1685" t="str">
        <f t="shared" si="86"/>
        <v>NC-Hazard</v>
      </c>
      <c r="V136" s="1919" t="str">
        <f t="shared" si="90"/>
        <v>--</v>
      </c>
      <c r="W136"/>
    </row>
    <row r="137" spans="1:23">
      <c r="A137" s="1910" t="s">
        <v>339</v>
      </c>
      <c r="B137" s="1901" t="s">
        <v>340</v>
      </c>
      <c r="C137" s="1905">
        <f t="shared" si="71"/>
        <v>19</v>
      </c>
      <c r="D137" s="1685" t="str">
        <f t="shared" si="72"/>
        <v>Aquatic Habitat</v>
      </c>
      <c r="E137" s="1684">
        <f t="shared" si="81"/>
        <v>19</v>
      </c>
      <c r="F137" s="1685" t="str">
        <f t="shared" si="82"/>
        <v>Aquatic Habitat</v>
      </c>
      <c r="G137" s="1919" t="str">
        <f t="shared" si="87"/>
        <v>--</v>
      </c>
      <c r="H137" s="1685">
        <f t="shared" si="73"/>
        <v>18</v>
      </c>
      <c r="I137" s="1685" t="str">
        <f t="shared" si="74"/>
        <v>Terr Habitat</v>
      </c>
      <c r="J137" s="1684">
        <f t="shared" si="75"/>
        <v>18</v>
      </c>
      <c r="K137" s="1685" t="str">
        <f t="shared" si="76"/>
        <v>Terr Habitat</v>
      </c>
      <c r="L137" s="1919" t="str">
        <f t="shared" si="88"/>
        <v>--</v>
      </c>
      <c r="M137" s="1685" t="str">
        <f t="shared" si="77"/>
        <v>--</v>
      </c>
      <c r="N137" s="1685" t="str">
        <f t="shared" si="78"/>
        <v>--</v>
      </c>
      <c r="O137" s="1684" t="str">
        <f t="shared" si="83"/>
        <v>--</v>
      </c>
      <c r="P137" s="1685" t="str">
        <f t="shared" si="84"/>
        <v>--</v>
      </c>
      <c r="Q137" s="1919" t="str">
        <f t="shared" si="89"/>
        <v>--</v>
      </c>
      <c r="R137" s="1685" t="str">
        <f t="shared" si="79"/>
        <v>--</v>
      </c>
      <c r="S137" s="1685" t="str">
        <f t="shared" si="80"/>
        <v>--</v>
      </c>
      <c r="T137" s="1684" t="str">
        <f t="shared" si="85"/>
        <v>--</v>
      </c>
      <c r="U137" s="1685" t="str">
        <f t="shared" si="86"/>
        <v>--</v>
      </c>
      <c r="V137" s="1919" t="str">
        <f t="shared" si="90"/>
        <v>--</v>
      </c>
      <c r="W137"/>
    </row>
    <row r="138" spans="1:23">
      <c r="A138" s="1910" t="s">
        <v>341</v>
      </c>
      <c r="B138" s="1901" t="s">
        <v>342</v>
      </c>
      <c r="C138" s="1905">
        <f t="shared" si="71"/>
        <v>8.5940995031904104E-3</v>
      </c>
      <c r="D138" s="1685" t="str">
        <f t="shared" si="72"/>
        <v>Vapor Intrusion</v>
      </c>
      <c r="E138" s="1684">
        <f t="shared" si="81"/>
        <v>8.3177281019007829E-3</v>
      </c>
      <c r="F138" s="1685" t="str">
        <f t="shared" si="82"/>
        <v>Vapor Intrusion</v>
      </c>
      <c r="G138" s="1919">
        <f t="shared" si="87"/>
        <v>-3.3226789563663491E-2</v>
      </c>
      <c r="H138" s="1685">
        <f t="shared" si="73"/>
        <v>1.5143370535188711E-3</v>
      </c>
      <c r="I138" s="1685" t="str">
        <f t="shared" si="74"/>
        <v>Leaching</v>
      </c>
      <c r="J138" s="1684">
        <f t="shared" si="75"/>
        <v>1.4652657879868631E-3</v>
      </c>
      <c r="K138" s="1685" t="str">
        <f t="shared" si="76"/>
        <v>Leaching</v>
      </c>
      <c r="L138" s="1919">
        <f t="shared" si="88"/>
        <v>-3.3489668519065929E-2</v>
      </c>
      <c r="M138" s="1685">
        <f t="shared" si="77"/>
        <v>0.31511698178364844</v>
      </c>
      <c r="N138" s="1685" t="str">
        <f t="shared" si="78"/>
        <v>Canc-Risk</v>
      </c>
      <c r="O138" s="1684">
        <f t="shared" si="83"/>
        <v>0.31511698178364844</v>
      </c>
      <c r="P138" s="1685" t="str">
        <f t="shared" si="84"/>
        <v>Canc-Risk</v>
      </c>
      <c r="Q138" s="1919" t="str">
        <f t="shared" si="89"/>
        <v>--</v>
      </c>
      <c r="R138" s="1685">
        <f t="shared" si="79"/>
        <v>9.4535094535094528E-3</v>
      </c>
      <c r="S138" s="1685" t="str">
        <f t="shared" si="80"/>
        <v>Canc-Risk</v>
      </c>
      <c r="T138" s="1684">
        <f t="shared" si="85"/>
        <v>9.4535094535094528E-3</v>
      </c>
      <c r="U138" s="1685" t="str">
        <f t="shared" si="86"/>
        <v>Canc-Risk</v>
      </c>
      <c r="V138" s="1919" t="str">
        <f t="shared" si="90"/>
        <v>--</v>
      </c>
      <c r="W138"/>
    </row>
    <row r="139" spans="1:23">
      <c r="A139" s="1910" t="s">
        <v>343</v>
      </c>
      <c r="B139" s="1901" t="s">
        <v>344</v>
      </c>
      <c r="C139" s="1905">
        <f t="shared" si="71"/>
        <v>20</v>
      </c>
      <c r="D139" s="1685" t="str">
        <f t="shared" si="72"/>
        <v>Odor/Nuis</v>
      </c>
      <c r="E139" s="1684">
        <f t="shared" si="81"/>
        <v>20</v>
      </c>
      <c r="F139" s="1685" t="str">
        <f t="shared" si="82"/>
        <v>Odor/Nuis</v>
      </c>
      <c r="G139" s="1919" t="str">
        <f t="shared" si="87"/>
        <v>--</v>
      </c>
      <c r="H139" s="1685">
        <f t="shared" si="73"/>
        <v>2.0807055718475072</v>
      </c>
      <c r="I139" s="1685" t="str">
        <f t="shared" si="74"/>
        <v>Leaching</v>
      </c>
      <c r="J139" s="1684">
        <f t="shared" si="75"/>
        <v>2.0942761999999999</v>
      </c>
      <c r="K139" s="1685" t="str">
        <f t="shared" si="76"/>
        <v>Leaching</v>
      </c>
      <c r="L139" s="1919">
        <f t="shared" si="88"/>
        <v>6.4798655270459412E-3</v>
      </c>
      <c r="M139" s="1685">
        <f t="shared" si="77"/>
        <v>3476.1904761904766</v>
      </c>
      <c r="N139" s="1685" t="str">
        <f t="shared" si="78"/>
        <v>NC-Hazard</v>
      </c>
      <c r="O139" s="1684">
        <f t="shared" si="83"/>
        <v>3476.1904761904766</v>
      </c>
      <c r="P139" s="1685" t="str">
        <f t="shared" si="84"/>
        <v>NC-Hazard</v>
      </c>
      <c r="Q139" s="1919" t="str">
        <f t="shared" si="89"/>
        <v>--</v>
      </c>
      <c r="R139" s="1685">
        <f t="shared" si="79"/>
        <v>104.28571428571429</v>
      </c>
      <c r="S139" s="1685" t="str">
        <f t="shared" si="80"/>
        <v>NC-Hazard</v>
      </c>
      <c r="T139" s="1684">
        <f t="shared" si="85"/>
        <v>104.28571428571429</v>
      </c>
      <c r="U139" s="1685" t="str">
        <f t="shared" si="86"/>
        <v>NC-Hazard</v>
      </c>
      <c r="V139" s="1919" t="str">
        <f t="shared" si="90"/>
        <v>--</v>
      </c>
      <c r="W139"/>
    </row>
    <row r="140" spans="1:23" ht="13.5" thickBot="1">
      <c r="A140" s="1915" t="s">
        <v>345</v>
      </c>
      <c r="B140" s="1916" t="s">
        <v>346</v>
      </c>
      <c r="C140" s="1907">
        <f t="shared" si="71"/>
        <v>81</v>
      </c>
      <c r="D140" s="1908" t="str">
        <f t="shared" si="72"/>
        <v>Aquatic Habitat</v>
      </c>
      <c r="E140" s="1918">
        <f t="shared" si="81"/>
        <v>20</v>
      </c>
      <c r="F140" s="1908" t="str">
        <f t="shared" si="82"/>
        <v>Aquatic Habitat</v>
      </c>
      <c r="G140" s="1921">
        <f t="shared" si="87"/>
        <v>-3.05</v>
      </c>
      <c r="H140" s="1908">
        <f t="shared" si="73"/>
        <v>340</v>
      </c>
      <c r="I140" s="1908" t="str">
        <f t="shared" si="74"/>
        <v>Terr Habitat</v>
      </c>
      <c r="J140" s="1918">
        <f t="shared" si="75"/>
        <v>340</v>
      </c>
      <c r="K140" s="1908" t="str">
        <f t="shared" si="76"/>
        <v>Terr Habitat</v>
      </c>
      <c r="L140" s="1921" t="str">
        <f t="shared" si="88"/>
        <v>--</v>
      </c>
      <c r="M140" s="1908" t="str">
        <f t="shared" si="77"/>
        <v>--</v>
      </c>
      <c r="N140" s="1908" t="str">
        <f t="shared" si="78"/>
        <v>--</v>
      </c>
      <c r="O140" s="1918" t="str">
        <f t="shared" si="83"/>
        <v>--</v>
      </c>
      <c r="P140" s="1908" t="str">
        <f t="shared" si="84"/>
        <v>--</v>
      </c>
      <c r="Q140" s="1921" t="str">
        <f t="shared" si="89"/>
        <v>--</v>
      </c>
      <c r="R140" s="1908" t="str">
        <f t="shared" si="79"/>
        <v>--</v>
      </c>
      <c r="S140" s="1908" t="str">
        <f t="shared" si="80"/>
        <v>--</v>
      </c>
      <c r="T140" s="1918" t="str">
        <f t="shared" si="85"/>
        <v>--</v>
      </c>
      <c r="U140" s="1908" t="str">
        <f t="shared" si="86"/>
        <v>--</v>
      </c>
      <c r="V140" s="1921" t="str">
        <f t="shared" si="90"/>
        <v>--</v>
      </c>
      <c r="W140"/>
    </row>
  </sheetData>
  <mergeCells count="7">
    <mergeCell ref="R2:V3"/>
    <mergeCell ref="A1:V1"/>
    <mergeCell ref="A2:A4"/>
    <mergeCell ref="B2:B4"/>
    <mergeCell ref="C2:G3"/>
    <mergeCell ref="H2:L3"/>
    <mergeCell ref="M2:Q3"/>
  </mergeCells>
  <phoneticPr fontId="5" type="noConversion"/>
  <conditionalFormatting sqref="G5:G140">
    <cfRule type="cellIs" dxfId="20" priority="4" operator="lessThan">
      <formula>-0.1</formula>
    </cfRule>
  </conditionalFormatting>
  <conditionalFormatting sqref="L5:L140">
    <cfRule type="cellIs" dxfId="19" priority="3" operator="lessThan">
      <formula>-0.1</formula>
    </cfRule>
  </conditionalFormatting>
  <conditionalFormatting sqref="Q5:Q140">
    <cfRule type="cellIs" dxfId="18" priority="2" operator="lessThan">
      <formula>-0.1</formula>
    </cfRule>
  </conditionalFormatting>
  <conditionalFormatting sqref="V5:V140">
    <cfRule type="cellIs" dxfId="17" priority="1" operator="lessThan">
      <formula>-0.1</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81A25-F8A2-43F8-B9CD-DE78FFF64840}">
  <dimension ref="A1:AB84"/>
  <sheetViews>
    <sheetView topLeftCell="O1" workbookViewId="0">
      <selection activeCell="AA14" sqref="AA14"/>
    </sheetView>
  </sheetViews>
  <sheetFormatPr defaultRowHeight="12.75"/>
  <cols>
    <col min="1" max="9" width="9.140625" style="55"/>
    <col min="10" max="10" width="11.28515625" style="55" customWidth="1"/>
    <col min="11" max="11" width="9.140625" style="55"/>
    <col min="12" max="12" width="10.140625" style="55" bestFit="1" customWidth="1"/>
    <col min="13" max="17" width="9.140625" style="55"/>
    <col min="18" max="18" width="12" style="349" bestFit="1" customWidth="1"/>
    <col min="19" max="19" width="11.85546875" style="55" customWidth="1"/>
    <col min="21" max="21" width="48.7109375" customWidth="1"/>
    <col min="23" max="28" width="22.42578125" style="22" customWidth="1"/>
  </cols>
  <sheetData>
    <row r="1" spans="1:28">
      <c r="A1" s="55" t="s">
        <v>1726</v>
      </c>
      <c r="B1" s="349" t="s">
        <v>1727</v>
      </c>
      <c r="C1" s="349" t="s">
        <v>1728</v>
      </c>
      <c r="D1" s="349" t="s">
        <v>1729</v>
      </c>
      <c r="E1" s="349" t="s">
        <v>1730</v>
      </c>
      <c r="F1" s="349" t="s">
        <v>1731</v>
      </c>
      <c r="G1" s="349" t="s">
        <v>1732</v>
      </c>
      <c r="H1" s="349" t="s">
        <v>1733</v>
      </c>
      <c r="I1" s="349" t="s">
        <v>1734</v>
      </c>
      <c r="J1" s="349" t="s">
        <v>1735</v>
      </c>
      <c r="K1" s="349" t="s">
        <v>1736</v>
      </c>
      <c r="L1" s="349" t="s">
        <v>1737</v>
      </c>
      <c r="M1" s="349" t="s">
        <v>1738</v>
      </c>
      <c r="N1" s="349" t="s">
        <v>1739</v>
      </c>
      <c r="O1" s="349" t="s">
        <v>1740</v>
      </c>
      <c r="P1" s="349" t="s">
        <v>1741</v>
      </c>
      <c r="Q1" s="349" t="s">
        <v>1742</v>
      </c>
      <c r="R1" s="349" t="s">
        <v>1743</v>
      </c>
      <c r="S1" s="349" t="s">
        <v>1744</v>
      </c>
    </row>
    <row r="2" spans="1:28" ht="26.25">
      <c r="A2" s="55" t="s">
        <v>1745</v>
      </c>
      <c r="B2" s="349">
        <f t="shared" ref="B2:S2" si="0">AVERAGE(B5:B65)</f>
        <v>364</v>
      </c>
      <c r="C2" s="349">
        <f t="shared" si="0"/>
        <v>739.27391304347805</v>
      </c>
      <c r="D2" s="349">
        <f t="shared" si="0"/>
        <v>1068.8599999999999</v>
      </c>
      <c r="E2" s="349">
        <f t="shared" si="0"/>
        <v>143.91666666666666</v>
      </c>
      <c r="F2" s="349">
        <f t="shared" si="0"/>
        <v>341.84468085106386</v>
      </c>
      <c r="G2" s="349">
        <f t="shared" si="0"/>
        <v>731.77105263157898</v>
      </c>
      <c r="H2" s="349">
        <f t="shared" si="0"/>
        <v>4932.8214285714284</v>
      </c>
      <c r="I2" s="349">
        <f t="shared" si="0"/>
        <v>9608.2800000000007</v>
      </c>
      <c r="J2" s="349">
        <f t="shared" si="0"/>
        <v>34408.692857142858</v>
      </c>
      <c r="K2" s="349">
        <f t="shared" si="0"/>
        <v>18969.600000000002</v>
      </c>
      <c r="L2" s="349">
        <f t="shared" si="0"/>
        <v>23988.3</v>
      </c>
      <c r="M2" s="349">
        <f t="shared" si="0"/>
        <v>4.0999999999999996</v>
      </c>
      <c r="N2" s="349">
        <f t="shared" si="0"/>
        <v>99.585714285714289</v>
      </c>
      <c r="O2" s="349" t="e">
        <f t="shared" si="0"/>
        <v>#DIV/0!</v>
      </c>
      <c r="P2" s="349">
        <f t="shared" si="0"/>
        <v>351.61153846153843</v>
      </c>
      <c r="Q2" s="349">
        <f t="shared" si="0"/>
        <v>158.5</v>
      </c>
      <c r="R2" s="349">
        <f t="shared" si="0"/>
        <v>3226.2065573770496</v>
      </c>
      <c r="S2" s="349">
        <f t="shared" si="0"/>
        <v>110599</v>
      </c>
      <c r="W2" s="1206"/>
      <c r="X2" s="1206"/>
      <c r="Y2" s="1206"/>
      <c r="Z2" s="1206"/>
      <c r="AA2" s="1206"/>
      <c r="AB2" s="1206"/>
    </row>
    <row r="3" spans="1:28" ht="50.25" thickBot="1">
      <c r="A3" s="55" t="s">
        <v>1746</v>
      </c>
      <c r="B3" s="349">
        <f t="shared" ref="B3:S3" si="1">PERCENTILE(B5:B65,0.8)</f>
        <v>690</v>
      </c>
      <c r="C3" s="349">
        <f t="shared" si="1"/>
        <v>946.32000000000016</v>
      </c>
      <c r="D3" s="349">
        <f t="shared" si="1"/>
        <v>1204.9200000000003</v>
      </c>
      <c r="E3" s="349">
        <f t="shared" si="1"/>
        <v>191</v>
      </c>
      <c r="F3" s="349">
        <f t="shared" si="1"/>
        <v>629.80000000000007</v>
      </c>
      <c r="G3" s="349">
        <f t="shared" si="1"/>
        <v>983.02000000000044</v>
      </c>
      <c r="H3" s="349">
        <f t="shared" si="1"/>
        <v>6309.6</v>
      </c>
      <c r="I3" s="349">
        <f t="shared" si="1"/>
        <v>17100</v>
      </c>
      <c r="J3" s="349">
        <f t="shared" si="1"/>
        <v>40500</v>
      </c>
      <c r="K3" s="349">
        <f t="shared" si="1"/>
        <v>30985.280000000006</v>
      </c>
      <c r="L3" s="349">
        <f t="shared" si="1"/>
        <v>23988.3</v>
      </c>
      <c r="M3" s="349">
        <f t="shared" si="1"/>
        <v>4.0999999999999996</v>
      </c>
      <c r="N3" s="349">
        <f t="shared" si="1"/>
        <v>127.5</v>
      </c>
      <c r="O3" s="349" t="e">
        <f t="shared" si="1"/>
        <v>#NUM!</v>
      </c>
      <c r="P3" s="349">
        <f t="shared" si="1"/>
        <v>525</v>
      </c>
      <c r="Q3" s="349">
        <f t="shared" si="1"/>
        <v>158.5</v>
      </c>
      <c r="R3" s="349">
        <f t="shared" si="1"/>
        <v>6000</v>
      </c>
      <c r="S3" s="349">
        <f t="shared" si="1"/>
        <v>110599</v>
      </c>
      <c r="W3" s="1329" t="s">
        <v>1747</v>
      </c>
      <c r="X3" s="1206"/>
      <c r="Y3" s="1206"/>
      <c r="Z3" s="1206"/>
      <c r="AA3" s="1206"/>
      <c r="AB3" s="1206"/>
    </row>
    <row r="4" spans="1:28" ht="16.5" thickTop="1">
      <c r="W4" s="1295" t="s">
        <v>1748</v>
      </c>
      <c r="X4" s="2992" t="s">
        <v>684</v>
      </c>
      <c r="Y4" s="1300" t="s">
        <v>686</v>
      </c>
      <c r="Z4" s="1300"/>
      <c r="AA4" s="1290"/>
      <c r="AB4" s="1290"/>
    </row>
    <row r="5" spans="1:28" ht="15.75">
      <c r="B5" s="55">
        <v>810</v>
      </c>
      <c r="C5" s="55">
        <v>900</v>
      </c>
      <c r="D5" s="1333">
        <v>700</v>
      </c>
      <c r="E5" s="1333">
        <v>230</v>
      </c>
      <c r="F5" s="55">
        <v>37</v>
      </c>
      <c r="G5" s="55">
        <v>110</v>
      </c>
      <c r="H5" s="55">
        <v>210</v>
      </c>
      <c r="I5" s="1334">
        <v>3981.1</v>
      </c>
      <c r="J5" s="1335">
        <v>27500</v>
      </c>
      <c r="K5" s="1336">
        <v>8900</v>
      </c>
      <c r="L5" s="1337">
        <v>23988.3</v>
      </c>
      <c r="M5" s="55">
        <v>4.0999999999999996</v>
      </c>
      <c r="N5" s="1333">
        <v>167.5</v>
      </c>
      <c r="O5" s="1332" t="s">
        <v>115</v>
      </c>
      <c r="P5" s="55">
        <v>6.1</v>
      </c>
      <c r="Q5" s="1338">
        <v>158.5</v>
      </c>
      <c r="R5" s="349">
        <v>3400</v>
      </c>
      <c r="S5" s="1337">
        <v>110599</v>
      </c>
      <c r="W5" s="1296"/>
      <c r="X5" s="2992"/>
      <c r="Y5" s="1300"/>
      <c r="Z5" s="1300"/>
      <c r="AA5" s="1291"/>
      <c r="AB5" s="1291"/>
    </row>
    <row r="6" spans="1:28" ht="15.75">
      <c r="B6" s="55">
        <v>60</v>
      </c>
      <c r="C6" s="55">
        <v>500</v>
      </c>
      <c r="D6" s="1333">
        <v>750</v>
      </c>
      <c r="E6" s="1333">
        <v>185</v>
      </c>
      <c r="F6" s="1338">
        <v>10</v>
      </c>
      <c r="G6" s="1334">
        <v>1584.9</v>
      </c>
      <c r="H6" s="1334">
        <v>6309.6</v>
      </c>
      <c r="I6" s="1334">
        <v>7943.3</v>
      </c>
      <c r="J6" s="1335">
        <v>23500</v>
      </c>
      <c r="K6" s="1336">
        <v>2300</v>
      </c>
      <c r="N6" s="1333">
        <v>77.5</v>
      </c>
      <c r="P6" s="1338">
        <v>4</v>
      </c>
      <c r="R6" s="1339">
        <v>3981.1</v>
      </c>
      <c r="W6" s="1297" t="s">
        <v>1749</v>
      </c>
      <c r="X6" s="1301" t="s">
        <v>1750</v>
      </c>
      <c r="Y6" s="1301" t="s">
        <v>1751</v>
      </c>
      <c r="Z6" s="1301"/>
      <c r="AA6" s="1292"/>
      <c r="AB6" s="1292"/>
    </row>
    <row r="7" spans="1:28" ht="32.25" thickBot="1">
      <c r="B7" s="55">
        <v>510</v>
      </c>
      <c r="C7" s="55">
        <v>660</v>
      </c>
      <c r="D7" s="1333">
        <v>825</v>
      </c>
      <c r="E7" s="1333">
        <v>152.5</v>
      </c>
      <c r="F7" s="1338">
        <v>12.6</v>
      </c>
      <c r="G7" s="1334">
        <v>2511.9</v>
      </c>
      <c r="H7" s="1334">
        <v>6309.6</v>
      </c>
      <c r="I7" s="1334">
        <v>3981.1</v>
      </c>
      <c r="J7" s="1335">
        <v>25000</v>
      </c>
      <c r="K7" s="1337">
        <v>45708.800000000003</v>
      </c>
      <c r="N7" s="1333">
        <v>127.5</v>
      </c>
      <c r="P7" s="1338">
        <v>20</v>
      </c>
      <c r="R7" s="349">
        <v>794.3</v>
      </c>
      <c r="W7" s="1298" t="s">
        <v>1752</v>
      </c>
      <c r="X7" s="1302" t="s">
        <v>1753</v>
      </c>
      <c r="Y7" s="1302" t="s">
        <v>716</v>
      </c>
      <c r="Z7" s="1293" t="s">
        <v>1754</v>
      </c>
      <c r="AA7" s="1293" t="s">
        <v>1755</v>
      </c>
      <c r="AB7" s="1293" t="s">
        <v>1756</v>
      </c>
    </row>
    <row r="8" spans="1:28">
      <c r="B8" s="55">
        <v>690</v>
      </c>
      <c r="C8" s="1338">
        <v>158</v>
      </c>
      <c r="D8" s="1333">
        <v>825</v>
      </c>
      <c r="E8" s="1333">
        <v>170</v>
      </c>
      <c r="F8" s="1338">
        <v>7.9</v>
      </c>
      <c r="G8" s="1334">
        <v>2511.9</v>
      </c>
      <c r="H8" s="1334">
        <v>6309.6</v>
      </c>
      <c r="I8" s="1334">
        <v>5011.8999999999996</v>
      </c>
      <c r="J8" s="1335">
        <v>18000</v>
      </c>
      <c r="N8" s="1333">
        <v>127.5</v>
      </c>
      <c r="P8" s="1338">
        <v>6.3</v>
      </c>
      <c r="R8" s="1339">
        <v>5011.8999999999996</v>
      </c>
      <c r="U8" t="s">
        <v>269</v>
      </c>
      <c r="V8" t="s">
        <v>270</v>
      </c>
      <c r="W8" s="1323" t="s">
        <v>115</v>
      </c>
      <c r="X8" s="1294" t="str">
        <f>VLOOKUP('Water Habitat Goal (GW-2)'!A101,Table_IP_2,MATCH("SFo",heading_IP_2,0),FALSE)</f>
        <v>--</v>
      </c>
      <c r="Y8" s="1294">
        <f>VLOOKUP('Water Habitat Goal (GW-2)'!A101,Table_IP_2,MATCH("RfDo",heading_IP_2,0),FALSE)</f>
        <v>5.0000000000000001E-4</v>
      </c>
      <c r="Z8" s="1294" t="e">
        <f>IF(OR(W8="",X8=0),"--",(TR*LT*365*BWa)/(EFr*EDr*0.022*W8*X8*0.001))</f>
        <v>#VALUE!</v>
      </c>
      <c r="AA8" s="1299" t="str">
        <f t="shared" ref="AA8:AA27" si="2">IF(OR(W8="--",Y8=0),"--",(LT*365*Y8*BWa*1000)/(EFr*EDr*0.022*W8))</f>
        <v>--</v>
      </c>
      <c r="AB8" s="1299" t="str">
        <f>IF(AA8="--","--",MIN(Z8:AA8))</f>
        <v>--</v>
      </c>
    </row>
    <row r="9" spans="1:28">
      <c r="B9" s="1338">
        <v>73</v>
      </c>
      <c r="C9" s="1338">
        <v>93</v>
      </c>
      <c r="D9" s="1333">
        <v>875</v>
      </c>
      <c r="E9" s="1333">
        <v>195</v>
      </c>
      <c r="F9" s="1333">
        <v>10</v>
      </c>
      <c r="G9" s="1334">
        <v>2511.9</v>
      </c>
      <c r="H9" s="1334">
        <v>2511.9</v>
      </c>
      <c r="I9" s="1334">
        <v>1000</v>
      </c>
      <c r="J9" s="1335">
        <v>16000</v>
      </c>
      <c r="N9" s="1333">
        <v>182.5</v>
      </c>
      <c r="P9" s="1338">
        <v>4</v>
      </c>
      <c r="R9" s="349">
        <v>398.1</v>
      </c>
      <c r="U9" t="s">
        <v>271</v>
      </c>
      <c r="V9" t="s">
        <v>272</v>
      </c>
      <c r="W9" s="1294">
        <f>B2</f>
        <v>364</v>
      </c>
      <c r="X9" s="1294" t="str">
        <f>VLOOKUP('Water Habitat Goal (GW-2)'!A102,Table_IP_2,MATCH("SFo",heading_IP_2,0),FALSE)</f>
        <v>--</v>
      </c>
      <c r="Y9" s="1294">
        <f>VLOOKUP('Water Habitat Goal (GW-2)'!A102,Table_IP_2,MATCH("RfDo",heading_IP_2,0),FALSE)</f>
        <v>1E-3</v>
      </c>
      <c r="Z9" s="1294" t="e">
        <f t="shared" ref="Z9:Z27" si="3">IF(OR(W9="",X9=0),"--",(TR*LT*365*BWa)/(EFr*EDr*0.022*W9*X9*0.001))</f>
        <v>#VALUE!</v>
      </c>
      <c r="AA9" s="1299">
        <f>IF(OR(W9="--",Y9=0),"--",(LT*365*Y9*BWa*1000)/(EFr*EDr*0.022*W9))</f>
        <v>28.048874202720356</v>
      </c>
      <c r="AB9" s="1299" t="e">
        <f t="shared" ref="AB9:AB27" si="4">IF(AA9="--","--",MIN(Z9:AA9))</f>
        <v>#VALUE!</v>
      </c>
    </row>
    <row r="10" spans="1:28">
      <c r="B10" s="1338">
        <v>41</v>
      </c>
      <c r="C10" s="1340">
        <v>199.5</v>
      </c>
      <c r="D10" s="1335">
        <v>1325</v>
      </c>
      <c r="E10" s="1333">
        <v>275</v>
      </c>
      <c r="F10" s="1338">
        <v>10</v>
      </c>
      <c r="G10" s="1333">
        <v>525</v>
      </c>
      <c r="H10" s="1334">
        <v>2511.9</v>
      </c>
      <c r="I10" s="1335">
        <v>17000</v>
      </c>
      <c r="J10" s="1335">
        <v>27500</v>
      </c>
      <c r="N10" s="1333">
        <v>97.5</v>
      </c>
      <c r="P10" s="1338">
        <v>4</v>
      </c>
      <c r="R10" s="96">
        <v>794.3</v>
      </c>
      <c r="U10" t="s">
        <v>273</v>
      </c>
      <c r="V10" t="s">
        <v>115</v>
      </c>
      <c r="W10" s="1294">
        <f>C2</f>
        <v>739.27391304347805</v>
      </c>
      <c r="X10" s="1294" t="str">
        <f>VLOOKUP('Water Habitat Goal (GW-2)'!A103,Table_IP_2,MATCH("SFo",heading_IP_2,0),FALSE)</f>
        <v>--</v>
      </c>
      <c r="Y10" s="1294" t="str">
        <f>VLOOKUP('Water Habitat Goal (GW-2)'!A103,Table_IP_2,MATCH("RfDo",heading_IP_2,0),FALSE)</f>
        <v>--</v>
      </c>
      <c r="Z10" s="1294" t="e">
        <f t="shared" si="3"/>
        <v>#VALUE!</v>
      </c>
      <c r="AA10" s="1299" t="e">
        <f t="shared" si="2"/>
        <v>#VALUE!</v>
      </c>
      <c r="AB10" s="1299" t="e">
        <f t="shared" si="4"/>
        <v>#VALUE!</v>
      </c>
    </row>
    <row r="11" spans="1:28">
      <c r="C11" s="1340">
        <v>707.9</v>
      </c>
      <c r="D11" s="1333">
        <v>650</v>
      </c>
      <c r="E11" s="1333">
        <v>185</v>
      </c>
      <c r="F11" s="1338">
        <v>7.9</v>
      </c>
      <c r="G11" s="1333">
        <v>450</v>
      </c>
      <c r="H11" s="1335">
        <v>1225</v>
      </c>
      <c r="I11" s="1335">
        <v>8500</v>
      </c>
      <c r="J11" s="1335">
        <v>27500</v>
      </c>
      <c r="N11" s="1333">
        <v>127.5</v>
      </c>
      <c r="P11" s="1338">
        <v>4</v>
      </c>
      <c r="R11" s="1341">
        <v>7943.3</v>
      </c>
      <c r="U11" t="s">
        <v>275</v>
      </c>
      <c r="V11" t="s">
        <v>276</v>
      </c>
      <c r="W11" s="1294">
        <f>D2</f>
        <v>1068.8599999999999</v>
      </c>
      <c r="X11" s="1294" t="str">
        <f>VLOOKUP('Water Habitat Goal (GW-2)'!A104,Table_IP_2,MATCH("SFo",heading_IP_2,0),FALSE)</f>
        <v>--</v>
      </c>
      <c r="Y11" s="1294">
        <f>VLOOKUP('Water Habitat Goal (GW-2)'!A104,Table_IP_2,MATCH("RfDo",heading_IP_2,0),FALSE)</f>
        <v>5.0000000000000001E-4</v>
      </c>
      <c r="Z11" s="1294" t="e">
        <f t="shared" si="3"/>
        <v>#VALUE!</v>
      </c>
      <c r="AA11" s="1299">
        <f t="shared" si="2"/>
        <v>4.7760184728543544</v>
      </c>
      <c r="AB11" s="1299" t="e">
        <f t="shared" si="4"/>
        <v>#VALUE!</v>
      </c>
    </row>
    <row r="12" spans="1:28">
      <c r="C12" s="1337">
        <v>1412.5</v>
      </c>
      <c r="D12" s="1333">
        <v>725</v>
      </c>
      <c r="E12" s="1333">
        <v>155</v>
      </c>
      <c r="F12" s="1338">
        <v>7.9</v>
      </c>
      <c r="G12" s="1333">
        <v>475</v>
      </c>
      <c r="H12" s="1333">
        <v>700</v>
      </c>
      <c r="I12" s="1335">
        <v>13500</v>
      </c>
      <c r="J12" s="1335">
        <v>30000</v>
      </c>
      <c r="N12" s="1333">
        <v>115</v>
      </c>
      <c r="P12" s="1338">
        <v>5</v>
      </c>
      <c r="R12" s="1341">
        <v>1000</v>
      </c>
      <c r="U12" t="s">
        <v>277</v>
      </c>
      <c r="V12" t="s">
        <v>278</v>
      </c>
      <c r="W12" s="1294">
        <f>E2</f>
        <v>143.91666666666666</v>
      </c>
      <c r="X12" s="1294" t="str">
        <f>VLOOKUP('Water Habitat Goal (GW-2)'!A105,Table_IP_2,MATCH("SFo",heading_IP_2,0),FALSE)</f>
        <v>--</v>
      </c>
      <c r="Y12" s="1294" t="str">
        <f>VLOOKUP('Water Habitat Goal (GW-2)'!A105,Table_IP_2,MATCH("RfDo",heading_IP_2,0),FALSE)</f>
        <v>--</v>
      </c>
      <c r="Z12" s="1294" t="e">
        <f t="shared" si="3"/>
        <v>#VALUE!</v>
      </c>
      <c r="AA12" s="1299" t="e">
        <f t="shared" si="2"/>
        <v>#VALUE!</v>
      </c>
      <c r="AB12" s="1299" t="e">
        <f t="shared" si="4"/>
        <v>#VALUE!</v>
      </c>
    </row>
    <row r="13" spans="1:28">
      <c r="C13" s="1337">
        <v>3020</v>
      </c>
      <c r="D13" s="1333">
        <v>750</v>
      </c>
      <c r="E13" s="1333">
        <v>152.5</v>
      </c>
      <c r="F13" s="1338">
        <v>7.9</v>
      </c>
      <c r="G13" s="1333">
        <v>375</v>
      </c>
      <c r="H13" s="1335">
        <v>1025</v>
      </c>
      <c r="I13" s="1335">
        <v>5000</v>
      </c>
      <c r="J13" s="1335">
        <v>45000</v>
      </c>
      <c r="N13" s="1333">
        <v>97.5</v>
      </c>
      <c r="P13" s="1338">
        <v>4</v>
      </c>
      <c r="R13" s="1341">
        <v>3162.3</v>
      </c>
      <c r="U13" t="s">
        <v>279</v>
      </c>
      <c r="V13" t="s">
        <v>280</v>
      </c>
      <c r="W13" s="1294">
        <f>F2</f>
        <v>341.84468085106386</v>
      </c>
      <c r="X13" s="1294">
        <f>VLOOKUP('Water Habitat Goal (GW-2)'!A106,Table_IP_2,MATCH("SFo",heading_IP_2,0),FALSE)</f>
        <v>29300</v>
      </c>
      <c r="Y13" s="1294">
        <f>VLOOKUP('Water Habitat Goal (GW-2)'!A106,Table_IP_2,MATCH("RfDo",heading_IP_2,0),FALSE)</f>
        <v>2.9999999999999997E-8</v>
      </c>
      <c r="Z13" s="1294">
        <f>IF(OR(W13="",X13=0),"--",(TR*LT*365*BWa)/(EFr*EDr*0.022*W13*X13*0.001))</f>
        <v>1.0193430621169241E-6</v>
      </c>
      <c r="AA13" s="1299">
        <f t="shared" si="2"/>
        <v>8.9600255160077647E-4</v>
      </c>
      <c r="AB13" s="1299">
        <f t="shared" si="4"/>
        <v>1.0193430621169241E-6</v>
      </c>
    </row>
    <row r="14" spans="1:28">
      <c r="C14" s="1340">
        <v>501.2</v>
      </c>
      <c r="D14" s="1333">
        <v>675</v>
      </c>
      <c r="E14" s="1333">
        <v>115</v>
      </c>
      <c r="F14" s="1338">
        <v>10</v>
      </c>
      <c r="G14" s="1333">
        <v>450</v>
      </c>
      <c r="H14" s="1333">
        <v>775</v>
      </c>
      <c r="I14" s="1335">
        <v>13000</v>
      </c>
      <c r="J14" s="1335">
        <v>37500</v>
      </c>
      <c r="N14" s="1333">
        <v>85</v>
      </c>
      <c r="P14" s="1338">
        <v>7.9</v>
      </c>
      <c r="R14" s="96">
        <v>631</v>
      </c>
      <c r="U14" t="s">
        <v>281</v>
      </c>
      <c r="V14" t="s">
        <v>282</v>
      </c>
      <c r="W14" s="1294">
        <f>G2</f>
        <v>731.77105263157898</v>
      </c>
      <c r="X14" s="1294" t="str">
        <f>VLOOKUP('Water Habitat Goal (GW-2)'!A107,Table_IP_2,MATCH("SFo",heading_IP_2,0),FALSE)</f>
        <v>--</v>
      </c>
      <c r="Y14" s="1294">
        <f>VLOOKUP('Water Habitat Goal (GW-2)'!A107,Table_IP_2,MATCH("RfDo",heading_IP_2,0),FALSE)</f>
        <v>3.0000000000000001E-6</v>
      </c>
      <c r="Z14" s="1294" t="e">
        <f t="shared" si="3"/>
        <v>#VALUE!</v>
      </c>
      <c r="AA14" s="1299">
        <f t="shared" si="2"/>
        <v>4.1856493939220418E-2</v>
      </c>
      <c r="AB14" s="1299" t="e">
        <f t="shared" si="4"/>
        <v>#VALUE!</v>
      </c>
    </row>
    <row r="15" spans="1:28">
      <c r="C15" s="1340">
        <v>302</v>
      </c>
      <c r="D15" s="55">
        <v>10</v>
      </c>
      <c r="E15" s="55">
        <v>130</v>
      </c>
      <c r="F15" s="1338">
        <v>25.1</v>
      </c>
      <c r="G15" s="1333">
        <v>575</v>
      </c>
      <c r="H15" s="1333">
        <v>925</v>
      </c>
      <c r="I15" s="1335">
        <v>12250</v>
      </c>
      <c r="J15" s="1336">
        <v>100000</v>
      </c>
      <c r="N15" s="1338">
        <v>18.2</v>
      </c>
      <c r="P15" s="1338">
        <v>7.9</v>
      </c>
      <c r="R15" s="1341">
        <v>6309.6</v>
      </c>
      <c r="U15" t="s">
        <v>283</v>
      </c>
      <c r="V15" t="s">
        <v>284</v>
      </c>
      <c r="W15" s="1294">
        <f>H2</f>
        <v>4932.8214285714284</v>
      </c>
      <c r="X15" s="1294" t="str">
        <f>VLOOKUP('Water Habitat Goal (GW-2)'!A108,Table_IP_2,MATCH("SFo",heading_IP_2,0),FALSE)</f>
        <v>--</v>
      </c>
      <c r="Y15" s="1294">
        <f>VLOOKUP('Water Habitat Goal (GW-2)'!A108,Table_IP_2,MATCH("RfDo",heading_IP_2,0),FALSE)</f>
        <v>2.0000000000000001E-9</v>
      </c>
      <c r="Z15" s="1294" t="e">
        <f t="shared" si="3"/>
        <v>#VALUE!</v>
      </c>
      <c r="AA15" s="1299">
        <f t="shared" si="2"/>
        <v>4.1395336756583227E-6</v>
      </c>
      <c r="AB15" s="1299" t="e">
        <f t="shared" si="4"/>
        <v>#VALUE!</v>
      </c>
    </row>
    <row r="16" spans="1:28">
      <c r="C16" s="1340">
        <v>616.6</v>
      </c>
      <c r="D16" s="55">
        <v>410</v>
      </c>
      <c r="E16" s="55">
        <v>20</v>
      </c>
      <c r="F16" s="1335">
        <v>1125</v>
      </c>
      <c r="G16" s="1333">
        <v>475</v>
      </c>
      <c r="H16" s="1335">
        <v>1175</v>
      </c>
      <c r="I16" s="1335">
        <v>16250</v>
      </c>
      <c r="J16" s="1337">
        <v>4168.7</v>
      </c>
      <c r="N16" s="1338">
        <v>24</v>
      </c>
      <c r="P16" s="1335">
        <v>1350</v>
      </c>
      <c r="R16" s="1339">
        <v>5011.8999999999996</v>
      </c>
      <c r="U16" t="s">
        <v>285</v>
      </c>
      <c r="V16" t="s">
        <v>286</v>
      </c>
      <c r="W16" s="1294">
        <f>I2</f>
        <v>9608.2800000000007</v>
      </c>
      <c r="X16" s="1294" t="str">
        <f>VLOOKUP('Water Habitat Goal (GW-2)'!A109,Table_IP_2,MATCH("SFo",heading_IP_2,0),FALSE)</f>
        <v>--</v>
      </c>
      <c r="Y16" s="1294">
        <f>VLOOKUP('Water Habitat Goal (GW-2)'!A109,Table_IP_2,MATCH("RfDo",heading_IP_2,0),FALSE)</f>
        <v>2.9999999999999997E-4</v>
      </c>
      <c r="Z16" s="1294" t="e">
        <f>IF(OR(W16="",X16=0),"--",(TR*LT*365*BWa)/(EFr*EDr*0.022*W16*X16*0.001))</f>
        <v>#VALUE!</v>
      </c>
      <c r="AA16" s="1299">
        <f t="shared" si="2"/>
        <v>0.31878099544737065</v>
      </c>
      <c r="AB16" s="1299" t="e">
        <f t="shared" si="4"/>
        <v>#VALUE!</v>
      </c>
    </row>
    <row r="17" spans="3:28">
      <c r="C17" s="1337">
        <v>1380.4</v>
      </c>
      <c r="D17" s="1336">
        <v>1388</v>
      </c>
      <c r="E17" s="55">
        <v>90</v>
      </c>
      <c r="F17" s="1333">
        <v>600</v>
      </c>
      <c r="G17" s="1333">
        <v>350</v>
      </c>
      <c r="H17" s="1335">
        <v>1425</v>
      </c>
      <c r="I17" s="1335">
        <v>17500</v>
      </c>
      <c r="J17" s="1337">
        <v>30922</v>
      </c>
      <c r="N17" s="1338">
        <v>106</v>
      </c>
      <c r="P17" s="1333">
        <v>375</v>
      </c>
      <c r="R17" s="96">
        <v>794.3</v>
      </c>
      <c r="U17" t="s">
        <v>287</v>
      </c>
      <c r="V17" t="s">
        <v>288</v>
      </c>
      <c r="W17" s="1294">
        <f>J2</f>
        <v>34408.692857142858</v>
      </c>
      <c r="X17" s="1294" t="str">
        <f>VLOOKUP('Water Habitat Goal (GW-2)'!A110,Table_IP_2,MATCH("SFo",heading_IP_2,0),FALSE)</f>
        <v>--</v>
      </c>
      <c r="Y17" s="1294">
        <f>VLOOKUP('Water Habitat Goal (GW-2)'!A110,Table_IP_2,MATCH("RfDo",heading_IP_2,0),FALSE)</f>
        <v>5.0000000000000002E-5</v>
      </c>
      <c r="Z17" s="1294" t="e">
        <f t="shared" si="3"/>
        <v>#VALUE!</v>
      </c>
      <c r="AA17" s="1299">
        <f t="shared" si="2"/>
        <v>1.4836062288356841E-2</v>
      </c>
      <c r="AB17" s="1299" t="e">
        <f t="shared" si="4"/>
        <v>#VALUE!</v>
      </c>
    </row>
    <row r="18" spans="3:28">
      <c r="C18" s="1340">
        <v>812.8</v>
      </c>
      <c r="D18" s="1336">
        <v>4950</v>
      </c>
      <c r="E18" s="55">
        <v>90</v>
      </c>
      <c r="F18" s="1333">
        <v>925</v>
      </c>
      <c r="G18" s="1333">
        <v>400</v>
      </c>
      <c r="H18" s="1335">
        <v>1525</v>
      </c>
      <c r="I18" s="1335">
        <v>17750</v>
      </c>
      <c r="J18" s="1337">
        <v>69131</v>
      </c>
      <c r="N18" s="1338">
        <v>41</v>
      </c>
      <c r="P18" s="1333">
        <v>500</v>
      </c>
      <c r="R18" s="1341">
        <v>1000</v>
      </c>
      <c r="U18" t="s">
        <v>1757</v>
      </c>
      <c r="V18" t="s">
        <v>1758</v>
      </c>
      <c r="W18" s="1294">
        <f>K2</f>
        <v>18969.600000000002</v>
      </c>
      <c r="X18" s="1294" t="e">
        <f>VLOOKUP('Water Habitat Goal (GW-2)'!#REF!,Table_IP_2,MATCH("SFo",heading_IP_2,0),FALSE)</f>
        <v>#REF!</v>
      </c>
      <c r="Y18" s="1294" t="e">
        <f>VLOOKUP('Water Habitat Goal (GW-2)'!#REF!,Table_IP_2,MATCH("RfDo",heading_IP_2,0),FALSE)</f>
        <v>#REF!</v>
      </c>
      <c r="Z18" s="1294" t="e">
        <f t="shared" si="3"/>
        <v>#REF!</v>
      </c>
      <c r="AA18" s="1299" t="e">
        <f t="shared" si="2"/>
        <v>#REF!</v>
      </c>
      <c r="AB18" s="1299" t="e">
        <f t="shared" si="4"/>
        <v>#REF!</v>
      </c>
    </row>
    <row r="19" spans="3:28">
      <c r="C19" s="1340">
        <v>724.4</v>
      </c>
      <c r="D19" s="1337">
        <v>1174.9000000000001</v>
      </c>
      <c r="E19" s="55">
        <v>20</v>
      </c>
      <c r="F19" s="1333">
        <v>650</v>
      </c>
      <c r="G19" s="1333">
        <v>350</v>
      </c>
      <c r="H19" s="1333">
        <v>400</v>
      </c>
      <c r="I19" s="1335">
        <v>18750</v>
      </c>
      <c r="P19" s="1335">
        <v>1450</v>
      </c>
      <c r="R19" s="1341">
        <v>1584.9</v>
      </c>
      <c r="U19" t="s">
        <v>289</v>
      </c>
      <c r="V19" t="s">
        <v>290</v>
      </c>
      <c r="W19" s="1294">
        <f>L2</f>
        <v>23988.3</v>
      </c>
      <c r="X19" s="1294" t="str">
        <f>VLOOKUP('Water Habitat Goal (GW-2)'!A111,Table_IP_2,MATCH("SFo",heading_IP_2,0),FALSE)</f>
        <v>--</v>
      </c>
      <c r="Y19" s="1294">
        <f>VLOOKUP('Water Habitat Goal (GW-2)'!A111,Table_IP_2,MATCH("RfDo",heading_IP_2,0),FALSE)</f>
        <v>1E-3</v>
      </c>
      <c r="Z19" s="1294" t="e">
        <f t="shared" si="3"/>
        <v>#VALUE!</v>
      </c>
      <c r="AA19" s="1299">
        <f t="shared" si="2"/>
        <v>0.42561541292172483</v>
      </c>
      <c r="AB19" s="1299" t="e">
        <f t="shared" si="4"/>
        <v>#VALUE!</v>
      </c>
    </row>
    <row r="20" spans="3:28">
      <c r="C20" s="1340">
        <v>776.2</v>
      </c>
      <c r="D20" s="338"/>
      <c r="E20" s="1338">
        <v>182</v>
      </c>
      <c r="F20" s="1333">
        <v>875</v>
      </c>
      <c r="G20" s="1338">
        <v>331.1</v>
      </c>
      <c r="H20" s="1335">
        <v>1475</v>
      </c>
      <c r="I20" s="1336">
        <v>19952.599999999999</v>
      </c>
      <c r="P20" s="1333">
        <v>575</v>
      </c>
      <c r="R20" s="1339">
        <v>9000</v>
      </c>
      <c r="U20" t="s">
        <v>291</v>
      </c>
      <c r="V20" t="s">
        <v>292</v>
      </c>
      <c r="W20" s="1323" t="s">
        <v>115</v>
      </c>
      <c r="X20" s="1294" t="str">
        <f>VLOOKUP('Water Habitat Goal (GW-2)'!A112,Table_IP_2,MATCH("SFo",heading_IP_2,0),FALSE)</f>
        <v>--</v>
      </c>
      <c r="Y20" s="1294">
        <f>VLOOKUP('Water Habitat Goal (GW-2)'!A112,Table_IP_2,MATCH("RfDo",heading_IP_2,0),FALSE)</f>
        <v>0.04</v>
      </c>
      <c r="Z20" s="1294" t="e">
        <f t="shared" si="3"/>
        <v>#VALUE!</v>
      </c>
      <c r="AA20" s="1299" t="str">
        <f t="shared" si="2"/>
        <v>--</v>
      </c>
      <c r="AB20" s="1299" t="str">
        <f t="shared" si="4"/>
        <v>--</v>
      </c>
    </row>
    <row r="21" spans="3:28">
      <c r="C21" s="1340">
        <v>977.2</v>
      </c>
      <c r="D21" s="338"/>
      <c r="E21" s="1338">
        <v>243</v>
      </c>
      <c r="F21" s="1333">
        <v>700</v>
      </c>
      <c r="G21" s="1338">
        <v>39.799999999999997</v>
      </c>
      <c r="H21" s="1336">
        <v>4168.7</v>
      </c>
      <c r="I21" s="1335">
        <v>3400</v>
      </c>
      <c r="P21" s="1333">
        <v>350</v>
      </c>
      <c r="R21" s="1339">
        <v>3250</v>
      </c>
      <c r="U21" t="s">
        <v>293</v>
      </c>
      <c r="V21" t="s">
        <v>294</v>
      </c>
      <c r="W21" s="1294">
        <f>N2</f>
        <v>99.585714285714289</v>
      </c>
      <c r="X21" s="1294" t="str">
        <f>VLOOKUP('Water Habitat Goal (GW-2)'!A113,Table_IP_2,MATCH("SFo",heading_IP_2,0),FALSE)</f>
        <v>--</v>
      </c>
      <c r="Y21" s="1294">
        <f>VLOOKUP('Water Habitat Goal (GW-2)'!A113,Table_IP_2,MATCH("RfDo",heading_IP_2,0),FALSE)</f>
        <v>2.9999999999999997E-4</v>
      </c>
      <c r="Z21" s="1294" t="e">
        <f t="shared" si="3"/>
        <v>#VALUE!</v>
      </c>
      <c r="AA21" s="1299">
        <f t="shared" si="2"/>
        <v>30.756791623238325</v>
      </c>
      <c r="AB21" s="1299" t="e">
        <f t="shared" si="4"/>
        <v>#VALUE!</v>
      </c>
    </row>
    <row r="22" spans="3:28">
      <c r="C22" s="1340">
        <v>524.79999999999995</v>
      </c>
      <c r="D22" s="338"/>
      <c r="E22" s="1340">
        <v>0.5</v>
      </c>
      <c r="F22" s="1333">
        <v>625</v>
      </c>
      <c r="G22" s="55">
        <v>200</v>
      </c>
      <c r="H22" s="1336">
        <v>1819.7</v>
      </c>
      <c r="I22" s="1336">
        <v>3162.3</v>
      </c>
      <c r="P22" s="1333">
        <v>525</v>
      </c>
      <c r="R22" s="1339">
        <v>6250</v>
      </c>
      <c r="U22" t="s">
        <v>1310</v>
      </c>
      <c r="V22">
        <v>0</v>
      </c>
      <c r="W22" s="1323" t="s">
        <v>115</v>
      </c>
      <c r="X22" s="1294" t="e">
        <f>VLOOKUP('Water Habitat Goal (GW-2)'!#REF!,Table_IP_2,MATCH("SFo",heading_IP_2,0),FALSE)</f>
        <v>#REF!</v>
      </c>
      <c r="Y22" s="1294" t="e">
        <f>VLOOKUP('Water Habitat Goal (GW-2)'!#REF!,Table_IP_2,MATCH("RfDo",heading_IP_2,0),FALSE)</f>
        <v>#REF!</v>
      </c>
      <c r="Z22" s="1294" t="e">
        <f t="shared" si="3"/>
        <v>#REF!</v>
      </c>
      <c r="AA22" s="1299" t="e">
        <f t="shared" si="2"/>
        <v>#REF!</v>
      </c>
      <c r="AB22" s="1299" t="e">
        <f t="shared" si="4"/>
        <v>#REF!</v>
      </c>
    </row>
    <row r="23" spans="3:28">
      <c r="C23" s="1340">
        <v>338.8</v>
      </c>
      <c r="D23" s="338"/>
      <c r="E23" s="338"/>
      <c r="F23" s="1333">
        <v>475</v>
      </c>
      <c r="G23" s="55">
        <v>90</v>
      </c>
      <c r="H23" s="1336">
        <v>2511.9</v>
      </c>
      <c r="I23" s="1337">
        <v>1479.1</v>
      </c>
      <c r="P23" s="1333">
        <v>575</v>
      </c>
      <c r="R23" s="1339">
        <v>2300</v>
      </c>
      <c r="U23" t="s">
        <v>295</v>
      </c>
      <c r="V23" t="s">
        <v>296</v>
      </c>
      <c r="W23" s="1294">
        <f>P2</f>
        <v>351.61153846153843</v>
      </c>
      <c r="X23" s="1294" t="str">
        <f>VLOOKUP('Water Habitat Goal (GW-2)'!A114,Table_IP_2,MATCH("SFo",heading_IP_2,0),FALSE)</f>
        <v>--</v>
      </c>
      <c r="Y23" s="1294">
        <f>VLOOKUP('Water Habitat Goal (GW-2)'!A114,Table_IP_2,MATCH("RfDo",heading_IP_2,0),FALSE)</f>
        <v>2.0000000000000002E-5</v>
      </c>
      <c r="Z23" s="1294" t="e">
        <f t="shared" si="3"/>
        <v>#VALUE!</v>
      </c>
      <c r="AA23" s="1299">
        <f t="shared" si="2"/>
        <v>0.580742614674292</v>
      </c>
      <c r="AB23" s="1299" t="e">
        <f t="shared" si="4"/>
        <v>#VALUE!</v>
      </c>
    </row>
    <row r="24" spans="3:28">
      <c r="C24" s="1340">
        <v>371.5</v>
      </c>
      <c r="D24" s="338"/>
      <c r="E24" s="338"/>
      <c r="F24" s="1333">
        <v>575</v>
      </c>
      <c r="G24" s="55">
        <v>180</v>
      </c>
      <c r="H24" s="55">
        <v>7140</v>
      </c>
      <c r="I24" s="1337">
        <v>2754.2</v>
      </c>
      <c r="P24" s="1333">
        <v>425</v>
      </c>
      <c r="R24" s="1339">
        <v>4250</v>
      </c>
      <c r="U24" t="s">
        <v>1759</v>
      </c>
      <c r="V24" t="s">
        <v>1760</v>
      </c>
      <c r="W24" s="1294">
        <f>Q2</f>
        <v>158.5</v>
      </c>
      <c r="X24" s="1294" t="e">
        <f>VLOOKUP('Water Habitat Goal (GW-2)'!#REF!,Table_IP_2,MATCH("SFo",heading_IP_2,0),FALSE)</f>
        <v>#REF!</v>
      </c>
      <c r="Y24" s="1294" t="e">
        <f>VLOOKUP('Water Habitat Goal (GW-2)'!#REF!,Table_IP_2,MATCH("RfDo",heading_IP_2,0),FALSE)</f>
        <v>#REF!</v>
      </c>
      <c r="Z24" s="1294" t="e">
        <f t="shared" si="3"/>
        <v>#REF!</v>
      </c>
      <c r="AA24" s="1299" t="e">
        <f t="shared" si="2"/>
        <v>#REF!</v>
      </c>
      <c r="AB24" s="1299" t="e">
        <f t="shared" si="4"/>
        <v>#REF!</v>
      </c>
    </row>
    <row r="25" spans="3:28">
      <c r="C25" s="1340">
        <v>977.2</v>
      </c>
      <c r="D25" s="338"/>
      <c r="E25" s="338"/>
      <c r="F25" s="1333">
        <v>650</v>
      </c>
      <c r="G25" s="55">
        <v>160</v>
      </c>
      <c r="H25" s="55">
        <v>1430</v>
      </c>
      <c r="I25" s="338"/>
      <c r="P25" s="1333">
        <v>350</v>
      </c>
      <c r="R25" s="1339">
        <v>2750</v>
      </c>
      <c r="U25" t="s">
        <v>297</v>
      </c>
      <c r="V25" t="s">
        <v>298</v>
      </c>
      <c r="W25" s="1294">
        <f>R2</f>
        <v>3226.2065573770496</v>
      </c>
      <c r="X25" s="1294">
        <f>VLOOKUP('Water Habitat Goal (GW-2)'!A115,Table_IP_2,MATCH("SFo",heading_IP_2,0),FALSE)</f>
        <v>39.5</v>
      </c>
      <c r="Y25" s="1294">
        <f>VLOOKUP('Water Habitat Goal (GW-2)'!A115,Table_IP_2,MATCH("RfDo",heading_IP_2,0),FALSE)</f>
        <v>9.9999999999999995E-8</v>
      </c>
      <c r="Z25" s="1294">
        <f t="shared" si="3"/>
        <v>8.0117530268682011E-5</v>
      </c>
      <c r="AA25" s="1299">
        <f t="shared" si="2"/>
        <v>3.1646424456129404E-4</v>
      </c>
      <c r="AB25" s="1299">
        <f t="shared" si="4"/>
        <v>8.0117530268682011E-5</v>
      </c>
    </row>
    <row r="26" spans="3:28">
      <c r="C26" s="1340">
        <v>446.7</v>
      </c>
      <c r="D26" s="338"/>
      <c r="E26" s="338"/>
      <c r="F26" s="1338">
        <v>12.3</v>
      </c>
      <c r="G26" s="55">
        <v>770</v>
      </c>
      <c r="H26" s="55">
        <v>22710</v>
      </c>
      <c r="I26" s="338"/>
      <c r="P26" s="1338">
        <v>354.8</v>
      </c>
      <c r="R26" s="1339">
        <v>5000</v>
      </c>
      <c r="U26" t="s">
        <v>1761</v>
      </c>
      <c r="V26" t="s">
        <v>1762</v>
      </c>
      <c r="W26" s="1294">
        <f>S2</f>
        <v>110599</v>
      </c>
      <c r="X26" s="1294" t="e">
        <f>VLOOKUP('Water Habitat Goal (GW-2)'!#REF!,Table_IP_2,MATCH("SFo",heading_IP_2,0),FALSE)</f>
        <v>#REF!</v>
      </c>
      <c r="Y26" s="1294" t="e">
        <f>VLOOKUP('Water Habitat Goal (GW-2)'!#REF!,Table_IP_2,MATCH("RfDo",heading_IP_2,0),FALSE)</f>
        <v>#REF!</v>
      </c>
      <c r="Z26" s="1294" t="e">
        <f t="shared" si="3"/>
        <v>#REF!</v>
      </c>
      <c r="AA26" s="1299" t="e">
        <f t="shared" si="2"/>
        <v>#REF!</v>
      </c>
      <c r="AB26" s="1299" t="e">
        <f t="shared" si="4"/>
        <v>#REF!</v>
      </c>
    </row>
    <row r="27" spans="3:28" ht="13.5" thickBot="1">
      <c r="C27" s="1340">
        <v>602.6</v>
      </c>
      <c r="D27" s="338"/>
      <c r="E27" s="338"/>
      <c r="F27" s="55">
        <v>360</v>
      </c>
      <c r="G27" s="1333">
        <v>31</v>
      </c>
      <c r="H27" s="55">
        <v>5140</v>
      </c>
      <c r="I27" s="338"/>
      <c r="P27" s="1333">
        <v>112.2</v>
      </c>
      <c r="R27" s="1339">
        <v>6500</v>
      </c>
      <c r="U27" t="s">
        <v>299</v>
      </c>
      <c r="V27" t="s">
        <v>300</v>
      </c>
      <c r="W27" s="1294">
        <f>M2</f>
        <v>4.0999999999999996</v>
      </c>
      <c r="X27" s="1294" t="str">
        <f>VLOOKUP('Water Habitat Goal (GW-2)'!A116,Table_IP_2,MATCH("SFo",heading_IP_2,0),FALSE)</f>
        <v>--</v>
      </c>
      <c r="Y27" s="1294">
        <f>VLOOKUP('Water Habitat Goal (GW-2)'!A116,Table_IP_2,MATCH("RfDo",heading_IP_2,0),FALSE)</f>
        <v>3.0000000000000001E-6</v>
      </c>
      <c r="Z27" s="1294" t="e">
        <f t="shared" si="3"/>
        <v>#VALUE!</v>
      </c>
      <c r="AA27" s="1299">
        <f t="shared" si="2"/>
        <v>7.4705782022855196</v>
      </c>
      <c r="AB27" s="1299" t="e">
        <f t="shared" si="4"/>
        <v>#VALUE!</v>
      </c>
    </row>
    <row r="28" spans="3:28" ht="13.5" thickTop="1">
      <c r="C28" s="338"/>
      <c r="D28" s="338"/>
      <c r="E28" s="338"/>
      <c r="F28" s="55">
        <v>110</v>
      </c>
      <c r="G28" s="1338">
        <v>29.5</v>
      </c>
      <c r="H28" s="55">
        <v>40290</v>
      </c>
      <c r="I28" s="338"/>
      <c r="P28" s="1338">
        <v>7.9</v>
      </c>
      <c r="R28" s="1339">
        <v>8250</v>
      </c>
      <c r="W28" s="300"/>
      <c r="X28" s="300"/>
      <c r="Y28" s="300"/>
      <c r="Z28" s="300"/>
      <c r="AA28" s="300"/>
      <c r="AB28" s="300"/>
    </row>
    <row r="29" spans="3:28">
      <c r="D29" s="338"/>
      <c r="E29" s="338"/>
      <c r="F29" s="55">
        <v>570</v>
      </c>
      <c r="G29" s="1338">
        <v>63.1</v>
      </c>
      <c r="H29" s="1333">
        <v>250</v>
      </c>
      <c r="I29" s="338"/>
      <c r="P29" s="1338">
        <v>218.8</v>
      </c>
      <c r="R29" s="1339">
        <v>7000</v>
      </c>
      <c r="W29"/>
      <c r="X29"/>
      <c r="Y29"/>
      <c r="Z29"/>
      <c r="AA29"/>
      <c r="AB29"/>
    </row>
    <row r="30" spans="3:28">
      <c r="E30" s="338"/>
      <c r="F30" s="55">
        <v>110</v>
      </c>
      <c r="G30" s="1338">
        <v>800</v>
      </c>
      <c r="H30" s="1338">
        <v>31.6</v>
      </c>
      <c r="I30" s="338"/>
      <c r="P30" s="1336">
        <v>1900</v>
      </c>
      <c r="R30" s="1341">
        <v>2138</v>
      </c>
      <c r="W30"/>
      <c r="X30"/>
      <c r="Y30"/>
      <c r="Z30"/>
      <c r="AA30"/>
      <c r="AB30"/>
    </row>
    <row r="31" spans="3:28">
      <c r="E31" s="338"/>
      <c r="F31" s="55">
        <v>180</v>
      </c>
      <c r="G31" s="1340">
        <v>47.9</v>
      </c>
      <c r="H31" s="1340">
        <v>436.5</v>
      </c>
      <c r="I31" s="338"/>
      <c r="P31" s="338"/>
      <c r="R31" s="1339">
        <v>1148.2</v>
      </c>
      <c r="W31"/>
      <c r="X31"/>
      <c r="Y31"/>
      <c r="Z31"/>
      <c r="AA31"/>
      <c r="AB31"/>
    </row>
    <row r="32" spans="3:28">
      <c r="C32" s="1338"/>
      <c r="F32" s="1338">
        <v>16.2</v>
      </c>
      <c r="G32" s="1337">
        <v>3388.4</v>
      </c>
      <c r="H32" s="1337">
        <v>17378</v>
      </c>
      <c r="I32" s="338"/>
      <c r="P32" s="338"/>
      <c r="R32" s="349">
        <v>234.4</v>
      </c>
      <c r="W32"/>
      <c r="X32"/>
      <c r="Y32"/>
      <c r="Z32"/>
      <c r="AA32"/>
      <c r="AB32"/>
    </row>
    <row r="33" spans="3:28">
      <c r="C33" s="1333"/>
      <c r="F33" s="1333">
        <v>9</v>
      </c>
      <c r="G33" s="1337">
        <v>1096.5</v>
      </c>
      <c r="I33" s="338"/>
      <c r="P33" s="338"/>
      <c r="R33" s="1341">
        <v>2511.9</v>
      </c>
      <c r="W33"/>
      <c r="X33"/>
      <c r="Y33"/>
      <c r="Z33"/>
      <c r="AA33"/>
      <c r="AB33"/>
    </row>
    <row r="34" spans="3:28">
      <c r="C34" s="1338"/>
      <c r="F34" s="1338">
        <v>725</v>
      </c>
      <c r="G34" s="1337">
        <v>1621.8</v>
      </c>
      <c r="P34" s="338"/>
      <c r="R34" s="349">
        <v>61.3</v>
      </c>
      <c r="W34"/>
      <c r="X34"/>
      <c r="Y34"/>
      <c r="Z34"/>
      <c r="AA34"/>
      <c r="AB34"/>
    </row>
    <row r="35" spans="3:28">
      <c r="C35" s="1338"/>
      <c r="F35" s="1338">
        <v>543</v>
      </c>
      <c r="G35" s="1340">
        <v>812.8</v>
      </c>
      <c r="P35" s="338"/>
      <c r="R35" s="349">
        <v>80.8</v>
      </c>
      <c r="W35"/>
      <c r="X35"/>
      <c r="Y35"/>
      <c r="Z35"/>
      <c r="AA35"/>
      <c r="AB35"/>
    </row>
    <row r="36" spans="3:28">
      <c r="F36" s="1340">
        <v>740</v>
      </c>
      <c r="G36" s="1340">
        <v>549.5</v>
      </c>
      <c r="P36" s="338"/>
      <c r="R36" s="349">
        <v>53.3</v>
      </c>
      <c r="W36"/>
      <c r="X36"/>
      <c r="Y36"/>
      <c r="Z36"/>
      <c r="AA36"/>
      <c r="AB36"/>
    </row>
    <row r="37" spans="3:28">
      <c r="F37" s="1340">
        <v>2.9</v>
      </c>
      <c r="G37" s="1340">
        <v>389</v>
      </c>
      <c r="P37" s="338"/>
      <c r="R37" s="349">
        <v>270</v>
      </c>
      <c r="W37"/>
      <c r="X37"/>
      <c r="Y37"/>
      <c r="Z37"/>
      <c r="AA37"/>
      <c r="AB37"/>
    </row>
    <row r="38" spans="3:28">
      <c r="F38" s="1340">
        <v>182</v>
      </c>
      <c r="G38" s="1340">
        <v>549.5</v>
      </c>
      <c r="P38" s="338"/>
      <c r="R38" s="1341">
        <v>1659.6</v>
      </c>
      <c r="W38"/>
      <c r="X38"/>
      <c r="Y38"/>
      <c r="Z38"/>
      <c r="AA38"/>
      <c r="AB38"/>
    </row>
    <row r="39" spans="3:28">
      <c r="C39" s="1338"/>
      <c r="F39" s="1340">
        <v>269.2</v>
      </c>
      <c r="G39" s="1340">
        <v>309</v>
      </c>
      <c r="P39" s="338"/>
      <c r="R39" s="96">
        <v>741.3</v>
      </c>
      <c r="W39"/>
      <c r="X39"/>
      <c r="Y39"/>
      <c r="Z39"/>
      <c r="AA39"/>
      <c r="AB39"/>
    </row>
    <row r="40" spans="3:28">
      <c r="C40" s="1338"/>
      <c r="F40" s="1340">
        <v>147.9</v>
      </c>
      <c r="G40" s="1340">
        <v>549.5</v>
      </c>
      <c r="P40" s="338"/>
      <c r="R40" s="1341">
        <v>1566.8</v>
      </c>
      <c r="W40"/>
      <c r="X40"/>
      <c r="Y40"/>
      <c r="Z40"/>
      <c r="AA40"/>
      <c r="AB40"/>
    </row>
    <row r="41" spans="3:28">
      <c r="C41" s="1340"/>
      <c r="F41" s="1340">
        <v>446.7</v>
      </c>
      <c r="G41" s="1337">
        <v>1349</v>
      </c>
      <c r="R41" s="1339">
        <v>6000</v>
      </c>
      <c r="W41"/>
      <c r="X41"/>
      <c r="Y41"/>
      <c r="Z41"/>
      <c r="AA41"/>
      <c r="AB41"/>
    </row>
    <row r="42" spans="3:28">
      <c r="C42" s="1340"/>
      <c r="F42" s="1340">
        <v>354.8</v>
      </c>
      <c r="G42" s="1340">
        <v>794.3</v>
      </c>
      <c r="R42" s="349">
        <v>157.1</v>
      </c>
    </row>
    <row r="43" spans="3:28">
      <c r="C43" s="1340"/>
      <c r="F43" s="1340">
        <v>147.9</v>
      </c>
      <c r="G43" s="338"/>
      <c r="R43" s="1342">
        <v>537</v>
      </c>
    </row>
    <row r="44" spans="3:28">
      <c r="C44" s="1340"/>
      <c r="F44" s="1340">
        <v>380.2</v>
      </c>
      <c r="G44" s="338"/>
      <c r="R44" s="1343">
        <v>1122</v>
      </c>
    </row>
    <row r="45" spans="3:28">
      <c r="C45" s="1340"/>
      <c r="F45" s="1340">
        <v>245.5</v>
      </c>
      <c r="G45" s="338"/>
      <c r="R45" s="1343">
        <v>1288.2</v>
      </c>
    </row>
    <row r="46" spans="3:28">
      <c r="C46" s="1340"/>
      <c r="F46" s="1340">
        <v>218.8</v>
      </c>
      <c r="G46" s="338"/>
      <c r="R46" s="1343">
        <v>11749</v>
      </c>
    </row>
    <row r="47" spans="3:28">
      <c r="C47" s="1337"/>
      <c r="F47" s="1340">
        <v>109.6</v>
      </c>
      <c r="G47" s="338"/>
      <c r="R47" s="1343">
        <v>2238.6999999999998</v>
      </c>
    </row>
    <row r="48" spans="3:28">
      <c r="C48" s="1340"/>
      <c r="F48" s="1340">
        <v>631</v>
      </c>
      <c r="G48" s="338"/>
      <c r="R48" s="1343">
        <v>16218.1</v>
      </c>
    </row>
    <row r="49" spans="3:18">
      <c r="C49" s="1337"/>
      <c r="F49" s="1340">
        <v>346.7</v>
      </c>
      <c r="R49" s="1343">
        <v>2454.6999999999998</v>
      </c>
    </row>
    <row r="50" spans="3:18">
      <c r="C50" s="1340"/>
      <c r="F50" s="1340">
        <v>239.9</v>
      </c>
      <c r="R50" s="1343">
        <v>12302.7</v>
      </c>
    </row>
    <row r="51" spans="3:18">
      <c r="C51" s="1340"/>
      <c r="F51" s="1337">
        <v>1621.8</v>
      </c>
      <c r="R51" s="1343">
        <v>12302.7</v>
      </c>
    </row>
    <row r="52" spans="3:18">
      <c r="C52" s="1340"/>
      <c r="R52" s="1343">
        <v>2041.7</v>
      </c>
    </row>
    <row r="53" spans="3:18">
      <c r="C53" s="1340"/>
      <c r="R53" s="1343">
        <v>2187.8000000000002</v>
      </c>
    </row>
    <row r="54" spans="3:18">
      <c r="C54" s="1340"/>
      <c r="R54" s="1343">
        <v>6456.5</v>
      </c>
    </row>
    <row r="55" spans="3:18">
      <c r="C55" s="1340"/>
      <c r="R55" s="1343">
        <v>1513.6</v>
      </c>
    </row>
    <row r="56" spans="3:18">
      <c r="C56" s="1340"/>
      <c r="R56" s="1343">
        <v>1445.4</v>
      </c>
    </row>
    <row r="57" spans="3:18">
      <c r="C57" s="1337"/>
      <c r="R57" s="1343">
        <v>1000</v>
      </c>
    </row>
    <row r="58" spans="3:18">
      <c r="C58" s="1340"/>
      <c r="R58" s="1343">
        <v>1318.3</v>
      </c>
    </row>
    <row r="59" spans="3:18">
      <c r="C59" s="1340"/>
      <c r="R59" s="1343">
        <v>1000</v>
      </c>
    </row>
    <row r="60" spans="3:18">
      <c r="C60" s="1340"/>
      <c r="R60" s="1343">
        <v>1047.0999999999999</v>
      </c>
    </row>
    <row r="61" spans="3:18">
      <c r="C61" s="1340"/>
      <c r="R61" s="1343">
        <v>1202.3</v>
      </c>
    </row>
    <row r="62" spans="3:18">
      <c r="C62" s="1340"/>
      <c r="R62" s="1342">
        <v>346.7</v>
      </c>
    </row>
    <row r="63" spans="3:18">
      <c r="C63" s="1340"/>
      <c r="R63" s="1342">
        <v>436.5</v>
      </c>
    </row>
    <row r="64" spans="3:18">
      <c r="C64" s="1340"/>
      <c r="R64" s="1343">
        <v>1862.1</v>
      </c>
    </row>
    <row r="65" spans="3:18">
      <c r="C65" s="1340"/>
      <c r="R65" s="1343">
        <v>1737.8</v>
      </c>
    </row>
    <row r="66" spans="3:18">
      <c r="C66" s="1340"/>
    </row>
    <row r="67" spans="3:18">
      <c r="C67" s="1340"/>
    </row>
    <row r="68" spans="3:18">
      <c r="C68" s="1340"/>
    </row>
    <row r="69" spans="3:18">
      <c r="C69" s="1340"/>
    </row>
    <row r="70" spans="3:18">
      <c r="C70" s="1340"/>
    </row>
    <row r="71" spans="3:18">
      <c r="C71" s="1340"/>
    </row>
    <row r="72" spans="3:18">
      <c r="C72" s="1340"/>
    </row>
    <row r="73" spans="3:18">
      <c r="C73" s="1340"/>
    </row>
    <row r="74" spans="3:18">
      <c r="C74" s="1337"/>
    </row>
    <row r="75" spans="3:18">
      <c r="C75" s="338"/>
    </row>
    <row r="76" spans="3:18">
      <c r="C76" s="338"/>
    </row>
    <row r="77" spans="3:18">
      <c r="C77" s="338"/>
    </row>
    <row r="78" spans="3:18">
      <c r="C78" s="338"/>
    </row>
    <row r="79" spans="3:18">
      <c r="C79" s="338"/>
    </row>
    <row r="80" spans="3:18">
      <c r="C80" s="338"/>
    </row>
    <row r="81" spans="3:3">
      <c r="C81" s="338"/>
    </row>
    <row r="82" spans="3:3">
      <c r="C82" s="338"/>
    </row>
    <row r="83" spans="3:3">
      <c r="C83" s="338"/>
    </row>
    <row r="84" spans="3:3">
      <c r="C84" s="338"/>
    </row>
  </sheetData>
  <mergeCells count="1">
    <mergeCell ref="X4:X5"/>
  </mergeCells>
  <phoneticPr fontId="11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47AC5-3A06-420D-AA53-34D13367E5B7}">
  <dimension ref="A1:BF136"/>
  <sheetViews>
    <sheetView workbookViewId="0">
      <selection activeCell="AA14" sqref="AA14"/>
    </sheetView>
  </sheetViews>
  <sheetFormatPr defaultRowHeight="12.75"/>
  <cols>
    <col min="1" max="1" width="22.140625" customWidth="1"/>
    <col min="3" max="3" width="49.140625" customWidth="1"/>
    <col min="5" max="5" width="10.5703125" style="16" customWidth="1"/>
    <col min="6" max="6" width="22.85546875" style="10" bestFit="1" customWidth="1"/>
    <col min="23" max="23" width="11.7109375" style="22" customWidth="1"/>
    <col min="24" max="33" width="9.140625" style="22"/>
    <col min="34" max="35" width="10.7109375" style="22" customWidth="1"/>
    <col min="36" max="36" width="10.85546875" style="22" customWidth="1"/>
    <col min="37" max="37" width="9.140625" style="22"/>
    <col min="38" max="47" width="11.28515625" customWidth="1"/>
    <col min="48" max="54" width="9.140625" style="22"/>
    <col min="55" max="55" width="11.85546875" style="22" customWidth="1"/>
    <col min="56" max="56" width="10.7109375" style="22" customWidth="1"/>
    <col min="57" max="57" width="9.140625" style="22"/>
    <col min="58" max="58" width="11.28515625" bestFit="1" customWidth="1"/>
  </cols>
  <sheetData>
    <row r="1" spans="1:58">
      <c r="A1" t="s">
        <v>1763</v>
      </c>
      <c r="V1" s="1307"/>
      <c r="X1" s="31" t="s">
        <v>1764</v>
      </c>
    </row>
    <row r="2" spans="1:58">
      <c r="A2">
        <v>3400</v>
      </c>
      <c r="C2" t="s">
        <v>1765</v>
      </c>
      <c r="E2"/>
      <c r="F2"/>
      <c r="W2" s="71"/>
      <c r="X2" s="63" t="s">
        <v>1749</v>
      </c>
      <c r="Y2" s="71"/>
      <c r="Z2" s="71"/>
      <c r="AA2" s="71"/>
      <c r="AB2" s="71"/>
      <c r="AC2" s="71"/>
      <c r="AD2" s="71"/>
      <c r="AE2" s="71"/>
      <c r="AF2" s="71"/>
      <c r="AG2" s="71"/>
      <c r="AH2" s="71"/>
      <c r="AI2" s="71"/>
      <c r="AJ2" s="71"/>
      <c r="AK2" s="71"/>
      <c r="AV2" s="71"/>
      <c r="AW2" s="71"/>
      <c r="AX2" s="71"/>
      <c r="AY2" s="71"/>
      <c r="AZ2" s="71"/>
      <c r="BA2" s="71"/>
      <c r="BB2" s="71"/>
      <c r="BC2" s="71"/>
      <c r="BD2" s="71"/>
      <c r="BE2" s="71"/>
    </row>
    <row r="3" spans="1:58">
      <c r="A3">
        <v>6092</v>
      </c>
      <c r="E3"/>
      <c r="F3"/>
      <c r="W3" s="71" t="s">
        <v>1766</v>
      </c>
      <c r="X3" s="63"/>
      <c r="Y3" s="71"/>
      <c r="Z3" s="71"/>
      <c r="AA3" s="71"/>
      <c r="AB3" s="71"/>
      <c r="AC3" s="71"/>
      <c r="AD3" s="71"/>
      <c r="AE3" s="71"/>
      <c r="AF3" s="71"/>
      <c r="AG3" s="71"/>
      <c r="AH3" s="71"/>
      <c r="AI3" s="71"/>
      <c r="AJ3" s="71"/>
      <c r="AK3" s="71"/>
      <c r="AV3" s="71"/>
      <c r="AW3" s="71"/>
      <c r="AX3" s="71"/>
      <c r="AY3" s="71"/>
      <c r="AZ3" s="71"/>
      <c r="BA3" s="71"/>
      <c r="BB3" s="71"/>
      <c r="BC3" s="71"/>
      <c r="BD3" s="71"/>
      <c r="BE3" s="71"/>
    </row>
    <row r="4" spans="1:58">
      <c r="A4">
        <v>1761</v>
      </c>
      <c r="C4" t="s">
        <v>661</v>
      </c>
      <c r="D4" t="s">
        <v>80</v>
      </c>
      <c r="E4" s="55" t="s">
        <v>1767</v>
      </c>
      <c r="F4"/>
      <c r="W4" s="71"/>
      <c r="X4" s="63" t="s">
        <v>1768</v>
      </c>
      <c r="Y4" s="63" t="s">
        <v>1768</v>
      </c>
      <c r="Z4" s="63" t="s">
        <v>1769</v>
      </c>
      <c r="AA4" s="63" t="s">
        <v>1769</v>
      </c>
      <c r="AB4" s="63" t="s">
        <v>1770</v>
      </c>
      <c r="AC4" s="63" t="s">
        <v>1770</v>
      </c>
      <c r="AD4" s="63" t="s">
        <v>1771</v>
      </c>
      <c r="AE4" s="63" t="s">
        <v>1771</v>
      </c>
      <c r="AF4" s="63" t="s">
        <v>1772</v>
      </c>
      <c r="AG4" s="63" t="s">
        <v>1772</v>
      </c>
      <c r="AH4" s="63" t="s">
        <v>1773</v>
      </c>
      <c r="AI4" s="63" t="s">
        <v>1773</v>
      </c>
      <c r="AJ4" s="63" t="s">
        <v>1774</v>
      </c>
      <c r="AK4" s="63" t="s">
        <v>1774</v>
      </c>
      <c r="AL4" s="63" t="s">
        <v>1775</v>
      </c>
      <c r="AM4" s="63" t="s">
        <v>1775</v>
      </c>
      <c r="AN4" s="63" t="s">
        <v>1776</v>
      </c>
      <c r="AO4" s="63" t="s">
        <v>1776</v>
      </c>
      <c r="AP4" s="63" t="s">
        <v>1777</v>
      </c>
      <c r="AQ4" s="63" t="s">
        <v>1777</v>
      </c>
      <c r="AR4" s="63" t="s">
        <v>1778</v>
      </c>
      <c r="AS4" s="63" t="s">
        <v>1778</v>
      </c>
      <c r="AT4" s="63"/>
      <c r="AU4" s="63"/>
      <c r="AV4" s="63" t="s">
        <v>1768</v>
      </c>
      <c r="AW4" s="63" t="s">
        <v>1768</v>
      </c>
      <c r="AX4" s="63" t="s">
        <v>1769</v>
      </c>
      <c r="AY4" s="63" t="s">
        <v>1770</v>
      </c>
      <c r="AZ4" s="63" t="s">
        <v>1770</v>
      </c>
      <c r="BA4" s="63" t="s">
        <v>1771</v>
      </c>
      <c r="BB4" s="63" t="s">
        <v>1771</v>
      </c>
      <c r="BC4" s="63" t="s">
        <v>1772</v>
      </c>
      <c r="BD4" s="63" t="s">
        <v>1772</v>
      </c>
      <c r="BE4" s="63" t="s">
        <v>1779</v>
      </c>
      <c r="BF4" s="63" t="s">
        <v>1779</v>
      </c>
    </row>
    <row r="5" spans="1:58" ht="34.5" thickBot="1">
      <c r="A5">
        <v>2835</v>
      </c>
      <c r="E5" s="1330" t="s">
        <v>1780</v>
      </c>
      <c r="F5" s="290" t="s">
        <v>1781</v>
      </c>
      <c r="W5" s="71"/>
      <c r="X5" s="1307" t="s">
        <v>1782</v>
      </c>
      <c r="Y5" s="1307" t="s">
        <v>1783</v>
      </c>
      <c r="Z5" s="1307" t="s">
        <v>1784</v>
      </c>
      <c r="AA5" s="1307" t="s">
        <v>1785</v>
      </c>
      <c r="AB5" s="64" t="s">
        <v>1786</v>
      </c>
      <c r="AC5" s="64" t="s">
        <v>1787</v>
      </c>
      <c r="AD5" s="64" t="s">
        <v>1788</v>
      </c>
      <c r="AE5" s="64" t="s">
        <v>1789</v>
      </c>
      <c r="AF5" s="64" t="s">
        <v>1790</v>
      </c>
      <c r="AG5" s="64" t="s">
        <v>1791</v>
      </c>
      <c r="AH5" s="1307" t="s">
        <v>1792</v>
      </c>
      <c r="AI5" s="1307" t="s">
        <v>1793</v>
      </c>
      <c r="AJ5" s="1307" t="s">
        <v>1794</v>
      </c>
      <c r="AK5" s="1307" t="s">
        <v>1795</v>
      </c>
      <c r="AL5" s="1307" t="s">
        <v>1796</v>
      </c>
      <c r="AM5" s="1307" t="s">
        <v>1797</v>
      </c>
      <c r="AN5" s="1307" t="s">
        <v>1798</v>
      </c>
      <c r="AO5" s="1307" t="s">
        <v>1799</v>
      </c>
      <c r="AP5" s="1307" t="s">
        <v>1800</v>
      </c>
      <c r="AQ5" s="1307" t="s">
        <v>1801</v>
      </c>
      <c r="AR5" s="1307" t="s">
        <v>1802</v>
      </c>
      <c r="AS5" s="1307" t="s">
        <v>1803</v>
      </c>
      <c r="AT5" s="1307" t="s">
        <v>1804</v>
      </c>
      <c r="AU5" s="1307" t="s">
        <v>1805</v>
      </c>
      <c r="AV5" s="1307" t="s">
        <v>1806</v>
      </c>
      <c r="AW5" s="1307" t="s">
        <v>1807</v>
      </c>
      <c r="AX5" s="1307" t="s">
        <v>1740</v>
      </c>
      <c r="AY5" s="64" t="s">
        <v>1808</v>
      </c>
      <c r="AZ5" s="64" t="s">
        <v>1809</v>
      </c>
      <c r="BA5" s="64" t="s">
        <v>1810</v>
      </c>
      <c r="BB5" s="64" t="s">
        <v>1811</v>
      </c>
      <c r="BC5" s="1307" t="s">
        <v>1812</v>
      </c>
      <c r="BD5" s="1307" t="s">
        <v>1813</v>
      </c>
      <c r="BE5" s="1307" t="s">
        <v>1814</v>
      </c>
      <c r="BF5" s="1307" t="s">
        <v>1815</v>
      </c>
    </row>
    <row r="6" spans="1:58">
      <c r="A6">
        <v>15599</v>
      </c>
      <c r="C6" t="s">
        <v>269</v>
      </c>
      <c r="D6" t="s">
        <v>270</v>
      </c>
      <c r="E6" s="171" t="s">
        <v>115</v>
      </c>
      <c r="F6" s="161"/>
      <c r="G6" s="171" t="s">
        <v>115</v>
      </c>
      <c r="W6" s="1305" t="s">
        <v>1745</v>
      </c>
      <c r="X6" s="1322">
        <f>AVERAGE(X8:X34)</f>
        <v>361</v>
      </c>
      <c r="Y6" s="1320" t="s">
        <v>1816</v>
      </c>
      <c r="Z6" s="1305">
        <f>AVERAGE(Z8:Z34)</f>
        <v>327.31</v>
      </c>
      <c r="AA6" s="1322">
        <f>AVERAGE(AA8:AA34)</f>
        <v>660.304347826087</v>
      </c>
      <c r="AB6" s="1322">
        <f>AVERAGE(AB8:AB35)</f>
        <v>1569.1111111111113</v>
      </c>
      <c r="AC6" s="1305">
        <f>AVERAGE(AC8:AC35)</f>
        <v>650.00000000000011</v>
      </c>
      <c r="AD6" s="1305">
        <f>AVERAGE(AD8:AD50)</f>
        <v>130</v>
      </c>
      <c r="AE6" s="1322">
        <f>AVERAGE(AE8:AE50)</f>
        <v>316.2</v>
      </c>
      <c r="AF6" s="1305">
        <f>AVERAGE(AF8:AF81)</f>
        <v>565.09315068493152</v>
      </c>
      <c r="AG6" s="1322">
        <f>AVERAGE(AG8:AG81)</f>
        <v>1372.2620689655168</v>
      </c>
      <c r="AH6" s="1322">
        <f>AVERAGE(AH8:AH85)</f>
        <v>2042.4250000000004</v>
      </c>
      <c r="AI6" s="1305">
        <f>AVERAGE(AI8:AI85)</f>
        <v>856.15961538461556</v>
      </c>
      <c r="AJ6" s="1322">
        <f>AVERAGE(AJ8:AJ89)</f>
        <v>11454.956249999999</v>
      </c>
      <c r="AK6" s="1305">
        <f t="shared" ref="AK6:AP6" si="0">AVERAGE(AK8:AK72)</f>
        <v>2641.1052833420595</v>
      </c>
      <c r="AL6" s="1305">
        <f t="shared" si="0"/>
        <v>18517.457142857147</v>
      </c>
      <c r="AM6" s="1322">
        <f t="shared" si="0"/>
        <v>29584.743589743583</v>
      </c>
      <c r="AN6" s="1322">
        <f t="shared" si="0"/>
        <v>31798.923076923082</v>
      </c>
      <c r="AO6" s="1305">
        <f t="shared" si="0"/>
        <v>30273.307692307691</v>
      </c>
      <c r="AP6" s="1322">
        <f t="shared" si="0"/>
        <v>98197.066666666666</v>
      </c>
      <c r="AQ6" s="1320" t="s">
        <v>1816</v>
      </c>
      <c r="AR6" s="1322">
        <f>AVERAGE(AR8:AR72)</f>
        <v>88358.324999999997</v>
      </c>
      <c r="AS6" s="1320" t="s">
        <v>1816</v>
      </c>
      <c r="AT6" s="1322">
        <f>AVERAGE(AT8:AT72)</f>
        <v>4.833333333333333</v>
      </c>
      <c r="AU6" s="1320" t="s">
        <v>1816</v>
      </c>
      <c r="AV6" s="1305">
        <f>AVERAGE(AV8:AV34)</f>
        <v>48.344444444444449</v>
      </c>
      <c r="AW6" s="1322">
        <f>AVERAGE(AW8:AW34)</f>
        <v>93.694117647058818</v>
      </c>
      <c r="AX6" s="1320" t="s">
        <v>1816</v>
      </c>
      <c r="AY6" s="1305">
        <f>AVERAGE(AY8:AY50)</f>
        <v>296.2880952380952</v>
      </c>
      <c r="AZ6" s="1322">
        <f>AVERAGE(AZ8:AZ53)</f>
        <v>721.03274322222239</v>
      </c>
      <c r="BA6" s="1320" t="s">
        <v>1816</v>
      </c>
      <c r="BB6" s="1322">
        <f>AVERAGE(BB8:BB50)</f>
        <v>1995.3</v>
      </c>
      <c r="BC6" s="1305">
        <f>AVERAGE(BC8:BC264)</f>
        <v>8788.8891472868254</v>
      </c>
      <c r="BD6" s="1322">
        <f>AVERAGE(BD8:BD85)</f>
        <v>12198.74</v>
      </c>
      <c r="BE6" s="1320" t="s">
        <v>1816</v>
      </c>
      <c r="BF6" s="1322">
        <f>AVERAGE(BF8:BF72)</f>
        <v>79268</v>
      </c>
    </row>
    <row r="7" spans="1:58">
      <c r="A7">
        <v>9190</v>
      </c>
      <c r="C7" t="s">
        <v>271</v>
      </c>
      <c r="D7" t="s">
        <v>272</v>
      </c>
      <c r="E7" s="240">
        <v>470</v>
      </c>
      <c r="F7" s="176" t="s">
        <v>115</v>
      </c>
      <c r="G7" s="240">
        <v>470</v>
      </c>
      <c r="H7" t="s">
        <v>1817</v>
      </c>
      <c r="W7" s="1309" t="s">
        <v>1818</v>
      </c>
      <c r="X7" s="1309">
        <f>PERCENTILE(X8:X30,0.9)</f>
        <v>726</v>
      </c>
      <c r="Y7" s="1309"/>
      <c r="Z7" s="1309">
        <f>PERCENTILE(Z8:Z30,0.9)</f>
        <v>900</v>
      </c>
      <c r="AA7" s="1309">
        <f>PERCENTILE(AA8:AA30,0.9)</f>
        <v>1299.7600000000004</v>
      </c>
      <c r="AB7" s="1309">
        <f>PERCENTILE(AB8:AB35,0.9)</f>
        <v>4336.6600000000008</v>
      </c>
      <c r="AC7" s="1309">
        <f>PERCENTILE(AC8:AC35,0.9)</f>
        <v>855</v>
      </c>
      <c r="AD7" s="1309">
        <f>PERCENTILE(AD8:AD52,0.9)</f>
        <v>130</v>
      </c>
      <c r="AE7" s="1309">
        <f>PERCENTILE(AE8:AE52,0.9)</f>
        <v>316.2</v>
      </c>
      <c r="AF7" s="1309">
        <f>PERCENTILE(AF8:AF81,0.9)</f>
        <v>739.8</v>
      </c>
      <c r="AG7" s="1309">
        <f>PERCENTILE(AG8:AG82,0.9)</f>
        <v>6434</v>
      </c>
      <c r="AH7" s="1309">
        <f>PERCENTILE(AH8:AH85,0.9)</f>
        <v>5721.4900000000034</v>
      </c>
      <c r="AI7" s="1309">
        <f>PERCENTILE(AI8:AI85,0.9)</f>
        <v>1647.18</v>
      </c>
      <c r="AJ7" s="1309">
        <f>PERCENTILE(AJ8:AJ98,0.9)</f>
        <v>34502.400000000001</v>
      </c>
      <c r="AK7" s="1309">
        <f t="shared" ref="AK7:AP7" si="1">PERCENTILE(AK8:AK93,0.9)</f>
        <v>7370</v>
      </c>
      <c r="AL7" s="1309">
        <f t="shared" si="1"/>
        <v>34384.029999999992</v>
      </c>
      <c r="AM7" s="1309">
        <f t="shared" si="1"/>
        <v>43040.000000000044</v>
      </c>
      <c r="AN7" s="1309">
        <f t="shared" si="1"/>
        <v>66991.12000000001</v>
      </c>
      <c r="AO7" s="1309">
        <f t="shared" si="1"/>
        <v>43500.000000000007</v>
      </c>
      <c r="AP7" s="1309">
        <f t="shared" si="1"/>
        <v>266090.15000000002</v>
      </c>
      <c r="AQ7" s="1309"/>
      <c r="AR7" s="1309">
        <f>PERCENTILE(AR8:AR93,0.9)</f>
        <v>182318.64</v>
      </c>
      <c r="AS7" s="1309"/>
      <c r="AT7" s="1309">
        <f>PERCENTILE(AT8:AT93,0.9)</f>
        <v>6.58</v>
      </c>
      <c r="AU7" s="1309"/>
      <c r="AV7" s="1309">
        <f>PERCENTILE(AV8:AV30,0.9)</f>
        <v>131.7999999999999</v>
      </c>
      <c r="AW7" s="1309">
        <f>PERCENTILE(AW8:AW30,0.9)</f>
        <v>143.5</v>
      </c>
      <c r="AX7" s="1309"/>
      <c r="AY7" s="1309">
        <f>PERCENTILE(AY8:AY52,0.9)</f>
        <v>974.49999999999966</v>
      </c>
      <c r="AZ7" s="1309">
        <f>PERCENTILE(AZ8:AZ53,0.9)</f>
        <v>1422.16</v>
      </c>
      <c r="BA7" s="1309"/>
      <c r="BB7" s="1309">
        <f>PERCENTILE(BB8:BB52,0.9)</f>
        <v>1995.3</v>
      </c>
      <c r="BC7" s="1309">
        <f>PERCENTILE(BC8:BC264,0.9)</f>
        <v>19190.520000000004</v>
      </c>
      <c r="BD7" s="1309">
        <f>PERCENTILE(BD8:BD85,0.9)</f>
        <v>12882.5</v>
      </c>
      <c r="BE7" s="1309"/>
      <c r="BF7" s="1309">
        <f>PERCENTILE(BF8:BF93,0.9)</f>
        <v>104332.79999999999</v>
      </c>
    </row>
    <row r="8" spans="1:58" ht="15.75">
      <c r="A8">
        <v>7623</v>
      </c>
      <c r="C8" t="s">
        <v>273</v>
      </c>
      <c r="D8" t="s">
        <v>274</v>
      </c>
      <c r="E8" s="240">
        <v>140</v>
      </c>
      <c r="F8" s="176" t="s">
        <v>115</v>
      </c>
      <c r="G8" s="240">
        <v>140</v>
      </c>
      <c r="H8" t="s">
        <v>1817</v>
      </c>
      <c r="W8" s="350"/>
      <c r="X8" s="1303">
        <v>810</v>
      </c>
      <c r="Y8" s="1303"/>
      <c r="Z8" s="1304">
        <v>2.2000000000000002</v>
      </c>
      <c r="AA8" s="1306">
        <v>146.69999999999999</v>
      </c>
      <c r="AB8" s="1304">
        <v>125</v>
      </c>
      <c r="AC8" s="1304">
        <v>700</v>
      </c>
      <c r="AD8" s="1303">
        <v>130</v>
      </c>
      <c r="AE8" s="1317">
        <v>316.2</v>
      </c>
      <c r="AF8" s="1317">
        <v>1</v>
      </c>
      <c r="AG8" s="1317">
        <v>218.8</v>
      </c>
      <c r="AH8" s="1310">
        <v>48</v>
      </c>
      <c r="AI8" s="1310">
        <v>3801.9</v>
      </c>
      <c r="AJ8" s="1303">
        <v>180</v>
      </c>
      <c r="AK8" s="1308">
        <v>14791.1</v>
      </c>
      <c r="AL8" s="1310">
        <v>3981.1</v>
      </c>
      <c r="AM8" s="1319">
        <v>218776.2</v>
      </c>
      <c r="AN8" s="1311">
        <v>100000</v>
      </c>
      <c r="AO8" s="1319">
        <v>27500</v>
      </c>
      <c r="AP8" s="1304">
        <v>93.3</v>
      </c>
      <c r="AQ8" s="1304"/>
      <c r="AR8" s="1304">
        <v>289</v>
      </c>
      <c r="AS8" s="1319"/>
      <c r="AT8" s="1319">
        <v>7.2</v>
      </c>
      <c r="AU8" s="1319"/>
      <c r="AV8" s="1304">
        <v>18.2</v>
      </c>
      <c r="AW8" s="1306">
        <v>167.5</v>
      </c>
      <c r="AX8" s="1306"/>
      <c r="AY8" s="1303">
        <v>26</v>
      </c>
      <c r="AZ8" s="1310">
        <v>1949.8</v>
      </c>
      <c r="BA8" s="1317"/>
      <c r="BB8" s="1317">
        <v>1995.3</v>
      </c>
      <c r="BC8" s="1303">
        <v>6400</v>
      </c>
      <c r="BD8" s="1310">
        <v>12882.5</v>
      </c>
      <c r="BE8" s="1308"/>
      <c r="BF8" s="1319">
        <v>110599</v>
      </c>
    </row>
    <row r="9" spans="1:58" ht="15.75">
      <c r="A9">
        <v>15088</v>
      </c>
      <c r="C9" t="s">
        <v>275</v>
      </c>
      <c r="D9" t="s">
        <v>276</v>
      </c>
      <c r="E9" s="240">
        <v>2300</v>
      </c>
      <c r="F9" s="176" t="s">
        <v>115</v>
      </c>
      <c r="G9" s="240">
        <v>2300</v>
      </c>
      <c r="H9" t="s">
        <v>1817</v>
      </c>
      <c r="W9" s="350"/>
      <c r="X9" s="1303">
        <v>60</v>
      </c>
      <c r="Y9" s="1303"/>
      <c r="Z9" s="1303">
        <v>900</v>
      </c>
      <c r="AA9" s="1306">
        <v>126.7</v>
      </c>
      <c r="AB9" s="1303">
        <v>104.8</v>
      </c>
      <c r="AC9" s="1303">
        <v>750</v>
      </c>
      <c r="AE9" s="1311"/>
      <c r="AF9" s="1311">
        <v>37</v>
      </c>
      <c r="AG9" s="1311">
        <v>199.5</v>
      </c>
      <c r="AH9" s="1310">
        <v>110</v>
      </c>
      <c r="AI9" s="1310">
        <v>2238.6999999999998</v>
      </c>
      <c r="AJ9" s="1303">
        <v>210</v>
      </c>
      <c r="AK9" s="1306">
        <v>69.2</v>
      </c>
      <c r="AL9" s="1310">
        <v>7943.3</v>
      </c>
      <c r="AM9" s="1319">
        <v>158489.29999999999</v>
      </c>
      <c r="AN9" s="1311">
        <v>11988</v>
      </c>
      <c r="AO9" s="1319">
        <v>23500</v>
      </c>
      <c r="AP9" s="1311">
        <v>8900</v>
      </c>
      <c r="AQ9" s="1311"/>
      <c r="AR9" s="1319">
        <v>208929.6</v>
      </c>
      <c r="AS9" s="1319"/>
      <c r="AT9" s="1319">
        <v>3.2</v>
      </c>
      <c r="AU9" s="1319"/>
      <c r="AV9" s="1304">
        <v>4.5</v>
      </c>
      <c r="AW9" s="1306">
        <v>77.5</v>
      </c>
      <c r="AX9" s="1306"/>
      <c r="AY9" s="1303">
        <v>6.1</v>
      </c>
      <c r="AZ9" s="1311">
        <v>20</v>
      </c>
      <c r="BA9" s="1311"/>
      <c r="BB9" s="1311"/>
      <c r="BC9" s="1303">
        <v>3400</v>
      </c>
      <c r="BD9" s="1310">
        <v>182</v>
      </c>
      <c r="BE9" s="1306"/>
      <c r="BF9" s="1319">
        <v>47937</v>
      </c>
    </row>
    <row r="10" spans="1:58" ht="15.75">
      <c r="A10">
        <v>10810</v>
      </c>
      <c r="C10" t="s">
        <v>277</v>
      </c>
      <c r="D10" t="s">
        <v>278</v>
      </c>
      <c r="E10" s="240">
        <v>870</v>
      </c>
      <c r="F10" s="176" t="s">
        <v>115</v>
      </c>
      <c r="G10" s="240">
        <v>870</v>
      </c>
      <c r="H10" t="s">
        <v>1817</v>
      </c>
      <c r="W10" s="350"/>
      <c r="X10" s="1303">
        <v>510</v>
      </c>
      <c r="Y10" s="1303"/>
      <c r="Z10" s="1303">
        <v>500</v>
      </c>
      <c r="AA10" s="1306">
        <v>80</v>
      </c>
      <c r="AB10" s="1303">
        <v>131</v>
      </c>
      <c r="AC10" s="1303">
        <v>825</v>
      </c>
      <c r="AD10" s="1303"/>
      <c r="AE10" s="1303"/>
      <c r="AF10" s="1303">
        <v>7.1</v>
      </c>
      <c r="AG10" s="1303">
        <v>331.1</v>
      </c>
      <c r="AH10" s="1310">
        <v>330</v>
      </c>
      <c r="AI10" s="1310">
        <v>525</v>
      </c>
      <c r="AJ10" s="1303">
        <v>1200</v>
      </c>
      <c r="AK10" s="1308">
        <v>10715.2</v>
      </c>
      <c r="AL10" s="1310">
        <v>3981.1</v>
      </c>
      <c r="AM10" s="1318">
        <v>17000</v>
      </c>
      <c r="AN10" s="1311">
        <v>1945</v>
      </c>
      <c r="AO10" s="1318">
        <v>25000</v>
      </c>
      <c r="AP10" s="1311">
        <v>2300</v>
      </c>
      <c r="AQ10" s="1311"/>
      <c r="AR10" s="1319">
        <v>120226.4</v>
      </c>
      <c r="AT10">
        <v>4.0999999999999996</v>
      </c>
      <c r="AV10" s="1303">
        <v>8.3000000000000007</v>
      </c>
      <c r="AW10" s="1306">
        <v>127.5</v>
      </c>
      <c r="AX10" s="1306"/>
      <c r="AY10" s="1303">
        <v>130</v>
      </c>
      <c r="AZ10" s="1310">
        <v>1380.4</v>
      </c>
      <c r="BA10" s="1303"/>
      <c r="BB10" s="1303"/>
      <c r="BC10" s="1303">
        <v>39000</v>
      </c>
      <c r="BD10" s="1310">
        <v>12882.5</v>
      </c>
      <c r="BE10" s="1308"/>
    </row>
    <row r="11" spans="1:58" ht="15.75">
      <c r="A11">
        <v>6444</v>
      </c>
      <c r="C11" t="s">
        <v>279</v>
      </c>
      <c r="D11" t="s">
        <v>280</v>
      </c>
      <c r="E11" s="158">
        <v>3900</v>
      </c>
      <c r="F11" s="254">
        <v>310</v>
      </c>
      <c r="G11" s="254">
        <v>310</v>
      </c>
      <c r="H11" s="55" t="s">
        <v>1819</v>
      </c>
      <c r="W11" s="350"/>
      <c r="X11" s="1303">
        <v>690</v>
      </c>
      <c r="Y11" s="1303"/>
      <c r="Z11" s="1303">
        <v>900</v>
      </c>
      <c r="AA11" s="1306">
        <v>100</v>
      </c>
      <c r="AB11" s="1303">
        <v>10</v>
      </c>
      <c r="AC11" s="1303">
        <v>825</v>
      </c>
      <c r="AD11" s="1303"/>
      <c r="AE11" s="1303"/>
      <c r="AF11" s="1303">
        <v>3.1</v>
      </c>
      <c r="AG11" s="1310">
        <v>1125</v>
      </c>
      <c r="AH11" s="1310">
        <v>170</v>
      </c>
      <c r="AI11" s="1310">
        <v>450</v>
      </c>
      <c r="AJ11" s="1303">
        <v>570</v>
      </c>
      <c r="AK11" s="1308">
        <v>1225</v>
      </c>
      <c r="AL11" s="1310">
        <v>5011.8999999999996</v>
      </c>
      <c r="AM11" s="1318">
        <v>8500</v>
      </c>
      <c r="AN11" s="1310">
        <v>16517.8</v>
      </c>
      <c r="AO11" s="1318">
        <v>18000</v>
      </c>
      <c r="AP11" s="1319">
        <v>263026.8</v>
      </c>
      <c r="AQ11" s="1319"/>
      <c r="AR11" s="1319">
        <v>23988.3</v>
      </c>
      <c r="AV11" s="1303">
        <v>2.8</v>
      </c>
      <c r="AW11" s="1306">
        <v>127.5</v>
      </c>
      <c r="AX11" s="1306"/>
      <c r="AY11" s="1303">
        <v>76</v>
      </c>
      <c r="AZ11" s="1310">
        <v>1350</v>
      </c>
      <c r="BA11" s="1303"/>
      <c r="BB11" s="1303"/>
      <c r="BC11" s="1303">
        <v>16000</v>
      </c>
      <c r="BD11" s="1310">
        <v>9000</v>
      </c>
      <c r="BE11" s="1308"/>
    </row>
    <row r="12" spans="1:58" ht="15.75">
      <c r="A12">
        <v>6144</v>
      </c>
      <c r="C12" t="s">
        <v>281</v>
      </c>
      <c r="D12" t="s">
        <v>282</v>
      </c>
      <c r="E12" s="158">
        <v>120</v>
      </c>
      <c r="F12" s="254">
        <v>16</v>
      </c>
      <c r="G12" s="254">
        <v>16</v>
      </c>
      <c r="H12" s="55" t="s">
        <v>1819</v>
      </c>
      <c r="W12" s="350"/>
      <c r="X12" s="1303">
        <v>530</v>
      </c>
      <c r="Y12" s="1303"/>
      <c r="Z12" s="1303">
        <v>660</v>
      </c>
      <c r="AA12" s="1306">
        <v>41.3</v>
      </c>
      <c r="AB12" s="1303">
        <v>410</v>
      </c>
      <c r="AC12" s="1303">
        <v>875</v>
      </c>
      <c r="AD12" s="1303"/>
      <c r="AE12" s="1303"/>
      <c r="AF12" s="1310">
        <v>4.4000000000000004</v>
      </c>
      <c r="AG12" s="1303">
        <v>600</v>
      </c>
      <c r="AH12" s="1310">
        <v>310</v>
      </c>
      <c r="AI12" s="1310">
        <v>475</v>
      </c>
      <c r="AJ12" s="1303">
        <v>440</v>
      </c>
      <c r="AK12" s="1306">
        <v>700</v>
      </c>
      <c r="AL12" s="1310">
        <v>1000</v>
      </c>
      <c r="AM12" s="1318">
        <v>13500</v>
      </c>
      <c r="AN12" s="1310">
        <v>69017.8</v>
      </c>
      <c r="AO12" s="1318">
        <v>16000</v>
      </c>
      <c r="AP12" s="1319">
        <v>269153.5</v>
      </c>
      <c r="AQ12" s="1319"/>
      <c r="AV12" s="1303">
        <v>3.8</v>
      </c>
      <c r="AW12" s="1306">
        <v>182.5</v>
      </c>
      <c r="AX12" s="1306"/>
      <c r="AY12" s="1303">
        <v>70</v>
      </c>
      <c r="AZ12" s="1303">
        <v>375</v>
      </c>
      <c r="BA12" s="1303"/>
      <c r="BB12" s="1303"/>
      <c r="BC12" s="1303">
        <v>21000</v>
      </c>
      <c r="BD12" s="1310">
        <v>3250</v>
      </c>
      <c r="BE12" s="1306"/>
    </row>
    <row r="13" spans="1:58" ht="15.75">
      <c r="A13">
        <v>3236</v>
      </c>
      <c r="C13" t="s">
        <v>283</v>
      </c>
      <c r="D13" t="s">
        <v>284</v>
      </c>
      <c r="E13" s="158">
        <v>140</v>
      </c>
      <c r="F13" s="254">
        <v>2.9</v>
      </c>
      <c r="G13" s="254">
        <v>2.9</v>
      </c>
      <c r="H13" s="55" t="s">
        <v>1819</v>
      </c>
      <c r="W13" s="350"/>
      <c r="X13" s="1304">
        <v>174</v>
      </c>
      <c r="Y13" s="1304"/>
      <c r="Z13" s="1304">
        <v>55.3</v>
      </c>
      <c r="AA13" s="1306">
        <v>199.5</v>
      </c>
      <c r="AB13" s="1304">
        <v>469</v>
      </c>
      <c r="AC13" s="1311">
        <v>1325</v>
      </c>
      <c r="AD13" s="1303"/>
      <c r="AE13" s="1303"/>
      <c r="AF13" s="1310">
        <v>14</v>
      </c>
      <c r="AG13" s="1303">
        <v>925</v>
      </c>
      <c r="AH13" s="1310">
        <v>770</v>
      </c>
      <c r="AI13" s="1310">
        <v>375</v>
      </c>
      <c r="AJ13" s="1303">
        <v>3200</v>
      </c>
      <c r="AK13" s="1308">
        <v>1025</v>
      </c>
      <c r="AL13" s="1311">
        <v>2951.2</v>
      </c>
      <c r="AM13" s="1318">
        <v>5000</v>
      </c>
      <c r="AN13" s="1310">
        <v>14553.5</v>
      </c>
      <c r="AO13" s="1318">
        <v>27500</v>
      </c>
      <c r="AP13" s="1319">
        <v>45708.800000000003</v>
      </c>
      <c r="AQ13" s="1319"/>
      <c r="AV13" s="1304">
        <v>235</v>
      </c>
      <c r="AW13" s="1306">
        <v>97.5</v>
      </c>
      <c r="AX13" s="1306"/>
      <c r="AY13" s="1303">
        <v>330</v>
      </c>
      <c r="AZ13" s="1303">
        <v>500</v>
      </c>
      <c r="BA13" s="1303"/>
      <c r="BB13" s="1303"/>
      <c r="BC13" s="1303">
        <v>58000</v>
      </c>
      <c r="BD13" s="1310">
        <v>6250</v>
      </c>
      <c r="BE13" s="1308"/>
    </row>
    <row r="14" spans="1:58" ht="15.75">
      <c r="A14">
        <v>2512</v>
      </c>
      <c r="C14" t="s">
        <v>285</v>
      </c>
      <c r="D14" t="s">
        <v>286</v>
      </c>
      <c r="E14" s="158">
        <v>49</v>
      </c>
      <c r="F14" s="176" t="s">
        <v>115</v>
      </c>
      <c r="G14" s="158">
        <v>49</v>
      </c>
      <c r="H14" t="s">
        <v>1817</v>
      </c>
      <c r="W14" s="350"/>
      <c r="X14" s="1304">
        <v>73</v>
      </c>
      <c r="Y14" s="1304"/>
      <c r="Z14" s="1304">
        <v>158</v>
      </c>
      <c r="AA14" s="1308">
        <v>707.9</v>
      </c>
      <c r="AB14" s="1311">
        <v>1388</v>
      </c>
      <c r="AC14" s="1311">
        <v>650</v>
      </c>
      <c r="AD14" s="1304"/>
      <c r="AE14" s="1304"/>
      <c r="AF14" s="1304">
        <v>7.6</v>
      </c>
      <c r="AG14" s="1304">
        <v>650</v>
      </c>
      <c r="AH14" s="1310">
        <v>1584.9</v>
      </c>
      <c r="AI14" s="1310">
        <v>450</v>
      </c>
      <c r="AJ14" s="1310">
        <v>6309.6</v>
      </c>
      <c r="AK14" s="1308">
        <v>775</v>
      </c>
      <c r="AL14" s="1311">
        <v>3388.4</v>
      </c>
      <c r="AM14" s="1318">
        <v>13000</v>
      </c>
      <c r="AN14" s="1310">
        <v>45178.5</v>
      </c>
      <c r="AO14" s="1318">
        <v>27500</v>
      </c>
      <c r="AV14" s="1304">
        <v>106</v>
      </c>
      <c r="AW14" s="1306">
        <v>127.5</v>
      </c>
      <c r="AX14" s="1308"/>
      <c r="AY14" s="1304">
        <v>70.8</v>
      </c>
      <c r="AZ14" s="1311">
        <v>1450</v>
      </c>
      <c r="BA14" s="1304"/>
      <c r="BB14" s="1304"/>
      <c r="BC14" s="1310">
        <v>3981.1</v>
      </c>
      <c r="BD14" s="1310">
        <v>2300</v>
      </c>
      <c r="BE14" s="1308"/>
    </row>
    <row r="15" spans="1:58" ht="15.75">
      <c r="A15">
        <v>1878</v>
      </c>
      <c r="C15" t="s">
        <v>287</v>
      </c>
      <c r="D15" t="s">
        <v>288</v>
      </c>
      <c r="E15" s="158">
        <v>72</v>
      </c>
      <c r="F15" s="176" t="s">
        <v>115</v>
      </c>
      <c r="G15" s="158">
        <v>72</v>
      </c>
      <c r="H15" t="s">
        <v>1817</v>
      </c>
      <c r="W15" s="350"/>
      <c r="X15" s="1304">
        <v>41</v>
      </c>
      <c r="Y15" s="1304"/>
      <c r="Z15" s="1304">
        <v>93</v>
      </c>
      <c r="AA15" s="1308">
        <v>1412.5</v>
      </c>
      <c r="AB15" s="1311">
        <v>4950</v>
      </c>
      <c r="AC15" s="1311">
        <v>725</v>
      </c>
      <c r="AD15" s="1304"/>
      <c r="AE15" s="1304"/>
      <c r="AF15" s="1304">
        <v>24.5</v>
      </c>
      <c r="AG15" s="1304">
        <v>875</v>
      </c>
      <c r="AH15" s="1310">
        <v>2511.9</v>
      </c>
      <c r="AI15" s="1310">
        <v>575</v>
      </c>
      <c r="AJ15" s="1310">
        <v>6309.6</v>
      </c>
      <c r="AK15" s="1308">
        <v>925</v>
      </c>
      <c r="AL15" s="1311">
        <v>120864</v>
      </c>
      <c r="AM15" s="1318">
        <v>12250</v>
      </c>
      <c r="AN15" s="1310">
        <v>17767.8</v>
      </c>
      <c r="AO15" s="1318">
        <v>30000</v>
      </c>
      <c r="AV15" s="1304">
        <v>41</v>
      </c>
      <c r="AW15" s="1306">
        <v>115</v>
      </c>
      <c r="AX15" s="1308"/>
      <c r="AY15" s="1304">
        <v>74.099999999999994</v>
      </c>
      <c r="AZ15" s="1304">
        <v>575</v>
      </c>
      <c r="BA15" s="1304"/>
      <c r="BB15" s="1304"/>
      <c r="BC15" s="1303">
        <v>794.3</v>
      </c>
      <c r="BD15" s="1310">
        <v>4250</v>
      </c>
      <c r="BE15" s="1308"/>
    </row>
    <row r="16" spans="1:58" ht="15.75">
      <c r="A16">
        <v>1038</v>
      </c>
      <c r="C16" t="s">
        <v>1757</v>
      </c>
      <c r="D16" t="s">
        <v>1758</v>
      </c>
      <c r="E16" s="158" t="s">
        <v>115</v>
      </c>
      <c r="F16" s="176" t="s">
        <v>115</v>
      </c>
      <c r="G16" s="158" t="s">
        <v>115</v>
      </c>
      <c r="W16" s="1305"/>
      <c r="X16" s="1305"/>
      <c r="Y16" s="1305"/>
      <c r="Z16" s="1317">
        <v>3.6</v>
      </c>
      <c r="AA16" s="1308">
        <v>3020</v>
      </c>
      <c r="AB16" s="350">
        <v>3.1</v>
      </c>
      <c r="AC16" s="350">
        <v>750</v>
      </c>
      <c r="AD16" s="1304"/>
      <c r="AE16" s="1304"/>
      <c r="AF16" s="1304">
        <v>10</v>
      </c>
      <c r="AG16" s="1304">
        <v>700</v>
      </c>
      <c r="AH16" s="1310">
        <v>2511.9</v>
      </c>
      <c r="AI16" s="1310">
        <v>475</v>
      </c>
      <c r="AJ16" s="1310">
        <v>6309.6</v>
      </c>
      <c r="AK16" s="1308">
        <v>1175</v>
      </c>
      <c r="AL16" s="1311">
        <v>156374</v>
      </c>
      <c r="AM16" s="1318">
        <v>16250</v>
      </c>
      <c r="AN16" s="1310">
        <v>52321.5</v>
      </c>
      <c r="AO16" s="1318">
        <v>45000</v>
      </c>
      <c r="AV16" s="1317">
        <v>15.5</v>
      </c>
      <c r="AW16" s="1306">
        <v>97.5</v>
      </c>
      <c r="AX16" s="1306"/>
      <c r="AY16" s="1304">
        <v>4</v>
      </c>
      <c r="AZ16" s="1304">
        <v>350</v>
      </c>
      <c r="BA16" s="1304"/>
      <c r="BB16" s="1304"/>
      <c r="BC16" s="1310">
        <v>5011.8999999999996</v>
      </c>
      <c r="BD16" s="1310">
        <v>2750</v>
      </c>
      <c r="BE16" s="1308"/>
    </row>
    <row r="17" spans="1:57" ht="15.75">
      <c r="A17">
        <v>10800</v>
      </c>
      <c r="C17" t="s">
        <v>289</v>
      </c>
      <c r="D17" t="s">
        <v>290</v>
      </c>
      <c r="E17" s="158" t="s">
        <v>115</v>
      </c>
      <c r="F17" s="176" t="s">
        <v>115</v>
      </c>
      <c r="G17" s="158" t="s">
        <v>115</v>
      </c>
      <c r="W17" s="1305"/>
      <c r="X17" s="1305"/>
      <c r="Y17" s="1305"/>
      <c r="Z17" s="1317">
        <v>1</v>
      </c>
      <c r="AA17" s="1306">
        <v>501.2</v>
      </c>
      <c r="AB17" s="350">
        <v>0.8</v>
      </c>
      <c r="AC17" s="350">
        <v>675</v>
      </c>
      <c r="AD17" s="1304"/>
      <c r="AE17" s="1304"/>
      <c r="AF17" s="1304">
        <v>12.6</v>
      </c>
      <c r="AG17" s="1304">
        <v>625</v>
      </c>
      <c r="AH17" s="1310">
        <v>2511.9</v>
      </c>
      <c r="AI17" s="1310">
        <v>350</v>
      </c>
      <c r="AJ17" s="1310">
        <v>2511.9</v>
      </c>
      <c r="AK17" s="1308">
        <v>1425</v>
      </c>
      <c r="AL17" s="1311">
        <v>19952.599999999999</v>
      </c>
      <c r="AM17" s="1318">
        <v>17500</v>
      </c>
      <c r="AN17" s="1304">
        <v>150</v>
      </c>
      <c r="AO17" s="1318">
        <v>37500</v>
      </c>
      <c r="AV17" s="350"/>
      <c r="AW17" s="1306">
        <v>85</v>
      </c>
      <c r="AX17" s="1306"/>
      <c r="AY17" s="1304">
        <v>20</v>
      </c>
      <c r="AZ17" s="1304">
        <v>525</v>
      </c>
      <c r="BA17" s="1304"/>
      <c r="BB17" s="1304"/>
      <c r="BC17" s="1303">
        <v>398.1</v>
      </c>
      <c r="BD17" s="1310">
        <v>5000</v>
      </c>
      <c r="BE17" s="1308"/>
    </row>
    <row r="18" spans="1:57" ht="15.75">
      <c r="A18">
        <v>585.4</v>
      </c>
      <c r="C18" t="s">
        <v>291</v>
      </c>
      <c r="D18" t="s">
        <v>292</v>
      </c>
      <c r="E18" s="158" t="s">
        <v>115</v>
      </c>
      <c r="F18" s="176" t="s">
        <v>115</v>
      </c>
      <c r="G18" s="158" t="s">
        <v>115</v>
      </c>
      <c r="W18" s="350"/>
      <c r="X18" s="350"/>
      <c r="Y18" s="350"/>
      <c r="Z18" s="1304"/>
      <c r="AA18" s="1304">
        <v>302</v>
      </c>
      <c r="AB18" s="350">
        <v>1174.9000000000001</v>
      </c>
      <c r="AC18" s="350">
        <v>618.20000000000005</v>
      </c>
      <c r="AD18" s="1304"/>
      <c r="AE18" s="1304"/>
      <c r="AF18" s="1304">
        <v>7.9</v>
      </c>
      <c r="AG18" s="1304">
        <v>475</v>
      </c>
      <c r="AH18" s="1311">
        <v>112.2</v>
      </c>
      <c r="AI18" s="1311">
        <v>400</v>
      </c>
      <c r="AJ18" s="1310">
        <v>2511.9</v>
      </c>
      <c r="AK18" s="1311">
        <v>1525</v>
      </c>
      <c r="AL18" s="1311">
        <v>17328</v>
      </c>
      <c r="AM18" s="1318">
        <v>17750</v>
      </c>
      <c r="AN18" s="1319">
        <v>58884.4</v>
      </c>
      <c r="AO18" s="1318">
        <v>16000</v>
      </c>
      <c r="AV18" s="350"/>
      <c r="AW18" s="1304">
        <v>109.6</v>
      </c>
      <c r="AX18" s="1304"/>
      <c r="AY18" s="1304">
        <v>6.3</v>
      </c>
      <c r="AZ18" s="1304">
        <v>575</v>
      </c>
      <c r="BA18" s="1304"/>
      <c r="BB18" s="1304"/>
      <c r="BC18" s="1311">
        <v>1995.3</v>
      </c>
      <c r="BD18" s="1311">
        <v>6500</v>
      </c>
      <c r="BE18" s="1311"/>
    </row>
    <row r="19" spans="1:57" ht="15.75">
      <c r="A19">
        <v>4500</v>
      </c>
      <c r="C19" t="s">
        <v>293</v>
      </c>
      <c r="D19" t="s">
        <v>294</v>
      </c>
      <c r="E19" s="240">
        <v>400</v>
      </c>
      <c r="F19" s="161">
        <v>400</v>
      </c>
      <c r="G19" s="161">
        <v>400</v>
      </c>
      <c r="H19" s="55" t="s">
        <v>1819</v>
      </c>
      <c r="W19" s="350"/>
      <c r="X19" s="350"/>
      <c r="Y19" s="350"/>
      <c r="Z19" s="1304"/>
      <c r="AA19" s="1311">
        <v>616.6</v>
      </c>
      <c r="AB19" s="350">
        <v>398.1</v>
      </c>
      <c r="AC19" s="350">
        <v>254.5</v>
      </c>
      <c r="AD19" s="1304"/>
      <c r="AE19" s="1304"/>
      <c r="AF19" s="1304">
        <v>10</v>
      </c>
      <c r="AG19" s="1304">
        <v>575</v>
      </c>
      <c r="AH19" s="1311">
        <v>426.6</v>
      </c>
      <c r="AI19" s="1311">
        <v>350</v>
      </c>
      <c r="AJ19" s="1311">
        <v>2344.1999999999998</v>
      </c>
      <c r="AK19" s="1304">
        <v>400</v>
      </c>
      <c r="AL19" s="1311">
        <v>1877</v>
      </c>
      <c r="AM19" s="1318">
        <v>18750</v>
      </c>
      <c r="AN19" s="1319">
        <v>20893</v>
      </c>
      <c r="AO19" s="1318">
        <v>30922</v>
      </c>
      <c r="AV19" s="350"/>
      <c r="AW19" s="1304">
        <v>107.2</v>
      </c>
      <c r="AX19" s="1311"/>
      <c r="AY19" s="1304">
        <v>4</v>
      </c>
      <c r="AZ19" s="1304">
        <v>425</v>
      </c>
      <c r="BA19" s="1304"/>
      <c r="BB19" s="1304"/>
      <c r="BC19" s="1311">
        <v>12589.3</v>
      </c>
      <c r="BD19" s="1311">
        <v>8250</v>
      </c>
      <c r="BE19" s="1304"/>
    </row>
    <row r="20" spans="1:57" ht="15.75">
      <c r="A20">
        <v>40000</v>
      </c>
      <c r="C20" t="s">
        <v>1310</v>
      </c>
      <c r="E20" s="158" t="s">
        <v>115</v>
      </c>
      <c r="F20" s="176" t="s">
        <v>115</v>
      </c>
      <c r="G20" s="176" t="s">
        <v>115</v>
      </c>
      <c r="W20" s="350"/>
      <c r="X20" s="350"/>
      <c r="Y20" s="350"/>
      <c r="Z20" s="1304"/>
      <c r="AA20" s="1311">
        <v>1380.4</v>
      </c>
      <c r="AB20" s="350">
        <v>4073.8</v>
      </c>
      <c r="AC20" s="350">
        <v>418.2</v>
      </c>
      <c r="AD20" s="1304"/>
      <c r="AE20" s="1304"/>
      <c r="AF20" s="1304">
        <v>10</v>
      </c>
      <c r="AG20" s="1304">
        <v>650</v>
      </c>
      <c r="AH20" s="1311">
        <v>8169</v>
      </c>
      <c r="AI20" s="1311">
        <v>346.2</v>
      </c>
      <c r="AJ20" s="1311">
        <v>5495.4</v>
      </c>
      <c r="AK20" s="1311">
        <v>1475</v>
      </c>
      <c r="AL20" s="1310">
        <v>2107.8000000000002</v>
      </c>
      <c r="AN20" s="1319">
        <v>4168.7</v>
      </c>
      <c r="AO20" s="1318">
        <v>69131</v>
      </c>
      <c r="AV20" s="350"/>
      <c r="AW20" s="1304">
        <v>12.3</v>
      </c>
      <c r="AX20" s="1304"/>
      <c r="AY20" s="1304">
        <v>4</v>
      </c>
      <c r="AZ20" s="1304">
        <v>350</v>
      </c>
      <c r="BA20" s="1304"/>
      <c r="BB20" s="1304"/>
      <c r="BC20" s="1304">
        <v>794.3</v>
      </c>
      <c r="BD20" s="1311">
        <v>7000</v>
      </c>
      <c r="BE20" s="1311"/>
    </row>
    <row r="21" spans="1:57" ht="15.75">
      <c r="A21">
        <v>1761</v>
      </c>
      <c r="C21" t="s">
        <v>295</v>
      </c>
      <c r="D21" t="s">
        <v>296</v>
      </c>
      <c r="E21" s="171" t="s">
        <v>115</v>
      </c>
      <c r="F21" s="254">
        <v>65</v>
      </c>
      <c r="G21" s="254">
        <v>65</v>
      </c>
      <c r="H21" s="55" t="s">
        <v>1819</v>
      </c>
      <c r="W21" s="350"/>
      <c r="X21" s="350"/>
      <c r="Y21" s="350"/>
      <c r="Z21" s="1304"/>
      <c r="AA21" s="1304">
        <v>812.8</v>
      </c>
      <c r="AB21" s="350">
        <v>2041.7</v>
      </c>
      <c r="AC21" s="350">
        <v>336.4</v>
      </c>
      <c r="AD21" s="1304"/>
      <c r="AE21" s="1304"/>
      <c r="AF21" s="1304">
        <v>7.9</v>
      </c>
      <c r="AG21" s="1311">
        <v>2441.1999999999998</v>
      </c>
      <c r="AH21" s="1311">
        <v>4403</v>
      </c>
      <c r="AI21" s="1311">
        <v>288.5</v>
      </c>
      <c r="AJ21" s="1312">
        <v>5764</v>
      </c>
      <c r="AK21" s="1304">
        <v>765</v>
      </c>
      <c r="AL21" s="1310">
        <v>6078.5</v>
      </c>
      <c r="AM21" s="1318">
        <v>4510</v>
      </c>
      <c r="AV21" s="350"/>
      <c r="AW21" s="1304">
        <v>69.2</v>
      </c>
      <c r="AX21" s="1304"/>
      <c r="AY21" s="1304">
        <v>4</v>
      </c>
      <c r="AZ21" s="1304">
        <v>425</v>
      </c>
      <c r="BA21" s="1304"/>
      <c r="BB21" s="1304"/>
      <c r="BC21" s="1311">
        <v>7943.3</v>
      </c>
      <c r="BD21" s="1311">
        <v>576.9</v>
      </c>
      <c r="BE21" s="1304"/>
    </row>
    <row r="22" spans="1:57" ht="15.75">
      <c r="A22">
        <v>1226</v>
      </c>
      <c r="C22" t="s">
        <v>1759</v>
      </c>
      <c r="D22" t="s">
        <v>1760</v>
      </c>
      <c r="E22" s="158" t="s">
        <v>115</v>
      </c>
      <c r="F22" s="176" t="s">
        <v>115</v>
      </c>
      <c r="G22" s="176" t="s">
        <v>115</v>
      </c>
      <c r="W22" s="350"/>
      <c r="X22" s="350"/>
      <c r="Y22" s="350"/>
      <c r="Z22" s="1304"/>
      <c r="AA22" s="1304">
        <v>724.4</v>
      </c>
      <c r="AB22" s="350">
        <v>9120.1</v>
      </c>
      <c r="AC22" s="350">
        <v>22.7</v>
      </c>
      <c r="AD22" s="1304"/>
      <c r="AE22" s="1304"/>
      <c r="AF22" s="1304">
        <v>7.9</v>
      </c>
      <c r="AG22" s="1304">
        <v>155.9</v>
      </c>
      <c r="AH22" s="1311">
        <v>8895</v>
      </c>
      <c r="AI22" s="1311">
        <v>423.1</v>
      </c>
      <c r="AJ22" s="1311">
        <v>3307</v>
      </c>
      <c r="AK22" s="1304">
        <v>100</v>
      </c>
      <c r="AL22" s="1310">
        <v>2549</v>
      </c>
      <c r="AM22">
        <v>269.2</v>
      </c>
      <c r="AV22" s="350"/>
      <c r="AW22" s="1304">
        <v>32.4</v>
      </c>
      <c r="AX22" s="1304"/>
      <c r="AY22" s="1304">
        <v>5</v>
      </c>
      <c r="AZ22" s="1311">
        <v>1000</v>
      </c>
      <c r="BA22" s="1304"/>
      <c r="BB22" s="1304"/>
      <c r="BC22" s="1311">
        <v>1000</v>
      </c>
      <c r="BD22" s="1311">
        <v>1000</v>
      </c>
      <c r="BE22" s="1304"/>
    </row>
    <row r="23" spans="1:57" ht="15.75">
      <c r="A23">
        <v>2496</v>
      </c>
      <c r="C23" t="s">
        <v>297</v>
      </c>
      <c r="D23" t="s">
        <v>298</v>
      </c>
      <c r="E23" s="158">
        <v>51</v>
      </c>
      <c r="F23" s="254">
        <v>23</v>
      </c>
      <c r="G23" s="254">
        <v>23</v>
      </c>
      <c r="H23" s="55" t="s">
        <v>1819</v>
      </c>
      <c r="W23" s="350"/>
      <c r="X23" s="350"/>
      <c r="Y23" s="350"/>
      <c r="Z23" s="1304"/>
      <c r="AA23" s="1304">
        <v>776.2</v>
      </c>
      <c r="AB23" s="350">
        <v>3235.9</v>
      </c>
      <c r="AC23" s="350"/>
      <c r="AD23" s="1304"/>
      <c r="AE23" s="1304"/>
      <c r="AF23" s="1304">
        <v>7.9</v>
      </c>
      <c r="AG23" s="1304">
        <v>267.60000000000002</v>
      </c>
      <c r="AH23" s="1311">
        <v>1838</v>
      </c>
      <c r="AI23" s="1311">
        <v>142.30000000000001</v>
      </c>
      <c r="AJ23" s="1311">
        <v>56550</v>
      </c>
      <c r="AK23" s="1304">
        <v>95.5</v>
      </c>
      <c r="AL23" s="1310">
        <v>5490.3</v>
      </c>
      <c r="AM23">
        <v>75.900000000000006</v>
      </c>
      <c r="AV23" s="350"/>
      <c r="AW23" s="1304">
        <v>24</v>
      </c>
      <c r="AX23" s="1304"/>
      <c r="AY23" s="1304">
        <v>4</v>
      </c>
      <c r="AZ23" s="1304">
        <v>433.3</v>
      </c>
      <c r="BA23" s="1304"/>
      <c r="BB23" s="1304"/>
      <c r="BC23" s="1311">
        <v>3162.3</v>
      </c>
      <c r="BD23" s="1311">
        <v>2.7</v>
      </c>
      <c r="BE23" s="1304"/>
    </row>
    <row r="24" spans="1:57" ht="15.75">
      <c r="A24">
        <v>3257</v>
      </c>
      <c r="C24" t="s">
        <v>1761</v>
      </c>
      <c r="D24" t="s">
        <v>1762</v>
      </c>
      <c r="E24" s="158" t="s">
        <v>115</v>
      </c>
      <c r="F24" s="176" t="s">
        <v>115</v>
      </c>
      <c r="G24" s="176" t="s">
        <v>115</v>
      </c>
      <c r="W24" s="350"/>
      <c r="X24" s="350"/>
      <c r="Y24" s="350"/>
      <c r="Z24" s="1304"/>
      <c r="AA24" s="1304">
        <v>977.2</v>
      </c>
      <c r="AB24" s="350">
        <v>218.8</v>
      </c>
      <c r="AC24" s="350"/>
      <c r="AD24" s="1304"/>
      <c r="AE24" s="1304"/>
      <c r="AF24" s="1304">
        <v>10</v>
      </c>
      <c r="AG24" s="1304">
        <v>294.10000000000002</v>
      </c>
      <c r="AH24" s="1311">
        <v>4163</v>
      </c>
      <c r="AI24" s="1311">
        <v>338.5</v>
      </c>
      <c r="AJ24" s="1311">
        <v>11747</v>
      </c>
      <c r="AK24" s="1304">
        <v>32.4</v>
      </c>
      <c r="AL24" s="1310">
        <v>2696</v>
      </c>
      <c r="AM24">
        <v>69.2</v>
      </c>
      <c r="AV24" s="350"/>
      <c r="AW24" s="1304">
        <v>33.1</v>
      </c>
      <c r="AX24" s="1304"/>
      <c r="AY24" s="1304">
        <v>7.9</v>
      </c>
      <c r="AZ24" s="1304">
        <v>608.29999999999995</v>
      </c>
      <c r="BA24" s="1304"/>
      <c r="BB24" s="1304"/>
      <c r="BC24" s="1304">
        <v>631</v>
      </c>
      <c r="BD24" s="1311">
        <v>384.6</v>
      </c>
      <c r="BE24" s="1304"/>
    </row>
    <row r="25" spans="1:57" ht="15.75">
      <c r="A25">
        <v>2535</v>
      </c>
      <c r="C25" t="s">
        <v>299</v>
      </c>
      <c r="D25" t="s">
        <v>300</v>
      </c>
      <c r="E25" s="158" t="s">
        <v>115</v>
      </c>
      <c r="F25" s="176" t="s">
        <v>115</v>
      </c>
      <c r="G25" s="176" t="s">
        <v>115</v>
      </c>
      <c r="W25" s="350"/>
      <c r="X25" s="1305"/>
      <c r="Y25" s="1305"/>
      <c r="Z25" s="1305"/>
      <c r="AA25" s="1305">
        <v>524.79999999999995</v>
      </c>
      <c r="AB25" s="350">
        <v>389</v>
      </c>
      <c r="AC25" s="350"/>
      <c r="AD25" s="1304"/>
      <c r="AE25" s="1304"/>
      <c r="AF25" s="1304">
        <v>25.1</v>
      </c>
      <c r="AG25" s="1304">
        <v>382.4</v>
      </c>
      <c r="AH25" s="1311">
        <v>5011.8999999999996</v>
      </c>
      <c r="AI25" s="1311">
        <v>1650</v>
      </c>
      <c r="AJ25" s="1311">
        <v>33584</v>
      </c>
      <c r="AK25" s="1304">
        <v>16.2</v>
      </c>
      <c r="AL25" s="1310">
        <v>5735.3</v>
      </c>
      <c r="AM25">
        <v>83.2</v>
      </c>
      <c r="AV25" s="350"/>
      <c r="AW25" s="1305"/>
      <c r="AX25" s="1305"/>
      <c r="AY25" s="1304">
        <v>7.9</v>
      </c>
      <c r="AZ25" s="1304">
        <v>64.2</v>
      </c>
      <c r="BA25" s="1304"/>
      <c r="BB25" s="1304"/>
      <c r="BC25" s="1311">
        <v>6309.6</v>
      </c>
      <c r="BD25" s="1311">
        <v>1038.5</v>
      </c>
      <c r="BE25" s="1304"/>
    </row>
    <row r="26" spans="1:57" ht="15.75">
      <c r="A26">
        <v>5830</v>
      </c>
      <c r="W26" s="350"/>
      <c r="X26" s="1305"/>
      <c r="Y26" s="1305"/>
      <c r="Z26" s="1305"/>
      <c r="AA26" s="1305">
        <v>338.8</v>
      </c>
      <c r="AB26" s="350"/>
      <c r="AC26" s="350"/>
      <c r="AD26" s="1311"/>
      <c r="AE26" s="1311"/>
      <c r="AF26" s="1311">
        <v>41</v>
      </c>
      <c r="AG26" s="1311">
        <v>292</v>
      </c>
      <c r="AH26" s="1312">
        <v>3981.1</v>
      </c>
      <c r="AI26" s="1312">
        <v>143</v>
      </c>
      <c r="AJ26" s="1311">
        <v>7943.3</v>
      </c>
      <c r="AK26" s="1308">
        <v>251.2</v>
      </c>
      <c r="AL26" s="1308">
        <v>3400</v>
      </c>
      <c r="AM26">
        <v>85.1</v>
      </c>
      <c r="AV26" s="350"/>
      <c r="AW26" s="1305"/>
      <c r="AX26" s="1305"/>
      <c r="AY26" s="1311">
        <v>2183</v>
      </c>
      <c r="AZ26" s="1311">
        <v>58</v>
      </c>
      <c r="BA26" s="1311"/>
      <c r="BB26" s="1311"/>
      <c r="BC26" s="1312">
        <v>5011.8999999999996</v>
      </c>
      <c r="BD26" s="1312">
        <v>169</v>
      </c>
      <c r="BE26" s="1308"/>
    </row>
    <row r="27" spans="1:57" ht="15.75">
      <c r="A27">
        <v>537</v>
      </c>
      <c r="W27" s="350"/>
      <c r="X27" s="350"/>
      <c r="Y27" s="350"/>
      <c r="Z27" s="350"/>
      <c r="AA27" s="350">
        <v>371.5</v>
      </c>
      <c r="AB27" s="350"/>
      <c r="AC27" s="350"/>
      <c r="AD27" s="1311"/>
      <c r="AE27" s="1311"/>
      <c r="AF27" s="1311">
        <v>10</v>
      </c>
      <c r="AG27" s="1311">
        <v>29.5</v>
      </c>
      <c r="AH27" s="1311">
        <v>6309.6</v>
      </c>
      <c r="AI27" s="1311">
        <v>51.3</v>
      </c>
      <c r="AJ27" s="1311">
        <v>5011.8999999999996</v>
      </c>
      <c r="AK27" s="1306">
        <v>79.400000000000006</v>
      </c>
      <c r="AL27" s="1308">
        <v>4100</v>
      </c>
      <c r="AM27">
        <v>100</v>
      </c>
      <c r="AV27" s="350"/>
      <c r="AW27" s="350"/>
      <c r="AX27" s="350"/>
      <c r="AY27" s="1311">
        <v>1712</v>
      </c>
      <c r="AZ27" s="1311">
        <v>575.4</v>
      </c>
      <c r="BA27" s="1311"/>
      <c r="BB27" s="1311"/>
      <c r="BC27" s="1304">
        <v>794.3</v>
      </c>
      <c r="BD27" s="1311">
        <v>962</v>
      </c>
      <c r="BE27" s="1306"/>
    </row>
    <row r="28" spans="1:57" ht="15.75">
      <c r="A28">
        <v>398.1</v>
      </c>
      <c r="W28" s="350"/>
      <c r="X28" s="350"/>
      <c r="Y28" s="350"/>
      <c r="Z28" s="350"/>
      <c r="AA28" s="350">
        <v>977.2</v>
      </c>
      <c r="AB28" s="350"/>
      <c r="AC28" s="350"/>
      <c r="AD28" s="350"/>
      <c r="AE28" s="350"/>
      <c r="AF28" s="350">
        <v>203</v>
      </c>
      <c r="AG28" s="350">
        <v>50.1</v>
      </c>
      <c r="AH28" s="1308">
        <v>1258.9000000000001</v>
      </c>
      <c r="AI28" s="1308">
        <v>41.7</v>
      </c>
      <c r="AJ28" s="1308">
        <v>19952.599999999999</v>
      </c>
      <c r="AK28" s="350">
        <v>31.6</v>
      </c>
      <c r="AL28" s="1308">
        <v>17000</v>
      </c>
      <c r="AM28">
        <v>41.7</v>
      </c>
      <c r="AV28" s="350"/>
      <c r="AW28" s="350"/>
      <c r="AX28" s="350"/>
      <c r="AY28" s="350">
        <v>745</v>
      </c>
      <c r="AZ28" s="350">
        <v>1905.5</v>
      </c>
      <c r="BA28" s="350"/>
      <c r="BB28" s="350"/>
      <c r="BC28" s="1311">
        <v>1000</v>
      </c>
      <c r="BD28" s="1308">
        <v>257</v>
      </c>
      <c r="BE28" s="350"/>
    </row>
    <row r="29" spans="1:57" ht="15.75">
      <c r="A29">
        <v>1585</v>
      </c>
      <c r="W29" s="350"/>
      <c r="X29" s="350"/>
      <c r="Y29" s="350"/>
      <c r="Z29" s="350"/>
      <c r="AA29" s="350">
        <v>446.7</v>
      </c>
      <c r="AB29" s="350"/>
      <c r="AC29" s="350"/>
      <c r="AD29" s="350"/>
      <c r="AE29" s="350"/>
      <c r="AF29" s="350">
        <v>91</v>
      </c>
      <c r="AG29" s="350">
        <v>44.7</v>
      </c>
      <c r="AH29" s="1308">
        <v>331.1</v>
      </c>
      <c r="AI29" s="1308">
        <v>7.1</v>
      </c>
      <c r="AJ29" s="1308">
        <v>5011.8999999999996</v>
      </c>
      <c r="AK29" s="350">
        <v>134.9</v>
      </c>
      <c r="AL29" s="1308">
        <v>35000</v>
      </c>
      <c r="AM29">
        <v>107.2</v>
      </c>
      <c r="AV29" s="350"/>
      <c r="AW29" s="350"/>
      <c r="AX29" s="350"/>
      <c r="AY29" s="350">
        <v>316.2</v>
      </c>
      <c r="AZ29" s="350">
        <v>407.4</v>
      </c>
      <c r="BA29" s="350"/>
      <c r="BB29" s="350"/>
      <c r="BC29" s="1311">
        <v>1584.9</v>
      </c>
      <c r="BD29" s="1308">
        <v>213.8</v>
      </c>
      <c r="BE29" s="350"/>
    </row>
    <row r="30" spans="1:57" ht="15.75">
      <c r="A30">
        <v>1585</v>
      </c>
      <c r="W30" s="350"/>
      <c r="X30" s="350"/>
      <c r="Y30" s="350"/>
      <c r="Z30" s="350"/>
      <c r="AA30" s="350">
        <v>602.6</v>
      </c>
      <c r="AB30" s="350"/>
      <c r="AC30" s="350"/>
      <c r="AD30" s="350"/>
      <c r="AE30" s="350"/>
      <c r="AF30" s="350">
        <v>1995.3</v>
      </c>
      <c r="AG30" s="350">
        <v>11.2</v>
      </c>
      <c r="AH30" s="1308">
        <v>39.799999999999997</v>
      </c>
      <c r="AI30" s="1308">
        <v>11.7</v>
      </c>
      <c r="AJ30" s="1311">
        <v>4168.7</v>
      </c>
      <c r="AK30" s="350">
        <v>1833.3</v>
      </c>
      <c r="AL30" s="1311">
        <v>3162.3</v>
      </c>
      <c r="AM30" s="1318">
        <v>10500</v>
      </c>
      <c r="AV30" s="350"/>
      <c r="AW30" s="350"/>
      <c r="AX30" s="350"/>
      <c r="AY30" s="350">
        <v>1995.3</v>
      </c>
      <c r="AZ30" s="350">
        <v>380.2</v>
      </c>
      <c r="BA30" s="350"/>
      <c r="BB30" s="350"/>
      <c r="BC30" s="1311">
        <v>9042</v>
      </c>
      <c r="BD30" s="1308">
        <v>77.599999999999994</v>
      </c>
      <c r="BE30" s="350"/>
    </row>
    <row r="31" spans="1:57" ht="15.75">
      <c r="A31">
        <v>631</v>
      </c>
      <c r="W31" s="350"/>
      <c r="X31" s="350"/>
      <c r="Y31" s="350"/>
      <c r="Z31" s="350"/>
      <c r="AA31" s="350"/>
      <c r="AB31" s="350"/>
      <c r="AC31" s="350"/>
      <c r="AD31" s="350"/>
      <c r="AE31" s="350"/>
      <c r="AF31" s="350">
        <v>3981.1</v>
      </c>
      <c r="AG31" s="350">
        <v>16.2</v>
      </c>
      <c r="AH31" s="1308">
        <v>4686</v>
      </c>
      <c r="AI31" s="1308">
        <v>29.5</v>
      </c>
      <c r="AJ31" s="1311">
        <v>1819.7</v>
      </c>
      <c r="AK31" s="350">
        <v>420.4</v>
      </c>
      <c r="AL31" s="1311">
        <v>100000</v>
      </c>
      <c r="AM31">
        <v>1030</v>
      </c>
      <c r="AV31" s="350"/>
      <c r="AW31" s="350"/>
      <c r="AX31" s="350"/>
      <c r="AY31" s="350">
        <v>63.1</v>
      </c>
      <c r="AZ31" s="350">
        <v>3388.4</v>
      </c>
      <c r="BA31" s="350"/>
      <c r="BB31" s="350"/>
      <c r="BC31" s="1311">
        <v>7687</v>
      </c>
      <c r="BD31" s="1308">
        <v>2691.5</v>
      </c>
      <c r="BE31" s="350"/>
    </row>
    <row r="32" spans="1:57" ht="15">
      <c r="A32">
        <v>251.2</v>
      </c>
      <c r="W32" s="350"/>
      <c r="X32" s="350"/>
      <c r="Y32" s="350"/>
      <c r="Z32" s="350"/>
      <c r="AA32" s="350"/>
      <c r="AB32" s="350"/>
      <c r="AC32" s="350"/>
      <c r="AD32" s="350"/>
      <c r="AE32" s="350"/>
      <c r="AF32" s="350">
        <v>794.3</v>
      </c>
      <c r="AG32" s="350">
        <v>173.8</v>
      </c>
      <c r="AH32" s="1311">
        <v>150</v>
      </c>
      <c r="AI32" s="1311">
        <v>32.4</v>
      </c>
      <c r="AJ32" s="1311">
        <v>2511.9</v>
      </c>
      <c r="AK32" s="350">
        <v>1625</v>
      </c>
      <c r="AL32" s="1304">
        <v>684</v>
      </c>
      <c r="AM32">
        <v>6930</v>
      </c>
      <c r="AV32" s="350"/>
      <c r="AW32" s="350"/>
      <c r="AX32" s="350"/>
      <c r="AY32" s="350">
        <v>1000</v>
      </c>
      <c r="AZ32" s="350">
        <v>1202.3</v>
      </c>
      <c r="BA32" s="350"/>
      <c r="BB32" s="350"/>
      <c r="BC32" s="1311">
        <v>33669</v>
      </c>
      <c r="BD32" s="1311">
        <v>14454.4</v>
      </c>
      <c r="BE32" s="350"/>
    </row>
    <row r="33" spans="1:57" ht="15">
      <c r="A33">
        <v>398.1</v>
      </c>
      <c r="W33" s="350"/>
      <c r="X33" s="350"/>
      <c r="Y33" s="350"/>
      <c r="Z33" s="350"/>
      <c r="AA33" s="350"/>
      <c r="AB33" s="350"/>
      <c r="AC33" s="350"/>
      <c r="AD33" s="350"/>
      <c r="AE33" s="350"/>
      <c r="AF33" s="350">
        <v>398.1</v>
      </c>
      <c r="AG33" s="350">
        <v>20</v>
      </c>
      <c r="AH33" s="1311">
        <v>855</v>
      </c>
      <c r="AI33" s="1311">
        <v>48</v>
      </c>
      <c r="AJ33" s="1311">
        <v>34896</v>
      </c>
      <c r="AK33" s="350">
        <v>191.9</v>
      </c>
      <c r="AL33" s="1311">
        <v>1300</v>
      </c>
      <c r="AM33">
        <v>9900</v>
      </c>
      <c r="AV33" s="350"/>
      <c r="AW33" s="350"/>
      <c r="AX33" s="350"/>
      <c r="AY33" s="350">
        <v>354.8</v>
      </c>
      <c r="AZ33" s="350">
        <v>218.8</v>
      </c>
      <c r="BA33" s="350"/>
      <c r="BB33" s="350"/>
      <c r="BC33" s="1311">
        <v>9436</v>
      </c>
      <c r="BD33" s="1311">
        <v>30903</v>
      </c>
      <c r="BE33" s="350"/>
    </row>
    <row r="34" spans="1:57" ht="15">
      <c r="A34">
        <v>251.2</v>
      </c>
      <c r="W34" s="350"/>
      <c r="X34" s="350"/>
      <c r="Y34" s="350"/>
      <c r="Z34" s="350"/>
      <c r="AA34" s="350"/>
      <c r="AB34" s="350"/>
      <c r="AC34" s="350"/>
      <c r="AD34" s="350"/>
      <c r="AE34" s="350"/>
      <c r="AF34" s="350">
        <v>2511.9</v>
      </c>
      <c r="AG34" s="350">
        <v>358</v>
      </c>
      <c r="AH34" s="1311">
        <v>1449</v>
      </c>
      <c r="AI34" s="1311">
        <v>447</v>
      </c>
      <c r="AJ34" s="1311">
        <v>5957</v>
      </c>
      <c r="AK34" s="350">
        <v>57.5</v>
      </c>
      <c r="AL34" s="1311">
        <v>28000</v>
      </c>
      <c r="AM34">
        <v>28100</v>
      </c>
      <c r="AV34" s="350"/>
      <c r="AW34" s="350"/>
      <c r="AX34" s="350"/>
      <c r="AY34" s="350">
        <v>112.2</v>
      </c>
      <c r="AZ34" s="350">
        <v>58.9</v>
      </c>
      <c r="BA34" s="350"/>
      <c r="BB34" s="350"/>
      <c r="BC34" s="1311">
        <v>18968</v>
      </c>
      <c r="BD34" s="1311">
        <v>1659.6</v>
      </c>
      <c r="BE34" s="350"/>
    </row>
    <row r="35" spans="1:57" ht="15">
      <c r="A35">
        <v>2512</v>
      </c>
      <c r="W35" s="350"/>
      <c r="X35" s="350"/>
      <c r="Y35" s="350"/>
      <c r="Z35" s="350"/>
      <c r="AA35" s="350"/>
      <c r="AB35" s="350"/>
      <c r="AC35" s="350"/>
      <c r="AD35" s="350"/>
      <c r="AE35" s="350"/>
      <c r="AF35" s="350">
        <v>12.3</v>
      </c>
      <c r="AG35" s="350">
        <v>108</v>
      </c>
      <c r="AH35" s="1311">
        <v>1562</v>
      </c>
      <c r="AI35" s="1311">
        <v>611</v>
      </c>
      <c r="AJ35" s="1311">
        <v>89216</v>
      </c>
      <c r="AK35" s="350">
        <v>331.9</v>
      </c>
      <c r="AL35" s="1304">
        <v>610</v>
      </c>
      <c r="AM35">
        <v>26900</v>
      </c>
      <c r="AV35" s="350"/>
      <c r="AW35" s="350"/>
      <c r="AX35" s="350"/>
      <c r="AY35" s="350">
        <v>56.2</v>
      </c>
      <c r="AZ35" s="350">
        <v>700</v>
      </c>
      <c r="BA35" s="350"/>
      <c r="BB35" s="350"/>
      <c r="BC35" s="1311">
        <v>3976.2</v>
      </c>
      <c r="BD35" s="1311">
        <v>831.8</v>
      </c>
      <c r="BE35" s="350"/>
    </row>
    <row r="36" spans="1:57" ht="15">
      <c r="A36">
        <v>741.3</v>
      </c>
      <c r="W36" s="350"/>
      <c r="X36" s="350"/>
      <c r="Y36" s="350"/>
      <c r="Z36" s="350"/>
      <c r="AA36" s="350"/>
      <c r="AB36" s="350"/>
      <c r="AC36" s="350"/>
      <c r="AD36" s="350"/>
      <c r="AE36" s="350"/>
      <c r="AF36" s="350">
        <v>611</v>
      </c>
      <c r="AG36" s="350">
        <v>1250</v>
      </c>
      <c r="AH36" s="1311">
        <v>211.3</v>
      </c>
      <c r="AI36" s="1311">
        <v>2080</v>
      </c>
      <c r="AJ36" s="350">
        <v>7238</v>
      </c>
      <c r="AK36" s="350">
        <v>875</v>
      </c>
      <c r="AL36" s="1311">
        <v>2100</v>
      </c>
      <c r="AM36">
        <v>32770</v>
      </c>
      <c r="AV36" s="350"/>
      <c r="AW36" s="350"/>
      <c r="AX36" s="350"/>
      <c r="AY36" s="350">
        <v>64.599999999999994</v>
      </c>
      <c r="AZ36" s="350">
        <v>850</v>
      </c>
      <c r="BA36" s="350"/>
      <c r="BB36" s="350"/>
      <c r="BC36" s="1311">
        <v>2808.8</v>
      </c>
      <c r="BD36" s="1311">
        <v>5500</v>
      </c>
      <c r="BE36" s="350"/>
    </row>
    <row r="37" spans="1:57" ht="15">
      <c r="A37">
        <v>1567</v>
      </c>
      <c r="W37" s="350"/>
      <c r="X37" s="350"/>
      <c r="Y37" s="350"/>
      <c r="Z37" s="350"/>
      <c r="AA37" s="350"/>
      <c r="AB37" s="350"/>
      <c r="AC37" s="350"/>
      <c r="AD37" s="350"/>
      <c r="AE37" s="350"/>
      <c r="AF37" s="350">
        <v>134</v>
      </c>
      <c r="AG37" s="350">
        <v>377</v>
      </c>
      <c r="AH37" s="1311">
        <v>1690.3</v>
      </c>
      <c r="AI37" s="1311">
        <v>1380</v>
      </c>
      <c r="AJ37" s="350">
        <v>2398.8000000000002</v>
      </c>
      <c r="AK37" s="350">
        <v>9300</v>
      </c>
      <c r="AL37" s="1311">
        <v>2700</v>
      </c>
      <c r="AM37">
        <v>25670</v>
      </c>
      <c r="AV37" s="350"/>
      <c r="AW37" s="350"/>
      <c r="AX37" s="350"/>
      <c r="AY37" s="350">
        <v>7.9</v>
      </c>
      <c r="AZ37" s="350">
        <v>10</v>
      </c>
      <c r="BA37" s="350"/>
      <c r="BB37" s="350"/>
      <c r="BC37" s="1311">
        <v>19952.599999999999</v>
      </c>
      <c r="BD37" s="1311">
        <v>157.1</v>
      </c>
      <c r="BE37" s="350"/>
    </row>
    <row r="38" spans="1:57" ht="15">
      <c r="A38">
        <v>1130</v>
      </c>
      <c r="W38" s="350"/>
      <c r="X38" s="350"/>
      <c r="Y38" s="350"/>
      <c r="Z38" s="350"/>
      <c r="AA38" s="350"/>
      <c r="AB38" s="350"/>
      <c r="AC38" s="350"/>
      <c r="AD38" s="350"/>
      <c r="AE38" s="350"/>
      <c r="AF38" s="350">
        <v>739</v>
      </c>
      <c r="AG38" s="350">
        <v>458</v>
      </c>
      <c r="AH38" s="1311">
        <v>704.3</v>
      </c>
      <c r="AI38" s="1311">
        <v>5660</v>
      </c>
      <c r="AJ38" s="350">
        <v>292</v>
      </c>
      <c r="AK38" s="350">
        <v>17000</v>
      </c>
      <c r="AL38" s="1321">
        <v>110000</v>
      </c>
      <c r="AM38">
        <v>11300</v>
      </c>
      <c r="AV38" s="350"/>
      <c r="AW38" s="350"/>
      <c r="AX38" s="350"/>
      <c r="AY38" s="350">
        <v>342</v>
      </c>
      <c r="AZ38" s="350">
        <v>217</v>
      </c>
      <c r="BA38" s="350"/>
      <c r="BB38" s="350"/>
      <c r="BC38" s="1311">
        <v>15848.9</v>
      </c>
      <c r="BD38" s="1311">
        <v>5000</v>
      </c>
      <c r="BE38" s="350"/>
    </row>
    <row r="39" spans="1:57" ht="15.75">
      <c r="A39">
        <v>1167</v>
      </c>
      <c r="W39" s="350"/>
      <c r="X39" s="350"/>
      <c r="Y39" s="350"/>
      <c r="Z39" s="350"/>
      <c r="AA39" s="350"/>
      <c r="AB39" s="350"/>
      <c r="AC39" s="350"/>
      <c r="AD39" s="350"/>
      <c r="AE39" s="350"/>
      <c r="AF39" s="350">
        <v>601</v>
      </c>
      <c r="AG39" s="350">
        <v>153</v>
      </c>
      <c r="AH39" s="1311">
        <v>3873.3</v>
      </c>
      <c r="AI39" s="1311">
        <v>635</v>
      </c>
      <c r="AJ39" s="350">
        <v>1386.8</v>
      </c>
      <c r="AK39" s="350">
        <v>89</v>
      </c>
      <c r="AL39" s="1319">
        <v>26915.3</v>
      </c>
      <c r="AM39">
        <v>54400</v>
      </c>
      <c r="AV39" s="350"/>
      <c r="AW39" s="350"/>
      <c r="AX39" s="350"/>
      <c r="AY39" s="350">
        <v>8</v>
      </c>
      <c r="AZ39" s="350">
        <v>461</v>
      </c>
      <c r="BA39" s="350"/>
      <c r="BB39" s="350"/>
      <c r="BC39" s="1311">
        <v>25118.9</v>
      </c>
      <c r="BD39" s="1311">
        <v>85.7</v>
      </c>
      <c r="BE39" s="350"/>
    </row>
    <row r="40" spans="1:57" ht="15.75">
      <c r="A40">
        <v>6000</v>
      </c>
      <c r="W40" s="350"/>
      <c r="X40" s="350"/>
      <c r="Y40" s="350"/>
      <c r="Z40" s="350"/>
      <c r="AA40" s="350"/>
      <c r="AB40" s="350"/>
      <c r="AC40" s="350"/>
      <c r="AD40" s="350"/>
      <c r="AE40" s="350"/>
      <c r="AF40" s="350">
        <v>12.8</v>
      </c>
      <c r="AG40" s="350">
        <v>178</v>
      </c>
      <c r="AH40" s="1311">
        <v>493</v>
      </c>
      <c r="AI40" s="1311">
        <v>455</v>
      </c>
      <c r="AJ40" s="350">
        <v>438</v>
      </c>
      <c r="AK40" s="350">
        <v>1270</v>
      </c>
      <c r="AL40" s="1319">
        <v>8128.3</v>
      </c>
      <c r="AM40">
        <v>25100</v>
      </c>
      <c r="AV40" s="350"/>
      <c r="AW40" s="350"/>
      <c r="AX40" s="350"/>
      <c r="AY40" s="350">
        <v>1.8</v>
      </c>
      <c r="AZ40" s="350">
        <v>436</v>
      </c>
      <c r="BA40" s="350"/>
      <c r="BB40" s="350"/>
      <c r="BC40" s="1311">
        <v>7943.3</v>
      </c>
      <c r="BD40" s="1311">
        <v>141.9</v>
      </c>
      <c r="BE40" s="350"/>
    </row>
    <row r="41" spans="1:57" ht="15.75">
      <c r="A41">
        <v>50234</v>
      </c>
      <c r="W41" s="350"/>
      <c r="X41" s="350"/>
      <c r="Y41" s="350"/>
      <c r="Z41" s="350"/>
      <c r="AA41" s="350"/>
      <c r="AB41" s="350"/>
      <c r="AC41" s="350"/>
      <c r="AD41" s="350"/>
      <c r="AE41" s="350"/>
      <c r="AF41" s="350">
        <v>16.8</v>
      </c>
      <c r="AG41" s="350">
        <v>343</v>
      </c>
      <c r="AH41" s="1310">
        <v>3521.3</v>
      </c>
      <c r="AI41" s="1310">
        <v>645</v>
      </c>
      <c r="AJ41" s="350">
        <v>2445.3000000000002</v>
      </c>
      <c r="AK41" s="350">
        <v>2240</v>
      </c>
      <c r="AL41" s="1319">
        <v>1479.1</v>
      </c>
      <c r="AM41">
        <v>40200</v>
      </c>
      <c r="AV41" s="350"/>
      <c r="AW41" s="350"/>
      <c r="AX41" s="350"/>
      <c r="AY41" s="350">
        <v>51.5</v>
      </c>
      <c r="AZ41" s="350">
        <v>448</v>
      </c>
      <c r="BA41" s="350"/>
      <c r="BB41" s="350"/>
      <c r="BC41" s="1311">
        <v>6309.6</v>
      </c>
      <c r="BD41" s="1310">
        <v>13888.9</v>
      </c>
      <c r="BE41" s="350"/>
    </row>
    <row r="42" spans="1:57" ht="15.75">
      <c r="A42">
        <v>481.5</v>
      </c>
      <c r="W42" s="350"/>
      <c r="X42" s="350"/>
      <c r="Y42" s="350"/>
      <c r="Z42" s="350"/>
      <c r="AA42" s="350"/>
      <c r="AB42" s="350"/>
      <c r="AC42" s="350"/>
      <c r="AD42" s="350"/>
      <c r="AE42" s="350"/>
      <c r="AF42" s="350">
        <v>11.3</v>
      </c>
      <c r="AG42" s="350">
        <v>6660</v>
      </c>
      <c r="AH42" s="1310">
        <v>200</v>
      </c>
      <c r="AI42" s="1310">
        <v>650</v>
      </c>
      <c r="AJ42" s="350">
        <v>401.5</v>
      </c>
      <c r="AK42" s="350">
        <v>3200</v>
      </c>
      <c r="AL42" s="1319">
        <v>2754.2</v>
      </c>
      <c r="AM42">
        <v>23640</v>
      </c>
      <c r="AV42" s="350"/>
      <c r="AW42" s="350"/>
      <c r="AX42" s="350"/>
      <c r="AY42" s="350">
        <v>2</v>
      </c>
      <c r="AZ42" s="350">
        <v>697</v>
      </c>
      <c r="BA42" s="350"/>
      <c r="BB42" s="350"/>
      <c r="BC42" s="1311">
        <v>9800</v>
      </c>
      <c r="BD42" s="1310">
        <v>557.4</v>
      </c>
      <c r="BE42" s="350"/>
    </row>
    <row r="43" spans="1:57" ht="15.75">
      <c r="A43">
        <v>2963</v>
      </c>
      <c r="W43" s="350"/>
      <c r="X43" s="350"/>
      <c r="Y43" s="350"/>
      <c r="Z43" s="350"/>
      <c r="AA43" s="350"/>
      <c r="AB43" s="350"/>
      <c r="AC43" s="350"/>
      <c r="AD43" s="350"/>
      <c r="AE43" s="350"/>
      <c r="AF43" s="350">
        <v>13.3</v>
      </c>
      <c r="AG43" s="350">
        <v>14250</v>
      </c>
      <c r="AH43" s="1310">
        <v>90</v>
      </c>
      <c r="AI43" s="1310">
        <v>820</v>
      </c>
      <c r="AJ43" s="350">
        <v>1678.8</v>
      </c>
      <c r="AK43" s="350">
        <v>2850</v>
      </c>
      <c r="AL43" s="1319">
        <v>2818.4</v>
      </c>
      <c r="AM43" s="1318">
        <v>307633</v>
      </c>
      <c r="AV43" s="350"/>
      <c r="AW43" s="350"/>
      <c r="AX43" s="350"/>
      <c r="AY43" s="350">
        <v>38.299999999999997</v>
      </c>
      <c r="AZ43" s="350">
        <v>211</v>
      </c>
      <c r="BA43" s="350"/>
      <c r="BB43" s="350"/>
      <c r="BC43" s="1311">
        <v>95000</v>
      </c>
      <c r="BD43" s="1310">
        <v>3700</v>
      </c>
      <c r="BE43" s="350"/>
    </row>
    <row r="44" spans="1:57" ht="15.75">
      <c r="A44">
        <v>1585</v>
      </c>
      <c r="W44" s="350"/>
      <c r="X44" s="350"/>
      <c r="Y44" s="350"/>
      <c r="Z44" s="350"/>
      <c r="AA44" s="350"/>
      <c r="AB44" s="350"/>
      <c r="AC44" s="350"/>
      <c r="AD44" s="350"/>
      <c r="AE44" s="350"/>
      <c r="AF44" s="350">
        <v>12</v>
      </c>
      <c r="AG44" s="350">
        <v>7000</v>
      </c>
      <c r="AH44" s="1310">
        <v>180</v>
      </c>
      <c r="AI44" s="1310">
        <v>1080</v>
      </c>
      <c r="AJ44" s="350">
        <v>7140</v>
      </c>
      <c r="AK44" s="350">
        <v>7370</v>
      </c>
      <c r="AL44" s="1319">
        <v>7762.5</v>
      </c>
      <c r="AM44" s="1318">
        <v>5011.8999999999996</v>
      </c>
      <c r="AV44" s="350"/>
      <c r="AW44" s="350"/>
      <c r="AX44" s="350"/>
      <c r="AY44" s="350">
        <v>0.8</v>
      </c>
      <c r="AZ44" s="350">
        <v>315</v>
      </c>
      <c r="BA44" s="350"/>
      <c r="BB44" s="350"/>
      <c r="BC44" s="1311">
        <v>13000</v>
      </c>
      <c r="BD44" s="1310">
        <v>12400</v>
      </c>
      <c r="BE44" s="350"/>
    </row>
    <row r="45" spans="1:57" ht="15.75">
      <c r="A45">
        <v>794.3</v>
      </c>
      <c r="W45" s="350"/>
      <c r="X45" s="350"/>
      <c r="Y45" s="350"/>
      <c r="Z45" s="350"/>
      <c r="AA45" s="350"/>
      <c r="AB45" s="350"/>
      <c r="AC45" s="350"/>
      <c r="AD45" s="350"/>
      <c r="AE45" s="350"/>
      <c r="AF45" s="350">
        <v>13.8</v>
      </c>
      <c r="AG45" s="350">
        <v>9680</v>
      </c>
      <c r="AH45" s="1310">
        <v>160</v>
      </c>
      <c r="AI45" s="1310">
        <v>786</v>
      </c>
      <c r="AJ45" s="350">
        <v>1430</v>
      </c>
      <c r="AK45" s="350">
        <v>2840</v>
      </c>
      <c r="AL45" s="1319">
        <v>4265.8</v>
      </c>
      <c r="AM45" s="1318">
        <v>5011.8999999999996</v>
      </c>
      <c r="AV45" s="350"/>
      <c r="AW45" s="350"/>
      <c r="AX45" s="350"/>
      <c r="AY45" s="350">
        <v>48.8</v>
      </c>
      <c r="AZ45" s="350">
        <v>248</v>
      </c>
      <c r="BA45" s="350"/>
      <c r="BB45" s="350"/>
      <c r="BC45" s="1311">
        <v>1200</v>
      </c>
      <c r="BD45" s="1310">
        <v>2930</v>
      </c>
      <c r="BE45" s="350"/>
    </row>
    <row r="46" spans="1:57" ht="15.75">
      <c r="A46">
        <v>3162</v>
      </c>
      <c r="W46" s="350"/>
      <c r="X46" s="350"/>
      <c r="Y46" s="350"/>
      <c r="Z46" s="350"/>
      <c r="AA46" s="350"/>
      <c r="AB46" s="350"/>
      <c r="AC46" s="350"/>
      <c r="AD46" s="350"/>
      <c r="AE46" s="350"/>
      <c r="AF46" s="350">
        <v>360</v>
      </c>
      <c r="AG46" s="350">
        <v>6410</v>
      </c>
      <c r="AH46" s="1310">
        <v>1610</v>
      </c>
      <c r="AI46" s="1310">
        <v>1096.5</v>
      </c>
      <c r="AJ46" s="350">
        <v>22710</v>
      </c>
      <c r="AK46" s="350">
        <v>1360</v>
      </c>
      <c r="AL46" s="1317">
        <v>218.8</v>
      </c>
      <c r="AM46" s="1318">
        <v>5011.8999999999996</v>
      </c>
      <c r="AV46" s="350"/>
      <c r="AW46" s="350"/>
      <c r="AX46" s="350"/>
      <c r="AY46" s="350">
        <v>27.9</v>
      </c>
      <c r="AZ46" s="350">
        <v>211</v>
      </c>
      <c r="BA46" s="350"/>
      <c r="BB46" s="350"/>
      <c r="BC46" s="1304">
        <v>240</v>
      </c>
      <c r="BD46" s="1310">
        <v>3790</v>
      </c>
      <c r="BE46" s="350"/>
    </row>
    <row r="47" spans="1:57" ht="15.75">
      <c r="A47">
        <v>7943</v>
      </c>
      <c r="W47" s="350"/>
      <c r="X47" s="350"/>
      <c r="Y47" s="350"/>
      <c r="Z47" s="350"/>
      <c r="AA47" s="350"/>
      <c r="AB47" s="350"/>
      <c r="AC47" s="350"/>
      <c r="AD47" s="350"/>
      <c r="AE47" s="350"/>
      <c r="AF47" s="350">
        <v>110</v>
      </c>
      <c r="AG47" s="350">
        <v>7440</v>
      </c>
      <c r="AH47" s="1308">
        <v>770</v>
      </c>
      <c r="AI47" s="1308">
        <v>1621.8</v>
      </c>
      <c r="AJ47" s="350">
        <v>5140</v>
      </c>
      <c r="AK47" s="350">
        <v>1490</v>
      </c>
      <c r="AL47" s="1319">
        <v>28840.3</v>
      </c>
      <c r="AM47" s="1318">
        <v>12589.3</v>
      </c>
      <c r="AV47" s="350"/>
      <c r="AW47" s="350"/>
      <c r="AX47" s="350"/>
      <c r="AY47" s="350">
        <v>1900</v>
      </c>
      <c r="AZ47" s="350">
        <v>272</v>
      </c>
      <c r="BA47" s="350"/>
      <c r="BB47" s="350"/>
      <c r="BC47" s="1311">
        <v>19000</v>
      </c>
      <c r="BD47" s="1308">
        <v>4570</v>
      </c>
      <c r="BE47" s="350"/>
    </row>
    <row r="48" spans="1:57" ht="15.75">
      <c r="A48">
        <v>5012</v>
      </c>
      <c r="W48" s="350"/>
      <c r="X48" s="350"/>
      <c r="Y48" s="350"/>
      <c r="Z48" s="350"/>
      <c r="AA48" s="350"/>
      <c r="AB48" s="350"/>
      <c r="AC48" s="350"/>
      <c r="AD48" s="350"/>
      <c r="AE48" s="350"/>
      <c r="AF48" s="350">
        <v>570</v>
      </c>
      <c r="AG48" s="350">
        <v>6490</v>
      </c>
      <c r="AH48" s="1308">
        <v>31</v>
      </c>
      <c r="AI48" s="1308">
        <v>812.8</v>
      </c>
      <c r="AJ48" s="350">
        <v>44570</v>
      </c>
      <c r="AK48" s="350">
        <v>5700</v>
      </c>
      <c r="AL48" s="1319">
        <v>16595.900000000001</v>
      </c>
      <c r="AV48" s="350"/>
      <c r="AW48" s="350"/>
      <c r="AX48" s="350"/>
      <c r="AY48" s="350">
        <v>363.1</v>
      </c>
      <c r="AZ48" s="350">
        <v>6309.573445</v>
      </c>
      <c r="BA48" s="350"/>
      <c r="BB48" s="350"/>
      <c r="BC48" s="1311">
        <v>16000</v>
      </c>
      <c r="BD48" s="1308">
        <v>6430</v>
      </c>
      <c r="BE48" s="350"/>
    </row>
    <row r="49" spans="1:57" ht="15.75">
      <c r="A49">
        <v>1000</v>
      </c>
      <c r="W49" s="350"/>
      <c r="X49" s="350"/>
      <c r="Y49" s="350"/>
      <c r="Z49" s="350"/>
      <c r="AA49" s="350"/>
      <c r="AB49" s="350"/>
      <c r="AC49" s="350"/>
      <c r="AD49" s="350"/>
      <c r="AE49" s="350"/>
      <c r="AF49" s="350">
        <v>110</v>
      </c>
      <c r="AG49" s="350">
        <v>269.2</v>
      </c>
      <c r="AH49" s="1308">
        <v>41</v>
      </c>
      <c r="AI49" s="1308">
        <v>549.5</v>
      </c>
      <c r="AJ49" s="350">
        <v>40290</v>
      </c>
      <c r="AK49" s="350">
        <v>2720</v>
      </c>
      <c r="AL49" s="1317">
        <v>588.79999999999995</v>
      </c>
      <c r="AV49" s="350"/>
      <c r="AW49" s="350"/>
      <c r="AX49" s="350"/>
      <c r="AY49" s="350">
        <v>199.5</v>
      </c>
      <c r="AZ49" s="350">
        <v>100</v>
      </c>
      <c r="BA49" s="350"/>
      <c r="BB49" s="350"/>
      <c r="BC49" s="1311">
        <v>2371.4</v>
      </c>
      <c r="BD49" s="1308">
        <v>4180</v>
      </c>
      <c r="BE49" s="350"/>
    </row>
    <row r="50" spans="1:57" ht="15.75">
      <c r="A50">
        <v>631</v>
      </c>
      <c r="W50" s="350"/>
      <c r="X50" s="350"/>
      <c r="Y50" s="350"/>
      <c r="Z50" s="350"/>
      <c r="AA50" s="350"/>
      <c r="AB50" s="350"/>
      <c r="AC50" s="350"/>
      <c r="AD50" s="350"/>
      <c r="AE50" s="350"/>
      <c r="AF50" s="350">
        <v>300</v>
      </c>
      <c r="AG50" s="350">
        <v>147.9</v>
      </c>
      <c r="AH50" s="1308">
        <v>69</v>
      </c>
      <c r="AI50" s="1308">
        <v>389</v>
      </c>
      <c r="AJ50" s="350">
        <v>250</v>
      </c>
      <c r="AK50" s="350">
        <v>5710</v>
      </c>
      <c r="AV50" s="350"/>
      <c r="AW50" s="350"/>
      <c r="AX50" s="350"/>
      <c r="AY50" s="350"/>
      <c r="AZ50" s="350">
        <v>79.400000000000006</v>
      </c>
      <c r="BA50" s="350"/>
      <c r="BB50" s="350"/>
      <c r="BC50" s="1311">
        <v>2138</v>
      </c>
      <c r="BD50" s="1308">
        <v>3270</v>
      </c>
      <c r="BE50" s="350"/>
    </row>
    <row r="51" spans="1:57" ht="15.75">
      <c r="A51">
        <v>6310</v>
      </c>
      <c r="W51" s="350"/>
      <c r="X51" s="350"/>
      <c r="Y51" s="350"/>
      <c r="Z51" s="350"/>
      <c r="AA51" s="350"/>
      <c r="AB51" s="350"/>
      <c r="AC51" s="350"/>
      <c r="AD51" s="350"/>
      <c r="AE51" s="350"/>
      <c r="AF51" s="350">
        <v>180</v>
      </c>
      <c r="AG51" s="350">
        <v>446.7</v>
      </c>
      <c r="AH51" s="1311">
        <v>140</v>
      </c>
      <c r="AI51" s="1311">
        <v>549.5</v>
      </c>
      <c r="AJ51" s="350">
        <v>380</v>
      </c>
      <c r="AK51" s="350">
        <v>2510</v>
      </c>
      <c r="AV51" s="350"/>
      <c r="AW51" s="350"/>
      <c r="AX51" s="350"/>
      <c r="AY51" s="350"/>
      <c r="AZ51" s="350">
        <v>79.400000000000006</v>
      </c>
      <c r="BA51" s="350"/>
      <c r="BB51" s="350"/>
      <c r="BC51" s="1308">
        <v>1148.2</v>
      </c>
      <c r="BD51" s="1311">
        <v>4240</v>
      </c>
      <c r="BE51" s="350"/>
    </row>
    <row r="52" spans="1:57" ht="15.75">
      <c r="A52">
        <v>1000</v>
      </c>
      <c r="W52" s="350"/>
      <c r="X52" s="350"/>
      <c r="Y52" s="350"/>
      <c r="Z52" s="350"/>
      <c r="AA52" s="350"/>
      <c r="AB52" s="350"/>
      <c r="AC52" s="350"/>
      <c r="AD52" s="350"/>
      <c r="AE52" s="350"/>
      <c r="AF52" s="350">
        <v>11</v>
      </c>
      <c r="AG52" s="350">
        <v>354.8</v>
      </c>
      <c r="AH52" s="1311">
        <v>63.1</v>
      </c>
      <c r="AI52" s="1311">
        <v>309</v>
      </c>
      <c r="AJ52" s="350">
        <v>1100</v>
      </c>
      <c r="AK52" s="350">
        <v>2511.8864319999998</v>
      </c>
      <c r="AV52" s="350"/>
      <c r="AW52" s="350"/>
      <c r="AX52" s="350"/>
      <c r="AY52" s="350"/>
      <c r="AZ52" s="350">
        <v>251.2</v>
      </c>
      <c r="BA52" s="350"/>
      <c r="BB52" s="350"/>
      <c r="BC52" s="1306">
        <v>234.4</v>
      </c>
      <c r="BD52" s="1311">
        <v>2238.6999999999998</v>
      </c>
      <c r="BE52" s="350"/>
    </row>
    <row r="53" spans="1:57" ht="15.75">
      <c r="A53">
        <v>794.3</v>
      </c>
      <c r="W53" s="350"/>
      <c r="X53" s="350"/>
      <c r="Y53" s="350"/>
      <c r="Z53" s="350"/>
      <c r="AA53" s="350"/>
      <c r="AB53" s="350"/>
      <c r="AC53" s="350"/>
      <c r="AD53" s="350"/>
      <c r="AE53" s="350"/>
      <c r="AF53" s="350">
        <v>15</v>
      </c>
      <c r="AG53" s="350">
        <v>147.9</v>
      </c>
      <c r="AH53" s="1311">
        <v>2043</v>
      </c>
      <c r="AI53" s="1311">
        <v>549.5</v>
      </c>
      <c r="AJ53" s="350">
        <v>2600</v>
      </c>
      <c r="AK53" s="350">
        <v>6.3095734449999998</v>
      </c>
      <c r="AV53" s="350"/>
      <c r="AW53" s="350"/>
      <c r="AX53" s="350"/>
      <c r="AY53" s="350"/>
      <c r="AZ53" s="350"/>
      <c r="BA53" s="350"/>
      <c r="BB53" s="350"/>
      <c r="BC53" s="1308">
        <v>1548.8</v>
      </c>
      <c r="BD53" s="1311">
        <v>16218.1</v>
      </c>
      <c r="BE53" s="350"/>
    </row>
    <row r="54" spans="1:57" ht="15.75">
      <c r="A54">
        <v>17.440000000000001</v>
      </c>
      <c r="W54" s="350"/>
      <c r="X54" s="350"/>
      <c r="Y54" s="350"/>
      <c r="Z54" s="350"/>
      <c r="AA54" s="350"/>
      <c r="AB54" s="350"/>
      <c r="AC54" s="350"/>
      <c r="AD54" s="350"/>
      <c r="AE54" s="350"/>
      <c r="AF54" s="350">
        <v>158.5</v>
      </c>
      <c r="AG54" s="350">
        <v>380.2</v>
      </c>
      <c r="AH54" s="1311">
        <v>380</v>
      </c>
      <c r="AI54" s="1311">
        <v>1349</v>
      </c>
      <c r="AJ54" s="350">
        <v>3183</v>
      </c>
      <c r="AK54" s="350">
        <v>6309.573445</v>
      </c>
      <c r="AV54" s="350"/>
      <c r="AW54" s="350"/>
      <c r="AX54" s="350"/>
      <c r="AY54" s="350"/>
      <c r="AZ54" s="350"/>
      <c r="BA54" s="350"/>
      <c r="BB54" s="350"/>
      <c r="BC54" s="1308">
        <v>2344.1999999999998</v>
      </c>
      <c r="BD54" s="1311">
        <v>2454.6999999999998</v>
      </c>
      <c r="BE54" s="350"/>
    </row>
    <row r="55" spans="1:57" ht="15.75">
      <c r="A55">
        <v>8.718</v>
      </c>
      <c r="W55" s="350"/>
      <c r="X55" s="350"/>
      <c r="Y55" s="350"/>
      <c r="Z55" s="350"/>
      <c r="AA55" s="350"/>
      <c r="AB55" s="350"/>
      <c r="AC55" s="350"/>
      <c r="AD55" s="350"/>
      <c r="AE55" s="350"/>
      <c r="AF55" s="350">
        <v>61.9</v>
      </c>
      <c r="AG55" s="350">
        <v>245.5</v>
      </c>
      <c r="AH55" s="1311">
        <v>2000</v>
      </c>
      <c r="AI55" s="1311">
        <v>794.3</v>
      </c>
      <c r="AJ55" s="350">
        <v>450</v>
      </c>
      <c r="AK55" s="350">
        <v>1995.3</v>
      </c>
      <c r="AV55" s="350"/>
      <c r="AW55" s="350"/>
      <c r="AX55" s="350"/>
      <c r="AY55" s="350"/>
      <c r="AZ55" s="350"/>
      <c r="BA55" s="350"/>
      <c r="BB55" s="350"/>
      <c r="BC55" s="1308">
        <v>6309.6</v>
      </c>
      <c r="BD55" s="1311">
        <v>12302.7</v>
      </c>
      <c r="BE55" s="350"/>
    </row>
    <row r="56" spans="1:57" ht="15">
      <c r="A56">
        <v>1148</v>
      </c>
      <c r="W56" s="350"/>
      <c r="X56" s="350"/>
      <c r="Y56" s="350"/>
      <c r="Z56" s="350"/>
      <c r="AA56" s="350"/>
      <c r="AB56" s="350"/>
      <c r="AC56" s="350"/>
      <c r="AD56" s="350"/>
      <c r="AE56" s="350"/>
      <c r="AF56" s="350">
        <v>8.6999999999999993</v>
      </c>
      <c r="AG56" s="350">
        <v>218.8</v>
      </c>
      <c r="AH56" s="1311">
        <v>140</v>
      </c>
      <c r="AI56" s="1311">
        <v>631</v>
      </c>
      <c r="AJ56" s="350">
        <v>9600</v>
      </c>
      <c r="AK56" s="350">
        <v>3162.3</v>
      </c>
      <c r="AV56" s="350"/>
      <c r="AW56" s="350"/>
      <c r="AX56" s="350"/>
      <c r="AY56" s="350"/>
      <c r="AZ56" s="350"/>
      <c r="BA56" s="350"/>
      <c r="BB56" s="350"/>
      <c r="BC56" s="1311">
        <v>2511.9</v>
      </c>
      <c r="BD56" s="1311">
        <v>12302.7</v>
      </c>
      <c r="BE56" s="350"/>
    </row>
    <row r="57" spans="1:57" ht="15">
      <c r="A57">
        <v>234.4</v>
      </c>
      <c r="W57" s="350"/>
      <c r="X57" s="350"/>
      <c r="Y57" s="350"/>
      <c r="Z57" s="350"/>
      <c r="AA57" s="350"/>
      <c r="AB57" s="350"/>
      <c r="AC57" s="350"/>
      <c r="AD57" s="350"/>
      <c r="AE57" s="350"/>
      <c r="AF57" s="350">
        <v>13</v>
      </c>
      <c r="AG57" s="350">
        <v>109.6</v>
      </c>
      <c r="AH57" s="1311">
        <v>3400</v>
      </c>
      <c r="AI57" s="1311">
        <v>794.3</v>
      </c>
      <c r="AJ57" s="350">
        <v>160</v>
      </c>
      <c r="AK57" s="350">
        <v>1995.3</v>
      </c>
      <c r="AV57" s="350"/>
      <c r="AW57" s="350"/>
      <c r="AX57" s="350"/>
      <c r="AY57" s="350"/>
      <c r="AZ57" s="350"/>
      <c r="BA57" s="350"/>
      <c r="BB57" s="350"/>
      <c r="BC57" s="1311">
        <v>11167</v>
      </c>
      <c r="BD57" s="1311">
        <v>2041.7</v>
      </c>
      <c r="BE57" s="350"/>
    </row>
    <row r="58" spans="1:57" ht="15">
      <c r="A58">
        <v>245</v>
      </c>
      <c r="W58" s="350"/>
      <c r="X58" s="350"/>
      <c r="Y58" s="350"/>
      <c r="Z58" s="350"/>
      <c r="AA58" s="350"/>
      <c r="AB58" s="350"/>
      <c r="AC58" s="350"/>
      <c r="AD58" s="350"/>
      <c r="AE58" s="350"/>
      <c r="AF58" s="350">
        <v>9</v>
      </c>
      <c r="AG58" s="350">
        <v>631</v>
      </c>
      <c r="AH58" s="1311">
        <v>930</v>
      </c>
      <c r="AI58" s="1311">
        <v>794.3</v>
      </c>
      <c r="AJ58" s="350">
        <v>1800</v>
      </c>
      <c r="AK58" s="350">
        <v>10000</v>
      </c>
      <c r="AV58" s="350"/>
      <c r="AW58" s="350"/>
      <c r="AX58" s="350"/>
      <c r="AY58" s="350"/>
      <c r="AZ58" s="350"/>
      <c r="BA58" s="350"/>
      <c r="BB58" s="350"/>
      <c r="BC58" s="1311">
        <v>4572</v>
      </c>
      <c r="BD58" s="1311">
        <v>2187.8000000000002</v>
      </c>
      <c r="BE58" s="350"/>
    </row>
    <row r="59" spans="1:57" ht="15">
      <c r="A59">
        <v>323</v>
      </c>
      <c r="W59" s="350"/>
      <c r="X59" s="350"/>
      <c r="Y59" s="350"/>
      <c r="Z59" s="350"/>
      <c r="AA59" s="350"/>
      <c r="AB59" s="350"/>
      <c r="AC59" s="350"/>
      <c r="AD59" s="350"/>
      <c r="AE59" s="350"/>
      <c r="AF59" s="350">
        <v>14</v>
      </c>
      <c r="AG59" s="350">
        <v>346.7</v>
      </c>
      <c r="AH59" s="1311">
        <v>800</v>
      </c>
      <c r="AI59" s="1311">
        <v>5011.8999999999996</v>
      </c>
      <c r="AJ59" s="350">
        <v>820</v>
      </c>
      <c r="AK59" s="350"/>
      <c r="AV59" s="350"/>
      <c r="AW59" s="350"/>
      <c r="AX59" s="350"/>
      <c r="AY59" s="350"/>
      <c r="AZ59" s="350"/>
      <c r="BA59" s="350"/>
      <c r="BB59" s="350"/>
      <c r="BC59" s="1311">
        <v>73612</v>
      </c>
      <c r="BD59" s="1311">
        <v>6456.5</v>
      </c>
      <c r="BE59" s="350"/>
    </row>
    <row r="60" spans="1:57" ht="15">
      <c r="A60">
        <v>213</v>
      </c>
      <c r="W60" s="350"/>
      <c r="X60" s="350"/>
      <c r="Y60" s="350"/>
      <c r="Z60" s="350"/>
      <c r="AA60" s="350"/>
      <c r="AB60" s="350"/>
      <c r="AC60" s="350"/>
      <c r="AD60" s="350"/>
      <c r="AE60" s="350"/>
      <c r="AF60" s="350">
        <v>21</v>
      </c>
      <c r="AG60" s="350">
        <v>239.9</v>
      </c>
      <c r="AH60" s="1311">
        <v>480</v>
      </c>
      <c r="AI60" s="1311"/>
      <c r="AJ60" s="350">
        <v>8700</v>
      </c>
      <c r="AK60" s="350"/>
      <c r="AV60" s="350"/>
      <c r="AW60" s="350"/>
      <c r="AX60" s="350"/>
      <c r="AY60" s="350"/>
      <c r="AZ60" s="350"/>
      <c r="BA60" s="350"/>
      <c r="BB60" s="350"/>
      <c r="BC60" s="1311">
        <v>24718</v>
      </c>
      <c r="BD60" s="1311">
        <v>1513.6</v>
      </c>
      <c r="BE60" s="350"/>
    </row>
    <row r="61" spans="1:57" ht="15">
      <c r="A61">
        <v>808.7</v>
      </c>
      <c r="W61" s="350"/>
      <c r="X61" s="350"/>
      <c r="Y61" s="350"/>
      <c r="Z61" s="350"/>
      <c r="AA61" s="350"/>
      <c r="AB61" s="350"/>
      <c r="AC61" s="350"/>
      <c r="AD61" s="350"/>
      <c r="AE61" s="350"/>
      <c r="AF61" s="350">
        <v>42</v>
      </c>
      <c r="AG61" s="350">
        <v>1621.8</v>
      </c>
      <c r="AH61" s="1311">
        <v>1023.3</v>
      </c>
      <c r="AI61" s="1311"/>
      <c r="AJ61" s="350">
        <v>7943.3</v>
      </c>
      <c r="AK61" s="350"/>
      <c r="AV61" s="350"/>
      <c r="AW61" s="350"/>
      <c r="AX61" s="350"/>
      <c r="AY61" s="350"/>
      <c r="AZ61" s="350"/>
      <c r="BA61" s="350"/>
      <c r="BB61" s="350"/>
      <c r="BC61" s="1304">
        <v>196</v>
      </c>
      <c r="BD61" s="1311">
        <v>1445.4</v>
      </c>
      <c r="BE61" s="350"/>
    </row>
    <row r="62" spans="1:57" ht="15">
      <c r="A62">
        <v>2512</v>
      </c>
      <c r="W62" s="350"/>
      <c r="X62" s="350"/>
      <c r="Y62" s="350"/>
      <c r="Z62" s="350"/>
      <c r="AA62" s="350"/>
      <c r="AB62" s="350"/>
      <c r="AC62" s="350"/>
      <c r="AD62" s="350"/>
      <c r="AE62" s="350"/>
      <c r="AF62" s="350">
        <v>120</v>
      </c>
      <c r="AG62" s="350">
        <v>316.2</v>
      </c>
      <c r="AH62" s="1311">
        <v>263</v>
      </c>
      <c r="AI62" s="1311"/>
      <c r="AJ62" s="350">
        <v>2454.6999999999998</v>
      </c>
      <c r="AK62" s="350"/>
      <c r="AV62" s="350"/>
      <c r="AW62" s="350"/>
      <c r="AX62" s="350"/>
      <c r="AY62" s="350"/>
      <c r="AZ62" s="350"/>
      <c r="BA62" s="350"/>
      <c r="BB62" s="350"/>
      <c r="BC62" s="1311">
        <v>3017</v>
      </c>
      <c r="BD62" s="1311">
        <v>1000</v>
      </c>
      <c r="BE62" s="350"/>
    </row>
    <row r="63" spans="1:57" ht="15">
      <c r="A63">
        <v>157.1</v>
      </c>
      <c r="W63" s="350"/>
      <c r="X63" s="350"/>
      <c r="Y63" s="350"/>
      <c r="Z63" s="350"/>
      <c r="AA63" s="350"/>
      <c r="AB63" s="350"/>
      <c r="AC63" s="350"/>
      <c r="AD63" s="350"/>
      <c r="AE63" s="350"/>
      <c r="AF63" s="350">
        <v>59</v>
      </c>
      <c r="AG63" s="350">
        <v>316.2</v>
      </c>
      <c r="AH63" s="1311">
        <v>47.9</v>
      </c>
      <c r="AI63" s="1311"/>
      <c r="AJ63" s="350">
        <v>436.5</v>
      </c>
      <c r="AK63" s="350"/>
      <c r="AV63" s="350"/>
      <c r="AW63" s="350"/>
      <c r="AX63" s="350"/>
      <c r="AY63" s="350"/>
      <c r="AZ63" s="350"/>
      <c r="BA63" s="350"/>
      <c r="BB63" s="350"/>
      <c r="BC63" s="1311">
        <v>3450</v>
      </c>
      <c r="BD63" s="1311">
        <v>1318.3</v>
      </c>
      <c r="BE63" s="350"/>
    </row>
    <row r="64" spans="1:57" ht="15">
      <c r="W64" s="350"/>
      <c r="X64" s="350"/>
      <c r="Y64" s="350"/>
      <c r="Z64" s="350"/>
      <c r="AA64" s="350"/>
      <c r="AB64" s="350"/>
      <c r="AC64" s="350"/>
      <c r="AD64" s="350"/>
      <c r="AE64" s="350"/>
      <c r="AF64" s="350">
        <v>725</v>
      </c>
      <c r="AG64" s="350">
        <v>199.5</v>
      </c>
      <c r="AH64" s="1311">
        <v>3388.4</v>
      </c>
      <c r="AI64" s="1311"/>
      <c r="AJ64" s="350">
        <v>17378</v>
      </c>
      <c r="AK64" s="350"/>
      <c r="AV64" s="350"/>
      <c r="AW64" s="350"/>
      <c r="AX64" s="350"/>
      <c r="AY64" s="350"/>
      <c r="AZ64" s="350"/>
      <c r="BA64" s="350"/>
      <c r="BB64" s="350"/>
      <c r="BC64" s="1311">
        <v>3162.3</v>
      </c>
      <c r="BD64" s="1311">
        <v>1000</v>
      </c>
      <c r="BE64" s="350"/>
    </row>
    <row r="65" spans="1:57" ht="15.75">
      <c r="A65">
        <f>PERCENTILE(A2:A41,0.8)</f>
        <v>6679.8000000000029</v>
      </c>
      <c r="W65" s="350"/>
      <c r="X65" s="350"/>
      <c r="Y65" s="350"/>
      <c r="Z65" s="350"/>
      <c r="AA65" s="350"/>
      <c r="AB65" s="350"/>
      <c r="AC65" s="350"/>
      <c r="AD65" s="350"/>
      <c r="AE65" s="350"/>
      <c r="AF65" s="350">
        <v>543</v>
      </c>
      <c r="AG65" s="350">
        <v>316.2</v>
      </c>
      <c r="AH65" s="1311">
        <v>6309.6</v>
      </c>
      <c r="AI65" s="1311"/>
      <c r="AJ65" s="350">
        <v>7585.8</v>
      </c>
      <c r="AK65" s="350"/>
      <c r="AV65" s="350"/>
      <c r="AW65" s="350"/>
      <c r="AX65" s="350"/>
      <c r="AY65" s="350"/>
      <c r="AZ65" s="350"/>
      <c r="BA65" s="350"/>
      <c r="BB65" s="350"/>
      <c r="BC65" s="1303">
        <v>61.3</v>
      </c>
      <c r="BD65" s="1311">
        <v>1047.0999999999999</v>
      </c>
      <c r="BE65" s="350"/>
    </row>
    <row r="66" spans="1:57" ht="15.75">
      <c r="W66" s="350"/>
      <c r="X66" s="350"/>
      <c r="Y66" s="350"/>
      <c r="Z66" s="350"/>
      <c r="AA66" s="350"/>
      <c r="AB66" s="350"/>
      <c r="AC66" s="350"/>
      <c r="AD66" s="350"/>
      <c r="AE66" s="350"/>
      <c r="AF66" s="350">
        <v>740</v>
      </c>
      <c r="AG66" s="350"/>
      <c r="AH66" s="1311">
        <v>1698.2</v>
      </c>
      <c r="AI66" s="1311"/>
      <c r="AJ66" s="350">
        <v>29512.1</v>
      </c>
      <c r="AK66" s="350"/>
      <c r="AV66" s="350"/>
      <c r="AW66" s="350"/>
      <c r="AX66" s="350"/>
      <c r="AY66" s="350"/>
      <c r="AZ66" s="350"/>
      <c r="BA66" s="350"/>
      <c r="BB66" s="350"/>
      <c r="BC66" s="1310">
        <v>1277</v>
      </c>
      <c r="BD66" s="1311">
        <v>1202.3</v>
      </c>
      <c r="BE66" s="350"/>
    </row>
    <row r="67" spans="1:57" ht="15.75">
      <c r="W67" s="350"/>
      <c r="X67" s="350"/>
      <c r="Y67" s="350"/>
      <c r="Z67" s="350"/>
      <c r="AA67" s="350"/>
      <c r="AB67" s="350"/>
      <c r="AC67" s="350"/>
      <c r="AD67" s="350"/>
      <c r="AE67" s="350"/>
      <c r="AF67" s="350">
        <v>330</v>
      </c>
      <c r="AG67" s="350"/>
      <c r="AH67" s="1311">
        <v>9120.1</v>
      </c>
      <c r="AI67" s="1311"/>
      <c r="AJ67" s="350">
        <v>30903</v>
      </c>
      <c r="AK67" s="350"/>
      <c r="AV67" s="350"/>
      <c r="AW67" s="350"/>
      <c r="AX67" s="350"/>
      <c r="AY67" s="350"/>
      <c r="AZ67" s="350"/>
      <c r="BA67" s="350"/>
      <c r="BB67" s="350"/>
      <c r="BC67" s="1303">
        <v>80.8</v>
      </c>
      <c r="BD67" s="1311">
        <v>346.7</v>
      </c>
      <c r="BE67" s="350"/>
    </row>
    <row r="68" spans="1:57" ht="15.75">
      <c r="W68" s="350"/>
      <c r="X68" s="350"/>
      <c r="Y68" s="350"/>
      <c r="Z68" s="350"/>
      <c r="AA68" s="350"/>
      <c r="AB68" s="350"/>
      <c r="AC68" s="350"/>
      <c r="AD68" s="350"/>
      <c r="AE68" s="350"/>
      <c r="AF68" s="350">
        <v>9680</v>
      </c>
      <c r="AG68" s="350"/>
      <c r="AH68" s="1311">
        <v>9549.9</v>
      </c>
      <c r="AI68" s="1311"/>
      <c r="AJ68" s="350">
        <v>18620.900000000001</v>
      </c>
      <c r="AK68" s="350"/>
      <c r="AV68" s="350"/>
      <c r="AW68" s="350"/>
      <c r="AX68" s="350"/>
      <c r="AY68" s="350"/>
      <c r="AZ68" s="350"/>
      <c r="BA68" s="350"/>
      <c r="BB68" s="350"/>
      <c r="BC68" s="1310">
        <v>1045.3</v>
      </c>
      <c r="BD68" s="1311">
        <v>436.5</v>
      </c>
      <c r="BE68" s="350"/>
    </row>
    <row r="69" spans="1:57" ht="15.75">
      <c r="W69" s="350"/>
      <c r="X69" s="350"/>
      <c r="Y69" s="350"/>
      <c r="Z69" s="350"/>
      <c r="AA69" s="350"/>
      <c r="AB69" s="350"/>
      <c r="AC69" s="350"/>
      <c r="AD69" s="350"/>
      <c r="AE69" s="350"/>
      <c r="AF69" s="350">
        <v>8160</v>
      </c>
      <c r="AG69" s="350"/>
      <c r="AH69" s="1311">
        <v>4466.8</v>
      </c>
      <c r="AI69" s="1311"/>
      <c r="AJ69" s="350">
        <v>56234.1</v>
      </c>
      <c r="AK69" s="350"/>
      <c r="AV69" s="350"/>
      <c r="AW69" s="350"/>
      <c r="AX69" s="350"/>
      <c r="AY69" s="350"/>
      <c r="AZ69" s="350"/>
      <c r="BA69" s="350"/>
      <c r="BB69" s="350"/>
      <c r="BC69" s="1303">
        <v>53.3</v>
      </c>
      <c r="BD69" s="1311">
        <v>1862.1</v>
      </c>
      <c r="BE69" s="350"/>
    </row>
    <row r="70" spans="1:57" ht="15.75">
      <c r="W70" s="350"/>
      <c r="X70" s="350"/>
      <c r="Y70" s="350"/>
      <c r="Z70" s="350"/>
      <c r="AA70" s="350"/>
      <c r="AB70" s="350"/>
      <c r="AC70" s="350"/>
      <c r="AD70" s="350"/>
      <c r="AE70" s="350"/>
      <c r="AF70" s="350">
        <v>85.1</v>
      </c>
      <c r="AG70" s="350"/>
      <c r="AH70" s="1311">
        <v>6025.6</v>
      </c>
      <c r="AI70" s="1311"/>
      <c r="AJ70" s="350">
        <v>69183.100000000006</v>
      </c>
      <c r="AK70" s="350"/>
      <c r="AV70" s="350"/>
      <c r="AW70" s="350"/>
      <c r="AX70" s="350"/>
      <c r="AY70" s="350"/>
      <c r="AZ70" s="350"/>
      <c r="BA70" s="350"/>
      <c r="BB70" s="350"/>
      <c r="BC70" s="1303">
        <v>852.3</v>
      </c>
      <c r="BD70" s="1311">
        <v>1737.8</v>
      </c>
      <c r="BE70" s="350"/>
    </row>
    <row r="71" spans="1:57" ht="15.75">
      <c r="W71" s="350"/>
      <c r="X71" s="350"/>
      <c r="Y71" s="350"/>
      <c r="Z71" s="350"/>
      <c r="AA71" s="350"/>
      <c r="AB71" s="350"/>
      <c r="AC71" s="350"/>
      <c r="AD71" s="350"/>
      <c r="AE71" s="350"/>
      <c r="AF71" s="350">
        <v>17.399999999999999</v>
      </c>
      <c r="AG71" s="350"/>
      <c r="AH71" s="1311">
        <v>302</v>
      </c>
      <c r="AI71" s="1311"/>
      <c r="AJ71" s="350">
        <v>1230.3</v>
      </c>
      <c r="AK71" s="350"/>
      <c r="AV71" s="350"/>
      <c r="AW71" s="350"/>
      <c r="AX71" s="350"/>
      <c r="AY71" s="350"/>
      <c r="AZ71" s="350"/>
      <c r="BA71" s="350"/>
      <c r="BB71" s="350"/>
      <c r="BC71" s="1306">
        <v>270</v>
      </c>
      <c r="BD71" s="1311">
        <v>101829</v>
      </c>
      <c r="BE71" s="350"/>
    </row>
    <row r="72" spans="1:57" ht="15.75">
      <c r="W72" s="350"/>
      <c r="X72" s="350"/>
      <c r="Y72" s="350"/>
      <c r="Z72" s="350"/>
      <c r="AA72" s="350"/>
      <c r="AB72" s="350"/>
      <c r="AC72" s="350"/>
      <c r="AD72" s="350"/>
      <c r="AE72" s="350"/>
      <c r="AF72" s="350">
        <v>2.9</v>
      </c>
      <c r="AG72" s="350"/>
      <c r="AH72" s="1311"/>
      <c r="AI72" s="1311"/>
      <c r="AJ72" s="350"/>
      <c r="AK72" s="350"/>
      <c r="AV72" s="350"/>
      <c r="AW72" s="350"/>
      <c r="AX72" s="350"/>
      <c r="AY72" s="350"/>
      <c r="AZ72" s="350"/>
      <c r="BA72" s="350"/>
      <c r="BB72" s="350"/>
      <c r="BC72" s="1306">
        <v>560</v>
      </c>
      <c r="BD72" s="1311">
        <v>415416</v>
      </c>
      <c r="BE72" s="350"/>
    </row>
    <row r="73" spans="1:57" ht="15.75">
      <c r="W73" s="350"/>
      <c r="X73" s="350"/>
      <c r="Y73" s="350"/>
      <c r="Z73" s="350"/>
      <c r="AA73" s="350"/>
      <c r="AB73" s="350"/>
      <c r="AC73" s="350"/>
      <c r="AD73" s="350"/>
      <c r="AE73" s="350"/>
      <c r="AF73" s="350">
        <v>182</v>
      </c>
      <c r="AG73" s="350"/>
      <c r="AH73" s="1311"/>
      <c r="AI73" s="1311"/>
      <c r="AJ73" s="350"/>
      <c r="AK73" s="350"/>
      <c r="AV73" s="350"/>
      <c r="AW73" s="350"/>
      <c r="AX73" s="350"/>
      <c r="AY73" s="350"/>
      <c r="AZ73" s="350"/>
      <c r="BA73" s="350"/>
      <c r="BB73" s="350"/>
      <c r="BC73" s="1308">
        <v>1300</v>
      </c>
      <c r="BD73" s="1311"/>
      <c r="BE73" s="350"/>
    </row>
    <row r="74" spans="1:57" ht="15.75">
      <c r="W74" s="350"/>
      <c r="X74" s="350"/>
      <c r="Y74" s="350"/>
      <c r="Z74" s="350"/>
      <c r="AA74" s="350"/>
      <c r="AB74" s="350"/>
      <c r="AC74" s="350"/>
      <c r="AD74" s="350"/>
      <c r="AE74" s="350"/>
      <c r="AF74" s="350">
        <v>588.79999999999995</v>
      </c>
      <c r="AG74" s="350"/>
      <c r="AH74" s="1311"/>
      <c r="AI74" s="1311"/>
      <c r="AJ74" s="350"/>
      <c r="AK74" s="350"/>
      <c r="AV74" s="350"/>
      <c r="AW74" s="350"/>
      <c r="AX74" s="350"/>
      <c r="AY74" s="350"/>
      <c r="AZ74" s="350"/>
      <c r="BA74" s="350"/>
      <c r="BB74" s="350"/>
      <c r="BC74" s="1308">
        <v>3000</v>
      </c>
      <c r="BD74" s="1311"/>
      <c r="BE74" s="350"/>
    </row>
    <row r="75" spans="1:57" ht="15">
      <c r="W75" s="350"/>
      <c r="X75" s="350"/>
      <c r="Y75" s="350"/>
      <c r="Z75" s="350"/>
      <c r="AA75" s="350"/>
      <c r="AB75" s="350"/>
      <c r="AC75" s="350"/>
      <c r="AD75" s="350"/>
      <c r="AE75" s="350"/>
      <c r="AF75" s="350">
        <v>208.9</v>
      </c>
      <c r="AG75" s="350"/>
      <c r="AH75" s="1311"/>
      <c r="AI75" s="1311"/>
      <c r="AJ75" s="350"/>
      <c r="AK75" s="350"/>
      <c r="AV75" s="350"/>
      <c r="AW75" s="350"/>
      <c r="AX75" s="350"/>
      <c r="AY75" s="350"/>
      <c r="AZ75" s="350"/>
      <c r="BA75" s="350"/>
      <c r="BB75" s="350"/>
      <c r="BC75" s="1311">
        <v>6280.6</v>
      </c>
      <c r="BD75" s="1311"/>
      <c r="BE75" s="350"/>
    </row>
    <row r="76" spans="1:57" ht="15.75">
      <c r="W76" s="350"/>
      <c r="X76" s="350"/>
      <c r="Y76" s="350"/>
      <c r="Z76" s="350"/>
      <c r="AA76" s="350"/>
      <c r="AB76" s="350"/>
      <c r="AC76" s="350"/>
      <c r="AD76" s="350"/>
      <c r="AE76" s="350"/>
      <c r="AF76" s="350">
        <v>363.1</v>
      </c>
      <c r="AG76" s="350"/>
      <c r="AH76" s="1308"/>
      <c r="AI76" s="1308"/>
      <c r="AJ76" s="350"/>
      <c r="AK76" s="350"/>
      <c r="AV76" s="350"/>
      <c r="AW76" s="350"/>
      <c r="AX76" s="350"/>
      <c r="AY76" s="350"/>
      <c r="AZ76" s="350"/>
      <c r="BA76" s="350"/>
      <c r="BB76" s="350"/>
      <c r="BC76" s="1311">
        <v>2037</v>
      </c>
      <c r="BD76" s="1308"/>
      <c r="BE76" s="350"/>
    </row>
    <row r="77" spans="1:57" ht="15.75">
      <c r="W77" s="350"/>
      <c r="X77" s="350"/>
      <c r="Y77" s="350"/>
      <c r="Z77" s="350"/>
      <c r="AA77" s="350"/>
      <c r="AB77" s="350"/>
      <c r="AC77" s="350"/>
      <c r="AD77" s="350"/>
      <c r="AE77" s="350"/>
      <c r="AF77" s="350">
        <v>316.2</v>
      </c>
      <c r="AG77" s="350"/>
      <c r="AH77" s="1308"/>
      <c r="AI77" s="1308"/>
      <c r="AJ77" s="350"/>
      <c r="AK77" s="350"/>
      <c r="AV77" s="350"/>
      <c r="AW77" s="350"/>
      <c r="AX77" s="350"/>
      <c r="AY77" s="350"/>
      <c r="AZ77" s="350"/>
      <c r="BA77" s="350"/>
      <c r="BB77" s="350"/>
      <c r="BC77" s="1311">
        <v>9638.2999999999993</v>
      </c>
      <c r="BD77" s="1308"/>
      <c r="BE77" s="350"/>
    </row>
    <row r="78" spans="1:57" ht="15.75">
      <c r="W78" s="350"/>
      <c r="X78" s="350"/>
      <c r="Y78" s="350"/>
      <c r="Z78" s="350"/>
      <c r="AA78" s="350"/>
      <c r="AB78" s="350"/>
      <c r="AC78" s="350"/>
      <c r="AD78" s="350"/>
      <c r="AE78" s="350"/>
      <c r="AF78" s="350">
        <v>4073.8</v>
      </c>
      <c r="AG78" s="350"/>
      <c r="AH78" s="1308"/>
      <c r="AI78" s="1308"/>
      <c r="AJ78" s="350"/>
      <c r="AK78" s="350"/>
      <c r="AV78" s="350"/>
      <c r="AW78" s="350"/>
      <c r="AX78" s="350"/>
      <c r="AY78" s="350"/>
      <c r="AZ78" s="350"/>
      <c r="BA78" s="350"/>
      <c r="BB78" s="350"/>
      <c r="BC78" s="1311">
        <v>2964.8</v>
      </c>
      <c r="BD78" s="1308"/>
      <c r="BE78" s="350"/>
    </row>
    <row r="79" spans="1:57" ht="15.75">
      <c r="W79" s="350"/>
      <c r="X79" s="350"/>
      <c r="Y79" s="350"/>
      <c r="Z79" s="350"/>
      <c r="AA79" s="350"/>
      <c r="AB79" s="350"/>
      <c r="AC79" s="350"/>
      <c r="AD79" s="350"/>
      <c r="AE79" s="350"/>
      <c r="AF79" s="350">
        <v>602.6</v>
      </c>
      <c r="AG79" s="350"/>
      <c r="AH79" s="1308"/>
      <c r="AI79" s="1308"/>
      <c r="AJ79" s="350"/>
      <c r="AK79" s="350"/>
      <c r="AV79" s="350"/>
      <c r="AW79" s="350"/>
      <c r="AX79" s="350"/>
      <c r="AY79" s="350"/>
      <c r="AZ79" s="350"/>
      <c r="BA79" s="350"/>
      <c r="BB79" s="350"/>
      <c r="BC79" s="1311">
        <v>2884</v>
      </c>
      <c r="BD79" s="1308"/>
      <c r="BE79" s="350"/>
    </row>
    <row r="80" spans="1:57" ht="15">
      <c r="W80" s="350"/>
      <c r="X80" s="350"/>
      <c r="Y80" s="350"/>
      <c r="Z80" s="350"/>
      <c r="AA80" s="350"/>
      <c r="AB80" s="350"/>
      <c r="AC80" s="350"/>
      <c r="AD80" s="350"/>
      <c r="AE80" s="350"/>
      <c r="AF80" s="350">
        <v>58.9</v>
      </c>
      <c r="AG80" s="350"/>
      <c r="AH80" s="1304"/>
      <c r="AI80" s="1304"/>
      <c r="AJ80" s="350"/>
      <c r="AK80" s="350"/>
      <c r="AV80" s="350"/>
      <c r="AW80" s="350"/>
      <c r="AX80" s="350"/>
      <c r="AY80" s="350"/>
      <c r="AZ80" s="350"/>
      <c r="BA80" s="350"/>
      <c r="BB80" s="350"/>
      <c r="BC80" s="1311">
        <v>5888.4</v>
      </c>
      <c r="BD80" s="1304"/>
      <c r="BE80" s="350"/>
    </row>
    <row r="81" spans="23:57" ht="15">
      <c r="W81" s="350"/>
      <c r="X81" s="350"/>
      <c r="Y81" s="350"/>
      <c r="Z81" s="350"/>
      <c r="AA81" s="350"/>
      <c r="AB81" s="350"/>
      <c r="AC81" s="350"/>
      <c r="AD81" s="350"/>
      <c r="AE81" s="350"/>
      <c r="AF81" s="350"/>
      <c r="AG81" s="350"/>
      <c r="AH81" s="1304"/>
      <c r="AI81" s="1304"/>
      <c r="AJ81" s="350"/>
      <c r="AK81" s="350"/>
      <c r="AV81" s="350"/>
      <c r="AW81" s="350"/>
      <c r="AX81" s="350"/>
      <c r="AY81" s="350"/>
      <c r="AZ81" s="350"/>
      <c r="BA81" s="350"/>
      <c r="BB81" s="350"/>
      <c r="BC81" s="1311">
        <v>5011.8999999999996</v>
      </c>
      <c r="BD81" s="1304"/>
      <c r="BE81" s="350"/>
    </row>
    <row r="82" spans="23:57" ht="15">
      <c r="W82" s="350"/>
      <c r="X82" s="350"/>
      <c r="Y82" s="350"/>
      <c r="Z82" s="350"/>
      <c r="AA82" s="350"/>
      <c r="AB82" s="350"/>
      <c r="AC82" s="350"/>
      <c r="AD82" s="350"/>
      <c r="AE82" s="350"/>
      <c r="AF82" s="350"/>
      <c r="AG82" s="350"/>
      <c r="AH82" s="1304"/>
      <c r="AI82" s="1304"/>
      <c r="AJ82" s="350"/>
      <c r="AK82" s="350"/>
      <c r="AV82" s="350"/>
      <c r="AW82" s="350"/>
      <c r="AX82" s="350"/>
      <c r="AY82" s="350"/>
      <c r="AZ82" s="350"/>
      <c r="BA82" s="350"/>
      <c r="BB82" s="350"/>
      <c r="BC82" s="1311">
        <v>5688.5</v>
      </c>
      <c r="BD82" s="1304"/>
      <c r="BE82" s="350"/>
    </row>
    <row r="83" spans="23:57" ht="15">
      <c r="W83" s="350"/>
      <c r="X83" s="350"/>
      <c r="Y83" s="350"/>
      <c r="Z83" s="350"/>
      <c r="AA83" s="350"/>
      <c r="AB83" s="350"/>
      <c r="AC83" s="350"/>
      <c r="AH83" s="1311"/>
      <c r="AI83" s="1311"/>
      <c r="AJ83" s="350"/>
      <c r="AK83" s="350"/>
      <c r="AV83" s="350"/>
      <c r="AW83" s="350"/>
      <c r="AX83" s="350"/>
      <c r="BC83" s="1311">
        <v>4425.8999999999996</v>
      </c>
      <c r="BD83" s="1311"/>
      <c r="BE83" s="350"/>
    </row>
    <row r="84" spans="23:57" ht="15">
      <c r="W84" s="350"/>
      <c r="X84" s="350"/>
      <c r="Y84" s="350"/>
      <c r="Z84" s="350"/>
      <c r="AA84" s="350"/>
      <c r="AB84" s="350"/>
      <c r="AC84" s="350"/>
      <c r="AH84" s="1311"/>
      <c r="AI84" s="1311"/>
      <c r="AK84" s="350"/>
      <c r="AV84" s="350"/>
      <c r="AW84" s="350"/>
      <c r="AX84" s="350"/>
      <c r="BC84" s="1304">
        <v>741.3</v>
      </c>
      <c r="BD84" s="1311"/>
      <c r="BE84" s="350"/>
    </row>
    <row r="85" spans="23:57" ht="15">
      <c r="W85" s="350"/>
      <c r="X85" s="350"/>
      <c r="Y85" s="350"/>
      <c r="Z85" s="350"/>
      <c r="AA85" s="350"/>
      <c r="AB85" s="350"/>
      <c r="AC85" s="350"/>
      <c r="AK85" s="350"/>
      <c r="AV85" s="350"/>
      <c r="AW85" s="350"/>
      <c r="AX85" s="350"/>
      <c r="BC85" s="1311">
        <v>1963.4</v>
      </c>
      <c r="BE85" s="350"/>
    </row>
    <row r="86" spans="23:57" ht="15">
      <c r="W86" s="350"/>
      <c r="X86" s="350"/>
      <c r="Y86" s="350"/>
      <c r="Z86" s="350"/>
      <c r="AA86" s="350"/>
      <c r="AB86" s="350"/>
      <c r="AC86" s="350"/>
      <c r="AK86" s="350"/>
      <c r="AV86" s="350"/>
      <c r="AW86" s="350"/>
      <c r="AX86" s="350"/>
      <c r="BC86" s="1311">
        <v>10715.2</v>
      </c>
      <c r="BE86" s="350"/>
    </row>
    <row r="87" spans="23:57" ht="15">
      <c r="W87" s="350"/>
      <c r="X87" s="350"/>
      <c r="Y87" s="350"/>
      <c r="Z87" s="350"/>
      <c r="AA87" s="350"/>
      <c r="AB87" s="350"/>
      <c r="AC87" s="350"/>
      <c r="AK87" s="350"/>
      <c r="AV87" s="350"/>
      <c r="AW87" s="350"/>
      <c r="AX87" s="350"/>
      <c r="BC87" s="1311">
        <v>7464.5</v>
      </c>
      <c r="BE87" s="350"/>
    </row>
    <row r="88" spans="23:57" ht="15">
      <c r="W88" s="350"/>
      <c r="X88" s="350"/>
      <c r="Y88" s="350"/>
      <c r="Z88" s="350"/>
      <c r="AA88" s="350"/>
      <c r="AB88" s="350"/>
      <c r="AC88" s="350"/>
      <c r="AK88" s="350"/>
      <c r="AV88" s="350"/>
      <c r="AW88" s="350"/>
      <c r="AX88" s="350"/>
      <c r="BC88" s="1311">
        <v>19998.599999999999</v>
      </c>
      <c r="BE88" s="350"/>
    </row>
    <row r="89" spans="23:57" ht="15">
      <c r="W89" s="350"/>
      <c r="X89" s="350"/>
      <c r="Y89" s="350"/>
      <c r="Z89" s="350"/>
      <c r="AA89" s="350"/>
      <c r="AB89" s="350"/>
      <c r="AC89" s="350"/>
      <c r="AK89" s="350"/>
      <c r="AV89" s="350"/>
      <c r="AW89" s="350"/>
      <c r="AX89" s="350"/>
      <c r="BC89" s="1311">
        <v>6886.5</v>
      </c>
      <c r="BE89" s="350"/>
    </row>
    <row r="90" spans="23:57" ht="15">
      <c r="W90" s="350"/>
      <c r="X90" s="350"/>
      <c r="Y90" s="350"/>
      <c r="Z90" s="350"/>
      <c r="AA90" s="350"/>
      <c r="AB90" s="350"/>
      <c r="AC90" s="350"/>
      <c r="AK90" s="350"/>
      <c r="AV90" s="350"/>
      <c r="AW90" s="350"/>
      <c r="AX90" s="350"/>
      <c r="BC90" s="1311">
        <v>8165.8</v>
      </c>
      <c r="BE90" s="350"/>
    </row>
    <row r="91" spans="23:57" ht="15">
      <c r="W91" s="350"/>
      <c r="X91" s="350"/>
      <c r="Y91" s="350"/>
      <c r="Z91" s="350"/>
      <c r="AA91" s="350"/>
      <c r="AB91" s="350"/>
      <c r="AC91" s="350"/>
      <c r="AK91" s="350"/>
      <c r="AV91" s="350"/>
      <c r="AW91" s="350"/>
      <c r="AX91" s="350"/>
      <c r="BC91" s="1311">
        <v>11481.5</v>
      </c>
      <c r="BE91" s="350"/>
    </row>
    <row r="92" spans="23:57" ht="15">
      <c r="W92" s="350"/>
      <c r="X92" s="350"/>
      <c r="Y92" s="350"/>
      <c r="Z92" s="350"/>
      <c r="AA92" s="350"/>
      <c r="AB92" s="350"/>
      <c r="AC92" s="350"/>
      <c r="AK92" s="350"/>
      <c r="AV92" s="350"/>
      <c r="AW92" s="350"/>
      <c r="AX92" s="350"/>
      <c r="BC92" s="1311">
        <v>8995</v>
      </c>
      <c r="BE92" s="350"/>
    </row>
    <row r="93" spans="23:57" ht="15">
      <c r="W93" s="350"/>
      <c r="X93" s="350"/>
      <c r="Y93" s="350"/>
      <c r="Z93" s="350"/>
      <c r="AA93" s="350"/>
      <c r="AB93" s="350"/>
      <c r="AC93" s="350"/>
      <c r="AK93" s="350"/>
      <c r="AV93" s="350"/>
      <c r="AW93" s="350"/>
      <c r="AX93" s="350"/>
      <c r="BC93" s="1311">
        <v>11803.2</v>
      </c>
      <c r="BE93" s="350"/>
    </row>
    <row r="94" spans="23:57" ht="15">
      <c r="W94" s="350"/>
      <c r="X94" s="350"/>
      <c r="Y94" s="350"/>
      <c r="Z94" s="350"/>
      <c r="AA94" s="350"/>
      <c r="AB94" s="350"/>
      <c r="AC94" s="350"/>
      <c r="AK94" s="350"/>
      <c r="AV94" s="350"/>
      <c r="AW94" s="350"/>
      <c r="AX94" s="350"/>
      <c r="BC94" s="1311">
        <v>9225.7000000000007</v>
      </c>
      <c r="BE94" s="350"/>
    </row>
    <row r="95" spans="23:57" ht="15">
      <c r="W95" s="350"/>
      <c r="X95" s="350"/>
      <c r="Y95" s="350"/>
      <c r="Z95" s="350"/>
      <c r="AA95" s="350"/>
      <c r="AB95" s="350"/>
      <c r="AC95" s="350"/>
      <c r="AK95" s="350"/>
      <c r="AV95" s="350"/>
      <c r="AW95" s="350"/>
      <c r="AX95" s="350"/>
      <c r="BC95" s="1311">
        <v>1566.8</v>
      </c>
      <c r="BE95" s="350"/>
    </row>
    <row r="96" spans="23:57" ht="15">
      <c r="W96" s="350"/>
      <c r="X96" s="350"/>
      <c r="Y96" s="350"/>
      <c r="Z96" s="350"/>
      <c r="AA96" s="350"/>
      <c r="AB96" s="350"/>
      <c r="AC96" s="350"/>
      <c r="AK96" s="350"/>
      <c r="AV96" s="350"/>
      <c r="AW96" s="350"/>
      <c r="AX96" s="350"/>
      <c r="BC96" s="1311">
        <v>2818.4</v>
      </c>
      <c r="BE96" s="350"/>
    </row>
    <row r="97" spans="23:57" ht="15">
      <c r="X97" s="350"/>
      <c r="Y97" s="350"/>
      <c r="Z97" s="350"/>
      <c r="AA97" s="350"/>
      <c r="AB97" s="350"/>
      <c r="AC97" s="350"/>
      <c r="AK97" s="350"/>
      <c r="AV97" s="350"/>
      <c r="AW97" s="350"/>
      <c r="AX97" s="350"/>
      <c r="BC97" s="1311">
        <v>8850</v>
      </c>
      <c r="BE97" s="350"/>
    </row>
    <row r="98" spans="23:57" ht="15.75">
      <c r="W98" s="350"/>
      <c r="X98" s="350"/>
      <c r="Y98" s="350"/>
      <c r="Z98" s="350"/>
      <c r="AA98" s="350"/>
      <c r="AB98" s="350"/>
      <c r="AC98" s="350"/>
      <c r="AK98" s="350"/>
      <c r="AV98" s="350"/>
      <c r="AW98" s="350"/>
      <c r="AX98" s="350"/>
      <c r="BC98" s="1308">
        <v>6093</v>
      </c>
      <c r="BE98" s="350"/>
    </row>
    <row r="99" spans="23:57" ht="15.75">
      <c r="W99" s="350"/>
      <c r="X99" s="350"/>
      <c r="Y99" s="350"/>
      <c r="Z99" s="350"/>
      <c r="AA99" s="350"/>
      <c r="AB99" s="350"/>
      <c r="AC99" s="350"/>
      <c r="AK99" s="350"/>
      <c r="AV99" s="350"/>
      <c r="AW99" s="350"/>
      <c r="AX99" s="350"/>
      <c r="BC99" s="1308">
        <v>11754</v>
      </c>
      <c r="BE99" s="350"/>
    </row>
    <row r="100" spans="23:57" ht="15.75">
      <c r="W100" s="350"/>
      <c r="X100" s="350"/>
      <c r="Y100" s="350"/>
      <c r="Z100" s="350"/>
      <c r="AA100" s="350"/>
      <c r="AK100" s="350"/>
      <c r="AV100" s="350"/>
      <c r="AW100" s="350"/>
      <c r="AX100" s="350"/>
      <c r="BC100" s="1308">
        <v>6000</v>
      </c>
      <c r="BE100" s="350"/>
    </row>
    <row r="101" spans="23:57" ht="15.75">
      <c r="W101" s="350"/>
      <c r="X101" s="350"/>
      <c r="Y101" s="350"/>
      <c r="Z101" s="350"/>
      <c r="AA101" s="350"/>
      <c r="AK101" s="350"/>
      <c r="AV101" s="350"/>
      <c r="AW101" s="350"/>
      <c r="AX101" s="350"/>
      <c r="BC101" s="1308">
        <v>26000</v>
      </c>
      <c r="BE101" s="350"/>
    </row>
    <row r="102" spans="23:57" ht="15">
      <c r="W102" s="350"/>
      <c r="X102" s="350"/>
      <c r="Y102" s="350"/>
      <c r="Z102" s="350"/>
      <c r="AA102" s="350"/>
      <c r="AH102" s="1"/>
      <c r="AI102" s="1"/>
      <c r="AK102" s="350"/>
      <c r="AV102" s="350"/>
      <c r="AW102" s="350"/>
      <c r="AX102" s="350"/>
      <c r="BC102" s="1304">
        <v>240</v>
      </c>
      <c r="BD102" s="1"/>
      <c r="BE102" s="350"/>
    </row>
    <row r="103" spans="23:57" ht="15">
      <c r="W103" s="350"/>
      <c r="X103" s="350"/>
      <c r="Y103" s="350"/>
      <c r="Z103" s="350"/>
      <c r="AA103" s="350"/>
      <c r="AH103" s="55"/>
      <c r="AI103" s="55"/>
      <c r="AK103" s="350"/>
      <c r="AV103" s="350"/>
      <c r="AW103" s="350"/>
      <c r="AX103" s="350"/>
      <c r="BC103" s="1304">
        <v>450</v>
      </c>
      <c r="BD103" s="55"/>
      <c r="BE103" s="350"/>
    </row>
    <row r="104" spans="23:57" ht="15">
      <c r="W104" s="350"/>
      <c r="X104" s="350"/>
      <c r="Y104" s="350"/>
      <c r="Z104" s="350"/>
      <c r="AA104" s="350"/>
      <c r="AD104" s="1"/>
      <c r="AE104" s="1"/>
      <c r="AF104" s="1"/>
      <c r="AG104" s="1"/>
      <c r="AH104" s="55"/>
      <c r="AI104" s="55"/>
      <c r="AK104" s="350"/>
      <c r="AV104" s="350"/>
      <c r="AW104" s="350"/>
      <c r="AX104" s="350"/>
      <c r="AY104" s="1"/>
      <c r="AZ104" s="1"/>
      <c r="BA104" s="1"/>
      <c r="BB104" s="1"/>
      <c r="BC104" s="1304">
        <v>180</v>
      </c>
      <c r="BD104" s="55"/>
      <c r="BE104" s="350"/>
    </row>
    <row r="105" spans="23:57" ht="15">
      <c r="W105" s="350"/>
      <c r="X105" s="350"/>
      <c r="Y105" s="350"/>
      <c r="Z105" s="350"/>
      <c r="AA105" s="350"/>
      <c r="AD105" s="55"/>
      <c r="AE105" s="55"/>
      <c r="AF105" s="55"/>
      <c r="AG105" s="55"/>
      <c r="AH105" s="55"/>
      <c r="AI105" s="55"/>
      <c r="AJ105" s="1"/>
      <c r="AK105" s="350"/>
      <c r="AV105" s="350"/>
      <c r="AW105" s="350"/>
      <c r="AX105" s="350"/>
      <c r="AY105" s="55"/>
      <c r="AZ105" s="55"/>
      <c r="BA105" s="55"/>
      <c r="BB105" s="55"/>
      <c r="BC105" s="1311">
        <v>3800</v>
      </c>
      <c r="BD105" s="55"/>
      <c r="BE105" s="350"/>
    </row>
    <row r="106" spans="23:57" ht="15">
      <c r="AD106" s="55"/>
      <c r="AE106" s="55"/>
      <c r="AF106" s="55"/>
      <c r="AG106" s="55"/>
      <c r="AH106" s="55"/>
      <c r="AI106" s="55"/>
      <c r="AJ106" s="55"/>
      <c r="AY106" s="55"/>
      <c r="AZ106" s="55"/>
      <c r="BA106" s="55"/>
      <c r="BB106" s="55"/>
      <c r="BC106" s="1311">
        <v>1100</v>
      </c>
      <c r="BD106" s="55"/>
    </row>
    <row r="107" spans="23:57" ht="15.75">
      <c r="AD107" s="55"/>
      <c r="AE107" s="55"/>
      <c r="AF107" s="55"/>
      <c r="AG107" s="55"/>
      <c r="AH107" s="55"/>
      <c r="AI107" s="55"/>
      <c r="AJ107" s="55"/>
      <c r="AY107" s="55"/>
      <c r="AZ107" s="55"/>
      <c r="BA107" s="55"/>
      <c r="BB107" s="55"/>
      <c r="BC107" s="1319">
        <v>4600</v>
      </c>
      <c r="BD107" s="55"/>
    </row>
    <row r="108" spans="23:57" ht="15.75">
      <c r="AD108" s="55"/>
      <c r="AE108" s="55"/>
      <c r="AF108" s="55"/>
      <c r="AG108" s="55"/>
      <c r="AH108" s="55"/>
      <c r="AI108" s="55"/>
      <c r="AJ108" s="55"/>
      <c r="AY108" s="55"/>
      <c r="AZ108" s="55"/>
      <c r="BA108" s="55"/>
      <c r="BB108" s="55"/>
      <c r="BC108" s="1319">
        <v>11000</v>
      </c>
      <c r="BD108" s="55"/>
    </row>
    <row r="109" spans="23:57" ht="15">
      <c r="AD109" s="55"/>
      <c r="AE109" s="55"/>
      <c r="AF109" s="55"/>
      <c r="AG109" s="55"/>
      <c r="AH109" s="55"/>
      <c r="AI109" s="55"/>
      <c r="AJ109" s="55"/>
      <c r="AY109" s="55"/>
      <c r="AZ109" s="55"/>
      <c r="BA109" s="55"/>
      <c r="BB109" s="55"/>
      <c r="BC109" s="1311">
        <v>6430</v>
      </c>
      <c r="BD109" s="55"/>
    </row>
    <row r="110" spans="23:57" ht="15">
      <c r="AD110" s="55"/>
      <c r="AE110" s="55"/>
      <c r="AF110" s="55"/>
      <c r="AG110" s="55"/>
      <c r="AH110" s="55"/>
      <c r="AI110" s="55"/>
      <c r="AJ110" s="55"/>
      <c r="AY110" s="55"/>
      <c r="AZ110" s="55"/>
      <c r="BA110" s="55"/>
      <c r="BB110" s="55"/>
      <c r="BC110" s="1311">
        <v>7960</v>
      </c>
      <c r="BD110" s="55"/>
    </row>
    <row r="111" spans="23:57" ht="15">
      <c r="AD111" s="55"/>
      <c r="AE111" s="55"/>
      <c r="AF111" s="55"/>
      <c r="AG111" s="55"/>
      <c r="AH111" s="3"/>
      <c r="AI111" s="3"/>
      <c r="AJ111" s="55"/>
      <c r="AY111" s="55"/>
      <c r="AZ111" s="55"/>
      <c r="BA111" s="55"/>
      <c r="BB111" s="55"/>
      <c r="BC111" s="1311">
        <v>5500</v>
      </c>
      <c r="BD111" s="3"/>
    </row>
    <row r="112" spans="23:57" ht="15.75">
      <c r="AD112" s="55"/>
      <c r="AE112" s="55"/>
      <c r="AF112" s="55"/>
      <c r="AG112" s="55"/>
      <c r="AJ112" s="55"/>
      <c r="AY112" s="55"/>
      <c r="AZ112" s="55"/>
      <c r="BA112" s="55"/>
      <c r="BB112" s="55"/>
      <c r="BC112" s="1319">
        <v>7244.4</v>
      </c>
    </row>
    <row r="113" spans="23:57" ht="15.75">
      <c r="AD113" s="3"/>
      <c r="AE113" s="3"/>
      <c r="AF113" s="3"/>
      <c r="AG113" s="3"/>
      <c r="AJ113" s="55"/>
      <c r="AY113" s="3"/>
      <c r="AZ113" s="3"/>
      <c r="BA113" s="3"/>
      <c r="BB113" s="3"/>
      <c r="BC113" s="1319">
        <v>4466.8</v>
      </c>
    </row>
    <row r="114" spans="23:57" ht="15.75">
      <c r="AJ114" s="3"/>
      <c r="BC114" s="1317">
        <v>537</v>
      </c>
    </row>
    <row r="115" spans="23:57" ht="15.75">
      <c r="BC115" s="1319">
        <v>22387.200000000001</v>
      </c>
    </row>
    <row r="116" spans="23:57" ht="15.75">
      <c r="BC116" s="1319">
        <v>1122</v>
      </c>
    </row>
    <row r="117" spans="23:57" ht="15.75">
      <c r="BC117" s="1319">
        <v>8709.6</v>
      </c>
    </row>
    <row r="118" spans="23:57" ht="15.75">
      <c r="BC118" s="1319">
        <v>7943.3</v>
      </c>
    </row>
    <row r="119" spans="23:57" ht="15.75">
      <c r="BC119" s="1319">
        <v>8912.5</v>
      </c>
    </row>
    <row r="120" spans="23:57" ht="15.75">
      <c r="BC120" s="1319">
        <v>10964.8</v>
      </c>
    </row>
    <row r="121" spans="23:57" ht="15.75">
      <c r="AB121" s="1"/>
      <c r="AC121" s="1"/>
      <c r="BC121" s="1319">
        <v>11481.5</v>
      </c>
    </row>
    <row r="122" spans="23:57" ht="15.75">
      <c r="AB122" s="55"/>
      <c r="AC122" s="55"/>
      <c r="BC122" s="1319">
        <v>23442.3</v>
      </c>
    </row>
    <row r="123" spans="23:57" ht="15.75">
      <c r="AB123" s="55"/>
      <c r="AC123" s="55"/>
      <c r="BC123" s="1319">
        <v>1288.2</v>
      </c>
    </row>
    <row r="124" spans="23:57" ht="15.75">
      <c r="AB124" s="55"/>
      <c r="AC124" s="55"/>
      <c r="BC124" s="1319">
        <v>10232.9</v>
      </c>
    </row>
    <row r="125" spans="23:57" ht="15.75">
      <c r="AB125" s="55"/>
      <c r="AC125" s="55"/>
      <c r="BC125" s="1319">
        <v>8912.5</v>
      </c>
    </row>
    <row r="126" spans="23:57" ht="15.75">
      <c r="AB126" s="55"/>
      <c r="AC126" s="55"/>
      <c r="BC126" s="1319">
        <v>8709.6</v>
      </c>
    </row>
    <row r="127" spans="23:57" ht="15.75">
      <c r="W127" s="1"/>
      <c r="X127" s="1"/>
      <c r="Y127" s="1"/>
      <c r="Z127" s="1"/>
      <c r="AA127" s="1"/>
      <c r="AB127" s="55"/>
      <c r="AC127" s="55"/>
      <c r="AK127" s="1"/>
      <c r="AV127" s="1"/>
      <c r="AW127" s="1"/>
      <c r="AX127" s="1"/>
      <c r="BC127" s="1319">
        <v>11749</v>
      </c>
      <c r="BE127" s="1"/>
    </row>
    <row r="128" spans="23:57" ht="15.75">
      <c r="W128" s="55"/>
      <c r="X128" s="55"/>
      <c r="Y128" s="55"/>
      <c r="Z128" s="55"/>
      <c r="AA128" s="55"/>
      <c r="AB128" s="55"/>
      <c r="AC128" s="55"/>
      <c r="AK128" s="55"/>
      <c r="AV128" s="55"/>
      <c r="AW128" s="55"/>
      <c r="AX128" s="55"/>
      <c r="BC128" s="1319">
        <v>10715.2</v>
      </c>
      <c r="BE128" s="55"/>
    </row>
    <row r="129" spans="23:57" ht="15.75">
      <c r="W129" s="55"/>
      <c r="X129" s="55"/>
      <c r="Y129" s="55"/>
      <c r="Z129" s="55"/>
      <c r="AA129" s="55"/>
      <c r="AB129" s="55"/>
      <c r="AC129" s="55"/>
      <c r="AK129" s="55"/>
      <c r="AV129" s="55"/>
      <c r="AW129" s="55"/>
      <c r="AX129" s="55"/>
      <c r="BC129" s="1319">
        <v>11749</v>
      </c>
      <c r="BE129" s="55"/>
    </row>
    <row r="130" spans="23:57" ht="15.75">
      <c r="W130" s="55"/>
      <c r="X130" s="55"/>
      <c r="Y130" s="55"/>
      <c r="Z130" s="55"/>
      <c r="AA130" s="55"/>
      <c r="AB130" s="3"/>
      <c r="AC130" s="3"/>
      <c r="AK130" s="55"/>
      <c r="AV130" s="55"/>
      <c r="AW130" s="55"/>
      <c r="AX130" s="55"/>
      <c r="BC130" s="1319">
        <v>1698.2</v>
      </c>
      <c r="BE130" s="55"/>
    </row>
    <row r="131" spans="23:57" ht="15.75">
      <c r="W131" s="55"/>
      <c r="X131" s="55"/>
      <c r="Y131" s="55"/>
      <c r="Z131" s="55"/>
      <c r="AA131" s="55"/>
      <c r="AK131" s="55"/>
      <c r="AV131" s="55"/>
      <c r="AW131" s="55"/>
      <c r="AX131" s="55"/>
      <c r="BC131" s="1319">
        <v>9772.4</v>
      </c>
      <c r="BE131" s="55"/>
    </row>
    <row r="132" spans="23:57" ht="15.75">
      <c r="W132" s="55"/>
      <c r="X132" s="55"/>
      <c r="Y132" s="55"/>
      <c r="Z132" s="55"/>
      <c r="AA132" s="55"/>
      <c r="AK132" s="55"/>
      <c r="AV132" s="55"/>
      <c r="AW132" s="55"/>
      <c r="AX132" s="55"/>
      <c r="BC132" s="1319">
        <v>15848.9</v>
      </c>
      <c r="BE132" s="55"/>
    </row>
    <row r="133" spans="23:57" ht="15.75">
      <c r="W133" s="55"/>
      <c r="X133" s="55"/>
      <c r="Y133" s="55"/>
      <c r="Z133" s="55"/>
      <c r="AA133" s="55"/>
      <c r="AK133" s="55"/>
      <c r="AV133" s="55"/>
      <c r="AW133" s="55"/>
      <c r="AX133" s="55"/>
      <c r="BC133" s="1319">
        <v>8317.6</v>
      </c>
      <c r="BE133" s="55"/>
    </row>
    <row r="134" spans="23:57" ht="15.75">
      <c r="W134" s="55"/>
      <c r="X134" s="55"/>
      <c r="Y134" s="55"/>
      <c r="Z134" s="55"/>
      <c r="AA134" s="55"/>
      <c r="AK134" s="55"/>
      <c r="AV134" s="55"/>
      <c r="AW134" s="55"/>
      <c r="AX134" s="55"/>
      <c r="BC134" s="1319">
        <v>8128.3</v>
      </c>
      <c r="BE134" s="55"/>
    </row>
    <row r="135" spans="23:57" ht="15.75">
      <c r="W135" s="55"/>
      <c r="X135" s="55"/>
      <c r="Y135" s="55"/>
      <c r="Z135" s="55"/>
      <c r="AA135" s="55"/>
      <c r="AK135" s="55"/>
      <c r="AV135" s="55"/>
      <c r="AW135" s="55"/>
      <c r="AX135" s="55"/>
      <c r="BC135" s="1319">
        <v>9549.9</v>
      </c>
      <c r="BE135" s="55"/>
    </row>
    <row r="136" spans="23:57" ht="15.75">
      <c r="AK136" s="3"/>
      <c r="AV136" s="3"/>
      <c r="BC136" s="1317">
        <v>478.6</v>
      </c>
      <c r="BE136" s="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7C169-11EA-4EE7-84BE-3227290FB622}">
  <dimension ref="A1:AP893"/>
  <sheetViews>
    <sheetView workbookViewId="0">
      <pane xSplit="2" ySplit="3" topLeftCell="AG874" activePane="bottomRight" state="frozen"/>
      <selection activeCell="AA14" sqref="AA14"/>
      <selection pane="topRight" activeCell="AA14" sqref="AA14"/>
      <selection pane="bottomLeft" activeCell="AA14" sqref="AA14"/>
      <selection pane="bottomRight" activeCell="AW876" sqref="AW876"/>
    </sheetView>
  </sheetViews>
  <sheetFormatPr defaultRowHeight="12.75"/>
  <cols>
    <col min="2" max="2" width="26.28515625" customWidth="1"/>
    <col min="23" max="23" width="9.85546875" bestFit="1" customWidth="1"/>
    <col min="30" max="30" width="14.5703125" style="1560" bestFit="1" customWidth="1"/>
    <col min="31" max="31" width="5.7109375" style="1560" customWidth="1"/>
    <col min="32" max="32" width="11.140625" style="1560" bestFit="1" customWidth="1"/>
    <col min="33" max="33" width="3.42578125" style="1560" bestFit="1" customWidth="1"/>
    <col min="34" max="34" width="13.140625" style="1560" bestFit="1" customWidth="1"/>
    <col min="35" max="35" width="5.42578125" style="1560" customWidth="1"/>
    <col min="36" max="36" width="11.140625" style="1560" bestFit="1" customWidth="1"/>
    <col min="37" max="37" width="7.5703125" style="1560" customWidth="1"/>
    <col min="38" max="38" width="2.85546875" style="1560" bestFit="1" customWidth="1"/>
    <col min="39" max="39" width="9.85546875" style="1560" bestFit="1" customWidth="1"/>
    <col min="40" max="40" width="8.140625" style="1560" bestFit="1" customWidth="1"/>
    <col min="41" max="41" width="9.5703125" style="1560" bestFit="1" customWidth="1"/>
    <col min="42" max="42" width="11.140625" style="1560" bestFit="1" customWidth="1"/>
  </cols>
  <sheetData>
    <row r="1" spans="1:42">
      <c r="C1" s="55" t="s">
        <v>1070</v>
      </c>
      <c r="E1" s="55" t="s">
        <v>1074</v>
      </c>
      <c r="F1" s="55" t="s">
        <v>1073</v>
      </c>
      <c r="H1" s="55" t="s">
        <v>1820</v>
      </c>
      <c r="J1" s="2027" t="s">
        <v>1821</v>
      </c>
      <c r="N1" s="55" t="s">
        <v>1822</v>
      </c>
      <c r="O1" s="55" t="s">
        <v>1823</v>
      </c>
      <c r="Q1" s="55" t="s">
        <v>1824</v>
      </c>
      <c r="S1" s="55" t="s">
        <v>1825</v>
      </c>
      <c r="W1" s="55" t="s">
        <v>1826</v>
      </c>
      <c r="Y1" s="55" t="s">
        <v>1155</v>
      </c>
      <c r="Z1" s="55" t="s">
        <v>1156</v>
      </c>
      <c r="AA1" s="2027" t="s">
        <v>1157</v>
      </c>
      <c r="AB1" s="55" t="s">
        <v>1827</v>
      </c>
      <c r="AD1" s="1667" t="s">
        <v>1828</v>
      </c>
      <c r="AE1" s="1667" t="s">
        <v>1148</v>
      </c>
      <c r="AF1" s="1667" t="s">
        <v>1829</v>
      </c>
      <c r="AG1" s="1667" t="s">
        <v>1149</v>
      </c>
      <c r="AH1" s="1667" t="s">
        <v>1830</v>
      </c>
      <c r="AI1" s="1667" t="s">
        <v>1151</v>
      </c>
      <c r="AJ1" s="1667" t="s">
        <v>1831</v>
      </c>
      <c r="AK1" s="1667" t="s">
        <v>1152</v>
      </c>
      <c r="AL1" s="1667" t="s">
        <v>1832</v>
      </c>
      <c r="AM1" s="1667" t="s">
        <v>1158</v>
      </c>
      <c r="AN1" s="1667" t="s">
        <v>1833</v>
      </c>
      <c r="AO1" s="1667" t="s">
        <v>1834</v>
      </c>
      <c r="AP1" s="1667" t="s">
        <v>1835</v>
      </c>
    </row>
    <row r="2" spans="1:42" ht="15.75" customHeight="1">
      <c r="A2" s="1472"/>
      <c r="B2" s="1472" t="s">
        <v>1836</v>
      </c>
      <c r="C2" s="2993" t="s">
        <v>1837</v>
      </c>
      <c r="D2" s="2993"/>
      <c r="E2" s="2993" t="s">
        <v>1838</v>
      </c>
      <c r="F2" s="2993"/>
      <c r="G2" s="2993"/>
      <c r="H2" s="2993"/>
      <c r="I2" s="2993"/>
      <c r="J2" s="2993" t="s">
        <v>1839</v>
      </c>
      <c r="K2" s="2993"/>
      <c r="L2" s="2993" t="s">
        <v>1840</v>
      </c>
      <c r="M2" s="2993"/>
      <c r="N2" s="2993" t="s">
        <v>1841</v>
      </c>
      <c r="O2" s="2993"/>
      <c r="P2" s="2993"/>
      <c r="Q2" s="2993" t="s">
        <v>1842</v>
      </c>
      <c r="R2" s="2993"/>
      <c r="S2" s="2993"/>
      <c r="T2" s="2993"/>
      <c r="U2" s="2993"/>
      <c r="V2" s="2993"/>
      <c r="W2" s="2993" t="s">
        <v>1843</v>
      </c>
      <c r="X2" s="2993"/>
      <c r="Y2" s="2993" t="s">
        <v>1844</v>
      </c>
      <c r="Z2" s="2993"/>
      <c r="AA2" s="2993"/>
      <c r="AB2" s="2993"/>
      <c r="AC2" s="2993"/>
      <c r="AD2" s="2993" t="s">
        <v>1845</v>
      </c>
      <c r="AE2" s="2993"/>
      <c r="AF2" s="2993"/>
      <c r="AG2" s="2993"/>
      <c r="AH2" s="2993"/>
      <c r="AI2" s="2993"/>
      <c r="AJ2" s="2993"/>
      <c r="AK2" s="2993"/>
      <c r="AL2" s="2993"/>
      <c r="AM2" s="2993"/>
      <c r="AN2" s="2993"/>
      <c r="AO2" s="2993"/>
      <c r="AP2" s="2993"/>
    </row>
    <row r="3" spans="1:42" ht="65.25">
      <c r="A3" s="1473" t="s">
        <v>80</v>
      </c>
      <c r="B3" s="1473" t="s">
        <v>1846</v>
      </c>
      <c r="C3" s="1474" t="s">
        <v>1847</v>
      </c>
      <c r="D3" s="1474" t="s">
        <v>1848</v>
      </c>
      <c r="E3" s="1475" t="s">
        <v>1849</v>
      </c>
      <c r="F3" s="1475" t="s">
        <v>1850</v>
      </c>
      <c r="G3" s="1475" t="s">
        <v>1851</v>
      </c>
      <c r="H3" s="1475" t="s">
        <v>1852</v>
      </c>
      <c r="I3" s="1475" t="s">
        <v>1853</v>
      </c>
      <c r="J3" s="1476" t="s">
        <v>1854</v>
      </c>
      <c r="K3" s="1476" t="s">
        <v>1855</v>
      </c>
      <c r="L3" s="1477" t="s">
        <v>1856</v>
      </c>
      <c r="M3" s="1477" t="s">
        <v>1857</v>
      </c>
      <c r="N3" s="1478" t="s">
        <v>1858</v>
      </c>
      <c r="O3" s="1478" t="s">
        <v>1859</v>
      </c>
      <c r="P3" s="1478" t="s">
        <v>1860</v>
      </c>
      <c r="Q3" s="1473" t="s">
        <v>1861</v>
      </c>
      <c r="R3" s="1473" t="s">
        <v>1862</v>
      </c>
      <c r="S3" s="1473" t="s">
        <v>1863</v>
      </c>
      <c r="T3" s="1473" t="s">
        <v>1864</v>
      </c>
      <c r="U3" s="1473" t="s">
        <v>1865</v>
      </c>
      <c r="V3" s="1473" t="s">
        <v>1866</v>
      </c>
      <c r="W3" s="1479" t="s">
        <v>1867</v>
      </c>
      <c r="X3" s="1479" t="s">
        <v>1868</v>
      </c>
      <c r="Y3" s="1480" t="s">
        <v>679</v>
      </c>
      <c r="Z3" s="1480" t="s">
        <v>1869</v>
      </c>
      <c r="AA3" s="1480" t="s">
        <v>681</v>
      </c>
      <c r="AB3" s="1480" t="s">
        <v>1870</v>
      </c>
      <c r="AC3" s="1480" t="s">
        <v>1871</v>
      </c>
      <c r="AD3" s="1480" t="s">
        <v>1872</v>
      </c>
      <c r="AE3" s="1480" t="s">
        <v>1873</v>
      </c>
      <c r="AF3" s="1480" t="s">
        <v>1874</v>
      </c>
      <c r="AG3" s="1480" t="s">
        <v>1873</v>
      </c>
      <c r="AH3" s="1480" t="s">
        <v>1875</v>
      </c>
      <c r="AI3" s="1480" t="s">
        <v>1873</v>
      </c>
      <c r="AJ3" s="1480" t="s">
        <v>1876</v>
      </c>
      <c r="AK3" s="1480" t="s">
        <v>1873</v>
      </c>
      <c r="AL3" s="1480" t="s">
        <v>1877</v>
      </c>
      <c r="AM3" s="1480" t="s">
        <v>1878</v>
      </c>
      <c r="AN3" s="1480" t="s">
        <v>707</v>
      </c>
      <c r="AO3" s="1480" t="s">
        <v>1879</v>
      </c>
      <c r="AP3" s="1480" t="s">
        <v>1880</v>
      </c>
    </row>
    <row r="4" spans="1:42" ht="30">
      <c r="A4" s="1481" t="s">
        <v>1881</v>
      </c>
      <c r="B4" s="1482" t="s">
        <v>1882</v>
      </c>
      <c r="C4" s="1483">
        <v>183.17</v>
      </c>
      <c r="D4" s="1484" t="s">
        <v>1883</v>
      </c>
      <c r="E4" s="1485">
        <v>2.0482420277999999E-11</v>
      </c>
      <c r="F4" s="1485">
        <v>5.0099999999999999E-13</v>
      </c>
      <c r="G4" s="1486" t="s">
        <v>1199</v>
      </c>
      <c r="H4" s="1485">
        <v>1.7E-6</v>
      </c>
      <c r="I4" s="1486" t="s">
        <v>1883</v>
      </c>
      <c r="J4" s="1487">
        <v>88</v>
      </c>
      <c r="K4" s="1488" t="s">
        <v>1883</v>
      </c>
      <c r="L4" s="1489">
        <v>1.35</v>
      </c>
      <c r="M4" s="1490" t="s">
        <v>1884</v>
      </c>
      <c r="N4" s="1491">
        <v>3.7348276993720002E-2</v>
      </c>
      <c r="O4" s="1491">
        <v>7.9755276573100005E-6</v>
      </c>
      <c r="P4" s="1492" t="s">
        <v>1885</v>
      </c>
      <c r="Q4" s="1493" t="s">
        <v>635</v>
      </c>
      <c r="R4" s="1494"/>
      <c r="S4" s="1493">
        <v>10</v>
      </c>
      <c r="T4" s="1493" t="s">
        <v>1199</v>
      </c>
      <c r="U4" s="1493">
        <v>-0.85</v>
      </c>
      <c r="V4" s="1495" t="s">
        <v>1883</v>
      </c>
      <c r="W4" s="1496">
        <v>818000</v>
      </c>
      <c r="X4" s="1497" t="s">
        <v>1883</v>
      </c>
      <c r="Y4" s="1498">
        <v>2.0821586432E-4</v>
      </c>
      <c r="Z4" s="1498">
        <v>1.1158369782835</v>
      </c>
      <c r="AA4" s="1498">
        <v>2.6780087478804</v>
      </c>
      <c r="AB4" s="1498">
        <v>4.0000000000000003E-5</v>
      </c>
      <c r="AC4" s="1499" t="s">
        <v>1199</v>
      </c>
      <c r="AD4" s="1500" t="s">
        <v>635</v>
      </c>
      <c r="AE4" s="1501"/>
      <c r="AF4" s="1502" t="s">
        <v>635</v>
      </c>
      <c r="AG4" s="1501"/>
      <c r="AH4" s="1502">
        <v>2.9999999999999997E-4</v>
      </c>
      <c r="AI4" s="1503" t="s">
        <v>1116</v>
      </c>
      <c r="AJ4" s="1502" t="s">
        <v>635</v>
      </c>
      <c r="AK4" s="1501"/>
      <c r="AL4" s="1501"/>
      <c r="AM4" s="1501"/>
      <c r="AN4" s="1504">
        <v>1</v>
      </c>
      <c r="AO4" s="1505">
        <v>0.1</v>
      </c>
      <c r="AP4" s="1506" t="s">
        <v>635</v>
      </c>
    </row>
    <row r="5" spans="1:42" ht="30">
      <c r="A5" s="1481" t="s">
        <v>1886</v>
      </c>
      <c r="B5" s="1482" t="s">
        <v>1887</v>
      </c>
      <c r="C5" s="1483">
        <v>44.054000000000002</v>
      </c>
      <c r="D5" s="1484" t="s">
        <v>1883</v>
      </c>
      <c r="E5" s="1485">
        <v>2.72690106296E-3</v>
      </c>
      <c r="F5" s="1485">
        <v>6.6699999999999995E-5</v>
      </c>
      <c r="G5" s="1486" t="s">
        <v>1883</v>
      </c>
      <c r="H5" s="1485">
        <v>902</v>
      </c>
      <c r="I5" s="1486" t="s">
        <v>1883</v>
      </c>
      <c r="J5" s="1487">
        <v>-123.37</v>
      </c>
      <c r="K5" s="1488" t="s">
        <v>1883</v>
      </c>
      <c r="L5" s="1489">
        <v>0.78339999999999999</v>
      </c>
      <c r="M5" s="1490" t="s">
        <v>1884</v>
      </c>
      <c r="N5" s="1491">
        <v>0.12770256772378</v>
      </c>
      <c r="O5" s="1491">
        <v>1.3529155969999999E-5</v>
      </c>
      <c r="P5" s="1492" t="s">
        <v>1885</v>
      </c>
      <c r="Q5" s="1493" t="s">
        <v>635</v>
      </c>
      <c r="R5" s="1494"/>
      <c r="S5" s="1493">
        <v>1</v>
      </c>
      <c r="T5" s="1493" t="s">
        <v>1199</v>
      </c>
      <c r="U5" s="1493">
        <v>-0.34</v>
      </c>
      <c r="V5" s="1495" t="s">
        <v>1883</v>
      </c>
      <c r="W5" s="1496">
        <v>1000000</v>
      </c>
      <c r="X5" s="1497" t="s">
        <v>1883</v>
      </c>
      <c r="Y5" s="1498">
        <v>1.34533345144E-3</v>
      </c>
      <c r="Z5" s="1498">
        <v>0.18558853759571001</v>
      </c>
      <c r="AA5" s="1498">
        <v>0.44541249022968998</v>
      </c>
      <c r="AB5" s="1498">
        <v>5.2700000000000002E-4</v>
      </c>
      <c r="AC5" s="1499" t="s">
        <v>1199</v>
      </c>
      <c r="AD5" s="1500" t="s">
        <v>635</v>
      </c>
      <c r="AE5" s="1501"/>
      <c r="AF5" s="1502">
        <v>2.2000000000000001E-6</v>
      </c>
      <c r="AG5" s="1503" t="s">
        <v>1119</v>
      </c>
      <c r="AH5" s="1502" t="s">
        <v>635</v>
      </c>
      <c r="AI5" s="1501"/>
      <c r="AJ5" s="1502">
        <v>8.9999999999999993E-3</v>
      </c>
      <c r="AK5" s="1503" t="s">
        <v>1119</v>
      </c>
      <c r="AL5" s="1503" t="s">
        <v>1127</v>
      </c>
      <c r="AM5" s="1501"/>
      <c r="AN5" s="1504">
        <v>1</v>
      </c>
      <c r="AO5" s="1504" t="s">
        <v>635</v>
      </c>
      <c r="AP5" s="1506">
        <v>107000</v>
      </c>
    </row>
    <row r="6" spans="1:42" ht="30">
      <c r="A6" s="1507" t="s">
        <v>1888</v>
      </c>
      <c r="B6" s="1508" t="s">
        <v>1889</v>
      </c>
      <c r="C6" s="1509">
        <v>269.77</v>
      </c>
      <c r="D6" s="1510" t="s">
        <v>1883</v>
      </c>
      <c r="E6" s="1511">
        <v>9.1169255927999997E-7</v>
      </c>
      <c r="F6" s="1511">
        <v>2.2300000000000001E-8</v>
      </c>
      <c r="G6" s="1512" t="s">
        <v>1883</v>
      </c>
      <c r="H6" s="1511">
        <v>2.8E-5</v>
      </c>
      <c r="I6" s="1512" t="s">
        <v>1883</v>
      </c>
      <c r="J6" s="1513">
        <v>0</v>
      </c>
      <c r="K6" s="1514" t="s">
        <v>1199</v>
      </c>
      <c r="L6" s="1515">
        <v>1.107</v>
      </c>
      <c r="M6" s="1516" t="s">
        <v>1890</v>
      </c>
      <c r="N6" s="1517">
        <v>2.2390800678849999E-2</v>
      </c>
      <c r="O6" s="1517">
        <v>5.6126007882700004E-6</v>
      </c>
      <c r="P6" s="1518" t="s">
        <v>1885</v>
      </c>
      <c r="Q6" s="1519" t="s">
        <v>635</v>
      </c>
      <c r="R6" s="1520"/>
      <c r="S6" s="1519">
        <v>298.39999999999998</v>
      </c>
      <c r="T6" s="1519" t="s">
        <v>1199</v>
      </c>
      <c r="U6" s="1519">
        <v>3.03</v>
      </c>
      <c r="V6" s="1521" t="s">
        <v>1883</v>
      </c>
      <c r="W6" s="1522">
        <v>223</v>
      </c>
      <c r="X6" s="1523" t="s">
        <v>1883</v>
      </c>
      <c r="Y6" s="1524">
        <v>3.1270057291090003E-2</v>
      </c>
      <c r="Z6" s="1524">
        <v>3.4084799967980701</v>
      </c>
      <c r="AA6" s="1524">
        <v>8.18035199231538</v>
      </c>
      <c r="AB6" s="1524">
        <v>4.9500000000000004E-3</v>
      </c>
      <c r="AC6" s="1525" t="s">
        <v>1199</v>
      </c>
      <c r="AD6" s="1526" t="s">
        <v>635</v>
      </c>
      <c r="AE6" s="1527"/>
      <c r="AF6" s="1528" t="s">
        <v>635</v>
      </c>
      <c r="AG6" s="1527"/>
      <c r="AH6" s="1528">
        <v>0.02</v>
      </c>
      <c r="AI6" s="1529" t="s">
        <v>1119</v>
      </c>
      <c r="AJ6" s="1528" t="s">
        <v>635</v>
      </c>
      <c r="AK6" s="1527"/>
      <c r="AL6" s="1527"/>
      <c r="AM6" s="1527"/>
      <c r="AN6" s="1530">
        <v>1</v>
      </c>
      <c r="AO6" s="1531">
        <v>0.1</v>
      </c>
      <c r="AP6" s="1532" t="s">
        <v>635</v>
      </c>
    </row>
    <row r="7" spans="1:42" ht="30">
      <c r="A7" s="1481" t="s">
        <v>392</v>
      </c>
      <c r="B7" s="1482" t="s">
        <v>391</v>
      </c>
      <c r="C7" s="1483">
        <v>58.081000000000003</v>
      </c>
      <c r="D7" s="1484" t="s">
        <v>1883</v>
      </c>
      <c r="E7" s="1485">
        <v>1.43090760425E-3</v>
      </c>
      <c r="F7" s="1485">
        <v>3.4999999999999997E-5</v>
      </c>
      <c r="G7" s="1486" t="s">
        <v>1883</v>
      </c>
      <c r="H7" s="1485">
        <v>231.5</v>
      </c>
      <c r="I7" s="1486" t="s">
        <v>1883</v>
      </c>
      <c r="J7" s="1487">
        <v>-94.8</v>
      </c>
      <c r="K7" s="1488" t="s">
        <v>1883</v>
      </c>
      <c r="L7" s="1489">
        <v>0.78449999999999998</v>
      </c>
      <c r="M7" s="1490" t="s">
        <v>1884</v>
      </c>
      <c r="N7" s="1491">
        <v>0.10592149838195999</v>
      </c>
      <c r="O7" s="1491">
        <v>1.147115345E-5</v>
      </c>
      <c r="P7" s="1492" t="s">
        <v>1885</v>
      </c>
      <c r="Q7" s="1493" t="s">
        <v>635</v>
      </c>
      <c r="R7" s="1494"/>
      <c r="S7" s="1493">
        <v>2.3639999999999999</v>
      </c>
      <c r="T7" s="1493" t="s">
        <v>1199</v>
      </c>
      <c r="U7" s="1493">
        <v>-0.24</v>
      </c>
      <c r="V7" s="1495" t="s">
        <v>1883</v>
      </c>
      <c r="W7" s="1496">
        <v>1000000</v>
      </c>
      <c r="X7" s="1497" t="s">
        <v>1883</v>
      </c>
      <c r="Y7" s="1498">
        <v>1.50076832709E-3</v>
      </c>
      <c r="Z7" s="1498">
        <v>0.22238339169509</v>
      </c>
      <c r="AA7" s="1498">
        <v>0.53372014006821</v>
      </c>
      <c r="AB7" s="1498">
        <v>5.1199999999999998E-4</v>
      </c>
      <c r="AC7" s="1499" t="s">
        <v>1199</v>
      </c>
      <c r="AD7" s="1500" t="s">
        <v>635</v>
      </c>
      <c r="AE7" s="1501"/>
      <c r="AF7" s="1502" t="s">
        <v>635</v>
      </c>
      <c r="AG7" s="1501"/>
      <c r="AH7" s="1502">
        <v>0.9</v>
      </c>
      <c r="AI7" s="1503" t="s">
        <v>1119</v>
      </c>
      <c r="AJ7" s="1502" t="s">
        <v>635</v>
      </c>
      <c r="AK7" s="1501"/>
      <c r="AL7" s="1503" t="s">
        <v>1127</v>
      </c>
      <c r="AM7" s="1501"/>
      <c r="AN7" s="1504">
        <v>1</v>
      </c>
      <c r="AO7" s="1504" t="s">
        <v>635</v>
      </c>
      <c r="AP7" s="1506">
        <v>114000</v>
      </c>
    </row>
    <row r="8" spans="1:42" ht="30">
      <c r="A8" s="1481" t="s">
        <v>1891</v>
      </c>
      <c r="B8" s="1482" t="s">
        <v>1892</v>
      </c>
      <c r="C8" s="1483">
        <v>85.105999999999995</v>
      </c>
      <c r="D8" s="1484" t="s">
        <v>1883</v>
      </c>
      <c r="E8" s="1485">
        <v>8.0539656582199998E-8</v>
      </c>
      <c r="F8" s="1485">
        <v>1.97E-9</v>
      </c>
      <c r="G8" s="1486" t="s">
        <v>1883</v>
      </c>
      <c r="H8" s="1485">
        <v>0.34100000000000003</v>
      </c>
      <c r="I8" s="1486" t="s">
        <v>1883</v>
      </c>
      <c r="J8" s="1487">
        <v>-19</v>
      </c>
      <c r="K8" s="1488" t="s">
        <v>1883</v>
      </c>
      <c r="L8" s="1489">
        <v>0.93200000000000005</v>
      </c>
      <c r="M8" s="1490" t="s">
        <v>1884</v>
      </c>
      <c r="N8" s="1491">
        <v>8.5949080037279996E-2</v>
      </c>
      <c r="O8" s="1491">
        <v>1.0114518460000001E-5</v>
      </c>
      <c r="P8" s="1492" t="s">
        <v>1885</v>
      </c>
      <c r="Q8" s="1493" t="s">
        <v>635</v>
      </c>
      <c r="R8" s="1494"/>
      <c r="S8" s="1493">
        <v>1</v>
      </c>
      <c r="T8" s="1493" t="s">
        <v>1199</v>
      </c>
      <c r="U8" s="1493">
        <v>-0.03</v>
      </c>
      <c r="V8" s="1495" t="s">
        <v>1883</v>
      </c>
      <c r="W8" s="1496">
        <v>1000000</v>
      </c>
      <c r="X8" s="1497" t="s">
        <v>1883</v>
      </c>
      <c r="Y8" s="1498">
        <v>1.7563535403999999E-3</v>
      </c>
      <c r="Z8" s="1498">
        <v>0.31509560790477997</v>
      </c>
      <c r="AA8" s="1498">
        <v>0.75622945897145999</v>
      </c>
      <c r="AB8" s="1498">
        <v>4.95E-4</v>
      </c>
      <c r="AC8" s="1499" t="s">
        <v>1199</v>
      </c>
      <c r="AD8" s="1500" t="s">
        <v>635</v>
      </c>
      <c r="AE8" s="1501"/>
      <c r="AF8" s="1502" t="s">
        <v>635</v>
      </c>
      <c r="AG8" s="1501"/>
      <c r="AH8" s="1502" t="s">
        <v>635</v>
      </c>
      <c r="AI8" s="1501"/>
      <c r="AJ8" s="1502">
        <v>2E-3</v>
      </c>
      <c r="AK8" s="1503" t="s">
        <v>1893</v>
      </c>
      <c r="AL8" s="1501"/>
      <c r="AM8" s="1501"/>
      <c r="AN8" s="1504">
        <v>1</v>
      </c>
      <c r="AO8" s="1505">
        <v>0.1</v>
      </c>
      <c r="AP8" s="1506" t="s">
        <v>635</v>
      </c>
    </row>
    <row r="9" spans="1:42" ht="30">
      <c r="A9" s="1507" t="s">
        <v>1894</v>
      </c>
      <c r="B9" s="1508" t="s">
        <v>1895</v>
      </c>
      <c r="C9" s="1509">
        <v>41.052999999999997</v>
      </c>
      <c r="D9" s="1510" t="s">
        <v>1883</v>
      </c>
      <c r="E9" s="1511">
        <v>1.4104660670500001E-3</v>
      </c>
      <c r="F9" s="1511">
        <v>3.4499999999999998E-5</v>
      </c>
      <c r="G9" s="1512" t="s">
        <v>1883</v>
      </c>
      <c r="H9" s="1511">
        <v>88.8</v>
      </c>
      <c r="I9" s="1512" t="s">
        <v>1883</v>
      </c>
      <c r="J9" s="1513">
        <v>-43.8</v>
      </c>
      <c r="K9" s="1514" t="s">
        <v>1883</v>
      </c>
      <c r="L9" s="1515">
        <v>0.78569999999999995</v>
      </c>
      <c r="M9" s="1516" t="s">
        <v>1884</v>
      </c>
      <c r="N9" s="1517">
        <v>0.13399392452093001</v>
      </c>
      <c r="O9" s="1517">
        <v>1.413900617E-5</v>
      </c>
      <c r="P9" s="1518" t="s">
        <v>1885</v>
      </c>
      <c r="Q9" s="1519" t="s">
        <v>635</v>
      </c>
      <c r="R9" s="1520"/>
      <c r="S9" s="1519">
        <v>4.67</v>
      </c>
      <c r="T9" s="1519" t="s">
        <v>1199</v>
      </c>
      <c r="U9" s="1519">
        <v>-0.34</v>
      </c>
      <c r="V9" s="1521" t="s">
        <v>1883</v>
      </c>
      <c r="W9" s="1522">
        <v>1000000</v>
      </c>
      <c r="X9" s="1523" t="s">
        <v>1883</v>
      </c>
      <c r="Y9" s="1524">
        <v>1.35045357885E-3</v>
      </c>
      <c r="Z9" s="1524">
        <v>0.17854411896729</v>
      </c>
      <c r="AA9" s="1524">
        <v>0.42850588552149999</v>
      </c>
      <c r="AB9" s="1524">
        <v>5.4799999999999998E-4</v>
      </c>
      <c r="AC9" s="1525" t="s">
        <v>1199</v>
      </c>
      <c r="AD9" s="1526" t="s">
        <v>635</v>
      </c>
      <c r="AE9" s="1527"/>
      <c r="AF9" s="1528" t="s">
        <v>635</v>
      </c>
      <c r="AG9" s="1527"/>
      <c r="AH9" s="1528" t="s">
        <v>635</v>
      </c>
      <c r="AI9" s="1527"/>
      <c r="AJ9" s="1528">
        <v>0.06</v>
      </c>
      <c r="AK9" s="1529" t="s">
        <v>1119</v>
      </c>
      <c r="AL9" s="1529" t="s">
        <v>1127</v>
      </c>
      <c r="AM9" s="1527"/>
      <c r="AN9" s="1530">
        <v>1</v>
      </c>
      <c r="AO9" s="1530" t="s">
        <v>635</v>
      </c>
      <c r="AP9" s="1532">
        <v>128000</v>
      </c>
    </row>
    <row r="10" spans="1:42" ht="30">
      <c r="A10" s="1481" t="s">
        <v>1896</v>
      </c>
      <c r="B10" s="1482" t="s">
        <v>1897</v>
      </c>
      <c r="C10" s="1483">
        <v>120.15</v>
      </c>
      <c r="D10" s="1484" t="s">
        <v>1883</v>
      </c>
      <c r="E10" s="1485">
        <v>4.2518397383000002E-4</v>
      </c>
      <c r="F10" s="1485">
        <v>1.04E-5</v>
      </c>
      <c r="G10" s="1486" t="s">
        <v>1883</v>
      </c>
      <c r="H10" s="1485">
        <v>0.39700000000000002</v>
      </c>
      <c r="I10" s="1486" t="s">
        <v>1883</v>
      </c>
      <c r="J10" s="1487">
        <v>20</v>
      </c>
      <c r="K10" s="1488" t="s">
        <v>1883</v>
      </c>
      <c r="L10" s="1489">
        <v>1.0281</v>
      </c>
      <c r="M10" s="1490" t="s">
        <v>1884</v>
      </c>
      <c r="N10" s="1491">
        <v>6.5222113909880003E-2</v>
      </c>
      <c r="O10" s="1491">
        <v>8.7228563799600003E-6</v>
      </c>
      <c r="P10" s="1492" t="s">
        <v>1885</v>
      </c>
      <c r="Q10" s="1493" t="s">
        <v>635</v>
      </c>
      <c r="R10" s="1494"/>
      <c r="S10" s="1493">
        <v>51.85</v>
      </c>
      <c r="T10" s="1493" t="s">
        <v>1199</v>
      </c>
      <c r="U10" s="1493">
        <v>1.58</v>
      </c>
      <c r="V10" s="1495" t="s">
        <v>1883</v>
      </c>
      <c r="W10" s="1496">
        <v>6130</v>
      </c>
      <c r="X10" s="1497" t="s">
        <v>1883</v>
      </c>
      <c r="Y10" s="1498">
        <v>1.568308439353E-2</v>
      </c>
      <c r="Z10" s="1498">
        <v>0.49509523852638998</v>
      </c>
      <c r="AA10" s="1498">
        <v>1.1882285724633299</v>
      </c>
      <c r="AB10" s="1498">
        <v>3.7200000000000002E-3</v>
      </c>
      <c r="AC10" s="1499" t="s">
        <v>1199</v>
      </c>
      <c r="AD10" s="1500" t="s">
        <v>635</v>
      </c>
      <c r="AE10" s="1501"/>
      <c r="AF10" s="1502" t="s">
        <v>635</v>
      </c>
      <c r="AG10" s="1501"/>
      <c r="AH10" s="1502">
        <v>0.1</v>
      </c>
      <c r="AI10" s="1503" t="s">
        <v>1119</v>
      </c>
      <c r="AJ10" s="1502" t="s">
        <v>635</v>
      </c>
      <c r="AK10" s="1501"/>
      <c r="AL10" s="1503" t="s">
        <v>1127</v>
      </c>
      <c r="AM10" s="1501"/>
      <c r="AN10" s="1504">
        <v>1</v>
      </c>
      <c r="AO10" s="1504" t="s">
        <v>635</v>
      </c>
      <c r="AP10" s="1506">
        <v>2520</v>
      </c>
    </row>
    <row r="11" spans="1:42" ht="30">
      <c r="A11" s="1481" t="s">
        <v>1898</v>
      </c>
      <c r="B11" s="1482" t="s">
        <v>1899</v>
      </c>
      <c r="C11" s="1483">
        <v>223.28</v>
      </c>
      <c r="D11" s="1484" t="s">
        <v>1883</v>
      </c>
      <c r="E11" s="1485">
        <v>7.8495502861800004E-9</v>
      </c>
      <c r="F11" s="1485">
        <v>1.9200000000000001E-10</v>
      </c>
      <c r="G11" s="1486" t="s">
        <v>1883</v>
      </c>
      <c r="H11" s="1485">
        <v>9.4399999999999998E-8</v>
      </c>
      <c r="I11" s="1486" t="s">
        <v>1883</v>
      </c>
      <c r="J11" s="1487">
        <v>193</v>
      </c>
      <c r="K11" s="1488" t="s">
        <v>1883</v>
      </c>
      <c r="L11" s="1489" t="s">
        <v>635</v>
      </c>
      <c r="M11" s="1533"/>
      <c r="N11" s="1491">
        <v>5.162424564662E-2</v>
      </c>
      <c r="O11" s="1491">
        <v>6.0318855439699997E-6</v>
      </c>
      <c r="P11" s="1492" t="s">
        <v>1885</v>
      </c>
      <c r="Q11" s="1493" t="s">
        <v>635</v>
      </c>
      <c r="R11" s="1494"/>
      <c r="S11" s="1493">
        <v>2206</v>
      </c>
      <c r="T11" s="1493" t="s">
        <v>1199</v>
      </c>
      <c r="U11" s="1493">
        <v>3.12</v>
      </c>
      <c r="V11" s="1495" t="s">
        <v>1883</v>
      </c>
      <c r="W11" s="1496">
        <v>5.5339999999999998</v>
      </c>
      <c r="X11" s="1497" t="s">
        <v>1883</v>
      </c>
      <c r="Y11" s="1498">
        <v>5.9770226701930003E-2</v>
      </c>
      <c r="Z11" s="1498">
        <v>1.87161600172434</v>
      </c>
      <c r="AA11" s="1498">
        <v>4.4918784041384097</v>
      </c>
      <c r="AB11" s="1498">
        <v>1.04E-2</v>
      </c>
      <c r="AC11" s="1499" t="s">
        <v>1199</v>
      </c>
      <c r="AD11" s="1500">
        <v>3.8</v>
      </c>
      <c r="AE11" s="1503" t="s">
        <v>1900</v>
      </c>
      <c r="AF11" s="1502">
        <v>1.2999999999999999E-3</v>
      </c>
      <c r="AG11" s="1503" t="s">
        <v>1900</v>
      </c>
      <c r="AH11" s="1502" t="s">
        <v>635</v>
      </c>
      <c r="AI11" s="1501"/>
      <c r="AJ11" s="1502" t="s">
        <v>635</v>
      </c>
      <c r="AK11" s="1501"/>
      <c r="AL11" s="1501"/>
      <c r="AM11" s="1501"/>
      <c r="AN11" s="1504">
        <v>1</v>
      </c>
      <c r="AO11" s="1505">
        <v>0.1</v>
      </c>
      <c r="AP11" s="1506" t="s">
        <v>635</v>
      </c>
    </row>
    <row r="12" spans="1:42" ht="30">
      <c r="A12" s="1507" t="s">
        <v>1901</v>
      </c>
      <c r="B12" s="1508" t="s">
        <v>1902</v>
      </c>
      <c r="C12" s="1509">
        <v>56.064999999999998</v>
      </c>
      <c r="D12" s="1510" t="s">
        <v>1883</v>
      </c>
      <c r="E12" s="1511">
        <v>4.9877350776799997E-3</v>
      </c>
      <c r="F12" s="1511">
        <v>1.22E-4</v>
      </c>
      <c r="G12" s="1512" t="s">
        <v>1883</v>
      </c>
      <c r="H12" s="1511">
        <v>274.10000000000002</v>
      </c>
      <c r="I12" s="1512" t="s">
        <v>1883</v>
      </c>
      <c r="J12" s="1513">
        <v>-87.7</v>
      </c>
      <c r="K12" s="1514" t="s">
        <v>1883</v>
      </c>
      <c r="L12" s="1515">
        <v>0.84</v>
      </c>
      <c r="M12" s="1516" t="s">
        <v>1884</v>
      </c>
      <c r="N12" s="1517">
        <v>0.11168620061171</v>
      </c>
      <c r="O12" s="1517">
        <v>1.2207430129999999E-5</v>
      </c>
      <c r="P12" s="1518" t="s">
        <v>1885</v>
      </c>
      <c r="Q12" s="1519" t="s">
        <v>635</v>
      </c>
      <c r="R12" s="1520"/>
      <c r="S12" s="1519">
        <v>1</v>
      </c>
      <c r="T12" s="1519" t="s">
        <v>1199</v>
      </c>
      <c r="U12" s="1519">
        <v>-0.01</v>
      </c>
      <c r="V12" s="1521" t="s">
        <v>1883</v>
      </c>
      <c r="W12" s="1522">
        <v>212000</v>
      </c>
      <c r="X12" s="1523" t="s">
        <v>1883</v>
      </c>
      <c r="Y12" s="1524">
        <v>2.1541411803399999E-3</v>
      </c>
      <c r="Z12" s="1524">
        <v>0.21667696791015001</v>
      </c>
      <c r="AA12" s="1524">
        <v>0.52002472298434999</v>
      </c>
      <c r="AB12" s="1524">
        <v>7.4799999999999997E-4</v>
      </c>
      <c r="AC12" s="1525" t="s">
        <v>1199</v>
      </c>
      <c r="AD12" s="1526" t="s">
        <v>635</v>
      </c>
      <c r="AE12" s="1527"/>
      <c r="AF12" s="1528" t="s">
        <v>635</v>
      </c>
      <c r="AG12" s="1527"/>
      <c r="AH12" s="1528">
        <v>5.0000000000000001E-4</v>
      </c>
      <c r="AI12" s="1529" t="s">
        <v>1119</v>
      </c>
      <c r="AJ12" s="1528">
        <v>2.0000000000000002E-5</v>
      </c>
      <c r="AK12" s="1529" t="s">
        <v>1119</v>
      </c>
      <c r="AL12" s="1529" t="s">
        <v>1127</v>
      </c>
      <c r="AM12" s="1527"/>
      <c r="AN12" s="1530">
        <v>1</v>
      </c>
      <c r="AO12" s="1530" t="s">
        <v>635</v>
      </c>
      <c r="AP12" s="1532">
        <v>22700</v>
      </c>
    </row>
    <row r="13" spans="1:42" ht="30">
      <c r="A13" s="1481" t="s">
        <v>1903</v>
      </c>
      <c r="B13" s="1482" t="s">
        <v>1904</v>
      </c>
      <c r="C13" s="1483">
        <v>71.078999999999994</v>
      </c>
      <c r="D13" s="1484" t="s">
        <v>1883</v>
      </c>
      <c r="E13" s="1485">
        <v>6.95012264922E-8</v>
      </c>
      <c r="F13" s="1485">
        <v>1.6999999999999999E-9</v>
      </c>
      <c r="G13" s="1486" t="s">
        <v>1199</v>
      </c>
      <c r="H13" s="1485">
        <v>7.0000000000000001E-3</v>
      </c>
      <c r="I13" s="1486" t="s">
        <v>1883</v>
      </c>
      <c r="J13" s="1487">
        <v>84.5</v>
      </c>
      <c r="K13" s="1488" t="s">
        <v>1883</v>
      </c>
      <c r="L13" s="1489">
        <v>1.222</v>
      </c>
      <c r="M13" s="1490" t="s">
        <v>1905</v>
      </c>
      <c r="N13" s="1491">
        <v>0.11040039383069999</v>
      </c>
      <c r="O13" s="1491">
        <v>1.325774647E-5</v>
      </c>
      <c r="P13" s="1492" t="s">
        <v>1885</v>
      </c>
      <c r="Q13" s="1493" t="s">
        <v>635</v>
      </c>
      <c r="R13" s="1494"/>
      <c r="S13" s="1493">
        <v>5.694</v>
      </c>
      <c r="T13" s="1493" t="s">
        <v>1199</v>
      </c>
      <c r="U13" s="1493">
        <v>-0.67</v>
      </c>
      <c r="V13" s="1495" t="s">
        <v>1883</v>
      </c>
      <c r="W13" s="1496">
        <v>390000</v>
      </c>
      <c r="X13" s="1497" t="s">
        <v>1883</v>
      </c>
      <c r="Y13" s="1498">
        <v>7.2634896986999999E-4</v>
      </c>
      <c r="Z13" s="1498">
        <v>0.26296088313131</v>
      </c>
      <c r="AA13" s="1498">
        <v>0.63110611951515005</v>
      </c>
      <c r="AB13" s="1498">
        <v>2.24E-4</v>
      </c>
      <c r="AC13" s="1499" t="s">
        <v>1199</v>
      </c>
      <c r="AD13" s="1500">
        <v>0.5</v>
      </c>
      <c r="AE13" s="1503" t="s">
        <v>1119</v>
      </c>
      <c r="AF13" s="1502">
        <v>1E-4</v>
      </c>
      <c r="AG13" s="1503" t="s">
        <v>1119</v>
      </c>
      <c r="AH13" s="1502">
        <v>2E-3</v>
      </c>
      <c r="AI13" s="1503" t="s">
        <v>1119</v>
      </c>
      <c r="AJ13" s="1502">
        <v>6.0000000000000001E-3</v>
      </c>
      <c r="AK13" s="1503" t="s">
        <v>1119</v>
      </c>
      <c r="AL13" s="1501"/>
      <c r="AM13" s="1503" t="s">
        <v>1906</v>
      </c>
      <c r="AN13" s="1504">
        <v>1</v>
      </c>
      <c r="AO13" s="1505">
        <v>0.1</v>
      </c>
      <c r="AP13" s="1506" t="s">
        <v>635</v>
      </c>
    </row>
    <row r="14" spans="1:42" ht="30">
      <c r="A14" s="1481" t="s">
        <v>1907</v>
      </c>
      <c r="B14" s="1482" t="s">
        <v>1908</v>
      </c>
      <c r="C14" s="1483">
        <v>72.063999999999993</v>
      </c>
      <c r="D14" s="1484" t="s">
        <v>1883</v>
      </c>
      <c r="E14" s="1485">
        <v>1.5126737530000001E-5</v>
      </c>
      <c r="F14" s="1485">
        <v>3.7E-7</v>
      </c>
      <c r="G14" s="1486" t="s">
        <v>1199</v>
      </c>
      <c r="H14" s="1485">
        <v>3.97</v>
      </c>
      <c r="I14" s="1486" t="s">
        <v>1883</v>
      </c>
      <c r="J14" s="1487">
        <v>12.5</v>
      </c>
      <c r="K14" s="1488" t="s">
        <v>1883</v>
      </c>
      <c r="L14" s="1489">
        <v>1.0510999999999999</v>
      </c>
      <c r="M14" s="1490" t="s">
        <v>1884</v>
      </c>
      <c r="N14" s="1491">
        <v>0.10271734733047</v>
      </c>
      <c r="O14" s="1491">
        <v>1.201232779E-5</v>
      </c>
      <c r="P14" s="1492" t="s">
        <v>1885</v>
      </c>
      <c r="Q14" s="1493" t="s">
        <v>635</v>
      </c>
      <c r="R14" s="1494"/>
      <c r="S14" s="1493">
        <v>1.44</v>
      </c>
      <c r="T14" s="1493" t="s">
        <v>1199</v>
      </c>
      <c r="U14" s="1493">
        <v>0.35</v>
      </c>
      <c r="V14" s="1495" t="s">
        <v>1883</v>
      </c>
      <c r="W14" s="1496">
        <v>1000000</v>
      </c>
      <c r="X14" s="1497" t="s">
        <v>1883</v>
      </c>
      <c r="Y14" s="1498">
        <v>3.4282709082199998E-3</v>
      </c>
      <c r="Z14" s="1498">
        <v>0.2663220650216</v>
      </c>
      <c r="AA14" s="1498">
        <v>0.63917295605184998</v>
      </c>
      <c r="AB14" s="1498">
        <v>1.0499999999999999E-3</v>
      </c>
      <c r="AC14" s="1499" t="s">
        <v>1199</v>
      </c>
      <c r="AD14" s="1500" t="s">
        <v>635</v>
      </c>
      <c r="AE14" s="1501"/>
      <c r="AF14" s="1502" t="s">
        <v>635</v>
      </c>
      <c r="AG14" s="1501"/>
      <c r="AH14" s="1502">
        <v>0.5</v>
      </c>
      <c r="AI14" s="1503" t="s">
        <v>1119</v>
      </c>
      <c r="AJ14" s="1502">
        <v>2.0000000000000001E-4</v>
      </c>
      <c r="AK14" s="1503" t="s">
        <v>1909</v>
      </c>
      <c r="AL14" s="1503" t="s">
        <v>1127</v>
      </c>
      <c r="AM14" s="1501"/>
      <c r="AN14" s="1504">
        <v>1</v>
      </c>
      <c r="AO14" s="1504" t="s">
        <v>635</v>
      </c>
      <c r="AP14" s="1506">
        <v>109000</v>
      </c>
    </row>
    <row r="15" spans="1:42" ht="30">
      <c r="A15" s="1507" t="s">
        <v>1910</v>
      </c>
      <c r="B15" s="1508" t="s">
        <v>1911</v>
      </c>
      <c r="C15" s="1509">
        <v>53.064</v>
      </c>
      <c r="D15" s="1510" t="s">
        <v>1883</v>
      </c>
      <c r="E15" s="1511">
        <v>5.6418642681899996E-3</v>
      </c>
      <c r="F15" s="1511">
        <v>1.3799999999999999E-4</v>
      </c>
      <c r="G15" s="1512" t="s">
        <v>1883</v>
      </c>
      <c r="H15" s="1511">
        <v>108.5</v>
      </c>
      <c r="I15" s="1512" t="s">
        <v>1883</v>
      </c>
      <c r="J15" s="1513">
        <v>-83.5</v>
      </c>
      <c r="K15" s="1514" t="s">
        <v>1883</v>
      </c>
      <c r="L15" s="1515">
        <v>0.80069999999999997</v>
      </c>
      <c r="M15" s="1516" t="s">
        <v>1884</v>
      </c>
      <c r="N15" s="1517">
        <v>0.11368364166964</v>
      </c>
      <c r="O15" s="1517">
        <v>1.225952597E-5</v>
      </c>
      <c r="P15" s="1518" t="s">
        <v>1885</v>
      </c>
      <c r="Q15" s="1519" t="s">
        <v>635</v>
      </c>
      <c r="R15" s="1520"/>
      <c r="S15" s="1519">
        <v>8.5109999999999992</v>
      </c>
      <c r="T15" s="1519" t="s">
        <v>1199</v>
      </c>
      <c r="U15" s="1519">
        <v>0.25</v>
      </c>
      <c r="V15" s="1521" t="s">
        <v>1883</v>
      </c>
      <c r="W15" s="1522">
        <v>74500</v>
      </c>
      <c r="X15" s="1523" t="s">
        <v>1883</v>
      </c>
      <c r="Y15" s="1524">
        <v>3.2500095220600001E-3</v>
      </c>
      <c r="Z15" s="1524">
        <v>0.20845251995194999</v>
      </c>
      <c r="AA15" s="1524">
        <v>0.50028604788467002</v>
      </c>
      <c r="AB15" s="1524">
        <v>1.16E-3</v>
      </c>
      <c r="AC15" s="1525" t="s">
        <v>1199</v>
      </c>
      <c r="AD15" s="1526">
        <v>0.54</v>
      </c>
      <c r="AE15" s="1529" t="s">
        <v>1119</v>
      </c>
      <c r="AF15" s="1528">
        <v>6.7999999999999999E-5</v>
      </c>
      <c r="AG15" s="1529" t="s">
        <v>1119</v>
      </c>
      <c r="AH15" s="1528">
        <v>9.0000000000000006E-5</v>
      </c>
      <c r="AI15" s="1529" t="s">
        <v>1912</v>
      </c>
      <c r="AJ15" s="1528">
        <v>2E-3</v>
      </c>
      <c r="AK15" s="1529" t="s">
        <v>1119</v>
      </c>
      <c r="AL15" s="1529" t="s">
        <v>1127</v>
      </c>
      <c r="AM15" s="1527"/>
      <c r="AN15" s="1530">
        <v>1</v>
      </c>
      <c r="AO15" s="1530" t="s">
        <v>635</v>
      </c>
      <c r="AP15" s="1532">
        <v>11300</v>
      </c>
    </row>
    <row r="16" spans="1:42" ht="30">
      <c r="A16" s="1481" t="s">
        <v>1913</v>
      </c>
      <c r="B16" s="1482" t="s">
        <v>1914</v>
      </c>
      <c r="C16" s="1483">
        <v>108.14</v>
      </c>
      <c r="D16" s="1484" t="s">
        <v>1883</v>
      </c>
      <c r="E16" s="1485">
        <v>4.9468520032700002E-8</v>
      </c>
      <c r="F16" s="1485">
        <v>1.21E-9</v>
      </c>
      <c r="G16" s="1486" t="s">
        <v>1199</v>
      </c>
      <c r="H16" s="1485">
        <v>6.7900000000000002E-4</v>
      </c>
      <c r="I16" s="1486" t="s">
        <v>1883</v>
      </c>
      <c r="J16" s="1487">
        <v>1</v>
      </c>
      <c r="K16" s="1488" t="s">
        <v>1883</v>
      </c>
      <c r="L16" s="1489">
        <v>0.96760000000000002</v>
      </c>
      <c r="M16" s="1490" t="s">
        <v>1884</v>
      </c>
      <c r="N16" s="1491">
        <v>7.0777496328419995E-2</v>
      </c>
      <c r="O16" s="1491">
        <v>8.9597825206299997E-6</v>
      </c>
      <c r="P16" s="1492" t="s">
        <v>1885</v>
      </c>
      <c r="Q16" s="1493" t="s">
        <v>635</v>
      </c>
      <c r="R16" s="1494"/>
      <c r="S16" s="1493">
        <v>20.18</v>
      </c>
      <c r="T16" s="1493" t="s">
        <v>1199</v>
      </c>
      <c r="U16" s="1493">
        <v>-0.32</v>
      </c>
      <c r="V16" s="1495" t="s">
        <v>1883</v>
      </c>
      <c r="W16" s="1496">
        <v>80000</v>
      </c>
      <c r="X16" s="1497" t="s">
        <v>1883</v>
      </c>
      <c r="Y16" s="1498">
        <v>9.4791234802000005E-4</v>
      </c>
      <c r="Z16" s="1498">
        <v>0.42406531242651002</v>
      </c>
      <c r="AA16" s="1498">
        <v>1.01775674982362</v>
      </c>
      <c r="AB16" s="1498">
        <v>2.3699999999999999E-4</v>
      </c>
      <c r="AC16" s="1499" t="s">
        <v>1199</v>
      </c>
      <c r="AD16" s="1500" t="s">
        <v>635</v>
      </c>
      <c r="AE16" s="1501"/>
      <c r="AF16" s="1502" t="s">
        <v>635</v>
      </c>
      <c r="AG16" s="1501"/>
      <c r="AH16" s="1502" t="s">
        <v>635</v>
      </c>
      <c r="AI16" s="1501"/>
      <c r="AJ16" s="1502">
        <v>6.0000000000000001E-3</v>
      </c>
      <c r="AK16" s="1503" t="s">
        <v>1909</v>
      </c>
      <c r="AL16" s="1501"/>
      <c r="AM16" s="1501"/>
      <c r="AN16" s="1504">
        <v>1</v>
      </c>
      <c r="AO16" s="1505">
        <v>0.1</v>
      </c>
      <c r="AP16" s="1506" t="s">
        <v>635</v>
      </c>
    </row>
    <row r="17" spans="1:42" ht="30">
      <c r="A17" s="1481" t="s">
        <v>1915</v>
      </c>
      <c r="B17" s="1482" t="s">
        <v>1916</v>
      </c>
      <c r="C17" s="1483">
        <v>269.77</v>
      </c>
      <c r="D17" s="1484" t="s">
        <v>1883</v>
      </c>
      <c r="E17" s="1485">
        <v>3.4014717906799999E-7</v>
      </c>
      <c r="F17" s="1485">
        <v>8.3199999999999994E-9</v>
      </c>
      <c r="G17" s="1486" t="s">
        <v>1883</v>
      </c>
      <c r="H17" s="1485">
        <v>2.1999999999999999E-5</v>
      </c>
      <c r="I17" s="1486" t="s">
        <v>1883</v>
      </c>
      <c r="J17" s="1487">
        <v>40</v>
      </c>
      <c r="K17" s="1488" t="s">
        <v>1883</v>
      </c>
      <c r="L17" s="1489">
        <v>1.133</v>
      </c>
      <c r="M17" s="1490" t="s">
        <v>1884</v>
      </c>
      <c r="N17" s="1491">
        <v>2.264066720697E-2</v>
      </c>
      <c r="O17" s="1491">
        <v>5.6913268326999999E-6</v>
      </c>
      <c r="P17" s="1492" t="s">
        <v>1885</v>
      </c>
      <c r="Q17" s="1493" t="s">
        <v>635</v>
      </c>
      <c r="R17" s="1494"/>
      <c r="S17" s="1493">
        <v>312.3</v>
      </c>
      <c r="T17" s="1493" t="s">
        <v>1199</v>
      </c>
      <c r="U17" s="1493">
        <v>3.52</v>
      </c>
      <c r="V17" s="1495" t="s">
        <v>1883</v>
      </c>
      <c r="W17" s="1496">
        <v>240</v>
      </c>
      <c r="X17" s="1497" t="s">
        <v>1883</v>
      </c>
      <c r="Y17" s="1498">
        <v>6.6330424556860001E-2</v>
      </c>
      <c r="Z17" s="1498">
        <v>3.4084799967980701</v>
      </c>
      <c r="AA17" s="1498">
        <v>8.18035199231538</v>
      </c>
      <c r="AB17" s="1498">
        <v>1.0500000000000001E-2</v>
      </c>
      <c r="AC17" s="1499" t="s">
        <v>1199</v>
      </c>
      <c r="AD17" s="1500">
        <v>5.6000000000000001E-2</v>
      </c>
      <c r="AE17" s="1503" t="s">
        <v>1900</v>
      </c>
      <c r="AF17" s="1502" t="s">
        <v>635</v>
      </c>
      <c r="AG17" s="1501"/>
      <c r="AH17" s="1502">
        <v>0.01</v>
      </c>
      <c r="AI17" s="1503" t="s">
        <v>1119</v>
      </c>
      <c r="AJ17" s="1502" t="s">
        <v>635</v>
      </c>
      <c r="AK17" s="1501"/>
      <c r="AL17" s="1501"/>
      <c r="AM17" s="1501"/>
      <c r="AN17" s="1504">
        <v>1</v>
      </c>
      <c r="AO17" s="1505">
        <v>0.1</v>
      </c>
      <c r="AP17" s="1506" t="s">
        <v>635</v>
      </c>
    </row>
    <row r="18" spans="1:42" ht="30">
      <c r="A18" s="1507" t="s">
        <v>1917</v>
      </c>
      <c r="B18" s="1508" t="s">
        <v>1918</v>
      </c>
      <c r="C18" s="1509">
        <v>190.27</v>
      </c>
      <c r="D18" s="1510" t="s">
        <v>1883</v>
      </c>
      <c r="E18" s="1511">
        <v>5.88716271464E-8</v>
      </c>
      <c r="F18" s="1511">
        <v>1.44E-9</v>
      </c>
      <c r="G18" s="1512" t="s">
        <v>1199</v>
      </c>
      <c r="H18" s="1511">
        <v>3.4700000000000003E-5</v>
      </c>
      <c r="I18" s="1512" t="s">
        <v>1883</v>
      </c>
      <c r="J18" s="1513">
        <v>99</v>
      </c>
      <c r="K18" s="1514" t="s">
        <v>1883</v>
      </c>
      <c r="L18" s="1515">
        <v>1.1950000000000001</v>
      </c>
      <c r="M18" s="1516" t="s">
        <v>1884</v>
      </c>
      <c r="N18" s="1517">
        <v>3.1862890588700003E-2</v>
      </c>
      <c r="O18" s="1517">
        <v>7.2455327501400001E-6</v>
      </c>
      <c r="P18" s="1518" t="s">
        <v>1885</v>
      </c>
      <c r="Q18" s="1519" t="s">
        <v>635</v>
      </c>
      <c r="R18" s="1520"/>
      <c r="S18" s="1519">
        <v>24.64</v>
      </c>
      <c r="T18" s="1519" t="s">
        <v>1199</v>
      </c>
      <c r="U18" s="1519">
        <v>1.1299999999999999</v>
      </c>
      <c r="V18" s="1521" t="s">
        <v>1883</v>
      </c>
      <c r="W18" s="1522">
        <v>6030</v>
      </c>
      <c r="X18" s="1523" t="s">
        <v>1883</v>
      </c>
      <c r="Y18" s="1524">
        <v>4.0055186920799997E-3</v>
      </c>
      <c r="Z18" s="1524">
        <v>1.2228149778569499</v>
      </c>
      <c r="AA18" s="1524">
        <v>2.9347559468566802</v>
      </c>
      <c r="AB18" s="1524">
        <v>7.5500000000000003E-4</v>
      </c>
      <c r="AC18" s="1525" t="s">
        <v>1199</v>
      </c>
      <c r="AD18" s="1526" t="s">
        <v>635</v>
      </c>
      <c r="AE18" s="1527"/>
      <c r="AF18" s="1528" t="s">
        <v>635</v>
      </c>
      <c r="AG18" s="1527"/>
      <c r="AH18" s="1528">
        <v>1E-3</v>
      </c>
      <c r="AI18" s="1529" t="s">
        <v>1119</v>
      </c>
      <c r="AJ18" s="1528" t="s">
        <v>635</v>
      </c>
      <c r="AK18" s="1527"/>
      <c r="AL18" s="1527"/>
      <c r="AM18" s="1527"/>
      <c r="AN18" s="1530">
        <v>1</v>
      </c>
      <c r="AO18" s="1531">
        <v>0.1</v>
      </c>
      <c r="AP18" s="1532" t="s">
        <v>635</v>
      </c>
    </row>
    <row r="19" spans="1:42" ht="30">
      <c r="A19" s="1481" t="s">
        <v>1919</v>
      </c>
      <c r="B19" s="1482" t="s">
        <v>1920</v>
      </c>
      <c r="C19" s="1483">
        <v>222.26</v>
      </c>
      <c r="D19" s="1484" t="s">
        <v>1883</v>
      </c>
      <c r="E19" s="1485">
        <v>1.37775960752E-7</v>
      </c>
      <c r="F19" s="1485">
        <v>3.3700000000000001E-9</v>
      </c>
      <c r="G19" s="1486" t="s">
        <v>1199</v>
      </c>
      <c r="H19" s="1485">
        <v>9.0000000000000006E-5</v>
      </c>
      <c r="I19" s="1486" t="s">
        <v>1883</v>
      </c>
      <c r="J19" s="1487">
        <v>140</v>
      </c>
      <c r="K19" s="1488" t="s">
        <v>1883</v>
      </c>
      <c r="L19" s="1489" t="s">
        <v>635</v>
      </c>
      <c r="M19" s="1533"/>
      <c r="N19" s="1491">
        <v>5.1782068427560002E-2</v>
      </c>
      <c r="O19" s="1491">
        <v>6.0503258899599997E-6</v>
      </c>
      <c r="P19" s="1492" t="s">
        <v>1885</v>
      </c>
      <c r="Q19" s="1493" t="s">
        <v>635</v>
      </c>
      <c r="R19" s="1494"/>
      <c r="S19" s="1493">
        <v>10</v>
      </c>
      <c r="T19" s="1493" t="s">
        <v>1199</v>
      </c>
      <c r="U19" s="1493">
        <v>-0.56999999999999995</v>
      </c>
      <c r="V19" s="1495" t="s">
        <v>1883</v>
      </c>
      <c r="W19" s="1496">
        <v>10000</v>
      </c>
      <c r="X19" s="1497" t="s">
        <v>1883</v>
      </c>
      <c r="Y19" s="1498">
        <v>2.1273121309000001E-4</v>
      </c>
      <c r="Z19" s="1498">
        <v>1.84716099608294</v>
      </c>
      <c r="AA19" s="1498">
        <v>4.4331863905990501</v>
      </c>
      <c r="AB19" s="1498">
        <v>3.7100000000000001E-5</v>
      </c>
      <c r="AC19" s="1499" t="s">
        <v>1199</v>
      </c>
      <c r="AD19" s="1500" t="s">
        <v>635</v>
      </c>
      <c r="AE19" s="1501"/>
      <c r="AF19" s="1502" t="s">
        <v>635</v>
      </c>
      <c r="AG19" s="1501"/>
      <c r="AH19" s="1502">
        <v>1E-3</v>
      </c>
      <c r="AI19" s="1503" t="s">
        <v>1119</v>
      </c>
      <c r="AJ19" s="1502" t="s">
        <v>635</v>
      </c>
      <c r="AK19" s="1501"/>
      <c r="AL19" s="1501"/>
      <c r="AM19" s="1501"/>
      <c r="AN19" s="1504">
        <v>1</v>
      </c>
      <c r="AO19" s="1505">
        <v>0.1</v>
      </c>
      <c r="AP19" s="1506" t="s">
        <v>635</v>
      </c>
    </row>
    <row r="20" spans="1:42" ht="30">
      <c r="A20" s="1481" t="s">
        <v>1921</v>
      </c>
      <c r="B20" s="1482" t="s">
        <v>1922</v>
      </c>
      <c r="C20" s="1483">
        <v>206.27</v>
      </c>
      <c r="D20" s="1484" t="s">
        <v>1883</v>
      </c>
      <c r="E20" s="1485">
        <v>3.9615699100600001E-8</v>
      </c>
      <c r="F20" s="1485">
        <v>9.6900000000000007E-10</v>
      </c>
      <c r="G20" s="1486" t="s">
        <v>1199</v>
      </c>
      <c r="H20" s="1485">
        <v>1E-4</v>
      </c>
      <c r="I20" s="1486" t="s">
        <v>1883</v>
      </c>
      <c r="J20" s="1487">
        <v>77.88</v>
      </c>
      <c r="K20" s="1488" t="s">
        <v>1199</v>
      </c>
      <c r="L20" s="1489" t="s">
        <v>635</v>
      </c>
      <c r="M20" s="1533"/>
      <c r="N20" s="1491">
        <v>5.4424722318569999E-2</v>
      </c>
      <c r="O20" s="1491">
        <v>6.3590991340599999E-6</v>
      </c>
      <c r="P20" s="1492" t="s">
        <v>1885</v>
      </c>
      <c r="Q20" s="1493" t="s">
        <v>635</v>
      </c>
      <c r="R20" s="1494"/>
      <c r="S20" s="1493">
        <v>10</v>
      </c>
      <c r="T20" s="1493" t="s">
        <v>1199</v>
      </c>
      <c r="U20" s="1493">
        <v>-0.78</v>
      </c>
      <c r="V20" s="1495" t="s">
        <v>1883</v>
      </c>
      <c r="W20" s="1496">
        <v>28000</v>
      </c>
      <c r="X20" s="1497" t="s">
        <v>1883</v>
      </c>
      <c r="Y20" s="1498">
        <v>1.8173584067000001E-4</v>
      </c>
      <c r="Z20" s="1498">
        <v>1.5030061222437501</v>
      </c>
      <c r="AA20" s="1498">
        <v>3.6072146933849898</v>
      </c>
      <c r="AB20" s="1498">
        <v>3.29E-5</v>
      </c>
      <c r="AC20" s="1499" t="s">
        <v>1199</v>
      </c>
      <c r="AD20" s="1500" t="s">
        <v>635</v>
      </c>
      <c r="AE20" s="1501"/>
      <c r="AF20" s="1502" t="s">
        <v>635</v>
      </c>
      <c r="AG20" s="1501"/>
      <c r="AH20" s="1502" t="s">
        <v>635</v>
      </c>
      <c r="AI20" s="1501"/>
      <c r="AJ20" s="1502" t="s">
        <v>635</v>
      </c>
      <c r="AK20" s="1501"/>
      <c r="AL20" s="1501"/>
      <c r="AM20" s="1501"/>
      <c r="AN20" s="1504">
        <v>1</v>
      </c>
      <c r="AO20" s="1505">
        <v>0.1</v>
      </c>
      <c r="AP20" s="1506" t="s">
        <v>635</v>
      </c>
    </row>
    <row r="21" spans="1:42" ht="30">
      <c r="A21" s="1507" t="s">
        <v>86</v>
      </c>
      <c r="B21" s="1508" t="s">
        <v>85</v>
      </c>
      <c r="C21" s="1509">
        <v>364.92</v>
      </c>
      <c r="D21" s="1510" t="s">
        <v>1883</v>
      </c>
      <c r="E21" s="1511">
        <v>1.79885527392E-3</v>
      </c>
      <c r="F21" s="1511">
        <v>4.3999999999999999E-5</v>
      </c>
      <c r="G21" s="1512" t="s">
        <v>1883</v>
      </c>
      <c r="H21" s="1511">
        <v>1.2E-4</v>
      </c>
      <c r="I21" s="1512" t="s">
        <v>1883</v>
      </c>
      <c r="J21" s="1513">
        <v>104</v>
      </c>
      <c r="K21" s="1514" t="s">
        <v>1883</v>
      </c>
      <c r="L21" s="1515">
        <v>1.6</v>
      </c>
      <c r="M21" s="1516" t="s">
        <v>1890</v>
      </c>
      <c r="N21" s="1517">
        <v>2.281156491601E-2</v>
      </c>
      <c r="O21" s="1517">
        <v>5.8401655942800002E-6</v>
      </c>
      <c r="P21" s="1518" t="s">
        <v>1885</v>
      </c>
      <c r="Q21" s="1519" t="s">
        <v>635</v>
      </c>
      <c r="R21" s="1520"/>
      <c r="S21" s="1519">
        <v>82020</v>
      </c>
      <c r="T21" s="1519" t="s">
        <v>1199</v>
      </c>
      <c r="U21" s="1519">
        <v>6.5</v>
      </c>
      <c r="V21" s="1521" t="s">
        <v>1883</v>
      </c>
      <c r="W21" s="1522">
        <v>1.7000000000000001E-2</v>
      </c>
      <c r="X21" s="1523" t="s">
        <v>1883</v>
      </c>
      <c r="Y21" s="1524">
        <v>2.15274755911009</v>
      </c>
      <c r="Z21" s="1524">
        <v>11.6252084690171</v>
      </c>
      <c r="AA21" s="1524">
        <v>47.726506161858701</v>
      </c>
      <c r="AB21" s="1524">
        <v>0.29299999999999998</v>
      </c>
      <c r="AC21" s="1525" t="s">
        <v>1199</v>
      </c>
      <c r="AD21" s="1526">
        <v>17</v>
      </c>
      <c r="AE21" s="1529" t="s">
        <v>1119</v>
      </c>
      <c r="AF21" s="1528">
        <v>4.8999999999999998E-3</v>
      </c>
      <c r="AG21" s="1529" t="s">
        <v>1119</v>
      </c>
      <c r="AH21" s="1528">
        <v>3.0000000000000001E-5</v>
      </c>
      <c r="AI21" s="1529" t="s">
        <v>1119</v>
      </c>
      <c r="AJ21" s="1528" t="s">
        <v>635</v>
      </c>
      <c r="AK21" s="1527"/>
      <c r="AL21" s="1529" t="s">
        <v>1127</v>
      </c>
      <c r="AM21" s="1527"/>
      <c r="AN21" s="1530">
        <v>1</v>
      </c>
      <c r="AO21" s="1530" t="s">
        <v>635</v>
      </c>
      <c r="AP21" s="1532" t="s">
        <v>635</v>
      </c>
    </row>
    <row r="22" spans="1:42" ht="30">
      <c r="A22" s="1481" t="s">
        <v>1923</v>
      </c>
      <c r="B22" s="1482" t="s">
        <v>1924</v>
      </c>
      <c r="C22" s="1483">
        <v>58.081000000000003</v>
      </c>
      <c r="D22" s="1484" t="s">
        <v>1883</v>
      </c>
      <c r="E22" s="1485">
        <v>2.0400654129E-4</v>
      </c>
      <c r="F22" s="1485">
        <v>4.9899999999999997E-6</v>
      </c>
      <c r="G22" s="1486" t="s">
        <v>1883</v>
      </c>
      <c r="H22" s="1485">
        <v>26.1</v>
      </c>
      <c r="I22" s="1486" t="s">
        <v>1883</v>
      </c>
      <c r="J22" s="1487">
        <v>-129</v>
      </c>
      <c r="K22" s="1488" t="s">
        <v>1883</v>
      </c>
      <c r="L22" s="1489">
        <v>0.85399999999999998</v>
      </c>
      <c r="M22" s="1490" t="s">
        <v>1884</v>
      </c>
      <c r="N22" s="1491">
        <v>0.10975349549952</v>
      </c>
      <c r="O22" s="1491">
        <v>1.207052175E-5</v>
      </c>
      <c r="P22" s="1492" t="s">
        <v>1885</v>
      </c>
      <c r="Q22" s="1493" t="s">
        <v>635</v>
      </c>
      <c r="R22" s="1494"/>
      <c r="S22" s="1493">
        <v>1.9039999999999999</v>
      </c>
      <c r="T22" s="1493" t="s">
        <v>1199</v>
      </c>
      <c r="U22" s="1493">
        <v>0.17</v>
      </c>
      <c r="V22" s="1495" t="s">
        <v>1883</v>
      </c>
      <c r="W22" s="1496">
        <v>1000000</v>
      </c>
      <c r="X22" s="1497" t="s">
        <v>1883</v>
      </c>
      <c r="Y22" s="1498">
        <v>2.8110094251599998E-3</v>
      </c>
      <c r="Z22" s="1498">
        <v>0.22238339169509</v>
      </c>
      <c r="AA22" s="1498">
        <v>0.53372014006821</v>
      </c>
      <c r="AB22" s="1498">
        <v>9.59E-4</v>
      </c>
      <c r="AC22" s="1499" t="s">
        <v>1199</v>
      </c>
      <c r="AD22" s="1500" t="s">
        <v>635</v>
      </c>
      <c r="AE22" s="1501"/>
      <c r="AF22" s="1502" t="s">
        <v>635</v>
      </c>
      <c r="AG22" s="1501"/>
      <c r="AH22" s="1502">
        <v>4.0000000000000001E-3</v>
      </c>
      <c r="AI22" s="1503" t="s">
        <v>1909</v>
      </c>
      <c r="AJ22" s="1502">
        <v>1E-4</v>
      </c>
      <c r="AK22" s="1503" t="s">
        <v>1893</v>
      </c>
      <c r="AL22" s="1503" t="s">
        <v>1127</v>
      </c>
      <c r="AM22" s="1501"/>
      <c r="AN22" s="1504">
        <v>1</v>
      </c>
      <c r="AO22" s="1504" t="s">
        <v>635</v>
      </c>
      <c r="AP22" s="1506">
        <v>111000</v>
      </c>
    </row>
    <row r="23" spans="1:42" ht="30">
      <c r="A23" s="1481" t="s">
        <v>1925</v>
      </c>
      <c r="B23" s="1482" t="s">
        <v>1926</v>
      </c>
      <c r="C23" s="1483">
        <v>76.525999999999996</v>
      </c>
      <c r="D23" s="1484" t="s">
        <v>1883</v>
      </c>
      <c r="E23" s="1485">
        <v>0.44971381847914998</v>
      </c>
      <c r="F23" s="1485">
        <v>1.0999999999999999E-2</v>
      </c>
      <c r="G23" s="1486" t="s">
        <v>1199</v>
      </c>
      <c r="H23" s="1485">
        <v>367.9</v>
      </c>
      <c r="I23" s="1486" t="s">
        <v>1883</v>
      </c>
      <c r="J23" s="1487">
        <v>-134.5</v>
      </c>
      <c r="K23" s="1488" t="s">
        <v>1883</v>
      </c>
      <c r="L23" s="1489">
        <v>0.93759999999999999</v>
      </c>
      <c r="M23" s="1490" t="s">
        <v>1884</v>
      </c>
      <c r="N23" s="1491">
        <v>9.3610952858929994E-2</v>
      </c>
      <c r="O23" s="1491">
        <v>1.081924418E-5</v>
      </c>
      <c r="P23" s="1492" t="s">
        <v>1885</v>
      </c>
      <c r="Q23" s="1493" t="s">
        <v>635</v>
      </c>
      <c r="R23" s="1494"/>
      <c r="S23" s="1493">
        <v>39.6</v>
      </c>
      <c r="T23" s="1493" t="s">
        <v>1199</v>
      </c>
      <c r="U23" s="1493">
        <v>1.93</v>
      </c>
      <c r="V23" s="1495" t="s">
        <v>1883</v>
      </c>
      <c r="W23" s="1496">
        <v>3370</v>
      </c>
      <c r="X23" s="1497" t="s">
        <v>1883</v>
      </c>
      <c r="Y23" s="1498">
        <v>3.7683322005849999E-2</v>
      </c>
      <c r="Z23" s="1498">
        <v>0.28209432515730998</v>
      </c>
      <c r="AA23" s="1498">
        <v>0.67702638037755003</v>
      </c>
      <c r="AB23" s="1498">
        <v>1.12E-2</v>
      </c>
      <c r="AC23" s="1499" t="s">
        <v>1199</v>
      </c>
      <c r="AD23" s="1500">
        <v>2.1000000000000001E-2</v>
      </c>
      <c r="AE23" s="1503" t="s">
        <v>1900</v>
      </c>
      <c r="AF23" s="1502">
        <v>6.0000000000000002E-6</v>
      </c>
      <c r="AG23" s="1503" t="s">
        <v>1900</v>
      </c>
      <c r="AH23" s="1502" t="s">
        <v>635</v>
      </c>
      <c r="AI23" s="1501"/>
      <c r="AJ23" s="1502">
        <v>1E-3</v>
      </c>
      <c r="AK23" s="1503" t="s">
        <v>1119</v>
      </c>
      <c r="AL23" s="1503" t="s">
        <v>1127</v>
      </c>
      <c r="AM23" s="1501"/>
      <c r="AN23" s="1504">
        <v>1</v>
      </c>
      <c r="AO23" s="1504" t="s">
        <v>635</v>
      </c>
      <c r="AP23" s="1506">
        <v>1420</v>
      </c>
    </row>
    <row r="24" spans="1:42" ht="30">
      <c r="A24" s="1507" t="s">
        <v>1927</v>
      </c>
      <c r="B24" s="1508" t="s">
        <v>1928</v>
      </c>
      <c r="C24" s="1509">
        <v>26.981999999999999</v>
      </c>
      <c r="D24" s="1510" t="s">
        <v>1884</v>
      </c>
      <c r="E24" s="1511" t="s">
        <v>635</v>
      </c>
      <c r="F24" s="1511" t="s">
        <v>635</v>
      </c>
      <c r="G24" s="1534"/>
      <c r="H24" s="1511">
        <v>0</v>
      </c>
      <c r="I24" s="1512" t="s">
        <v>1929</v>
      </c>
      <c r="J24" s="1513">
        <v>660.32</v>
      </c>
      <c r="K24" s="1514" t="s">
        <v>1884</v>
      </c>
      <c r="L24" s="1515">
        <v>2.7</v>
      </c>
      <c r="M24" s="1516" t="s">
        <v>1884</v>
      </c>
      <c r="N24" s="1517">
        <v>0.27108401919341002</v>
      </c>
      <c r="O24" s="1517">
        <v>3.814569634E-5</v>
      </c>
      <c r="P24" s="1518" t="s">
        <v>1885</v>
      </c>
      <c r="Q24" s="1519">
        <v>1500</v>
      </c>
      <c r="R24" s="1519" t="s">
        <v>1930</v>
      </c>
      <c r="S24" s="1519" t="s">
        <v>635</v>
      </c>
      <c r="T24" s="1520"/>
      <c r="U24" s="1519" t="s">
        <v>635</v>
      </c>
      <c r="V24" s="1507"/>
      <c r="W24" s="1522" t="s">
        <v>635</v>
      </c>
      <c r="X24" s="1535"/>
      <c r="Y24" s="1524">
        <v>1.9978538781300001E-3</v>
      </c>
      <c r="Z24" s="1524">
        <v>0.14891825878305001</v>
      </c>
      <c r="AA24" s="1524">
        <v>0.35740382107931001</v>
      </c>
      <c r="AB24" s="1524">
        <v>1E-3</v>
      </c>
      <c r="AC24" s="1525" t="s">
        <v>1203</v>
      </c>
      <c r="AD24" s="1526" t="s">
        <v>635</v>
      </c>
      <c r="AE24" s="1527"/>
      <c r="AF24" s="1528" t="s">
        <v>635</v>
      </c>
      <c r="AG24" s="1527"/>
      <c r="AH24" s="1528">
        <v>1</v>
      </c>
      <c r="AI24" s="1529" t="s">
        <v>1909</v>
      </c>
      <c r="AJ24" s="1528">
        <v>5.0000000000000001E-3</v>
      </c>
      <c r="AK24" s="1529" t="s">
        <v>1909</v>
      </c>
      <c r="AL24" s="1527"/>
      <c r="AM24" s="1527"/>
      <c r="AN24" s="1530">
        <v>1</v>
      </c>
      <c r="AO24" s="1530" t="s">
        <v>635</v>
      </c>
      <c r="AP24" s="1532" t="s">
        <v>635</v>
      </c>
    </row>
    <row r="25" spans="1:42" ht="30">
      <c r="A25" s="1481" t="s">
        <v>1931</v>
      </c>
      <c r="B25" s="1482" t="s">
        <v>1932</v>
      </c>
      <c r="C25" s="1483">
        <v>57.954999999999998</v>
      </c>
      <c r="D25" s="1484" t="s">
        <v>1883</v>
      </c>
      <c r="E25" s="1485" t="s">
        <v>635</v>
      </c>
      <c r="F25" s="1485" t="s">
        <v>635</v>
      </c>
      <c r="G25" s="1536"/>
      <c r="H25" s="1485" t="s">
        <v>635</v>
      </c>
      <c r="I25" s="1536"/>
      <c r="J25" s="1487">
        <v>2550</v>
      </c>
      <c r="K25" s="1488" t="s">
        <v>1884</v>
      </c>
      <c r="L25" s="1489">
        <v>2.4</v>
      </c>
      <c r="M25" s="1490" t="s">
        <v>1884</v>
      </c>
      <c r="N25" s="1491">
        <v>0.16427383387868999</v>
      </c>
      <c r="O25" s="1491">
        <v>2.2466942329999999E-5</v>
      </c>
      <c r="P25" s="1492" t="s">
        <v>1885</v>
      </c>
      <c r="Q25" s="1493" t="s">
        <v>635</v>
      </c>
      <c r="R25" s="1494"/>
      <c r="S25" s="1493" t="s">
        <v>635</v>
      </c>
      <c r="T25" s="1494"/>
      <c r="U25" s="1493" t="s">
        <v>635</v>
      </c>
      <c r="V25" s="1481"/>
      <c r="W25" s="1496" t="s">
        <v>635</v>
      </c>
      <c r="X25" s="1537"/>
      <c r="Y25" s="1498">
        <v>2.9280069760999998E-3</v>
      </c>
      <c r="Z25" s="1498">
        <v>0.22202237784955001</v>
      </c>
      <c r="AA25" s="1498">
        <v>0.53285370683892996</v>
      </c>
      <c r="AB25" s="1498">
        <v>1E-3</v>
      </c>
      <c r="AC25" s="1499" t="s">
        <v>1203</v>
      </c>
      <c r="AD25" s="1500" t="s">
        <v>635</v>
      </c>
      <c r="AE25" s="1501"/>
      <c r="AF25" s="1502" t="s">
        <v>635</v>
      </c>
      <c r="AG25" s="1501"/>
      <c r="AH25" s="1502">
        <v>4.0000000000000002E-4</v>
      </c>
      <c r="AI25" s="1503" t="s">
        <v>1119</v>
      </c>
      <c r="AJ25" s="1502" t="s">
        <v>635</v>
      </c>
      <c r="AK25" s="1501"/>
      <c r="AL25" s="1501"/>
      <c r="AM25" s="1501"/>
      <c r="AN25" s="1504">
        <v>1</v>
      </c>
      <c r="AO25" s="1504" t="s">
        <v>635</v>
      </c>
      <c r="AP25" s="1506" t="s">
        <v>635</v>
      </c>
    </row>
    <row r="26" spans="1:42" ht="30">
      <c r="A26" s="1481" t="s">
        <v>1933</v>
      </c>
      <c r="B26" s="1482" t="s">
        <v>1934</v>
      </c>
      <c r="C26" s="1483">
        <v>227.33</v>
      </c>
      <c r="D26" s="1484" t="s">
        <v>1883</v>
      </c>
      <c r="E26" s="1485">
        <v>9.9345870809500004E-8</v>
      </c>
      <c r="F26" s="1485">
        <v>2.4300000000000001E-9</v>
      </c>
      <c r="G26" s="1486" t="s">
        <v>1199</v>
      </c>
      <c r="H26" s="1485">
        <v>2.74E-6</v>
      </c>
      <c r="I26" s="1486" t="s">
        <v>1883</v>
      </c>
      <c r="J26" s="1487">
        <v>88</v>
      </c>
      <c r="K26" s="1488" t="s">
        <v>1883</v>
      </c>
      <c r="L26" s="1489" t="s">
        <v>635</v>
      </c>
      <c r="M26" s="1533"/>
      <c r="N26" s="1491">
        <v>5.1009268981549998E-2</v>
      </c>
      <c r="O26" s="1491">
        <v>5.9600303757399996E-6</v>
      </c>
      <c r="P26" s="1492" t="s">
        <v>1885</v>
      </c>
      <c r="Q26" s="1493" t="s">
        <v>635</v>
      </c>
      <c r="R26" s="1494"/>
      <c r="S26" s="1493">
        <v>428.2</v>
      </c>
      <c r="T26" s="1493" t="s">
        <v>1199</v>
      </c>
      <c r="U26" s="1493">
        <v>2.98</v>
      </c>
      <c r="V26" s="1495" t="s">
        <v>1883</v>
      </c>
      <c r="W26" s="1496">
        <v>209</v>
      </c>
      <c r="X26" s="1497" t="s">
        <v>1883</v>
      </c>
      <c r="Y26" s="1498">
        <v>4.6044263479920002E-2</v>
      </c>
      <c r="Z26" s="1498">
        <v>1.9719538625600399</v>
      </c>
      <c r="AA26" s="1498">
        <v>4.7326892701440997</v>
      </c>
      <c r="AB26" s="1498">
        <v>7.9399999999999991E-3</v>
      </c>
      <c r="AC26" s="1499" t="s">
        <v>1199</v>
      </c>
      <c r="AD26" s="1500" t="s">
        <v>635</v>
      </c>
      <c r="AE26" s="1501"/>
      <c r="AF26" s="1502" t="s">
        <v>635</v>
      </c>
      <c r="AG26" s="1501"/>
      <c r="AH26" s="1502">
        <v>8.9999999999999993E-3</v>
      </c>
      <c r="AI26" s="1503" t="s">
        <v>1119</v>
      </c>
      <c r="AJ26" s="1502" t="s">
        <v>635</v>
      </c>
      <c r="AK26" s="1501"/>
      <c r="AL26" s="1501"/>
      <c r="AM26" s="1501"/>
      <c r="AN26" s="1504">
        <v>1</v>
      </c>
      <c r="AO26" s="1505">
        <v>0.1</v>
      </c>
      <c r="AP26" s="1506" t="s">
        <v>635</v>
      </c>
    </row>
    <row r="27" spans="1:42" ht="30">
      <c r="A27" s="1507" t="s">
        <v>1935</v>
      </c>
      <c r="B27" s="1508" t="s">
        <v>1936</v>
      </c>
      <c r="C27" s="1509">
        <v>169.23</v>
      </c>
      <c r="D27" s="1510" t="s">
        <v>1883</v>
      </c>
      <c r="E27" s="1511">
        <v>5.9689288634499997E-6</v>
      </c>
      <c r="F27" s="1511">
        <v>1.4600000000000001E-7</v>
      </c>
      <c r="G27" s="1512" t="s">
        <v>1883</v>
      </c>
      <c r="H27" s="1511">
        <v>1.17E-4</v>
      </c>
      <c r="I27" s="1512" t="s">
        <v>1883</v>
      </c>
      <c r="J27" s="1513">
        <v>53.5</v>
      </c>
      <c r="K27" s="1514" t="s">
        <v>1883</v>
      </c>
      <c r="L27" s="1515" t="s">
        <v>635</v>
      </c>
      <c r="M27" s="1538"/>
      <c r="N27" s="1517">
        <v>6.2101491573080002E-2</v>
      </c>
      <c r="O27" s="1517">
        <v>7.25606901538E-6</v>
      </c>
      <c r="P27" s="1518" t="s">
        <v>1885</v>
      </c>
      <c r="Q27" s="1519" t="s">
        <v>635</v>
      </c>
      <c r="R27" s="1520"/>
      <c r="S27" s="1519">
        <v>2471</v>
      </c>
      <c r="T27" s="1519" t="s">
        <v>1199</v>
      </c>
      <c r="U27" s="1519">
        <v>2.86</v>
      </c>
      <c r="V27" s="1521" t="s">
        <v>1883</v>
      </c>
      <c r="W27" s="1522">
        <v>223.9</v>
      </c>
      <c r="X27" s="1523" t="s">
        <v>1883</v>
      </c>
      <c r="Y27" s="1524">
        <v>7.0047616940570004E-2</v>
      </c>
      <c r="Z27" s="1524">
        <v>0.93225935396905002</v>
      </c>
      <c r="AA27" s="1524">
        <v>2.2374224495257198</v>
      </c>
      <c r="AB27" s="1524">
        <v>1.4E-2</v>
      </c>
      <c r="AC27" s="1525" t="s">
        <v>1199</v>
      </c>
      <c r="AD27" s="1526">
        <v>21</v>
      </c>
      <c r="AE27" s="1529" t="s">
        <v>1900</v>
      </c>
      <c r="AF27" s="1528">
        <v>6.0000000000000001E-3</v>
      </c>
      <c r="AG27" s="1529" t="s">
        <v>1900</v>
      </c>
      <c r="AH27" s="1528" t="s">
        <v>635</v>
      </c>
      <c r="AI27" s="1527"/>
      <c r="AJ27" s="1528" t="s">
        <v>635</v>
      </c>
      <c r="AK27" s="1527"/>
      <c r="AL27" s="1527"/>
      <c r="AM27" s="1527"/>
      <c r="AN27" s="1530">
        <v>1</v>
      </c>
      <c r="AO27" s="1531">
        <v>0.1</v>
      </c>
      <c r="AP27" s="1532" t="s">
        <v>635</v>
      </c>
    </row>
    <row r="28" spans="1:42" ht="30">
      <c r="A28" s="1481" t="s">
        <v>1937</v>
      </c>
      <c r="B28" s="1482" t="s">
        <v>1938</v>
      </c>
      <c r="C28" s="1483">
        <v>109.13</v>
      </c>
      <c r="D28" s="1484" t="s">
        <v>1883</v>
      </c>
      <c r="E28" s="1485">
        <v>8.0948487326200002E-9</v>
      </c>
      <c r="F28" s="1485">
        <v>1.9799999999999999E-10</v>
      </c>
      <c r="G28" s="1486" t="s">
        <v>1883</v>
      </c>
      <c r="H28" s="1485">
        <v>9.5499999999999995E-3</v>
      </c>
      <c r="I28" s="1486" t="s">
        <v>1883</v>
      </c>
      <c r="J28" s="1487">
        <v>123</v>
      </c>
      <c r="K28" s="1488" t="s">
        <v>1883</v>
      </c>
      <c r="L28" s="1489" t="s">
        <v>635</v>
      </c>
      <c r="M28" s="1533"/>
      <c r="N28" s="1491">
        <v>8.3200160513259999E-2</v>
      </c>
      <c r="O28" s="1491">
        <v>9.7212819126000001E-6</v>
      </c>
      <c r="P28" s="1492" t="s">
        <v>1885</v>
      </c>
      <c r="Q28" s="1493" t="s">
        <v>635</v>
      </c>
      <c r="R28" s="1494"/>
      <c r="S28" s="1493">
        <v>90.2</v>
      </c>
      <c r="T28" s="1493" t="s">
        <v>1199</v>
      </c>
      <c r="U28" s="1493">
        <v>0.21</v>
      </c>
      <c r="V28" s="1495" t="s">
        <v>1883</v>
      </c>
      <c r="W28" s="1496">
        <v>27000</v>
      </c>
      <c r="X28" s="1497" t="s">
        <v>1883</v>
      </c>
      <c r="Y28" s="1498">
        <v>2.1174313794E-3</v>
      </c>
      <c r="Z28" s="1498">
        <v>0.42951343172396</v>
      </c>
      <c r="AA28" s="1498">
        <v>1.0308322361375</v>
      </c>
      <c r="AB28" s="1498">
        <v>5.2700000000000002E-4</v>
      </c>
      <c r="AC28" s="1499" t="s">
        <v>1199</v>
      </c>
      <c r="AD28" s="1500" t="s">
        <v>635</v>
      </c>
      <c r="AE28" s="1501"/>
      <c r="AF28" s="1502" t="s">
        <v>635</v>
      </c>
      <c r="AG28" s="1501"/>
      <c r="AH28" s="1502">
        <v>0.08</v>
      </c>
      <c r="AI28" s="1503" t="s">
        <v>1909</v>
      </c>
      <c r="AJ28" s="1502" t="s">
        <v>635</v>
      </c>
      <c r="AK28" s="1501"/>
      <c r="AL28" s="1501"/>
      <c r="AM28" s="1501"/>
      <c r="AN28" s="1504">
        <v>1</v>
      </c>
      <c r="AO28" s="1505">
        <v>0.1</v>
      </c>
      <c r="AP28" s="1506" t="s">
        <v>635</v>
      </c>
    </row>
    <row r="29" spans="1:42" ht="30">
      <c r="A29" s="1481" t="s">
        <v>1939</v>
      </c>
      <c r="B29" s="1482" t="s">
        <v>1940</v>
      </c>
      <c r="C29" s="1483">
        <v>109.13</v>
      </c>
      <c r="D29" s="1484" t="s">
        <v>1883</v>
      </c>
      <c r="E29" s="1485">
        <v>8.0948487326200002E-9</v>
      </c>
      <c r="F29" s="1485">
        <v>1.9799999999999999E-10</v>
      </c>
      <c r="G29" s="1486" t="s">
        <v>1883</v>
      </c>
      <c r="H29" s="1485">
        <v>9.5499999999999995E-3</v>
      </c>
      <c r="I29" s="1486" t="s">
        <v>1883</v>
      </c>
      <c r="J29" s="1487">
        <v>174</v>
      </c>
      <c r="K29" s="1488" t="s">
        <v>1883</v>
      </c>
      <c r="L29" s="1489">
        <v>1.3280000000000001</v>
      </c>
      <c r="M29" s="1490" t="s">
        <v>1884</v>
      </c>
      <c r="N29" s="1491">
        <v>8.0487640228980001E-2</v>
      </c>
      <c r="O29" s="1491">
        <v>1.0775169820000001E-5</v>
      </c>
      <c r="P29" s="1492" t="s">
        <v>1885</v>
      </c>
      <c r="Q29" s="1493" t="s">
        <v>635</v>
      </c>
      <c r="R29" s="1494"/>
      <c r="S29" s="1493">
        <v>92.04</v>
      </c>
      <c r="T29" s="1493" t="s">
        <v>1199</v>
      </c>
      <c r="U29" s="1493">
        <v>0.62</v>
      </c>
      <c r="V29" s="1495" t="s">
        <v>1883</v>
      </c>
      <c r="W29" s="1496">
        <v>20000</v>
      </c>
      <c r="X29" s="1497" t="s">
        <v>1883</v>
      </c>
      <c r="Y29" s="1498">
        <v>3.96968159932E-3</v>
      </c>
      <c r="Z29" s="1498">
        <v>0.42951343172396</v>
      </c>
      <c r="AA29" s="1498">
        <v>1.0308322361375</v>
      </c>
      <c r="AB29" s="1498">
        <v>9.8799999999999995E-4</v>
      </c>
      <c r="AC29" s="1499" t="s">
        <v>1199</v>
      </c>
      <c r="AD29" s="1500" t="s">
        <v>635</v>
      </c>
      <c r="AE29" s="1501"/>
      <c r="AF29" s="1502" t="s">
        <v>635</v>
      </c>
      <c r="AG29" s="1501"/>
      <c r="AH29" s="1502">
        <v>4.0000000000000001E-3</v>
      </c>
      <c r="AI29" s="1503" t="s">
        <v>1893</v>
      </c>
      <c r="AJ29" s="1502" t="s">
        <v>635</v>
      </c>
      <c r="AK29" s="1501"/>
      <c r="AL29" s="1501"/>
      <c r="AM29" s="1501"/>
      <c r="AN29" s="1504">
        <v>1</v>
      </c>
      <c r="AO29" s="1505">
        <v>0.1</v>
      </c>
      <c r="AP29" s="1506" t="s">
        <v>635</v>
      </c>
    </row>
    <row r="30" spans="1:42" ht="30">
      <c r="A30" s="1507" t="s">
        <v>1941</v>
      </c>
      <c r="B30" s="1508" t="s">
        <v>1942</v>
      </c>
      <c r="C30" s="1509">
        <v>109.13</v>
      </c>
      <c r="D30" s="1510" t="s">
        <v>1883</v>
      </c>
      <c r="E30" s="1511">
        <v>1.46770237122E-8</v>
      </c>
      <c r="F30" s="1511">
        <v>3.59E-10</v>
      </c>
      <c r="G30" s="1512" t="s">
        <v>1199</v>
      </c>
      <c r="H30" s="1511">
        <v>4.0000000000000003E-5</v>
      </c>
      <c r="I30" s="1512" t="s">
        <v>1199</v>
      </c>
      <c r="J30" s="1513">
        <v>187.5</v>
      </c>
      <c r="K30" s="1514" t="s">
        <v>1883</v>
      </c>
      <c r="L30" s="1515" t="s">
        <v>635</v>
      </c>
      <c r="M30" s="1538"/>
      <c r="N30" s="1517">
        <v>8.3200160513259999E-2</v>
      </c>
      <c r="O30" s="1517">
        <v>9.7212819126000001E-6</v>
      </c>
      <c r="P30" s="1518" t="s">
        <v>1885</v>
      </c>
      <c r="Q30" s="1519" t="s">
        <v>635</v>
      </c>
      <c r="R30" s="1520"/>
      <c r="S30" s="1519">
        <v>90.2</v>
      </c>
      <c r="T30" s="1519" t="s">
        <v>1199</v>
      </c>
      <c r="U30" s="1519">
        <v>0.04</v>
      </c>
      <c r="V30" s="1521" t="s">
        <v>1883</v>
      </c>
      <c r="W30" s="1522">
        <v>16000</v>
      </c>
      <c r="X30" s="1523" t="s">
        <v>1883</v>
      </c>
      <c r="Y30" s="1524">
        <v>1.63528381672E-3</v>
      </c>
      <c r="Z30" s="1524">
        <v>0.42951343172396</v>
      </c>
      <c r="AA30" s="1524">
        <v>1.0308322361375</v>
      </c>
      <c r="AB30" s="1524">
        <v>4.0700000000000003E-4</v>
      </c>
      <c r="AC30" s="1525" t="s">
        <v>1199</v>
      </c>
      <c r="AD30" s="1526" t="s">
        <v>635</v>
      </c>
      <c r="AE30" s="1527"/>
      <c r="AF30" s="1528" t="s">
        <v>635</v>
      </c>
      <c r="AG30" s="1527"/>
      <c r="AH30" s="1528">
        <v>0.02</v>
      </c>
      <c r="AI30" s="1529" t="s">
        <v>1909</v>
      </c>
      <c r="AJ30" s="1528" t="s">
        <v>635</v>
      </c>
      <c r="AK30" s="1527"/>
      <c r="AL30" s="1527"/>
      <c r="AM30" s="1527"/>
      <c r="AN30" s="1530">
        <v>1</v>
      </c>
      <c r="AO30" s="1531">
        <v>0.1</v>
      </c>
      <c r="AP30" s="1532" t="s">
        <v>635</v>
      </c>
    </row>
    <row r="31" spans="1:42" ht="30">
      <c r="A31" s="1481" t="s">
        <v>1943</v>
      </c>
      <c r="B31" s="1482" t="s">
        <v>1944</v>
      </c>
      <c r="C31" s="1483">
        <v>293.42</v>
      </c>
      <c r="D31" s="1484" t="s">
        <v>1883</v>
      </c>
      <c r="E31" s="1485">
        <v>4.035159444E-4</v>
      </c>
      <c r="F31" s="1485">
        <v>9.8700000000000004E-6</v>
      </c>
      <c r="G31" s="1486" t="s">
        <v>1883</v>
      </c>
      <c r="H31" s="1485">
        <v>1.9999999999999999E-6</v>
      </c>
      <c r="I31" s="1486" t="s">
        <v>1883</v>
      </c>
      <c r="J31" s="1487">
        <v>86</v>
      </c>
      <c r="K31" s="1488" t="s">
        <v>1883</v>
      </c>
      <c r="L31" s="1489">
        <v>1.1279999999999999</v>
      </c>
      <c r="M31" s="1490" t="s">
        <v>1884</v>
      </c>
      <c r="N31" s="1491">
        <v>2.1614311176069999E-2</v>
      </c>
      <c r="O31" s="1491">
        <v>5.3971365206999998E-6</v>
      </c>
      <c r="P31" s="1492" t="s">
        <v>1885</v>
      </c>
      <c r="Q31" s="1493" t="s">
        <v>635</v>
      </c>
      <c r="R31" s="1494"/>
      <c r="S31" s="1493">
        <v>257300</v>
      </c>
      <c r="T31" s="1493" t="s">
        <v>1199</v>
      </c>
      <c r="U31" s="1493">
        <v>5.5</v>
      </c>
      <c r="V31" s="1495" t="s">
        <v>1883</v>
      </c>
      <c r="W31" s="1496">
        <v>1</v>
      </c>
      <c r="X31" s="1497" t="s">
        <v>1883</v>
      </c>
      <c r="Y31" s="1498">
        <v>1.0541234896163501</v>
      </c>
      <c r="Z31" s="1498">
        <v>4.6238181949522996</v>
      </c>
      <c r="AA31" s="1498">
        <v>17.888257463920699</v>
      </c>
      <c r="AB31" s="1498">
        <v>0.16</v>
      </c>
      <c r="AC31" s="1499" t="s">
        <v>1199</v>
      </c>
      <c r="AD31" s="1500" t="s">
        <v>635</v>
      </c>
      <c r="AE31" s="1501"/>
      <c r="AF31" s="1502" t="s">
        <v>635</v>
      </c>
      <c r="AG31" s="1501"/>
      <c r="AH31" s="1502">
        <v>2.5000000000000001E-3</v>
      </c>
      <c r="AI31" s="1503" t="s">
        <v>1119</v>
      </c>
      <c r="AJ31" s="1502" t="s">
        <v>635</v>
      </c>
      <c r="AK31" s="1501"/>
      <c r="AL31" s="1501"/>
      <c r="AM31" s="1501"/>
      <c r="AN31" s="1504">
        <v>1</v>
      </c>
      <c r="AO31" s="1505">
        <v>0.1</v>
      </c>
      <c r="AP31" s="1506" t="s">
        <v>635</v>
      </c>
    </row>
    <row r="32" spans="1:42" ht="30">
      <c r="A32" s="1481" t="s">
        <v>1945</v>
      </c>
      <c r="B32" s="1482" t="s">
        <v>1946</v>
      </c>
      <c r="C32" s="1483">
        <v>17.030999999999999</v>
      </c>
      <c r="D32" s="1484" t="s">
        <v>1883</v>
      </c>
      <c r="E32" s="1485">
        <v>6.5821749795999995E-4</v>
      </c>
      <c r="F32" s="1485">
        <v>1.6099999999999998E-5</v>
      </c>
      <c r="G32" s="1486" t="s">
        <v>1883</v>
      </c>
      <c r="H32" s="1485">
        <v>7508</v>
      </c>
      <c r="I32" s="1486" t="s">
        <v>1883</v>
      </c>
      <c r="J32" s="1487">
        <v>-77.7</v>
      </c>
      <c r="K32" s="1488" t="s">
        <v>1883</v>
      </c>
      <c r="L32" s="1489">
        <v>0.7329</v>
      </c>
      <c r="M32" s="1490" t="s">
        <v>1884</v>
      </c>
      <c r="N32" s="1491">
        <v>0.23487628697997001</v>
      </c>
      <c r="O32" s="1491">
        <v>2.2990822859999999E-5</v>
      </c>
      <c r="P32" s="1492" t="s">
        <v>1885</v>
      </c>
      <c r="Q32" s="1493" t="s">
        <v>635</v>
      </c>
      <c r="R32" s="1494"/>
      <c r="S32" s="1493" t="s">
        <v>635</v>
      </c>
      <c r="T32" s="1494"/>
      <c r="U32" s="1493">
        <v>0.23</v>
      </c>
      <c r="V32" s="1495" t="s">
        <v>1883</v>
      </c>
      <c r="W32" s="1496">
        <v>482000</v>
      </c>
      <c r="X32" s="1497" t="s">
        <v>1883</v>
      </c>
      <c r="Y32" s="1498">
        <v>1.5872550829099999E-3</v>
      </c>
      <c r="Z32" s="1498">
        <v>0.13098523681482999</v>
      </c>
      <c r="AA32" s="1498">
        <v>0.31436456835558002</v>
      </c>
      <c r="AB32" s="1498">
        <v>1E-3</v>
      </c>
      <c r="AC32" s="1499" t="s">
        <v>1203</v>
      </c>
      <c r="AD32" s="1500" t="s">
        <v>635</v>
      </c>
      <c r="AE32" s="1501"/>
      <c r="AF32" s="1502" t="s">
        <v>635</v>
      </c>
      <c r="AG32" s="1501"/>
      <c r="AH32" s="1502" t="s">
        <v>635</v>
      </c>
      <c r="AI32" s="1501"/>
      <c r="AJ32" s="1502">
        <v>0.5</v>
      </c>
      <c r="AK32" s="1503" t="s">
        <v>1119</v>
      </c>
      <c r="AL32" s="1503" t="s">
        <v>1127</v>
      </c>
      <c r="AM32" s="1501"/>
      <c r="AN32" s="1504">
        <v>1</v>
      </c>
      <c r="AO32" s="1504" t="s">
        <v>635</v>
      </c>
      <c r="AP32" s="1506" t="s">
        <v>635</v>
      </c>
    </row>
    <row r="33" spans="1:42" ht="30">
      <c r="A33" s="1507" t="s">
        <v>1947</v>
      </c>
      <c r="B33" s="1508" t="s">
        <v>1948</v>
      </c>
      <c r="C33" s="1509">
        <v>229.11</v>
      </c>
      <c r="D33" s="1510" t="s">
        <v>1883</v>
      </c>
      <c r="E33" s="1511">
        <v>6.9501226491999997E-10</v>
      </c>
      <c r="F33" s="1511">
        <v>1.6999999999999999E-11</v>
      </c>
      <c r="G33" s="1512" t="s">
        <v>1199</v>
      </c>
      <c r="H33" s="1511">
        <v>7.5000000000000002E-7</v>
      </c>
      <c r="I33" s="1512" t="s">
        <v>1883</v>
      </c>
      <c r="J33" s="1513">
        <v>122.5</v>
      </c>
      <c r="K33" s="1514" t="s">
        <v>1883</v>
      </c>
      <c r="L33" s="1515">
        <v>1.7629999999999999</v>
      </c>
      <c r="M33" s="1516" t="s">
        <v>1949</v>
      </c>
      <c r="N33" s="1517">
        <v>3.023644087746E-2</v>
      </c>
      <c r="O33" s="1517">
        <v>8.1845862885599995E-6</v>
      </c>
      <c r="P33" s="1518" t="s">
        <v>1885</v>
      </c>
      <c r="Q33" s="1519" t="s">
        <v>635</v>
      </c>
      <c r="R33" s="1520"/>
      <c r="S33" s="1519">
        <v>2251</v>
      </c>
      <c r="T33" s="1519" t="s">
        <v>1199</v>
      </c>
      <c r="U33" s="1519">
        <v>1.44</v>
      </c>
      <c r="V33" s="1521" t="s">
        <v>1883</v>
      </c>
      <c r="W33" s="1522">
        <v>12700</v>
      </c>
      <c r="X33" s="1523" t="s">
        <v>1883</v>
      </c>
      <c r="Y33" s="1524">
        <v>3.6152661500599998E-3</v>
      </c>
      <c r="Z33" s="1524">
        <v>2.0177378907591801</v>
      </c>
      <c r="AA33" s="1524">
        <v>4.8425709378220398</v>
      </c>
      <c r="AB33" s="1524">
        <v>6.2100000000000002E-4</v>
      </c>
      <c r="AC33" s="1525" t="s">
        <v>1199</v>
      </c>
      <c r="AD33" s="1526" t="s">
        <v>635</v>
      </c>
      <c r="AE33" s="1527"/>
      <c r="AF33" s="1528" t="s">
        <v>635</v>
      </c>
      <c r="AG33" s="1527"/>
      <c r="AH33" s="1528">
        <v>2E-3</v>
      </c>
      <c r="AI33" s="1529" t="s">
        <v>1893</v>
      </c>
      <c r="AJ33" s="1528" t="s">
        <v>635</v>
      </c>
      <c r="AK33" s="1527"/>
      <c r="AL33" s="1527"/>
      <c r="AM33" s="1527"/>
      <c r="AN33" s="1530">
        <v>1</v>
      </c>
      <c r="AO33" s="1531">
        <v>0.1</v>
      </c>
      <c r="AP33" s="1532" t="s">
        <v>635</v>
      </c>
    </row>
    <row r="34" spans="1:42" ht="30">
      <c r="A34" s="1481" t="s">
        <v>1950</v>
      </c>
      <c r="B34" s="1482" t="s">
        <v>1951</v>
      </c>
      <c r="C34" s="1483">
        <v>114.124</v>
      </c>
      <c r="D34" s="1484" t="s">
        <v>1884</v>
      </c>
      <c r="E34" s="1485" t="s">
        <v>635</v>
      </c>
      <c r="F34" s="1485" t="s">
        <v>635</v>
      </c>
      <c r="G34" s="1536"/>
      <c r="H34" s="1485">
        <v>0</v>
      </c>
      <c r="I34" s="1486" t="s">
        <v>1929</v>
      </c>
      <c r="J34" s="1487">
        <v>131</v>
      </c>
      <c r="K34" s="1488" t="s">
        <v>1884</v>
      </c>
      <c r="L34" s="1489">
        <v>1.77</v>
      </c>
      <c r="M34" s="1490" t="s">
        <v>1890</v>
      </c>
      <c r="N34" s="1491">
        <v>8.6898029127659995E-2</v>
      </c>
      <c r="O34" s="1491">
        <v>1.246319931E-5</v>
      </c>
      <c r="P34" s="1492" t="s">
        <v>1885</v>
      </c>
      <c r="Q34" s="1493" t="s">
        <v>635</v>
      </c>
      <c r="R34" s="1494"/>
      <c r="S34" s="1493" t="s">
        <v>635</v>
      </c>
      <c r="T34" s="1494"/>
      <c r="U34" s="1493" t="s">
        <v>635</v>
      </c>
      <c r="V34" s="1481"/>
      <c r="W34" s="1496">
        <v>1340000</v>
      </c>
      <c r="X34" s="1497" t="s">
        <v>1949</v>
      </c>
      <c r="Y34" s="1498">
        <v>4.1088013484100001E-3</v>
      </c>
      <c r="Z34" s="1498">
        <v>0.45808191856281999</v>
      </c>
      <c r="AA34" s="1498">
        <v>1.0993966045507699</v>
      </c>
      <c r="AB34" s="1498">
        <v>1E-3</v>
      </c>
      <c r="AC34" s="1499" t="s">
        <v>1203</v>
      </c>
      <c r="AD34" s="1500" t="s">
        <v>635</v>
      </c>
      <c r="AE34" s="1501"/>
      <c r="AF34" s="1502" t="s">
        <v>635</v>
      </c>
      <c r="AG34" s="1501"/>
      <c r="AH34" s="1502">
        <v>0.2</v>
      </c>
      <c r="AI34" s="1503" t="s">
        <v>1119</v>
      </c>
      <c r="AJ34" s="1502" t="s">
        <v>635</v>
      </c>
      <c r="AK34" s="1501"/>
      <c r="AL34" s="1501"/>
      <c r="AM34" s="1501"/>
      <c r="AN34" s="1504">
        <v>1</v>
      </c>
      <c r="AO34" s="1504" t="s">
        <v>635</v>
      </c>
      <c r="AP34" s="1506" t="s">
        <v>635</v>
      </c>
    </row>
    <row r="35" spans="1:42" ht="30">
      <c r="A35" s="1481" t="s">
        <v>1952</v>
      </c>
      <c r="B35" s="1482" t="s">
        <v>1953</v>
      </c>
      <c r="C35" s="1483">
        <v>88.150999999999996</v>
      </c>
      <c r="D35" s="1484" t="s">
        <v>1883</v>
      </c>
      <c r="E35" s="1485">
        <v>5.6418642681999997E-4</v>
      </c>
      <c r="F35" s="1485">
        <v>1.38E-5</v>
      </c>
      <c r="G35" s="1486" t="s">
        <v>1883</v>
      </c>
      <c r="H35" s="1485">
        <v>16.7</v>
      </c>
      <c r="I35" s="1486" t="s">
        <v>1883</v>
      </c>
      <c r="J35" s="1487">
        <v>-9.1</v>
      </c>
      <c r="K35" s="1488" t="s">
        <v>1883</v>
      </c>
      <c r="L35" s="1489">
        <v>0.80959999999999999</v>
      </c>
      <c r="M35" s="1490" t="s">
        <v>1884</v>
      </c>
      <c r="N35" s="1491">
        <v>7.8544700905240003E-2</v>
      </c>
      <c r="O35" s="1491">
        <v>9.1011804495899999E-6</v>
      </c>
      <c r="P35" s="1492" t="s">
        <v>1885</v>
      </c>
      <c r="Q35" s="1493" t="s">
        <v>635</v>
      </c>
      <c r="R35" s="1494"/>
      <c r="S35" s="1493">
        <v>4.1379999999999999</v>
      </c>
      <c r="T35" s="1493" t="s">
        <v>1199</v>
      </c>
      <c r="U35" s="1493">
        <v>0.89</v>
      </c>
      <c r="V35" s="1495" t="s">
        <v>1883</v>
      </c>
      <c r="W35" s="1496">
        <v>110000</v>
      </c>
      <c r="X35" s="1497" t="s">
        <v>1883</v>
      </c>
      <c r="Y35" s="1498">
        <v>7.0777683608900001E-3</v>
      </c>
      <c r="Z35" s="1498">
        <v>0.32771351306433</v>
      </c>
      <c r="AA35" s="1498">
        <v>0.78651243135438997</v>
      </c>
      <c r="AB35" s="1498">
        <v>1.9599999999999999E-3</v>
      </c>
      <c r="AC35" s="1499" t="s">
        <v>1199</v>
      </c>
      <c r="AD35" s="1500" t="s">
        <v>635</v>
      </c>
      <c r="AE35" s="1501"/>
      <c r="AF35" s="1502" t="s">
        <v>635</v>
      </c>
      <c r="AG35" s="1501"/>
      <c r="AH35" s="1502" t="s">
        <v>635</v>
      </c>
      <c r="AI35" s="1501"/>
      <c r="AJ35" s="1502">
        <v>3.0000000000000001E-3</v>
      </c>
      <c r="AK35" s="1503" t="s">
        <v>1893</v>
      </c>
      <c r="AL35" s="1503" t="s">
        <v>1127</v>
      </c>
      <c r="AM35" s="1501"/>
      <c r="AN35" s="1504">
        <v>1</v>
      </c>
      <c r="AO35" s="1504" t="s">
        <v>635</v>
      </c>
      <c r="AP35" s="1506">
        <v>13700</v>
      </c>
    </row>
    <row r="36" spans="1:42" ht="30">
      <c r="A36" s="1507" t="s">
        <v>1954</v>
      </c>
      <c r="B36" s="1508" t="s">
        <v>1955</v>
      </c>
      <c r="C36" s="1509">
        <v>93.129000000000005</v>
      </c>
      <c r="D36" s="1510" t="s">
        <v>1883</v>
      </c>
      <c r="E36" s="1511">
        <v>8.2583810299999996E-5</v>
      </c>
      <c r="F36" s="1511">
        <v>2.0200000000000001E-6</v>
      </c>
      <c r="G36" s="1512" t="s">
        <v>1883</v>
      </c>
      <c r="H36" s="1511">
        <v>0.66700000000000004</v>
      </c>
      <c r="I36" s="1512" t="s">
        <v>1883</v>
      </c>
      <c r="J36" s="1513">
        <v>-6.02</v>
      </c>
      <c r="K36" s="1514" t="s">
        <v>1883</v>
      </c>
      <c r="L36" s="1515">
        <v>1.0217000000000001</v>
      </c>
      <c r="M36" s="1516" t="s">
        <v>1884</v>
      </c>
      <c r="N36" s="1517">
        <v>8.3012168301240002E-2</v>
      </c>
      <c r="O36" s="1517">
        <v>1.0125461899999999E-5</v>
      </c>
      <c r="P36" s="1518" t="s">
        <v>1885</v>
      </c>
      <c r="Q36" s="1519" t="s">
        <v>635</v>
      </c>
      <c r="R36" s="1520"/>
      <c r="S36" s="1519">
        <v>70.23</v>
      </c>
      <c r="T36" s="1519" t="s">
        <v>1199</v>
      </c>
      <c r="U36" s="1519">
        <v>0.9</v>
      </c>
      <c r="V36" s="1521" t="s">
        <v>1883</v>
      </c>
      <c r="W36" s="1522">
        <v>36000</v>
      </c>
      <c r="X36" s="1523" t="s">
        <v>1883</v>
      </c>
      <c r="Y36" s="1524">
        <v>6.9037024668999998E-3</v>
      </c>
      <c r="Z36" s="1524">
        <v>0.34943881957314998</v>
      </c>
      <c r="AA36" s="1524">
        <v>0.83865316697556003</v>
      </c>
      <c r="AB36" s="1524">
        <v>1.8600000000000001E-3</v>
      </c>
      <c r="AC36" s="1525" t="s">
        <v>1199</v>
      </c>
      <c r="AD36" s="1526">
        <v>5.7000000000000002E-3</v>
      </c>
      <c r="AE36" s="1529" t="s">
        <v>1119</v>
      </c>
      <c r="AF36" s="1528">
        <v>1.5999999999999999E-6</v>
      </c>
      <c r="AG36" s="1529" t="s">
        <v>1900</v>
      </c>
      <c r="AH36" s="1528">
        <v>7.0000000000000001E-3</v>
      </c>
      <c r="AI36" s="1529" t="s">
        <v>1909</v>
      </c>
      <c r="AJ36" s="1528">
        <v>1E-3</v>
      </c>
      <c r="AK36" s="1529" t="s">
        <v>1119</v>
      </c>
      <c r="AL36" s="1527"/>
      <c r="AM36" s="1527"/>
      <c r="AN36" s="1530">
        <v>1</v>
      </c>
      <c r="AO36" s="1531">
        <v>0.1</v>
      </c>
      <c r="AP36" s="1532" t="s">
        <v>635</v>
      </c>
    </row>
    <row r="37" spans="1:42" ht="30">
      <c r="A37" s="1481" t="s">
        <v>1956</v>
      </c>
      <c r="B37" s="1482" t="s">
        <v>1957</v>
      </c>
      <c r="C37" s="1483">
        <v>208.22</v>
      </c>
      <c r="D37" s="1484" t="s">
        <v>1883</v>
      </c>
      <c r="E37" s="1485">
        <v>9.6099999999999999E-7</v>
      </c>
      <c r="F37" s="1485">
        <v>2.3499999999999999E-8</v>
      </c>
      <c r="G37" s="1486" t="s">
        <v>1199</v>
      </c>
      <c r="H37" s="1485">
        <v>1.1600000000000001E-7</v>
      </c>
      <c r="I37" s="1486" t="s">
        <v>1883</v>
      </c>
      <c r="J37" s="1487">
        <v>286</v>
      </c>
      <c r="K37" s="1488" t="s">
        <v>1883</v>
      </c>
      <c r="L37" s="1489" t="s">
        <v>635</v>
      </c>
      <c r="M37" s="1533"/>
      <c r="N37" s="1491">
        <v>5.4084394614179999E-2</v>
      </c>
      <c r="O37" s="1491">
        <v>6.3193345285999997E-6</v>
      </c>
      <c r="P37" s="1492" t="s">
        <v>1885</v>
      </c>
      <c r="Q37" s="1493" t="s">
        <v>635</v>
      </c>
      <c r="R37" s="1494"/>
      <c r="S37" s="1493">
        <v>5012</v>
      </c>
      <c r="T37" s="1493" t="s">
        <v>1199</v>
      </c>
      <c r="U37" s="1493">
        <v>3.39</v>
      </c>
      <c r="V37" s="1495" t="s">
        <v>1883</v>
      </c>
      <c r="W37" s="1496">
        <v>1.35</v>
      </c>
      <c r="X37" s="1497" t="s">
        <v>1883</v>
      </c>
      <c r="Y37" s="1498">
        <v>0.10544875925492</v>
      </c>
      <c r="Z37" s="1498">
        <v>1.54127718454638</v>
      </c>
      <c r="AA37" s="1498">
        <v>3.69906524291132</v>
      </c>
      <c r="AB37" s="1498">
        <v>1.9E-2</v>
      </c>
      <c r="AC37" s="1499" t="s">
        <v>1199</v>
      </c>
      <c r="AD37" s="1500">
        <v>0.04</v>
      </c>
      <c r="AE37" s="1503" t="s">
        <v>1909</v>
      </c>
      <c r="AF37" s="1502" t="s">
        <v>635</v>
      </c>
      <c r="AG37" s="1501"/>
      <c r="AH37" s="1502">
        <v>2E-3</v>
      </c>
      <c r="AI37" s="1503" t="s">
        <v>1893</v>
      </c>
      <c r="AJ37" s="1502" t="s">
        <v>635</v>
      </c>
      <c r="AK37" s="1501"/>
      <c r="AL37" s="1501"/>
      <c r="AM37" s="1501"/>
      <c r="AN37" s="1504">
        <v>1</v>
      </c>
      <c r="AO37" s="1505">
        <v>0.1</v>
      </c>
      <c r="AP37" s="1506" t="s">
        <v>635</v>
      </c>
    </row>
    <row r="38" spans="1:42" ht="30">
      <c r="A38" s="1481" t="s">
        <v>88</v>
      </c>
      <c r="B38" s="1482" t="s">
        <v>1958</v>
      </c>
      <c r="C38" s="1483">
        <v>121.76</v>
      </c>
      <c r="D38" s="1484" t="s">
        <v>1884</v>
      </c>
      <c r="E38" s="1485" t="s">
        <v>635</v>
      </c>
      <c r="F38" s="1485" t="s">
        <v>635</v>
      </c>
      <c r="G38" s="1536"/>
      <c r="H38" s="1485">
        <v>0</v>
      </c>
      <c r="I38" s="1486" t="s">
        <v>1929</v>
      </c>
      <c r="J38" s="1487">
        <v>630</v>
      </c>
      <c r="K38" s="1488" t="s">
        <v>1883</v>
      </c>
      <c r="L38" s="1489">
        <v>6.68</v>
      </c>
      <c r="M38" s="1490" t="s">
        <v>1884</v>
      </c>
      <c r="N38" s="1491">
        <v>0.1348237704145</v>
      </c>
      <c r="O38" s="1491">
        <v>2.6597135470000001E-5</v>
      </c>
      <c r="P38" s="1492" t="s">
        <v>1885</v>
      </c>
      <c r="Q38" s="1493">
        <v>45</v>
      </c>
      <c r="R38" s="1493" t="s">
        <v>1959</v>
      </c>
      <c r="S38" s="1493" t="s">
        <v>635</v>
      </c>
      <c r="T38" s="1494"/>
      <c r="U38" s="1493" t="s">
        <v>635</v>
      </c>
      <c r="V38" s="1481"/>
      <c r="W38" s="1496" t="s">
        <v>635</v>
      </c>
      <c r="X38" s="1537"/>
      <c r="Y38" s="1498">
        <v>4.2440351458899999E-3</v>
      </c>
      <c r="Z38" s="1498">
        <v>0.50548089946876995</v>
      </c>
      <c r="AA38" s="1498">
        <v>1.2131541587250401</v>
      </c>
      <c r="AB38" s="1498">
        <v>1E-3</v>
      </c>
      <c r="AC38" s="1499" t="s">
        <v>1203</v>
      </c>
      <c r="AD38" s="1500" t="s">
        <v>635</v>
      </c>
      <c r="AE38" s="1501"/>
      <c r="AF38" s="1502" t="s">
        <v>635</v>
      </c>
      <c r="AG38" s="1501"/>
      <c r="AH38" s="1502">
        <v>4.0000000000000002E-4</v>
      </c>
      <c r="AI38" s="1503" t="s">
        <v>1119</v>
      </c>
      <c r="AJ38" s="1502">
        <v>2.9999999999999997E-4</v>
      </c>
      <c r="AK38" s="1503" t="s">
        <v>1960</v>
      </c>
      <c r="AL38" s="1501"/>
      <c r="AM38" s="1501"/>
      <c r="AN38" s="1539">
        <v>0.15</v>
      </c>
      <c r="AO38" s="1504" t="s">
        <v>635</v>
      </c>
      <c r="AP38" s="1506" t="s">
        <v>635</v>
      </c>
    </row>
    <row r="39" spans="1:42" ht="30">
      <c r="A39" s="1507" t="s">
        <v>1961</v>
      </c>
      <c r="B39" s="1508" t="s">
        <v>1962</v>
      </c>
      <c r="C39" s="1509">
        <v>323.517</v>
      </c>
      <c r="D39" s="1510" t="s">
        <v>1884</v>
      </c>
      <c r="E39" s="1511" t="s">
        <v>635</v>
      </c>
      <c r="F39" s="1511" t="s">
        <v>635</v>
      </c>
      <c r="G39" s="1534"/>
      <c r="H39" s="1511" t="s">
        <v>635</v>
      </c>
      <c r="I39" s="1534"/>
      <c r="J39" s="1513" t="s">
        <v>635</v>
      </c>
      <c r="K39" s="1540"/>
      <c r="L39" s="1515">
        <v>3.78</v>
      </c>
      <c r="M39" s="1516" t="s">
        <v>1884</v>
      </c>
      <c r="N39" s="1517">
        <v>3.5709803561309997E-2</v>
      </c>
      <c r="O39" s="1517">
        <v>1.051546755E-5</v>
      </c>
      <c r="P39" s="1518" t="s">
        <v>1885</v>
      </c>
      <c r="Q39" s="1519" t="s">
        <v>635</v>
      </c>
      <c r="R39" s="1520"/>
      <c r="S39" s="1519" t="s">
        <v>635</v>
      </c>
      <c r="T39" s="1520"/>
      <c r="U39" s="1519" t="s">
        <v>635</v>
      </c>
      <c r="V39" s="1507"/>
      <c r="W39" s="1522">
        <v>3000</v>
      </c>
      <c r="X39" s="1523" t="s">
        <v>1884</v>
      </c>
      <c r="Y39" s="1524">
        <v>6.9179147420799997E-3</v>
      </c>
      <c r="Z39" s="1524">
        <v>6.8162254989234503</v>
      </c>
      <c r="AA39" s="1524">
        <v>16.3589411974163</v>
      </c>
      <c r="AB39" s="1524">
        <v>1E-3</v>
      </c>
      <c r="AC39" s="1525" t="s">
        <v>1203</v>
      </c>
      <c r="AD39" s="1526" t="s">
        <v>635</v>
      </c>
      <c r="AE39" s="1527"/>
      <c r="AF39" s="1528" t="s">
        <v>635</v>
      </c>
      <c r="AG39" s="1527"/>
      <c r="AH39" s="1528">
        <v>5.0000000000000001E-4</v>
      </c>
      <c r="AI39" s="1529" t="s">
        <v>1073</v>
      </c>
      <c r="AJ39" s="1528" t="s">
        <v>635</v>
      </c>
      <c r="AK39" s="1527"/>
      <c r="AL39" s="1527"/>
      <c r="AM39" s="1527"/>
      <c r="AN39" s="1541">
        <v>0.15</v>
      </c>
      <c r="AO39" s="1530" t="s">
        <v>635</v>
      </c>
      <c r="AP39" s="1532" t="s">
        <v>635</v>
      </c>
    </row>
    <row r="40" spans="1:42" ht="30">
      <c r="A40" s="1481" t="s">
        <v>1963</v>
      </c>
      <c r="B40" s="1482" t="s">
        <v>1964</v>
      </c>
      <c r="C40" s="1483">
        <v>307.52</v>
      </c>
      <c r="D40" s="1484" t="s">
        <v>1199</v>
      </c>
      <c r="E40" s="1485" t="s">
        <v>635</v>
      </c>
      <c r="F40" s="1485" t="s">
        <v>635</v>
      </c>
      <c r="G40" s="1536"/>
      <c r="H40" s="1485" t="s">
        <v>635</v>
      </c>
      <c r="I40" s="1536"/>
      <c r="J40" s="1487" t="s">
        <v>635</v>
      </c>
      <c r="K40" s="1542"/>
      <c r="L40" s="1489">
        <v>6.64</v>
      </c>
      <c r="M40" s="1490" t="s">
        <v>1884</v>
      </c>
      <c r="N40" s="1491">
        <v>4.6100853251309998E-2</v>
      </c>
      <c r="O40" s="1491">
        <v>1.52001754E-5</v>
      </c>
      <c r="P40" s="1492" t="s">
        <v>1885</v>
      </c>
      <c r="Q40" s="1493" t="s">
        <v>635</v>
      </c>
      <c r="R40" s="1494"/>
      <c r="S40" s="1493" t="s">
        <v>635</v>
      </c>
      <c r="T40" s="1494"/>
      <c r="U40" s="1493" t="s">
        <v>635</v>
      </c>
      <c r="V40" s="1481"/>
      <c r="W40" s="1496" t="s">
        <v>635</v>
      </c>
      <c r="X40" s="1537"/>
      <c r="Y40" s="1498">
        <v>6.7447108359299998E-3</v>
      </c>
      <c r="Z40" s="1498">
        <v>5.5457558962173099</v>
      </c>
      <c r="AA40" s="1498">
        <v>13.3098141509215</v>
      </c>
      <c r="AB40" s="1498">
        <v>1E-3</v>
      </c>
      <c r="AC40" s="1499" t="s">
        <v>1203</v>
      </c>
      <c r="AD40" s="1500" t="s">
        <v>635</v>
      </c>
      <c r="AE40" s="1501"/>
      <c r="AF40" s="1502" t="s">
        <v>635</v>
      </c>
      <c r="AG40" s="1501"/>
      <c r="AH40" s="1502">
        <v>4.0000000000000002E-4</v>
      </c>
      <c r="AI40" s="1503" t="s">
        <v>1073</v>
      </c>
      <c r="AJ40" s="1502" t="s">
        <v>635</v>
      </c>
      <c r="AK40" s="1501"/>
      <c r="AL40" s="1501"/>
      <c r="AM40" s="1501"/>
      <c r="AN40" s="1539">
        <v>0.15</v>
      </c>
      <c r="AO40" s="1504" t="s">
        <v>635</v>
      </c>
      <c r="AP40" s="1506" t="s">
        <v>635</v>
      </c>
    </row>
    <row r="41" spans="1:42" ht="30">
      <c r="A41" s="1481" t="s">
        <v>1965</v>
      </c>
      <c r="B41" s="1482" t="s">
        <v>1966</v>
      </c>
      <c r="C41" s="1483">
        <v>291.52</v>
      </c>
      <c r="D41" s="1484" t="s">
        <v>1199</v>
      </c>
      <c r="E41" s="1485" t="s">
        <v>635</v>
      </c>
      <c r="F41" s="1485" t="s">
        <v>635</v>
      </c>
      <c r="G41" s="1536"/>
      <c r="H41" s="1485" t="s">
        <v>635</v>
      </c>
      <c r="I41" s="1536"/>
      <c r="J41" s="1487">
        <v>570</v>
      </c>
      <c r="K41" s="1488" t="s">
        <v>1884</v>
      </c>
      <c r="L41" s="1489">
        <v>5.58</v>
      </c>
      <c r="M41" s="1490" t="s">
        <v>1884</v>
      </c>
      <c r="N41" s="1491">
        <v>4.4039835020460001E-2</v>
      </c>
      <c r="O41" s="1491">
        <v>1.414006083E-5</v>
      </c>
      <c r="P41" s="1492" t="s">
        <v>1885</v>
      </c>
      <c r="Q41" s="1493" t="s">
        <v>635</v>
      </c>
      <c r="R41" s="1494"/>
      <c r="S41" s="1493" t="s">
        <v>635</v>
      </c>
      <c r="T41" s="1494"/>
      <c r="U41" s="1493" t="s">
        <v>635</v>
      </c>
      <c r="V41" s="1481"/>
      <c r="W41" s="1496" t="s">
        <v>635</v>
      </c>
      <c r="X41" s="1537"/>
      <c r="Y41" s="1498">
        <v>6.5669064524299997E-3</v>
      </c>
      <c r="Z41" s="1498">
        <v>4.5119133402526899</v>
      </c>
      <c r="AA41" s="1498">
        <v>10.8285920166065</v>
      </c>
      <c r="AB41" s="1498">
        <v>1E-3</v>
      </c>
      <c r="AC41" s="1499" t="s">
        <v>1203</v>
      </c>
      <c r="AD41" s="1500" t="s">
        <v>635</v>
      </c>
      <c r="AE41" s="1501"/>
      <c r="AF41" s="1502" t="s">
        <v>635</v>
      </c>
      <c r="AG41" s="1501"/>
      <c r="AH41" s="1502" t="s">
        <v>635</v>
      </c>
      <c r="AI41" s="1501"/>
      <c r="AJ41" s="1502">
        <v>2.0000000000000001E-4</v>
      </c>
      <c r="AK41" s="1503" t="s">
        <v>1119</v>
      </c>
      <c r="AL41" s="1501"/>
      <c r="AM41" s="1501"/>
      <c r="AN41" s="1539">
        <v>0.15</v>
      </c>
      <c r="AO41" s="1504" t="s">
        <v>635</v>
      </c>
      <c r="AP41" s="1506" t="s">
        <v>635</v>
      </c>
    </row>
    <row r="42" spans="1:42" ht="30">
      <c r="A42" s="1507" t="s">
        <v>90</v>
      </c>
      <c r="B42" s="1508" t="s">
        <v>1967</v>
      </c>
      <c r="C42" s="1509">
        <v>74.921999999999997</v>
      </c>
      <c r="D42" s="1510" t="s">
        <v>1884</v>
      </c>
      <c r="E42" s="1511" t="s">
        <v>635</v>
      </c>
      <c r="F42" s="1511" t="s">
        <v>635</v>
      </c>
      <c r="G42" s="1534"/>
      <c r="H42" s="1511" t="s">
        <v>635</v>
      </c>
      <c r="I42" s="1534"/>
      <c r="J42" s="1513">
        <v>270</v>
      </c>
      <c r="K42" s="1514" t="s">
        <v>1884</v>
      </c>
      <c r="L42" s="1515">
        <v>4.9000000000000004</v>
      </c>
      <c r="M42" s="1516" t="s">
        <v>1884</v>
      </c>
      <c r="N42" s="1517">
        <v>0.17852714281411</v>
      </c>
      <c r="O42" s="1517">
        <v>2.9554512650000001E-5</v>
      </c>
      <c r="P42" s="1518" t="s">
        <v>1885</v>
      </c>
      <c r="Q42" s="1519">
        <v>29</v>
      </c>
      <c r="R42" s="1519" t="s">
        <v>1959</v>
      </c>
      <c r="S42" s="1519" t="s">
        <v>635</v>
      </c>
      <c r="T42" s="1520"/>
      <c r="U42" s="1519" t="s">
        <v>635</v>
      </c>
      <c r="V42" s="1507"/>
      <c r="W42" s="1522" t="s">
        <v>635</v>
      </c>
      <c r="X42" s="1535"/>
      <c r="Y42" s="1524">
        <v>3.32913443626E-3</v>
      </c>
      <c r="Z42" s="1524">
        <v>0.27631976420125998</v>
      </c>
      <c r="AA42" s="1524">
        <v>0.66316743408303003</v>
      </c>
      <c r="AB42" s="1524">
        <v>1E-3</v>
      </c>
      <c r="AC42" s="1525" t="s">
        <v>1203</v>
      </c>
      <c r="AD42" s="1526">
        <v>1.5</v>
      </c>
      <c r="AE42" s="1529" t="s">
        <v>1119</v>
      </c>
      <c r="AF42" s="1528">
        <v>4.3E-3</v>
      </c>
      <c r="AG42" s="1529" t="s">
        <v>1119</v>
      </c>
      <c r="AH42" s="1528">
        <v>2.9999999999999997E-4</v>
      </c>
      <c r="AI42" s="1529" t="s">
        <v>1119</v>
      </c>
      <c r="AJ42" s="1528">
        <v>1.5E-5</v>
      </c>
      <c r="AK42" s="1529" t="s">
        <v>1900</v>
      </c>
      <c r="AL42" s="1527"/>
      <c r="AM42" s="1527"/>
      <c r="AN42" s="1530">
        <v>1</v>
      </c>
      <c r="AO42" s="1541">
        <v>0.03</v>
      </c>
      <c r="AP42" s="1532" t="s">
        <v>635</v>
      </c>
    </row>
    <row r="43" spans="1:42" ht="30">
      <c r="A43" s="1481" t="s">
        <v>1968</v>
      </c>
      <c r="B43" s="1482" t="s">
        <v>1969</v>
      </c>
      <c r="C43" s="1483">
        <v>77.945999999999998</v>
      </c>
      <c r="D43" s="1484" t="s">
        <v>1883</v>
      </c>
      <c r="E43" s="1485" t="s">
        <v>635</v>
      </c>
      <c r="F43" s="1485" t="s">
        <v>635</v>
      </c>
      <c r="G43" s="1536"/>
      <c r="H43" s="1485" t="s">
        <v>635</v>
      </c>
      <c r="I43" s="1536"/>
      <c r="J43" s="1487">
        <v>-117</v>
      </c>
      <c r="K43" s="1488" t="s">
        <v>1883</v>
      </c>
      <c r="L43" s="1489">
        <v>3.1859999999999999</v>
      </c>
      <c r="M43" s="1490" t="s">
        <v>1884</v>
      </c>
      <c r="N43" s="1491">
        <v>0.14957679504588001</v>
      </c>
      <c r="O43" s="1491">
        <v>2.2291686900000002E-5</v>
      </c>
      <c r="P43" s="1492" t="s">
        <v>1885</v>
      </c>
      <c r="Q43" s="1493" t="s">
        <v>635</v>
      </c>
      <c r="R43" s="1494"/>
      <c r="S43" s="1493" t="s">
        <v>635</v>
      </c>
      <c r="T43" s="1494"/>
      <c r="U43" s="1493" t="s">
        <v>635</v>
      </c>
      <c r="V43" s="1481"/>
      <c r="W43" s="1496">
        <v>200000</v>
      </c>
      <c r="X43" s="1497" t="s">
        <v>1949</v>
      </c>
      <c r="Y43" s="1498">
        <v>3.3956550727000001E-3</v>
      </c>
      <c r="Z43" s="1498">
        <v>0.28730709411576</v>
      </c>
      <c r="AA43" s="1498">
        <v>0.68953702587782995</v>
      </c>
      <c r="AB43" s="1498">
        <v>1E-3</v>
      </c>
      <c r="AC43" s="1499" t="s">
        <v>1203</v>
      </c>
      <c r="AD43" s="1500" t="s">
        <v>635</v>
      </c>
      <c r="AE43" s="1501"/>
      <c r="AF43" s="1502" t="s">
        <v>635</v>
      </c>
      <c r="AG43" s="1501"/>
      <c r="AH43" s="1502">
        <v>3.4999999999999999E-6</v>
      </c>
      <c r="AI43" s="1503" t="s">
        <v>1900</v>
      </c>
      <c r="AJ43" s="1502">
        <v>5.0000000000000002E-5</v>
      </c>
      <c r="AK43" s="1503" t="s">
        <v>1119</v>
      </c>
      <c r="AL43" s="1501"/>
      <c r="AM43" s="1501"/>
      <c r="AN43" s="1504">
        <v>1</v>
      </c>
      <c r="AO43" s="1504" t="s">
        <v>635</v>
      </c>
      <c r="AP43" s="1506" t="s">
        <v>635</v>
      </c>
    </row>
    <row r="44" spans="1:42" ht="30">
      <c r="A44" s="1481" t="s">
        <v>1970</v>
      </c>
      <c r="B44" s="1482" t="s">
        <v>1971</v>
      </c>
      <c r="C44" s="1483" t="s">
        <v>635</v>
      </c>
      <c r="D44" s="1543"/>
      <c r="E44" s="1485" t="s">
        <v>635</v>
      </c>
      <c r="F44" s="1485" t="s">
        <v>635</v>
      </c>
      <c r="G44" s="1536"/>
      <c r="H44" s="1485">
        <v>0</v>
      </c>
      <c r="I44" s="1486" t="s">
        <v>1929</v>
      </c>
      <c r="J44" s="1487" t="s">
        <v>635</v>
      </c>
      <c r="K44" s="1542"/>
      <c r="L44" s="1489" t="s">
        <v>635</v>
      </c>
      <c r="M44" s="1533"/>
      <c r="N44" s="1491" t="s">
        <v>635</v>
      </c>
      <c r="O44" s="1491" t="s">
        <v>635</v>
      </c>
      <c r="P44" s="1544"/>
      <c r="Q44" s="1493" t="s">
        <v>635</v>
      </c>
      <c r="R44" s="1494"/>
      <c r="S44" s="1493" t="s">
        <v>635</v>
      </c>
      <c r="T44" s="1494"/>
      <c r="U44" s="1493" t="s">
        <v>635</v>
      </c>
      <c r="V44" s="1481"/>
      <c r="W44" s="1496" t="s">
        <v>635</v>
      </c>
      <c r="X44" s="1537"/>
      <c r="Y44" s="1498" t="s">
        <v>635</v>
      </c>
      <c r="Z44" s="1498" t="s">
        <v>635</v>
      </c>
      <c r="AA44" s="1498" t="s">
        <v>635</v>
      </c>
      <c r="AB44" s="1498">
        <v>1E-3</v>
      </c>
      <c r="AC44" s="1499" t="s">
        <v>1203</v>
      </c>
      <c r="AD44" s="1500" t="s">
        <v>635</v>
      </c>
      <c r="AE44" s="1501"/>
      <c r="AF44" s="1502" t="s">
        <v>635</v>
      </c>
      <c r="AG44" s="1501"/>
      <c r="AH44" s="1502" t="s">
        <v>635</v>
      </c>
      <c r="AI44" s="1501"/>
      <c r="AJ44" s="1502" t="s">
        <v>635</v>
      </c>
      <c r="AK44" s="1501"/>
      <c r="AL44" s="1501"/>
      <c r="AM44" s="1501"/>
      <c r="AN44" s="1504">
        <v>1</v>
      </c>
      <c r="AO44" s="1504" t="s">
        <v>635</v>
      </c>
      <c r="AP44" s="1506" t="s">
        <v>635</v>
      </c>
    </row>
    <row r="45" spans="1:42" ht="30">
      <c r="A45" s="1507" t="s">
        <v>1972</v>
      </c>
      <c r="B45" s="1508" t="s">
        <v>1973</v>
      </c>
      <c r="C45" s="1509">
        <v>230.24</v>
      </c>
      <c r="D45" s="1510" t="s">
        <v>1883</v>
      </c>
      <c r="E45" s="1511">
        <v>6.9910057236E-11</v>
      </c>
      <c r="F45" s="1511">
        <v>1.71E-12</v>
      </c>
      <c r="G45" s="1512" t="s">
        <v>1883</v>
      </c>
      <c r="H45" s="1511">
        <v>1.44E-6</v>
      </c>
      <c r="I45" s="1512" t="s">
        <v>1883</v>
      </c>
      <c r="J45" s="1513">
        <v>144</v>
      </c>
      <c r="K45" s="1514" t="s">
        <v>1883</v>
      </c>
      <c r="L45" s="1515" t="s">
        <v>635</v>
      </c>
      <c r="M45" s="1538"/>
      <c r="N45" s="1517">
        <v>5.0578554873499999E-2</v>
      </c>
      <c r="O45" s="1517">
        <v>5.90970483259E-6</v>
      </c>
      <c r="P45" s="1518" t="s">
        <v>1885</v>
      </c>
      <c r="Q45" s="1519" t="s">
        <v>635</v>
      </c>
      <c r="R45" s="1520"/>
      <c r="S45" s="1519">
        <v>27.8</v>
      </c>
      <c r="T45" s="1519" t="s">
        <v>1199</v>
      </c>
      <c r="U45" s="1519">
        <v>-0.27</v>
      </c>
      <c r="V45" s="1521" t="s">
        <v>1883</v>
      </c>
      <c r="W45" s="1522">
        <v>5000</v>
      </c>
      <c r="X45" s="1523" t="s">
        <v>1883</v>
      </c>
      <c r="Y45" s="1524">
        <v>3.0872564906000001E-4</v>
      </c>
      <c r="Z45" s="1524">
        <v>2.04735309626354</v>
      </c>
      <c r="AA45" s="1524">
        <v>4.9136474310324898</v>
      </c>
      <c r="AB45" s="1524">
        <v>5.2899999999999998E-5</v>
      </c>
      <c r="AC45" s="1525" t="s">
        <v>1199</v>
      </c>
      <c r="AD45" s="1526" t="s">
        <v>635</v>
      </c>
      <c r="AE45" s="1527"/>
      <c r="AF45" s="1528" t="s">
        <v>635</v>
      </c>
      <c r="AG45" s="1527"/>
      <c r="AH45" s="1528">
        <v>0.36</v>
      </c>
      <c r="AI45" s="1529" t="s">
        <v>1116</v>
      </c>
      <c r="AJ45" s="1528" t="s">
        <v>635</v>
      </c>
      <c r="AK45" s="1527"/>
      <c r="AL45" s="1527"/>
      <c r="AM45" s="1527"/>
      <c r="AN45" s="1530">
        <v>1</v>
      </c>
      <c r="AO45" s="1531">
        <v>0.1</v>
      </c>
      <c r="AP45" s="1532" t="s">
        <v>635</v>
      </c>
    </row>
    <row r="46" spans="1:42" ht="30">
      <c r="A46" s="1481" t="s">
        <v>1974</v>
      </c>
      <c r="B46" s="1482" t="s">
        <v>1975</v>
      </c>
      <c r="C46" s="1483">
        <v>215.69</v>
      </c>
      <c r="D46" s="1484" t="s">
        <v>1883</v>
      </c>
      <c r="E46" s="1485">
        <v>9.6484055601000005E-8</v>
      </c>
      <c r="F46" s="1485">
        <v>2.3600000000000001E-9</v>
      </c>
      <c r="G46" s="1486" t="s">
        <v>1199</v>
      </c>
      <c r="H46" s="1485">
        <v>2.8900000000000001E-7</v>
      </c>
      <c r="I46" s="1486" t="s">
        <v>1883</v>
      </c>
      <c r="J46" s="1487">
        <v>173</v>
      </c>
      <c r="K46" s="1488" t="s">
        <v>1883</v>
      </c>
      <c r="L46" s="1489">
        <v>1.23</v>
      </c>
      <c r="M46" s="1490" t="s">
        <v>1890</v>
      </c>
      <c r="N46" s="1491">
        <v>2.6465508227820001E-2</v>
      </c>
      <c r="O46" s="1491">
        <v>6.8378069002999996E-6</v>
      </c>
      <c r="P46" s="1492" t="s">
        <v>1885</v>
      </c>
      <c r="Q46" s="1493" t="s">
        <v>635</v>
      </c>
      <c r="R46" s="1494"/>
      <c r="S46" s="1493">
        <v>224.5</v>
      </c>
      <c r="T46" s="1493" t="s">
        <v>1199</v>
      </c>
      <c r="U46" s="1493">
        <v>2.61</v>
      </c>
      <c r="V46" s="1495" t="s">
        <v>1883</v>
      </c>
      <c r="W46" s="1496">
        <v>34.700000000000003</v>
      </c>
      <c r="X46" s="1497" t="s">
        <v>1883</v>
      </c>
      <c r="Y46" s="1498">
        <v>2.9598720946299999E-2</v>
      </c>
      <c r="Z46" s="1498">
        <v>1.69712077416229</v>
      </c>
      <c r="AA46" s="1498">
        <v>4.0730898579895003</v>
      </c>
      <c r="AB46" s="1498">
        <v>5.2399999999999999E-3</v>
      </c>
      <c r="AC46" s="1499" t="s">
        <v>1199</v>
      </c>
      <c r="AD46" s="1500">
        <v>0.23</v>
      </c>
      <c r="AE46" s="1503" t="s">
        <v>1900</v>
      </c>
      <c r="AF46" s="1502" t="s">
        <v>635</v>
      </c>
      <c r="AG46" s="1501"/>
      <c r="AH46" s="1502">
        <v>3.0000000000000001E-3</v>
      </c>
      <c r="AI46" s="1503" t="s">
        <v>1960</v>
      </c>
      <c r="AJ46" s="1502" t="s">
        <v>635</v>
      </c>
      <c r="AK46" s="1501"/>
      <c r="AL46" s="1501"/>
      <c r="AM46" s="1501"/>
      <c r="AN46" s="1504">
        <v>1</v>
      </c>
      <c r="AO46" s="1505">
        <v>0.1</v>
      </c>
      <c r="AP46" s="1506" t="s">
        <v>635</v>
      </c>
    </row>
    <row r="47" spans="1:42" ht="30">
      <c r="A47" s="1481" t="s">
        <v>1976</v>
      </c>
      <c r="B47" s="1482" t="s">
        <v>1977</v>
      </c>
      <c r="C47" s="1483">
        <v>267.38</v>
      </c>
      <c r="D47" s="1484" t="s">
        <v>1883</v>
      </c>
      <c r="E47" s="1485">
        <v>1.4881439084199999E-7</v>
      </c>
      <c r="F47" s="1485">
        <v>3.6399999999999998E-9</v>
      </c>
      <c r="G47" s="1486" t="s">
        <v>1883</v>
      </c>
      <c r="H47" s="1485">
        <v>1.2899999999999999E-6</v>
      </c>
      <c r="I47" s="1486" t="s">
        <v>1883</v>
      </c>
      <c r="J47" s="1487">
        <v>136</v>
      </c>
      <c r="K47" s="1488" t="s">
        <v>1883</v>
      </c>
      <c r="L47" s="1489" t="s">
        <v>635</v>
      </c>
      <c r="M47" s="1533"/>
      <c r="N47" s="1491">
        <v>4.5779142652100001E-2</v>
      </c>
      <c r="O47" s="1491">
        <v>5.3489314046099998E-6</v>
      </c>
      <c r="P47" s="1492" t="s">
        <v>1885</v>
      </c>
      <c r="Q47" s="1493" t="s">
        <v>635</v>
      </c>
      <c r="R47" s="1494"/>
      <c r="S47" s="1493">
        <v>4456</v>
      </c>
      <c r="T47" s="1493" t="s">
        <v>1199</v>
      </c>
      <c r="U47" s="1493">
        <v>2.98</v>
      </c>
      <c r="V47" s="1495" t="s">
        <v>1883</v>
      </c>
      <c r="W47" s="1496">
        <v>53.54</v>
      </c>
      <c r="X47" s="1497" t="s">
        <v>1883</v>
      </c>
      <c r="Y47" s="1498">
        <v>2.9936295992519998E-2</v>
      </c>
      <c r="Z47" s="1498">
        <v>3.3050402253736002</v>
      </c>
      <c r="AA47" s="1498">
        <v>7.93209654089664</v>
      </c>
      <c r="AB47" s="1498">
        <v>4.7600000000000003E-3</v>
      </c>
      <c r="AC47" s="1499" t="s">
        <v>1199</v>
      </c>
      <c r="AD47" s="1500">
        <v>0.88</v>
      </c>
      <c r="AE47" s="1503" t="s">
        <v>1900</v>
      </c>
      <c r="AF47" s="1502">
        <v>2.5000000000000001E-4</v>
      </c>
      <c r="AG47" s="1503" t="s">
        <v>1900</v>
      </c>
      <c r="AH47" s="1502" t="s">
        <v>635</v>
      </c>
      <c r="AI47" s="1501"/>
      <c r="AJ47" s="1502" t="s">
        <v>635</v>
      </c>
      <c r="AK47" s="1501"/>
      <c r="AL47" s="1501"/>
      <c r="AM47" s="1501"/>
      <c r="AN47" s="1504">
        <v>1</v>
      </c>
      <c r="AO47" s="1505">
        <v>0.1</v>
      </c>
      <c r="AP47" s="1506" t="s">
        <v>635</v>
      </c>
    </row>
    <row r="48" spans="1:42" ht="30">
      <c r="A48" s="1507" t="s">
        <v>1978</v>
      </c>
      <c r="B48" s="1508" t="s">
        <v>1979</v>
      </c>
      <c r="C48" s="1509">
        <v>875.12</v>
      </c>
      <c r="D48" s="1510" t="s">
        <v>1883</v>
      </c>
      <c r="E48" s="1511">
        <v>5.3965658217000002E-26</v>
      </c>
      <c r="F48" s="1511">
        <v>1.3200000000000001E-27</v>
      </c>
      <c r="G48" s="1512" t="s">
        <v>1883</v>
      </c>
      <c r="H48" s="1511">
        <v>1.4600000000000001E-30</v>
      </c>
      <c r="I48" s="1512" t="s">
        <v>1883</v>
      </c>
      <c r="J48" s="1513">
        <v>349.84</v>
      </c>
      <c r="K48" s="1514" t="s">
        <v>1199</v>
      </c>
      <c r="L48" s="1515" t="s">
        <v>635</v>
      </c>
      <c r="M48" s="1538"/>
      <c r="N48" s="1517">
        <v>2.076706846724E-2</v>
      </c>
      <c r="O48" s="1517">
        <v>2.4264679998599998E-6</v>
      </c>
      <c r="P48" s="1518" t="s">
        <v>1885</v>
      </c>
      <c r="Q48" s="1519" t="s">
        <v>635</v>
      </c>
      <c r="R48" s="1520"/>
      <c r="S48" s="1519">
        <v>876700</v>
      </c>
      <c r="T48" s="1519" t="s">
        <v>1199</v>
      </c>
      <c r="U48" s="1519">
        <v>4.4800000000000004</v>
      </c>
      <c r="V48" s="1521" t="s">
        <v>1883</v>
      </c>
      <c r="W48" s="1522">
        <v>3.5E-4</v>
      </c>
      <c r="X48" s="1523" t="s">
        <v>1883</v>
      </c>
      <c r="Y48" s="1524">
        <v>2.0593920485000001E-4</v>
      </c>
      <c r="Z48" s="1524">
        <v>8366.0556593865094</v>
      </c>
      <c r="AA48" s="1524">
        <v>20078.533582527602</v>
      </c>
      <c r="AB48" s="1524">
        <v>1.8099999999999999E-5</v>
      </c>
      <c r="AC48" s="1525" t="s">
        <v>1199</v>
      </c>
      <c r="AD48" s="1526" t="s">
        <v>635</v>
      </c>
      <c r="AE48" s="1527"/>
      <c r="AF48" s="1528" t="s">
        <v>635</v>
      </c>
      <c r="AG48" s="1527"/>
      <c r="AH48" s="1528">
        <v>4.0000000000000002E-4</v>
      </c>
      <c r="AI48" s="1529" t="s">
        <v>1119</v>
      </c>
      <c r="AJ48" s="1528" t="s">
        <v>635</v>
      </c>
      <c r="AK48" s="1527"/>
      <c r="AL48" s="1527"/>
      <c r="AM48" s="1527"/>
      <c r="AN48" s="1530">
        <v>1</v>
      </c>
      <c r="AO48" s="1531">
        <v>0.1</v>
      </c>
      <c r="AP48" s="1532" t="s">
        <v>635</v>
      </c>
    </row>
    <row r="49" spans="1:42" ht="30">
      <c r="A49" s="1481" t="s">
        <v>1980</v>
      </c>
      <c r="B49" s="1482" t="s">
        <v>1981</v>
      </c>
      <c r="C49" s="1483">
        <v>317.33</v>
      </c>
      <c r="D49" s="1484" t="s">
        <v>1883</v>
      </c>
      <c r="E49" s="1485">
        <v>9.7710547833199996E-7</v>
      </c>
      <c r="F49" s="1485">
        <v>2.3899999999999999E-8</v>
      </c>
      <c r="G49" s="1486" t="s">
        <v>1199</v>
      </c>
      <c r="H49" s="1485">
        <v>1.5999999999999999E-6</v>
      </c>
      <c r="I49" s="1486" t="s">
        <v>1883</v>
      </c>
      <c r="J49" s="1487">
        <v>73</v>
      </c>
      <c r="K49" s="1488" t="s">
        <v>1883</v>
      </c>
      <c r="L49" s="1489">
        <v>1.44</v>
      </c>
      <c r="M49" s="1490" t="s">
        <v>1884</v>
      </c>
      <c r="N49" s="1491">
        <v>2.3316243930070001E-2</v>
      </c>
      <c r="O49" s="1491">
        <v>5.9618711789000003E-6</v>
      </c>
      <c r="P49" s="1492" t="s">
        <v>1885</v>
      </c>
      <c r="Q49" s="1493" t="s">
        <v>635</v>
      </c>
      <c r="R49" s="1494"/>
      <c r="S49" s="1493">
        <v>51.93</v>
      </c>
      <c r="T49" s="1493" t="s">
        <v>1199</v>
      </c>
      <c r="U49" s="1493">
        <v>2.75</v>
      </c>
      <c r="V49" s="1495" t="s">
        <v>1883</v>
      </c>
      <c r="W49" s="1496">
        <v>20.9</v>
      </c>
      <c r="X49" s="1497" t="s">
        <v>1883</v>
      </c>
      <c r="Y49" s="1498">
        <v>1.1990029912710001E-2</v>
      </c>
      <c r="Z49" s="1498">
        <v>6.2935654008725299</v>
      </c>
      <c r="AA49" s="1498">
        <v>15.104556962094099</v>
      </c>
      <c r="AB49" s="1498">
        <v>1.75E-3</v>
      </c>
      <c r="AC49" s="1499" t="s">
        <v>1199</v>
      </c>
      <c r="AD49" s="1500" t="s">
        <v>635</v>
      </c>
      <c r="AE49" s="1501"/>
      <c r="AF49" s="1502" t="s">
        <v>635</v>
      </c>
      <c r="AG49" s="1501"/>
      <c r="AH49" s="1502">
        <v>3.0000000000000001E-3</v>
      </c>
      <c r="AI49" s="1503" t="s">
        <v>1960</v>
      </c>
      <c r="AJ49" s="1502">
        <v>0.01</v>
      </c>
      <c r="AK49" s="1503" t="s">
        <v>1960</v>
      </c>
      <c r="AL49" s="1501"/>
      <c r="AM49" s="1501"/>
      <c r="AN49" s="1504">
        <v>1</v>
      </c>
      <c r="AO49" s="1505">
        <v>0.1</v>
      </c>
      <c r="AP49" s="1506" t="s">
        <v>635</v>
      </c>
    </row>
    <row r="50" spans="1:42" ht="30">
      <c r="A50" s="1481" t="s">
        <v>1982</v>
      </c>
      <c r="B50" s="1482" t="s">
        <v>1983</v>
      </c>
      <c r="C50" s="1483">
        <v>182.23</v>
      </c>
      <c r="D50" s="1484" t="s">
        <v>1883</v>
      </c>
      <c r="E50" s="1485">
        <v>5.5192150449999997E-4</v>
      </c>
      <c r="F50" s="1485">
        <v>1.3499999999999999E-5</v>
      </c>
      <c r="G50" s="1486" t="s">
        <v>1199</v>
      </c>
      <c r="H50" s="1485">
        <v>3.6099999999999999E-4</v>
      </c>
      <c r="I50" s="1486" t="s">
        <v>1883</v>
      </c>
      <c r="J50" s="1487">
        <v>68</v>
      </c>
      <c r="K50" s="1488" t="s">
        <v>1883</v>
      </c>
      <c r="L50" s="1489">
        <v>1.2030000000000001</v>
      </c>
      <c r="M50" s="1490" t="s">
        <v>1949</v>
      </c>
      <c r="N50" s="1491">
        <v>3.5908482809779999E-2</v>
      </c>
      <c r="O50" s="1491">
        <v>7.4655055533900003E-6</v>
      </c>
      <c r="P50" s="1492" t="s">
        <v>1885</v>
      </c>
      <c r="Q50" s="1493" t="s">
        <v>635</v>
      </c>
      <c r="R50" s="1494"/>
      <c r="S50" s="1493">
        <v>3759</v>
      </c>
      <c r="T50" s="1493" t="s">
        <v>1199</v>
      </c>
      <c r="U50" s="1493">
        <v>3.82</v>
      </c>
      <c r="V50" s="1495" t="s">
        <v>1883</v>
      </c>
      <c r="W50" s="1496">
        <v>6.4</v>
      </c>
      <c r="X50" s="1497" t="s">
        <v>1883</v>
      </c>
      <c r="Y50" s="1498">
        <v>0.26686997110819999</v>
      </c>
      <c r="Z50" s="1498">
        <v>1.1023937684537799</v>
      </c>
      <c r="AA50" s="1498">
        <v>2.64574504428907</v>
      </c>
      <c r="AB50" s="1498">
        <v>5.1400000000000001E-2</v>
      </c>
      <c r="AC50" s="1499" t="s">
        <v>1199</v>
      </c>
      <c r="AD50" s="1500">
        <v>0.11</v>
      </c>
      <c r="AE50" s="1503" t="s">
        <v>1119</v>
      </c>
      <c r="AF50" s="1502">
        <v>3.1000000000000001E-5</v>
      </c>
      <c r="AG50" s="1503" t="s">
        <v>1119</v>
      </c>
      <c r="AH50" s="1502" t="s">
        <v>635</v>
      </c>
      <c r="AI50" s="1501"/>
      <c r="AJ50" s="1502" t="s">
        <v>635</v>
      </c>
      <c r="AK50" s="1501"/>
      <c r="AL50" s="1503" t="s">
        <v>1127</v>
      </c>
      <c r="AM50" s="1501"/>
      <c r="AN50" s="1504">
        <v>1</v>
      </c>
      <c r="AO50" s="1504" t="s">
        <v>635</v>
      </c>
      <c r="AP50" s="1506" t="s">
        <v>635</v>
      </c>
    </row>
    <row r="51" spans="1:42" ht="30">
      <c r="A51" s="1507" t="s">
        <v>1984</v>
      </c>
      <c r="B51" s="1508" t="s">
        <v>1985</v>
      </c>
      <c r="C51" s="1509">
        <v>116.08</v>
      </c>
      <c r="D51" s="1510" t="s">
        <v>1883</v>
      </c>
      <c r="E51" s="1511">
        <v>3.3524E-11</v>
      </c>
      <c r="F51" s="1511">
        <v>8.2000000000000004E-13</v>
      </c>
      <c r="G51" s="1512" t="s">
        <v>1199</v>
      </c>
      <c r="H51" s="1511">
        <v>1.88E-10</v>
      </c>
      <c r="I51" s="1512" t="s">
        <v>1883</v>
      </c>
      <c r="J51" s="1513">
        <v>212</v>
      </c>
      <c r="K51" s="1514" t="s">
        <v>1199</v>
      </c>
      <c r="L51" s="1515">
        <v>1.65</v>
      </c>
      <c r="M51" s="1516" t="s">
        <v>1986</v>
      </c>
      <c r="N51" s="1517">
        <v>8.295558166493E-2</v>
      </c>
      <c r="O51" s="1517">
        <v>1.182790148E-5</v>
      </c>
      <c r="P51" s="1518" t="s">
        <v>1885</v>
      </c>
      <c r="Q51" s="1519" t="s">
        <v>635</v>
      </c>
      <c r="R51" s="1520"/>
      <c r="S51" s="1519">
        <v>69.58</v>
      </c>
      <c r="T51" s="1519" t="s">
        <v>1199</v>
      </c>
      <c r="U51" s="1519">
        <v>-1.7</v>
      </c>
      <c r="V51" s="1521" t="s">
        <v>1883</v>
      </c>
      <c r="W51" s="1522">
        <v>35</v>
      </c>
      <c r="X51" s="1523" t="s">
        <v>1883</v>
      </c>
      <c r="Y51" s="1524">
        <v>1.0732604254E-4</v>
      </c>
      <c r="Z51" s="1524">
        <v>0.46978240794539</v>
      </c>
      <c r="AA51" s="1524">
        <v>1.1274777790689301</v>
      </c>
      <c r="AB51" s="1524">
        <v>2.5899999999999999E-5</v>
      </c>
      <c r="AC51" s="1525" t="s">
        <v>1199</v>
      </c>
      <c r="AD51" s="1526" t="s">
        <v>635</v>
      </c>
      <c r="AE51" s="1527"/>
      <c r="AF51" s="1528" t="s">
        <v>635</v>
      </c>
      <c r="AG51" s="1527"/>
      <c r="AH51" s="1528">
        <v>1</v>
      </c>
      <c r="AI51" s="1529" t="s">
        <v>1909</v>
      </c>
      <c r="AJ51" s="1528">
        <v>6.9999999999999999E-6</v>
      </c>
      <c r="AK51" s="1529" t="s">
        <v>1909</v>
      </c>
      <c r="AL51" s="1527"/>
      <c r="AM51" s="1527"/>
      <c r="AN51" s="1530">
        <v>1</v>
      </c>
      <c r="AO51" s="1531">
        <v>0.1</v>
      </c>
      <c r="AP51" s="1532" t="s">
        <v>635</v>
      </c>
    </row>
    <row r="52" spans="1:42" ht="30">
      <c r="A52" s="1481" t="s">
        <v>92</v>
      </c>
      <c r="B52" s="1482" t="s">
        <v>91</v>
      </c>
      <c r="C52" s="1483">
        <v>137.33000000000001</v>
      </c>
      <c r="D52" s="1484" t="s">
        <v>1199</v>
      </c>
      <c r="E52" s="1485" t="s">
        <v>635</v>
      </c>
      <c r="F52" s="1485" t="s">
        <v>635</v>
      </c>
      <c r="G52" s="1536"/>
      <c r="H52" s="1485" t="s">
        <v>635</v>
      </c>
      <c r="I52" s="1536"/>
      <c r="J52" s="1487">
        <v>710</v>
      </c>
      <c r="K52" s="1488" t="s">
        <v>1883</v>
      </c>
      <c r="L52" s="1489">
        <v>3.62</v>
      </c>
      <c r="M52" s="1490" t="s">
        <v>1884</v>
      </c>
      <c r="N52" s="1491">
        <v>9.4060025145760007E-2</v>
      </c>
      <c r="O52" s="1491">
        <v>1.7133167540000001E-5</v>
      </c>
      <c r="P52" s="1492" t="s">
        <v>1885</v>
      </c>
      <c r="Q52" s="1493">
        <v>41</v>
      </c>
      <c r="R52" s="1493" t="s">
        <v>1959</v>
      </c>
      <c r="S52" s="1493" t="s">
        <v>635</v>
      </c>
      <c r="T52" s="1494"/>
      <c r="U52" s="1493" t="s">
        <v>635</v>
      </c>
      <c r="V52" s="1481"/>
      <c r="W52" s="1496" t="s">
        <v>635</v>
      </c>
      <c r="X52" s="1537"/>
      <c r="Y52" s="1498">
        <v>4.5072262820299996E-3</v>
      </c>
      <c r="Z52" s="1498">
        <v>0.61786948865683999</v>
      </c>
      <c r="AA52" s="1498">
        <v>1.4828867727764099</v>
      </c>
      <c r="AB52" s="1498">
        <v>1E-3</v>
      </c>
      <c r="AC52" s="1499" t="s">
        <v>1203</v>
      </c>
      <c r="AD52" s="1500" t="s">
        <v>635</v>
      </c>
      <c r="AE52" s="1501"/>
      <c r="AF52" s="1502" t="s">
        <v>635</v>
      </c>
      <c r="AG52" s="1501"/>
      <c r="AH52" s="1502">
        <v>0.2</v>
      </c>
      <c r="AI52" s="1503" t="s">
        <v>1119</v>
      </c>
      <c r="AJ52" s="1502">
        <v>5.0000000000000001E-4</v>
      </c>
      <c r="AK52" s="1503" t="s">
        <v>1073</v>
      </c>
      <c r="AL52" s="1501"/>
      <c r="AM52" s="1501"/>
      <c r="AN52" s="1539">
        <v>7.0000000000000007E-2</v>
      </c>
      <c r="AO52" s="1504" t="s">
        <v>635</v>
      </c>
      <c r="AP52" s="1506" t="s">
        <v>635</v>
      </c>
    </row>
    <row r="53" spans="1:42" ht="30">
      <c r="A53" s="1481" t="s">
        <v>1987</v>
      </c>
      <c r="B53" s="1482" t="s">
        <v>1988</v>
      </c>
      <c r="C53" s="1483">
        <v>335.29</v>
      </c>
      <c r="D53" s="1484" t="s">
        <v>1883</v>
      </c>
      <c r="E53" s="1485">
        <v>1.1896974652490001E-2</v>
      </c>
      <c r="F53" s="1485">
        <v>2.9100000000000003E-4</v>
      </c>
      <c r="G53" s="1486" t="s">
        <v>1199</v>
      </c>
      <c r="H53" s="1485">
        <v>6.5300000000000002E-5</v>
      </c>
      <c r="I53" s="1486" t="s">
        <v>1883</v>
      </c>
      <c r="J53" s="1487">
        <v>66</v>
      </c>
      <c r="K53" s="1488" t="s">
        <v>1883</v>
      </c>
      <c r="L53" s="1489">
        <v>1.337</v>
      </c>
      <c r="M53" s="1490" t="s">
        <v>1989</v>
      </c>
      <c r="N53" s="1491">
        <v>2.1872322258970001E-2</v>
      </c>
      <c r="O53" s="1491">
        <v>5.5169399320599997E-6</v>
      </c>
      <c r="P53" s="1492" t="s">
        <v>1885</v>
      </c>
      <c r="Q53" s="1493" t="s">
        <v>635</v>
      </c>
      <c r="R53" s="1494"/>
      <c r="S53" s="1493">
        <v>16390</v>
      </c>
      <c r="T53" s="1493" t="s">
        <v>1199</v>
      </c>
      <c r="U53" s="1493">
        <v>5.29</v>
      </c>
      <c r="V53" s="1495" t="s">
        <v>1883</v>
      </c>
      <c r="W53" s="1496">
        <v>0.1</v>
      </c>
      <c r="X53" s="1497" t="s">
        <v>1883</v>
      </c>
      <c r="Y53" s="1498">
        <v>0.47537980183335998</v>
      </c>
      <c r="Z53" s="1498">
        <v>7.9336447450844201</v>
      </c>
      <c r="AA53" s="1498">
        <v>19.0407473882026</v>
      </c>
      <c r="AB53" s="1498">
        <v>6.7500000000000004E-2</v>
      </c>
      <c r="AC53" s="1499" t="s">
        <v>1199</v>
      </c>
      <c r="AD53" s="1500" t="s">
        <v>635</v>
      </c>
      <c r="AE53" s="1501"/>
      <c r="AF53" s="1502" t="s">
        <v>635</v>
      </c>
      <c r="AG53" s="1501"/>
      <c r="AH53" s="1502">
        <v>5.0000000000000001E-3</v>
      </c>
      <c r="AI53" s="1503" t="s">
        <v>1116</v>
      </c>
      <c r="AJ53" s="1502" t="s">
        <v>635</v>
      </c>
      <c r="AK53" s="1501"/>
      <c r="AL53" s="1503" t="s">
        <v>1127</v>
      </c>
      <c r="AM53" s="1501"/>
      <c r="AN53" s="1504">
        <v>1</v>
      </c>
      <c r="AO53" s="1504" t="s">
        <v>635</v>
      </c>
      <c r="AP53" s="1506" t="s">
        <v>635</v>
      </c>
    </row>
    <row r="54" spans="1:42" ht="30">
      <c r="A54" s="1507" t="s">
        <v>1990</v>
      </c>
      <c r="B54" s="1508" t="s">
        <v>1991</v>
      </c>
      <c r="C54" s="1509">
        <v>290.32</v>
      </c>
      <c r="D54" s="1510" t="s">
        <v>1883</v>
      </c>
      <c r="E54" s="1511">
        <v>2.0155355683000001E-10</v>
      </c>
      <c r="F54" s="1511">
        <v>4.9300000000000002E-12</v>
      </c>
      <c r="G54" s="1512" t="s">
        <v>1883</v>
      </c>
      <c r="H54" s="1511">
        <v>3.7E-9</v>
      </c>
      <c r="I54" s="1512" t="s">
        <v>1883</v>
      </c>
      <c r="J54" s="1513">
        <v>140</v>
      </c>
      <c r="K54" s="1514" t="s">
        <v>1199</v>
      </c>
      <c r="L54" s="1515" t="s">
        <v>635</v>
      </c>
      <c r="M54" s="1538"/>
      <c r="N54" s="1517">
        <v>4.3334683683029999E-2</v>
      </c>
      <c r="O54" s="1517">
        <v>5.0633156724400001E-6</v>
      </c>
      <c r="P54" s="1518" t="s">
        <v>1885</v>
      </c>
      <c r="Q54" s="1519" t="s">
        <v>635</v>
      </c>
      <c r="R54" s="1520"/>
      <c r="S54" s="1519">
        <v>336.2</v>
      </c>
      <c r="T54" s="1519" t="s">
        <v>1199</v>
      </c>
      <c r="U54" s="1519">
        <v>2.12</v>
      </c>
      <c r="V54" s="1521" t="s">
        <v>1883</v>
      </c>
      <c r="W54" s="1522">
        <v>3.8</v>
      </c>
      <c r="X54" s="1523" t="s">
        <v>1883</v>
      </c>
      <c r="Y54" s="1524">
        <v>6.1798341842100001E-3</v>
      </c>
      <c r="Z54" s="1524">
        <v>4.4426361853052896</v>
      </c>
      <c r="AA54" s="1524">
        <v>10.6623268447327</v>
      </c>
      <c r="AB54" s="1524">
        <v>9.4300000000000004E-4</v>
      </c>
      <c r="AC54" s="1525" t="s">
        <v>1199</v>
      </c>
      <c r="AD54" s="1526" t="s">
        <v>635</v>
      </c>
      <c r="AE54" s="1527"/>
      <c r="AF54" s="1528" t="s">
        <v>635</v>
      </c>
      <c r="AG54" s="1527"/>
      <c r="AH54" s="1528">
        <v>0.05</v>
      </c>
      <c r="AI54" s="1529" t="s">
        <v>1119</v>
      </c>
      <c r="AJ54" s="1528" t="s">
        <v>635</v>
      </c>
      <c r="AK54" s="1527"/>
      <c r="AL54" s="1527"/>
      <c r="AM54" s="1527"/>
      <c r="AN54" s="1530">
        <v>1</v>
      </c>
      <c r="AO54" s="1531">
        <v>0.1</v>
      </c>
      <c r="AP54" s="1532" t="s">
        <v>635</v>
      </c>
    </row>
    <row r="55" spans="1:42" ht="30">
      <c r="A55" s="1481" t="s">
        <v>1992</v>
      </c>
      <c r="B55" s="1482" t="s">
        <v>1993</v>
      </c>
      <c r="C55" s="1483">
        <v>410.41</v>
      </c>
      <c r="D55" s="1484" t="s">
        <v>1883</v>
      </c>
      <c r="E55" s="1485">
        <v>1.5453802126000001E-13</v>
      </c>
      <c r="F55" s="1485">
        <v>3.7799999999999999E-15</v>
      </c>
      <c r="G55" s="1486" t="s">
        <v>1199</v>
      </c>
      <c r="H55" s="1485">
        <v>2.0999999999999999E-14</v>
      </c>
      <c r="I55" s="1486" t="s">
        <v>1883</v>
      </c>
      <c r="J55" s="1487">
        <v>187</v>
      </c>
      <c r="K55" s="1488" t="s">
        <v>1883</v>
      </c>
      <c r="L55" s="1489" t="s">
        <v>635</v>
      </c>
      <c r="M55" s="1533"/>
      <c r="N55" s="1491">
        <v>3.4403950290079997E-2</v>
      </c>
      <c r="O55" s="1491">
        <v>4.0198299812600004E-6</v>
      </c>
      <c r="P55" s="1492" t="s">
        <v>1885</v>
      </c>
      <c r="Q55" s="1493" t="s">
        <v>635</v>
      </c>
      <c r="R55" s="1494"/>
      <c r="S55" s="1493">
        <v>27.76</v>
      </c>
      <c r="T55" s="1493" t="s">
        <v>1199</v>
      </c>
      <c r="U55" s="1493">
        <v>2.1800000000000002</v>
      </c>
      <c r="V55" s="1495" t="s">
        <v>1883</v>
      </c>
      <c r="W55" s="1496">
        <v>120</v>
      </c>
      <c r="X55" s="1497" t="s">
        <v>1883</v>
      </c>
      <c r="Y55" s="1498">
        <v>1.70639564467E-3</v>
      </c>
      <c r="Z55" s="1498">
        <v>20.899926057816199</v>
      </c>
      <c r="AA55" s="1498">
        <v>50.159822538759002</v>
      </c>
      <c r="AB55" s="1498">
        <v>2.1900000000000001E-4</v>
      </c>
      <c r="AC55" s="1499" t="s">
        <v>1199</v>
      </c>
      <c r="AD55" s="1500" t="s">
        <v>635</v>
      </c>
      <c r="AE55" s="1501"/>
      <c r="AF55" s="1502" t="s">
        <v>635</v>
      </c>
      <c r="AG55" s="1501"/>
      <c r="AH55" s="1502">
        <v>0.2</v>
      </c>
      <c r="AI55" s="1503" t="s">
        <v>1119</v>
      </c>
      <c r="AJ55" s="1502" t="s">
        <v>635</v>
      </c>
      <c r="AK55" s="1501"/>
      <c r="AL55" s="1501"/>
      <c r="AM55" s="1501"/>
      <c r="AN55" s="1504">
        <v>1</v>
      </c>
      <c r="AO55" s="1505">
        <v>0.1</v>
      </c>
      <c r="AP55" s="1506" t="s">
        <v>635</v>
      </c>
    </row>
    <row r="56" spans="1:42" ht="30">
      <c r="A56" s="1481" t="s">
        <v>1994</v>
      </c>
      <c r="B56" s="1482" t="s">
        <v>1995</v>
      </c>
      <c r="C56" s="1483">
        <v>240.28</v>
      </c>
      <c r="D56" s="1484" t="s">
        <v>1883</v>
      </c>
      <c r="E56" s="1485">
        <v>8.9125102207699995E-8</v>
      </c>
      <c r="F56" s="1485">
        <v>2.1799999999999999E-9</v>
      </c>
      <c r="G56" s="1486" t="s">
        <v>1199</v>
      </c>
      <c r="H56" s="1485">
        <v>3.45E-6</v>
      </c>
      <c r="I56" s="1486" t="s">
        <v>1883</v>
      </c>
      <c r="J56" s="1487">
        <v>138</v>
      </c>
      <c r="K56" s="1488" t="s">
        <v>1883</v>
      </c>
      <c r="L56" s="1489" t="s">
        <v>635</v>
      </c>
      <c r="M56" s="1533"/>
      <c r="N56" s="1491">
        <v>4.9159620181580002E-2</v>
      </c>
      <c r="O56" s="1491">
        <v>5.7439135159500002E-6</v>
      </c>
      <c r="P56" s="1492" t="s">
        <v>1885</v>
      </c>
      <c r="Q56" s="1493" t="s">
        <v>635</v>
      </c>
      <c r="R56" s="1494"/>
      <c r="S56" s="1493">
        <v>10</v>
      </c>
      <c r="T56" s="1493" t="s">
        <v>1199</v>
      </c>
      <c r="U56" s="1493">
        <v>2.34</v>
      </c>
      <c r="V56" s="1495" t="s">
        <v>1883</v>
      </c>
      <c r="W56" s="1496">
        <v>500</v>
      </c>
      <c r="X56" s="1497" t="s">
        <v>1883</v>
      </c>
      <c r="Y56" s="1498">
        <v>1.5024014859060001E-2</v>
      </c>
      <c r="Z56" s="1498">
        <v>2.3303263696580601</v>
      </c>
      <c r="AA56" s="1498">
        <v>5.5927832871793504</v>
      </c>
      <c r="AB56" s="1498">
        <v>2.5200000000000001E-3</v>
      </c>
      <c r="AC56" s="1499" t="s">
        <v>1199</v>
      </c>
      <c r="AD56" s="1500" t="s">
        <v>635</v>
      </c>
      <c r="AE56" s="1501"/>
      <c r="AF56" s="1502" t="s">
        <v>635</v>
      </c>
      <c r="AG56" s="1501"/>
      <c r="AH56" s="1502">
        <v>0.03</v>
      </c>
      <c r="AI56" s="1503" t="s">
        <v>1119</v>
      </c>
      <c r="AJ56" s="1502" t="s">
        <v>635</v>
      </c>
      <c r="AK56" s="1501"/>
      <c r="AL56" s="1501"/>
      <c r="AM56" s="1501"/>
      <c r="AN56" s="1504">
        <v>1</v>
      </c>
      <c r="AO56" s="1505">
        <v>0.1</v>
      </c>
      <c r="AP56" s="1506" t="s">
        <v>635</v>
      </c>
    </row>
    <row r="57" spans="1:42" ht="30">
      <c r="A57" s="1507" t="s">
        <v>1996</v>
      </c>
      <c r="B57" s="1508" t="s">
        <v>1997</v>
      </c>
      <c r="C57" s="1509">
        <v>106.13</v>
      </c>
      <c r="D57" s="1510" t="s">
        <v>1883</v>
      </c>
      <c r="E57" s="1511">
        <v>1.0915780866699999E-3</v>
      </c>
      <c r="F57" s="1511">
        <v>2.6699999999999998E-5</v>
      </c>
      <c r="G57" s="1512" t="s">
        <v>1883</v>
      </c>
      <c r="H57" s="1511">
        <v>1.27</v>
      </c>
      <c r="I57" s="1512" t="s">
        <v>1883</v>
      </c>
      <c r="J57" s="1513">
        <v>-26</v>
      </c>
      <c r="K57" s="1514" t="s">
        <v>1883</v>
      </c>
      <c r="L57" s="1515">
        <v>1.0401</v>
      </c>
      <c r="M57" s="1516" t="s">
        <v>1884</v>
      </c>
      <c r="N57" s="1517">
        <v>7.4392958558900005E-2</v>
      </c>
      <c r="O57" s="1517">
        <v>9.4626751426499994E-6</v>
      </c>
      <c r="P57" s="1518" t="s">
        <v>1885</v>
      </c>
      <c r="Q57" s="1519" t="s">
        <v>635</v>
      </c>
      <c r="R57" s="1520"/>
      <c r="S57" s="1519">
        <v>11.09</v>
      </c>
      <c r="T57" s="1519" t="s">
        <v>1199</v>
      </c>
      <c r="U57" s="1519">
        <v>1.48</v>
      </c>
      <c r="V57" s="1521" t="s">
        <v>1883</v>
      </c>
      <c r="W57" s="1522">
        <v>6950</v>
      </c>
      <c r="X57" s="1523" t="s">
        <v>1883</v>
      </c>
      <c r="Y57" s="1524">
        <v>1.517555238167E-2</v>
      </c>
      <c r="Z57" s="1524">
        <v>0.41321563870061001</v>
      </c>
      <c r="AA57" s="1524">
        <v>0.99171753288148001</v>
      </c>
      <c r="AB57" s="1524">
        <v>3.8300000000000001E-3</v>
      </c>
      <c r="AC57" s="1525" t="s">
        <v>1199</v>
      </c>
      <c r="AD57" s="1526">
        <v>4.0000000000000001E-3</v>
      </c>
      <c r="AE57" s="1529" t="s">
        <v>1909</v>
      </c>
      <c r="AF57" s="1528" t="s">
        <v>635</v>
      </c>
      <c r="AG57" s="1527"/>
      <c r="AH57" s="1528">
        <v>0.1</v>
      </c>
      <c r="AI57" s="1529" t="s">
        <v>1119</v>
      </c>
      <c r="AJ57" s="1528" t="s">
        <v>635</v>
      </c>
      <c r="AK57" s="1527"/>
      <c r="AL57" s="1529" t="s">
        <v>1127</v>
      </c>
      <c r="AM57" s="1527"/>
      <c r="AN57" s="1530">
        <v>1</v>
      </c>
      <c r="AO57" s="1530" t="s">
        <v>635</v>
      </c>
      <c r="AP57" s="1532">
        <v>1160</v>
      </c>
    </row>
    <row r="58" spans="1:42" ht="30">
      <c r="A58" s="1481" t="s">
        <v>94</v>
      </c>
      <c r="B58" s="1482" t="s">
        <v>93</v>
      </c>
      <c r="C58" s="1483">
        <v>78.114999999999995</v>
      </c>
      <c r="D58" s="1484" t="s">
        <v>1883</v>
      </c>
      <c r="E58" s="1485">
        <v>0.22690106295994</v>
      </c>
      <c r="F58" s="1485">
        <v>5.5500000000000002E-3</v>
      </c>
      <c r="G58" s="1486" t="s">
        <v>1883</v>
      </c>
      <c r="H58" s="1485">
        <v>94.8</v>
      </c>
      <c r="I58" s="1486" t="s">
        <v>1883</v>
      </c>
      <c r="J58" s="1487">
        <v>5.5</v>
      </c>
      <c r="K58" s="1488" t="s">
        <v>1883</v>
      </c>
      <c r="L58" s="1489">
        <v>0.87649999999999995</v>
      </c>
      <c r="M58" s="1490" t="s">
        <v>1884</v>
      </c>
      <c r="N58" s="1491">
        <v>8.9534039512060001E-2</v>
      </c>
      <c r="O58" s="1491">
        <v>1.026318746E-5</v>
      </c>
      <c r="P58" s="1492" t="s">
        <v>1885</v>
      </c>
      <c r="Q58" s="1493" t="s">
        <v>635</v>
      </c>
      <c r="R58" s="1494"/>
      <c r="S58" s="1493">
        <v>145.80000000000001</v>
      </c>
      <c r="T58" s="1493" t="s">
        <v>1199</v>
      </c>
      <c r="U58" s="1493">
        <v>2.13</v>
      </c>
      <c r="V58" s="1495" t="s">
        <v>1883</v>
      </c>
      <c r="W58" s="1496">
        <v>1790</v>
      </c>
      <c r="X58" s="1497" t="s">
        <v>1883</v>
      </c>
      <c r="Y58" s="1498">
        <v>5.065008038978E-2</v>
      </c>
      <c r="Z58" s="1498">
        <v>0.28793386679265998</v>
      </c>
      <c r="AA58" s="1498">
        <v>0.69104128030237</v>
      </c>
      <c r="AB58" s="1498">
        <v>1.49E-2</v>
      </c>
      <c r="AC58" s="1499" t="s">
        <v>1199</v>
      </c>
      <c r="AD58" s="1500">
        <v>5.5E-2</v>
      </c>
      <c r="AE58" s="1503" t="s">
        <v>1119</v>
      </c>
      <c r="AF58" s="1502">
        <v>7.7999999999999999E-6</v>
      </c>
      <c r="AG58" s="1503" t="s">
        <v>1119</v>
      </c>
      <c r="AH58" s="1502">
        <v>4.0000000000000001E-3</v>
      </c>
      <c r="AI58" s="1503" t="s">
        <v>1119</v>
      </c>
      <c r="AJ58" s="1502">
        <v>0.03</v>
      </c>
      <c r="AK58" s="1503" t="s">
        <v>1119</v>
      </c>
      <c r="AL58" s="1503" t="s">
        <v>1127</v>
      </c>
      <c r="AM58" s="1501"/>
      <c r="AN58" s="1504">
        <v>1</v>
      </c>
      <c r="AO58" s="1504" t="s">
        <v>635</v>
      </c>
      <c r="AP58" s="1506">
        <v>1820</v>
      </c>
    </row>
    <row r="59" spans="1:42" ht="30">
      <c r="A59" s="1481" t="s">
        <v>1998</v>
      </c>
      <c r="B59" s="1482" t="s">
        <v>1999</v>
      </c>
      <c r="C59" s="1483">
        <v>360.59</v>
      </c>
      <c r="D59" s="1484" t="s">
        <v>1883</v>
      </c>
      <c r="E59" s="1485">
        <v>0.35854456255110001</v>
      </c>
      <c r="F59" s="1485">
        <v>8.77E-3</v>
      </c>
      <c r="G59" s="1486" t="s">
        <v>1199</v>
      </c>
      <c r="H59" s="1485">
        <v>2.1</v>
      </c>
      <c r="I59" s="1486" t="s">
        <v>1883</v>
      </c>
      <c r="J59" s="1487">
        <v>-44.7</v>
      </c>
      <c r="K59" s="1488" t="s">
        <v>1199</v>
      </c>
      <c r="L59" s="1489">
        <v>0.89439999999999997</v>
      </c>
      <c r="M59" s="1490" t="s">
        <v>1890</v>
      </c>
      <c r="N59" s="1491">
        <v>1.728187029676E-2</v>
      </c>
      <c r="O59" s="1491">
        <v>4.1493745486500004E-6</v>
      </c>
      <c r="P59" s="1492" t="s">
        <v>1885</v>
      </c>
      <c r="Q59" s="1493" t="s">
        <v>635</v>
      </c>
      <c r="R59" s="1494"/>
      <c r="S59" s="1493">
        <v>602.1</v>
      </c>
      <c r="T59" s="1493" t="s">
        <v>1199</v>
      </c>
      <c r="U59" s="1493">
        <v>3.42</v>
      </c>
      <c r="V59" s="1495" t="s">
        <v>1199</v>
      </c>
      <c r="W59" s="1496">
        <v>48.2</v>
      </c>
      <c r="X59" s="1497" t="s">
        <v>1199</v>
      </c>
      <c r="Y59" s="1498">
        <v>0.45354991666659999</v>
      </c>
      <c r="Z59" s="1498">
        <v>10.9939244864083</v>
      </c>
      <c r="AA59" s="1498">
        <v>26.3854187673798</v>
      </c>
      <c r="AB59" s="1498">
        <v>6.2100000000000002E-2</v>
      </c>
      <c r="AC59" s="1499" t="s">
        <v>1199</v>
      </c>
      <c r="AD59" s="1500" t="s">
        <v>635</v>
      </c>
      <c r="AE59" s="1501"/>
      <c r="AF59" s="1502" t="s">
        <v>635</v>
      </c>
      <c r="AG59" s="1501"/>
      <c r="AH59" s="1502" t="s">
        <v>635</v>
      </c>
      <c r="AI59" s="1501"/>
      <c r="AJ59" s="1502">
        <v>4.0000000000000001E-3</v>
      </c>
      <c r="AK59" s="1503" t="s">
        <v>1900</v>
      </c>
      <c r="AL59" s="1503" t="s">
        <v>1127</v>
      </c>
      <c r="AM59" s="1501"/>
      <c r="AN59" s="1504">
        <v>1</v>
      </c>
      <c r="AO59" s="1504" t="s">
        <v>635</v>
      </c>
      <c r="AP59" s="1506">
        <v>182</v>
      </c>
    </row>
    <row r="60" spans="1:42" ht="30">
      <c r="A60" s="1507" t="s">
        <v>2000</v>
      </c>
      <c r="B60" s="1508" t="s">
        <v>2001</v>
      </c>
      <c r="C60" s="1509">
        <v>220.24</v>
      </c>
      <c r="D60" s="1510" t="s">
        <v>1199</v>
      </c>
      <c r="E60" s="1511">
        <v>8.8600000000000003E-22</v>
      </c>
      <c r="F60" s="1511">
        <v>2.1700000000000001E-23</v>
      </c>
      <c r="G60" s="1512" t="s">
        <v>1199</v>
      </c>
      <c r="H60" s="1511">
        <v>2.9000000000000003E-14</v>
      </c>
      <c r="I60" s="1512" t="s">
        <v>1199</v>
      </c>
      <c r="J60" s="1513">
        <v>235.86</v>
      </c>
      <c r="K60" s="1514" t="s">
        <v>1199</v>
      </c>
      <c r="L60" s="1515" t="s">
        <v>635</v>
      </c>
      <c r="M60" s="1538"/>
      <c r="N60" s="1517">
        <v>5.2098210005289997E-2</v>
      </c>
      <c r="O60" s="1517">
        <v>6.0872645374599996E-6</v>
      </c>
      <c r="P60" s="1518" t="s">
        <v>1885</v>
      </c>
      <c r="Q60" s="1519" t="s">
        <v>635</v>
      </c>
      <c r="R60" s="1520"/>
      <c r="S60" s="1519">
        <v>38.380000000000003</v>
      </c>
      <c r="T60" s="1519" t="s">
        <v>1199</v>
      </c>
      <c r="U60" s="1519">
        <v>-3.7267000000000001</v>
      </c>
      <c r="V60" s="1521" t="s">
        <v>1199</v>
      </c>
      <c r="W60" s="1522">
        <v>1000000</v>
      </c>
      <c r="X60" s="1523" t="s">
        <v>1199</v>
      </c>
      <c r="Y60" s="1524">
        <v>1.7351951887899999E-6</v>
      </c>
      <c r="Z60" s="1524">
        <v>1.79966947151908</v>
      </c>
      <c r="AA60" s="1524">
        <v>4.3192067316457798</v>
      </c>
      <c r="AB60" s="1524">
        <v>3.0400000000000002E-7</v>
      </c>
      <c r="AC60" s="1525" t="s">
        <v>1199</v>
      </c>
      <c r="AD60" s="1526">
        <v>0.1</v>
      </c>
      <c r="AE60" s="1529" t="s">
        <v>1893</v>
      </c>
      <c r="AF60" s="1528" t="s">
        <v>635</v>
      </c>
      <c r="AG60" s="1527"/>
      <c r="AH60" s="1528">
        <v>2.9999999999999997E-4</v>
      </c>
      <c r="AI60" s="1529" t="s">
        <v>1893</v>
      </c>
      <c r="AJ60" s="1528" t="s">
        <v>635</v>
      </c>
      <c r="AK60" s="1527"/>
      <c r="AL60" s="1527"/>
      <c r="AM60" s="1527"/>
      <c r="AN60" s="1530">
        <v>1</v>
      </c>
      <c r="AO60" s="1531">
        <v>0.1</v>
      </c>
      <c r="AP60" s="1532" t="s">
        <v>635</v>
      </c>
    </row>
    <row r="61" spans="1:42" ht="30">
      <c r="A61" s="1481" t="s">
        <v>2002</v>
      </c>
      <c r="B61" s="1482" t="s">
        <v>2003</v>
      </c>
      <c r="C61" s="1483">
        <v>110.18</v>
      </c>
      <c r="D61" s="1484" t="s">
        <v>1883</v>
      </c>
      <c r="E61" s="1485">
        <v>1.369582992641E-2</v>
      </c>
      <c r="F61" s="1485">
        <v>3.3500000000000001E-4</v>
      </c>
      <c r="G61" s="1486" t="s">
        <v>1199</v>
      </c>
      <c r="H61" s="1485">
        <v>1.93</v>
      </c>
      <c r="I61" s="1486" t="s">
        <v>1883</v>
      </c>
      <c r="J61" s="1487">
        <v>-14.9</v>
      </c>
      <c r="K61" s="1488" t="s">
        <v>1883</v>
      </c>
      <c r="L61" s="1489">
        <v>1.0774999999999999</v>
      </c>
      <c r="M61" s="1490" t="s">
        <v>1884</v>
      </c>
      <c r="N61" s="1491">
        <v>7.2856356574329997E-2</v>
      </c>
      <c r="O61" s="1491">
        <v>9.4506238531400008E-6</v>
      </c>
      <c r="P61" s="1492" t="s">
        <v>1885</v>
      </c>
      <c r="Q61" s="1493" t="s">
        <v>635</v>
      </c>
      <c r="R61" s="1494"/>
      <c r="S61" s="1493">
        <v>233.9</v>
      </c>
      <c r="T61" s="1493" t="s">
        <v>1199</v>
      </c>
      <c r="U61" s="1493">
        <v>2.52</v>
      </c>
      <c r="V61" s="1495" t="s">
        <v>1883</v>
      </c>
      <c r="W61" s="1496">
        <v>835</v>
      </c>
      <c r="X61" s="1497" t="s">
        <v>1883</v>
      </c>
      <c r="Y61" s="1498">
        <v>7.1861791248339996E-2</v>
      </c>
      <c r="Z61" s="1498">
        <v>0.43536824543878999</v>
      </c>
      <c r="AA61" s="1498">
        <v>1.0448837890531</v>
      </c>
      <c r="AB61" s="1498">
        <v>1.78E-2</v>
      </c>
      <c r="AC61" s="1499" t="s">
        <v>1199</v>
      </c>
      <c r="AD61" s="1500" t="s">
        <v>635</v>
      </c>
      <c r="AE61" s="1501"/>
      <c r="AF61" s="1502" t="s">
        <v>635</v>
      </c>
      <c r="AG61" s="1501"/>
      <c r="AH61" s="1502">
        <v>1E-3</v>
      </c>
      <c r="AI61" s="1503" t="s">
        <v>1909</v>
      </c>
      <c r="AJ61" s="1502" t="s">
        <v>635</v>
      </c>
      <c r="AK61" s="1501"/>
      <c r="AL61" s="1503" t="s">
        <v>1127</v>
      </c>
      <c r="AM61" s="1501"/>
      <c r="AN61" s="1504">
        <v>1</v>
      </c>
      <c r="AO61" s="1504" t="s">
        <v>635</v>
      </c>
      <c r="AP61" s="1506">
        <v>1260</v>
      </c>
    </row>
    <row r="62" spans="1:42" ht="30">
      <c r="A62" s="1481" t="s">
        <v>2004</v>
      </c>
      <c r="B62" s="1482" t="s">
        <v>2005</v>
      </c>
      <c r="C62" s="1483">
        <v>184.24</v>
      </c>
      <c r="D62" s="1484" t="s">
        <v>1883</v>
      </c>
      <c r="E62" s="1485">
        <v>2.1136549468499998E-9</v>
      </c>
      <c r="F62" s="1485">
        <v>5.17E-11</v>
      </c>
      <c r="G62" s="1486" t="s">
        <v>1883</v>
      </c>
      <c r="H62" s="1485">
        <v>8.9800000000000002E-7</v>
      </c>
      <c r="I62" s="1486" t="s">
        <v>1883</v>
      </c>
      <c r="J62" s="1487">
        <v>120</v>
      </c>
      <c r="K62" s="1488" t="s">
        <v>1883</v>
      </c>
      <c r="L62" s="1489">
        <v>1.2190000000000001</v>
      </c>
      <c r="M62" s="1490" t="s">
        <v>2006</v>
      </c>
      <c r="N62" s="1491">
        <v>3.5127260502119999E-2</v>
      </c>
      <c r="O62" s="1491">
        <v>7.4755584233699998E-6</v>
      </c>
      <c r="P62" s="1492" t="s">
        <v>1885</v>
      </c>
      <c r="Q62" s="1493" t="s">
        <v>635</v>
      </c>
      <c r="R62" s="1494"/>
      <c r="S62" s="1493">
        <v>1190</v>
      </c>
      <c r="T62" s="1493" t="s">
        <v>1199</v>
      </c>
      <c r="U62" s="1493">
        <v>1.34</v>
      </c>
      <c r="V62" s="1495" t="s">
        <v>1883</v>
      </c>
      <c r="W62" s="1496">
        <v>322</v>
      </c>
      <c r="X62" s="1497" t="s">
        <v>1883</v>
      </c>
      <c r="Y62" s="1498">
        <v>5.8992534880300002E-3</v>
      </c>
      <c r="Z62" s="1498">
        <v>1.1313389766816</v>
      </c>
      <c r="AA62" s="1498">
        <v>2.71521354403585</v>
      </c>
      <c r="AB62" s="1498">
        <v>1.1299999999999999E-3</v>
      </c>
      <c r="AC62" s="1499" t="s">
        <v>1199</v>
      </c>
      <c r="AD62" s="1500">
        <v>230</v>
      </c>
      <c r="AE62" s="1503" t="s">
        <v>1119</v>
      </c>
      <c r="AF62" s="1502">
        <v>6.7000000000000004E-2</v>
      </c>
      <c r="AG62" s="1503" t="s">
        <v>1119</v>
      </c>
      <c r="AH62" s="1502">
        <v>3.0000000000000001E-3</v>
      </c>
      <c r="AI62" s="1503" t="s">
        <v>1119</v>
      </c>
      <c r="AJ62" s="1502" t="s">
        <v>635</v>
      </c>
      <c r="AK62" s="1501"/>
      <c r="AL62" s="1501"/>
      <c r="AM62" s="1503" t="s">
        <v>1906</v>
      </c>
      <c r="AN62" s="1504">
        <v>1</v>
      </c>
      <c r="AO62" s="1505">
        <v>0.1</v>
      </c>
      <c r="AP62" s="1506" t="s">
        <v>635</v>
      </c>
    </row>
    <row r="63" spans="1:42" ht="30">
      <c r="A63" s="1507" t="s">
        <v>2007</v>
      </c>
      <c r="B63" s="1508" t="s">
        <v>2008</v>
      </c>
      <c r="C63" s="1509">
        <v>122.12</v>
      </c>
      <c r="D63" s="1510" t="s">
        <v>1883</v>
      </c>
      <c r="E63" s="1511">
        <v>1.5576451349100001E-6</v>
      </c>
      <c r="F63" s="1511">
        <v>3.8099999999999997E-8</v>
      </c>
      <c r="G63" s="1512" t="s">
        <v>1199</v>
      </c>
      <c r="H63" s="1511">
        <v>6.9999999999999999E-4</v>
      </c>
      <c r="I63" s="1512" t="s">
        <v>1883</v>
      </c>
      <c r="J63" s="1513">
        <v>122.4</v>
      </c>
      <c r="K63" s="1514" t="s">
        <v>1883</v>
      </c>
      <c r="L63" s="1515">
        <v>1.2659</v>
      </c>
      <c r="M63" s="1516" t="s">
        <v>1884</v>
      </c>
      <c r="N63" s="1517">
        <v>7.0193910355E-2</v>
      </c>
      <c r="O63" s="1517">
        <v>9.7867689198599998E-6</v>
      </c>
      <c r="P63" s="1518" t="s">
        <v>1885</v>
      </c>
      <c r="Q63" s="1519" t="s">
        <v>635</v>
      </c>
      <c r="R63" s="1520"/>
      <c r="S63" s="1519">
        <v>0.6</v>
      </c>
      <c r="T63" s="1519" t="s">
        <v>1959</v>
      </c>
      <c r="U63" s="1519">
        <v>1.87</v>
      </c>
      <c r="V63" s="1521" t="s">
        <v>1883</v>
      </c>
      <c r="W63" s="1522">
        <v>3400</v>
      </c>
      <c r="X63" s="1523" t="s">
        <v>1883</v>
      </c>
      <c r="Y63" s="1524">
        <v>2.4014220700619999E-2</v>
      </c>
      <c r="Z63" s="1524">
        <v>0.50783280219766003</v>
      </c>
      <c r="AA63" s="1524">
        <v>1.2187987252743699</v>
      </c>
      <c r="AB63" s="1524">
        <v>5.6499999999999996E-3</v>
      </c>
      <c r="AC63" s="1525" t="s">
        <v>1199</v>
      </c>
      <c r="AD63" s="1526" t="s">
        <v>635</v>
      </c>
      <c r="AE63" s="1527"/>
      <c r="AF63" s="1528" t="s">
        <v>635</v>
      </c>
      <c r="AG63" s="1527"/>
      <c r="AH63" s="1528">
        <v>4</v>
      </c>
      <c r="AI63" s="1529" t="s">
        <v>1119</v>
      </c>
      <c r="AJ63" s="1528" t="s">
        <v>635</v>
      </c>
      <c r="AK63" s="1527"/>
      <c r="AL63" s="1527"/>
      <c r="AM63" s="1527"/>
      <c r="AN63" s="1530">
        <v>1</v>
      </c>
      <c r="AO63" s="1531">
        <v>0.1</v>
      </c>
      <c r="AP63" s="1532" t="s">
        <v>635</v>
      </c>
    </row>
    <row r="64" spans="1:42" ht="30">
      <c r="A64" s="1481" t="s">
        <v>2009</v>
      </c>
      <c r="B64" s="1482" t="s">
        <v>2010</v>
      </c>
      <c r="C64" s="1483">
        <v>195.48</v>
      </c>
      <c r="D64" s="1484" t="s">
        <v>1883</v>
      </c>
      <c r="E64" s="1485">
        <v>1.0629599345869999E-2</v>
      </c>
      <c r="F64" s="1485">
        <v>2.5999999999999998E-4</v>
      </c>
      <c r="G64" s="1486" t="s">
        <v>1883</v>
      </c>
      <c r="H64" s="1485">
        <v>0.41399999999999998</v>
      </c>
      <c r="I64" s="1486" t="s">
        <v>1199</v>
      </c>
      <c r="J64" s="1487">
        <v>-5</v>
      </c>
      <c r="K64" s="1488" t="s">
        <v>1883</v>
      </c>
      <c r="L64" s="1489">
        <v>1.3723000000000001</v>
      </c>
      <c r="M64" s="1490" t="s">
        <v>1884</v>
      </c>
      <c r="N64" s="1491">
        <v>3.12555432717E-2</v>
      </c>
      <c r="O64" s="1491">
        <v>7.7460413560299999E-6</v>
      </c>
      <c r="P64" s="1492" t="s">
        <v>1885</v>
      </c>
      <c r="Q64" s="1493" t="s">
        <v>635</v>
      </c>
      <c r="R64" s="1494"/>
      <c r="S64" s="1493">
        <v>1001</v>
      </c>
      <c r="T64" s="1493" t="s">
        <v>1199</v>
      </c>
      <c r="U64" s="1493">
        <v>3.9</v>
      </c>
      <c r="V64" s="1495" t="s">
        <v>1883</v>
      </c>
      <c r="W64" s="1496">
        <v>53</v>
      </c>
      <c r="X64" s="1497" t="s">
        <v>1883</v>
      </c>
      <c r="Y64" s="1498">
        <v>0.26188268105976997</v>
      </c>
      <c r="Z64" s="1498">
        <v>1.3077861979538601</v>
      </c>
      <c r="AA64" s="1498">
        <v>3.1386868750892698</v>
      </c>
      <c r="AB64" s="1498">
        <v>4.87E-2</v>
      </c>
      <c r="AC64" s="1499" t="s">
        <v>1199</v>
      </c>
      <c r="AD64" s="1500">
        <v>13</v>
      </c>
      <c r="AE64" s="1503" t="s">
        <v>1119</v>
      </c>
      <c r="AF64" s="1502" t="s">
        <v>635</v>
      </c>
      <c r="AG64" s="1501"/>
      <c r="AH64" s="1502" t="s">
        <v>635</v>
      </c>
      <c r="AI64" s="1501"/>
      <c r="AJ64" s="1502" t="s">
        <v>635</v>
      </c>
      <c r="AK64" s="1501"/>
      <c r="AL64" s="1503" t="s">
        <v>1127</v>
      </c>
      <c r="AM64" s="1501"/>
      <c r="AN64" s="1504">
        <v>1</v>
      </c>
      <c r="AO64" s="1504" t="s">
        <v>635</v>
      </c>
      <c r="AP64" s="1506">
        <v>324</v>
      </c>
    </row>
    <row r="65" spans="1:42" ht="30">
      <c r="A65" s="1481" t="s">
        <v>2011</v>
      </c>
      <c r="B65" s="1482" t="s">
        <v>2012</v>
      </c>
      <c r="C65" s="1483">
        <v>108.14</v>
      </c>
      <c r="D65" s="1484" t="s">
        <v>1883</v>
      </c>
      <c r="E65" s="1485">
        <v>1.3777596079999999E-5</v>
      </c>
      <c r="F65" s="1485">
        <v>3.3700000000000001E-7</v>
      </c>
      <c r="G65" s="1486" t="s">
        <v>1883</v>
      </c>
      <c r="H65" s="1485">
        <v>9.4E-2</v>
      </c>
      <c r="I65" s="1486" t="s">
        <v>1883</v>
      </c>
      <c r="J65" s="1487">
        <v>-15.2</v>
      </c>
      <c r="K65" s="1488" t="s">
        <v>1883</v>
      </c>
      <c r="L65" s="1489">
        <v>1.0419</v>
      </c>
      <c r="M65" s="1490" t="s">
        <v>1884</v>
      </c>
      <c r="N65" s="1491">
        <v>7.311862562325E-2</v>
      </c>
      <c r="O65" s="1491">
        <v>9.3664619939299995E-6</v>
      </c>
      <c r="P65" s="1492" t="s">
        <v>1885</v>
      </c>
      <c r="Q65" s="1493" t="s">
        <v>635</v>
      </c>
      <c r="R65" s="1494"/>
      <c r="S65" s="1493">
        <v>21.46</v>
      </c>
      <c r="T65" s="1493" t="s">
        <v>1199</v>
      </c>
      <c r="U65" s="1493">
        <v>1.1000000000000001</v>
      </c>
      <c r="V65" s="1495" t="s">
        <v>1883</v>
      </c>
      <c r="W65" s="1496">
        <v>42900</v>
      </c>
      <c r="X65" s="1497" t="s">
        <v>1883</v>
      </c>
      <c r="Y65" s="1498">
        <v>8.3592270352700008E-3</v>
      </c>
      <c r="Z65" s="1498">
        <v>0.42406531242651002</v>
      </c>
      <c r="AA65" s="1498">
        <v>1.01775674982362</v>
      </c>
      <c r="AB65" s="1498">
        <v>2.0899999999999998E-3</v>
      </c>
      <c r="AC65" s="1499" t="s">
        <v>1199</v>
      </c>
      <c r="AD65" s="1500" t="s">
        <v>635</v>
      </c>
      <c r="AE65" s="1501"/>
      <c r="AF65" s="1502" t="s">
        <v>635</v>
      </c>
      <c r="AG65" s="1501"/>
      <c r="AH65" s="1502">
        <v>0.1</v>
      </c>
      <c r="AI65" s="1503" t="s">
        <v>1909</v>
      </c>
      <c r="AJ65" s="1502" t="s">
        <v>635</v>
      </c>
      <c r="AK65" s="1501"/>
      <c r="AL65" s="1501"/>
      <c r="AM65" s="1501"/>
      <c r="AN65" s="1504">
        <v>1</v>
      </c>
      <c r="AO65" s="1505">
        <v>0.1</v>
      </c>
      <c r="AP65" s="1506" t="s">
        <v>635</v>
      </c>
    </row>
    <row r="66" spans="1:42" ht="30">
      <c r="A66" s="1507" t="s">
        <v>2013</v>
      </c>
      <c r="B66" s="1508" t="s">
        <v>2014</v>
      </c>
      <c r="C66" s="1509">
        <v>126.59</v>
      </c>
      <c r="D66" s="1510" t="s">
        <v>1883</v>
      </c>
      <c r="E66" s="1511">
        <v>1.6843826655760001E-2</v>
      </c>
      <c r="F66" s="1511">
        <v>4.1199999999999999E-4</v>
      </c>
      <c r="G66" s="1512" t="s">
        <v>1199</v>
      </c>
      <c r="H66" s="1511">
        <v>1.23</v>
      </c>
      <c r="I66" s="1512" t="s">
        <v>1883</v>
      </c>
      <c r="J66" s="1513">
        <v>-45</v>
      </c>
      <c r="K66" s="1514" t="s">
        <v>1883</v>
      </c>
      <c r="L66" s="1515">
        <v>1.1004</v>
      </c>
      <c r="M66" s="1516" t="s">
        <v>1884</v>
      </c>
      <c r="N66" s="1517">
        <v>6.3361780349059996E-2</v>
      </c>
      <c r="O66" s="1517">
        <v>8.8056715166100008E-6</v>
      </c>
      <c r="P66" s="1518" t="s">
        <v>1885</v>
      </c>
      <c r="Q66" s="1519" t="s">
        <v>635</v>
      </c>
      <c r="R66" s="1520"/>
      <c r="S66" s="1519">
        <v>446.1</v>
      </c>
      <c r="T66" s="1519" t="s">
        <v>1199</v>
      </c>
      <c r="U66" s="1519">
        <v>2.2999999999999998</v>
      </c>
      <c r="V66" s="1521" t="s">
        <v>1883</v>
      </c>
      <c r="W66" s="1522">
        <v>525</v>
      </c>
      <c r="X66" s="1523" t="s">
        <v>1883</v>
      </c>
      <c r="Y66" s="1524">
        <v>4.4572149309659997E-2</v>
      </c>
      <c r="Z66" s="1524">
        <v>0.53796342464476998</v>
      </c>
      <c r="AA66" s="1524">
        <v>1.29111221914746</v>
      </c>
      <c r="AB66" s="1524">
        <v>1.03E-2</v>
      </c>
      <c r="AC66" s="1525" t="s">
        <v>1199</v>
      </c>
      <c r="AD66" s="1526">
        <v>0.17</v>
      </c>
      <c r="AE66" s="1529" t="s">
        <v>1119</v>
      </c>
      <c r="AF66" s="1528">
        <v>4.8999999999999998E-5</v>
      </c>
      <c r="AG66" s="1529" t="s">
        <v>1900</v>
      </c>
      <c r="AH66" s="1528">
        <v>2E-3</v>
      </c>
      <c r="AI66" s="1529" t="s">
        <v>1909</v>
      </c>
      <c r="AJ66" s="1528">
        <v>1E-3</v>
      </c>
      <c r="AK66" s="1529" t="s">
        <v>1909</v>
      </c>
      <c r="AL66" s="1529" t="s">
        <v>1127</v>
      </c>
      <c r="AM66" s="1527"/>
      <c r="AN66" s="1530">
        <v>1</v>
      </c>
      <c r="AO66" s="1530" t="s">
        <v>635</v>
      </c>
      <c r="AP66" s="1532">
        <v>1460</v>
      </c>
    </row>
    <row r="67" spans="1:42" ht="30">
      <c r="A67" s="1481" t="s">
        <v>96</v>
      </c>
      <c r="B67" s="1482" t="s">
        <v>2015</v>
      </c>
      <c r="C67" s="1483">
        <v>9.01</v>
      </c>
      <c r="D67" s="1484" t="s">
        <v>1199</v>
      </c>
      <c r="E67" s="1485" t="s">
        <v>635</v>
      </c>
      <c r="F67" s="1485" t="s">
        <v>635</v>
      </c>
      <c r="G67" s="1536"/>
      <c r="H67" s="1485">
        <v>0</v>
      </c>
      <c r="I67" s="1486" t="s">
        <v>1929</v>
      </c>
      <c r="J67" s="1487">
        <v>986</v>
      </c>
      <c r="K67" s="1488" t="s">
        <v>1883</v>
      </c>
      <c r="L67" s="1489">
        <v>1.85</v>
      </c>
      <c r="M67" s="1490" t="s">
        <v>1884</v>
      </c>
      <c r="N67" s="1491">
        <v>0.48242590592050999</v>
      </c>
      <c r="O67" s="1491">
        <v>5.8713765509999999E-5</v>
      </c>
      <c r="P67" s="1492" t="s">
        <v>1885</v>
      </c>
      <c r="Q67" s="1493">
        <v>790</v>
      </c>
      <c r="R67" s="1493" t="s">
        <v>1959</v>
      </c>
      <c r="S67" s="1493" t="s">
        <v>635</v>
      </c>
      <c r="T67" s="1494"/>
      <c r="U67" s="1493" t="s">
        <v>635</v>
      </c>
      <c r="V67" s="1481"/>
      <c r="W67" s="1496" t="s">
        <v>635</v>
      </c>
      <c r="X67" s="1537"/>
      <c r="Y67" s="1498">
        <v>1.1544870015200001E-3</v>
      </c>
      <c r="Z67" s="1498">
        <v>0.11811491713783</v>
      </c>
      <c r="AA67" s="1498">
        <v>0.28347580113079002</v>
      </c>
      <c r="AB67" s="1498">
        <v>1E-3</v>
      </c>
      <c r="AC67" s="1499" t="s">
        <v>1203</v>
      </c>
      <c r="AD67" s="1500" t="s">
        <v>635</v>
      </c>
      <c r="AE67" s="1501"/>
      <c r="AF67" s="1502">
        <v>2.3999999999999998E-3</v>
      </c>
      <c r="AG67" s="1503" t="s">
        <v>1119</v>
      </c>
      <c r="AH67" s="1502">
        <v>2E-3</v>
      </c>
      <c r="AI67" s="1503" t="s">
        <v>1119</v>
      </c>
      <c r="AJ67" s="1502">
        <v>2.0000000000000002E-5</v>
      </c>
      <c r="AK67" s="1503" t="s">
        <v>1119</v>
      </c>
      <c r="AL67" s="1501"/>
      <c r="AM67" s="1501"/>
      <c r="AN67" s="1545">
        <v>7.0000000000000001E-3</v>
      </c>
      <c r="AO67" s="1504" t="s">
        <v>635</v>
      </c>
      <c r="AP67" s="1506" t="s">
        <v>635</v>
      </c>
    </row>
    <row r="68" spans="1:42" ht="30">
      <c r="A68" s="1481" t="s">
        <v>2016</v>
      </c>
      <c r="B68" s="1482" t="s">
        <v>2017</v>
      </c>
      <c r="C68" s="1483">
        <v>342.14</v>
      </c>
      <c r="D68" s="1484" t="s">
        <v>1883</v>
      </c>
      <c r="E68" s="1485">
        <v>4.4153720359799998E-6</v>
      </c>
      <c r="F68" s="1485">
        <v>1.08E-7</v>
      </c>
      <c r="G68" s="1486" t="s">
        <v>1199</v>
      </c>
      <c r="H68" s="1485">
        <v>9.9999999999999995E-8</v>
      </c>
      <c r="I68" s="1486" t="s">
        <v>1883</v>
      </c>
      <c r="J68" s="1487">
        <v>85</v>
      </c>
      <c r="K68" s="1488" t="s">
        <v>1883</v>
      </c>
      <c r="L68" s="1489">
        <v>1.155</v>
      </c>
      <c r="M68" s="1490" t="s">
        <v>1890</v>
      </c>
      <c r="N68" s="1491">
        <v>2.016368018251E-2</v>
      </c>
      <c r="O68" s="1491">
        <v>4.9922767355199999E-6</v>
      </c>
      <c r="P68" s="1492" t="s">
        <v>1885</v>
      </c>
      <c r="Q68" s="1493" t="s">
        <v>635</v>
      </c>
      <c r="R68" s="1494"/>
      <c r="S68" s="1493">
        <v>3679</v>
      </c>
      <c r="T68" s="1493" t="s">
        <v>1199</v>
      </c>
      <c r="U68" s="1493">
        <v>4.4800000000000004</v>
      </c>
      <c r="V68" s="1495" t="s">
        <v>1883</v>
      </c>
      <c r="W68" s="1496">
        <v>0.39800000000000002</v>
      </c>
      <c r="X68" s="1497" t="s">
        <v>1883</v>
      </c>
      <c r="Y68" s="1498">
        <v>0.12734491519505001</v>
      </c>
      <c r="Z68" s="1498">
        <v>8.6662806587653805</v>
      </c>
      <c r="AA68" s="1498">
        <v>20.7990735810369</v>
      </c>
      <c r="AB68" s="1498">
        <v>1.7899999999999999E-2</v>
      </c>
      <c r="AC68" s="1499" t="s">
        <v>1199</v>
      </c>
      <c r="AD68" s="1500" t="s">
        <v>635</v>
      </c>
      <c r="AE68" s="1501"/>
      <c r="AF68" s="1502" t="s">
        <v>635</v>
      </c>
      <c r="AG68" s="1501"/>
      <c r="AH68" s="1502">
        <v>8.9999999999999993E-3</v>
      </c>
      <c r="AI68" s="1503" t="s">
        <v>1909</v>
      </c>
      <c r="AJ68" s="1502" t="s">
        <v>635</v>
      </c>
      <c r="AK68" s="1501"/>
      <c r="AL68" s="1501"/>
      <c r="AM68" s="1501"/>
      <c r="AN68" s="1504">
        <v>1</v>
      </c>
      <c r="AO68" s="1505">
        <v>0.1</v>
      </c>
      <c r="AP68" s="1506" t="s">
        <v>635</v>
      </c>
    </row>
    <row r="69" spans="1:42" ht="30">
      <c r="A69" s="1507" t="s">
        <v>2018</v>
      </c>
      <c r="B69" s="1508" t="s">
        <v>2019</v>
      </c>
      <c r="C69" s="1509">
        <v>422.88</v>
      </c>
      <c r="D69" s="1510" t="s">
        <v>1883</v>
      </c>
      <c r="E69" s="1511">
        <v>4.088307441E-5</v>
      </c>
      <c r="F69" s="1511">
        <v>9.9999999999999995E-7</v>
      </c>
      <c r="G69" s="1512" t="s">
        <v>1199</v>
      </c>
      <c r="H69" s="1511">
        <v>1.8E-7</v>
      </c>
      <c r="I69" s="1512" t="s">
        <v>1883</v>
      </c>
      <c r="J69" s="1513">
        <v>69</v>
      </c>
      <c r="K69" s="1514" t="s">
        <v>1883</v>
      </c>
      <c r="L69" s="1515">
        <v>1.2</v>
      </c>
      <c r="M69" s="1516" t="s">
        <v>1884</v>
      </c>
      <c r="N69" s="1517">
        <v>1.837554330311E-2</v>
      </c>
      <c r="O69" s="1517">
        <v>4.4983188069899998E-6</v>
      </c>
      <c r="P69" s="1518" t="s">
        <v>1885</v>
      </c>
      <c r="Q69" s="1519" t="s">
        <v>635</v>
      </c>
      <c r="R69" s="1520"/>
      <c r="S69" s="1519">
        <v>2272000</v>
      </c>
      <c r="T69" s="1519" t="s">
        <v>1199</v>
      </c>
      <c r="U69" s="1519">
        <v>6</v>
      </c>
      <c r="V69" s="1521" t="s">
        <v>1883</v>
      </c>
      <c r="W69" s="1522">
        <v>1E-3</v>
      </c>
      <c r="X69" s="1523" t="s">
        <v>1883</v>
      </c>
      <c r="Y69" s="1524">
        <v>13.7620925201273</v>
      </c>
      <c r="Z69" s="1524">
        <v>24.5457750393862</v>
      </c>
      <c r="AA69" s="1524">
        <v>112.32910068906099</v>
      </c>
      <c r="AB69" s="1524">
        <v>1.74</v>
      </c>
      <c r="AC69" s="1525" t="s">
        <v>1199</v>
      </c>
      <c r="AD69" s="1526" t="s">
        <v>635</v>
      </c>
      <c r="AE69" s="1527"/>
      <c r="AF69" s="1528" t="s">
        <v>635</v>
      </c>
      <c r="AG69" s="1527"/>
      <c r="AH69" s="1528">
        <v>1.4999999999999999E-2</v>
      </c>
      <c r="AI69" s="1529" t="s">
        <v>1119</v>
      </c>
      <c r="AJ69" s="1528" t="s">
        <v>635</v>
      </c>
      <c r="AK69" s="1527"/>
      <c r="AL69" s="1527"/>
      <c r="AM69" s="1527"/>
      <c r="AN69" s="1530">
        <v>1</v>
      </c>
      <c r="AO69" s="1531">
        <v>0.1</v>
      </c>
      <c r="AP69" s="1532" t="s">
        <v>635</v>
      </c>
    </row>
    <row r="70" spans="1:42" ht="30">
      <c r="A70" s="1481" t="s">
        <v>98</v>
      </c>
      <c r="B70" s="1482" t="s">
        <v>2020</v>
      </c>
      <c r="C70" s="1483">
        <v>154.21</v>
      </c>
      <c r="D70" s="1484" t="s">
        <v>1883</v>
      </c>
      <c r="E70" s="1485">
        <v>1.2591986917420001E-2</v>
      </c>
      <c r="F70" s="1485">
        <v>3.0800000000000001E-4</v>
      </c>
      <c r="G70" s="1486" t="s">
        <v>1883</v>
      </c>
      <c r="H70" s="1485">
        <v>8.9300000000000004E-3</v>
      </c>
      <c r="I70" s="1486" t="s">
        <v>1883</v>
      </c>
      <c r="J70" s="1487">
        <v>69</v>
      </c>
      <c r="K70" s="1488" t="s">
        <v>1883</v>
      </c>
      <c r="L70" s="1489">
        <v>1.04</v>
      </c>
      <c r="M70" s="1490" t="s">
        <v>1884</v>
      </c>
      <c r="N70" s="1491">
        <v>4.705923501776E-2</v>
      </c>
      <c r="O70" s="1491">
        <v>7.5617837409600001E-6</v>
      </c>
      <c r="P70" s="1492" t="s">
        <v>1885</v>
      </c>
      <c r="Q70" s="1493" t="s">
        <v>635</v>
      </c>
      <c r="R70" s="1494"/>
      <c r="S70" s="1493">
        <v>5129</v>
      </c>
      <c r="T70" s="1493" t="s">
        <v>1199</v>
      </c>
      <c r="U70" s="1493">
        <v>4.01</v>
      </c>
      <c r="V70" s="1495" t="s">
        <v>1883</v>
      </c>
      <c r="W70" s="1496">
        <v>7.48</v>
      </c>
      <c r="X70" s="1497" t="s">
        <v>1883</v>
      </c>
      <c r="Y70" s="1498">
        <v>0.45039609177062001</v>
      </c>
      <c r="Z70" s="1498">
        <v>0.76811235300464997</v>
      </c>
      <c r="AA70" s="1498">
        <v>1.84346964721115</v>
      </c>
      <c r="AB70" s="1498">
        <v>9.4299999999999995E-2</v>
      </c>
      <c r="AC70" s="1499" t="s">
        <v>1199</v>
      </c>
      <c r="AD70" s="1500">
        <v>8.0000000000000002E-3</v>
      </c>
      <c r="AE70" s="1503" t="s">
        <v>1119</v>
      </c>
      <c r="AF70" s="1502" t="s">
        <v>635</v>
      </c>
      <c r="AG70" s="1501"/>
      <c r="AH70" s="1502">
        <v>0.5</v>
      </c>
      <c r="AI70" s="1503" t="s">
        <v>1119</v>
      </c>
      <c r="AJ70" s="1502">
        <v>4.0000000000000002E-4</v>
      </c>
      <c r="AK70" s="1503" t="s">
        <v>1893</v>
      </c>
      <c r="AL70" s="1503" t="s">
        <v>1127</v>
      </c>
      <c r="AM70" s="1501"/>
      <c r="AN70" s="1504">
        <v>1</v>
      </c>
      <c r="AO70" s="1504" t="s">
        <v>635</v>
      </c>
      <c r="AP70" s="1506" t="s">
        <v>635</v>
      </c>
    </row>
    <row r="71" spans="1:42" ht="30">
      <c r="A71" s="1481" t="s">
        <v>102</v>
      </c>
      <c r="B71" s="1482" t="s">
        <v>101</v>
      </c>
      <c r="C71" s="1483">
        <v>171.07</v>
      </c>
      <c r="D71" s="1484" t="s">
        <v>1883</v>
      </c>
      <c r="E71" s="1485">
        <v>3.0335241210099999E-3</v>
      </c>
      <c r="F71" s="1485">
        <v>7.4200000000000001E-5</v>
      </c>
      <c r="G71" s="1486" t="s">
        <v>1199</v>
      </c>
      <c r="H71" s="1485">
        <v>0.56000000000000005</v>
      </c>
      <c r="I71" s="1486" t="s">
        <v>1883</v>
      </c>
      <c r="J71" s="1487">
        <v>-97</v>
      </c>
      <c r="K71" s="1488" t="s">
        <v>1883</v>
      </c>
      <c r="L71" s="1489">
        <v>1.103</v>
      </c>
      <c r="M71" s="1490" t="s">
        <v>1884</v>
      </c>
      <c r="N71" s="1491">
        <v>3.9889131750200001E-2</v>
      </c>
      <c r="O71" s="1491">
        <v>7.3605923470999996E-6</v>
      </c>
      <c r="P71" s="1492" t="s">
        <v>1885</v>
      </c>
      <c r="Q71" s="1493" t="s">
        <v>635</v>
      </c>
      <c r="R71" s="1494"/>
      <c r="S71" s="1493">
        <v>82.92</v>
      </c>
      <c r="T71" s="1493" t="s">
        <v>1199</v>
      </c>
      <c r="U71" s="1493">
        <v>2.48</v>
      </c>
      <c r="V71" s="1495" t="s">
        <v>1883</v>
      </c>
      <c r="W71" s="1496">
        <v>1700</v>
      </c>
      <c r="X71" s="1497" t="s">
        <v>1883</v>
      </c>
      <c r="Y71" s="1498">
        <v>3.8433234724140002E-2</v>
      </c>
      <c r="Z71" s="1498">
        <v>0.95464246631699001</v>
      </c>
      <c r="AA71" s="1498">
        <v>2.29114191916076</v>
      </c>
      <c r="AB71" s="1498">
        <v>7.6400000000000001E-3</v>
      </c>
      <c r="AC71" s="1499" t="s">
        <v>1199</v>
      </c>
      <c r="AD71" s="1500" t="s">
        <v>635</v>
      </c>
      <c r="AE71" s="1501"/>
      <c r="AF71" s="1502" t="s">
        <v>635</v>
      </c>
      <c r="AG71" s="1501"/>
      <c r="AH71" s="1502">
        <v>0.04</v>
      </c>
      <c r="AI71" s="1503" t="s">
        <v>1119</v>
      </c>
      <c r="AJ71" s="1502" t="s">
        <v>635</v>
      </c>
      <c r="AK71" s="1501"/>
      <c r="AL71" s="1503" t="s">
        <v>1127</v>
      </c>
      <c r="AM71" s="1501"/>
      <c r="AN71" s="1504">
        <v>1</v>
      </c>
      <c r="AO71" s="1504" t="s">
        <v>635</v>
      </c>
      <c r="AP71" s="1506">
        <v>1020</v>
      </c>
    </row>
    <row r="72" spans="1:42" ht="30">
      <c r="A72" s="1507" t="s">
        <v>2021</v>
      </c>
      <c r="B72" s="1508" t="s">
        <v>2022</v>
      </c>
      <c r="C72" s="1509">
        <v>173.04</v>
      </c>
      <c r="D72" s="1510" t="s">
        <v>1883</v>
      </c>
      <c r="E72" s="1511">
        <v>1.5739983647E-4</v>
      </c>
      <c r="F72" s="1511">
        <v>3.8500000000000004E-6</v>
      </c>
      <c r="G72" s="1512" t="s">
        <v>1199</v>
      </c>
      <c r="H72" s="1511">
        <v>0.13200000000000001</v>
      </c>
      <c r="I72" s="1512" t="s">
        <v>1199</v>
      </c>
      <c r="J72" s="1513">
        <v>-32</v>
      </c>
      <c r="K72" s="1514" t="s">
        <v>1883</v>
      </c>
      <c r="L72" s="1515" t="s">
        <v>635</v>
      </c>
      <c r="M72" s="1538"/>
      <c r="N72" s="1517">
        <v>6.1186544897129998E-2</v>
      </c>
      <c r="O72" s="1517">
        <v>7.1491647195600003E-6</v>
      </c>
      <c r="P72" s="1518" t="s">
        <v>1885</v>
      </c>
      <c r="Q72" s="1519" t="s">
        <v>635</v>
      </c>
      <c r="R72" s="1520"/>
      <c r="S72" s="1519">
        <v>14.38</v>
      </c>
      <c r="T72" s="1519" t="s">
        <v>1199</v>
      </c>
      <c r="U72" s="1519">
        <v>1.3</v>
      </c>
      <c r="V72" s="1521" t="s">
        <v>1883</v>
      </c>
      <c r="W72" s="1522">
        <v>7800</v>
      </c>
      <c r="X72" s="1523" t="s">
        <v>1883</v>
      </c>
      <c r="Y72" s="1524">
        <v>6.1724806326000003E-3</v>
      </c>
      <c r="Z72" s="1524">
        <v>0.97920303214711002</v>
      </c>
      <c r="AA72" s="1524">
        <v>2.3500872771530701</v>
      </c>
      <c r="AB72" s="1524">
        <v>1.2199999999999999E-3</v>
      </c>
      <c r="AC72" s="1525" t="s">
        <v>1199</v>
      </c>
      <c r="AD72" s="1526" t="s">
        <v>635</v>
      </c>
      <c r="AE72" s="1527"/>
      <c r="AF72" s="1528" t="s">
        <v>635</v>
      </c>
      <c r="AG72" s="1527"/>
      <c r="AH72" s="1528">
        <v>3.0000000000000001E-3</v>
      </c>
      <c r="AI72" s="1529" t="s">
        <v>1909</v>
      </c>
      <c r="AJ72" s="1528" t="s">
        <v>635</v>
      </c>
      <c r="AK72" s="1527"/>
      <c r="AL72" s="1527"/>
      <c r="AM72" s="1527"/>
      <c r="AN72" s="1530">
        <v>1</v>
      </c>
      <c r="AO72" s="1531">
        <v>0.1</v>
      </c>
      <c r="AP72" s="1532" t="s">
        <v>635</v>
      </c>
    </row>
    <row r="73" spans="1:42" ht="30">
      <c r="A73" s="1481" t="s">
        <v>100</v>
      </c>
      <c r="B73" s="1482" t="s">
        <v>2023</v>
      </c>
      <c r="C73" s="1483">
        <v>143.01</v>
      </c>
      <c r="D73" s="1484" t="s">
        <v>1883</v>
      </c>
      <c r="E73" s="1485">
        <v>6.9501226491999995E-4</v>
      </c>
      <c r="F73" s="1485">
        <v>1.7E-5</v>
      </c>
      <c r="G73" s="1486" t="s">
        <v>1199</v>
      </c>
      <c r="H73" s="1485">
        <v>1.55</v>
      </c>
      <c r="I73" s="1486" t="s">
        <v>1883</v>
      </c>
      <c r="J73" s="1487">
        <v>-51.9</v>
      </c>
      <c r="K73" s="1488" t="s">
        <v>1883</v>
      </c>
      <c r="L73" s="1489">
        <v>1.22</v>
      </c>
      <c r="M73" s="1490" t="s">
        <v>1884</v>
      </c>
      <c r="N73" s="1491">
        <v>5.6719164820489998E-2</v>
      </c>
      <c r="O73" s="1491">
        <v>8.7069855954199998E-6</v>
      </c>
      <c r="P73" s="1492" t="s">
        <v>1885</v>
      </c>
      <c r="Q73" s="1493" t="s">
        <v>635</v>
      </c>
      <c r="R73" s="1494"/>
      <c r="S73" s="1493">
        <v>32.21</v>
      </c>
      <c r="T73" s="1493" t="s">
        <v>1199</v>
      </c>
      <c r="U73" s="1493">
        <v>1.29</v>
      </c>
      <c r="V73" s="1495" t="s">
        <v>1883</v>
      </c>
      <c r="W73" s="1496">
        <v>17200</v>
      </c>
      <c r="X73" s="1497" t="s">
        <v>1883</v>
      </c>
      <c r="Y73" s="1498">
        <v>8.1870955250399995E-3</v>
      </c>
      <c r="Z73" s="1498">
        <v>0.66482103118018998</v>
      </c>
      <c r="AA73" s="1498">
        <v>1.59557047483245</v>
      </c>
      <c r="AB73" s="1498">
        <v>1.7799999999999999E-3</v>
      </c>
      <c r="AC73" s="1499" t="s">
        <v>1199</v>
      </c>
      <c r="AD73" s="1500">
        <v>1.1000000000000001</v>
      </c>
      <c r="AE73" s="1503" t="s">
        <v>1119</v>
      </c>
      <c r="AF73" s="1502">
        <v>3.3E-4</v>
      </c>
      <c r="AG73" s="1503" t="s">
        <v>1119</v>
      </c>
      <c r="AH73" s="1502" t="s">
        <v>635</v>
      </c>
      <c r="AI73" s="1501"/>
      <c r="AJ73" s="1502" t="s">
        <v>635</v>
      </c>
      <c r="AK73" s="1501"/>
      <c r="AL73" s="1503" t="s">
        <v>1127</v>
      </c>
      <c r="AM73" s="1501"/>
      <c r="AN73" s="1504">
        <v>1</v>
      </c>
      <c r="AO73" s="1504" t="s">
        <v>635</v>
      </c>
      <c r="AP73" s="1506">
        <v>5050</v>
      </c>
    </row>
    <row r="74" spans="1:42" ht="30">
      <c r="A74" s="1481" t="s">
        <v>2024</v>
      </c>
      <c r="B74" s="1482" t="s">
        <v>2025</v>
      </c>
      <c r="C74" s="1483">
        <v>114.96</v>
      </c>
      <c r="D74" s="1484" t="s">
        <v>1883</v>
      </c>
      <c r="E74" s="1485">
        <v>0.17825020441537001</v>
      </c>
      <c r="F74" s="1485">
        <v>4.3600000000000002E-3</v>
      </c>
      <c r="G74" s="1486" t="s">
        <v>1199</v>
      </c>
      <c r="H74" s="1485">
        <v>29.4</v>
      </c>
      <c r="I74" s="1486" t="s">
        <v>1883</v>
      </c>
      <c r="J74" s="1487">
        <v>-41.5</v>
      </c>
      <c r="K74" s="1488" t="s">
        <v>1883</v>
      </c>
      <c r="L74" s="1489">
        <v>1.323</v>
      </c>
      <c r="M74" s="1490" t="s">
        <v>1884</v>
      </c>
      <c r="N74" s="1491">
        <v>7.6300053515610006E-2</v>
      </c>
      <c r="O74" s="1491">
        <v>1.042028566E-5</v>
      </c>
      <c r="P74" s="1492" t="s">
        <v>1885</v>
      </c>
      <c r="Q74" s="1493" t="s">
        <v>635</v>
      </c>
      <c r="R74" s="1494"/>
      <c r="S74" s="1493">
        <v>9.6989999999999998</v>
      </c>
      <c r="T74" s="1493" t="s">
        <v>1199</v>
      </c>
      <c r="U74" s="1493">
        <v>0.56999999999999995</v>
      </c>
      <c r="V74" s="1495" t="s">
        <v>1883</v>
      </c>
      <c r="W74" s="1496">
        <v>22000</v>
      </c>
      <c r="X74" s="1497" t="s">
        <v>1883</v>
      </c>
      <c r="Y74" s="1498">
        <v>3.5258687711999998E-3</v>
      </c>
      <c r="Z74" s="1498">
        <v>0.46304665325632</v>
      </c>
      <c r="AA74" s="1498">
        <v>1.1113119678151799</v>
      </c>
      <c r="AB74" s="1498">
        <v>8.5499999999999997E-4</v>
      </c>
      <c r="AC74" s="1499" t="s">
        <v>1199</v>
      </c>
      <c r="AD74" s="1500">
        <v>220</v>
      </c>
      <c r="AE74" s="1503" t="s">
        <v>1119</v>
      </c>
      <c r="AF74" s="1502">
        <v>6.2E-2</v>
      </c>
      <c r="AG74" s="1503" t="s">
        <v>1119</v>
      </c>
      <c r="AH74" s="1502" t="s">
        <v>635</v>
      </c>
      <c r="AI74" s="1501"/>
      <c r="AJ74" s="1502" t="s">
        <v>635</v>
      </c>
      <c r="AK74" s="1501"/>
      <c r="AL74" s="1503" t="s">
        <v>1127</v>
      </c>
      <c r="AM74" s="1501"/>
      <c r="AN74" s="1504">
        <v>1</v>
      </c>
      <c r="AO74" s="1504" t="s">
        <v>635</v>
      </c>
      <c r="AP74" s="1506">
        <v>4220</v>
      </c>
    </row>
    <row r="75" spans="1:42" ht="30">
      <c r="A75" s="1507" t="s">
        <v>2026</v>
      </c>
      <c r="B75" s="1508" t="s">
        <v>2027</v>
      </c>
      <c r="C75" s="1509">
        <v>228.29</v>
      </c>
      <c r="D75" s="1510" t="s">
        <v>1883</v>
      </c>
      <c r="E75" s="1511">
        <v>4.0883074406999999E-10</v>
      </c>
      <c r="F75" s="1511">
        <v>9.9999999999999994E-12</v>
      </c>
      <c r="G75" s="1512" t="s">
        <v>1883</v>
      </c>
      <c r="H75" s="1511">
        <v>3.9099999999999999E-7</v>
      </c>
      <c r="I75" s="1512" t="s">
        <v>1883</v>
      </c>
      <c r="J75" s="1513">
        <v>153</v>
      </c>
      <c r="K75" s="1514" t="s">
        <v>1883</v>
      </c>
      <c r="L75" s="1515">
        <v>1.1950000000000001</v>
      </c>
      <c r="M75" s="1516" t="s">
        <v>1890</v>
      </c>
      <c r="N75" s="1517">
        <v>2.5346941694000001E-2</v>
      </c>
      <c r="O75" s="1517">
        <v>6.4953174556400001E-6</v>
      </c>
      <c r="P75" s="1518" t="s">
        <v>1885</v>
      </c>
      <c r="Q75" s="1519" t="s">
        <v>635</v>
      </c>
      <c r="R75" s="1520"/>
      <c r="S75" s="1519">
        <v>37670</v>
      </c>
      <c r="T75" s="1519" t="s">
        <v>1199</v>
      </c>
      <c r="U75" s="1519">
        <v>3.32</v>
      </c>
      <c r="V75" s="1521" t="s">
        <v>1883</v>
      </c>
      <c r="W75" s="1522">
        <v>120</v>
      </c>
      <c r="X75" s="1523" t="s">
        <v>1883</v>
      </c>
      <c r="Y75" s="1524">
        <v>7.6708594829460006E-2</v>
      </c>
      <c r="Z75" s="1524">
        <v>1.9965157915345599</v>
      </c>
      <c r="AA75" s="1524">
        <v>4.7916378996829501</v>
      </c>
      <c r="AB75" s="1524">
        <v>1.32E-2</v>
      </c>
      <c r="AC75" s="1525" t="s">
        <v>1199</v>
      </c>
      <c r="AD75" s="1526" t="s">
        <v>635</v>
      </c>
      <c r="AE75" s="1527"/>
      <c r="AF75" s="1528" t="s">
        <v>635</v>
      </c>
      <c r="AG75" s="1527"/>
      <c r="AH75" s="1528">
        <v>0.05</v>
      </c>
      <c r="AI75" s="1529" t="s">
        <v>1119</v>
      </c>
      <c r="AJ75" s="1528" t="s">
        <v>635</v>
      </c>
      <c r="AK75" s="1527"/>
      <c r="AL75" s="1527"/>
      <c r="AM75" s="1527"/>
      <c r="AN75" s="1530">
        <v>1</v>
      </c>
      <c r="AO75" s="1531">
        <v>0.1</v>
      </c>
      <c r="AP75" s="1532" t="s">
        <v>635</v>
      </c>
    </row>
    <row r="76" spans="1:42" ht="30">
      <c r="A76" s="1481" t="s">
        <v>106</v>
      </c>
      <c r="B76" s="1482" t="s">
        <v>2028</v>
      </c>
      <c r="C76" s="1483">
        <v>13.84</v>
      </c>
      <c r="D76" s="1484" t="s">
        <v>1199</v>
      </c>
      <c r="E76" s="1485" t="s">
        <v>635</v>
      </c>
      <c r="F76" s="1485" t="s">
        <v>635</v>
      </c>
      <c r="G76" s="1536"/>
      <c r="H76" s="1485" t="s">
        <v>635</v>
      </c>
      <c r="I76" s="1536"/>
      <c r="J76" s="1487">
        <v>2075</v>
      </c>
      <c r="K76" s="1488" t="s">
        <v>1884</v>
      </c>
      <c r="L76" s="1489">
        <v>2.34</v>
      </c>
      <c r="M76" s="1490" t="s">
        <v>1884</v>
      </c>
      <c r="N76" s="1491">
        <v>0.39062788368527002</v>
      </c>
      <c r="O76" s="1491">
        <v>5.2254010949999999E-5</v>
      </c>
      <c r="P76" s="1492" t="s">
        <v>1885</v>
      </c>
      <c r="Q76" s="1493">
        <v>3</v>
      </c>
      <c r="R76" s="1493" t="s">
        <v>1930</v>
      </c>
      <c r="S76" s="1493" t="s">
        <v>635</v>
      </c>
      <c r="T76" s="1494"/>
      <c r="U76" s="1493" t="s">
        <v>635</v>
      </c>
      <c r="V76" s="1481"/>
      <c r="W76" s="1496" t="s">
        <v>635</v>
      </c>
      <c r="X76" s="1537"/>
      <c r="Y76" s="1498">
        <v>1.4308519413600001E-3</v>
      </c>
      <c r="Z76" s="1498">
        <v>0.12570505708895999</v>
      </c>
      <c r="AA76" s="1498">
        <v>0.30169213701350001</v>
      </c>
      <c r="AB76" s="1498">
        <v>1E-3</v>
      </c>
      <c r="AC76" s="1499" t="s">
        <v>1203</v>
      </c>
      <c r="AD76" s="1500" t="s">
        <v>635</v>
      </c>
      <c r="AE76" s="1501"/>
      <c r="AF76" s="1502" t="s">
        <v>635</v>
      </c>
      <c r="AG76" s="1501"/>
      <c r="AH76" s="1502">
        <v>0.2</v>
      </c>
      <c r="AI76" s="1503" t="s">
        <v>1119</v>
      </c>
      <c r="AJ76" s="1502">
        <v>0.02</v>
      </c>
      <c r="AK76" s="1503" t="s">
        <v>1073</v>
      </c>
      <c r="AL76" s="1501"/>
      <c r="AM76" s="1501"/>
      <c r="AN76" s="1504">
        <v>1</v>
      </c>
      <c r="AO76" s="1504" t="s">
        <v>635</v>
      </c>
      <c r="AP76" s="1506" t="s">
        <v>635</v>
      </c>
    </row>
    <row r="77" spans="1:42" ht="30">
      <c r="A77" s="1481" t="s">
        <v>2029</v>
      </c>
      <c r="B77" s="1482" t="s">
        <v>2030</v>
      </c>
      <c r="C77" s="1483">
        <v>117.17</v>
      </c>
      <c r="D77" s="1484" t="s">
        <v>1883</v>
      </c>
      <c r="E77" s="1485">
        <v>0.748</v>
      </c>
      <c r="F77" s="1485">
        <v>1.83E-2</v>
      </c>
      <c r="G77" s="1486" t="s">
        <v>1883</v>
      </c>
      <c r="H77" s="1485">
        <v>1</v>
      </c>
      <c r="I77" s="1486" t="s">
        <v>1883</v>
      </c>
      <c r="J77" s="1487">
        <v>-107</v>
      </c>
      <c r="K77" s="1488" t="s">
        <v>1883</v>
      </c>
      <c r="L77" s="1489">
        <v>4.7889999999999999E-3</v>
      </c>
      <c r="M77" s="1490" t="s">
        <v>1884</v>
      </c>
      <c r="N77" s="1491">
        <v>3.6106965764100001E-3</v>
      </c>
      <c r="O77" s="1491">
        <v>3.5328794278199999E-7</v>
      </c>
      <c r="P77" s="1492" t="s">
        <v>1885</v>
      </c>
      <c r="Q77" s="1493" t="s">
        <v>635</v>
      </c>
      <c r="R77" s="1494"/>
      <c r="S77" s="1493" t="s">
        <v>635</v>
      </c>
      <c r="T77" s="1494"/>
      <c r="U77" s="1493">
        <v>1.1599999999999999</v>
      </c>
      <c r="V77" s="1495" t="s">
        <v>1883</v>
      </c>
      <c r="W77" s="1496" t="s">
        <v>635</v>
      </c>
      <c r="X77" s="1537"/>
      <c r="Y77" s="1498">
        <v>4.1632727795199997E-3</v>
      </c>
      <c r="Z77" s="1498">
        <v>0.47643180915243</v>
      </c>
      <c r="AA77" s="1498">
        <v>1.14343634196582</v>
      </c>
      <c r="AB77" s="1498">
        <v>1E-3</v>
      </c>
      <c r="AC77" s="1499" t="s">
        <v>1203</v>
      </c>
      <c r="AD77" s="1500" t="s">
        <v>635</v>
      </c>
      <c r="AE77" s="1501"/>
      <c r="AF77" s="1502" t="s">
        <v>635</v>
      </c>
      <c r="AG77" s="1501"/>
      <c r="AH77" s="1502">
        <v>2</v>
      </c>
      <c r="AI77" s="1503" t="s">
        <v>1909</v>
      </c>
      <c r="AJ77" s="1502">
        <v>0.02</v>
      </c>
      <c r="AK77" s="1503" t="s">
        <v>1909</v>
      </c>
      <c r="AL77" s="1503" t="s">
        <v>1127</v>
      </c>
      <c r="AM77" s="1501"/>
      <c r="AN77" s="1504">
        <v>1</v>
      </c>
      <c r="AO77" s="1504" t="s">
        <v>635</v>
      </c>
      <c r="AP77" s="1506" t="s">
        <v>635</v>
      </c>
    </row>
    <row r="78" spans="1:42" ht="30">
      <c r="A78" s="1507" t="s">
        <v>2031</v>
      </c>
      <c r="B78" s="1508" t="s">
        <v>2032</v>
      </c>
      <c r="C78" s="1509">
        <v>67.805999999999997</v>
      </c>
      <c r="D78" s="1510" t="s">
        <v>1883</v>
      </c>
      <c r="E78" s="1511" t="s">
        <v>635</v>
      </c>
      <c r="F78" s="1511" t="s">
        <v>635</v>
      </c>
      <c r="G78" s="1534"/>
      <c r="H78" s="1511">
        <v>36555</v>
      </c>
      <c r="I78" s="1512" t="s">
        <v>1883</v>
      </c>
      <c r="J78" s="1513">
        <v>-126.8</v>
      </c>
      <c r="K78" s="1514" t="s">
        <v>1883</v>
      </c>
      <c r="L78" s="1515">
        <v>2.7719999999999998</v>
      </c>
      <c r="M78" s="1516" t="s">
        <v>1884</v>
      </c>
      <c r="N78" s="1517">
        <v>0.15634201437737999</v>
      </c>
      <c r="O78" s="1517">
        <v>2.2293940199999999E-5</v>
      </c>
      <c r="P78" s="1518" t="s">
        <v>1885</v>
      </c>
      <c r="Q78" s="1519" t="s">
        <v>635</v>
      </c>
      <c r="R78" s="1520"/>
      <c r="S78" s="1519" t="s">
        <v>635</v>
      </c>
      <c r="T78" s="1520"/>
      <c r="U78" s="1519">
        <v>0.22</v>
      </c>
      <c r="V78" s="1521" t="s">
        <v>1883</v>
      </c>
      <c r="W78" s="1522">
        <v>3320000</v>
      </c>
      <c r="X78" s="1523" t="s">
        <v>1883</v>
      </c>
      <c r="Y78" s="1524">
        <v>3.16709225833E-3</v>
      </c>
      <c r="Z78" s="1524">
        <v>0.25209390730280001</v>
      </c>
      <c r="AA78" s="1524">
        <v>0.60502537752672003</v>
      </c>
      <c r="AB78" s="1524">
        <v>1E-3</v>
      </c>
      <c r="AC78" s="1525" t="s">
        <v>1203</v>
      </c>
      <c r="AD78" s="1526" t="s">
        <v>635</v>
      </c>
      <c r="AE78" s="1527"/>
      <c r="AF78" s="1528" t="s">
        <v>635</v>
      </c>
      <c r="AG78" s="1527"/>
      <c r="AH78" s="1528">
        <v>0.04</v>
      </c>
      <c r="AI78" s="1529" t="s">
        <v>1900</v>
      </c>
      <c r="AJ78" s="1528">
        <v>1.2999999999999999E-2</v>
      </c>
      <c r="AK78" s="1529" t="s">
        <v>1900</v>
      </c>
      <c r="AL78" s="1529" t="s">
        <v>1127</v>
      </c>
      <c r="AM78" s="1527"/>
      <c r="AN78" s="1530">
        <v>1</v>
      </c>
      <c r="AO78" s="1530" t="s">
        <v>635</v>
      </c>
      <c r="AP78" s="1532" t="s">
        <v>635</v>
      </c>
    </row>
    <row r="79" spans="1:42" ht="30">
      <c r="A79" s="1481" t="s">
        <v>2033</v>
      </c>
      <c r="B79" s="1482" t="s">
        <v>2034</v>
      </c>
      <c r="C79" s="1483">
        <v>79.900000000000006</v>
      </c>
      <c r="D79" s="1484" t="s">
        <v>1199</v>
      </c>
      <c r="E79" s="1485" t="s">
        <v>635</v>
      </c>
      <c r="F79" s="1485" t="s">
        <v>635</v>
      </c>
      <c r="G79" s="1536"/>
      <c r="H79" s="1485" t="s">
        <v>635</v>
      </c>
      <c r="I79" s="1536"/>
      <c r="J79" s="1487" t="s">
        <v>635</v>
      </c>
      <c r="K79" s="1542"/>
      <c r="L79" s="1489" t="s">
        <v>635</v>
      </c>
      <c r="M79" s="1533"/>
      <c r="N79" s="1491">
        <v>0.10242101641484</v>
      </c>
      <c r="O79" s="1491">
        <v>1.1967087180000001E-5</v>
      </c>
      <c r="P79" s="1492" t="s">
        <v>1885</v>
      </c>
      <c r="Q79" s="1493">
        <v>7.5</v>
      </c>
      <c r="R79" s="1493" t="s">
        <v>1930</v>
      </c>
      <c r="S79" s="1493" t="s">
        <v>635</v>
      </c>
      <c r="T79" s="1494"/>
      <c r="U79" s="1493" t="s">
        <v>635</v>
      </c>
      <c r="V79" s="1481"/>
      <c r="W79" s="1496" t="s">
        <v>635</v>
      </c>
      <c r="X79" s="1537"/>
      <c r="Y79" s="1498">
        <v>3.4379538430899998E-3</v>
      </c>
      <c r="Z79" s="1498">
        <v>0.29463799440050997</v>
      </c>
      <c r="AA79" s="1498">
        <v>0.70713118656122997</v>
      </c>
      <c r="AB79" s="1498">
        <v>1E-3</v>
      </c>
      <c r="AC79" s="1499" t="s">
        <v>1203</v>
      </c>
      <c r="AD79" s="1500">
        <v>0.7</v>
      </c>
      <c r="AE79" s="1503" t="s">
        <v>1119</v>
      </c>
      <c r="AF79" s="1502">
        <v>1.3999999999999999E-4</v>
      </c>
      <c r="AG79" s="1503" t="s">
        <v>1900</v>
      </c>
      <c r="AH79" s="1502">
        <v>4.0000000000000001E-3</v>
      </c>
      <c r="AI79" s="1503" t="s">
        <v>1119</v>
      </c>
      <c r="AJ79" s="1502" t="s">
        <v>635</v>
      </c>
      <c r="AK79" s="1501"/>
      <c r="AL79" s="1501"/>
      <c r="AM79" s="1501"/>
      <c r="AN79" s="1504">
        <v>1</v>
      </c>
      <c r="AO79" s="1504" t="s">
        <v>635</v>
      </c>
      <c r="AP79" s="1506" t="s">
        <v>635</v>
      </c>
    </row>
    <row r="80" spans="1:42" ht="30">
      <c r="A80" s="1481" t="s">
        <v>2035</v>
      </c>
      <c r="B80" s="1482" t="s">
        <v>2036</v>
      </c>
      <c r="C80" s="1483">
        <v>143.41</v>
      </c>
      <c r="D80" s="1484" t="s">
        <v>1883</v>
      </c>
      <c r="E80" s="1485">
        <v>3.7162714636140001E-2</v>
      </c>
      <c r="F80" s="1485">
        <v>9.0899999999999998E-4</v>
      </c>
      <c r="G80" s="1486" t="s">
        <v>1883</v>
      </c>
      <c r="H80" s="1485">
        <v>33.1</v>
      </c>
      <c r="I80" s="1486" t="s">
        <v>1883</v>
      </c>
      <c r="J80" s="1487">
        <v>-16.7</v>
      </c>
      <c r="K80" s="1488" t="s">
        <v>1883</v>
      </c>
      <c r="L80" s="1489">
        <v>1.7392000000000001</v>
      </c>
      <c r="M80" s="1490" t="s">
        <v>1884</v>
      </c>
      <c r="N80" s="1491">
        <v>6.5924814385369998E-2</v>
      </c>
      <c r="O80" s="1491">
        <v>1.07531035E-5</v>
      </c>
      <c r="P80" s="1492" t="s">
        <v>1885</v>
      </c>
      <c r="Q80" s="1493" t="s">
        <v>635</v>
      </c>
      <c r="R80" s="1494"/>
      <c r="S80" s="1493">
        <v>39.6</v>
      </c>
      <c r="T80" s="1493" t="s">
        <v>1199</v>
      </c>
      <c r="U80" s="1493">
        <v>1.92</v>
      </c>
      <c r="V80" s="1495" t="s">
        <v>1883</v>
      </c>
      <c r="W80" s="1496">
        <v>6900</v>
      </c>
      <c r="X80" s="1497" t="s">
        <v>1883</v>
      </c>
      <c r="Y80" s="1498">
        <v>2.1371467790089999E-2</v>
      </c>
      <c r="Z80" s="1498">
        <v>0.66825889712595998</v>
      </c>
      <c r="AA80" s="1498">
        <v>1.60382135310229</v>
      </c>
      <c r="AB80" s="1498">
        <v>4.64E-3</v>
      </c>
      <c r="AC80" s="1499" t="s">
        <v>1199</v>
      </c>
      <c r="AD80" s="1500" t="s">
        <v>635</v>
      </c>
      <c r="AE80" s="1501"/>
      <c r="AF80" s="1502" t="s">
        <v>635</v>
      </c>
      <c r="AG80" s="1501"/>
      <c r="AH80" s="1502">
        <v>1E-4</v>
      </c>
      <c r="AI80" s="1503" t="s">
        <v>1893</v>
      </c>
      <c r="AJ80" s="1502">
        <v>6.0000000000000002E-5</v>
      </c>
      <c r="AK80" s="1503" t="s">
        <v>1893</v>
      </c>
      <c r="AL80" s="1503" t="s">
        <v>1127</v>
      </c>
      <c r="AM80" s="1501"/>
      <c r="AN80" s="1504">
        <v>1</v>
      </c>
      <c r="AO80" s="1504" t="s">
        <v>635</v>
      </c>
      <c r="AP80" s="1506">
        <v>2380</v>
      </c>
    </row>
    <row r="81" spans="1:42" ht="30">
      <c r="A81" s="1507" t="s">
        <v>2037</v>
      </c>
      <c r="B81" s="1508" t="s">
        <v>2038</v>
      </c>
      <c r="C81" s="1509">
        <v>175</v>
      </c>
      <c r="D81" s="1510" t="s">
        <v>1883</v>
      </c>
      <c r="E81" s="1511">
        <v>0.10220768601799</v>
      </c>
      <c r="F81" s="1511">
        <v>2.5000000000000001E-3</v>
      </c>
      <c r="G81" s="1512" t="s">
        <v>1883</v>
      </c>
      <c r="H81" s="1511">
        <v>2.84</v>
      </c>
      <c r="I81" s="1512" t="s">
        <v>1883</v>
      </c>
      <c r="J81" s="1513">
        <v>-19.100000000000001</v>
      </c>
      <c r="K81" s="1514" t="s">
        <v>1199</v>
      </c>
      <c r="L81" s="1515">
        <v>1.7081</v>
      </c>
      <c r="M81" s="1516" t="s">
        <v>1884</v>
      </c>
      <c r="N81" s="1517">
        <v>4.6200727287979998E-2</v>
      </c>
      <c r="O81" s="1517">
        <v>9.4396723003100008E-6</v>
      </c>
      <c r="P81" s="1518" t="s">
        <v>1885</v>
      </c>
      <c r="Q81" s="1519" t="s">
        <v>635</v>
      </c>
      <c r="R81" s="1520"/>
      <c r="S81" s="1519">
        <v>375.3</v>
      </c>
      <c r="T81" s="1519" t="s">
        <v>1199</v>
      </c>
      <c r="U81" s="1519">
        <v>2.92</v>
      </c>
      <c r="V81" s="1521" t="s">
        <v>1883</v>
      </c>
      <c r="W81" s="1522">
        <v>378</v>
      </c>
      <c r="X81" s="1523" t="s">
        <v>1883</v>
      </c>
      <c r="Y81" s="1524">
        <v>7.2249362725229999E-2</v>
      </c>
      <c r="Z81" s="1524">
        <v>1.0042659767905999</v>
      </c>
      <c r="AA81" s="1524">
        <v>2.4102383442974298</v>
      </c>
      <c r="AB81" s="1524">
        <v>1.4200000000000001E-2</v>
      </c>
      <c r="AC81" s="1525" t="s">
        <v>1199</v>
      </c>
      <c r="AD81" s="1526" t="s">
        <v>635</v>
      </c>
      <c r="AE81" s="1527"/>
      <c r="AF81" s="1528" t="s">
        <v>635</v>
      </c>
      <c r="AG81" s="1527"/>
      <c r="AH81" s="1528">
        <v>2.9999999999999997E-4</v>
      </c>
      <c r="AI81" s="1529" t="s">
        <v>1893</v>
      </c>
      <c r="AJ81" s="1528" t="s">
        <v>635</v>
      </c>
      <c r="AK81" s="1527"/>
      <c r="AL81" s="1529" t="s">
        <v>1127</v>
      </c>
      <c r="AM81" s="1527"/>
      <c r="AN81" s="1530">
        <v>1</v>
      </c>
      <c r="AO81" s="1530" t="s">
        <v>635</v>
      </c>
      <c r="AP81" s="1532">
        <v>896</v>
      </c>
    </row>
    <row r="82" spans="1:42" ht="30">
      <c r="A82" s="1481" t="s">
        <v>2039</v>
      </c>
      <c r="B82" s="1482" t="s">
        <v>2040</v>
      </c>
      <c r="C82" s="1483">
        <v>175</v>
      </c>
      <c r="D82" s="1484" t="s">
        <v>1883</v>
      </c>
      <c r="E82" s="1485">
        <v>0.10220768601799</v>
      </c>
      <c r="F82" s="1485">
        <v>2.5000000000000001E-3</v>
      </c>
      <c r="G82" s="1486" t="s">
        <v>1883</v>
      </c>
      <c r="H82" s="1485">
        <v>2.84</v>
      </c>
      <c r="I82" s="1486" t="s">
        <v>1883</v>
      </c>
      <c r="J82" s="1487">
        <v>-17.399999999999999</v>
      </c>
      <c r="K82" s="1488" t="s">
        <v>1883</v>
      </c>
      <c r="L82" s="1489">
        <v>1.593</v>
      </c>
      <c r="M82" s="1490" t="s">
        <v>1884</v>
      </c>
      <c r="N82" s="1491">
        <v>4.4806895278579999E-2</v>
      </c>
      <c r="O82" s="1491">
        <v>9.0527058245700003E-6</v>
      </c>
      <c r="P82" s="1492" t="s">
        <v>1885</v>
      </c>
      <c r="Q82" s="1493" t="s">
        <v>635</v>
      </c>
      <c r="R82" s="1494"/>
      <c r="S82" s="1493">
        <v>375.3</v>
      </c>
      <c r="T82" s="1493" t="s">
        <v>1199</v>
      </c>
      <c r="U82" s="1493">
        <v>3.08</v>
      </c>
      <c r="V82" s="1495" t="s">
        <v>1883</v>
      </c>
      <c r="W82" s="1496">
        <v>136.4</v>
      </c>
      <c r="X82" s="1497" t="s">
        <v>1883</v>
      </c>
      <c r="Y82" s="1498">
        <v>9.2601295887260002E-2</v>
      </c>
      <c r="Z82" s="1498">
        <v>1.0042659767905999</v>
      </c>
      <c r="AA82" s="1498">
        <v>2.4102383442974298</v>
      </c>
      <c r="AB82" s="1498">
        <v>1.8200000000000001E-2</v>
      </c>
      <c r="AC82" s="1499" t="s">
        <v>1199</v>
      </c>
      <c r="AD82" s="1500" t="s">
        <v>635</v>
      </c>
      <c r="AE82" s="1501"/>
      <c r="AF82" s="1502" t="s">
        <v>635</v>
      </c>
      <c r="AG82" s="1501"/>
      <c r="AH82" s="1502">
        <v>2.9999999999999997E-4</v>
      </c>
      <c r="AI82" s="1503" t="s">
        <v>1893</v>
      </c>
      <c r="AJ82" s="1502" t="s">
        <v>635</v>
      </c>
      <c r="AK82" s="1501"/>
      <c r="AL82" s="1503" t="s">
        <v>1127</v>
      </c>
      <c r="AM82" s="1501"/>
      <c r="AN82" s="1504">
        <v>1</v>
      </c>
      <c r="AO82" s="1504" t="s">
        <v>635</v>
      </c>
      <c r="AP82" s="1506">
        <v>323</v>
      </c>
    </row>
    <row r="83" spans="1:42" ht="30">
      <c r="A83" s="1481" t="s">
        <v>2041</v>
      </c>
      <c r="B83" s="1482" t="s">
        <v>2042</v>
      </c>
      <c r="C83" s="1483">
        <v>138.94999999999999</v>
      </c>
      <c r="D83" s="1484" t="s">
        <v>1883</v>
      </c>
      <c r="E83" s="1485">
        <v>2.6655764513500001E-7</v>
      </c>
      <c r="F83" s="1485">
        <v>6.5199999999999998E-9</v>
      </c>
      <c r="G83" s="1486" t="s">
        <v>1883</v>
      </c>
      <c r="H83" s="1485">
        <v>0.11849999999999999</v>
      </c>
      <c r="I83" s="1486" t="s">
        <v>1883</v>
      </c>
      <c r="J83" s="1487">
        <v>50</v>
      </c>
      <c r="K83" s="1488" t="s">
        <v>1883</v>
      </c>
      <c r="L83" s="1489">
        <v>1.9335</v>
      </c>
      <c r="M83" s="1490" t="s">
        <v>1884</v>
      </c>
      <c r="N83" s="1491">
        <v>7.1976088238339994E-2</v>
      </c>
      <c r="O83" s="1491">
        <v>1.1677856840000001E-5</v>
      </c>
      <c r="P83" s="1492" t="s">
        <v>1885</v>
      </c>
      <c r="Q83" s="1493" t="s">
        <v>635</v>
      </c>
      <c r="R83" s="1494"/>
      <c r="S83" s="1493">
        <v>1.44</v>
      </c>
      <c r="T83" s="1493" t="s">
        <v>1199</v>
      </c>
      <c r="U83" s="1493">
        <v>0.41</v>
      </c>
      <c r="V83" s="1495" t="s">
        <v>1883</v>
      </c>
      <c r="W83" s="1496">
        <v>1750000</v>
      </c>
      <c r="X83" s="1497" t="s">
        <v>1883</v>
      </c>
      <c r="Y83" s="1498">
        <v>2.2079279072199998E-3</v>
      </c>
      <c r="Z83" s="1498">
        <v>0.63091194452577004</v>
      </c>
      <c r="AA83" s="1498">
        <v>1.5141886668618401</v>
      </c>
      <c r="AB83" s="1498">
        <v>4.8700000000000002E-4</v>
      </c>
      <c r="AC83" s="1499" t="s">
        <v>1199</v>
      </c>
      <c r="AD83" s="1500" t="s">
        <v>635</v>
      </c>
      <c r="AE83" s="1501"/>
      <c r="AF83" s="1502" t="s">
        <v>635</v>
      </c>
      <c r="AG83" s="1501"/>
      <c r="AH83" s="1502">
        <v>1.6999999999999999E-3</v>
      </c>
      <c r="AI83" s="1503" t="s">
        <v>1900</v>
      </c>
      <c r="AJ83" s="1502" t="s">
        <v>635</v>
      </c>
      <c r="AK83" s="1501"/>
      <c r="AL83" s="1501"/>
      <c r="AM83" s="1501"/>
      <c r="AN83" s="1504">
        <v>1</v>
      </c>
      <c r="AO83" s="1505">
        <v>0.1</v>
      </c>
      <c r="AP83" s="1506" t="s">
        <v>635</v>
      </c>
    </row>
    <row r="84" spans="1:42" ht="30">
      <c r="A84" s="1507" t="s">
        <v>2043</v>
      </c>
      <c r="B84" s="1508" t="s">
        <v>2044</v>
      </c>
      <c r="C84" s="1509">
        <v>157.01</v>
      </c>
      <c r="D84" s="1510" t="s">
        <v>1883</v>
      </c>
      <c r="E84" s="1511">
        <v>0.10098119378577</v>
      </c>
      <c r="F84" s="1511">
        <v>2.47E-3</v>
      </c>
      <c r="G84" s="1512" t="s">
        <v>1883</v>
      </c>
      <c r="H84" s="1511">
        <v>4.1820000000000004</v>
      </c>
      <c r="I84" s="1512" t="s">
        <v>1883</v>
      </c>
      <c r="J84" s="1513">
        <v>-30.6</v>
      </c>
      <c r="K84" s="1514" t="s">
        <v>1883</v>
      </c>
      <c r="L84" s="1515">
        <v>1.4950000000000001</v>
      </c>
      <c r="M84" s="1516" t="s">
        <v>1884</v>
      </c>
      <c r="N84" s="1517">
        <v>5.3713170025199999E-2</v>
      </c>
      <c r="O84" s="1517">
        <v>9.3003672675599996E-6</v>
      </c>
      <c r="P84" s="1518" t="s">
        <v>1885</v>
      </c>
      <c r="Q84" s="1519" t="s">
        <v>635</v>
      </c>
      <c r="R84" s="1520"/>
      <c r="S84" s="1519">
        <v>233.9</v>
      </c>
      <c r="T84" s="1519" t="s">
        <v>1199</v>
      </c>
      <c r="U84" s="1519">
        <v>2.99</v>
      </c>
      <c r="V84" s="1521" t="s">
        <v>1883</v>
      </c>
      <c r="W84" s="1522">
        <v>446</v>
      </c>
      <c r="X84" s="1523" t="s">
        <v>1883</v>
      </c>
      <c r="Y84" s="1524">
        <v>9.6387408640230002E-2</v>
      </c>
      <c r="Z84" s="1524">
        <v>0.79635140315644004</v>
      </c>
      <c r="AA84" s="1524">
        <v>1.9112433675754601</v>
      </c>
      <c r="AB84" s="1524">
        <v>0.02</v>
      </c>
      <c r="AC84" s="1525" t="s">
        <v>1199</v>
      </c>
      <c r="AD84" s="1526" t="s">
        <v>635</v>
      </c>
      <c r="AE84" s="1527"/>
      <c r="AF84" s="1528" t="s">
        <v>635</v>
      </c>
      <c r="AG84" s="1527"/>
      <c r="AH84" s="1528">
        <v>8.0000000000000002E-3</v>
      </c>
      <c r="AI84" s="1529" t="s">
        <v>1119</v>
      </c>
      <c r="AJ84" s="1528">
        <v>0.06</v>
      </c>
      <c r="AK84" s="1529" t="s">
        <v>1119</v>
      </c>
      <c r="AL84" s="1529" t="s">
        <v>1127</v>
      </c>
      <c r="AM84" s="1527"/>
      <c r="AN84" s="1530">
        <v>1</v>
      </c>
      <c r="AO84" s="1530" t="s">
        <v>635</v>
      </c>
      <c r="AP84" s="1532">
        <v>679</v>
      </c>
    </row>
    <row r="85" spans="1:42" ht="30">
      <c r="A85" s="1481" t="s">
        <v>2045</v>
      </c>
      <c r="B85" s="1482" t="s">
        <v>2046</v>
      </c>
      <c r="C85" s="1483">
        <v>129.38</v>
      </c>
      <c r="D85" s="1484" t="s">
        <v>1883</v>
      </c>
      <c r="E85" s="1485">
        <v>5.968928863451E-2</v>
      </c>
      <c r="F85" s="1485">
        <v>1.4599999999999999E-3</v>
      </c>
      <c r="G85" s="1486" t="s">
        <v>1199</v>
      </c>
      <c r="H85" s="1485">
        <v>142.5</v>
      </c>
      <c r="I85" s="1486" t="s">
        <v>1883</v>
      </c>
      <c r="J85" s="1487">
        <v>-87.9</v>
      </c>
      <c r="K85" s="1488" t="s">
        <v>1883</v>
      </c>
      <c r="L85" s="1489">
        <v>1.9343999999999999</v>
      </c>
      <c r="M85" s="1490" t="s">
        <v>1884</v>
      </c>
      <c r="N85" s="1491">
        <v>7.8691968046819993E-2</v>
      </c>
      <c r="O85" s="1491">
        <v>1.2192120700000001E-5</v>
      </c>
      <c r="P85" s="1492" t="s">
        <v>1885</v>
      </c>
      <c r="Q85" s="1493" t="s">
        <v>635</v>
      </c>
      <c r="R85" s="1494"/>
      <c r="S85" s="1493">
        <v>21.73</v>
      </c>
      <c r="T85" s="1493" t="s">
        <v>1199</v>
      </c>
      <c r="U85" s="1493">
        <v>1.41</v>
      </c>
      <c r="V85" s="1495" t="s">
        <v>1883</v>
      </c>
      <c r="W85" s="1496">
        <v>16700</v>
      </c>
      <c r="X85" s="1497" t="s">
        <v>1883</v>
      </c>
      <c r="Y85" s="1498">
        <v>1.115579193903E-2</v>
      </c>
      <c r="Z85" s="1498">
        <v>0.55766931619935001</v>
      </c>
      <c r="AA85" s="1498">
        <v>1.3384063588784401</v>
      </c>
      <c r="AB85" s="1498">
        <v>2.5500000000000002E-3</v>
      </c>
      <c r="AC85" s="1499" t="s">
        <v>1199</v>
      </c>
      <c r="AD85" s="1500" t="s">
        <v>635</v>
      </c>
      <c r="AE85" s="1501"/>
      <c r="AF85" s="1502" t="s">
        <v>635</v>
      </c>
      <c r="AG85" s="1501"/>
      <c r="AH85" s="1502" t="s">
        <v>635</v>
      </c>
      <c r="AI85" s="1501"/>
      <c r="AJ85" s="1502">
        <v>0.04</v>
      </c>
      <c r="AK85" s="1503" t="s">
        <v>1893</v>
      </c>
      <c r="AL85" s="1503" t="s">
        <v>1127</v>
      </c>
      <c r="AM85" s="1501"/>
      <c r="AN85" s="1504">
        <v>1</v>
      </c>
      <c r="AO85" s="1504" t="s">
        <v>635</v>
      </c>
      <c r="AP85" s="1506">
        <v>4040</v>
      </c>
    </row>
    <row r="86" spans="1:42" ht="30">
      <c r="A86" s="1481" t="s">
        <v>108</v>
      </c>
      <c r="B86" s="1482" t="s">
        <v>107</v>
      </c>
      <c r="C86" s="1483">
        <v>163.83000000000001</v>
      </c>
      <c r="D86" s="1484" t="s">
        <v>1883</v>
      </c>
      <c r="E86" s="1485">
        <v>8.6672117743249996E-2</v>
      </c>
      <c r="F86" s="1485">
        <v>2.1199999999999999E-3</v>
      </c>
      <c r="G86" s="1486" t="s">
        <v>1883</v>
      </c>
      <c r="H86" s="1485">
        <v>50</v>
      </c>
      <c r="I86" s="1486" t="s">
        <v>1883</v>
      </c>
      <c r="J86" s="1487">
        <v>-57</v>
      </c>
      <c r="K86" s="1488" t="s">
        <v>1883</v>
      </c>
      <c r="L86" s="1489">
        <v>1.98</v>
      </c>
      <c r="M86" s="1490" t="s">
        <v>1884</v>
      </c>
      <c r="N86" s="1491">
        <v>5.6262890151910001E-2</v>
      </c>
      <c r="O86" s="1491">
        <v>1.0730867369999999E-5</v>
      </c>
      <c r="P86" s="1492" t="s">
        <v>1885</v>
      </c>
      <c r="Q86" s="1493" t="s">
        <v>635</v>
      </c>
      <c r="R86" s="1494"/>
      <c r="S86" s="1493">
        <v>31.82</v>
      </c>
      <c r="T86" s="1493" t="s">
        <v>1199</v>
      </c>
      <c r="U86" s="1493">
        <v>2</v>
      </c>
      <c r="V86" s="1495" t="s">
        <v>1883</v>
      </c>
      <c r="W86" s="1496">
        <v>3032</v>
      </c>
      <c r="X86" s="1497" t="s">
        <v>1883</v>
      </c>
      <c r="Y86" s="1498">
        <v>1.9790165255210001E-2</v>
      </c>
      <c r="Z86" s="1498">
        <v>0.86955438523746997</v>
      </c>
      <c r="AA86" s="1498">
        <v>2.0869305245699201</v>
      </c>
      <c r="AB86" s="1498">
        <v>4.0200000000000001E-3</v>
      </c>
      <c r="AC86" s="1499" t="s">
        <v>1199</v>
      </c>
      <c r="AD86" s="1500">
        <v>6.2E-2</v>
      </c>
      <c r="AE86" s="1503" t="s">
        <v>1119</v>
      </c>
      <c r="AF86" s="1502">
        <v>3.6999999999999998E-5</v>
      </c>
      <c r="AG86" s="1503" t="s">
        <v>1900</v>
      </c>
      <c r="AH86" s="1502">
        <v>8.0000000000000002E-3</v>
      </c>
      <c r="AI86" s="1503" t="s">
        <v>1909</v>
      </c>
      <c r="AJ86" s="1502" t="s">
        <v>635</v>
      </c>
      <c r="AK86" s="1501"/>
      <c r="AL86" s="1503" t="s">
        <v>1127</v>
      </c>
      <c r="AM86" s="1501"/>
      <c r="AN86" s="1504">
        <v>1</v>
      </c>
      <c r="AO86" s="1504" t="s">
        <v>635</v>
      </c>
      <c r="AP86" s="1506">
        <v>932</v>
      </c>
    </row>
    <row r="87" spans="1:42" ht="30">
      <c r="A87" s="1507" t="s">
        <v>110</v>
      </c>
      <c r="B87" s="1508" t="s">
        <v>2047</v>
      </c>
      <c r="C87" s="1509">
        <v>252.73</v>
      </c>
      <c r="D87" s="1510" t="s">
        <v>1883</v>
      </c>
      <c r="E87" s="1511">
        <v>2.187244480785E-2</v>
      </c>
      <c r="F87" s="1511">
        <v>5.3499999999999999E-4</v>
      </c>
      <c r="G87" s="1512" t="s">
        <v>1883</v>
      </c>
      <c r="H87" s="1511">
        <v>5.4</v>
      </c>
      <c r="I87" s="1512" t="s">
        <v>1199</v>
      </c>
      <c r="J87" s="1513">
        <v>8</v>
      </c>
      <c r="K87" s="1514" t="s">
        <v>1883</v>
      </c>
      <c r="L87" s="1515">
        <v>2.8788</v>
      </c>
      <c r="M87" s="1516" t="s">
        <v>1884</v>
      </c>
      <c r="N87" s="1517">
        <v>3.5732406462540001E-2</v>
      </c>
      <c r="O87" s="1517">
        <v>1.035629921E-5</v>
      </c>
      <c r="P87" s="1518" t="s">
        <v>1885</v>
      </c>
      <c r="Q87" s="1519" t="s">
        <v>635</v>
      </c>
      <c r="R87" s="1520"/>
      <c r="S87" s="1519">
        <v>31.82</v>
      </c>
      <c r="T87" s="1519" t="s">
        <v>1199</v>
      </c>
      <c r="U87" s="1519">
        <v>2.4</v>
      </c>
      <c r="V87" s="1521" t="s">
        <v>1883</v>
      </c>
      <c r="W87" s="1522">
        <v>3100</v>
      </c>
      <c r="X87" s="1523" t="s">
        <v>1883</v>
      </c>
      <c r="Y87" s="1524">
        <v>1.4368879839439999E-2</v>
      </c>
      <c r="Z87" s="1524">
        <v>2.7361301368477902</v>
      </c>
      <c r="AA87" s="1524">
        <v>6.5667123284346998</v>
      </c>
      <c r="AB87" s="1524">
        <v>2.3500000000000001E-3</v>
      </c>
      <c r="AC87" s="1525" t="s">
        <v>1199</v>
      </c>
      <c r="AD87" s="1526">
        <v>7.9000000000000008E-3</v>
      </c>
      <c r="AE87" s="1529" t="s">
        <v>1119</v>
      </c>
      <c r="AF87" s="1528">
        <v>1.1000000000000001E-6</v>
      </c>
      <c r="AG87" s="1529" t="s">
        <v>1119</v>
      </c>
      <c r="AH87" s="1528">
        <v>0.02</v>
      </c>
      <c r="AI87" s="1529" t="s">
        <v>1119</v>
      </c>
      <c r="AJ87" s="1528" t="s">
        <v>635</v>
      </c>
      <c r="AK87" s="1527"/>
      <c r="AL87" s="1529" t="s">
        <v>1127</v>
      </c>
      <c r="AM87" s="1527"/>
      <c r="AN87" s="1530">
        <v>1</v>
      </c>
      <c r="AO87" s="1530" t="s">
        <v>635</v>
      </c>
      <c r="AP87" s="1532">
        <v>915</v>
      </c>
    </row>
    <row r="88" spans="1:42" ht="30">
      <c r="A88" s="1481" t="s">
        <v>112</v>
      </c>
      <c r="B88" s="1482" t="s">
        <v>111</v>
      </c>
      <c r="C88" s="1483">
        <v>94.938999999999993</v>
      </c>
      <c r="D88" s="1484" t="s">
        <v>1883</v>
      </c>
      <c r="E88" s="1485">
        <v>0.30008176614880999</v>
      </c>
      <c r="F88" s="1485">
        <v>7.3400000000000002E-3</v>
      </c>
      <c r="G88" s="1486" t="s">
        <v>1883</v>
      </c>
      <c r="H88" s="1485">
        <v>1616</v>
      </c>
      <c r="I88" s="1486" t="s">
        <v>1883</v>
      </c>
      <c r="J88" s="1487">
        <v>-93.7</v>
      </c>
      <c r="K88" s="1488" t="s">
        <v>1883</v>
      </c>
      <c r="L88" s="1489">
        <v>1.6755</v>
      </c>
      <c r="M88" s="1490" t="s">
        <v>1884</v>
      </c>
      <c r="N88" s="1491">
        <v>0.10049762980352001</v>
      </c>
      <c r="O88" s="1491">
        <v>1.3467644350000001E-5</v>
      </c>
      <c r="P88" s="1492" t="s">
        <v>1885</v>
      </c>
      <c r="Q88" s="1493" t="s">
        <v>635</v>
      </c>
      <c r="R88" s="1494"/>
      <c r="S88" s="1493">
        <v>13.22</v>
      </c>
      <c r="T88" s="1493" t="s">
        <v>1199</v>
      </c>
      <c r="U88" s="1493">
        <v>1.19</v>
      </c>
      <c r="V88" s="1495" t="s">
        <v>1883</v>
      </c>
      <c r="W88" s="1496">
        <v>15200</v>
      </c>
      <c r="X88" s="1497" t="s">
        <v>1883</v>
      </c>
      <c r="Y88" s="1498">
        <v>1.0643079802969999E-2</v>
      </c>
      <c r="Z88" s="1498">
        <v>0.35769028904016997</v>
      </c>
      <c r="AA88" s="1498">
        <v>0.85845669369641997</v>
      </c>
      <c r="AB88" s="1498">
        <v>2.8400000000000001E-3</v>
      </c>
      <c r="AC88" s="1499" t="s">
        <v>1199</v>
      </c>
      <c r="AD88" s="1500" t="s">
        <v>635</v>
      </c>
      <c r="AE88" s="1501"/>
      <c r="AF88" s="1502" t="s">
        <v>635</v>
      </c>
      <c r="AG88" s="1501"/>
      <c r="AH88" s="1502">
        <v>1.4E-3</v>
      </c>
      <c r="AI88" s="1503" t="s">
        <v>1119</v>
      </c>
      <c r="AJ88" s="1502">
        <v>5.0000000000000001E-3</v>
      </c>
      <c r="AK88" s="1503" t="s">
        <v>1119</v>
      </c>
      <c r="AL88" s="1503" t="s">
        <v>1127</v>
      </c>
      <c r="AM88" s="1501"/>
      <c r="AN88" s="1504">
        <v>1</v>
      </c>
      <c r="AO88" s="1504" t="s">
        <v>635</v>
      </c>
      <c r="AP88" s="1506">
        <v>3590</v>
      </c>
    </row>
    <row r="89" spans="1:42" ht="30">
      <c r="A89" s="1481" t="s">
        <v>2048</v>
      </c>
      <c r="B89" s="1482" t="s">
        <v>2049</v>
      </c>
      <c r="C89" s="1483">
        <v>366</v>
      </c>
      <c r="D89" s="1484" t="s">
        <v>1883</v>
      </c>
      <c r="E89" s="1485">
        <v>8.3810302534800003E-3</v>
      </c>
      <c r="F89" s="1485">
        <v>2.05E-4</v>
      </c>
      <c r="G89" s="1486" t="s">
        <v>1199</v>
      </c>
      <c r="H89" s="1485">
        <v>1.2750000000000001E-4</v>
      </c>
      <c r="I89" s="1486" t="s">
        <v>1883</v>
      </c>
      <c r="J89" s="1487">
        <v>53.5</v>
      </c>
      <c r="K89" s="1488" t="s">
        <v>1883</v>
      </c>
      <c r="L89" s="1489">
        <v>1.704</v>
      </c>
      <c r="M89" s="1490" t="s">
        <v>2050</v>
      </c>
      <c r="N89" s="1491">
        <v>2.3467555135719999E-2</v>
      </c>
      <c r="O89" s="1491">
        <v>6.0543130687000001E-6</v>
      </c>
      <c r="P89" s="1492" t="s">
        <v>1885</v>
      </c>
      <c r="Q89" s="1493" t="s">
        <v>635</v>
      </c>
      <c r="R89" s="1494"/>
      <c r="S89" s="1493">
        <v>2019</v>
      </c>
      <c r="T89" s="1493" t="s">
        <v>1199</v>
      </c>
      <c r="U89" s="1493">
        <v>5.21</v>
      </c>
      <c r="V89" s="1495" t="s">
        <v>1883</v>
      </c>
      <c r="W89" s="1496">
        <v>0.3</v>
      </c>
      <c r="X89" s="1497" t="s">
        <v>1883</v>
      </c>
      <c r="Y89" s="1498">
        <v>0.29506083516742998</v>
      </c>
      <c r="Z89" s="1498">
        <v>11.788234040076301</v>
      </c>
      <c r="AA89" s="1498">
        <v>28.291761696182999</v>
      </c>
      <c r="AB89" s="1498">
        <v>4.0099999999999997E-2</v>
      </c>
      <c r="AC89" s="1499" t="s">
        <v>1199</v>
      </c>
      <c r="AD89" s="1500" t="s">
        <v>635</v>
      </c>
      <c r="AE89" s="1501"/>
      <c r="AF89" s="1502" t="s">
        <v>635</v>
      </c>
      <c r="AG89" s="1501"/>
      <c r="AH89" s="1502">
        <v>5.0000000000000001E-3</v>
      </c>
      <c r="AI89" s="1503" t="s">
        <v>1073</v>
      </c>
      <c r="AJ89" s="1502" t="s">
        <v>635</v>
      </c>
      <c r="AK89" s="1501"/>
      <c r="AL89" s="1503" t="s">
        <v>1127</v>
      </c>
      <c r="AM89" s="1501"/>
      <c r="AN89" s="1504">
        <v>1</v>
      </c>
      <c r="AO89" s="1504" t="s">
        <v>635</v>
      </c>
      <c r="AP89" s="1506" t="s">
        <v>635</v>
      </c>
    </row>
    <row r="90" spans="1:42" ht="30">
      <c r="A90" s="1507" t="s">
        <v>2051</v>
      </c>
      <c r="B90" s="1508" t="s">
        <v>2052</v>
      </c>
      <c r="C90" s="1509">
        <v>122.99</v>
      </c>
      <c r="D90" s="1510" t="s">
        <v>1883</v>
      </c>
      <c r="E90" s="1511">
        <v>0.29926000000000003</v>
      </c>
      <c r="F90" s="1511">
        <v>7.3200000000000001E-3</v>
      </c>
      <c r="G90" s="1512" t="s">
        <v>1199</v>
      </c>
      <c r="H90" s="1511">
        <v>110.8</v>
      </c>
      <c r="I90" s="1512" t="s">
        <v>1883</v>
      </c>
      <c r="J90" s="1513">
        <v>-110</v>
      </c>
      <c r="K90" s="1514" t="s">
        <v>1883</v>
      </c>
      <c r="L90" s="1515">
        <v>1.3536999999999999</v>
      </c>
      <c r="M90" s="1516" t="s">
        <v>1884</v>
      </c>
      <c r="N90" s="1517">
        <v>7.1693389245210001E-2</v>
      </c>
      <c r="O90" s="1517">
        <v>1.0145263889999999E-5</v>
      </c>
      <c r="P90" s="1518" t="s">
        <v>1885</v>
      </c>
      <c r="Q90" s="1519" t="s">
        <v>635</v>
      </c>
      <c r="R90" s="1520"/>
      <c r="S90" s="1519">
        <v>39.6</v>
      </c>
      <c r="T90" s="1519" t="s">
        <v>1199</v>
      </c>
      <c r="U90" s="1519">
        <v>2.1</v>
      </c>
      <c r="V90" s="1521" t="s">
        <v>1883</v>
      </c>
      <c r="W90" s="1522">
        <v>2450</v>
      </c>
      <c r="X90" s="1523" t="s">
        <v>1883</v>
      </c>
      <c r="Y90" s="1524">
        <v>3.3910069621660002E-2</v>
      </c>
      <c r="Z90" s="1524">
        <v>0.51356184405423</v>
      </c>
      <c r="AA90" s="1524">
        <v>1.23254842573016</v>
      </c>
      <c r="AB90" s="1524">
        <v>7.9500000000000005E-3</v>
      </c>
      <c r="AC90" s="1525" t="s">
        <v>1199</v>
      </c>
      <c r="AD90" s="1526" t="s">
        <v>635</v>
      </c>
      <c r="AE90" s="1527"/>
      <c r="AF90" s="1528">
        <v>3.7000000000000002E-6</v>
      </c>
      <c r="AG90" s="1529" t="s">
        <v>1900</v>
      </c>
      <c r="AH90" s="1528" t="s">
        <v>635</v>
      </c>
      <c r="AI90" s="1527"/>
      <c r="AJ90" s="1528">
        <v>0.1</v>
      </c>
      <c r="AK90" s="1529" t="s">
        <v>1960</v>
      </c>
      <c r="AL90" s="1529" t="s">
        <v>1127</v>
      </c>
      <c r="AM90" s="1527"/>
      <c r="AN90" s="1530">
        <v>1</v>
      </c>
      <c r="AO90" s="1530" t="s">
        <v>635</v>
      </c>
      <c r="AP90" s="1532">
        <v>966</v>
      </c>
    </row>
    <row r="91" spans="1:42" ht="30">
      <c r="A91" s="1481" t="s">
        <v>2053</v>
      </c>
      <c r="B91" s="1482" t="s">
        <v>2054</v>
      </c>
      <c r="C91" s="1483">
        <v>276.92</v>
      </c>
      <c r="D91" s="1484" t="s">
        <v>1883</v>
      </c>
      <c r="E91" s="1485">
        <v>5.3965658217500004E-9</v>
      </c>
      <c r="F91" s="1485">
        <v>1.3200000000000001E-10</v>
      </c>
      <c r="G91" s="1486" t="s">
        <v>1199</v>
      </c>
      <c r="H91" s="1485">
        <v>4.7199999999999999E-8</v>
      </c>
      <c r="I91" s="1486" t="s">
        <v>1883</v>
      </c>
      <c r="J91" s="1487">
        <v>190</v>
      </c>
      <c r="K91" s="1488" t="s">
        <v>1883</v>
      </c>
      <c r="L91" s="1489" t="s">
        <v>635</v>
      </c>
      <c r="M91" s="1533"/>
      <c r="N91" s="1491">
        <v>4.4721605436620002E-2</v>
      </c>
      <c r="O91" s="1491">
        <v>5.22536652996E-6</v>
      </c>
      <c r="P91" s="1492" t="s">
        <v>1885</v>
      </c>
      <c r="Q91" s="1493" t="s">
        <v>635</v>
      </c>
      <c r="R91" s="1494"/>
      <c r="S91" s="1493">
        <v>330.1</v>
      </c>
      <c r="T91" s="1493" t="s">
        <v>1199</v>
      </c>
      <c r="U91" s="1493">
        <v>2.8</v>
      </c>
      <c r="V91" s="1495" t="s">
        <v>1883</v>
      </c>
      <c r="W91" s="1496">
        <v>130</v>
      </c>
      <c r="X91" s="1497" t="s">
        <v>1883</v>
      </c>
      <c r="Y91" s="1498">
        <v>5.0114750849049997E-2</v>
      </c>
      <c r="Z91" s="1498">
        <v>3.7376682345927601</v>
      </c>
      <c r="AA91" s="1498">
        <v>8.9704037630226292</v>
      </c>
      <c r="AB91" s="1498">
        <v>7.8300000000000002E-3</v>
      </c>
      <c r="AC91" s="1499" t="s">
        <v>1199</v>
      </c>
      <c r="AD91" s="1500">
        <v>0.10299999999999999</v>
      </c>
      <c r="AE91" s="1503" t="s">
        <v>1116</v>
      </c>
      <c r="AF91" s="1502" t="s">
        <v>635</v>
      </c>
      <c r="AG91" s="1501"/>
      <c r="AH91" s="1502">
        <v>1.4999999999999999E-2</v>
      </c>
      <c r="AI91" s="1503" t="s">
        <v>1116</v>
      </c>
      <c r="AJ91" s="1502" t="s">
        <v>635</v>
      </c>
      <c r="AK91" s="1501"/>
      <c r="AL91" s="1501"/>
      <c r="AM91" s="1501"/>
      <c r="AN91" s="1504">
        <v>1</v>
      </c>
      <c r="AO91" s="1505">
        <v>0.1</v>
      </c>
      <c r="AP91" s="1506" t="s">
        <v>635</v>
      </c>
    </row>
    <row r="92" spans="1:42" ht="30">
      <c r="A92" s="1481" t="s">
        <v>2055</v>
      </c>
      <c r="B92" s="1482" t="s">
        <v>2056</v>
      </c>
      <c r="C92" s="1483">
        <v>403.12</v>
      </c>
      <c r="D92" s="1484" t="s">
        <v>1883</v>
      </c>
      <c r="E92" s="1485">
        <v>1.3041700735900001E-3</v>
      </c>
      <c r="F92" s="1485">
        <v>3.1900000000000003E-5</v>
      </c>
      <c r="G92" s="1486" t="s">
        <v>1199</v>
      </c>
      <c r="H92" s="1485">
        <v>4.7999999999999998E-6</v>
      </c>
      <c r="I92" s="1486" t="s">
        <v>1883</v>
      </c>
      <c r="J92" s="1487">
        <v>45.5</v>
      </c>
      <c r="K92" s="1488" t="s">
        <v>1883</v>
      </c>
      <c r="L92" s="1489">
        <v>1.54</v>
      </c>
      <c r="M92" s="1490" t="s">
        <v>2050</v>
      </c>
      <c r="N92" s="1491">
        <v>2.1280103708130001E-2</v>
      </c>
      <c r="O92" s="1491">
        <v>5.37679646486E-6</v>
      </c>
      <c r="P92" s="1492" t="s">
        <v>1885</v>
      </c>
      <c r="Q92" s="1493" t="s">
        <v>635</v>
      </c>
      <c r="R92" s="1494"/>
      <c r="S92" s="1493">
        <v>4252</v>
      </c>
      <c r="T92" s="1493" t="s">
        <v>1199</v>
      </c>
      <c r="U92" s="1493">
        <v>5.4</v>
      </c>
      <c r="V92" s="1495" t="s">
        <v>1883</v>
      </c>
      <c r="W92" s="1496">
        <v>0.08</v>
      </c>
      <c r="X92" s="1497" t="s">
        <v>1883</v>
      </c>
      <c r="Y92" s="1498">
        <v>0.25637868072247</v>
      </c>
      <c r="Z92" s="1498">
        <v>19.024828461420199</v>
      </c>
      <c r="AA92" s="1498">
        <v>45.659588307408498</v>
      </c>
      <c r="AB92" s="1498">
        <v>3.32E-2</v>
      </c>
      <c r="AC92" s="1499" t="s">
        <v>1199</v>
      </c>
      <c r="AD92" s="1500">
        <v>0.10299999999999999</v>
      </c>
      <c r="AE92" s="1503" t="s">
        <v>1116</v>
      </c>
      <c r="AF92" s="1502" t="s">
        <v>635</v>
      </c>
      <c r="AG92" s="1501"/>
      <c r="AH92" s="1502">
        <v>1.4999999999999999E-2</v>
      </c>
      <c r="AI92" s="1503" t="s">
        <v>1116</v>
      </c>
      <c r="AJ92" s="1502" t="s">
        <v>635</v>
      </c>
      <c r="AK92" s="1501"/>
      <c r="AL92" s="1503" t="s">
        <v>1127</v>
      </c>
      <c r="AM92" s="1501"/>
      <c r="AN92" s="1504">
        <v>1</v>
      </c>
      <c r="AO92" s="1504" t="s">
        <v>635</v>
      </c>
      <c r="AP92" s="1506" t="s">
        <v>635</v>
      </c>
    </row>
    <row r="93" spans="1:42" ht="30">
      <c r="A93" s="1507" t="s">
        <v>2057</v>
      </c>
      <c r="B93" s="1508" t="s">
        <v>2058</v>
      </c>
      <c r="C93" s="1509">
        <v>54.091999999999999</v>
      </c>
      <c r="D93" s="1510" t="s">
        <v>1883</v>
      </c>
      <c r="E93" s="1511">
        <v>3.0089942763695801</v>
      </c>
      <c r="F93" s="1511">
        <v>7.3599999999999999E-2</v>
      </c>
      <c r="G93" s="1512" t="s">
        <v>1199</v>
      </c>
      <c r="H93" s="1511">
        <v>2107</v>
      </c>
      <c r="I93" s="1512" t="s">
        <v>1883</v>
      </c>
      <c r="J93" s="1513">
        <v>-108.9</v>
      </c>
      <c r="K93" s="1514" t="s">
        <v>1883</v>
      </c>
      <c r="L93" s="1515">
        <v>0.6149</v>
      </c>
      <c r="M93" s="1516" t="s">
        <v>1884</v>
      </c>
      <c r="N93" s="1517">
        <v>0.10034881658179</v>
      </c>
      <c r="O93" s="1517">
        <v>1.03436697E-5</v>
      </c>
      <c r="P93" s="1518" t="s">
        <v>1885</v>
      </c>
      <c r="Q93" s="1519" t="s">
        <v>635</v>
      </c>
      <c r="R93" s="1520"/>
      <c r="S93" s="1519">
        <v>39.6</v>
      </c>
      <c r="T93" s="1519" t="s">
        <v>1199</v>
      </c>
      <c r="U93" s="1519">
        <v>1.99</v>
      </c>
      <c r="V93" s="1521" t="s">
        <v>1883</v>
      </c>
      <c r="W93" s="1522">
        <v>735</v>
      </c>
      <c r="X93" s="1523" t="s">
        <v>1883</v>
      </c>
      <c r="Y93" s="1524">
        <v>4.6391350958849997E-2</v>
      </c>
      <c r="Z93" s="1524">
        <v>0.21123406155204999</v>
      </c>
      <c r="AA93" s="1524">
        <v>0.50696174772490998</v>
      </c>
      <c r="AB93" s="1524">
        <v>1.6400000000000001E-2</v>
      </c>
      <c r="AC93" s="1525" t="s">
        <v>1199</v>
      </c>
      <c r="AD93" s="1526">
        <v>0.6</v>
      </c>
      <c r="AE93" s="1529" t="s">
        <v>1900</v>
      </c>
      <c r="AF93" s="1528">
        <v>3.0000000000000001E-5</v>
      </c>
      <c r="AG93" s="1529" t="s">
        <v>1119</v>
      </c>
      <c r="AH93" s="1528" t="s">
        <v>635</v>
      </c>
      <c r="AI93" s="1527"/>
      <c r="AJ93" s="1528">
        <v>2E-3</v>
      </c>
      <c r="AK93" s="1529" t="s">
        <v>1119</v>
      </c>
      <c r="AL93" s="1529" t="s">
        <v>1127</v>
      </c>
      <c r="AM93" s="1527"/>
      <c r="AN93" s="1530">
        <v>1</v>
      </c>
      <c r="AO93" s="1530" t="s">
        <v>635</v>
      </c>
      <c r="AP93" s="1532">
        <v>667</v>
      </c>
    </row>
    <row r="94" spans="1:42" ht="30">
      <c r="A94" s="1481" t="s">
        <v>2059</v>
      </c>
      <c r="B94" s="1482" t="s">
        <v>2060</v>
      </c>
      <c r="C94" s="1483">
        <v>74.123999999999995</v>
      </c>
      <c r="D94" s="1484" t="s">
        <v>1883</v>
      </c>
      <c r="E94" s="1485">
        <v>3.6017988552999999E-4</v>
      </c>
      <c r="F94" s="1485">
        <v>8.8100000000000004E-6</v>
      </c>
      <c r="G94" s="1486" t="s">
        <v>1883</v>
      </c>
      <c r="H94" s="1485">
        <v>6.7</v>
      </c>
      <c r="I94" s="1486" t="s">
        <v>1883</v>
      </c>
      <c r="J94" s="1487">
        <v>-89.8</v>
      </c>
      <c r="K94" s="1488" t="s">
        <v>1883</v>
      </c>
      <c r="L94" s="1489">
        <v>0.8095</v>
      </c>
      <c r="M94" s="1490" t="s">
        <v>1884</v>
      </c>
      <c r="N94" s="1491">
        <v>9.0038707026769998E-2</v>
      </c>
      <c r="O94" s="1491">
        <v>1.009779559E-5</v>
      </c>
      <c r="P94" s="1492" t="s">
        <v>1885</v>
      </c>
      <c r="Q94" s="1493" t="s">
        <v>635</v>
      </c>
      <c r="R94" s="1494"/>
      <c r="S94" s="1493">
        <v>3.4710000000000001</v>
      </c>
      <c r="T94" s="1493" t="s">
        <v>1199</v>
      </c>
      <c r="U94" s="1493">
        <v>0.88</v>
      </c>
      <c r="V94" s="1495" t="s">
        <v>1883</v>
      </c>
      <c r="W94" s="1496">
        <v>63200</v>
      </c>
      <c r="X94" s="1497" t="s">
        <v>1883</v>
      </c>
      <c r="Y94" s="1498">
        <v>7.6492359172899999E-3</v>
      </c>
      <c r="Z94" s="1498">
        <v>0.27349106952802998</v>
      </c>
      <c r="AA94" s="1498">
        <v>0.65637856686726004</v>
      </c>
      <c r="AB94" s="1498">
        <v>2.31E-3</v>
      </c>
      <c r="AC94" s="1499" t="s">
        <v>1199</v>
      </c>
      <c r="AD94" s="1500" t="s">
        <v>635</v>
      </c>
      <c r="AE94" s="1501"/>
      <c r="AF94" s="1502" t="s">
        <v>635</v>
      </c>
      <c r="AG94" s="1501"/>
      <c r="AH94" s="1502">
        <v>0.1</v>
      </c>
      <c r="AI94" s="1503" t="s">
        <v>1119</v>
      </c>
      <c r="AJ94" s="1502" t="s">
        <v>635</v>
      </c>
      <c r="AK94" s="1501"/>
      <c r="AL94" s="1503" t="s">
        <v>1127</v>
      </c>
      <c r="AM94" s="1501"/>
      <c r="AN94" s="1504">
        <v>1</v>
      </c>
      <c r="AO94" s="1504" t="s">
        <v>635</v>
      </c>
      <c r="AP94" s="1506">
        <v>7640</v>
      </c>
    </row>
    <row r="95" spans="1:42" ht="30">
      <c r="A95" s="1481" t="s">
        <v>312</v>
      </c>
      <c r="B95" s="1482" t="s">
        <v>2061</v>
      </c>
      <c r="C95" s="1483">
        <v>74.123999999999995</v>
      </c>
      <c r="D95" s="1484" t="s">
        <v>1883</v>
      </c>
      <c r="E95" s="1485">
        <v>3.6999182339000002E-4</v>
      </c>
      <c r="F95" s="1485">
        <v>9.0499999999999997E-6</v>
      </c>
      <c r="G95" s="1486" t="s">
        <v>1883</v>
      </c>
      <c r="H95" s="1485">
        <v>40.700000000000003</v>
      </c>
      <c r="I95" s="1486" t="s">
        <v>1883</v>
      </c>
      <c r="J95" s="1487">
        <v>25.4</v>
      </c>
      <c r="K95" s="1488" t="s">
        <v>1883</v>
      </c>
      <c r="L95" s="1489">
        <v>0.78869999999999996</v>
      </c>
      <c r="M95" s="1490" t="s">
        <v>1884</v>
      </c>
      <c r="N95" s="1491">
        <v>8.9030987241509998E-2</v>
      </c>
      <c r="O95" s="1491">
        <v>9.9413088784600001E-6</v>
      </c>
      <c r="P95" s="1492" t="s">
        <v>1885</v>
      </c>
      <c r="Q95" s="1493" t="s">
        <v>635</v>
      </c>
      <c r="R95" s="1494"/>
      <c r="S95" s="1493">
        <v>2.1110000000000002</v>
      </c>
      <c r="T95" s="1493" t="s">
        <v>1199</v>
      </c>
      <c r="U95" s="1493">
        <v>0.35</v>
      </c>
      <c r="V95" s="1495" t="s">
        <v>1883</v>
      </c>
      <c r="W95" s="1496">
        <v>1000000</v>
      </c>
      <c r="X95" s="1497" t="s">
        <v>1883</v>
      </c>
      <c r="Y95" s="1498">
        <v>3.4106982661499998E-3</v>
      </c>
      <c r="Z95" s="1498">
        <v>0.27349106952802998</v>
      </c>
      <c r="AA95" s="1498">
        <v>0.65637856686726004</v>
      </c>
      <c r="AB95" s="1498">
        <v>1.0300000000000001E-3</v>
      </c>
      <c r="AC95" s="1499" t="s">
        <v>1199</v>
      </c>
      <c r="AD95" s="1500">
        <v>5.0000000000000001E-4</v>
      </c>
      <c r="AE95" s="1503" t="s">
        <v>1119</v>
      </c>
      <c r="AF95" s="1502" t="s">
        <v>635</v>
      </c>
      <c r="AG95" s="1501"/>
      <c r="AH95" s="1502">
        <v>0.4</v>
      </c>
      <c r="AI95" s="1503" t="s">
        <v>1119</v>
      </c>
      <c r="AJ95" s="1502">
        <v>5</v>
      </c>
      <c r="AK95" s="1503" t="s">
        <v>1119</v>
      </c>
      <c r="AL95" s="1503" t="s">
        <v>1127</v>
      </c>
      <c r="AM95" s="1501"/>
      <c r="AN95" s="1504">
        <v>1</v>
      </c>
      <c r="AO95" s="1504" t="s">
        <v>635</v>
      </c>
      <c r="AP95" s="1506" t="s">
        <v>635</v>
      </c>
    </row>
    <row r="96" spans="1:42" ht="30">
      <c r="A96" s="1507" t="s">
        <v>2062</v>
      </c>
      <c r="B96" s="1508" t="s">
        <v>2063</v>
      </c>
      <c r="C96" s="1509">
        <v>74.123999999999995</v>
      </c>
      <c r="D96" s="1510" t="s">
        <v>1883</v>
      </c>
      <c r="E96" s="1511">
        <v>3.7040065413000001E-4</v>
      </c>
      <c r="F96" s="1511">
        <v>9.0599999999999997E-6</v>
      </c>
      <c r="G96" s="1512" t="s">
        <v>1883</v>
      </c>
      <c r="H96" s="1511">
        <v>18.329999999999998</v>
      </c>
      <c r="I96" s="1512" t="s">
        <v>1883</v>
      </c>
      <c r="J96" s="1513">
        <v>-114.7</v>
      </c>
      <c r="K96" s="1514" t="s">
        <v>1883</v>
      </c>
      <c r="L96" s="1515">
        <v>0.80630000000000002</v>
      </c>
      <c r="M96" s="1516" t="s">
        <v>1884</v>
      </c>
      <c r="N96" s="1517">
        <v>8.9884836284520001E-2</v>
      </c>
      <c r="O96" s="1517">
        <v>1.0073826320000001E-5</v>
      </c>
      <c r="P96" s="1518" t="s">
        <v>1885</v>
      </c>
      <c r="Q96" s="1519" t="s">
        <v>635</v>
      </c>
      <c r="R96" s="1520"/>
      <c r="S96" s="1519">
        <v>2.919</v>
      </c>
      <c r="T96" s="1519" t="s">
        <v>1199</v>
      </c>
      <c r="U96" s="1519">
        <v>0.61</v>
      </c>
      <c r="V96" s="1521" t="s">
        <v>1883</v>
      </c>
      <c r="W96" s="1522">
        <v>181000</v>
      </c>
      <c r="X96" s="1523" t="s">
        <v>1883</v>
      </c>
      <c r="Y96" s="1524">
        <v>5.0663770361300004E-3</v>
      </c>
      <c r="Z96" s="1524">
        <v>0.27349106952802998</v>
      </c>
      <c r="AA96" s="1524">
        <v>0.65637856686726004</v>
      </c>
      <c r="AB96" s="1524">
        <v>1.5299999999999999E-3</v>
      </c>
      <c r="AC96" s="1525" t="s">
        <v>1199</v>
      </c>
      <c r="AD96" s="1526" t="s">
        <v>635</v>
      </c>
      <c r="AE96" s="1527"/>
      <c r="AF96" s="1528" t="s">
        <v>635</v>
      </c>
      <c r="AG96" s="1527"/>
      <c r="AH96" s="1528">
        <v>2</v>
      </c>
      <c r="AI96" s="1529" t="s">
        <v>1909</v>
      </c>
      <c r="AJ96" s="1528">
        <v>30</v>
      </c>
      <c r="AK96" s="1529" t="s">
        <v>1909</v>
      </c>
      <c r="AL96" s="1529" t="s">
        <v>1127</v>
      </c>
      <c r="AM96" s="1527"/>
      <c r="AN96" s="1530">
        <v>1</v>
      </c>
      <c r="AO96" s="1530" t="s">
        <v>635</v>
      </c>
      <c r="AP96" s="1532">
        <v>21300</v>
      </c>
    </row>
    <row r="97" spans="1:42" ht="30">
      <c r="A97" s="1481" t="s">
        <v>2064</v>
      </c>
      <c r="B97" s="1482" t="s">
        <v>2065</v>
      </c>
      <c r="C97" s="1483">
        <v>217.38</v>
      </c>
      <c r="D97" s="1484" t="s">
        <v>1883</v>
      </c>
      <c r="E97" s="1485">
        <v>3.45461978741E-3</v>
      </c>
      <c r="F97" s="1485">
        <v>8.4499999999999994E-5</v>
      </c>
      <c r="G97" s="1486" t="s">
        <v>1199</v>
      </c>
      <c r="H97" s="1485">
        <v>1.2999999999999999E-2</v>
      </c>
      <c r="I97" s="1486" t="s">
        <v>1883</v>
      </c>
      <c r="J97" s="1487">
        <v>60.29</v>
      </c>
      <c r="K97" s="1488" t="s">
        <v>1199</v>
      </c>
      <c r="L97" s="1489">
        <v>0.94020000000000004</v>
      </c>
      <c r="M97" s="1490" t="s">
        <v>1884</v>
      </c>
      <c r="N97" s="1491">
        <v>2.3230610915349999E-2</v>
      </c>
      <c r="O97" s="1491">
        <v>5.7925817149200004E-6</v>
      </c>
      <c r="P97" s="1492" t="s">
        <v>1885</v>
      </c>
      <c r="Q97" s="1493" t="s">
        <v>635</v>
      </c>
      <c r="R97" s="1494"/>
      <c r="S97" s="1493">
        <v>385.7</v>
      </c>
      <c r="T97" s="1493" t="s">
        <v>1199</v>
      </c>
      <c r="U97" s="1493">
        <v>4.1500000000000004</v>
      </c>
      <c r="V97" s="1495" t="s">
        <v>1883</v>
      </c>
      <c r="W97" s="1496">
        <v>45</v>
      </c>
      <c r="X97" s="1497" t="s">
        <v>1883</v>
      </c>
      <c r="Y97" s="1498">
        <v>0.30678470897801002</v>
      </c>
      <c r="Z97" s="1498">
        <v>1.73450976670165</v>
      </c>
      <c r="AA97" s="1498">
        <v>4.1628234400839697</v>
      </c>
      <c r="AB97" s="1498">
        <v>5.4100000000000002E-2</v>
      </c>
      <c r="AC97" s="1499" t="s">
        <v>1199</v>
      </c>
      <c r="AD97" s="1500" t="s">
        <v>635</v>
      </c>
      <c r="AE97" s="1501"/>
      <c r="AF97" s="1502" t="s">
        <v>635</v>
      </c>
      <c r="AG97" s="1501"/>
      <c r="AH97" s="1502">
        <v>0.05</v>
      </c>
      <c r="AI97" s="1503" t="s">
        <v>1119</v>
      </c>
      <c r="AJ97" s="1502" t="s">
        <v>635</v>
      </c>
      <c r="AK97" s="1501"/>
      <c r="AL97" s="1503" t="s">
        <v>1127</v>
      </c>
      <c r="AM97" s="1501"/>
      <c r="AN97" s="1504">
        <v>1</v>
      </c>
      <c r="AO97" s="1504" t="s">
        <v>635</v>
      </c>
      <c r="AP97" s="1506" t="s">
        <v>635</v>
      </c>
    </row>
    <row r="98" spans="1:42" ht="30">
      <c r="A98" s="1481" t="s">
        <v>2066</v>
      </c>
      <c r="B98" s="1482" t="s">
        <v>2067</v>
      </c>
      <c r="C98" s="1483">
        <v>360.5</v>
      </c>
      <c r="D98" s="1484" t="s">
        <v>1883</v>
      </c>
      <c r="E98" s="1485">
        <v>4.7833197059999999E-5</v>
      </c>
      <c r="F98" s="1485">
        <v>1.17E-6</v>
      </c>
      <c r="G98" s="1486" t="s">
        <v>1883</v>
      </c>
      <c r="H98" s="1485">
        <v>2.48E-3</v>
      </c>
      <c r="I98" s="1486" t="s">
        <v>1883</v>
      </c>
      <c r="J98" s="1487">
        <v>51</v>
      </c>
      <c r="K98" s="1488" t="s">
        <v>1883</v>
      </c>
      <c r="L98" s="1489" t="s">
        <v>635</v>
      </c>
      <c r="M98" s="1533"/>
      <c r="N98" s="1491">
        <v>3.7510261192190003E-2</v>
      </c>
      <c r="O98" s="1491">
        <v>4.3827778866699999E-6</v>
      </c>
      <c r="P98" s="1492" t="s">
        <v>1885</v>
      </c>
      <c r="Q98" s="1493" t="s">
        <v>635</v>
      </c>
      <c r="R98" s="1494"/>
      <c r="S98" s="1493">
        <v>840.7</v>
      </c>
      <c r="T98" s="1493" t="s">
        <v>1199</v>
      </c>
      <c r="U98" s="1493">
        <v>3.5</v>
      </c>
      <c r="V98" s="1495" t="s">
        <v>1883</v>
      </c>
      <c r="W98" s="1496">
        <v>212.8</v>
      </c>
      <c r="X98" s="1497" t="s">
        <v>1883</v>
      </c>
      <c r="Y98" s="1498">
        <v>0.23733546932558999</v>
      </c>
      <c r="Z98" s="1498">
        <v>10.981173405567899</v>
      </c>
      <c r="AA98" s="1498">
        <v>26.354816173362899</v>
      </c>
      <c r="AB98" s="1498">
        <v>3.2500000000000001E-2</v>
      </c>
      <c r="AC98" s="1499" t="s">
        <v>1199</v>
      </c>
      <c r="AD98" s="1500">
        <v>2.0000000000000001E-4</v>
      </c>
      <c r="AE98" s="1503" t="s">
        <v>1900</v>
      </c>
      <c r="AF98" s="1502">
        <v>5.7000000000000001E-8</v>
      </c>
      <c r="AG98" s="1503" t="s">
        <v>1900</v>
      </c>
      <c r="AH98" s="1502" t="s">
        <v>635</v>
      </c>
      <c r="AI98" s="1501"/>
      <c r="AJ98" s="1502" t="s">
        <v>635</v>
      </c>
      <c r="AK98" s="1501"/>
      <c r="AL98" s="1501"/>
      <c r="AM98" s="1501"/>
      <c r="AN98" s="1504">
        <v>1</v>
      </c>
      <c r="AO98" s="1505">
        <v>0.1</v>
      </c>
      <c r="AP98" s="1506" t="s">
        <v>635</v>
      </c>
    </row>
    <row r="99" spans="1:42" ht="30">
      <c r="A99" s="1507" t="s">
        <v>2068</v>
      </c>
      <c r="B99" s="1508" t="s">
        <v>2069</v>
      </c>
      <c r="C99" s="1509">
        <v>220.36</v>
      </c>
      <c r="D99" s="1510" t="s">
        <v>1883</v>
      </c>
      <c r="E99" s="1511">
        <v>1.6843826655999999E-4</v>
      </c>
      <c r="F99" s="1511">
        <v>4.1200000000000004E-6</v>
      </c>
      <c r="G99" s="1512" t="s">
        <v>1883</v>
      </c>
      <c r="H99" s="1511">
        <v>5.1599999999999997E-3</v>
      </c>
      <c r="I99" s="1512" t="s">
        <v>1199</v>
      </c>
      <c r="J99" s="1513">
        <v>71</v>
      </c>
      <c r="K99" s="1514" t="s">
        <v>1883</v>
      </c>
      <c r="L99" s="1515">
        <v>0.89370000000000005</v>
      </c>
      <c r="M99" s="1516" t="s">
        <v>1884</v>
      </c>
      <c r="N99" s="1517">
        <v>2.250943806699E-2</v>
      </c>
      <c r="O99" s="1517">
        <v>5.5732325909700002E-6</v>
      </c>
      <c r="P99" s="1518" t="s">
        <v>1885</v>
      </c>
      <c r="Q99" s="1519" t="s">
        <v>635</v>
      </c>
      <c r="R99" s="1520"/>
      <c r="S99" s="1519">
        <v>14750</v>
      </c>
      <c r="T99" s="1519" t="s">
        <v>1199</v>
      </c>
      <c r="U99" s="1519">
        <v>5.0999999999999996</v>
      </c>
      <c r="V99" s="1521" t="s">
        <v>1883</v>
      </c>
      <c r="W99" s="1522">
        <v>0.6</v>
      </c>
      <c r="X99" s="1523" t="s">
        <v>1883</v>
      </c>
      <c r="Y99" s="1524">
        <v>1.2732037143461601</v>
      </c>
      <c r="Z99" s="1524">
        <v>1.8024563225516299</v>
      </c>
      <c r="AA99" s="1524">
        <v>7.0634042185433801</v>
      </c>
      <c r="AB99" s="1524">
        <v>0.223</v>
      </c>
      <c r="AC99" s="1525" t="s">
        <v>1199</v>
      </c>
      <c r="AD99" s="1526">
        <v>3.5999999999999999E-3</v>
      </c>
      <c r="AE99" s="1529" t="s">
        <v>1909</v>
      </c>
      <c r="AF99" s="1528" t="s">
        <v>635</v>
      </c>
      <c r="AG99" s="1527"/>
      <c r="AH99" s="1528">
        <v>0.3</v>
      </c>
      <c r="AI99" s="1529" t="s">
        <v>1909</v>
      </c>
      <c r="AJ99" s="1528" t="s">
        <v>635</v>
      </c>
      <c r="AK99" s="1527"/>
      <c r="AL99" s="1527"/>
      <c r="AM99" s="1527"/>
      <c r="AN99" s="1530">
        <v>1</v>
      </c>
      <c r="AO99" s="1531">
        <v>0.1</v>
      </c>
      <c r="AP99" s="1532" t="s">
        <v>635</v>
      </c>
    </row>
    <row r="100" spans="1:42" ht="30">
      <c r="A100" s="1481" t="s">
        <v>2070</v>
      </c>
      <c r="B100" s="1482" t="s">
        <v>2071</v>
      </c>
      <c r="C100" s="1483">
        <v>134.22</v>
      </c>
      <c r="D100" s="1484" t="s">
        <v>1883</v>
      </c>
      <c r="E100" s="1485">
        <v>0.65004088307440999</v>
      </c>
      <c r="F100" s="1485">
        <v>1.5900000000000001E-2</v>
      </c>
      <c r="G100" s="1486" t="s">
        <v>1199</v>
      </c>
      <c r="H100" s="1485">
        <v>1.0641</v>
      </c>
      <c r="I100" s="1486" t="s">
        <v>1883</v>
      </c>
      <c r="J100" s="1487">
        <v>-87.9</v>
      </c>
      <c r="K100" s="1488" t="s">
        <v>1883</v>
      </c>
      <c r="L100" s="1489">
        <v>0.86009999999999998</v>
      </c>
      <c r="M100" s="1490" t="s">
        <v>1884</v>
      </c>
      <c r="N100" s="1491">
        <v>5.2773156878850001E-2</v>
      </c>
      <c r="O100" s="1491">
        <v>7.3334916102199999E-6</v>
      </c>
      <c r="P100" s="1492" t="s">
        <v>1885</v>
      </c>
      <c r="Q100" s="1493" t="s">
        <v>635</v>
      </c>
      <c r="R100" s="1494"/>
      <c r="S100" s="1493">
        <v>1482</v>
      </c>
      <c r="T100" s="1493" t="s">
        <v>1199</v>
      </c>
      <c r="U100" s="1493">
        <v>4.38</v>
      </c>
      <c r="V100" s="1495" t="s">
        <v>1883</v>
      </c>
      <c r="W100" s="1496">
        <v>11.8</v>
      </c>
      <c r="X100" s="1497" t="s">
        <v>1883</v>
      </c>
      <c r="Y100" s="1498">
        <v>1.0025771156280501</v>
      </c>
      <c r="Z100" s="1498">
        <v>0.59358203670076004</v>
      </c>
      <c r="AA100" s="1498">
        <v>2.2905998853724201</v>
      </c>
      <c r="AB100" s="1498">
        <v>0.22500000000000001</v>
      </c>
      <c r="AC100" s="1499" t="s">
        <v>1199</v>
      </c>
      <c r="AD100" s="1500" t="s">
        <v>635</v>
      </c>
      <c r="AE100" s="1501"/>
      <c r="AF100" s="1502" t="s">
        <v>635</v>
      </c>
      <c r="AG100" s="1501"/>
      <c r="AH100" s="1502">
        <v>0.05</v>
      </c>
      <c r="AI100" s="1503" t="s">
        <v>1909</v>
      </c>
      <c r="AJ100" s="1502" t="s">
        <v>635</v>
      </c>
      <c r="AK100" s="1501"/>
      <c r="AL100" s="1503" t="s">
        <v>1127</v>
      </c>
      <c r="AM100" s="1501"/>
      <c r="AN100" s="1504">
        <v>1</v>
      </c>
      <c r="AO100" s="1504" t="s">
        <v>635</v>
      </c>
      <c r="AP100" s="1506">
        <v>108</v>
      </c>
    </row>
    <row r="101" spans="1:42" ht="30">
      <c r="A101" s="1481" t="s">
        <v>2072</v>
      </c>
      <c r="B101" s="1482" t="s">
        <v>2073</v>
      </c>
      <c r="C101" s="1483">
        <v>134.22</v>
      </c>
      <c r="D101" s="1484" t="s">
        <v>1883</v>
      </c>
      <c r="E101" s="1485">
        <v>0.71954210956664</v>
      </c>
      <c r="F101" s="1485">
        <v>1.7600000000000001E-2</v>
      </c>
      <c r="G101" s="1486" t="s">
        <v>1199</v>
      </c>
      <c r="H101" s="1485">
        <v>1.752</v>
      </c>
      <c r="I101" s="1486" t="s">
        <v>1883</v>
      </c>
      <c r="J101" s="1487">
        <v>-82.7</v>
      </c>
      <c r="K101" s="1488" t="s">
        <v>1883</v>
      </c>
      <c r="L101" s="1489">
        <v>0.86080000000000001</v>
      </c>
      <c r="M101" s="1490" t="s">
        <v>1905</v>
      </c>
      <c r="N101" s="1491">
        <v>5.2792819505940003E-2</v>
      </c>
      <c r="O101" s="1491">
        <v>7.3370720837899998E-6</v>
      </c>
      <c r="P101" s="1492" t="s">
        <v>1885</v>
      </c>
      <c r="Q101" s="1493" t="s">
        <v>635</v>
      </c>
      <c r="R101" s="1494"/>
      <c r="S101" s="1493">
        <v>1331</v>
      </c>
      <c r="T101" s="1493" t="s">
        <v>1199</v>
      </c>
      <c r="U101" s="1493">
        <v>4.57</v>
      </c>
      <c r="V101" s="1495" t="s">
        <v>1883</v>
      </c>
      <c r="W101" s="1496">
        <v>17.600000000000001</v>
      </c>
      <c r="X101" s="1497" t="s">
        <v>1883</v>
      </c>
      <c r="Y101" s="1498">
        <v>1.3412253857957499</v>
      </c>
      <c r="Z101" s="1498">
        <v>0.59358203670076004</v>
      </c>
      <c r="AA101" s="1498">
        <v>2.3358545242380102</v>
      </c>
      <c r="AB101" s="1498">
        <v>0.30099999999999999</v>
      </c>
      <c r="AC101" s="1499" t="s">
        <v>1199</v>
      </c>
      <c r="AD101" s="1500" t="s">
        <v>635</v>
      </c>
      <c r="AE101" s="1501"/>
      <c r="AF101" s="1502" t="s">
        <v>635</v>
      </c>
      <c r="AG101" s="1501"/>
      <c r="AH101" s="1502">
        <v>0.1</v>
      </c>
      <c r="AI101" s="1503" t="s">
        <v>1893</v>
      </c>
      <c r="AJ101" s="1502" t="s">
        <v>635</v>
      </c>
      <c r="AK101" s="1501"/>
      <c r="AL101" s="1503" t="s">
        <v>1127</v>
      </c>
      <c r="AM101" s="1501"/>
      <c r="AN101" s="1504">
        <v>1</v>
      </c>
      <c r="AO101" s="1504" t="s">
        <v>635</v>
      </c>
      <c r="AP101" s="1506">
        <v>145</v>
      </c>
    </row>
    <row r="102" spans="1:42" ht="30">
      <c r="A102" s="1507" t="s">
        <v>2074</v>
      </c>
      <c r="B102" s="1508" t="s">
        <v>2075</v>
      </c>
      <c r="C102" s="1509">
        <v>134.22</v>
      </c>
      <c r="D102" s="1510" t="s">
        <v>1883</v>
      </c>
      <c r="E102" s="1511">
        <v>0.53965658217498003</v>
      </c>
      <c r="F102" s="1511">
        <v>1.32E-2</v>
      </c>
      <c r="G102" s="1512" t="s">
        <v>1199</v>
      </c>
      <c r="H102" s="1511">
        <v>2.2044000000000001</v>
      </c>
      <c r="I102" s="1512" t="s">
        <v>1883</v>
      </c>
      <c r="J102" s="1513">
        <v>-57.8</v>
      </c>
      <c r="K102" s="1514" t="s">
        <v>1883</v>
      </c>
      <c r="L102" s="1515">
        <v>0.86650000000000005</v>
      </c>
      <c r="M102" s="1516" t="s">
        <v>1884</v>
      </c>
      <c r="N102" s="1517">
        <v>5.2952546104589999E-2</v>
      </c>
      <c r="O102" s="1517">
        <v>7.3661841390799998E-6</v>
      </c>
      <c r="P102" s="1518" t="s">
        <v>1885</v>
      </c>
      <c r="Q102" s="1519" t="s">
        <v>635</v>
      </c>
      <c r="R102" s="1520"/>
      <c r="S102" s="1519">
        <v>1001</v>
      </c>
      <c r="T102" s="1519" t="s">
        <v>1199</v>
      </c>
      <c r="U102" s="1519">
        <v>4.1100000000000003</v>
      </c>
      <c r="V102" s="1521" t="s">
        <v>1883</v>
      </c>
      <c r="W102" s="1522">
        <v>29.5</v>
      </c>
      <c r="X102" s="1523" t="s">
        <v>1883</v>
      </c>
      <c r="Y102" s="1524">
        <v>0.66392884546035003</v>
      </c>
      <c r="Z102" s="1524">
        <v>0.59358203670076004</v>
      </c>
      <c r="AA102" s="1524">
        <v>2.3266564190159502</v>
      </c>
      <c r="AB102" s="1524">
        <v>0.14899999999999999</v>
      </c>
      <c r="AC102" s="1525" t="s">
        <v>1199</v>
      </c>
      <c r="AD102" s="1526" t="s">
        <v>635</v>
      </c>
      <c r="AE102" s="1527"/>
      <c r="AF102" s="1528" t="s">
        <v>635</v>
      </c>
      <c r="AG102" s="1527"/>
      <c r="AH102" s="1528">
        <v>0.1</v>
      </c>
      <c r="AI102" s="1529" t="s">
        <v>1893</v>
      </c>
      <c r="AJ102" s="1528" t="s">
        <v>635</v>
      </c>
      <c r="AK102" s="1527"/>
      <c r="AL102" s="1529" t="s">
        <v>1127</v>
      </c>
      <c r="AM102" s="1527"/>
      <c r="AN102" s="1530">
        <v>1</v>
      </c>
      <c r="AO102" s="1530" t="s">
        <v>635</v>
      </c>
      <c r="AP102" s="1532">
        <v>183</v>
      </c>
    </row>
    <row r="103" spans="1:42" ht="30">
      <c r="A103" s="1481" t="s">
        <v>2076</v>
      </c>
      <c r="B103" s="1482" t="s">
        <v>2077</v>
      </c>
      <c r="C103" s="1483">
        <v>138</v>
      </c>
      <c r="D103" s="1484" t="s">
        <v>1883</v>
      </c>
      <c r="E103" s="1485">
        <v>7.3589533933000004E-13</v>
      </c>
      <c r="F103" s="1485">
        <v>1.7999999999999999E-14</v>
      </c>
      <c r="G103" s="1486" t="s">
        <v>1883</v>
      </c>
      <c r="H103" s="1485">
        <v>9.9999999999999995E-8</v>
      </c>
      <c r="I103" s="1486" t="s">
        <v>1883</v>
      </c>
      <c r="J103" s="1487">
        <v>195</v>
      </c>
      <c r="K103" s="1488" t="s">
        <v>1883</v>
      </c>
      <c r="L103" s="1489" t="s">
        <v>635</v>
      </c>
      <c r="M103" s="1533"/>
      <c r="N103" s="1491">
        <v>7.1148794054279998E-2</v>
      </c>
      <c r="O103" s="1491">
        <v>8.3131748842400003E-6</v>
      </c>
      <c r="P103" s="1492" t="s">
        <v>1885</v>
      </c>
      <c r="Q103" s="1493" t="s">
        <v>635</v>
      </c>
      <c r="R103" s="1494"/>
      <c r="S103" s="1493">
        <v>43.89</v>
      </c>
      <c r="T103" s="1493" t="s">
        <v>1199</v>
      </c>
      <c r="U103" s="1493">
        <v>0.36</v>
      </c>
      <c r="V103" s="1495" t="s">
        <v>1883</v>
      </c>
      <c r="W103" s="1496">
        <v>2000000</v>
      </c>
      <c r="X103" s="1497" t="s">
        <v>1883</v>
      </c>
      <c r="Y103" s="1498">
        <v>2.07837556048E-3</v>
      </c>
      <c r="Z103" s="1498">
        <v>0.62323057273858995</v>
      </c>
      <c r="AA103" s="1498">
        <v>1.4957533745726099</v>
      </c>
      <c r="AB103" s="1498">
        <v>4.6000000000000001E-4</v>
      </c>
      <c r="AC103" s="1499" t="s">
        <v>1199</v>
      </c>
      <c r="AD103" s="1500" t="s">
        <v>635</v>
      </c>
      <c r="AE103" s="1501"/>
      <c r="AF103" s="1502" t="s">
        <v>635</v>
      </c>
      <c r="AG103" s="1501"/>
      <c r="AH103" s="1502">
        <v>0.02</v>
      </c>
      <c r="AI103" s="1503" t="s">
        <v>1960</v>
      </c>
      <c r="AJ103" s="1502" t="s">
        <v>635</v>
      </c>
      <c r="AK103" s="1501"/>
      <c r="AL103" s="1501"/>
      <c r="AM103" s="1501"/>
      <c r="AN103" s="1504">
        <v>1</v>
      </c>
      <c r="AO103" s="1505">
        <v>0.1</v>
      </c>
      <c r="AP103" s="1506" t="s">
        <v>635</v>
      </c>
    </row>
    <row r="104" spans="1:42" ht="30">
      <c r="A104" s="1481" t="s">
        <v>114</v>
      </c>
      <c r="B104" s="1482" t="s">
        <v>2078</v>
      </c>
      <c r="C104" s="1483">
        <v>112.4</v>
      </c>
      <c r="D104" s="1484" t="s">
        <v>1883</v>
      </c>
      <c r="E104" s="1485" t="s">
        <v>635</v>
      </c>
      <c r="F104" s="1485" t="s">
        <v>635</v>
      </c>
      <c r="G104" s="1536"/>
      <c r="H104" s="1485">
        <v>0</v>
      </c>
      <c r="I104" s="1486" t="s">
        <v>1929</v>
      </c>
      <c r="J104" s="1487">
        <v>321</v>
      </c>
      <c r="K104" s="1488" t="s">
        <v>1883</v>
      </c>
      <c r="L104" s="1489">
        <v>8.69</v>
      </c>
      <c r="M104" s="1490" t="s">
        <v>1884</v>
      </c>
      <c r="N104" s="1491">
        <v>0.15895116425483</v>
      </c>
      <c r="O104" s="1491">
        <v>3.2675621039999999E-5</v>
      </c>
      <c r="P104" s="1492" t="s">
        <v>1885</v>
      </c>
      <c r="Q104" s="1493">
        <v>75</v>
      </c>
      <c r="R104" s="1493" t="s">
        <v>1959</v>
      </c>
      <c r="S104" s="1493" t="s">
        <v>635</v>
      </c>
      <c r="T104" s="1494"/>
      <c r="U104" s="1493" t="s">
        <v>635</v>
      </c>
      <c r="V104" s="1481"/>
      <c r="W104" s="1496" t="s">
        <v>635</v>
      </c>
      <c r="X104" s="1537"/>
      <c r="Y104" s="1498">
        <v>4.0776487017499998E-3</v>
      </c>
      <c r="Z104" s="1498">
        <v>0.44801107455104</v>
      </c>
      <c r="AA104" s="1498">
        <v>1.07522657892249</v>
      </c>
      <c r="AB104" s="1498">
        <v>1E-3</v>
      </c>
      <c r="AC104" s="1499" t="s">
        <v>1203</v>
      </c>
      <c r="AD104" s="1500" t="s">
        <v>635</v>
      </c>
      <c r="AE104" s="1501"/>
      <c r="AF104" s="1502">
        <v>1.8E-3</v>
      </c>
      <c r="AG104" s="1503" t="s">
        <v>1119</v>
      </c>
      <c r="AH104" s="1502">
        <v>1E-4</v>
      </c>
      <c r="AI104" s="1503" t="s">
        <v>1960</v>
      </c>
      <c r="AJ104" s="1502">
        <v>1.0000000000000001E-5</v>
      </c>
      <c r="AK104" s="1503" t="s">
        <v>1960</v>
      </c>
      <c r="AL104" s="1501"/>
      <c r="AM104" s="1501"/>
      <c r="AN104" s="1545">
        <v>2.5000000000000001E-2</v>
      </c>
      <c r="AO104" s="1545">
        <v>1E-3</v>
      </c>
      <c r="AP104" s="1506" t="s">
        <v>635</v>
      </c>
    </row>
    <row r="105" spans="1:42" ht="30">
      <c r="A105" s="1507" t="s">
        <v>114</v>
      </c>
      <c r="B105" s="1508" t="s">
        <v>2079</v>
      </c>
      <c r="C105" s="1509">
        <v>112.4</v>
      </c>
      <c r="D105" s="1510" t="s">
        <v>1883</v>
      </c>
      <c r="E105" s="1511" t="s">
        <v>635</v>
      </c>
      <c r="F105" s="1511" t="s">
        <v>635</v>
      </c>
      <c r="G105" s="1534"/>
      <c r="H105" s="1511">
        <v>0</v>
      </c>
      <c r="I105" s="1512" t="s">
        <v>1929</v>
      </c>
      <c r="J105" s="1513">
        <v>321</v>
      </c>
      <c r="K105" s="1514" t="s">
        <v>1883</v>
      </c>
      <c r="L105" s="1515">
        <v>8.69</v>
      </c>
      <c r="M105" s="1516" t="s">
        <v>1884</v>
      </c>
      <c r="N105" s="1517">
        <v>0.15895116425483</v>
      </c>
      <c r="O105" s="1517">
        <v>3.2675621039999999E-5</v>
      </c>
      <c r="P105" s="1518" t="s">
        <v>1885</v>
      </c>
      <c r="Q105" s="1519">
        <v>75</v>
      </c>
      <c r="R105" s="1519" t="s">
        <v>1959</v>
      </c>
      <c r="S105" s="1519" t="s">
        <v>635</v>
      </c>
      <c r="T105" s="1520"/>
      <c r="U105" s="1519" t="s">
        <v>635</v>
      </c>
      <c r="V105" s="1507"/>
      <c r="W105" s="1522" t="s">
        <v>635</v>
      </c>
      <c r="X105" s="1535"/>
      <c r="Y105" s="1524">
        <v>4.0776487017499998E-3</v>
      </c>
      <c r="Z105" s="1524">
        <v>0.44801107455104</v>
      </c>
      <c r="AA105" s="1524">
        <v>1.07522657892249</v>
      </c>
      <c r="AB105" s="1524">
        <v>1E-3</v>
      </c>
      <c r="AC105" s="1525" t="s">
        <v>1203</v>
      </c>
      <c r="AD105" s="1526" t="s">
        <v>635</v>
      </c>
      <c r="AE105" s="1527"/>
      <c r="AF105" s="1528">
        <v>1.8E-3</v>
      </c>
      <c r="AG105" s="1529" t="s">
        <v>1119</v>
      </c>
      <c r="AH105" s="1528">
        <v>1E-4</v>
      </c>
      <c r="AI105" s="1529" t="s">
        <v>1960</v>
      </c>
      <c r="AJ105" s="1528">
        <v>1.0000000000000001E-5</v>
      </c>
      <c r="AK105" s="1529" t="s">
        <v>1960</v>
      </c>
      <c r="AL105" s="1527"/>
      <c r="AM105" s="1527"/>
      <c r="AN105" s="1541">
        <v>0.05</v>
      </c>
      <c r="AO105" s="1546">
        <v>1E-3</v>
      </c>
      <c r="AP105" s="1532" t="s">
        <v>635</v>
      </c>
    </row>
    <row r="106" spans="1:42" ht="30">
      <c r="A106" s="1481" t="s">
        <v>2080</v>
      </c>
      <c r="B106" s="1482" t="s">
        <v>2081</v>
      </c>
      <c r="C106" s="1483">
        <v>113.16</v>
      </c>
      <c r="D106" s="1484" t="s">
        <v>1883</v>
      </c>
      <c r="E106" s="1485">
        <v>1.0343417825000001E-6</v>
      </c>
      <c r="F106" s="1485">
        <v>2.5300000000000002E-8</v>
      </c>
      <c r="G106" s="1486" t="s">
        <v>1883</v>
      </c>
      <c r="H106" s="1485">
        <v>1.6000000000000001E-3</v>
      </c>
      <c r="I106" s="1486" t="s">
        <v>1199</v>
      </c>
      <c r="J106" s="1487">
        <v>69.3</v>
      </c>
      <c r="K106" s="1488" t="s">
        <v>1883</v>
      </c>
      <c r="L106" s="1489">
        <v>1.02</v>
      </c>
      <c r="M106" s="1490" t="s">
        <v>1905</v>
      </c>
      <c r="N106" s="1491">
        <v>6.9242219371059996E-2</v>
      </c>
      <c r="O106" s="1491">
        <v>8.9994529619099996E-6</v>
      </c>
      <c r="P106" s="1492" t="s">
        <v>1885</v>
      </c>
      <c r="Q106" s="1493" t="s">
        <v>635</v>
      </c>
      <c r="R106" s="1494"/>
      <c r="S106" s="1493">
        <v>24.5</v>
      </c>
      <c r="T106" s="1493" t="s">
        <v>1199</v>
      </c>
      <c r="U106" s="1493">
        <v>-0.19</v>
      </c>
      <c r="V106" s="1495" t="s">
        <v>2006</v>
      </c>
      <c r="W106" s="1496">
        <v>772000</v>
      </c>
      <c r="X106" s="1497" t="s">
        <v>1883</v>
      </c>
      <c r="Y106" s="1498">
        <v>4.0914111221499998E-3</v>
      </c>
      <c r="Z106" s="1498">
        <v>0.45242307751406002</v>
      </c>
      <c r="AA106" s="1498">
        <v>1.0858153860337501</v>
      </c>
      <c r="AB106" s="1498">
        <v>1E-3</v>
      </c>
      <c r="AC106" s="1499" t="s">
        <v>1199</v>
      </c>
      <c r="AD106" s="1500" t="s">
        <v>635</v>
      </c>
      <c r="AE106" s="1501"/>
      <c r="AF106" s="1502" t="s">
        <v>635</v>
      </c>
      <c r="AG106" s="1501"/>
      <c r="AH106" s="1502">
        <v>0.5</v>
      </c>
      <c r="AI106" s="1503" t="s">
        <v>1119</v>
      </c>
      <c r="AJ106" s="1502">
        <v>2.2000000000000001E-3</v>
      </c>
      <c r="AK106" s="1503" t="s">
        <v>1900</v>
      </c>
      <c r="AL106" s="1501"/>
      <c r="AM106" s="1501"/>
      <c r="AN106" s="1504">
        <v>1</v>
      </c>
      <c r="AO106" s="1505">
        <v>0.1</v>
      </c>
      <c r="AP106" s="1506" t="s">
        <v>635</v>
      </c>
    </row>
    <row r="107" spans="1:42" ht="30">
      <c r="A107" s="1481" t="s">
        <v>2082</v>
      </c>
      <c r="B107" s="1482" t="s">
        <v>2083</v>
      </c>
      <c r="C107" s="1483">
        <v>349.06</v>
      </c>
      <c r="D107" s="1484" t="s">
        <v>1883</v>
      </c>
      <c r="E107" s="1485">
        <v>2.01144726083E-7</v>
      </c>
      <c r="F107" s="1485">
        <v>4.9200000000000004E-9</v>
      </c>
      <c r="G107" s="1486" t="s">
        <v>1199</v>
      </c>
      <c r="H107" s="1485">
        <v>1.4999999999999999E-8</v>
      </c>
      <c r="I107" s="1486" t="s">
        <v>1199</v>
      </c>
      <c r="J107" s="1487">
        <v>160</v>
      </c>
      <c r="K107" s="1488" t="s">
        <v>1883</v>
      </c>
      <c r="L107" s="1489" t="s">
        <v>635</v>
      </c>
      <c r="M107" s="1533"/>
      <c r="N107" s="1491">
        <v>3.8325416043079999E-2</v>
      </c>
      <c r="O107" s="1491">
        <v>4.47802229556E-6</v>
      </c>
      <c r="P107" s="1492" t="s">
        <v>1885</v>
      </c>
      <c r="Q107" s="1493" t="s">
        <v>635</v>
      </c>
      <c r="R107" s="1494"/>
      <c r="S107" s="1493">
        <v>782.7</v>
      </c>
      <c r="T107" s="1493" t="s">
        <v>1199</v>
      </c>
      <c r="U107" s="1493">
        <v>3.8</v>
      </c>
      <c r="V107" s="1495" t="s">
        <v>1883</v>
      </c>
      <c r="W107" s="1496">
        <v>1.4</v>
      </c>
      <c r="X107" s="1497" t="s">
        <v>1883</v>
      </c>
      <c r="Y107" s="1498">
        <v>4.1462215767980003E-2</v>
      </c>
      <c r="Z107" s="1498">
        <v>9.4751206700426192</v>
      </c>
      <c r="AA107" s="1498">
        <v>22.740289608102302</v>
      </c>
      <c r="AB107" s="1498">
        <v>5.77E-3</v>
      </c>
      <c r="AC107" s="1499" t="s">
        <v>1199</v>
      </c>
      <c r="AD107" s="1500">
        <v>0.15</v>
      </c>
      <c r="AE107" s="1503" t="s">
        <v>1900</v>
      </c>
      <c r="AF107" s="1502">
        <v>4.3000000000000002E-5</v>
      </c>
      <c r="AG107" s="1503" t="s">
        <v>1900</v>
      </c>
      <c r="AH107" s="1502">
        <v>2E-3</v>
      </c>
      <c r="AI107" s="1503" t="s">
        <v>1119</v>
      </c>
      <c r="AJ107" s="1502" t="s">
        <v>635</v>
      </c>
      <c r="AK107" s="1501"/>
      <c r="AL107" s="1501"/>
      <c r="AM107" s="1501"/>
      <c r="AN107" s="1504">
        <v>1</v>
      </c>
      <c r="AO107" s="1505">
        <v>0.1</v>
      </c>
      <c r="AP107" s="1506" t="s">
        <v>635</v>
      </c>
    </row>
    <row r="108" spans="1:42" ht="30">
      <c r="A108" s="1507" t="s">
        <v>2084</v>
      </c>
      <c r="B108" s="1508" t="s">
        <v>2085</v>
      </c>
      <c r="C108" s="1509">
        <v>300.58999999999997</v>
      </c>
      <c r="D108" s="1510" t="s">
        <v>1883</v>
      </c>
      <c r="E108" s="1511">
        <v>2.8618152084999999E-7</v>
      </c>
      <c r="F108" s="1511">
        <v>6.9999999999999998E-9</v>
      </c>
      <c r="G108" s="1512" t="s">
        <v>1199</v>
      </c>
      <c r="H108" s="1511">
        <v>8.9999999999999999E-8</v>
      </c>
      <c r="I108" s="1512" t="s">
        <v>1883</v>
      </c>
      <c r="J108" s="1513">
        <v>178</v>
      </c>
      <c r="K108" s="1514" t="s">
        <v>1883</v>
      </c>
      <c r="L108" s="1515">
        <v>1.74</v>
      </c>
      <c r="M108" s="1516" t="s">
        <v>1884</v>
      </c>
      <c r="N108" s="1517">
        <v>2.6194058421619999E-2</v>
      </c>
      <c r="O108" s="1517">
        <v>6.8994838669799996E-6</v>
      </c>
      <c r="P108" s="1518" t="s">
        <v>1885</v>
      </c>
      <c r="Q108" s="1519" t="s">
        <v>635</v>
      </c>
      <c r="R108" s="1520"/>
      <c r="S108" s="1519">
        <v>252.2</v>
      </c>
      <c r="T108" s="1519" t="s">
        <v>1199</v>
      </c>
      <c r="U108" s="1519">
        <v>2.8</v>
      </c>
      <c r="V108" s="1521" t="s">
        <v>1883</v>
      </c>
      <c r="W108" s="1522">
        <v>5.0999999999999996</v>
      </c>
      <c r="X108" s="1523" t="s">
        <v>1883</v>
      </c>
      <c r="Y108" s="1524">
        <v>1.560377838858E-2</v>
      </c>
      <c r="Z108" s="1524">
        <v>5.0716905789698297</v>
      </c>
      <c r="AA108" s="1524">
        <v>12.1720573895276</v>
      </c>
      <c r="AB108" s="1524">
        <v>2.3400000000000001E-3</v>
      </c>
      <c r="AC108" s="1525" t="s">
        <v>1199</v>
      </c>
      <c r="AD108" s="1526">
        <v>2.3E-3</v>
      </c>
      <c r="AE108" s="1529" t="s">
        <v>1900</v>
      </c>
      <c r="AF108" s="1528">
        <v>6.6000000000000003E-7</v>
      </c>
      <c r="AG108" s="1529" t="s">
        <v>1900</v>
      </c>
      <c r="AH108" s="1528">
        <v>0.13</v>
      </c>
      <c r="AI108" s="1529" t="s">
        <v>1119</v>
      </c>
      <c r="AJ108" s="1528" t="s">
        <v>635</v>
      </c>
      <c r="AK108" s="1527"/>
      <c r="AL108" s="1527"/>
      <c r="AM108" s="1527"/>
      <c r="AN108" s="1530">
        <v>1</v>
      </c>
      <c r="AO108" s="1531">
        <v>0.1</v>
      </c>
      <c r="AP108" s="1532" t="s">
        <v>635</v>
      </c>
    </row>
    <row r="109" spans="1:42" ht="30">
      <c r="A109" s="1481" t="s">
        <v>2086</v>
      </c>
      <c r="B109" s="1482" t="s">
        <v>2087</v>
      </c>
      <c r="C109" s="1483">
        <v>201.23</v>
      </c>
      <c r="D109" s="1484" t="s">
        <v>1883</v>
      </c>
      <c r="E109" s="1485">
        <v>1.3368765331199999E-7</v>
      </c>
      <c r="F109" s="1485">
        <v>3.2700000000000001E-9</v>
      </c>
      <c r="G109" s="1486" t="s">
        <v>1199</v>
      </c>
      <c r="H109" s="1485">
        <v>1.3599999999999999E-6</v>
      </c>
      <c r="I109" s="1486" t="s">
        <v>1883</v>
      </c>
      <c r="J109" s="1487">
        <v>145</v>
      </c>
      <c r="K109" s="1488" t="s">
        <v>1883</v>
      </c>
      <c r="L109" s="1489">
        <v>1.228</v>
      </c>
      <c r="M109" s="1490" t="s">
        <v>1884</v>
      </c>
      <c r="N109" s="1491">
        <v>2.742439078822E-2</v>
      </c>
      <c r="O109" s="1491">
        <v>7.1215602902799997E-6</v>
      </c>
      <c r="P109" s="1492" t="s">
        <v>1885</v>
      </c>
      <c r="Q109" s="1493" t="s">
        <v>635</v>
      </c>
      <c r="R109" s="1494"/>
      <c r="S109" s="1493">
        <v>354.8</v>
      </c>
      <c r="T109" s="1493" t="s">
        <v>1199</v>
      </c>
      <c r="U109" s="1493">
        <v>2.36</v>
      </c>
      <c r="V109" s="1495" t="s">
        <v>1883</v>
      </c>
      <c r="W109" s="1496">
        <v>110</v>
      </c>
      <c r="X109" s="1497" t="s">
        <v>1883</v>
      </c>
      <c r="Y109" s="1498">
        <v>2.3515287118259998E-2</v>
      </c>
      <c r="Z109" s="1498">
        <v>1.4084348078365201</v>
      </c>
      <c r="AA109" s="1498">
        <v>3.3802435388076399</v>
      </c>
      <c r="AB109" s="1498">
        <v>4.3099999999999996E-3</v>
      </c>
      <c r="AC109" s="1499" t="s">
        <v>1199</v>
      </c>
      <c r="AD109" s="1500" t="s">
        <v>635</v>
      </c>
      <c r="AE109" s="1501"/>
      <c r="AF109" s="1502" t="s">
        <v>635</v>
      </c>
      <c r="AG109" s="1501"/>
      <c r="AH109" s="1502">
        <v>0.1</v>
      </c>
      <c r="AI109" s="1503" t="s">
        <v>1119</v>
      </c>
      <c r="AJ109" s="1502" t="s">
        <v>635</v>
      </c>
      <c r="AK109" s="1501"/>
      <c r="AL109" s="1501"/>
      <c r="AM109" s="1501"/>
      <c r="AN109" s="1504">
        <v>1</v>
      </c>
      <c r="AO109" s="1505">
        <v>0.1</v>
      </c>
      <c r="AP109" s="1506" t="s">
        <v>635</v>
      </c>
    </row>
    <row r="110" spans="1:42" ht="30">
      <c r="A110" s="1481" t="s">
        <v>2088</v>
      </c>
      <c r="B110" s="1482" t="s">
        <v>2089</v>
      </c>
      <c r="C110" s="1483">
        <v>221.26</v>
      </c>
      <c r="D110" s="1484" t="s">
        <v>1883</v>
      </c>
      <c r="E110" s="1485">
        <v>1.26328699918E-7</v>
      </c>
      <c r="F110" s="1485">
        <v>3.0899999999999999E-9</v>
      </c>
      <c r="G110" s="1486" t="s">
        <v>1199</v>
      </c>
      <c r="H110" s="1485">
        <v>4.8500000000000002E-6</v>
      </c>
      <c r="I110" s="1486" t="s">
        <v>1883</v>
      </c>
      <c r="J110" s="1487">
        <v>151</v>
      </c>
      <c r="K110" s="1488" t="s">
        <v>1883</v>
      </c>
      <c r="L110" s="1489">
        <v>1.18</v>
      </c>
      <c r="M110" s="1490" t="s">
        <v>1884</v>
      </c>
      <c r="N110" s="1491">
        <v>2.5614943878780001E-2</v>
      </c>
      <c r="O110" s="1491">
        <v>6.5683945354100002E-6</v>
      </c>
      <c r="P110" s="1492" t="s">
        <v>1885</v>
      </c>
      <c r="Q110" s="1493" t="s">
        <v>635</v>
      </c>
      <c r="R110" s="1494"/>
      <c r="S110" s="1493">
        <v>95.25</v>
      </c>
      <c r="T110" s="1493" t="s">
        <v>1199</v>
      </c>
      <c r="U110" s="1493">
        <v>2.3199999999999998</v>
      </c>
      <c r="V110" s="1495" t="s">
        <v>1883</v>
      </c>
      <c r="W110" s="1496">
        <v>320</v>
      </c>
      <c r="X110" s="1497" t="s">
        <v>1883</v>
      </c>
      <c r="Y110" s="1498">
        <v>1.7906983919040002E-2</v>
      </c>
      <c r="Z110" s="1498">
        <v>1.8234957255229201</v>
      </c>
      <c r="AA110" s="1498">
        <v>4.3763897412550001</v>
      </c>
      <c r="AB110" s="1498">
        <v>3.13E-3</v>
      </c>
      <c r="AC110" s="1499" t="s">
        <v>1199</v>
      </c>
      <c r="AD110" s="1500" t="s">
        <v>635</v>
      </c>
      <c r="AE110" s="1501"/>
      <c r="AF110" s="1502" t="s">
        <v>635</v>
      </c>
      <c r="AG110" s="1501"/>
      <c r="AH110" s="1502">
        <v>5.0000000000000001E-3</v>
      </c>
      <c r="AI110" s="1503" t="s">
        <v>1119</v>
      </c>
      <c r="AJ110" s="1502" t="s">
        <v>635</v>
      </c>
      <c r="AK110" s="1501"/>
      <c r="AL110" s="1501"/>
      <c r="AM110" s="1501"/>
      <c r="AN110" s="1504">
        <v>1</v>
      </c>
      <c r="AO110" s="1505">
        <v>0.1</v>
      </c>
      <c r="AP110" s="1506" t="s">
        <v>635</v>
      </c>
    </row>
    <row r="111" spans="1:42" ht="30">
      <c r="A111" s="1507" t="s">
        <v>2090</v>
      </c>
      <c r="B111" s="1508" t="s">
        <v>2091</v>
      </c>
      <c r="C111" s="1509">
        <v>76.138999999999996</v>
      </c>
      <c r="D111" s="1510" t="s">
        <v>1883</v>
      </c>
      <c r="E111" s="1511">
        <v>0.58871627146361005</v>
      </c>
      <c r="F111" s="1511">
        <v>1.44E-2</v>
      </c>
      <c r="G111" s="1512" t="s">
        <v>1883</v>
      </c>
      <c r="H111" s="1511">
        <v>359</v>
      </c>
      <c r="I111" s="1512" t="s">
        <v>1883</v>
      </c>
      <c r="J111" s="1513">
        <v>-111.5</v>
      </c>
      <c r="K111" s="1514" t="s">
        <v>1883</v>
      </c>
      <c r="L111" s="1515">
        <v>1.2632000000000001</v>
      </c>
      <c r="M111" s="1516" t="s">
        <v>1884</v>
      </c>
      <c r="N111" s="1517">
        <v>0.10643732214763001</v>
      </c>
      <c r="O111" s="1517">
        <v>1.297749113E-5</v>
      </c>
      <c r="P111" s="1518" t="s">
        <v>1885</v>
      </c>
      <c r="Q111" s="1519" t="s">
        <v>635</v>
      </c>
      <c r="R111" s="1520"/>
      <c r="S111" s="1519">
        <v>21.73</v>
      </c>
      <c r="T111" s="1519" t="s">
        <v>1199</v>
      </c>
      <c r="U111" s="1519">
        <v>1.94</v>
      </c>
      <c r="V111" s="1521" t="s">
        <v>1883</v>
      </c>
      <c r="W111" s="1522">
        <v>2160</v>
      </c>
      <c r="X111" s="1523" t="s">
        <v>1883</v>
      </c>
      <c r="Y111" s="1524">
        <v>3.8259129784069999E-2</v>
      </c>
      <c r="Z111" s="1524">
        <v>0.28069013514085001</v>
      </c>
      <c r="AA111" s="1524">
        <v>0.67365632433805001</v>
      </c>
      <c r="AB111" s="1524">
        <v>1.14E-2</v>
      </c>
      <c r="AC111" s="1525" t="s">
        <v>1199</v>
      </c>
      <c r="AD111" s="1526" t="s">
        <v>635</v>
      </c>
      <c r="AE111" s="1527"/>
      <c r="AF111" s="1528" t="s">
        <v>635</v>
      </c>
      <c r="AG111" s="1527"/>
      <c r="AH111" s="1528">
        <v>0.1</v>
      </c>
      <c r="AI111" s="1529" t="s">
        <v>1119</v>
      </c>
      <c r="AJ111" s="1528">
        <v>0.7</v>
      </c>
      <c r="AK111" s="1529" t="s">
        <v>1119</v>
      </c>
      <c r="AL111" s="1529" t="s">
        <v>1127</v>
      </c>
      <c r="AM111" s="1527"/>
      <c r="AN111" s="1530">
        <v>1</v>
      </c>
      <c r="AO111" s="1530" t="s">
        <v>635</v>
      </c>
      <c r="AP111" s="1532">
        <v>738</v>
      </c>
    </row>
    <row r="112" spans="1:42" ht="30">
      <c r="A112" s="1481" t="s">
        <v>118</v>
      </c>
      <c r="B112" s="1482" t="s">
        <v>2092</v>
      </c>
      <c r="C112" s="1483">
        <v>153.82</v>
      </c>
      <c r="D112" s="1484" t="s">
        <v>1883</v>
      </c>
      <c r="E112" s="1485">
        <v>1.12837285363859</v>
      </c>
      <c r="F112" s="1485">
        <v>2.76E-2</v>
      </c>
      <c r="G112" s="1486" t="s">
        <v>1883</v>
      </c>
      <c r="H112" s="1485">
        <v>115</v>
      </c>
      <c r="I112" s="1486" t="s">
        <v>1883</v>
      </c>
      <c r="J112" s="1487">
        <v>-23</v>
      </c>
      <c r="K112" s="1488" t="s">
        <v>1883</v>
      </c>
      <c r="L112" s="1489">
        <v>1.5940000000000001</v>
      </c>
      <c r="M112" s="1490" t="s">
        <v>1884</v>
      </c>
      <c r="N112" s="1491">
        <v>5.714346500735E-2</v>
      </c>
      <c r="O112" s="1491">
        <v>9.7849154555900008E-6</v>
      </c>
      <c r="P112" s="1492" t="s">
        <v>1885</v>
      </c>
      <c r="Q112" s="1493" t="s">
        <v>635</v>
      </c>
      <c r="R112" s="1494"/>
      <c r="S112" s="1493">
        <v>43.89</v>
      </c>
      <c r="T112" s="1493" t="s">
        <v>1199</v>
      </c>
      <c r="U112" s="1493">
        <v>2.83</v>
      </c>
      <c r="V112" s="1495" t="s">
        <v>1883</v>
      </c>
      <c r="W112" s="1496">
        <v>793</v>
      </c>
      <c r="X112" s="1497" t="s">
        <v>1883</v>
      </c>
      <c r="Y112" s="1498">
        <v>7.7753627552890003E-2</v>
      </c>
      <c r="Z112" s="1498">
        <v>0.76425933063897</v>
      </c>
      <c r="AA112" s="1498">
        <v>1.83422239353354</v>
      </c>
      <c r="AB112" s="1498">
        <v>1.6299999999999999E-2</v>
      </c>
      <c r="AC112" s="1499" t="s">
        <v>1199</v>
      </c>
      <c r="AD112" s="1500">
        <v>7.0000000000000007E-2</v>
      </c>
      <c r="AE112" s="1503" t="s">
        <v>1119</v>
      </c>
      <c r="AF112" s="1502">
        <v>6.0000000000000002E-6</v>
      </c>
      <c r="AG112" s="1503" t="s">
        <v>1119</v>
      </c>
      <c r="AH112" s="1502">
        <v>4.0000000000000001E-3</v>
      </c>
      <c r="AI112" s="1503" t="s">
        <v>1119</v>
      </c>
      <c r="AJ112" s="1502">
        <v>0.1</v>
      </c>
      <c r="AK112" s="1503" t="s">
        <v>1119</v>
      </c>
      <c r="AL112" s="1503" t="s">
        <v>1127</v>
      </c>
      <c r="AM112" s="1501"/>
      <c r="AN112" s="1504">
        <v>1</v>
      </c>
      <c r="AO112" s="1504" t="s">
        <v>635</v>
      </c>
      <c r="AP112" s="1506">
        <v>458</v>
      </c>
    </row>
    <row r="113" spans="1:42" ht="30">
      <c r="A113" s="1481" t="s">
        <v>2093</v>
      </c>
      <c r="B113" s="1482" t="s">
        <v>2094</v>
      </c>
      <c r="C113" s="1483">
        <v>60.075000000000003</v>
      </c>
      <c r="D113" s="1484" t="s">
        <v>1883</v>
      </c>
      <c r="E113" s="1485">
        <v>24.94</v>
      </c>
      <c r="F113" s="1485">
        <v>0.61</v>
      </c>
      <c r="G113" s="1486" t="s">
        <v>1199</v>
      </c>
      <c r="H113" s="1485">
        <v>9412</v>
      </c>
      <c r="I113" s="1486" t="s">
        <v>1883</v>
      </c>
      <c r="J113" s="1487">
        <v>-138.80000000000001</v>
      </c>
      <c r="K113" s="1488" t="s">
        <v>1883</v>
      </c>
      <c r="L113" s="1489">
        <v>1.028</v>
      </c>
      <c r="M113" s="1490" t="s">
        <v>1884</v>
      </c>
      <c r="N113" s="1491">
        <v>0.11575419377201</v>
      </c>
      <c r="O113" s="1491">
        <v>1.3220606309999999E-5</v>
      </c>
      <c r="P113" s="1492" t="s">
        <v>1885</v>
      </c>
      <c r="Q113" s="1493" t="s">
        <v>635</v>
      </c>
      <c r="R113" s="1494"/>
      <c r="S113" s="1493">
        <v>1</v>
      </c>
      <c r="T113" s="1493" t="s">
        <v>1199</v>
      </c>
      <c r="U113" s="1493">
        <v>-1.33</v>
      </c>
      <c r="V113" s="1495" t="s">
        <v>1883</v>
      </c>
      <c r="W113" s="1496">
        <v>1220</v>
      </c>
      <c r="X113" s="1497" t="s">
        <v>1883</v>
      </c>
      <c r="Y113" s="1498">
        <v>2.8081767838000001E-4</v>
      </c>
      <c r="Z113" s="1498">
        <v>0.22817536273861999</v>
      </c>
      <c r="AA113" s="1498">
        <v>0.54762087057268005</v>
      </c>
      <c r="AB113" s="1498">
        <v>9.4199999999999999E-5</v>
      </c>
      <c r="AC113" s="1499" t="s">
        <v>1199</v>
      </c>
      <c r="AD113" s="1500" t="s">
        <v>635</v>
      </c>
      <c r="AE113" s="1501"/>
      <c r="AF113" s="1502" t="s">
        <v>635</v>
      </c>
      <c r="AG113" s="1501"/>
      <c r="AH113" s="1502" t="s">
        <v>635</v>
      </c>
      <c r="AI113" s="1501"/>
      <c r="AJ113" s="1502">
        <v>0.1</v>
      </c>
      <c r="AK113" s="1503" t="s">
        <v>1909</v>
      </c>
      <c r="AL113" s="1503" t="s">
        <v>1127</v>
      </c>
      <c r="AM113" s="1501"/>
      <c r="AN113" s="1504">
        <v>1</v>
      </c>
      <c r="AO113" s="1504" t="s">
        <v>635</v>
      </c>
      <c r="AP113" s="1506">
        <v>5890</v>
      </c>
    </row>
    <row r="114" spans="1:42" ht="30">
      <c r="A114" s="1507" t="s">
        <v>2095</v>
      </c>
      <c r="B114" s="1508" t="s">
        <v>2096</v>
      </c>
      <c r="C114" s="1509">
        <v>380.55</v>
      </c>
      <c r="D114" s="1510" t="s">
        <v>1883</v>
      </c>
      <c r="E114" s="1511">
        <v>2.09321341E-5</v>
      </c>
      <c r="F114" s="1511">
        <v>5.1200000000000003E-7</v>
      </c>
      <c r="G114" s="1512" t="s">
        <v>1199</v>
      </c>
      <c r="H114" s="1511">
        <v>3.0699999999999998E-7</v>
      </c>
      <c r="I114" s="1512" t="s">
        <v>1883</v>
      </c>
      <c r="J114" s="1513">
        <v>25</v>
      </c>
      <c r="K114" s="1514" t="s">
        <v>1883</v>
      </c>
      <c r="L114" s="1515">
        <v>1.056</v>
      </c>
      <c r="M114" s="1516" t="s">
        <v>1884</v>
      </c>
      <c r="N114" s="1517">
        <v>1.8238820523020002E-2</v>
      </c>
      <c r="O114" s="1517">
        <v>4.4383657364200004E-6</v>
      </c>
      <c r="P114" s="1518" t="s">
        <v>1885</v>
      </c>
      <c r="Q114" s="1519" t="s">
        <v>635</v>
      </c>
      <c r="R114" s="1520"/>
      <c r="S114" s="1519">
        <v>11960</v>
      </c>
      <c r="T114" s="1519" t="s">
        <v>1199</v>
      </c>
      <c r="U114" s="1519">
        <v>5.57</v>
      </c>
      <c r="V114" s="1521" t="s">
        <v>1883</v>
      </c>
      <c r="W114" s="1522">
        <v>0.3</v>
      </c>
      <c r="X114" s="1523" t="s">
        <v>1883</v>
      </c>
      <c r="Y114" s="1524">
        <v>0.43442126800114</v>
      </c>
      <c r="Z114" s="1524">
        <v>14.2209545890111</v>
      </c>
      <c r="AA114" s="1524">
        <v>34.130291013626703</v>
      </c>
      <c r="AB114" s="1524">
        <v>5.79E-2</v>
      </c>
      <c r="AC114" s="1525" t="s">
        <v>1199</v>
      </c>
      <c r="AD114" s="1526" t="s">
        <v>635</v>
      </c>
      <c r="AE114" s="1527"/>
      <c r="AF114" s="1528" t="s">
        <v>635</v>
      </c>
      <c r="AG114" s="1527"/>
      <c r="AH114" s="1528">
        <v>0.01</v>
      </c>
      <c r="AI114" s="1529" t="s">
        <v>1119</v>
      </c>
      <c r="AJ114" s="1528" t="s">
        <v>635</v>
      </c>
      <c r="AK114" s="1527"/>
      <c r="AL114" s="1527"/>
      <c r="AM114" s="1527"/>
      <c r="AN114" s="1530">
        <v>1</v>
      </c>
      <c r="AO114" s="1531">
        <v>0.1</v>
      </c>
      <c r="AP114" s="1532" t="s">
        <v>635</v>
      </c>
    </row>
    <row r="115" spans="1:42" ht="30">
      <c r="A115" s="1481" t="s">
        <v>2097</v>
      </c>
      <c r="B115" s="1482" t="s">
        <v>2098</v>
      </c>
      <c r="C115" s="1483">
        <v>235.31</v>
      </c>
      <c r="D115" s="1484" t="s">
        <v>1883</v>
      </c>
      <c r="E115" s="1485">
        <v>1.30825838103E-8</v>
      </c>
      <c r="F115" s="1485">
        <v>3.1999999999999998E-10</v>
      </c>
      <c r="G115" s="1486" t="s">
        <v>1199</v>
      </c>
      <c r="H115" s="1485">
        <v>1.4999999999999999E-7</v>
      </c>
      <c r="I115" s="1486" t="s">
        <v>1883</v>
      </c>
      <c r="J115" s="1487">
        <v>91.5</v>
      </c>
      <c r="K115" s="1488" t="s">
        <v>1883</v>
      </c>
      <c r="L115" s="1489" t="s">
        <v>635</v>
      </c>
      <c r="M115" s="1533"/>
      <c r="N115" s="1491">
        <v>4.9849408760979999E-2</v>
      </c>
      <c r="O115" s="1491">
        <v>5.8245098657599999E-6</v>
      </c>
      <c r="P115" s="1492" t="s">
        <v>1885</v>
      </c>
      <c r="Q115" s="1493" t="s">
        <v>635</v>
      </c>
      <c r="R115" s="1494"/>
      <c r="S115" s="1493">
        <v>169.4</v>
      </c>
      <c r="T115" s="1493" t="s">
        <v>1199</v>
      </c>
      <c r="U115" s="1493">
        <v>2.14</v>
      </c>
      <c r="V115" s="1495" t="s">
        <v>1883</v>
      </c>
      <c r="W115" s="1496">
        <v>147</v>
      </c>
      <c r="X115" s="1497" t="s">
        <v>1883</v>
      </c>
      <c r="Y115" s="1498">
        <v>1.1681860996060001E-2</v>
      </c>
      <c r="Z115" s="1498">
        <v>2.1856707968404301</v>
      </c>
      <c r="AA115" s="1498">
        <v>5.2456099124170201</v>
      </c>
      <c r="AB115" s="1498">
        <v>1.98E-3</v>
      </c>
      <c r="AC115" s="1499" t="s">
        <v>1199</v>
      </c>
      <c r="AD115" s="1500" t="s">
        <v>635</v>
      </c>
      <c r="AE115" s="1501"/>
      <c r="AF115" s="1502" t="s">
        <v>635</v>
      </c>
      <c r="AG115" s="1501"/>
      <c r="AH115" s="1502">
        <v>0.1</v>
      </c>
      <c r="AI115" s="1503" t="s">
        <v>1119</v>
      </c>
      <c r="AJ115" s="1502" t="s">
        <v>635</v>
      </c>
      <c r="AK115" s="1501"/>
      <c r="AL115" s="1501"/>
      <c r="AM115" s="1501"/>
      <c r="AN115" s="1504">
        <v>1</v>
      </c>
      <c r="AO115" s="1505">
        <v>0.1</v>
      </c>
      <c r="AP115" s="1506" t="s">
        <v>635</v>
      </c>
    </row>
    <row r="116" spans="1:42" ht="30">
      <c r="A116" s="1481" t="s">
        <v>2099</v>
      </c>
      <c r="B116" s="1482" t="s">
        <v>2100</v>
      </c>
      <c r="C116" s="1483">
        <v>172.11500000000001</v>
      </c>
      <c r="D116" s="1484" t="s">
        <v>1884</v>
      </c>
      <c r="E116" s="1485" t="s">
        <v>635</v>
      </c>
      <c r="F116" s="1485" t="s">
        <v>635</v>
      </c>
      <c r="G116" s="1536"/>
      <c r="H116" s="1485" t="s">
        <v>635</v>
      </c>
      <c r="I116" s="1536"/>
      <c r="J116" s="1487">
        <v>2480</v>
      </c>
      <c r="K116" s="1488" t="s">
        <v>1884</v>
      </c>
      <c r="L116" s="1489">
        <v>7.2160000000000002</v>
      </c>
      <c r="M116" s="1490" t="s">
        <v>1884</v>
      </c>
      <c r="N116" s="1491">
        <v>8.5089973840690003E-2</v>
      </c>
      <c r="O116" s="1491">
        <v>2.2633851049999999E-5</v>
      </c>
      <c r="P116" s="1492" t="s">
        <v>1885</v>
      </c>
      <c r="Q116" s="1493" t="s">
        <v>635</v>
      </c>
      <c r="R116" s="1494"/>
      <c r="S116" s="1493" t="s">
        <v>635</v>
      </c>
      <c r="T116" s="1494"/>
      <c r="U116" s="1493" t="s">
        <v>635</v>
      </c>
      <c r="V116" s="1481"/>
      <c r="W116" s="1496" t="s">
        <v>635</v>
      </c>
      <c r="X116" s="1537"/>
      <c r="Y116" s="1498">
        <v>5.0458694807299998E-3</v>
      </c>
      <c r="Z116" s="1498">
        <v>0.96759307083913004</v>
      </c>
      <c r="AA116" s="1498">
        <v>2.3222233700139099</v>
      </c>
      <c r="AB116" s="1498">
        <v>1E-3</v>
      </c>
      <c r="AC116" s="1499" t="s">
        <v>1203</v>
      </c>
      <c r="AD116" s="1500" t="s">
        <v>635</v>
      </c>
      <c r="AE116" s="1501"/>
      <c r="AF116" s="1502" t="s">
        <v>635</v>
      </c>
      <c r="AG116" s="1501"/>
      <c r="AH116" s="1502" t="s">
        <v>635</v>
      </c>
      <c r="AI116" s="1501"/>
      <c r="AJ116" s="1502">
        <v>8.9999999999999998E-4</v>
      </c>
      <c r="AK116" s="1503" t="s">
        <v>1119</v>
      </c>
      <c r="AL116" s="1501"/>
      <c r="AM116" s="1501"/>
      <c r="AN116" s="1504">
        <v>1</v>
      </c>
      <c r="AO116" s="1504" t="s">
        <v>635</v>
      </c>
      <c r="AP116" s="1506" t="s">
        <v>635</v>
      </c>
    </row>
    <row r="117" spans="1:42" ht="30">
      <c r="A117" s="1507" t="s">
        <v>2101</v>
      </c>
      <c r="B117" s="1508" t="s">
        <v>2102</v>
      </c>
      <c r="C117" s="1509">
        <v>165.4</v>
      </c>
      <c r="D117" s="1510" t="s">
        <v>1883</v>
      </c>
      <c r="E117" s="1511">
        <v>2.3344235486499999E-7</v>
      </c>
      <c r="F117" s="1511">
        <v>5.7100000000000003E-9</v>
      </c>
      <c r="G117" s="1512" t="s">
        <v>1883</v>
      </c>
      <c r="H117" s="1511">
        <v>14.999000000000001</v>
      </c>
      <c r="I117" s="1512" t="s">
        <v>1883</v>
      </c>
      <c r="J117" s="1513">
        <v>57</v>
      </c>
      <c r="K117" s="1514" t="s">
        <v>1883</v>
      </c>
      <c r="L117" s="1515">
        <v>1.9080999999999999</v>
      </c>
      <c r="M117" s="1516" t="s">
        <v>1884</v>
      </c>
      <c r="N117" s="1517">
        <v>5.439905097219E-2</v>
      </c>
      <c r="O117" s="1517">
        <v>1.0435449179999999E-5</v>
      </c>
      <c r="P117" s="1518" t="s">
        <v>1885</v>
      </c>
      <c r="Q117" s="1519" t="s">
        <v>635</v>
      </c>
      <c r="R117" s="1520"/>
      <c r="S117" s="1519">
        <v>1</v>
      </c>
      <c r="T117" s="1519" t="s">
        <v>1199</v>
      </c>
      <c r="U117" s="1519">
        <v>0.99</v>
      </c>
      <c r="V117" s="1521" t="s">
        <v>1883</v>
      </c>
      <c r="W117" s="1522">
        <v>793000</v>
      </c>
      <c r="X117" s="1523" t="s">
        <v>1883</v>
      </c>
      <c r="Y117" s="1524">
        <v>4.1599719325099999E-3</v>
      </c>
      <c r="Z117" s="1524">
        <v>0.88733732403802001</v>
      </c>
      <c r="AA117" s="1524">
        <v>2.12960957769124</v>
      </c>
      <c r="AB117" s="1524">
        <v>8.4099999999999995E-4</v>
      </c>
      <c r="AC117" s="1525" t="s">
        <v>1199</v>
      </c>
      <c r="AD117" s="1526" t="s">
        <v>635</v>
      </c>
      <c r="AE117" s="1527"/>
      <c r="AF117" s="1528" t="s">
        <v>635</v>
      </c>
      <c r="AG117" s="1527"/>
      <c r="AH117" s="1528">
        <v>0.1</v>
      </c>
      <c r="AI117" s="1529" t="s">
        <v>1119</v>
      </c>
      <c r="AJ117" s="1528" t="s">
        <v>635</v>
      </c>
      <c r="AK117" s="1527"/>
      <c r="AL117" s="1529" t="s">
        <v>1127</v>
      </c>
      <c r="AM117" s="1527"/>
      <c r="AN117" s="1530">
        <v>1</v>
      </c>
      <c r="AO117" s="1530" t="s">
        <v>635</v>
      </c>
      <c r="AP117" s="1532" t="s">
        <v>635</v>
      </c>
    </row>
    <row r="118" spans="1:42" ht="30">
      <c r="A118" s="1481" t="s">
        <v>2103</v>
      </c>
      <c r="B118" s="1482" t="s">
        <v>2104</v>
      </c>
      <c r="C118" s="1483">
        <v>206.03</v>
      </c>
      <c r="D118" s="1484" t="s">
        <v>1883</v>
      </c>
      <c r="E118" s="1485">
        <v>1.5821749795600001E-9</v>
      </c>
      <c r="F118" s="1485">
        <v>3.8699999999999999E-11</v>
      </c>
      <c r="G118" s="1486" t="s">
        <v>1199</v>
      </c>
      <c r="H118" s="1485">
        <v>9.9999999999999995E-8</v>
      </c>
      <c r="I118" s="1486" t="s">
        <v>1883</v>
      </c>
      <c r="J118" s="1487">
        <v>200</v>
      </c>
      <c r="K118" s="1488" t="s">
        <v>1883</v>
      </c>
      <c r="L118" s="1489" t="s">
        <v>635</v>
      </c>
      <c r="M118" s="1533"/>
      <c r="N118" s="1491">
        <v>5.4466979590939997E-2</v>
      </c>
      <c r="O118" s="1491">
        <v>6.3640365627299999E-6</v>
      </c>
      <c r="P118" s="1492" t="s">
        <v>1885</v>
      </c>
      <c r="Q118" s="1493" t="s">
        <v>635</v>
      </c>
      <c r="R118" s="1494"/>
      <c r="S118" s="1493">
        <v>21.37</v>
      </c>
      <c r="T118" s="1493" t="s">
        <v>1199</v>
      </c>
      <c r="U118" s="1493">
        <v>1.9</v>
      </c>
      <c r="V118" s="1495" t="s">
        <v>1883</v>
      </c>
      <c r="W118" s="1496">
        <v>700</v>
      </c>
      <c r="X118" s="1497" t="s">
        <v>1883</v>
      </c>
      <c r="Y118" s="1498">
        <v>1.109654913974E-2</v>
      </c>
      <c r="Z118" s="1498">
        <v>1.4983619974601801</v>
      </c>
      <c r="AA118" s="1498">
        <v>3.5960687939044398</v>
      </c>
      <c r="AB118" s="1498">
        <v>2.0100000000000001E-3</v>
      </c>
      <c r="AC118" s="1499" t="s">
        <v>1199</v>
      </c>
      <c r="AD118" s="1500" t="s">
        <v>635</v>
      </c>
      <c r="AE118" s="1501"/>
      <c r="AF118" s="1502" t="s">
        <v>635</v>
      </c>
      <c r="AG118" s="1501"/>
      <c r="AH118" s="1502">
        <v>1.4999999999999999E-2</v>
      </c>
      <c r="AI118" s="1503" t="s">
        <v>1119</v>
      </c>
      <c r="AJ118" s="1502" t="s">
        <v>635</v>
      </c>
      <c r="AK118" s="1501"/>
      <c r="AL118" s="1501"/>
      <c r="AM118" s="1501"/>
      <c r="AN118" s="1504">
        <v>1</v>
      </c>
      <c r="AO118" s="1505">
        <v>0.1</v>
      </c>
      <c r="AP118" s="1506" t="s">
        <v>635</v>
      </c>
    </row>
    <row r="119" spans="1:42" ht="30">
      <c r="A119" s="1481" t="s">
        <v>2105</v>
      </c>
      <c r="B119" s="1482" t="s">
        <v>2106</v>
      </c>
      <c r="C119" s="1483" t="s">
        <v>635</v>
      </c>
      <c r="D119" s="1543"/>
      <c r="E119" s="1485" t="s">
        <v>635</v>
      </c>
      <c r="F119" s="1485" t="s">
        <v>635</v>
      </c>
      <c r="G119" s="1536"/>
      <c r="H119" s="1485" t="s">
        <v>635</v>
      </c>
      <c r="I119" s="1536"/>
      <c r="J119" s="1487" t="s">
        <v>635</v>
      </c>
      <c r="K119" s="1542"/>
      <c r="L119" s="1489" t="s">
        <v>635</v>
      </c>
      <c r="M119" s="1533"/>
      <c r="N119" s="1491" t="s">
        <v>635</v>
      </c>
      <c r="O119" s="1491" t="s">
        <v>635</v>
      </c>
      <c r="P119" s="1544"/>
      <c r="Q119" s="1493" t="s">
        <v>635</v>
      </c>
      <c r="R119" s="1494"/>
      <c r="S119" s="1493" t="s">
        <v>635</v>
      </c>
      <c r="T119" s="1494"/>
      <c r="U119" s="1493" t="s">
        <v>635</v>
      </c>
      <c r="V119" s="1481"/>
      <c r="W119" s="1496" t="s">
        <v>635</v>
      </c>
      <c r="X119" s="1537"/>
      <c r="Y119" s="1498" t="s">
        <v>635</v>
      </c>
      <c r="Z119" s="1498" t="s">
        <v>635</v>
      </c>
      <c r="AA119" s="1498" t="s">
        <v>635</v>
      </c>
      <c r="AB119" s="1498" t="s">
        <v>635</v>
      </c>
      <c r="AC119" s="1547"/>
      <c r="AD119" s="1500" t="s">
        <v>635</v>
      </c>
      <c r="AE119" s="1501"/>
      <c r="AF119" s="1502" t="s">
        <v>635</v>
      </c>
      <c r="AG119" s="1501"/>
      <c r="AH119" s="1502" t="s">
        <v>635</v>
      </c>
      <c r="AI119" s="1501"/>
      <c r="AJ119" s="1502" t="s">
        <v>635</v>
      </c>
      <c r="AK119" s="1501"/>
      <c r="AL119" s="1501"/>
      <c r="AM119" s="1501"/>
      <c r="AN119" s="1504">
        <v>1</v>
      </c>
      <c r="AO119" s="1505">
        <v>0.1</v>
      </c>
      <c r="AP119" s="1506" t="s">
        <v>635</v>
      </c>
    </row>
    <row r="120" spans="1:42" ht="30">
      <c r="A120" s="1507" t="s">
        <v>2107</v>
      </c>
      <c r="B120" s="1508" t="s">
        <v>2108</v>
      </c>
      <c r="C120" s="1509">
        <v>245.88</v>
      </c>
      <c r="D120" s="1510" t="s">
        <v>1883</v>
      </c>
      <c r="E120" s="1511">
        <v>1.33687653312E-8</v>
      </c>
      <c r="F120" s="1511">
        <v>3.2700000000000001E-10</v>
      </c>
      <c r="G120" s="1512" t="s">
        <v>1883</v>
      </c>
      <c r="H120" s="1511">
        <v>2.2800000000000002E-6</v>
      </c>
      <c r="I120" s="1512" t="s">
        <v>1883</v>
      </c>
      <c r="J120" s="1513">
        <v>290</v>
      </c>
      <c r="K120" s="1514" t="s">
        <v>1883</v>
      </c>
      <c r="L120" s="1515" t="s">
        <v>635</v>
      </c>
      <c r="M120" s="1538"/>
      <c r="N120" s="1517">
        <v>4.8410339831829997E-2</v>
      </c>
      <c r="O120" s="1517">
        <v>5.6563660224600002E-6</v>
      </c>
      <c r="P120" s="1518" t="s">
        <v>1885</v>
      </c>
      <c r="Q120" s="1519" t="s">
        <v>635</v>
      </c>
      <c r="R120" s="1520"/>
      <c r="S120" s="1519">
        <v>308.10000000000002</v>
      </c>
      <c r="T120" s="1519" t="s">
        <v>1199</v>
      </c>
      <c r="U120" s="1519">
        <v>2.2200000000000002</v>
      </c>
      <c r="V120" s="1521" t="s">
        <v>1883</v>
      </c>
      <c r="W120" s="1522">
        <v>250</v>
      </c>
      <c r="X120" s="1523" t="s">
        <v>1883</v>
      </c>
      <c r="Y120" s="1524">
        <v>1.170011106001E-2</v>
      </c>
      <c r="Z120" s="1524">
        <v>2.5048213111023498</v>
      </c>
      <c r="AA120" s="1524">
        <v>6.0115711466456396</v>
      </c>
      <c r="AB120" s="1524">
        <v>1.9400000000000001E-3</v>
      </c>
      <c r="AC120" s="1525" t="s">
        <v>1199</v>
      </c>
      <c r="AD120" s="1526">
        <v>0.40300000000000002</v>
      </c>
      <c r="AE120" s="1529" t="s">
        <v>1073</v>
      </c>
      <c r="AF120" s="1528" t="s">
        <v>635</v>
      </c>
      <c r="AG120" s="1527"/>
      <c r="AH120" s="1528" t="s">
        <v>635</v>
      </c>
      <c r="AI120" s="1527"/>
      <c r="AJ120" s="1528" t="s">
        <v>635</v>
      </c>
      <c r="AK120" s="1527"/>
      <c r="AL120" s="1527"/>
      <c r="AM120" s="1527"/>
      <c r="AN120" s="1530">
        <v>1</v>
      </c>
      <c r="AO120" s="1531">
        <v>0.1</v>
      </c>
      <c r="AP120" s="1532" t="s">
        <v>635</v>
      </c>
    </row>
    <row r="121" spans="1:42" ht="30">
      <c r="A121" s="1481" t="s">
        <v>2109</v>
      </c>
      <c r="B121" s="1482" t="s">
        <v>2110</v>
      </c>
      <c r="C121" s="1483">
        <v>409.78</v>
      </c>
      <c r="D121" s="1484" t="s">
        <v>1883</v>
      </c>
      <c r="E121" s="1485">
        <v>1.9869174161899999E-3</v>
      </c>
      <c r="F121" s="1485">
        <v>4.8600000000000002E-5</v>
      </c>
      <c r="G121" s="1486" t="s">
        <v>1199</v>
      </c>
      <c r="H121" s="1485">
        <v>3.6000000000000001E-5</v>
      </c>
      <c r="I121" s="1486" t="s">
        <v>1883</v>
      </c>
      <c r="J121" s="1487">
        <v>106</v>
      </c>
      <c r="K121" s="1488" t="s">
        <v>1199</v>
      </c>
      <c r="L121" s="1489">
        <v>1.8</v>
      </c>
      <c r="M121" s="1490" t="s">
        <v>2050</v>
      </c>
      <c r="N121" s="1491">
        <v>2.2738137691140001E-2</v>
      </c>
      <c r="O121" s="1491">
        <v>5.8466193523299998E-6</v>
      </c>
      <c r="P121" s="1492" t="s">
        <v>1885</v>
      </c>
      <c r="Q121" s="1493" t="s">
        <v>635</v>
      </c>
      <c r="R121" s="1494"/>
      <c r="S121" s="1493">
        <v>67540</v>
      </c>
      <c r="T121" s="1493" t="s">
        <v>1199</v>
      </c>
      <c r="U121" s="1493">
        <v>6.1</v>
      </c>
      <c r="V121" s="1495" t="s">
        <v>1883</v>
      </c>
      <c r="W121" s="1496">
        <v>5.6000000000000001E-2</v>
      </c>
      <c r="X121" s="1497" t="s">
        <v>1883</v>
      </c>
      <c r="Y121" s="1498">
        <v>0.26344453030692</v>
      </c>
      <c r="Z121" s="1498">
        <v>20.730832832149101</v>
      </c>
      <c r="AA121" s="1498">
        <v>49.753998797157898</v>
      </c>
      <c r="AB121" s="1498">
        <v>3.3836634095209997E-2</v>
      </c>
      <c r="AC121" s="1499" t="s">
        <v>1203</v>
      </c>
      <c r="AD121" s="1500" t="s">
        <v>635</v>
      </c>
      <c r="AE121" s="1501"/>
      <c r="AF121" s="1502" t="s">
        <v>635</v>
      </c>
      <c r="AG121" s="1501"/>
      <c r="AH121" s="1502">
        <v>5.0000000000000001E-4</v>
      </c>
      <c r="AI121" s="1503" t="s">
        <v>2111</v>
      </c>
      <c r="AJ121" s="1502" t="s">
        <v>635</v>
      </c>
      <c r="AK121" s="1501"/>
      <c r="AL121" s="1503" t="s">
        <v>1127</v>
      </c>
      <c r="AM121" s="1501"/>
      <c r="AN121" s="1504">
        <v>1</v>
      </c>
      <c r="AO121" s="1539">
        <v>0.04</v>
      </c>
      <c r="AP121" s="1506" t="s">
        <v>635</v>
      </c>
    </row>
    <row r="122" spans="1:42" ht="30">
      <c r="A122" s="1481" t="s">
        <v>2112</v>
      </c>
      <c r="B122" s="1482" t="s">
        <v>2113</v>
      </c>
      <c r="C122" s="1483">
        <v>409.78</v>
      </c>
      <c r="D122" s="1484" t="s">
        <v>1883</v>
      </c>
      <c r="E122" s="1485">
        <v>1.9869174161899999E-3</v>
      </c>
      <c r="F122" s="1485">
        <v>4.8600000000000002E-5</v>
      </c>
      <c r="G122" s="1486" t="s">
        <v>1199</v>
      </c>
      <c r="H122" s="1485">
        <v>5.0300000000000003E-5</v>
      </c>
      <c r="I122" s="1486" t="s">
        <v>1883</v>
      </c>
      <c r="J122" s="1487">
        <v>106</v>
      </c>
      <c r="K122" s="1488" t="s">
        <v>1199</v>
      </c>
      <c r="L122" s="1489">
        <v>1.8</v>
      </c>
      <c r="M122" s="1490" t="s">
        <v>1989</v>
      </c>
      <c r="N122" s="1491">
        <v>2.2738137691140001E-2</v>
      </c>
      <c r="O122" s="1491">
        <v>5.8466193523299998E-6</v>
      </c>
      <c r="P122" s="1492" t="s">
        <v>1885</v>
      </c>
      <c r="Q122" s="1493" t="s">
        <v>635</v>
      </c>
      <c r="R122" s="1494"/>
      <c r="S122" s="1493">
        <v>67540</v>
      </c>
      <c r="T122" s="1493" t="s">
        <v>1199</v>
      </c>
      <c r="U122" s="1493">
        <v>6.22</v>
      </c>
      <c r="V122" s="1495" t="s">
        <v>1883</v>
      </c>
      <c r="W122" s="1496">
        <v>5.6000000000000001E-2</v>
      </c>
      <c r="X122" s="1497" t="s">
        <v>1883</v>
      </c>
      <c r="Y122" s="1498">
        <v>0.26344453030692</v>
      </c>
      <c r="Z122" s="1498">
        <v>20.730832832149101</v>
      </c>
      <c r="AA122" s="1498">
        <v>49.753998797157898</v>
      </c>
      <c r="AB122" s="1498">
        <v>3.3836634095209997E-2</v>
      </c>
      <c r="AC122" s="1499" t="s">
        <v>1203</v>
      </c>
      <c r="AD122" s="1500" t="s">
        <v>635</v>
      </c>
      <c r="AE122" s="1501"/>
      <c r="AF122" s="1502" t="s">
        <v>635</v>
      </c>
      <c r="AG122" s="1501"/>
      <c r="AH122" s="1502">
        <v>5.0000000000000001E-4</v>
      </c>
      <c r="AI122" s="1503" t="s">
        <v>2111</v>
      </c>
      <c r="AJ122" s="1502" t="s">
        <v>635</v>
      </c>
      <c r="AK122" s="1501"/>
      <c r="AL122" s="1503" t="s">
        <v>1127</v>
      </c>
      <c r="AM122" s="1501"/>
      <c r="AN122" s="1504">
        <v>1</v>
      </c>
      <c r="AO122" s="1539">
        <v>0.04</v>
      </c>
      <c r="AP122" s="1506" t="s">
        <v>635</v>
      </c>
    </row>
    <row r="123" spans="1:42" ht="30">
      <c r="A123" s="1507" t="s">
        <v>120</v>
      </c>
      <c r="B123" s="1508" t="s">
        <v>2114</v>
      </c>
      <c r="C123" s="1509">
        <v>409.78</v>
      </c>
      <c r="D123" s="1510" t="s">
        <v>1883</v>
      </c>
      <c r="E123" s="1511">
        <v>1.9869174161899999E-3</v>
      </c>
      <c r="F123" s="1511">
        <v>4.8600000000000002E-5</v>
      </c>
      <c r="G123" s="1512" t="s">
        <v>1199</v>
      </c>
      <c r="H123" s="1511">
        <v>9.9799999999999993E-6</v>
      </c>
      <c r="I123" s="1512" t="s">
        <v>1883</v>
      </c>
      <c r="J123" s="1513">
        <v>106</v>
      </c>
      <c r="K123" s="1514" t="s">
        <v>1199</v>
      </c>
      <c r="L123" s="1515">
        <v>1.6</v>
      </c>
      <c r="M123" s="1516" t="s">
        <v>1884</v>
      </c>
      <c r="N123" s="1517">
        <v>2.1493012115890001E-2</v>
      </c>
      <c r="O123" s="1517">
        <v>5.4477015420599998E-6</v>
      </c>
      <c r="P123" s="1518" t="s">
        <v>1885</v>
      </c>
      <c r="Q123" s="1519" t="s">
        <v>635</v>
      </c>
      <c r="R123" s="1520"/>
      <c r="S123" s="1519">
        <v>67540</v>
      </c>
      <c r="T123" s="1519" t="s">
        <v>1199</v>
      </c>
      <c r="U123" s="1519">
        <v>6.16</v>
      </c>
      <c r="V123" s="1521" t="s">
        <v>1199</v>
      </c>
      <c r="W123" s="1522">
        <v>5.6000000000000001E-2</v>
      </c>
      <c r="X123" s="1523" t="s">
        <v>1199</v>
      </c>
      <c r="Y123" s="1524">
        <v>0.83307827437919002</v>
      </c>
      <c r="Z123" s="1524">
        <v>20.730832832149101</v>
      </c>
      <c r="AA123" s="1524">
        <v>79.689721818315903</v>
      </c>
      <c r="AB123" s="1524">
        <v>0.107</v>
      </c>
      <c r="AC123" s="1525" t="s">
        <v>1199</v>
      </c>
      <c r="AD123" s="1526">
        <v>0.35</v>
      </c>
      <c r="AE123" s="1529" t="s">
        <v>1119</v>
      </c>
      <c r="AF123" s="1528">
        <v>1E-4</v>
      </c>
      <c r="AG123" s="1529" t="s">
        <v>1119</v>
      </c>
      <c r="AH123" s="1528">
        <v>5.0000000000000001E-4</v>
      </c>
      <c r="AI123" s="1529" t="s">
        <v>1119</v>
      </c>
      <c r="AJ123" s="1528">
        <v>6.9999999999999999E-4</v>
      </c>
      <c r="AK123" s="1529" t="s">
        <v>1119</v>
      </c>
      <c r="AL123" s="1529" t="s">
        <v>1127</v>
      </c>
      <c r="AM123" s="1527"/>
      <c r="AN123" s="1530">
        <v>1</v>
      </c>
      <c r="AO123" s="1541">
        <v>0.04</v>
      </c>
      <c r="AP123" s="1532" t="s">
        <v>635</v>
      </c>
    </row>
    <row r="124" spans="1:42" ht="30">
      <c r="A124" s="1481" t="s">
        <v>2115</v>
      </c>
      <c r="B124" s="1482" t="s">
        <v>2116</v>
      </c>
      <c r="C124" s="1483">
        <v>490.64</v>
      </c>
      <c r="D124" s="1484" t="s">
        <v>1883</v>
      </c>
      <c r="E124" s="1485">
        <v>2.1995094031100001E-6</v>
      </c>
      <c r="F124" s="1485">
        <v>5.3799999999999999E-8</v>
      </c>
      <c r="G124" s="1486" t="s">
        <v>1199</v>
      </c>
      <c r="H124" s="1485">
        <v>2.2499999999999999E-7</v>
      </c>
      <c r="I124" s="1486" t="s">
        <v>1883</v>
      </c>
      <c r="J124" s="1487">
        <v>350</v>
      </c>
      <c r="K124" s="1488" t="s">
        <v>1199</v>
      </c>
      <c r="L124" s="1489">
        <v>1.61</v>
      </c>
      <c r="M124" s="1490" t="s">
        <v>1884</v>
      </c>
      <c r="N124" s="1491">
        <v>1.964701566029E-2</v>
      </c>
      <c r="O124" s="1491">
        <v>4.9080561906399996E-6</v>
      </c>
      <c r="P124" s="1492" t="s">
        <v>1885</v>
      </c>
      <c r="Q124" s="1493" t="s">
        <v>635</v>
      </c>
      <c r="R124" s="1494"/>
      <c r="S124" s="1493">
        <v>17500</v>
      </c>
      <c r="T124" s="1493" t="s">
        <v>1199</v>
      </c>
      <c r="U124" s="1493">
        <v>5.41</v>
      </c>
      <c r="V124" s="1495" t="s">
        <v>1883</v>
      </c>
      <c r="W124" s="1496">
        <v>2.7</v>
      </c>
      <c r="X124" s="1497" t="s">
        <v>1883</v>
      </c>
      <c r="Y124" s="1498">
        <v>9.2861271473340001E-2</v>
      </c>
      <c r="Z124" s="1498">
        <v>58.807504382984199</v>
      </c>
      <c r="AA124" s="1498">
        <v>141.13801051916201</v>
      </c>
      <c r="AB124" s="1498">
        <v>1.09E-2</v>
      </c>
      <c r="AC124" s="1499" t="s">
        <v>1199</v>
      </c>
      <c r="AD124" s="1500">
        <v>10</v>
      </c>
      <c r="AE124" s="1503" t="s">
        <v>1119</v>
      </c>
      <c r="AF124" s="1502">
        <v>4.5999999999999999E-3</v>
      </c>
      <c r="AG124" s="1503" t="s">
        <v>1900</v>
      </c>
      <c r="AH124" s="1502">
        <v>2.9999999999999997E-4</v>
      </c>
      <c r="AI124" s="1503" t="s">
        <v>1119</v>
      </c>
      <c r="AJ124" s="1502" t="s">
        <v>635</v>
      </c>
      <c r="AK124" s="1501"/>
      <c r="AL124" s="1501"/>
      <c r="AM124" s="1501"/>
      <c r="AN124" s="1504">
        <v>1</v>
      </c>
      <c r="AO124" s="1505">
        <v>0.1</v>
      </c>
      <c r="AP124" s="1506" t="s">
        <v>635</v>
      </c>
    </row>
    <row r="125" spans="1:42" ht="30">
      <c r="A125" s="1481" t="s">
        <v>2117</v>
      </c>
      <c r="B125" s="1482" t="s">
        <v>2118</v>
      </c>
      <c r="C125" s="1483">
        <v>359.58</v>
      </c>
      <c r="D125" s="1484" t="s">
        <v>1883</v>
      </c>
      <c r="E125" s="1485">
        <v>1.1815208503699999E-6</v>
      </c>
      <c r="F125" s="1485">
        <v>2.8900000000000001E-8</v>
      </c>
      <c r="G125" s="1486" t="s">
        <v>1199</v>
      </c>
      <c r="H125" s="1485">
        <v>7.5000000000000002E-6</v>
      </c>
      <c r="I125" s="1486" t="s">
        <v>1883</v>
      </c>
      <c r="J125" s="1487">
        <v>-20</v>
      </c>
      <c r="K125" s="1488" t="s">
        <v>1883</v>
      </c>
      <c r="L125" s="1489" t="s">
        <v>635</v>
      </c>
      <c r="M125" s="1533"/>
      <c r="N125" s="1491">
        <v>3.7574214955610002E-2</v>
      </c>
      <c r="O125" s="1491">
        <v>4.3902503790199999E-6</v>
      </c>
      <c r="P125" s="1492" t="s">
        <v>1885</v>
      </c>
      <c r="Q125" s="1493" t="s">
        <v>635</v>
      </c>
      <c r="R125" s="1494"/>
      <c r="S125" s="1493">
        <v>1264</v>
      </c>
      <c r="T125" s="1493" t="s">
        <v>1199</v>
      </c>
      <c r="U125" s="1493">
        <v>3.81</v>
      </c>
      <c r="V125" s="1495" t="s">
        <v>1883</v>
      </c>
      <c r="W125" s="1496">
        <v>124</v>
      </c>
      <c r="X125" s="1497" t="s">
        <v>1883</v>
      </c>
      <c r="Y125" s="1498">
        <v>3.734172506419E-2</v>
      </c>
      <c r="Z125" s="1498">
        <v>10.851674279001699</v>
      </c>
      <c r="AA125" s="1498">
        <v>26.044018269603999</v>
      </c>
      <c r="AB125" s="1498">
        <v>5.1200000000000004E-3</v>
      </c>
      <c r="AC125" s="1499" t="s">
        <v>1199</v>
      </c>
      <c r="AD125" s="1500" t="s">
        <v>635</v>
      </c>
      <c r="AE125" s="1501"/>
      <c r="AF125" s="1502" t="s">
        <v>635</v>
      </c>
      <c r="AG125" s="1501"/>
      <c r="AH125" s="1502">
        <v>6.9999999999999999E-4</v>
      </c>
      <c r="AI125" s="1503" t="s">
        <v>1960</v>
      </c>
      <c r="AJ125" s="1502" t="s">
        <v>635</v>
      </c>
      <c r="AK125" s="1501"/>
      <c r="AL125" s="1501"/>
      <c r="AM125" s="1501"/>
      <c r="AN125" s="1504">
        <v>1</v>
      </c>
      <c r="AO125" s="1505">
        <v>0.1</v>
      </c>
      <c r="AP125" s="1506" t="s">
        <v>635</v>
      </c>
    </row>
    <row r="126" spans="1:42" ht="30">
      <c r="A126" s="1507" t="s">
        <v>2119</v>
      </c>
      <c r="B126" s="1508" t="s">
        <v>2120</v>
      </c>
      <c r="C126" s="1509">
        <v>414.83</v>
      </c>
      <c r="D126" s="1510" t="s">
        <v>1883</v>
      </c>
      <c r="E126" s="1511">
        <v>7.4407195420999997E-14</v>
      </c>
      <c r="F126" s="1511">
        <v>1.82E-15</v>
      </c>
      <c r="G126" s="1512" t="s">
        <v>1199</v>
      </c>
      <c r="H126" s="1511">
        <v>3.9999999999999999E-12</v>
      </c>
      <c r="I126" s="1512" t="s">
        <v>1883</v>
      </c>
      <c r="J126" s="1513">
        <v>181</v>
      </c>
      <c r="K126" s="1514" t="s">
        <v>1883</v>
      </c>
      <c r="L126" s="1515" t="s">
        <v>635</v>
      </c>
      <c r="M126" s="1538"/>
      <c r="N126" s="1517">
        <v>3.4159132269579999E-2</v>
      </c>
      <c r="O126" s="1517">
        <v>3.9912249283399997E-6</v>
      </c>
      <c r="P126" s="1518" t="s">
        <v>1885</v>
      </c>
      <c r="Q126" s="1519" t="s">
        <v>635</v>
      </c>
      <c r="R126" s="1520"/>
      <c r="S126" s="1519">
        <v>71.790000000000006</v>
      </c>
      <c r="T126" s="1519" t="s">
        <v>1199</v>
      </c>
      <c r="U126" s="1519">
        <v>2.5</v>
      </c>
      <c r="V126" s="1521" t="s">
        <v>1883</v>
      </c>
      <c r="W126" s="1522">
        <v>1200</v>
      </c>
      <c r="X126" s="1523" t="s">
        <v>1883</v>
      </c>
      <c r="Y126" s="1524">
        <v>2.6477588636399998E-3</v>
      </c>
      <c r="Z126" s="1524">
        <v>22.125686248244001</v>
      </c>
      <c r="AA126" s="1524">
        <v>53.1016469957857</v>
      </c>
      <c r="AB126" s="1524">
        <v>3.3799999999999998E-4</v>
      </c>
      <c r="AC126" s="1525" t="s">
        <v>1199</v>
      </c>
      <c r="AD126" s="1526" t="s">
        <v>635</v>
      </c>
      <c r="AE126" s="1527"/>
      <c r="AF126" s="1528" t="s">
        <v>635</v>
      </c>
      <c r="AG126" s="1527"/>
      <c r="AH126" s="1528">
        <v>0.09</v>
      </c>
      <c r="AI126" s="1529" t="s">
        <v>1116</v>
      </c>
      <c r="AJ126" s="1528" t="s">
        <v>635</v>
      </c>
      <c r="AK126" s="1527"/>
      <c r="AL126" s="1527"/>
      <c r="AM126" s="1527"/>
      <c r="AN126" s="1530">
        <v>1</v>
      </c>
      <c r="AO126" s="1531">
        <v>0.1</v>
      </c>
      <c r="AP126" s="1532" t="s">
        <v>635</v>
      </c>
    </row>
    <row r="127" spans="1:42" ht="30">
      <c r="A127" s="1481" t="s">
        <v>2121</v>
      </c>
      <c r="B127" s="1482" t="s">
        <v>2122</v>
      </c>
      <c r="C127" s="1483">
        <v>70.906000000000006</v>
      </c>
      <c r="D127" s="1484" t="s">
        <v>1883</v>
      </c>
      <c r="E127" s="1485">
        <v>0.47833100000000001</v>
      </c>
      <c r="F127" s="1485">
        <v>1.17E-2</v>
      </c>
      <c r="G127" s="1486" t="s">
        <v>1883</v>
      </c>
      <c r="H127" s="1485">
        <v>5854</v>
      </c>
      <c r="I127" s="1486" t="s">
        <v>1883</v>
      </c>
      <c r="J127" s="1487">
        <v>-101</v>
      </c>
      <c r="K127" s="1488" t="s">
        <v>1883</v>
      </c>
      <c r="L127" s="1489">
        <v>2.8980000000000001</v>
      </c>
      <c r="M127" s="1490" t="s">
        <v>1884</v>
      </c>
      <c r="N127" s="1491">
        <v>0.15421460452838001</v>
      </c>
      <c r="O127" s="1491">
        <v>2.2290561500000001E-5</v>
      </c>
      <c r="P127" s="1492" t="s">
        <v>1885</v>
      </c>
      <c r="Q127" s="1493">
        <v>0.25</v>
      </c>
      <c r="R127" s="1493" t="s">
        <v>1930</v>
      </c>
      <c r="S127" s="1493" t="s">
        <v>635</v>
      </c>
      <c r="T127" s="1494"/>
      <c r="U127" s="1493">
        <v>0.85</v>
      </c>
      <c r="V127" s="1495" t="s">
        <v>1883</v>
      </c>
      <c r="W127" s="1496">
        <v>6300</v>
      </c>
      <c r="X127" s="1497" t="s">
        <v>1883</v>
      </c>
      <c r="Y127" s="1498">
        <v>3.23868078922E-3</v>
      </c>
      <c r="Z127" s="1498">
        <v>0.26237493839330001</v>
      </c>
      <c r="AA127" s="1498">
        <v>0.62969985214391</v>
      </c>
      <c r="AB127" s="1498">
        <v>1E-3</v>
      </c>
      <c r="AC127" s="1499" t="s">
        <v>1203</v>
      </c>
      <c r="AD127" s="1500" t="s">
        <v>635</v>
      </c>
      <c r="AE127" s="1501"/>
      <c r="AF127" s="1502" t="s">
        <v>635</v>
      </c>
      <c r="AG127" s="1501"/>
      <c r="AH127" s="1502">
        <v>0.1</v>
      </c>
      <c r="AI127" s="1503" t="s">
        <v>1119</v>
      </c>
      <c r="AJ127" s="1502">
        <v>1.45E-4</v>
      </c>
      <c r="AK127" s="1503" t="s">
        <v>1960</v>
      </c>
      <c r="AL127" s="1503" t="s">
        <v>1127</v>
      </c>
      <c r="AM127" s="1501"/>
      <c r="AN127" s="1504">
        <v>1</v>
      </c>
      <c r="AO127" s="1504" t="s">
        <v>635</v>
      </c>
      <c r="AP127" s="1506">
        <v>2780</v>
      </c>
    </row>
    <row r="128" spans="1:42" ht="30">
      <c r="A128" s="1481" t="s">
        <v>2123</v>
      </c>
      <c r="B128" s="1482" t="s">
        <v>2124</v>
      </c>
      <c r="C128" s="1483">
        <v>67.45</v>
      </c>
      <c r="D128" s="1484" t="s">
        <v>1199</v>
      </c>
      <c r="E128" s="1485">
        <v>1.64</v>
      </c>
      <c r="F128" s="1485">
        <v>4.0099999999999997E-2</v>
      </c>
      <c r="G128" s="1486" t="s">
        <v>2125</v>
      </c>
      <c r="H128" s="1485">
        <v>758</v>
      </c>
      <c r="I128" s="1486" t="s">
        <v>2125</v>
      </c>
      <c r="J128" s="1487">
        <v>-59</v>
      </c>
      <c r="K128" s="1488" t="s">
        <v>1884</v>
      </c>
      <c r="L128" s="1489">
        <v>2.7570000000000001</v>
      </c>
      <c r="M128" s="1490" t="s">
        <v>1884</v>
      </c>
      <c r="N128" s="1491">
        <v>0.15657900602423</v>
      </c>
      <c r="O128" s="1491">
        <v>2.229177541E-5</v>
      </c>
      <c r="P128" s="1492" t="s">
        <v>1885</v>
      </c>
      <c r="Q128" s="1493" t="s">
        <v>635</v>
      </c>
      <c r="R128" s="1494"/>
      <c r="S128" s="1493" t="s">
        <v>635</v>
      </c>
      <c r="T128" s="1494"/>
      <c r="U128" s="1493" t="s">
        <v>635</v>
      </c>
      <c r="V128" s="1481"/>
      <c r="W128" s="1496">
        <v>8000</v>
      </c>
      <c r="X128" s="1497" t="s">
        <v>1890</v>
      </c>
      <c r="Y128" s="1498">
        <v>3.1587672676000001E-3</v>
      </c>
      <c r="Z128" s="1498">
        <v>0.25093933896203002</v>
      </c>
      <c r="AA128" s="1498">
        <v>0.60225441350887998</v>
      </c>
      <c r="AB128" s="1498">
        <v>1E-3</v>
      </c>
      <c r="AC128" s="1499" t="s">
        <v>1203</v>
      </c>
      <c r="AD128" s="1500" t="s">
        <v>635</v>
      </c>
      <c r="AE128" s="1501"/>
      <c r="AF128" s="1502" t="s">
        <v>635</v>
      </c>
      <c r="AG128" s="1501"/>
      <c r="AH128" s="1502">
        <v>0.03</v>
      </c>
      <c r="AI128" s="1503" t="s">
        <v>1119</v>
      </c>
      <c r="AJ128" s="1502">
        <v>2.0000000000000001E-4</v>
      </c>
      <c r="AK128" s="1503" t="s">
        <v>1119</v>
      </c>
      <c r="AL128" s="1503" t="s">
        <v>1127</v>
      </c>
      <c r="AM128" s="1501"/>
      <c r="AN128" s="1504">
        <v>1</v>
      </c>
      <c r="AO128" s="1504" t="s">
        <v>635</v>
      </c>
      <c r="AP128" s="1506" t="s">
        <v>635</v>
      </c>
    </row>
    <row r="129" spans="1:42" ht="30">
      <c r="A129" s="1507" t="s">
        <v>2126</v>
      </c>
      <c r="B129" s="1508" t="s">
        <v>2127</v>
      </c>
      <c r="C129" s="1509">
        <v>90.44</v>
      </c>
      <c r="D129" s="1510" t="s">
        <v>1199</v>
      </c>
      <c r="E129" s="1511" t="s">
        <v>635</v>
      </c>
      <c r="F129" s="1511" t="s">
        <v>635</v>
      </c>
      <c r="G129" s="1534"/>
      <c r="H129" s="1511" t="s">
        <v>635</v>
      </c>
      <c r="I129" s="1534"/>
      <c r="J129" s="1513">
        <v>180</v>
      </c>
      <c r="K129" s="1514" t="s">
        <v>1884</v>
      </c>
      <c r="L129" s="1515" t="s">
        <v>635</v>
      </c>
      <c r="M129" s="1538"/>
      <c r="N129" s="1517">
        <v>9.4300334191169996E-2</v>
      </c>
      <c r="O129" s="1517">
        <v>1.101824957E-5</v>
      </c>
      <c r="P129" s="1518" t="s">
        <v>1885</v>
      </c>
      <c r="Q129" s="1519" t="s">
        <v>635</v>
      </c>
      <c r="R129" s="1520"/>
      <c r="S129" s="1519" t="s">
        <v>635</v>
      </c>
      <c r="T129" s="1520"/>
      <c r="U129" s="1519" t="s">
        <v>635</v>
      </c>
      <c r="V129" s="1507"/>
      <c r="W129" s="1522">
        <v>640000</v>
      </c>
      <c r="X129" s="1523" t="s">
        <v>1884</v>
      </c>
      <c r="Y129" s="1524">
        <v>3.6576902855300002E-3</v>
      </c>
      <c r="Z129" s="1524">
        <v>0.33753028772498</v>
      </c>
      <c r="AA129" s="1524">
        <v>0.81007269053995001</v>
      </c>
      <c r="AB129" s="1524">
        <v>1E-3</v>
      </c>
      <c r="AC129" s="1525" t="s">
        <v>1203</v>
      </c>
      <c r="AD129" s="1526" t="s">
        <v>635</v>
      </c>
      <c r="AE129" s="1527"/>
      <c r="AF129" s="1528" t="s">
        <v>635</v>
      </c>
      <c r="AG129" s="1527"/>
      <c r="AH129" s="1528">
        <v>0.03</v>
      </c>
      <c r="AI129" s="1529" t="s">
        <v>1119</v>
      </c>
      <c r="AJ129" s="1528" t="s">
        <v>635</v>
      </c>
      <c r="AK129" s="1527"/>
      <c r="AL129" s="1527"/>
      <c r="AM129" s="1527"/>
      <c r="AN129" s="1530">
        <v>1</v>
      </c>
      <c r="AO129" s="1530" t="s">
        <v>635</v>
      </c>
      <c r="AP129" s="1532" t="s">
        <v>635</v>
      </c>
    </row>
    <row r="130" spans="1:42" ht="30">
      <c r="A130" s="1481" t="s">
        <v>2128</v>
      </c>
      <c r="B130" s="1482" t="s">
        <v>2129</v>
      </c>
      <c r="C130" s="1483">
        <v>100.5</v>
      </c>
      <c r="D130" s="1484" t="s">
        <v>1883</v>
      </c>
      <c r="E130" s="1485">
        <v>2.4039247751430901</v>
      </c>
      <c r="F130" s="1485">
        <v>5.8799999999999998E-2</v>
      </c>
      <c r="G130" s="1486" t="s">
        <v>1883</v>
      </c>
      <c r="H130" s="1485">
        <v>2544</v>
      </c>
      <c r="I130" s="1486" t="s">
        <v>1883</v>
      </c>
      <c r="J130" s="1487">
        <v>-130.80000000000001</v>
      </c>
      <c r="K130" s="1488" t="s">
        <v>1883</v>
      </c>
      <c r="L130" s="1489">
        <v>1.107</v>
      </c>
      <c r="M130" s="1490" t="s">
        <v>1884</v>
      </c>
      <c r="N130" s="1491">
        <v>8.0392453499910005E-2</v>
      </c>
      <c r="O130" s="1491">
        <v>1.014987531E-5</v>
      </c>
      <c r="P130" s="1492" t="s">
        <v>1885</v>
      </c>
      <c r="Q130" s="1493" t="s">
        <v>635</v>
      </c>
      <c r="R130" s="1494"/>
      <c r="S130" s="1493">
        <v>43.89</v>
      </c>
      <c r="T130" s="1493" t="s">
        <v>1199</v>
      </c>
      <c r="U130" s="1493">
        <v>2.0499999999999998</v>
      </c>
      <c r="V130" s="1495" t="s">
        <v>1883</v>
      </c>
      <c r="W130" s="1496">
        <v>1400</v>
      </c>
      <c r="X130" s="1497" t="s">
        <v>1883</v>
      </c>
      <c r="Y130" s="1498">
        <v>3.8133439118369999E-2</v>
      </c>
      <c r="Z130" s="1498">
        <v>0.38428085615787999</v>
      </c>
      <c r="AA130" s="1498">
        <v>0.92227405477891</v>
      </c>
      <c r="AB130" s="1498">
        <v>9.8899999999999995E-3</v>
      </c>
      <c r="AC130" s="1499" t="s">
        <v>1199</v>
      </c>
      <c r="AD130" s="1500" t="s">
        <v>635</v>
      </c>
      <c r="AE130" s="1501"/>
      <c r="AF130" s="1502" t="s">
        <v>635</v>
      </c>
      <c r="AG130" s="1501"/>
      <c r="AH130" s="1502" t="s">
        <v>635</v>
      </c>
      <c r="AI130" s="1501"/>
      <c r="AJ130" s="1502">
        <v>50</v>
      </c>
      <c r="AK130" s="1503" t="s">
        <v>1119</v>
      </c>
      <c r="AL130" s="1503" t="s">
        <v>1127</v>
      </c>
      <c r="AM130" s="1501"/>
      <c r="AN130" s="1504">
        <v>1</v>
      </c>
      <c r="AO130" s="1504" t="s">
        <v>635</v>
      </c>
      <c r="AP130" s="1506">
        <v>1150</v>
      </c>
    </row>
    <row r="131" spans="1:42" ht="30">
      <c r="A131" s="1481" t="s">
        <v>2130</v>
      </c>
      <c r="B131" s="1482" t="s">
        <v>2131</v>
      </c>
      <c r="C131" s="1483">
        <v>88.537000000000006</v>
      </c>
      <c r="D131" s="1484" t="s">
        <v>1883</v>
      </c>
      <c r="E131" s="1485">
        <v>2.29354047424366</v>
      </c>
      <c r="F131" s="1485">
        <v>5.6099999999999997E-2</v>
      </c>
      <c r="G131" s="1486" t="s">
        <v>1883</v>
      </c>
      <c r="H131" s="1485">
        <v>215.5</v>
      </c>
      <c r="I131" s="1486" t="s">
        <v>1883</v>
      </c>
      <c r="J131" s="1487">
        <v>-130</v>
      </c>
      <c r="K131" s="1488" t="s">
        <v>1883</v>
      </c>
      <c r="L131" s="1489">
        <v>0.95599999999999996</v>
      </c>
      <c r="M131" s="1490" t="s">
        <v>1884</v>
      </c>
      <c r="N131" s="1491">
        <v>8.4148902764249994E-2</v>
      </c>
      <c r="O131" s="1491">
        <v>1.0029323170000001E-5</v>
      </c>
      <c r="P131" s="1492" t="s">
        <v>1885</v>
      </c>
      <c r="Q131" s="1493" t="s">
        <v>635</v>
      </c>
      <c r="R131" s="1494"/>
      <c r="S131" s="1493">
        <v>60.7</v>
      </c>
      <c r="T131" s="1493" t="s">
        <v>1199</v>
      </c>
      <c r="U131" s="1493">
        <v>2.5299999999999998</v>
      </c>
      <c r="V131" s="1495" t="s">
        <v>1883</v>
      </c>
      <c r="W131" s="1496">
        <v>874.9</v>
      </c>
      <c r="X131" s="1497" t="s">
        <v>1883</v>
      </c>
      <c r="Y131" s="1498">
        <v>8.6132293217530007E-2</v>
      </c>
      <c r="Z131" s="1498">
        <v>0.32934869702405001</v>
      </c>
      <c r="AA131" s="1498">
        <v>0.79043687285773001</v>
      </c>
      <c r="AB131" s="1498">
        <v>2.3800000000000002E-2</v>
      </c>
      <c r="AC131" s="1499" t="s">
        <v>1199</v>
      </c>
      <c r="AD131" s="1500" t="s">
        <v>635</v>
      </c>
      <c r="AE131" s="1501"/>
      <c r="AF131" s="1502">
        <v>2.9999999999999997E-4</v>
      </c>
      <c r="AG131" s="1503" t="s">
        <v>1119</v>
      </c>
      <c r="AH131" s="1502">
        <v>0.02</v>
      </c>
      <c r="AI131" s="1503" t="s">
        <v>1073</v>
      </c>
      <c r="AJ131" s="1502">
        <v>0.02</v>
      </c>
      <c r="AK131" s="1503" t="s">
        <v>1119</v>
      </c>
      <c r="AL131" s="1503" t="s">
        <v>1127</v>
      </c>
      <c r="AM131" s="1503" t="s">
        <v>1906</v>
      </c>
      <c r="AN131" s="1504">
        <v>1</v>
      </c>
      <c r="AO131" s="1504" t="s">
        <v>635</v>
      </c>
      <c r="AP131" s="1506">
        <v>786</v>
      </c>
    </row>
    <row r="132" spans="1:42" ht="30">
      <c r="A132" s="1507" t="s">
        <v>2132</v>
      </c>
      <c r="B132" s="1508" t="s">
        <v>2133</v>
      </c>
      <c r="C132" s="1509">
        <v>178.06</v>
      </c>
      <c r="D132" s="1510" t="s">
        <v>1883</v>
      </c>
      <c r="E132" s="1511">
        <v>6.3777596079999998E-5</v>
      </c>
      <c r="F132" s="1511">
        <v>1.5600000000000001E-6</v>
      </c>
      <c r="G132" s="1512" t="s">
        <v>1883</v>
      </c>
      <c r="H132" s="1511">
        <v>4.0800000000000003E-2</v>
      </c>
      <c r="I132" s="1512" t="s">
        <v>1883</v>
      </c>
      <c r="J132" s="1513">
        <v>163.91</v>
      </c>
      <c r="K132" s="1514" t="s">
        <v>1199</v>
      </c>
      <c r="L132" s="1515" t="s">
        <v>635</v>
      </c>
      <c r="M132" s="1538"/>
      <c r="N132" s="1517">
        <v>6.00310613274E-2</v>
      </c>
      <c r="O132" s="1517">
        <v>7.0141555866799999E-6</v>
      </c>
      <c r="P132" s="1518" t="s">
        <v>1885</v>
      </c>
      <c r="Q132" s="1519" t="s">
        <v>635</v>
      </c>
      <c r="R132" s="1520"/>
      <c r="S132" s="1519">
        <v>351.9</v>
      </c>
      <c r="T132" s="1519" t="s">
        <v>1199</v>
      </c>
      <c r="U132" s="1519">
        <v>2.27</v>
      </c>
      <c r="V132" s="1521" t="s">
        <v>1883</v>
      </c>
      <c r="W132" s="1522">
        <v>953.9</v>
      </c>
      <c r="X132" s="1523" t="s">
        <v>1883</v>
      </c>
      <c r="Y132" s="1524">
        <v>9.2380932480000001E-5</v>
      </c>
      <c r="Z132" s="1524">
        <v>1.0446835341946801</v>
      </c>
      <c r="AA132" s="1524">
        <v>2.5072404820672398</v>
      </c>
      <c r="AB132" s="1524">
        <v>1.8E-5</v>
      </c>
      <c r="AC132" s="1525" t="s">
        <v>1199</v>
      </c>
      <c r="AD132" s="1526">
        <v>0.46</v>
      </c>
      <c r="AE132" s="1529" t="s">
        <v>1073</v>
      </c>
      <c r="AF132" s="1528" t="s">
        <v>635</v>
      </c>
      <c r="AG132" s="1527"/>
      <c r="AH132" s="1528" t="s">
        <v>635</v>
      </c>
      <c r="AI132" s="1527"/>
      <c r="AJ132" s="1528" t="s">
        <v>635</v>
      </c>
      <c r="AK132" s="1527"/>
      <c r="AL132" s="1527"/>
      <c r="AM132" s="1527"/>
      <c r="AN132" s="1530">
        <v>1</v>
      </c>
      <c r="AO132" s="1531">
        <v>0.1</v>
      </c>
      <c r="AP132" s="1532" t="s">
        <v>635</v>
      </c>
    </row>
    <row r="133" spans="1:42" ht="30">
      <c r="A133" s="1481" t="s">
        <v>2134</v>
      </c>
      <c r="B133" s="1482" t="s">
        <v>2135</v>
      </c>
      <c r="C133" s="1483">
        <v>141.6</v>
      </c>
      <c r="D133" s="1484" t="s">
        <v>1883</v>
      </c>
      <c r="E133" s="1485">
        <v>8.1357318069999999E-5</v>
      </c>
      <c r="F133" s="1485">
        <v>1.99E-6</v>
      </c>
      <c r="G133" s="1486" t="s">
        <v>1883</v>
      </c>
      <c r="H133" s="1485">
        <v>4.0800000000000003E-2</v>
      </c>
      <c r="I133" s="1486" t="s">
        <v>1883</v>
      </c>
      <c r="J133" s="1487">
        <v>30.3</v>
      </c>
      <c r="K133" s="1488" t="s">
        <v>1883</v>
      </c>
      <c r="L133" s="1489" t="s">
        <v>635</v>
      </c>
      <c r="M133" s="1533"/>
      <c r="N133" s="1491">
        <v>6.9937713886169997E-2</v>
      </c>
      <c r="O133" s="1491">
        <v>8.1716697277500003E-6</v>
      </c>
      <c r="P133" s="1492" t="s">
        <v>1885</v>
      </c>
      <c r="Q133" s="1493" t="s">
        <v>635</v>
      </c>
      <c r="R133" s="1494"/>
      <c r="S133" s="1493">
        <v>184.5</v>
      </c>
      <c r="T133" s="1493" t="s">
        <v>1199</v>
      </c>
      <c r="U133" s="1493">
        <v>2.27</v>
      </c>
      <c r="V133" s="1495" t="s">
        <v>1883</v>
      </c>
      <c r="W133" s="1496">
        <v>953.9</v>
      </c>
      <c r="X133" s="1497" t="s">
        <v>1883</v>
      </c>
      <c r="Y133" s="1498">
        <v>3.698023268542E-2</v>
      </c>
      <c r="Z133" s="1498">
        <v>0.65284299668175005</v>
      </c>
      <c r="AA133" s="1498">
        <v>1.5668231920361999</v>
      </c>
      <c r="AB133" s="1498">
        <v>8.0800000000000004E-3</v>
      </c>
      <c r="AC133" s="1499" t="s">
        <v>1199</v>
      </c>
      <c r="AD133" s="1500">
        <v>0.1</v>
      </c>
      <c r="AE133" s="1503" t="s">
        <v>1909</v>
      </c>
      <c r="AF133" s="1502">
        <v>7.7000000000000001E-5</v>
      </c>
      <c r="AG133" s="1503" t="s">
        <v>1900</v>
      </c>
      <c r="AH133" s="1502">
        <v>3.0000000000000001E-3</v>
      </c>
      <c r="AI133" s="1503" t="s">
        <v>1893</v>
      </c>
      <c r="AJ133" s="1502" t="s">
        <v>635</v>
      </c>
      <c r="AK133" s="1501"/>
      <c r="AL133" s="1501"/>
      <c r="AM133" s="1501"/>
      <c r="AN133" s="1504">
        <v>1</v>
      </c>
      <c r="AO133" s="1505">
        <v>0.1</v>
      </c>
      <c r="AP133" s="1506" t="s">
        <v>635</v>
      </c>
    </row>
    <row r="134" spans="1:42" ht="30">
      <c r="A134" s="1481" t="s">
        <v>2136</v>
      </c>
      <c r="B134" s="1482" t="s">
        <v>2137</v>
      </c>
      <c r="C134" s="1483">
        <v>78.498999999999995</v>
      </c>
      <c r="D134" s="1484" t="s">
        <v>1883</v>
      </c>
      <c r="E134" s="1485">
        <v>9.7710547832999999E-4</v>
      </c>
      <c r="F134" s="1485">
        <v>2.3900000000000002E-5</v>
      </c>
      <c r="G134" s="1486" t="s">
        <v>1883</v>
      </c>
      <c r="H134" s="1485">
        <v>64.266000000000005</v>
      </c>
      <c r="I134" s="1486" t="s">
        <v>1883</v>
      </c>
      <c r="J134" s="1487">
        <v>-16.3</v>
      </c>
      <c r="K134" s="1488" t="s">
        <v>1883</v>
      </c>
      <c r="L134" s="1489">
        <v>1.19</v>
      </c>
      <c r="M134" s="1490" t="s">
        <v>1884</v>
      </c>
      <c r="N134" s="1491">
        <v>0.10150602975297</v>
      </c>
      <c r="O134" s="1491">
        <v>1.229366781E-5</v>
      </c>
      <c r="P134" s="1492" t="s">
        <v>1885</v>
      </c>
      <c r="Q134" s="1493" t="s">
        <v>635</v>
      </c>
      <c r="R134" s="1494"/>
      <c r="S134" s="1493">
        <v>1</v>
      </c>
      <c r="T134" s="1493" t="s">
        <v>1199</v>
      </c>
      <c r="U134" s="1493">
        <v>0.09</v>
      </c>
      <c r="V134" s="1495" t="s">
        <v>1883</v>
      </c>
      <c r="W134" s="1496">
        <v>110700</v>
      </c>
      <c r="X134" s="1497" t="s">
        <v>1883</v>
      </c>
      <c r="Y134" s="1498">
        <v>2.2149915349700001E-3</v>
      </c>
      <c r="Z134" s="1498">
        <v>0.28936310077380001</v>
      </c>
      <c r="AA134" s="1498">
        <v>0.69447144185712995</v>
      </c>
      <c r="AB134" s="1498">
        <v>6.4999999999999997E-4</v>
      </c>
      <c r="AC134" s="1499" t="s">
        <v>1199</v>
      </c>
      <c r="AD134" s="1500">
        <v>0.27</v>
      </c>
      <c r="AE134" s="1503" t="s">
        <v>1893</v>
      </c>
      <c r="AF134" s="1502" t="s">
        <v>635</v>
      </c>
      <c r="AG134" s="1501"/>
      <c r="AH134" s="1502" t="s">
        <v>635</v>
      </c>
      <c r="AI134" s="1501"/>
      <c r="AJ134" s="1502" t="s">
        <v>635</v>
      </c>
      <c r="AK134" s="1501"/>
      <c r="AL134" s="1503" t="s">
        <v>1127</v>
      </c>
      <c r="AM134" s="1501"/>
      <c r="AN134" s="1504">
        <v>1</v>
      </c>
      <c r="AO134" s="1504" t="s">
        <v>635</v>
      </c>
      <c r="AP134" s="1506">
        <v>11800</v>
      </c>
    </row>
    <row r="135" spans="1:42" ht="30">
      <c r="A135" s="1507" t="s">
        <v>2138</v>
      </c>
      <c r="B135" s="1508" t="s">
        <v>2139</v>
      </c>
      <c r="C135" s="1509">
        <v>94.498000000000005</v>
      </c>
      <c r="D135" s="1510" t="s">
        <v>1883</v>
      </c>
      <c r="E135" s="1511">
        <v>3.7857726901099998E-7</v>
      </c>
      <c r="F135" s="1511">
        <v>9.2599999999999999E-9</v>
      </c>
      <c r="G135" s="1512" t="s">
        <v>1883</v>
      </c>
      <c r="H135" s="1511">
        <v>6.5000000000000002E-2</v>
      </c>
      <c r="I135" s="1512" t="s">
        <v>1883</v>
      </c>
      <c r="J135" s="1513">
        <v>63</v>
      </c>
      <c r="K135" s="1514" t="s">
        <v>1883</v>
      </c>
      <c r="L135" s="1515">
        <v>1.4043000000000001</v>
      </c>
      <c r="M135" s="1516" t="s">
        <v>1884</v>
      </c>
      <c r="N135" s="1517">
        <v>9.3822300166769998E-2</v>
      </c>
      <c r="O135" s="1517">
        <v>1.214770226E-5</v>
      </c>
      <c r="P135" s="1518" t="s">
        <v>1885</v>
      </c>
      <c r="Q135" s="1519" t="s">
        <v>635</v>
      </c>
      <c r="R135" s="1520"/>
      <c r="S135" s="1519">
        <v>1.44</v>
      </c>
      <c r="T135" s="1519" t="s">
        <v>1199</v>
      </c>
      <c r="U135" s="1519">
        <v>0.22</v>
      </c>
      <c r="V135" s="1521" t="s">
        <v>1883</v>
      </c>
      <c r="W135" s="1522">
        <v>858000</v>
      </c>
      <c r="X135" s="1523" t="s">
        <v>1883</v>
      </c>
      <c r="Y135" s="1524">
        <v>2.4190354966399999E-3</v>
      </c>
      <c r="Z135" s="1524">
        <v>0.35566206820418</v>
      </c>
      <c r="AA135" s="1524">
        <v>0.85358896369004</v>
      </c>
      <c r="AB135" s="1524">
        <v>6.4700000000000001E-4</v>
      </c>
      <c r="AC135" s="1525" t="s">
        <v>1199</v>
      </c>
      <c r="AD135" s="1526" t="s">
        <v>635</v>
      </c>
      <c r="AE135" s="1527"/>
      <c r="AF135" s="1528" t="s">
        <v>635</v>
      </c>
      <c r="AG135" s="1527"/>
      <c r="AH135" s="1528">
        <v>3.5000000000000001E-3</v>
      </c>
      <c r="AI135" s="1529" t="s">
        <v>1900</v>
      </c>
      <c r="AJ135" s="1528" t="s">
        <v>635</v>
      </c>
      <c r="AK135" s="1527"/>
      <c r="AL135" s="1527"/>
      <c r="AM135" s="1527"/>
      <c r="AN135" s="1530">
        <v>1</v>
      </c>
      <c r="AO135" s="1531">
        <v>0.1</v>
      </c>
      <c r="AP135" s="1532" t="s">
        <v>635</v>
      </c>
    </row>
    <row r="136" spans="1:42" ht="30">
      <c r="A136" s="1481" t="s">
        <v>2140</v>
      </c>
      <c r="B136" s="1482" t="s">
        <v>2141</v>
      </c>
      <c r="C136" s="1483">
        <v>154.6</v>
      </c>
      <c r="D136" s="1484" t="s">
        <v>1883</v>
      </c>
      <c r="E136" s="1485">
        <v>1.4145543744999999E-4</v>
      </c>
      <c r="F136" s="1485">
        <v>3.4599999999999999E-6</v>
      </c>
      <c r="G136" s="1486" t="s">
        <v>1883</v>
      </c>
      <c r="H136" s="1485">
        <v>5.4000000000000003E-3</v>
      </c>
      <c r="I136" s="1486" t="s">
        <v>1883</v>
      </c>
      <c r="J136" s="1487">
        <v>56.5</v>
      </c>
      <c r="K136" s="1488" t="s">
        <v>1883</v>
      </c>
      <c r="L136" s="1489">
        <v>1.3240000000000001</v>
      </c>
      <c r="M136" s="1490" t="s">
        <v>1884</v>
      </c>
      <c r="N136" s="1491">
        <v>5.2239092563819998E-2</v>
      </c>
      <c r="O136" s="1491">
        <v>8.7272791776800002E-6</v>
      </c>
      <c r="P136" s="1492" t="s">
        <v>1885</v>
      </c>
      <c r="Q136" s="1493" t="s">
        <v>635</v>
      </c>
      <c r="R136" s="1494"/>
      <c r="S136" s="1493">
        <v>98.9</v>
      </c>
      <c r="T136" s="1493" t="s">
        <v>1199</v>
      </c>
      <c r="U136" s="1493">
        <v>1.93</v>
      </c>
      <c r="V136" s="1495" t="s">
        <v>1883</v>
      </c>
      <c r="W136" s="1496">
        <v>1100</v>
      </c>
      <c r="X136" s="1497" t="s">
        <v>1949</v>
      </c>
      <c r="Y136" s="1498">
        <v>1.9415895702159999E-2</v>
      </c>
      <c r="Z136" s="1498">
        <v>0.77198480042770001</v>
      </c>
      <c r="AA136" s="1498">
        <v>1.8527635210264799</v>
      </c>
      <c r="AB136" s="1498">
        <v>4.0600000000000002E-3</v>
      </c>
      <c r="AC136" s="1499" t="s">
        <v>1199</v>
      </c>
      <c r="AD136" s="1500" t="s">
        <v>635</v>
      </c>
      <c r="AE136" s="1501"/>
      <c r="AF136" s="1502" t="s">
        <v>635</v>
      </c>
      <c r="AG136" s="1501"/>
      <c r="AH136" s="1502" t="s">
        <v>635</v>
      </c>
      <c r="AI136" s="1501"/>
      <c r="AJ136" s="1502">
        <v>3.0000000000000001E-5</v>
      </c>
      <c r="AK136" s="1503" t="s">
        <v>1119</v>
      </c>
      <c r="AL136" s="1501"/>
      <c r="AM136" s="1501"/>
      <c r="AN136" s="1504">
        <v>1</v>
      </c>
      <c r="AO136" s="1505">
        <v>0.1</v>
      </c>
      <c r="AP136" s="1506" t="s">
        <v>635</v>
      </c>
    </row>
    <row r="137" spans="1:42" ht="30">
      <c r="A137" s="1481" t="s">
        <v>122</v>
      </c>
      <c r="B137" s="1482" t="s">
        <v>2142</v>
      </c>
      <c r="C137" s="1483">
        <v>127.57</v>
      </c>
      <c r="D137" s="1484" t="s">
        <v>1883</v>
      </c>
      <c r="E137" s="1485">
        <v>4.7424366309999998E-5</v>
      </c>
      <c r="F137" s="1485">
        <v>1.1599999999999999E-6</v>
      </c>
      <c r="G137" s="1486" t="s">
        <v>1199</v>
      </c>
      <c r="H137" s="1485">
        <v>2.7E-2</v>
      </c>
      <c r="I137" s="1486" t="s">
        <v>1883</v>
      </c>
      <c r="J137" s="1487">
        <v>72.5</v>
      </c>
      <c r="K137" s="1488" t="s">
        <v>1883</v>
      </c>
      <c r="L137" s="1489">
        <v>1.429</v>
      </c>
      <c r="M137" s="1490" t="s">
        <v>1884</v>
      </c>
      <c r="N137" s="1491">
        <v>7.0384718250269998E-2</v>
      </c>
      <c r="O137" s="1491">
        <v>1.0252787949999999E-5</v>
      </c>
      <c r="P137" s="1492" t="s">
        <v>1885</v>
      </c>
      <c r="Q137" s="1493" t="s">
        <v>635</v>
      </c>
      <c r="R137" s="1494"/>
      <c r="S137" s="1493">
        <v>112.7</v>
      </c>
      <c r="T137" s="1493" t="s">
        <v>1199</v>
      </c>
      <c r="U137" s="1493">
        <v>1.83</v>
      </c>
      <c r="V137" s="1495" t="s">
        <v>1883</v>
      </c>
      <c r="W137" s="1496">
        <v>3900</v>
      </c>
      <c r="X137" s="1497" t="s">
        <v>1883</v>
      </c>
      <c r="Y137" s="1498">
        <v>2.154679135629E-2</v>
      </c>
      <c r="Z137" s="1498">
        <v>0.54480457964845996</v>
      </c>
      <c r="AA137" s="1498">
        <v>1.3075309911563</v>
      </c>
      <c r="AB137" s="1498">
        <v>4.96E-3</v>
      </c>
      <c r="AC137" s="1499" t="s">
        <v>1199</v>
      </c>
      <c r="AD137" s="1500">
        <v>0.2</v>
      </c>
      <c r="AE137" s="1503" t="s">
        <v>1909</v>
      </c>
      <c r="AF137" s="1502" t="s">
        <v>635</v>
      </c>
      <c r="AG137" s="1501"/>
      <c r="AH137" s="1502">
        <v>5.0000000000000001E-4</v>
      </c>
      <c r="AI137" s="1503" t="s">
        <v>1909</v>
      </c>
      <c r="AJ137" s="1502" t="s">
        <v>635</v>
      </c>
      <c r="AK137" s="1501"/>
      <c r="AL137" s="1501"/>
      <c r="AM137" s="1501"/>
      <c r="AN137" s="1504">
        <v>1</v>
      </c>
      <c r="AO137" s="1505">
        <v>0.1</v>
      </c>
      <c r="AP137" s="1506" t="s">
        <v>635</v>
      </c>
    </row>
    <row r="138" spans="1:42" ht="30">
      <c r="A138" s="1507" t="s">
        <v>124</v>
      </c>
      <c r="B138" s="1508" t="s">
        <v>123</v>
      </c>
      <c r="C138" s="1509">
        <v>112.56</v>
      </c>
      <c r="D138" s="1510" t="s">
        <v>1883</v>
      </c>
      <c r="E138" s="1511">
        <v>0.12714636140638</v>
      </c>
      <c r="F138" s="1511">
        <v>3.1099999999999999E-3</v>
      </c>
      <c r="G138" s="1512" t="s">
        <v>1883</v>
      </c>
      <c r="H138" s="1511">
        <v>11.97</v>
      </c>
      <c r="I138" s="1512" t="s">
        <v>1883</v>
      </c>
      <c r="J138" s="1513">
        <v>-45.31</v>
      </c>
      <c r="K138" s="1514" t="s">
        <v>1883</v>
      </c>
      <c r="L138" s="1515">
        <v>1.1057999999999999</v>
      </c>
      <c r="M138" s="1516" t="s">
        <v>1884</v>
      </c>
      <c r="N138" s="1517">
        <v>7.2130615287710004E-2</v>
      </c>
      <c r="O138" s="1517">
        <v>9.4764848418399994E-6</v>
      </c>
      <c r="P138" s="1518" t="s">
        <v>1885</v>
      </c>
      <c r="Q138" s="1519" t="s">
        <v>635</v>
      </c>
      <c r="R138" s="1520"/>
      <c r="S138" s="1519">
        <v>233.9</v>
      </c>
      <c r="T138" s="1519" t="s">
        <v>1199</v>
      </c>
      <c r="U138" s="1519">
        <v>2.84</v>
      </c>
      <c r="V138" s="1521" t="s">
        <v>1883</v>
      </c>
      <c r="W138" s="1522">
        <v>498</v>
      </c>
      <c r="X138" s="1523" t="s">
        <v>1883</v>
      </c>
      <c r="Y138" s="1524">
        <v>0.11507150748261</v>
      </c>
      <c r="Z138" s="1524">
        <v>0.44893632760023999</v>
      </c>
      <c r="AA138" s="1524">
        <v>1.0774471862405699</v>
      </c>
      <c r="AB138" s="1524">
        <v>2.8199999999999999E-2</v>
      </c>
      <c r="AC138" s="1525" t="s">
        <v>1199</v>
      </c>
      <c r="AD138" s="1526" t="s">
        <v>635</v>
      </c>
      <c r="AE138" s="1527"/>
      <c r="AF138" s="1528" t="s">
        <v>635</v>
      </c>
      <c r="AG138" s="1527"/>
      <c r="AH138" s="1528">
        <v>0.02</v>
      </c>
      <c r="AI138" s="1529" t="s">
        <v>1119</v>
      </c>
      <c r="AJ138" s="1528">
        <v>0.05</v>
      </c>
      <c r="AK138" s="1529" t="s">
        <v>1909</v>
      </c>
      <c r="AL138" s="1529" t="s">
        <v>1127</v>
      </c>
      <c r="AM138" s="1527"/>
      <c r="AN138" s="1530">
        <v>1</v>
      </c>
      <c r="AO138" s="1530" t="s">
        <v>635</v>
      </c>
      <c r="AP138" s="1532">
        <v>761</v>
      </c>
    </row>
    <row r="139" spans="1:42" ht="30">
      <c r="A139" s="1481" t="s">
        <v>2143</v>
      </c>
      <c r="B139" s="1482" t="s">
        <v>2144</v>
      </c>
      <c r="C139" s="1483">
        <v>192.62</v>
      </c>
      <c r="D139" s="1484" t="s">
        <v>1883</v>
      </c>
      <c r="E139" s="1485">
        <v>7.6042518397399999E-8</v>
      </c>
      <c r="F139" s="1485">
        <v>1.86E-9</v>
      </c>
      <c r="G139" s="1486" t="s">
        <v>1883</v>
      </c>
      <c r="H139" s="1485">
        <v>4.2799999999999997E-6</v>
      </c>
      <c r="I139" s="1486" t="s">
        <v>1883</v>
      </c>
      <c r="J139" s="1487">
        <v>67</v>
      </c>
      <c r="K139" s="1488" t="s">
        <v>1883</v>
      </c>
      <c r="L139" s="1489" t="s">
        <v>635</v>
      </c>
      <c r="M139" s="1533"/>
      <c r="N139" s="1491">
        <v>5.696647523692E-2</v>
      </c>
      <c r="O139" s="1491">
        <v>6.6560828961000002E-6</v>
      </c>
      <c r="P139" s="1492" t="s">
        <v>1885</v>
      </c>
      <c r="Q139" s="1493" t="s">
        <v>635</v>
      </c>
      <c r="R139" s="1494"/>
      <c r="S139" s="1493">
        <v>16.059999999999999</v>
      </c>
      <c r="T139" s="1493" t="s">
        <v>1199</v>
      </c>
      <c r="U139" s="1493">
        <v>-0.52</v>
      </c>
      <c r="V139" s="1495" t="s">
        <v>1883</v>
      </c>
      <c r="W139" s="1496">
        <v>306300</v>
      </c>
      <c r="X139" s="1497" t="s">
        <v>1883</v>
      </c>
      <c r="Y139" s="1498">
        <v>3.1280591539999998E-4</v>
      </c>
      <c r="Z139" s="1498">
        <v>1.2604358572543299</v>
      </c>
      <c r="AA139" s="1498">
        <v>3.0250460574103899</v>
      </c>
      <c r="AB139" s="1498">
        <v>5.8600000000000001E-5</v>
      </c>
      <c r="AC139" s="1499" t="s">
        <v>1199</v>
      </c>
      <c r="AD139" s="1500" t="s">
        <v>635</v>
      </c>
      <c r="AE139" s="1501"/>
      <c r="AF139" s="1502" t="s">
        <v>635</v>
      </c>
      <c r="AG139" s="1501"/>
      <c r="AH139" s="1502">
        <v>0.1</v>
      </c>
      <c r="AI139" s="1503" t="s">
        <v>1893</v>
      </c>
      <c r="AJ139" s="1502" t="s">
        <v>635</v>
      </c>
      <c r="AK139" s="1501"/>
      <c r="AL139" s="1501"/>
      <c r="AM139" s="1501"/>
      <c r="AN139" s="1504">
        <v>1</v>
      </c>
      <c r="AO139" s="1505">
        <v>0.1</v>
      </c>
      <c r="AP139" s="1506" t="s">
        <v>635</v>
      </c>
    </row>
    <row r="140" spans="1:42" ht="30">
      <c r="A140" s="1481" t="s">
        <v>2145</v>
      </c>
      <c r="B140" s="1482" t="s">
        <v>2146</v>
      </c>
      <c r="C140" s="1483">
        <v>325.19</v>
      </c>
      <c r="D140" s="1484" t="s">
        <v>1883</v>
      </c>
      <c r="E140" s="1485">
        <v>2.9599345870800002E-6</v>
      </c>
      <c r="F140" s="1485">
        <v>7.24E-8</v>
      </c>
      <c r="G140" s="1486" t="s">
        <v>1199</v>
      </c>
      <c r="H140" s="1485">
        <v>2.2000000000000001E-6</v>
      </c>
      <c r="I140" s="1486" t="s">
        <v>1883</v>
      </c>
      <c r="J140" s="1487">
        <v>37</v>
      </c>
      <c r="K140" s="1488" t="s">
        <v>1883</v>
      </c>
      <c r="L140" s="1489">
        <v>1.2816000000000001</v>
      </c>
      <c r="M140" s="1490" t="s">
        <v>1884</v>
      </c>
      <c r="N140" s="1491">
        <v>2.1776687430309999E-2</v>
      </c>
      <c r="O140" s="1491">
        <v>5.4782388262000001E-6</v>
      </c>
      <c r="P140" s="1492" t="s">
        <v>1885</v>
      </c>
      <c r="Q140" s="1493" t="s">
        <v>635</v>
      </c>
      <c r="R140" s="1494"/>
      <c r="S140" s="1493">
        <v>1539</v>
      </c>
      <c r="T140" s="1493" t="s">
        <v>1199</v>
      </c>
      <c r="U140" s="1493">
        <v>4.74</v>
      </c>
      <c r="V140" s="1495" t="s">
        <v>1883</v>
      </c>
      <c r="W140" s="1496">
        <v>13</v>
      </c>
      <c r="X140" s="1497" t="s">
        <v>1883</v>
      </c>
      <c r="Y140" s="1498">
        <v>0.22957428310788</v>
      </c>
      <c r="Z140" s="1498">
        <v>6.9648657490346597</v>
      </c>
      <c r="AA140" s="1498">
        <v>16.715677797683199</v>
      </c>
      <c r="AB140" s="1498">
        <v>3.3099999999999997E-2</v>
      </c>
      <c r="AC140" s="1499" t="s">
        <v>1199</v>
      </c>
      <c r="AD140" s="1500">
        <v>0.11</v>
      </c>
      <c r="AE140" s="1503" t="s">
        <v>1900</v>
      </c>
      <c r="AF140" s="1502">
        <v>3.1000000000000001E-5</v>
      </c>
      <c r="AG140" s="1503" t="s">
        <v>1900</v>
      </c>
      <c r="AH140" s="1502">
        <v>0.02</v>
      </c>
      <c r="AI140" s="1503" t="s">
        <v>1119</v>
      </c>
      <c r="AJ140" s="1502" t="s">
        <v>635</v>
      </c>
      <c r="AK140" s="1501"/>
      <c r="AL140" s="1501"/>
      <c r="AM140" s="1501"/>
      <c r="AN140" s="1504">
        <v>1</v>
      </c>
      <c r="AO140" s="1505">
        <v>0.1</v>
      </c>
      <c r="AP140" s="1506" t="s">
        <v>635</v>
      </c>
    </row>
    <row r="141" spans="1:42" ht="30">
      <c r="A141" s="1507" t="s">
        <v>2147</v>
      </c>
      <c r="B141" s="1508" t="s">
        <v>2148</v>
      </c>
      <c r="C141" s="1509">
        <v>156.57</v>
      </c>
      <c r="D141" s="1510" t="s">
        <v>1883</v>
      </c>
      <c r="E141" s="1511">
        <v>3.2829108748999998E-6</v>
      </c>
      <c r="F141" s="1511">
        <v>8.0299999999999998E-8</v>
      </c>
      <c r="G141" s="1512" t="s">
        <v>1883</v>
      </c>
      <c r="H141" s="1511">
        <v>2.33E-3</v>
      </c>
      <c r="I141" s="1512" t="s">
        <v>1883</v>
      </c>
      <c r="J141" s="1513">
        <v>243</v>
      </c>
      <c r="K141" s="1514" t="s">
        <v>1883</v>
      </c>
      <c r="L141" s="1515">
        <v>1.5409999999999999</v>
      </c>
      <c r="M141" s="1516" t="s">
        <v>1949</v>
      </c>
      <c r="N141" s="1517">
        <v>5.4688537701709998E-2</v>
      </c>
      <c r="O141" s="1517">
        <v>9.4869852169799999E-6</v>
      </c>
      <c r="P141" s="1518" t="s">
        <v>1885</v>
      </c>
      <c r="Q141" s="1519" t="s">
        <v>635</v>
      </c>
      <c r="R141" s="1520"/>
      <c r="S141" s="1519">
        <v>26.56</v>
      </c>
      <c r="T141" s="1519" t="s">
        <v>1199</v>
      </c>
      <c r="U141" s="1519">
        <v>2.65</v>
      </c>
      <c r="V141" s="1521" t="s">
        <v>1883</v>
      </c>
      <c r="W141" s="1522">
        <v>72</v>
      </c>
      <c r="X141" s="1523" t="s">
        <v>1883</v>
      </c>
      <c r="Y141" s="1524">
        <v>5.7751354398929998E-2</v>
      </c>
      <c r="Z141" s="1524">
        <v>0.79184604081846999</v>
      </c>
      <c r="AA141" s="1524">
        <v>1.90043049796434</v>
      </c>
      <c r="AB141" s="1524">
        <v>1.2E-2</v>
      </c>
      <c r="AC141" s="1525" t="s">
        <v>1199</v>
      </c>
      <c r="AD141" s="1526" t="s">
        <v>635</v>
      </c>
      <c r="AE141" s="1527"/>
      <c r="AF141" s="1528" t="s">
        <v>635</v>
      </c>
      <c r="AG141" s="1527"/>
      <c r="AH141" s="1528">
        <v>0.03</v>
      </c>
      <c r="AI141" s="1529" t="s">
        <v>1893</v>
      </c>
      <c r="AJ141" s="1528" t="s">
        <v>635</v>
      </c>
      <c r="AK141" s="1527"/>
      <c r="AL141" s="1527"/>
      <c r="AM141" s="1527"/>
      <c r="AN141" s="1530">
        <v>1</v>
      </c>
      <c r="AO141" s="1531">
        <v>0.1</v>
      </c>
      <c r="AP141" s="1532" t="s">
        <v>635</v>
      </c>
    </row>
    <row r="142" spans="1:42" ht="30">
      <c r="A142" s="1481" t="s">
        <v>2149</v>
      </c>
      <c r="B142" s="1482" t="s">
        <v>2150</v>
      </c>
      <c r="C142" s="1483">
        <v>180.56</v>
      </c>
      <c r="D142" s="1484" t="s">
        <v>1883</v>
      </c>
      <c r="E142" s="1485">
        <v>1.41864268192968</v>
      </c>
      <c r="F142" s="1485">
        <v>3.4700000000000002E-2</v>
      </c>
      <c r="G142" s="1486" t="s">
        <v>1883</v>
      </c>
      <c r="H142" s="1485">
        <v>7.63</v>
      </c>
      <c r="I142" s="1486" t="s">
        <v>1883</v>
      </c>
      <c r="J142" s="1487">
        <v>-33</v>
      </c>
      <c r="K142" s="1488" t="s">
        <v>1883</v>
      </c>
      <c r="L142" s="1489">
        <v>1.3340000000000001</v>
      </c>
      <c r="M142" s="1490" t="s">
        <v>1884</v>
      </c>
      <c r="N142" s="1491">
        <v>3.8499520148579998E-2</v>
      </c>
      <c r="O142" s="1491">
        <v>7.9871592145799999E-6</v>
      </c>
      <c r="P142" s="1492" t="s">
        <v>1885</v>
      </c>
      <c r="Q142" s="1493" t="s">
        <v>635</v>
      </c>
      <c r="R142" s="1494"/>
      <c r="S142" s="1493">
        <v>1606</v>
      </c>
      <c r="T142" s="1493" t="s">
        <v>1199</v>
      </c>
      <c r="U142" s="1493">
        <v>3.6</v>
      </c>
      <c r="V142" s="1495" t="s">
        <v>1883</v>
      </c>
      <c r="W142" s="1496">
        <v>29</v>
      </c>
      <c r="X142" s="1497" t="s">
        <v>1883</v>
      </c>
      <c r="Y142" s="1498">
        <v>0.19380665806431999</v>
      </c>
      <c r="Z142" s="1498">
        <v>1.0789088353506799</v>
      </c>
      <c r="AA142" s="1498">
        <v>2.58938120484164</v>
      </c>
      <c r="AB142" s="1498">
        <v>3.7499999999999999E-2</v>
      </c>
      <c r="AC142" s="1499" t="s">
        <v>1199</v>
      </c>
      <c r="AD142" s="1500" t="s">
        <v>635</v>
      </c>
      <c r="AE142" s="1501"/>
      <c r="AF142" s="1502">
        <v>8.6000000000000007E-6</v>
      </c>
      <c r="AG142" s="1503" t="s">
        <v>1900</v>
      </c>
      <c r="AH142" s="1502">
        <v>3.0000000000000001E-3</v>
      </c>
      <c r="AI142" s="1503" t="s">
        <v>1909</v>
      </c>
      <c r="AJ142" s="1502">
        <v>0.3</v>
      </c>
      <c r="AK142" s="1503" t="s">
        <v>1909</v>
      </c>
      <c r="AL142" s="1503" t="s">
        <v>1127</v>
      </c>
      <c r="AM142" s="1501"/>
      <c r="AN142" s="1504">
        <v>1</v>
      </c>
      <c r="AO142" s="1504" t="s">
        <v>635</v>
      </c>
      <c r="AP142" s="1506">
        <v>290</v>
      </c>
    </row>
    <row r="143" spans="1:42" ht="30">
      <c r="A143" s="1481" t="s">
        <v>2151</v>
      </c>
      <c r="B143" s="1482" t="s">
        <v>2152</v>
      </c>
      <c r="C143" s="1483">
        <v>92.569000000000003</v>
      </c>
      <c r="D143" s="1484" t="s">
        <v>1883</v>
      </c>
      <c r="E143" s="1485">
        <v>0.68274734260016001</v>
      </c>
      <c r="F143" s="1485">
        <v>1.67E-2</v>
      </c>
      <c r="G143" s="1486" t="s">
        <v>1883</v>
      </c>
      <c r="H143" s="1485">
        <v>101.3</v>
      </c>
      <c r="I143" s="1486" t="s">
        <v>1883</v>
      </c>
      <c r="J143" s="1487">
        <v>-123.1</v>
      </c>
      <c r="K143" s="1488" t="s">
        <v>1883</v>
      </c>
      <c r="L143" s="1489">
        <v>0.88570000000000004</v>
      </c>
      <c r="M143" s="1490" t="s">
        <v>1884</v>
      </c>
      <c r="N143" s="1491">
        <v>7.8413722093889998E-2</v>
      </c>
      <c r="O143" s="1491">
        <v>9.3274819020300001E-6</v>
      </c>
      <c r="P143" s="1492" t="s">
        <v>1885</v>
      </c>
      <c r="Q143" s="1493" t="s">
        <v>635</v>
      </c>
      <c r="R143" s="1494"/>
      <c r="S143" s="1493">
        <v>72.17</v>
      </c>
      <c r="T143" s="1493" t="s">
        <v>1199</v>
      </c>
      <c r="U143" s="1493">
        <v>2.64</v>
      </c>
      <c r="V143" s="1495" t="s">
        <v>1883</v>
      </c>
      <c r="W143" s="1496">
        <v>1100</v>
      </c>
      <c r="X143" s="1497" t="s">
        <v>1883</v>
      </c>
      <c r="Y143" s="1498">
        <v>9.9543227571370005E-2</v>
      </c>
      <c r="Z143" s="1498">
        <v>0.34692464264975997</v>
      </c>
      <c r="AA143" s="1498">
        <v>0.83261914235942003</v>
      </c>
      <c r="AB143" s="1498">
        <v>2.69E-2</v>
      </c>
      <c r="AC143" s="1499" t="s">
        <v>1199</v>
      </c>
      <c r="AD143" s="1500" t="s">
        <v>635</v>
      </c>
      <c r="AE143" s="1501"/>
      <c r="AF143" s="1502" t="s">
        <v>635</v>
      </c>
      <c r="AG143" s="1501"/>
      <c r="AH143" s="1502">
        <v>0.04</v>
      </c>
      <c r="AI143" s="1503" t="s">
        <v>1909</v>
      </c>
      <c r="AJ143" s="1502" t="s">
        <v>635</v>
      </c>
      <c r="AK143" s="1501"/>
      <c r="AL143" s="1503" t="s">
        <v>1127</v>
      </c>
      <c r="AM143" s="1501"/>
      <c r="AN143" s="1504">
        <v>1</v>
      </c>
      <c r="AO143" s="1504" t="s">
        <v>635</v>
      </c>
      <c r="AP143" s="1506">
        <v>728</v>
      </c>
    </row>
    <row r="144" spans="1:42" ht="30">
      <c r="A144" s="1507" t="s">
        <v>2153</v>
      </c>
      <c r="B144" s="1508" t="s">
        <v>2154</v>
      </c>
      <c r="C144" s="1509">
        <v>86.468999999999994</v>
      </c>
      <c r="D144" s="1510" t="s">
        <v>1883</v>
      </c>
      <c r="E144" s="1511">
        <v>1.6598528209321299</v>
      </c>
      <c r="F144" s="1511">
        <v>4.0599999999999997E-2</v>
      </c>
      <c r="G144" s="1512" t="s">
        <v>1883</v>
      </c>
      <c r="H144" s="1511">
        <v>7252</v>
      </c>
      <c r="I144" s="1512" t="s">
        <v>1883</v>
      </c>
      <c r="J144" s="1513">
        <v>-157.4</v>
      </c>
      <c r="K144" s="1514" t="s">
        <v>1883</v>
      </c>
      <c r="L144" s="1515">
        <v>1.4908999999999999</v>
      </c>
      <c r="M144" s="1516" t="s">
        <v>1884</v>
      </c>
      <c r="N144" s="1517">
        <v>0.10337879493502999</v>
      </c>
      <c r="O144" s="1517">
        <v>1.328081168E-5</v>
      </c>
      <c r="P144" s="1518" t="s">
        <v>1885</v>
      </c>
      <c r="Q144" s="1519" t="s">
        <v>635</v>
      </c>
      <c r="R144" s="1520"/>
      <c r="S144" s="1519">
        <v>31.82</v>
      </c>
      <c r="T144" s="1519" t="s">
        <v>1199</v>
      </c>
      <c r="U144" s="1519">
        <v>1.08</v>
      </c>
      <c r="V144" s="1521" t="s">
        <v>1883</v>
      </c>
      <c r="W144" s="1522">
        <v>2770</v>
      </c>
      <c r="X144" s="1523" t="s">
        <v>1883</v>
      </c>
      <c r="Y144" s="1524">
        <v>9.5849900037899994E-3</v>
      </c>
      <c r="Z144" s="1524">
        <v>0.32068241801799002</v>
      </c>
      <c r="AA144" s="1524">
        <v>0.76963780324317999</v>
      </c>
      <c r="AB144" s="1524">
        <v>2.6800000000000001E-3</v>
      </c>
      <c r="AC144" s="1525" t="s">
        <v>1199</v>
      </c>
      <c r="AD144" s="1526" t="s">
        <v>635</v>
      </c>
      <c r="AE144" s="1527"/>
      <c r="AF144" s="1528" t="s">
        <v>635</v>
      </c>
      <c r="AG144" s="1527"/>
      <c r="AH144" s="1528" t="s">
        <v>635</v>
      </c>
      <c r="AI144" s="1527"/>
      <c r="AJ144" s="1528">
        <v>50</v>
      </c>
      <c r="AK144" s="1529" t="s">
        <v>1119</v>
      </c>
      <c r="AL144" s="1529" t="s">
        <v>1127</v>
      </c>
      <c r="AM144" s="1527"/>
      <c r="AN144" s="1530">
        <v>1</v>
      </c>
      <c r="AO144" s="1530" t="s">
        <v>635</v>
      </c>
      <c r="AP144" s="1532">
        <v>1680</v>
      </c>
    </row>
    <row r="145" spans="1:42" ht="30">
      <c r="A145" s="1481" t="s">
        <v>2155</v>
      </c>
      <c r="B145" s="1482" t="s">
        <v>2156</v>
      </c>
      <c r="C145" s="1483">
        <v>80.515000000000001</v>
      </c>
      <c r="D145" s="1484" t="s">
        <v>1883</v>
      </c>
      <c r="E145" s="1485">
        <v>3.1112000000000003E-5</v>
      </c>
      <c r="F145" s="1485">
        <v>7.61E-7</v>
      </c>
      <c r="G145" s="1486" t="s">
        <v>1199</v>
      </c>
      <c r="H145" s="1485">
        <v>7.18</v>
      </c>
      <c r="I145" s="1486" t="s">
        <v>1883</v>
      </c>
      <c r="J145" s="1487">
        <v>-67.5</v>
      </c>
      <c r="K145" s="1488" t="s">
        <v>1883</v>
      </c>
      <c r="L145" s="1489">
        <v>1.2019</v>
      </c>
      <c r="M145" s="1490" t="s">
        <v>1884</v>
      </c>
      <c r="N145" s="1491">
        <v>9.9981331224440001E-2</v>
      </c>
      <c r="O145" s="1491">
        <v>1.2180544260000001E-5</v>
      </c>
      <c r="P145" s="1492" t="s">
        <v>1885</v>
      </c>
      <c r="Q145" s="1493" t="s">
        <v>635</v>
      </c>
      <c r="R145" s="1494"/>
      <c r="S145" s="1493">
        <v>1.9039999999999999</v>
      </c>
      <c r="T145" s="1493" t="s">
        <v>1199</v>
      </c>
      <c r="U145" s="1493">
        <v>0.03</v>
      </c>
      <c r="V145" s="1495" t="s">
        <v>1883</v>
      </c>
      <c r="W145" s="1496">
        <v>1000000</v>
      </c>
      <c r="X145" s="1497" t="s">
        <v>1883</v>
      </c>
      <c r="Y145" s="1498">
        <v>1.99822143977E-3</v>
      </c>
      <c r="Z145" s="1498">
        <v>0.29698379298057997</v>
      </c>
      <c r="AA145" s="1498">
        <v>0.71276110315339003</v>
      </c>
      <c r="AB145" s="1498">
        <v>5.7899999999999998E-4</v>
      </c>
      <c r="AC145" s="1499" t="s">
        <v>1199</v>
      </c>
      <c r="AD145" s="1500" t="s">
        <v>635</v>
      </c>
      <c r="AE145" s="1501"/>
      <c r="AF145" s="1502" t="s">
        <v>635</v>
      </c>
      <c r="AG145" s="1501"/>
      <c r="AH145" s="1502">
        <v>0.02</v>
      </c>
      <c r="AI145" s="1503" t="s">
        <v>1909</v>
      </c>
      <c r="AJ145" s="1502" t="s">
        <v>635</v>
      </c>
      <c r="AK145" s="1501"/>
      <c r="AL145" s="1503" t="s">
        <v>1127</v>
      </c>
      <c r="AM145" s="1501"/>
      <c r="AN145" s="1504">
        <v>1</v>
      </c>
      <c r="AO145" s="1504" t="s">
        <v>635</v>
      </c>
      <c r="AP145" s="1506">
        <v>111000</v>
      </c>
    </row>
    <row r="146" spans="1:42" ht="30">
      <c r="A146" s="1481" t="s">
        <v>128</v>
      </c>
      <c r="B146" s="1482" t="s">
        <v>127</v>
      </c>
      <c r="C146" s="1483">
        <v>119.38</v>
      </c>
      <c r="D146" s="1484" t="s">
        <v>1883</v>
      </c>
      <c r="E146" s="1485">
        <v>0.15004088307440999</v>
      </c>
      <c r="F146" s="1485">
        <v>3.6700000000000001E-3</v>
      </c>
      <c r="G146" s="1486" t="s">
        <v>1883</v>
      </c>
      <c r="H146" s="1485">
        <v>197</v>
      </c>
      <c r="I146" s="1486" t="s">
        <v>1883</v>
      </c>
      <c r="J146" s="1487">
        <v>-63.6</v>
      </c>
      <c r="K146" s="1488" t="s">
        <v>1883</v>
      </c>
      <c r="L146" s="1489">
        <v>1.4787999999999999</v>
      </c>
      <c r="M146" s="1490" t="s">
        <v>1884</v>
      </c>
      <c r="N146" s="1491">
        <v>7.6919657359430002E-2</v>
      </c>
      <c r="O146" s="1491">
        <v>1.089076763E-5</v>
      </c>
      <c r="P146" s="1492" t="s">
        <v>1885</v>
      </c>
      <c r="Q146" s="1493" t="s">
        <v>635</v>
      </c>
      <c r="R146" s="1494"/>
      <c r="S146" s="1493">
        <v>31.82</v>
      </c>
      <c r="T146" s="1493" t="s">
        <v>1199</v>
      </c>
      <c r="U146" s="1493">
        <v>1.97</v>
      </c>
      <c r="V146" s="1495" t="s">
        <v>1883</v>
      </c>
      <c r="W146" s="1496">
        <v>7950</v>
      </c>
      <c r="X146" s="1497" t="s">
        <v>1883</v>
      </c>
      <c r="Y146" s="1498">
        <v>2.8702064957770002E-2</v>
      </c>
      <c r="Z146" s="1498">
        <v>0.49020388588490998</v>
      </c>
      <c r="AA146" s="1498">
        <v>1.1764893261237901</v>
      </c>
      <c r="AB146" s="1498">
        <v>6.8300000000000001E-3</v>
      </c>
      <c r="AC146" s="1499" t="s">
        <v>1199</v>
      </c>
      <c r="AD146" s="1500">
        <v>3.1E-2</v>
      </c>
      <c r="AE146" s="1503" t="s">
        <v>1900</v>
      </c>
      <c r="AF146" s="1502">
        <v>2.3E-5</v>
      </c>
      <c r="AG146" s="1503" t="s">
        <v>1119</v>
      </c>
      <c r="AH146" s="1502">
        <v>0.01</v>
      </c>
      <c r="AI146" s="1503" t="s">
        <v>1119</v>
      </c>
      <c r="AJ146" s="1502">
        <v>1.9499999999999999E-3</v>
      </c>
      <c r="AK146" s="1503" t="s">
        <v>1912</v>
      </c>
      <c r="AL146" s="1503" t="s">
        <v>1127</v>
      </c>
      <c r="AM146" s="1501"/>
      <c r="AN146" s="1504">
        <v>1</v>
      </c>
      <c r="AO146" s="1504" t="s">
        <v>635</v>
      </c>
      <c r="AP146" s="1506">
        <v>2540</v>
      </c>
    </row>
    <row r="147" spans="1:42" ht="30">
      <c r="A147" s="1507" t="s">
        <v>130</v>
      </c>
      <c r="B147" s="1508" t="s">
        <v>129</v>
      </c>
      <c r="C147" s="1509">
        <v>50.488</v>
      </c>
      <c r="D147" s="1510" t="s">
        <v>1883</v>
      </c>
      <c r="E147" s="1511">
        <v>0.36058871627146</v>
      </c>
      <c r="F147" s="1511">
        <v>8.8199999999999997E-3</v>
      </c>
      <c r="G147" s="1512" t="s">
        <v>1883</v>
      </c>
      <c r="H147" s="1511">
        <v>4300</v>
      </c>
      <c r="I147" s="1512" t="s">
        <v>1883</v>
      </c>
      <c r="J147" s="1513">
        <v>-97.7</v>
      </c>
      <c r="K147" s="1514" t="s">
        <v>1883</v>
      </c>
      <c r="L147" s="1515">
        <v>0.91100000000000003</v>
      </c>
      <c r="M147" s="1516" t="s">
        <v>1884</v>
      </c>
      <c r="N147" s="1517">
        <v>0.12396507727202</v>
      </c>
      <c r="O147" s="1517">
        <v>1.3648027769999999E-5</v>
      </c>
      <c r="P147" s="1518" t="s">
        <v>1885</v>
      </c>
      <c r="Q147" s="1519" t="s">
        <v>635</v>
      </c>
      <c r="R147" s="1520"/>
      <c r="S147" s="1519">
        <v>13.22</v>
      </c>
      <c r="T147" s="1519" t="s">
        <v>1199</v>
      </c>
      <c r="U147" s="1519">
        <v>0.91</v>
      </c>
      <c r="V147" s="1521" t="s">
        <v>1883</v>
      </c>
      <c r="W147" s="1522">
        <v>5320</v>
      </c>
      <c r="X147" s="1523" t="s">
        <v>1883</v>
      </c>
      <c r="Y147" s="1524">
        <v>8.9638499759099998E-3</v>
      </c>
      <c r="Z147" s="1524">
        <v>0.20164225687262999</v>
      </c>
      <c r="AA147" s="1524">
        <v>0.4839414164943</v>
      </c>
      <c r="AB147" s="1524">
        <v>3.2799999999999999E-3</v>
      </c>
      <c r="AC147" s="1525" t="s">
        <v>1199</v>
      </c>
      <c r="AD147" s="1526" t="s">
        <v>635</v>
      </c>
      <c r="AE147" s="1527"/>
      <c r="AF147" s="1528" t="s">
        <v>635</v>
      </c>
      <c r="AG147" s="1527"/>
      <c r="AH147" s="1528" t="s">
        <v>635</v>
      </c>
      <c r="AI147" s="1527"/>
      <c r="AJ147" s="1528">
        <v>0.09</v>
      </c>
      <c r="AK147" s="1529" t="s">
        <v>1119</v>
      </c>
      <c r="AL147" s="1529" t="s">
        <v>1127</v>
      </c>
      <c r="AM147" s="1527"/>
      <c r="AN147" s="1530">
        <v>1</v>
      </c>
      <c r="AO147" s="1530" t="s">
        <v>635</v>
      </c>
      <c r="AP147" s="1532">
        <v>1320</v>
      </c>
    </row>
    <row r="148" spans="1:42" ht="30">
      <c r="A148" s="1481" t="s">
        <v>2157</v>
      </c>
      <c r="B148" s="1482" t="s">
        <v>2158</v>
      </c>
      <c r="C148" s="1483">
        <v>80.515000000000001</v>
      </c>
      <c r="D148" s="1484" t="s">
        <v>1883</v>
      </c>
      <c r="E148" s="1485">
        <v>1.2428454619790001E-2</v>
      </c>
      <c r="F148" s="1485">
        <v>3.0400000000000002E-4</v>
      </c>
      <c r="G148" s="1486" t="s">
        <v>1883</v>
      </c>
      <c r="H148" s="1485">
        <v>30</v>
      </c>
      <c r="I148" s="1486" t="s">
        <v>1883</v>
      </c>
      <c r="J148" s="1487">
        <v>-103.5</v>
      </c>
      <c r="K148" s="1488" t="s">
        <v>1883</v>
      </c>
      <c r="L148" s="1489">
        <v>1.0629999999999999</v>
      </c>
      <c r="M148" s="1490" t="s">
        <v>1884</v>
      </c>
      <c r="N148" s="1491">
        <v>9.4968283354279995E-2</v>
      </c>
      <c r="O148" s="1491">
        <v>1.1315289029999999E-5</v>
      </c>
      <c r="P148" s="1492" t="s">
        <v>1885</v>
      </c>
      <c r="Q148" s="1493" t="s">
        <v>635</v>
      </c>
      <c r="R148" s="1494"/>
      <c r="S148" s="1493">
        <v>5.3220000000000001</v>
      </c>
      <c r="T148" s="1493" t="s">
        <v>1199</v>
      </c>
      <c r="U148" s="1493">
        <v>0.32</v>
      </c>
      <c r="V148" s="1495" t="s">
        <v>1883</v>
      </c>
      <c r="W148" s="1496">
        <v>69440</v>
      </c>
      <c r="X148" s="1497" t="s">
        <v>1883</v>
      </c>
      <c r="Y148" s="1498">
        <v>3.1232994870300001E-3</v>
      </c>
      <c r="Z148" s="1498">
        <v>0.29698379298057997</v>
      </c>
      <c r="AA148" s="1498">
        <v>0.71276110315339003</v>
      </c>
      <c r="AB148" s="1498">
        <v>9.0499999999999999E-4</v>
      </c>
      <c r="AC148" s="1499" t="s">
        <v>1199</v>
      </c>
      <c r="AD148" s="1500">
        <v>2.4</v>
      </c>
      <c r="AE148" s="1503" t="s">
        <v>1900</v>
      </c>
      <c r="AF148" s="1502">
        <v>6.8999999999999997E-4</v>
      </c>
      <c r="AG148" s="1503" t="s">
        <v>1900</v>
      </c>
      <c r="AH148" s="1502" t="s">
        <v>635</v>
      </c>
      <c r="AI148" s="1501"/>
      <c r="AJ148" s="1502" t="s">
        <v>635</v>
      </c>
      <c r="AK148" s="1501"/>
      <c r="AL148" s="1503" t="s">
        <v>1127</v>
      </c>
      <c r="AM148" s="1501"/>
      <c r="AN148" s="1504">
        <v>1</v>
      </c>
      <c r="AO148" s="1504" t="s">
        <v>635</v>
      </c>
      <c r="AP148" s="1506">
        <v>9320</v>
      </c>
    </row>
    <row r="149" spans="1:42" ht="30">
      <c r="A149" s="1481" t="s">
        <v>2159</v>
      </c>
      <c r="B149" s="1482" t="s">
        <v>2160</v>
      </c>
      <c r="C149" s="1483">
        <v>157.56</v>
      </c>
      <c r="D149" s="1484" t="s">
        <v>1883</v>
      </c>
      <c r="E149" s="1485">
        <v>3.8021259198999999E-4</v>
      </c>
      <c r="F149" s="1485">
        <v>9.3000000000000007E-6</v>
      </c>
      <c r="G149" s="1486" t="s">
        <v>1883</v>
      </c>
      <c r="H149" s="1485">
        <v>1.8200000000000001E-2</v>
      </c>
      <c r="I149" s="1486" t="s">
        <v>1199</v>
      </c>
      <c r="J149" s="1487">
        <v>32.5</v>
      </c>
      <c r="K149" s="1488" t="s">
        <v>1883</v>
      </c>
      <c r="L149" s="1489">
        <v>1.3680000000000001</v>
      </c>
      <c r="M149" s="1490" t="s">
        <v>1884</v>
      </c>
      <c r="N149" s="1491">
        <v>5.1345276438320001E-2</v>
      </c>
      <c r="O149" s="1491">
        <v>8.7994564595799998E-6</v>
      </c>
      <c r="P149" s="1492" t="s">
        <v>1885</v>
      </c>
      <c r="Q149" s="1493" t="s">
        <v>635</v>
      </c>
      <c r="R149" s="1494"/>
      <c r="S149" s="1493">
        <v>370.6</v>
      </c>
      <c r="T149" s="1493" t="s">
        <v>1199</v>
      </c>
      <c r="U149" s="1493">
        <v>2.2400000000000002</v>
      </c>
      <c r="V149" s="1495" t="s">
        <v>1883</v>
      </c>
      <c r="W149" s="1496">
        <v>441</v>
      </c>
      <c r="X149" s="1497" t="s">
        <v>1883</v>
      </c>
      <c r="Y149" s="1498">
        <v>3.041516575152E-2</v>
      </c>
      <c r="Z149" s="1498">
        <v>0.80201917115753996</v>
      </c>
      <c r="AA149" s="1498">
        <v>1.92484601077808</v>
      </c>
      <c r="AB149" s="1498">
        <v>6.3E-3</v>
      </c>
      <c r="AC149" s="1499" t="s">
        <v>1199</v>
      </c>
      <c r="AD149" s="1500">
        <v>0.3</v>
      </c>
      <c r="AE149" s="1503" t="s">
        <v>1909</v>
      </c>
      <c r="AF149" s="1502" t="s">
        <v>635</v>
      </c>
      <c r="AG149" s="1501"/>
      <c r="AH149" s="1502">
        <v>3.0000000000000001E-3</v>
      </c>
      <c r="AI149" s="1503" t="s">
        <v>1909</v>
      </c>
      <c r="AJ149" s="1502">
        <v>1.0000000000000001E-5</v>
      </c>
      <c r="AK149" s="1503" t="s">
        <v>1893</v>
      </c>
      <c r="AL149" s="1501"/>
      <c r="AM149" s="1501"/>
      <c r="AN149" s="1504">
        <v>1</v>
      </c>
      <c r="AO149" s="1505">
        <v>0.1</v>
      </c>
      <c r="AP149" s="1506" t="s">
        <v>635</v>
      </c>
    </row>
    <row r="150" spans="1:42" ht="30">
      <c r="A150" s="1507" t="s">
        <v>2161</v>
      </c>
      <c r="B150" s="1508" t="s">
        <v>2162</v>
      </c>
      <c r="C150" s="1509">
        <v>157.56</v>
      </c>
      <c r="D150" s="1510" t="s">
        <v>1883</v>
      </c>
      <c r="E150" s="1511">
        <v>1.9991823385000001E-4</v>
      </c>
      <c r="F150" s="1511">
        <v>4.8899999999999998E-6</v>
      </c>
      <c r="G150" s="1512" t="s">
        <v>1883</v>
      </c>
      <c r="H150" s="1511">
        <v>2.1899999999999999E-2</v>
      </c>
      <c r="I150" s="1512" t="s">
        <v>1199</v>
      </c>
      <c r="J150" s="1513">
        <v>83.5</v>
      </c>
      <c r="K150" s="1514" t="s">
        <v>1883</v>
      </c>
      <c r="L150" s="1515">
        <v>1.2979000000000001</v>
      </c>
      <c r="M150" s="1516" t="s">
        <v>1884</v>
      </c>
      <c r="N150" s="1517">
        <v>5.015870808957E-2</v>
      </c>
      <c r="O150" s="1517">
        <v>8.5260706636399999E-6</v>
      </c>
      <c r="P150" s="1518" t="s">
        <v>1885</v>
      </c>
      <c r="Q150" s="1519" t="s">
        <v>635</v>
      </c>
      <c r="R150" s="1520"/>
      <c r="S150" s="1519">
        <v>363.2</v>
      </c>
      <c r="T150" s="1519" t="s">
        <v>1199</v>
      </c>
      <c r="U150" s="1519">
        <v>2.39</v>
      </c>
      <c r="V150" s="1521" t="s">
        <v>1883</v>
      </c>
      <c r="W150" s="1522">
        <v>225</v>
      </c>
      <c r="X150" s="1523" t="s">
        <v>1883</v>
      </c>
      <c r="Y150" s="1524">
        <v>3.8284486414209999E-2</v>
      </c>
      <c r="Z150" s="1524">
        <v>0.80201917115753996</v>
      </c>
      <c r="AA150" s="1524">
        <v>1.92484601077808</v>
      </c>
      <c r="AB150" s="1524">
        <v>7.9299999999999995E-3</v>
      </c>
      <c r="AC150" s="1525" t="s">
        <v>1199</v>
      </c>
      <c r="AD150" s="1526">
        <v>0.06</v>
      </c>
      <c r="AE150" s="1529" t="s">
        <v>1909</v>
      </c>
      <c r="AF150" s="1528" t="s">
        <v>635</v>
      </c>
      <c r="AG150" s="1527"/>
      <c r="AH150" s="1528">
        <v>6.9999999999999999E-4</v>
      </c>
      <c r="AI150" s="1529" t="s">
        <v>1909</v>
      </c>
      <c r="AJ150" s="1528">
        <v>2E-3</v>
      </c>
      <c r="AK150" s="1529" t="s">
        <v>1909</v>
      </c>
      <c r="AL150" s="1527"/>
      <c r="AM150" s="1527"/>
      <c r="AN150" s="1530">
        <v>1</v>
      </c>
      <c r="AO150" s="1531">
        <v>0.1</v>
      </c>
      <c r="AP150" s="1532" t="s">
        <v>635</v>
      </c>
    </row>
    <row r="151" spans="1:42" ht="30">
      <c r="A151" s="1481" t="s">
        <v>132</v>
      </c>
      <c r="B151" s="1482" t="s">
        <v>2163</v>
      </c>
      <c r="C151" s="1483">
        <v>128.56</v>
      </c>
      <c r="D151" s="1484" t="s">
        <v>1883</v>
      </c>
      <c r="E151" s="1485">
        <v>4.5789043335999998E-4</v>
      </c>
      <c r="F151" s="1485">
        <v>1.1199999999999999E-5</v>
      </c>
      <c r="G151" s="1486" t="s">
        <v>1883</v>
      </c>
      <c r="H151" s="1485">
        <v>2.5299999999999998</v>
      </c>
      <c r="I151" s="1486" t="s">
        <v>1883</v>
      </c>
      <c r="J151" s="1487">
        <v>9.8000000000000007</v>
      </c>
      <c r="K151" s="1488" t="s">
        <v>1883</v>
      </c>
      <c r="L151" s="1489">
        <v>1.2634000000000001</v>
      </c>
      <c r="M151" s="1490" t="s">
        <v>1884</v>
      </c>
      <c r="N151" s="1491">
        <v>6.6117503717829998E-2</v>
      </c>
      <c r="O151" s="1491">
        <v>9.4783507706700002E-6</v>
      </c>
      <c r="P151" s="1492" t="s">
        <v>1885</v>
      </c>
      <c r="Q151" s="1493" t="s">
        <v>635</v>
      </c>
      <c r="R151" s="1494"/>
      <c r="S151" s="1493">
        <v>388</v>
      </c>
      <c r="T151" s="1493" t="s">
        <v>1959</v>
      </c>
      <c r="U151" s="1493">
        <v>2.15</v>
      </c>
      <c r="V151" s="1495" t="s">
        <v>1883</v>
      </c>
      <c r="W151" s="1496">
        <v>11300</v>
      </c>
      <c r="X151" s="1497" t="s">
        <v>1883</v>
      </c>
      <c r="Y151" s="1498">
        <v>3.4843868272809997E-2</v>
      </c>
      <c r="Z151" s="1498">
        <v>0.55180387965424005</v>
      </c>
      <c r="AA151" s="1498">
        <v>1.3243293111701799</v>
      </c>
      <c r="AB151" s="1498">
        <v>7.9900000000000006E-3</v>
      </c>
      <c r="AC151" s="1499" t="s">
        <v>1199</v>
      </c>
      <c r="AD151" s="1500" t="s">
        <v>635</v>
      </c>
      <c r="AE151" s="1501"/>
      <c r="AF151" s="1502" t="s">
        <v>635</v>
      </c>
      <c r="AG151" s="1501"/>
      <c r="AH151" s="1502">
        <v>5.0000000000000001E-3</v>
      </c>
      <c r="AI151" s="1503" t="s">
        <v>1119</v>
      </c>
      <c r="AJ151" s="1502" t="s">
        <v>635</v>
      </c>
      <c r="AK151" s="1501"/>
      <c r="AL151" s="1503" t="s">
        <v>1127</v>
      </c>
      <c r="AM151" s="1501"/>
      <c r="AN151" s="1504">
        <v>1</v>
      </c>
      <c r="AO151" s="1504" t="s">
        <v>635</v>
      </c>
      <c r="AP151" s="1506">
        <v>27400</v>
      </c>
    </row>
    <row r="152" spans="1:42" ht="30">
      <c r="A152" s="1481" t="s">
        <v>2164</v>
      </c>
      <c r="B152" s="1482" t="s">
        <v>2165</v>
      </c>
      <c r="C152" s="1483">
        <v>164.38</v>
      </c>
      <c r="D152" s="1484" t="s">
        <v>1883</v>
      </c>
      <c r="E152" s="1485">
        <v>8.3810302534749997E-2</v>
      </c>
      <c r="F152" s="1485">
        <v>2.0500000000000002E-3</v>
      </c>
      <c r="G152" s="1486" t="s">
        <v>1883</v>
      </c>
      <c r="H152" s="1485">
        <v>24</v>
      </c>
      <c r="I152" s="1486" t="s">
        <v>1883</v>
      </c>
      <c r="J152" s="1487">
        <v>-64</v>
      </c>
      <c r="K152" s="1488" t="s">
        <v>1883</v>
      </c>
      <c r="L152" s="1489">
        <v>1.6557999999999999</v>
      </c>
      <c r="M152" s="1490" t="s">
        <v>1884</v>
      </c>
      <c r="N152" s="1491">
        <v>5.1763701953169997E-2</v>
      </c>
      <c r="O152" s="1491">
        <v>9.6198236986200002E-6</v>
      </c>
      <c r="P152" s="1492" t="s">
        <v>1885</v>
      </c>
      <c r="Q152" s="1493" t="s">
        <v>635</v>
      </c>
      <c r="R152" s="1494"/>
      <c r="S152" s="1493">
        <v>44.19</v>
      </c>
      <c r="T152" s="1493" t="s">
        <v>1199</v>
      </c>
      <c r="U152" s="1493">
        <v>2.09</v>
      </c>
      <c r="V152" s="1495" t="s">
        <v>1883</v>
      </c>
      <c r="W152" s="1496">
        <v>1620</v>
      </c>
      <c r="X152" s="1497" t="s">
        <v>1883</v>
      </c>
      <c r="Y152" s="1498">
        <v>2.2634131025469999E-2</v>
      </c>
      <c r="Z152" s="1498">
        <v>0.87574315127758995</v>
      </c>
      <c r="AA152" s="1498">
        <v>2.1017835630662098</v>
      </c>
      <c r="AB152" s="1498">
        <v>4.5900000000000003E-3</v>
      </c>
      <c r="AC152" s="1499" t="s">
        <v>1199</v>
      </c>
      <c r="AD152" s="1500" t="s">
        <v>635</v>
      </c>
      <c r="AE152" s="1501"/>
      <c r="AF152" s="1502" t="s">
        <v>635</v>
      </c>
      <c r="AG152" s="1501"/>
      <c r="AH152" s="1502" t="s">
        <v>635</v>
      </c>
      <c r="AI152" s="1501"/>
      <c r="AJ152" s="1502">
        <v>4.0000000000000002E-4</v>
      </c>
      <c r="AK152" s="1503" t="s">
        <v>1900</v>
      </c>
      <c r="AL152" s="1503" t="s">
        <v>1127</v>
      </c>
      <c r="AM152" s="1501"/>
      <c r="AN152" s="1504">
        <v>1</v>
      </c>
      <c r="AO152" s="1504" t="s">
        <v>635</v>
      </c>
      <c r="AP152" s="1506">
        <v>617</v>
      </c>
    </row>
    <row r="153" spans="1:42" ht="30">
      <c r="A153" s="1507" t="s">
        <v>2166</v>
      </c>
      <c r="B153" s="1508" t="s">
        <v>2167</v>
      </c>
      <c r="C153" s="1509">
        <v>265.91000000000003</v>
      </c>
      <c r="D153" s="1510" t="s">
        <v>1883</v>
      </c>
      <c r="E153" s="1511">
        <v>8.1766148809999997E-5</v>
      </c>
      <c r="F153" s="1511">
        <v>1.9999999999999999E-6</v>
      </c>
      <c r="G153" s="1512" t="s">
        <v>1883</v>
      </c>
      <c r="H153" s="1511">
        <v>5.7000000000000005E-7</v>
      </c>
      <c r="I153" s="1512" t="s">
        <v>1883</v>
      </c>
      <c r="J153" s="1513">
        <v>250</v>
      </c>
      <c r="K153" s="1514" t="s">
        <v>1883</v>
      </c>
      <c r="L153" s="1515">
        <v>1.7</v>
      </c>
      <c r="M153" s="1516" t="s">
        <v>1884</v>
      </c>
      <c r="N153" s="1517">
        <v>2.75786742159E-2</v>
      </c>
      <c r="O153" s="1517">
        <v>7.3231903427699999E-6</v>
      </c>
      <c r="P153" s="1518" t="s">
        <v>1885</v>
      </c>
      <c r="Q153" s="1519" t="s">
        <v>635</v>
      </c>
      <c r="R153" s="1520"/>
      <c r="S153" s="1519">
        <v>1041</v>
      </c>
      <c r="T153" s="1519" t="s">
        <v>1199</v>
      </c>
      <c r="U153" s="1519">
        <v>3.05</v>
      </c>
      <c r="V153" s="1521" t="s">
        <v>1883</v>
      </c>
      <c r="W153" s="1522">
        <v>0.81</v>
      </c>
      <c r="X153" s="1523" t="s">
        <v>1883</v>
      </c>
      <c r="Y153" s="1524">
        <v>3.3679704525030003E-2</v>
      </c>
      <c r="Z153" s="1524">
        <v>3.2429835790624799</v>
      </c>
      <c r="AA153" s="1524">
        <v>7.7831605897499498</v>
      </c>
      <c r="AB153" s="1524">
        <v>5.3699999999999998E-3</v>
      </c>
      <c r="AC153" s="1525" t="s">
        <v>1199</v>
      </c>
      <c r="AD153" s="1526">
        <v>1.7000000000000001E-2</v>
      </c>
      <c r="AE153" s="1529" t="s">
        <v>1900</v>
      </c>
      <c r="AF153" s="1528" t="s">
        <v>635</v>
      </c>
      <c r="AG153" s="1527"/>
      <c r="AH153" s="1528">
        <v>1.4999999999999999E-2</v>
      </c>
      <c r="AI153" s="1529" t="s">
        <v>1119</v>
      </c>
      <c r="AJ153" s="1528" t="s">
        <v>635</v>
      </c>
      <c r="AK153" s="1527"/>
      <c r="AL153" s="1527"/>
      <c r="AM153" s="1527"/>
      <c r="AN153" s="1530">
        <v>1</v>
      </c>
      <c r="AO153" s="1531">
        <v>0.1</v>
      </c>
      <c r="AP153" s="1532" t="s">
        <v>635</v>
      </c>
    </row>
    <row r="154" spans="1:42" ht="30">
      <c r="A154" s="1481" t="s">
        <v>2168</v>
      </c>
      <c r="B154" s="1482" t="s">
        <v>2169</v>
      </c>
      <c r="C154" s="1483">
        <v>126.59</v>
      </c>
      <c r="D154" s="1484" t="s">
        <v>1883</v>
      </c>
      <c r="E154" s="1485">
        <v>0.14595257563368999</v>
      </c>
      <c r="F154" s="1485">
        <v>3.5699999999999998E-3</v>
      </c>
      <c r="G154" s="1486" t="s">
        <v>1883</v>
      </c>
      <c r="H154" s="1485">
        <v>3.43</v>
      </c>
      <c r="I154" s="1486" t="s">
        <v>1883</v>
      </c>
      <c r="J154" s="1487">
        <v>-35.6</v>
      </c>
      <c r="K154" s="1488" t="s">
        <v>1883</v>
      </c>
      <c r="L154" s="1489">
        <v>1.0825</v>
      </c>
      <c r="M154" s="1490" t="s">
        <v>1884</v>
      </c>
      <c r="N154" s="1491">
        <v>6.2902546250539995E-2</v>
      </c>
      <c r="O154" s="1491">
        <v>8.7194456435199999E-6</v>
      </c>
      <c r="P154" s="1492" t="s">
        <v>1885</v>
      </c>
      <c r="Q154" s="1493" t="s">
        <v>635</v>
      </c>
      <c r="R154" s="1494"/>
      <c r="S154" s="1493">
        <v>382.9</v>
      </c>
      <c r="T154" s="1493" t="s">
        <v>1199</v>
      </c>
      <c r="U154" s="1493">
        <v>3.42</v>
      </c>
      <c r="V154" s="1495" t="s">
        <v>1883</v>
      </c>
      <c r="W154" s="1496">
        <v>374</v>
      </c>
      <c r="X154" s="1497" t="s">
        <v>1883</v>
      </c>
      <c r="Y154" s="1498">
        <v>0.24752688742841999</v>
      </c>
      <c r="Z154" s="1498">
        <v>0.53796342464476998</v>
      </c>
      <c r="AA154" s="1498">
        <v>1.29111221914746</v>
      </c>
      <c r="AB154" s="1498">
        <v>5.7200000000000001E-2</v>
      </c>
      <c r="AC154" s="1499" t="s">
        <v>1199</v>
      </c>
      <c r="AD154" s="1500" t="s">
        <v>635</v>
      </c>
      <c r="AE154" s="1501"/>
      <c r="AF154" s="1502" t="s">
        <v>635</v>
      </c>
      <c r="AG154" s="1501"/>
      <c r="AH154" s="1502">
        <v>0.02</v>
      </c>
      <c r="AI154" s="1503" t="s">
        <v>1119</v>
      </c>
      <c r="AJ154" s="1502" t="s">
        <v>635</v>
      </c>
      <c r="AK154" s="1501"/>
      <c r="AL154" s="1503" t="s">
        <v>1127</v>
      </c>
      <c r="AM154" s="1501"/>
      <c r="AN154" s="1504">
        <v>1</v>
      </c>
      <c r="AO154" s="1504" t="s">
        <v>635</v>
      </c>
      <c r="AP154" s="1506">
        <v>907</v>
      </c>
    </row>
    <row r="155" spans="1:42" ht="30">
      <c r="A155" s="1481" t="s">
        <v>2170</v>
      </c>
      <c r="B155" s="1482" t="s">
        <v>2171</v>
      </c>
      <c r="C155" s="1483">
        <v>126.59</v>
      </c>
      <c r="D155" s="1484" t="s">
        <v>1883</v>
      </c>
      <c r="E155" s="1485">
        <v>0.17906786590352</v>
      </c>
      <c r="F155" s="1485">
        <v>4.3800000000000002E-3</v>
      </c>
      <c r="G155" s="1486" t="s">
        <v>1199</v>
      </c>
      <c r="H155" s="1485">
        <v>2.69</v>
      </c>
      <c r="I155" s="1486" t="s">
        <v>1883</v>
      </c>
      <c r="J155" s="1487">
        <v>7.5</v>
      </c>
      <c r="K155" s="1488" t="s">
        <v>1883</v>
      </c>
      <c r="L155" s="1489">
        <v>1.0697000000000001</v>
      </c>
      <c r="M155" s="1490" t="s">
        <v>1884</v>
      </c>
      <c r="N155" s="1491">
        <v>6.2571039315390001E-2</v>
      </c>
      <c r="O155" s="1491">
        <v>8.6574367855499999E-6</v>
      </c>
      <c r="P155" s="1492" t="s">
        <v>1885</v>
      </c>
      <c r="Q155" s="1493" t="s">
        <v>635</v>
      </c>
      <c r="R155" s="1494"/>
      <c r="S155" s="1493">
        <v>375.3</v>
      </c>
      <c r="T155" s="1493" t="s">
        <v>1199</v>
      </c>
      <c r="U155" s="1493">
        <v>3.33</v>
      </c>
      <c r="V155" s="1495" t="s">
        <v>1883</v>
      </c>
      <c r="W155" s="1496">
        <v>106</v>
      </c>
      <c r="X155" s="1497" t="s">
        <v>1883</v>
      </c>
      <c r="Y155" s="1498">
        <v>0.21550417821564999</v>
      </c>
      <c r="Z155" s="1498">
        <v>0.53796342464476998</v>
      </c>
      <c r="AA155" s="1498">
        <v>1.29111221914746</v>
      </c>
      <c r="AB155" s="1498">
        <v>4.9799999999999997E-2</v>
      </c>
      <c r="AC155" s="1499" t="s">
        <v>1199</v>
      </c>
      <c r="AD155" s="1500" t="s">
        <v>635</v>
      </c>
      <c r="AE155" s="1501"/>
      <c r="AF155" s="1502" t="s">
        <v>635</v>
      </c>
      <c r="AG155" s="1501"/>
      <c r="AH155" s="1502">
        <v>0.02</v>
      </c>
      <c r="AI155" s="1503" t="s">
        <v>1893</v>
      </c>
      <c r="AJ155" s="1502" t="s">
        <v>635</v>
      </c>
      <c r="AK155" s="1501"/>
      <c r="AL155" s="1503" t="s">
        <v>1127</v>
      </c>
      <c r="AM155" s="1501"/>
      <c r="AN155" s="1504">
        <v>1</v>
      </c>
      <c r="AO155" s="1504" t="s">
        <v>635</v>
      </c>
      <c r="AP155" s="1506">
        <v>253</v>
      </c>
    </row>
    <row r="156" spans="1:42" ht="30">
      <c r="A156" s="1507" t="s">
        <v>2172</v>
      </c>
      <c r="B156" s="1508" t="s">
        <v>2173</v>
      </c>
      <c r="C156" s="1509">
        <v>265.7</v>
      </c>
      <c r="D156" s="1510" t="s">
        <v>1883</v>
      </c>
      <c r="E156" s="1511">
        <v>1.5004088306999999E-20</v>
      </c>
      <c r="F156" s="1511">
        <v>3.67E-22</v>
      </c>
      <c r="G156" s="1512" t="s">
        <v>1883</v>
      </c>
      <c r="H156" s="1511">
        <v>3.9799999999999998E-14</v>
      </c>
      <c r="I156" s="1512" t="s">
        <v>1883</v>
      </c>
      <c r="J156" s="1513">
        <v>147</v>
      </c>
      <c r="K156" s="1514" t="s">
        <v>1199</v>
      </c>
      <c r="L156" s="1515" t="s">
        <v>635</v>
      </c>
      <c r="M156" s="1538"/>
      <c r="N156" s="1517">
        <v>4.5971911786139998E-2</v>
      </c>
      <c r="O156" s="1517">
        <v>5.3714549560600002E-6</v>
      </c>
      <c r="P156" s="1518" t="s">
        <v>1885</v>
      </c>
      <c r="Q156" s="1519" t="s">
        <v>635</v>
      </c>
      <c r="R156" s="1520"/>
      <c r="S156" s="1519">
        <v>10</v>
      </c>
      <c r="T156" s="1519" t="s">
        <v>1199</v>
      </c>
      <c r="U156" s="1519">
        <v>-1.02</v>
      </c>
      <c r="V156" s="1521" t="s">
        <v>1883</v>
      </c>
      <c r="W156" s="1522">
        <v>1830</v>
      </c>
      <c r="X156" s="1523" t="s">
        <v>1883</v>
      </c>
      <c r="Y156" s="1524">
        <v>6.2129246099999999E-5</v>
      </c>
      <c r="Z156" s="1524">
        <v>3.2342139768814202</v>
      </c>
      <c r="AA156" s="1524">
        <v>7.7621135445154099</v>
      </c>
      <c r="AB156" s="1524">
        <v>9.91E-6</v>
      </c>
      <c r="AC156" s="1525" t="s">
        <v>1199</v>
      </c>
      <c r="AD156" s="1526">
        <v>240</v>
      </c>
      <c r="AE156" s="1529" t="s">
        <v>1900</v>
      </c>
      <c r="AF156" s="1528">
        <v>6.9000000000000006E-2</v>
      </c>
      <c r="AG156" s="1529" t="s">
        <v>1900</v>
      </c>
      <c r="AH156" s="1528" t="s">
        <v>635</v>
      </c>
      <c r="AI156" s="1527"/>
      <c r="AJ156" s="1528" t="s">
        <v>635</v>
      </c>
      <c r="AK156" s="1527"/>
      <c r="AL156" s="1527"/>
      <c r="AM156" s="1527"/>
      <c r="AN156" s="1530">
        <v>1</v>
      </c>
      <c r="AO156" s="1531">
        <v>0.1</v>
      </c>
      <c r="AP156" s="1532" t="s">
        <v>635</v>
      </c>
    </row>
    <row r="157" spans="1:42" ht="30">
      <c r="A157" s="1481" t="s">
        <v>2174</v>
      </c>
      <c r="B157" s="1482" t="s">
        <v>2175</v>
      </c>
      <c r="C157" s="1483">
        <v>213.67</v>
      </c>
      <c r="D157" s="1484" t="s">
        <v>1883</v>
      </c>
      <c r="E157" s="1485">
        <v>2.3262469339999999E-5</v>
      </c>
      <c r="F157" s="1485">
        <v>5.6899999999999997E-7</v>
      </c>
      <c r="G157" s="1486" t="s">
        <v>1199</v>
      </c>
      <c r="H157" s="1485">
        <v>1.8000000000000001E-4</v>
      </c>
      <c r="I157" s="1486" t="s">
        <v>1883</v>
      </c>
      <c r="J157" s="1487">
        <v>41</v>
      </c>
      <c r="K157" s="1488" t="s">
        <v>1883</v>
      </c>
      <c r="L157" s="1489">
        <v>1.18</v>
      </c>
      <c r="M157" s="1490" t="s">
        <v>1884</v>
      </c>
      <c r="N157" s="1491">
        <v>2.6088983464879999E-2</v>
      </c>
      <c r="O157" s="1491">
        <v>6.7074098751299999E-6</v>
      </c>
      <c r="P157" s="1492" t="s">
        <v>1885</v>
      </c>
      <c r="Q157" s="1493" t="s">
        <v>635</v>
      </c>
      <c r="R157" s="1494"/>
      <c r="S157" s="1493">
        <v>350.7</v>
      </c>
      <c r="T157" s="1493" t="s">
        <v>1199</v>
      </c>
      <c r="U157" s="1493">
        <v>3.51</v>
      </c>
      <c r="V157" s="1495" t="s">
        <v>1883</v>
      </c>
      <c r="W157" s="1496">
        <v>89</v>
      </c>
      <c r="X157" s="1497" t="s">
        <v>1883</v>
      </c>
      <c r="Y157" s="1498">
        <v>0.11975069165098</v>
      </c>
      <c r="Z157" s="1498">
        <v>1.6534868661787001</v>
      </c>
      <c r="AA157" s="1498">
        <v>3.96836847882888</v>
      </c>
      <c r="AB157" s="1498">
        <v>2.1299999999999999E-2</v>
      </c>
      <c r="AC157" s="1499" t="s">
        <v>1199</v>
      </c>
      <c r="AD157" s="1500" t="s">
        <v>635</v>
      </c>
      <c r="AE157" s="1501"/>
      <c r="AF157" s="1502" t="s">
        <v>635</v>
      </c>
      <c r="AG157" s="1501"/>
      <c r="AH157" s="1502">
        <v>5.0000000000000001E-3</v>
      </c>
      <c r="AI157" s="1503" t="s">
        <v>1116</v>
      </c>
      <c r="AJ157" s="1502" t="s">
        <v>635</v>
      </c>
      <c r="AK157" s="1501"/>
      <c r="AL157" s="1501"/>
      <c r="AM157" s="1501"/>
      <c r="AN157" s="1504">
        <v>1</v>
      </c>
      <c r="AO157" s="1505">
        <v>0.1</v>
      </c>
      <c r="AP157" s="1506" t="s">
        <v>635</v>
      </c>
    </row>
    <row r="158" spans="1:42" ht="30">
      <c r="A158" s="1481" t="s">
        <v>2176</v>
      </c>
      <c r="B158" s="1482" t="s">
        <v>2177</v>
      </c>
      <c r="C158" s="1483">
        <v>350.59</v>
      </c>
      <c r="D158" s="1484" t="s">
        <v>1883</v>
      </c>
      <c r="E158" s="1485">
        <v>1.1978740801E-4</v>
      </c>
      <c r="F158" s="1485">
        <v>2.9299999999999999E-6</v>
      </c>
      <c r="G158" s="1486" t="s">
        <v>1883</v>
      </c>
      <c r="H158" s="1485">
        <v>2.0250000000000001E-5</v>
      </c>
      <c r="I158" s="1486" t="s">
        <v>1883</v>
      </c>
      <c r="J158" s="1487">
        <v>42</v>
      </c>
      <c r="K158" s="1488" t="s">
        <v>1883</v>
      </c>
      <c r="L158" s="1489" t="s">
        <v>635</v>
      </c>
      <c r="M158" s="1533"/>
      <c r="N158" s="1491">
        <v>3.8213831534159998E-2</v>
      </c>
      <c r="O158" s="1491">
        <v>4.4649845266199998E-6</v>
      </c>
      <c r="P158" s="1492" t="s">
        <v>1885</v>
      </c>
      <c r="Q158" s="1493" t="s">
        <v>635</v>
      </c>
      <c r="R158" s="1494"/>
      <c r="S158" s="1493">
        <v>7283</v>
      </c>
      <c r="T158" s="1493" t="s">
        <v>1199</v>
      </c>
      <c r="U158" s="1493">
        <v>4.96</v>
      </c>
      <c r="V158" s="1495" t="s">
        <v>1883</v>
      </c>
      <c r="W158" s="1496">
        <v>1.1200000000000001</v>
      </c>
      <c r="X158" s="1497" t="s">
        <v>1883</v>
      </c>
      <c r="Y158" s="1498">
        <v>0.24053201031914001</v>
      </c>
      <c r="Z158" s="1498">
        <v>9.6639071718912692</v>
      </c>
      <c r="AA158" s="1498">
        <v>23.193377212539101</v>
      </c>
      <c r="AB158" s="1498">
        <v>3.3399999999999999E-2</v>
      </c>
      <c r="AC158" s="1499" t="s">
        <v>1199</v>
      </c>
      <c r="AD158" s="1500" t="s">
        <v>635</v>
      </c>
      <c r="AE158" s="1501"/>
      <c r="AF158" s="1502" t="s">
        <v>635</v>
      </c>
      <c r="AG158" s="1501"/>
      <c r="AH158" s="1502">
        <v>1E-3</v>
      </c>
      <c r="AI158" s="1503" t="s">
        <v>1960</v>
      </c>
      <c r="AJ158" s="1502" t="s">
        <v>635</v>
      </c>
      <c r="AK158" s="1501"/>
      <c r="AL158" s="1501"/>
      <c r="AM158" s="1501"/>
      <c r="AN158" s="1504">
        <v>1</v>
      </c>
      <c r="AO158" s="1505">
        <v>0.1</v>
      </c>
      <c r="AP158" s="1506" t="s">
        <v>635</v>
      </c>
    </row>
    <row r="159" spans="1:42" ht="30">
      <c r="A159" s="1507" t="s">
        <v>2178</v>
      </c>
      <c r="B159" s="1508" t="s">
        <v>2179</v>
      </c>
      <c r="C159" s="1509">
        <v>322.54000000000002</v>
      </c>
      <c r="D159" s="1510" t="s">
        <v>1883</v>
      </c>
      <c r="E159" s="1511">
        <v>1.5331152903000001E-4</v>
      </c>
      <c r="F159" s="1511">
        <v>3.7500000000000001E-6</v>
      </c>
      <c r="G159" s="1512" t="s">
        <v>1199</v>
      </c>
      <c r="H159" s="1511">
        <v>4.1999999999999998E-5</v>
      </c>
      <c r="I159" s="1512" t="s">
        <v>1883</v>
      </c>
      <c r="J159" s="1513">
        <v>43</v>
      </c>
      <c r="K159" s="1514" t="s">
        <v>1883</v>
      </c>
      <c r="L159" s="1515" t="s">
        <v>635</v>
      </c>
      <c r="M159" s="1538"/>
      <c r="N159" s="1517">
        <v>4.039843549259E-2</v>
      </c>
      <c r="O159" s="1517">
        <v>4.7202382522899999E-6</v>
      </c>
      <c r="P159" s="1518" t="s">
        <v>1885</v>
      </c>
      <c r="Q159" s="1519" t="s">
        <v>635</v>
      </c>
      <c r="R159" s="1520"/>
      <c r="S159" s="1519">
        <v>2193</v>
      </c>
      <c r="T159" s="1519" t="s">
        <v>1199</v>
      </c>
      <c r="U159" s="1519">
        <v>4.3099999999999996</v>
      </c>
      <c r="V159" s="1521" t="s">
        <v>1883</v>
      </c>
      <c r="W159" s="1522">
        <v>4.76</v>
      </c>
      <c r="X159" s="1523" t="s">
        <v>1883</v>
      </c>
      <c r="Y159" s="1524">
        <v>0.12295280616716001</v>
      </c>
      <c r="Z159" s="1524">
        <v>6.7308939751504502</v>
      </c>
      <c r="AA159" s="1524">
        <v>16.1541455403611</v>
      </c>
      <c r="AB159" s="1524">
        <v>1.78E-2</v>
      </c>
      <c r="AC159" s="1525" t="s">
        <v>1199</v>
      </c>
      <c r="AD159" s="1526" t="s">
        <v>635</v>
      </c>
      <c r="AE159" s="1527"/>
      <c r="AF159" s="1528" t="s">
        <v>635</v>
      </c>
      <c r="AG159" s="1527"/>
      <c r="AH159" s="1528">
        <v>0.01</v>
      </c>
      <c r="AI159" s="1529" t="s">
        <v>1073</v>
      </c>
      <c r="AJ159" s="1528" t="s">
        <v>635</v>
      </c>
      <c r="AK159" s="1527"/>
      <c r="AL159" s="1527"/>
      <c r="AM159" s="1527"/>
      <c r="AN159" s="1530">
        <v>1</v>
      </c>
      <c r="AO159" s="1531">
        <v>0.1</v>
      </c>
      <c r="AP159" s="1532" t="s">
        <v>635</v>
      </c>
    </row>
    <row r="160" spans="1:42" ht="30">
      <c r="A160" s="1481" t="s">
        <v>2180</v>
      </c>
      <c r="B160" s="1482" t="s">
        <v>2181</v>
      </c>
      <c r="C160" s="1483">
        <v>357.78</v>
      </c>
      <c r="D160" s="1484" t="s">
        <v>1883</v>
      </c>
      <c r="E160" s="1485">
        <v>1.3982011447E-14</v>
      </c>
      <c r="F160" s="1485">
        <v>3.4199999999999999E-16</v>
      </c>
      <c r="G160" s="1486" t="s">
        <v>1199</v>
      </c>
      <c r="H160" s="1485">
        <v>2.25E-11</v>
      </c>
      <c r="I160" s="1486" t="s">
        <v>1883</v>
      </c>
      <c r="J160" s="1487">
        <v>176</v>
      </c>
      <c r="K160" s="1488" t="s">
        <v>1883</v>
      </c>
      <c r="L160" s="1489" t="s">
        <v>635</v>
      </c>
      <c r="M160" s="1533"/>
      <c r="N160" s="1491">
        <v>3.7700134053589997E-2</v>
      </c>
      <c r="O160" s="1491">
        <v>4.4049630315199999E-6</v>
      </c>
      <c r="P160" s="1492" t="s">
        <v>1885</v>
      </c>
      <c r="Q160" s="1493" t="s">
        <v>635</v>
      </c>
      <c r="R160" s="1494"/>
      <c r="S160" s="1493">
        <v>322</v>
      </c>
      <c r="T160" s="1493" t="s">
        <v>1199</v>
      </c>
      <c r="U160" s="1493">
        <v>2</v>
      </c>
      <c r="V160" s="1495" t="s">
        <v>1883</v>
      </c>
      <c r="W160" s="1496">
        <v>31000</v>
      </c>
      <c r="X160" s="1497" t="s">
        <v>1883</v>
      </c>
      <c r="Y160" s="1498">
        <v>2.3862092539300001E-3</v>
      </c>
      <c r="Z160" s="1498">
        <v>10.6027067444723</v>
      </c>
      <c r="AA160" s="1498">
        <v>25.446496186733501</v>
      </c>
      <c r="AB160" s="1498">
        <v>3.28E-4</v>
      </c>
      <c r="AC160" s="1499" t="s">
        <v>1199</v>
      </c>
      <c r="AD160" s="1500" t="s">
        <v>635</v>
      </c>
      <c r="AE160" s="1501"/>
      <c r="AF160" s="1502" t="s">
        <v>635</v>
      </c>
      <c r="AG160" s="1501"/>
      <c r="AH160" s="1502">
        <v>0.05</v>
      </c>
      <c r="AI160" s="1503" t="s">
        <v>1116</v>
      </c>
      <c r="AJ160" s="1502" t="s">
        <v>635</v>
      </c>
      <c r="AK160" s="1501"/>
      <c r="AL160" s="1501"/>
      <c r="AM160" s="1501"/>
      <c r="AN160" s="1504">
        <v>1</v>
      </c>
      <c r="AO160" s="1505">
        <v>0.1</v>
      </c>
      <c r="AP160" s="1506" t="s">
        <v>635</v>
      </c>
    </row>
    <row r="161" spans="1:42" ht="30">
      <c r="A161" s="1481" t="s">
        <v>2182</v>
      </c>
      <c r="B161" s="1482" t="s">
        <v>2183</v>
      </c>
      <c r="C161" s="1483">
        <v>331.97</v>
      </c>
      <c r="D161" s="1484" t="s">
        <v>1883</v>
      </c>
      <c r="E161" s="1485">
        <v>8.9125102209999997E-5</v>
      </c>
      <c r="F161" s="1485">
        <v>2.1799999999999999E-6</v>
      </c>
      <c r="G161" s="1486" t="s">
        <v>1199</v>
      </c>
      <c r="H161" s="1485">
        <v>2.5000000000000002E-6</v>
      </c>
      <c r="I161" s="1486" t="s">
        <v>1883</v>
      </c>
      <c r="J161" s="1487">
        <v>155</v>
      </c>
      <c r="K161" s="1488" t="s">
        <v>1883</v>
      </c>
      <c r="L161" s="1489" t="s">
        <v>635</v>
      </c>
      <c r="M161" s="1533"/>
      <c r="N161" s="1491">
        <v>3.9629723477099997E-2</v>
      </c>
      <c r="O161" s="1491">
        <v>4.63042032206E-6</v>
      </c>
      <c r="P161" s="1492" t="s">
        <v>1885</v>
      </c>
      <c r="Q161" s="1493" t="s">
        <v>635</v>
      </c>
      <c r="R161" s="1494"/>
      <c r="S161" s="1493">
        <v>511.1</v>
      </c>
      <c r="T161" s="1493" t="s">
        <v>1199</v>
      </c>
      <c r="U161" s="1493">
        <v>4.28</v>
      </c>
      <c r="V161" s="1495" t="s">
        <v>1883</v>
      </c>
      <c r="W161" s="1496">
        <v>0.5</v>
      </c>
      <c r="X161" s="1497" t="s">
        <v>1883</v>
      </c>
      <c r="Y161" s="1498">
        <v>0.10511563792927001</v>
      </c>
      <c r="Z161" s="1498">
        <v>7.6011753205169397</v>
      </c>
      <c r="AA161" s="1498">
        <v>18.242820769240598</v>
      </c>
      <c r="AB161" s="1498">
        <v>1.4999999999999999E-2</v>
      </c>
      <c r="AC161" s="1499" t="s">
        <v>1199</v>
      </c>
      <c r="AD161" s="1500" t="s">
        <v>635</v>
      </c>
      <c r="AE161" s="1501"/>
      <c r="AF161" s="1502" t="s">
        <v>635</v>
      </c>
      <c r="AG161" s="1501"/>
      <c r="AH161" s="1502">
        <v>0.01</v>
      </c>
      <c r="AI161" s="1503" t="s">
        <v>1119</v>
      </c>
      <c r="AJ161" s="1502" t="s">
        <v>635</v>
      </c>
      <c r="AK161" s="1501"/>
      <c r="AL161" s="1501"/>
      <c r="AM161" s="1501"/>
      <c r="AN161" s="1504">
        <v>1</v>
      </c>
      <c r="AO161" s="1505">
        <v>0.1</v>
      </c>
      <c r="AP161" s="1506" t="s">
        <v>635</v>
      </c>
    </row>
    <row r="162" spans="1:42" ht="30">
      <c r="A162" s="1507" t="s">
        <v>2184</v>
      </c>
      <c r="B162" s="1508" t="s">
        <v>2185</v>
      </c>
      <c r="C162" s="1509">
        <v>361.25</v>
      </c>
      <c r="D162" s="1510" t="s">
        <v>1883</v>
      </c>
      <c r="E162" s="1511">
        <v>4.9059689290000002E-5</v>
      </c>
      <c r="F162" s="1511">
        <v>1.1999999999999999E-6</v>
      </c>
      <c r="G162" s="1512" t="s">
        <v>1883</v>
      </c>
      <c r="H162" s="1511">
        <v>0.39700000000000002</v>
      </c>
      <c r="I162" s="1512" t="s">
        <v>1883</v>
      </c>
      <c r="J162" s="1513">
        <v>85.96</v>
      </c>
      <c r="K162" s="1514" t="s">
        <v>1199</v>
      </c>
      <c r="L162" s="1515" t="s">
        <v>635</v>
      </c>
      <c r="M162" s="1538"/>
      <c r="N162" s="1517">
        <v>3.7458325894599999E-2</v>
      </c>
      <c r="O162" s="1517">
        <v>4.37670965716E-6</v>
      </c>
      <c r="P162" s="1518" t="s">
        <v>1885</v>
      </c>
      <c r="Q162" s="1519" t="s">
        <v>635</v>
      </c>
      <c r="R162" s="1520"/>
      <c r="S162" s="1519">
        <v>12790</v>
      </c>
      <c r="T162" s="1519" t="s">
        <v>1199</v>
      </c>
      <c r="U162" s="1519">
        <v>5.8</v>
      </c>
      <c r="V162" s="1521" t="s">
        <v>1883</v>
      </c>
      <c r="W162" s="1522">
        <v>0.3</v>
      </c>
      <c r="X162" s="1523" t="s">
        <v>1883</v>
      </c>
      <c r="Y162" s="1524">
        <v>0.77488355681819998</v>
      </c>
      <c r="Z162" s="1524">
        <v>11.087885936695701</v>
      </c>
      <c r="AA162" s="1524">
        <v>42.7090787631195</v>
      </c>
      <c r="AB162" s="1524">
        <v>0.106</v>
      </c>
      <c r="AC162" s="1525" t="s">
        <v>1199</v>
      </c>
      <c r="AD162" s="1526" t="s">
        <v>635</v>
      </c>
      <c r="AE162" s="1527"/>
      <c r="AF162" s="1528" t="s">
        <v>635</v>
      </c>
      <c r="AG162" s="1527"/>
      <c r="AH162" s="1528">
        <v>8.0000000000000004E-4</v>
      </c>
      <c r="AI162" s="1529" t="s">
        <v>1073</v>
      </c>
      <c r="AJ162" s="1528" t="s">
        <v>635</v>
      </c>
      <c r="AK162" s="1527"/>
      <c r="AL162" s="1527"/>
      <c r="AM162" s="1527"/>
      <c r="AN162" s="1530">
        <v>1</v>
      </c>
      <c r="AO162" s="1531">
        <v>0.1</v>
      </c>
      <c r="AP162" s="1532" t="s">
        <v>635</v>
      </c>
    </row>
    <row r="163" spans="1:42" ht="30">
      <c r="A163" s="1481" t="s">
        <v>136</v>
      </c>
      <c r="B163" s="1482" t="s">
        <v>2186</v>
      </c>
      <c r="C163" s="1483">
        <v>51.996099999999998</v>
      </c>
      <c r="D163" s="1484" t="s">
        <v>1884</v>
      </c>
      <c r="E163" s="1485" t="s">
        <v>635</v>
      </c>
      <c r="F163" s="1485" t="s">
        <v>635</v>
      </c>
      <c r="G163" s="1536"/>
      <c r="H163" s="1485" t="s">
        <v>635</v>
      </c>
      <c r="I163" s="1536"/>
      <c r="J163" s="1487">
        <v>1907</v>
      </c>
      <c r="K163" s="1488" t="s">
        <v>1884</v>
      </c>
      <c r="L163" s="1489">
        <v>7.15</v>
      </c>
      <c r="M163" s="1490" t="s">
        <v>1884</v>
      </c>
      <c r="N163" s="1491">
        <v>0.25062400817312003</v>
      </c>
      <c r="O163" s="1491">
        <v>4.6160758289999997E-5</v>
      </c>
      <c r="P163" s="1492" t="s">
        <v>1885</v>
      </c>
      <c r="Q163" s="1493">
        <v>1800000</v>
      </c>
      <c r="R163" s="1493" t="s">
        <v>1959</v>
      </c>
      <c r="S163" s="1493" t="s">
        <v>635</v>
      </c>
      <c r="T163" s="1494"/>
      <c r="U163" s="1493" t="s">
        <v>635</v>
      </c>
      <c r="V163" s="1481"/>
      <c r="W163" s="1496" t="s">
        <v>635</v>
      </c>
      <c r="X163" s="1537"/>
      <c r="Y163" s="1498">
        <v>2.7733969728899999E-3</v>
      </c>
      <c r="Z163" s="1498">
        <v>0.20560179863690001</v>
      </c>
      <c r="AA163" s="1498">
        <v>0.49344431672856998</v>
      </c>
      <c r="AB163" s="1498">
        <v>1E-3</v>
      </c>
      <c r="AC163" s="1499" t="s">
        <v>1203</v>
      </c>
      <c r="AD163" s="1500" t="s">
        <v>635</v>
      </c>
      <c r="AE163" s="1501"/>
      <c r="AF163" s="1502" t="s">
        <v>635</v>
      </c>
      <c r="AG163" s="1501"/>
      <c r="AH163" s="1502" t="s">
        <v>635</v>
      </c>
      <c r="AI163" s="1501"/>
      <c r="AJ163" s="1502">
        <v>6.0000000000000002E-5</v>
      </c>
      <c r="AK163" s="1503" t="s">
        <v>1900</v>
      </c>
      <c r="AL163" s="1501"/>
      <c r="AM163" s="1501"/>
      <c r="AN163" s="1545">
        <v>1.2999999999999999E-2</v>
      </c>
      <c r="AO163" s="1504" t="s">
        <v>635</v>
      </c>
      <c r="AP163" s="1506" t="s">
        <v>635</v>
      </c>
    </row>
    <row r="164" spans="1:42" ht="30">
      <c r="A164" s="1481" t="s">
        <v>136</v>
      </c>
      <c r="B164" s="1482" t="s">
        <v>2187</v>
      </c>
      <c r="C164" s="1483">
        <v>51.996099999999998</v>
      </c>
      <c r="D164" s="1484" t="s">
        <v>1884</v>
      </c>
      <c r="E164" s="1485" t="s">
        <v>635</v>
      </c>
      <c r="F164" s="1485" t="s">
        <v>635</v>
      </c>
      <c r="G164" s="1536"/>
      <c r="H164" s="1485" t="s">
        <v>635</v>
      </c>
      <c r="I164" s="1536"/>
      <c r="J164" s="1487">
        <v>1907</v>
      </c>
      <c r="K164" s="1488" t="s">
        <v>1884</v>
      </c>
      <c r="L164" s="1489">
        <v>7.15</v>
      </c>
      <c r="M164" s="1490" t="s">
        <v>1884</v>
      </c>
      <c r="N164" s="1491">
        <v>0.25062400817312003</v>
      </c>
      <c r="O164" s="1491">
        <v>4.6160758289999997E-5</v>
      </c>
      <c r="P164" s="1492" t="s">
        <v>1885</v>
      </c>
      <c r="Q164" s="1493">
        <v>1800000</v>
      </c>
      <c r="R164" s="1493" t="s">
        <v>1959</v>
      </c>
      <c r="S164" s="1493" t="s">
        <v>635</v>
      </c>
      <c r="T164" s="1494"/>
      <c r="U164" s="1493" t="s">
        <v>635</v>
      </c>
      <c r="V164" s="1481"/>
      <c r="W164" s="1496" t="s">
        <v>635</v>
      </c>
      <c r="X164" s="1537"/>
      <c r="Y164" s="1498">
        <v>2.7733969728899999E-3</v>
      </c>
      <c r="Z164" s="1498">
        <v>0.20560179863690001</v>
      </c>
      <c r="AA164" s="1498">
        <v>0.49344431672856998</v>
      </c>
      <c r="AB164" s="1498">
        <v>1E-3</v>
      </c>
      <c r="AC164" s="1499" t="s">
        <v>1203</v>
      </c>
      <c r="AD164" s="1500" t="s">
        <v>635</v>
      </c>
      <c r="AE164" s="1501"/>
      <c r="AF164" s="1502" t="s">
        <v>635</v>
      </c>
      <c r="AG164" s="1501"/>
      <c r="AH164" s="1502">
        <v>1.5</v>
      </c>
      <c r="AI164" s="1503" t="s">
        <v>1119</v>
      </c>
      <c r="AJ164" s="1502" t="s">
        <v>635</v>
      </c>
      <c r="AK164" s="1501"/>
      <c r="AL164" s="1501"/>
      <c r="AM164" s="1501"/>
      <c r="AN164" s="1545">
        <v>1.2999999999999999E-2</v>
      </c>
      <c r="AO164" s="1504" t="s">
        <v>635</v>
      </c>
      <c r="AP164" s="1506" t="s">
        <v>635</v>
      </c>
    </row>
    <row r="165" spans="1:42" ht="30">
      <c r="A165" s="1507" t="s">
        <v>138</v>
      </c>
      <c r="B165" s="1508" t="s">
        <v>2188</v>
      </c>
      <c r="C165" s="1509">
        <v>52</v>
      </c>
      <c r="D165" s="1510" t="s">
        <v>1199</v>
      </c>
      <c r="E165" s="1511" t="s">
        <v>635</v>
      </c>
      <c r="F165" s="1511" t="s">
        <v>635</v>
      </c>
      <c r="G165" s="1534"/>
      <c r="H165" s="1511" t="s">
        <v>635</v>
      </c>
      <c r="I165" s="1534"/>
      <c r="J165" s="1513" t="s">
        <v>635</v>
      </c>
      <c r="K165" s="1540"/>
      <c r="L165" s="1515" t="s">
        <v>635</v>
      </c>
      <c r="M165" s="1538"/>
      <c r="N165" s="1517">
        <v>0.13638021534524999</v>
      </c>
      <c r="O165" s="1517">
        <v>1.593495148E-5</v>
      </c>
      <c r="P165" s="1518" t="s">
        <v>1885</v>
      </c>
      <c r="Q165" s="1519">
        <v>19</v>
      </c>
      <c r="R165" s="1519" t="s">
        <v>1959</v>
      </c>
      <c r="S165" s="1519" t="s">
        <v>635</v>
      </c>
      <c r="T165" s="1520"/>
      <c r="U165" s="1519" t="s">
        <v>635</v>
      </c>
      <c r="V165" s="1507"/>
      <c r="W165" s="1522">
        <v>1690000</v>
      </c>
      <c r="X165" s="1523" t="s">
        <v>1884</v>
      </c>
      <c r="Y165" s="1524">
        <v>5.5470019622500004E-3</v>
      </c>
      <c r="Z165" s="1524">
        <v>0.20561213829439001</v>
      </c>
      <c r="AA165" s="1524">
        <v>0.49346913190653002</v>
      </c>
      <c r="AB165" s="1524">
        <v>2E-3</v>
      </c>
      <c r="AC165" s="1525" t="s">
        <v>1203</v>
      </c>
      <c r="AD165" s="1526">
        <v>0.16</v>
      </c>
      <c r="AE165" s="1529" t="s">
        <v>1119</v>
      </c>
      <c r="AF165" s="1528">
        <v>1.0999999999999999E-2</v>
      </c>
      <c r="AG165" s="1529" t="s">
        <v>1119</v>
      </c>
      <c r="AH165" s="1528">
        <v>8.9999999999999998E-4</v>
      </c>
      <c r="AI165" s="1529" t="s">
        <v>1119</v>
      </c>
      <c r="AJ165" s="1528">
        <v>3.0000000000000001E-5</v>
      </c>
      <c r="AK165" s="1529" t="s">
        <v>1119</v>
      </c>
      <c r="AL165" s="1527"/>
      <c r="AM165" s="1529" t="s">
        <v>1906</v>
      </c>
      <c r="AN165" s="1546">
        <v>2.5000000000000001E-2</v>
      </c>
      <c r="AO165" s="1530" t="s">
        <v>635</v>
      </c>
      <c r="AP165" s="1532" t="s">
        <v>635</v>
      </c>
    </row>
    <row r="166" spans="1:42" ht="30">
      <c r="A166" s="1481" t="s">
        <v>134</v>
      </c>
      <c r="B166" s="1482" t="s">
        <v>2189</v>
      </c>
      <c r="C166" s="1483">
        <v>51.996000000000002</v>
      </c>
      <c r="D166" s="1484" t="s">
        <v>1883</v>
      </c>
      <c r="E166" s="1485" t="s">
        <v>635</v>
      </c>
      <c r="F166" s="1485" t="s">
        <v>635</v>
      </c>
      <c r="G166" s="1536"/>
      <c r="H166" s="1485" t="s">
        <v>635</v>
      </c>
      <c r="I166" s="1536"/>
      <c r="J166" s="1487">
        <v>1900</v>
      </c>
      <c r="K166" s="1488" t="s">
        <v>1883</v>
      </c>
      <c r="L166" s="1489">
        <v>7.15</v>
      </c>
      <c r="M166" s="1490" t="s">
        <v>1884</v>
      </c>
      <c r="N166" s="1491">
        <v>0.25062427794642</v>
      </c>
      <c r="O166" s="1491">
        <v>4.6160811560000001E-5</v>
      </c>
      <c r="P166" s="1492" t="s">
        <v>1885</v>
      </c>
      <c r="Q166" s="1493">
        <v>1800000</v>
      </c>
      <c r="R166" s="1493" t="s">
        <v>1959</v>
      </c>
      <c r="S166" s="1493" t="s">
        <v>635</v>
      </c>
      <c r="T166" s="1494"/>
      <c r="U166" s="1493" t="s">
        <v>635</v>
      </c>
      <c r="V166" s="1481"/>
      <c r="W166" s="1496" t="s">
        <v>635</v>
      </c>
      <c r="X166" s="1537"/>
      <c r="Y166" s="1498">
        <v>2.7733943059600002E-3</v>
      </c>
      <c r="Z166" s="1498">
        <v>0.20560153352432001</v>
      </c>
      <c r="AA166" s="1498">
        <v>0.49344368045836001</v>
      </c>
      <c r="AB166" s="1498">
        <v>1E-3</v>
      </c>
      <c r="AC166" s="1499" t="s">
        <v>1203</v>
      </c>
      <c r="AD166" s="1500" t="s">
        <v>635</v>
      </c>
      <c r="AE166" s="1501"/>
      <c r="AF166" s="1502" t="s">
        <v>635</v>
      </c>
      <c r="AG166" s="1501"/>
      <c r="AH166" s="1502" t="s">
        <v>635</v>
      </c>
      <c r="AI166" s="1501"/>
      <c r="AJ166" s="1502" t="s">
        <v>635</v>
      </c>
      <c r="AK166" s="1501"/>
      <c r="AL166" s="1501"/>
      <c r="AM166" s="1501"/>
      <c r="AN166" s="1545">
        <v>1.2999999999999999E-2</v>
      </c>
      <c r="AO166" s="1504" t="s">
        <v>635</v>
      </c>
      <c r="AP166" s="1506" t="s">
        <v>635</v>
      </c>
    </row>
    <row r="167" spans="1:42" ht="30">
      <c r="A167" s="1481" t="s">
        <v>2190</v>
      </c>
      <c r="B167" s="1482" t="s">
        <v>2191</v>
      </c>
      <c r="C167" s="1483">
        <v>303.14999999999998</v>
      </c>
      <c r="D167" s="1484" t="s">
        <v>1883</v>
      </c>
      <c r="E167" s="1485">
        <v>1.5944399018800001E-8</v>
      </c>
      <c r="F167" s="1485">
        <v>3.9E-10</v>
      </c>
      <c r="G167" s="1486" t="s">
        <v>1199</v>
      </c>
      <c r="H167" s="1485">
        <v>9.7500000000000005E-10</v>
      </c>
      <c r="I167" s="1486" t="s">
        <v>1883</v>
      </c>
      <c r="J167" s="1487">
        <v>182</v>
      </c>
      <c r="K167" s="1488" t="s">
        <v>1883</v>
      </c>
      <c r="L167" s="1489" t="s">
        <v>635</v>
      </c>
      <c r="M167" s="1533"/>
      <c r="N167" s="1491">
        <v>4.2103211066479997E-2</v>
      </c>
      <c r="O167" s="1491">
        <v>4.91942781935E-6</v>
      </c>
      <c r="P167" s="1492" t="s">
        <v>1885</v>
      </c>
      <c r="Q167" s="1493" t="s">
        <v>635</v>
      </c>
      <c r="R167" s="1494"/>
      <c r="S167" s="1493">
        <v>30210</v>
      </c>
      <c r="T167" s="1493" t="s">
        <v>1199</v>
      </c>
      <c r="U167" s="1493">
        <v>3.1</v>
      </c>
      <c r="V167" s="1495" t="s">
        <v>1883</v>
      </c>
      <c r="W167" s="1496">
        <v>1</v>
      </c>
      <c r="X167" s="1497" t="s">
        <v>1883</v>
      </c>
      <c r="Y167" s="1498">
        <v>2.3973887606770002E-2</v>
      </c>
      <c r="Z167" s="1498">
        <v>5.2419002170806301</v>
      </c>
      <c r="AA167" s="1498">
        <v>12.580560520993499</v>
      </c>
      <c r="AB167" s="1498">
        <v>3.5799999999999998E-3</v>
      </c>
      <c r="AC167" s="1499" t="s">
        <v>1199</v>
      </c>
      <c r="AD167" s="1500" t="s">
        <v>635</v>
      </c>
      <c r="AE167" s="1501"/>
      <c r="AF167" s="1502" t="s">
        <v>635</v>
      </c>
      <c r="AG167" s="1501"/>
      <c r="AH167" s="1502">
        <v>1.2999999999999999E-2</v>
      </c>
      <c r="AI167" s="1503" t="s">
        <v>1119</v>
      </c>
      <c r="AJ167" s="1502" t="s">
        <v>635</v>
      </c>
      <c r="AK167" s="1501"/>
      <c r="AL167" s="1501"/>
      <c r="AM167" s="1501"/>
      <c r="AN167" s="1504">
        <v>1</v>
      </c>
      <c r="AO167" s="1505">
        <v>0.1</v>
      </c>
      <c r="AP167" s="1506" t="s">
        <v>635</v>
      </c>
    </row>
    <row r="168" spans="1:42" ht="30">
      <c r="A168" s="1507" t="s">
        <v>140</v>
      </c>
      <c r="B168" s="1508" t="s">
        <v>139</v>
      </c>
      <c r="C168" s="1509">
        <v>58.93</v>
      </c>
      <c r="D168" s="1510" t="s">
        <v>1199</v>
      </c>
      <c r="E168" s="1511" t="s">
        <v>635</v>
      </c>
      <c r="F168" s="1511" t="s">
        <v>635</v>
      </c>
      <c r="G168" s="1534"/>
      <c r="H168" s="1511">
        <v>0</v>
      </c>
      <c r="I168" s="1512" t="s">
        <v>1929</v>
      </c>
      <c r="J168" s="1513">
        <v>1495</v>
      </c>
      <c r="K168" s="1514" t="s">
        <v>1884</v>
      </c>
      <c r="L168" s="1515">
        <v>8.86</v>
      </c>
      <c r="M168" s="1516" t="s">
        <v>1884</v>
      </c>
      <c r="N168" s="1517">
        <v>0.24868918068376999</v>
      </c>
      <c r="O168" s="1517">
        <v>4.8700132189999999E-5</v>
      </c>
      <c r="P168" s="1518" t="s">
        <v>1885</v>
      </c>
      <c r="Q168" s="1519">
        <v>45</v>
      </c>
      <c r="R168" s="1519" t="s">
        <v>1930</v>
      </c>
      <c r="S168" s="1519" t="s">
        <v>635</v>
      </c>
      <c r="T168" s="1520"/>
      <c r="U168" s="1519" t="s">
        <v>635</v>
      </c>
      <c r="V168" s="1507"/>
      <c r="W168" s="1522" t="s">
        <v>635</v>
      </c>
      <c r="X168" s="1535"/>
      <c r="Y168" s="1524">
        <v>1.1810135051799999E-3</v>
      </c>
      <c r="Z168" s="1524">
        <v>0.22483128860585</v>
      </c>
      <c r="AA168" s="1524">
        <v>0.53959509265405003</v>
      </c>
      <c r="AB168" s="1524">
        <v>4.0000000000000002E-4</v>
      </c>
      <c r="AC168" s="1525" t="s">
        <v>1203</v>
      </c>
      <c r="AD168" s="1526" t="s">
        <v>635</v>
      </c>
      <c r="AE168" s="1527"/>
      <c r="AF168" s="1528">
        <v>8.9999999999999993E-3</v>
      </c>
      <c r="AG168" s="1529" t="s">
        <v>1909</v>
      </c>
      <c r="AH168" s="1528">
        <v>2.9999999999999997E-4</v>
      </c>
      <c r="AI168" s="1529" t="s">
        <v>1909</v>
      </c>
      <c r="AJ168" s="1528">
        <v>6.0000000000000002E-6</v>
      </c>
      <c r="AK168" s="1529" t="s">
        <v>1909</v>
      </c>
      <c r="AL168" s="1527"/>
      <c r="AM168" s="1527"/>
      <c r="AN168" s="1530">
        <v>1</v>
      </c>
      <c r="AO168" s="1530" t="s">
        <v>635</v>
      </c>
      <c r="AP168" s="1532" t="s">
        <v>635</v>
      </c>
    </row>
    <row r="169" spans="1:42" ht="30">
      <c r="A169" s="1481" t="s">
        <v>2192</v>
      </c>
      <c r="B169" s="1482" t="s">
        <v>2193</v>
      </c>
      <c r="C169" s="1483" t="s">
        <v>635</v>
      </c>
      <c r="D169" s="1543"/>
      <c r="E169" s="1485">
        <v>0.45</v>
      </c>
      <c r="F169" s="1485">
        <v>1.0999999999999999E-2</v>
      </c>
      <c r="G169" s="1486" t="s">
        <v>2125</v>
      </c>
      <c r="H169" s="1485">
        <v>95</v>
      </c>
      <c r="I169" s="1486" t="s">
        <v>2125</v>
      </c>
      <c r="J169" s="1487" t="s">
        <v>635</v>
      </c>
      <c r="K169" s="1542"/>
      <c r="L169" s="1489" t="s">
        <v>635</v>
      </c>
      <c r="M169" s="1533"/>
      <c r="N169" s="1491">
        <v>0.10397984740435</v>
      </c>
      <c r="O169" s="1491">
        <v>1.214922428E-5</v>
      </c>
      <c r="P169" s="1492" t="s">
        <v>1885</v>
      </c>
      <c r="Q169" s="1493" t="s">
        <v>635</v>
      </c>
      <c r="R169" s="1494"/>
      <c r="S169" s="1493">
        <v>16000</v>
      </c>
      <c r="T169" s="1494"/>
      <c r="U169" s="1493" t="s">
        <v>635</v>
      </c>
      <c r="V169" s="1481"/>
      <c r="W169" s="1496" t="s">
        <v>635</v>
      </c>
      <c r="X169" s="1537"/>
      <c r="Y169" s="1498" t="s">
        <v>635</v>
      </c>
      <c r="Z169" s="1498" t="s">
        <v>635</v>
      </c>
      <c r="AA169" s="1498" t="s">
        <v>635</v>
      </c>
      <c r="AB169" s="1498" t="s">
        <v>635</v>
      </c>
      <c r="AC169" s="1547"/>
      <c r="AD169" s="1500" t="s">
        <v>635</v>
      </c>
      <c r="AE169" s="1501"/>
      <c r="AF169" s="1502">
        <v>6.2E-4</v>
      </c>
      <c r="AG169" s="1503" t="s">
        <v>1119</v>
      </c>
      <c r="AH169" s="1502" t="s">
        <v>635</v>
      </c>
      <c r="AI169" s="1501"/>
      <c r="AJ169" s="1502" t="s">
        <v>635</v>
      </c>
      <c r="AK169" s="1501"/>
      <c r="AL169" s="1503" t="s">
        <v>1127</v>
      </c>
      <c r="AM169" s="1503" t="s">
        <v>1906</v>
      </c>
      <c r="AN169" s="1504">
        <v>1</v>
      </c>
      <c r="AO169" s="1504" t="s">
        <v>635</v>
      </c>
      <c r="AP169" s="1506" t="s">
        <v>635</v>
      </c>
    </row>
    <row r="170" spans="1:42" ht="30">
      <c r="A170" s="1481" t="s">
        <v>142</v>
      </c>
      <c r="B170" s="1482" t="s">
        <v>141</v>
      </c>
      <c r="C170" s="1483">
        <v>63.545999999999999</v>
      </c>
      <c r="D170" s="1484" t="s">
        <v>1883</v>
      </c>
      <c r="E170" s="1485" t="s">
        <v>635</v>
      </c>
      <c r="F170" s="1485" t="s">
        <v>635</v>
      </c>
      <c r="G170" s="1536"/>
      <c r="H170" s="1485">
        <v>0</v>
      </c>
      <c r="I170" s="1486" t="s">
        <v>1929</v>
      </c>
      <c r="J170" s="1487">
        <v>1083</v>
      </c>
      <c r="K170" s="1488" t="s">
        <v>1883</v>
      </c>
      <c r="L170" s="1489">
        <v>8.9600000000000009</v>
      </c>
      <c r="M170" s="1490" t="s">
        <v>1884</v>
      </c>
      <c r="N170" s="1491">
        <v>0.23895433803249999</v>
      </c>
      <c r="O170" s="1491">
        <v>4.6860146959999998E-5</v>
      </c>
      <c r="P170" s="1492" t="s">
        <v>1885</v>
      </c>
      <c r="Q170" s="1493">
        <v>35</v>
      </c>
      <c r="R170" s="1493" t="s">
        <v>1930</v>
      </c>
      <c r="S170" s="1493" t="s">
        <v>635</v>
      </c>
      <c r="T170" s="1494"/>
      <c r="U170" s="1493" t="s">
        <v>635</v>
      </c>
      <c r="V170" s="1481"/>
      <c r="W170" s="1496" t="s">
        <v>635</v>
      </c>
      <c r="X170" s="1537"/>
      <c r="Y170" s="1498">
        <v>3.0659901920899999E-3</v>
      </c>
      <c r="Z170" s="1498">
        <v>0.23861972980983001</v>
      </c>
      <c r="AA170" s="1498">
        <v>0.57268735154359995</v>
      </c>
      <c r="AB170" s="1498">
        <v>1E-3</v>
      </c>
      <c r="AC170" s="1499" t="s">
        <v>1203</v>
      </c>
      <c r="AD170" s="1500" t="s">
        <v>635</v>
      </c>
      <c r="AE170" s="1501"/>
      <c r="AF170" s="1502" t="s">
        <v>635</v>
      </c>
      <c r="AG170" s="1501"/>
      <c r="AH170" s="1502">
        <v>0.04</v>
      </c>
      <c r="AI170" s="1503" t="s">
        <v>1073</v>
      </c>
      <c r="AJ170" s="1502" t="s">
        <v>635</v>
      </c>
      <c r="AK170" s="1501"/>
      <c r="AL170" s="1501"/>
      <c r="AM170" s="1501"/>
      <c r="AN170" s="1504">
        <v>1</v>
      </c>
      <c r="AO170" s="1504" t="s">
        <v>635</v>
      </c>
      <c r="AP170" s="1506" t="s">
        <v>635</v>
      </c>
    </row>
    <row r="171" spans="1:42" ht="30">
      <c r="A171" s="1507" t="s">
        <v>2194</v>
      </c>
      <c r="B171" s="1508" t="s">
        <v>2195</v>
      </c>
      <c r="C171" s="1509">
        <v>108.14</v>
      </c>
      <c r="D171" s="1510" t="s">
        <v>1883</v>
      </c>
      <c r="E171" s="1511">
        <v>3.4995911690000003E-5</v>
      </c>
      <c r="F171" s="1511">
        <v>8.5600000000000004E-7</v>
      </c>
      <c r="G171" s="1512" t="s">
        <v>1883</v>
      </c>
      <c r="H171" s="1511">
        <v>0.11</v>
      </c>
      <c r="I171" s="1512" t="s">
        <v>1883</v>
      </c>
      <c r="J171" s="1513">
        <v>11.8</v>
      </c>
      <c r="K171" s="1514" t="s">
        <v>1883</v>
      </c>
      <c r="L171" s="1515">
        <v>1.0339</v>
      </c>
      <c r="M171" s="1516" t="s">
        <v>1884</v>
      </c>
      <c r="N171" s="1517">
        <v>7.2872069816480006E-2</v>
      </c>
      <c r="O171" s="1517">
        <v>9.3232444992600007E-6</v>
      </c>
      <c r="P171" s="1518" t="s">
        <v>1885</v>
      </c>
      <c r="Q171" s="1519" t="s">
        <v>635</v>
      </c>
      <c r="R171" s="1520"/>
      <c r="S171" s="1519">
        <v>300.39999999999998</v>
      </c>
      <c r="T171" s="1519" t="s">
        <v>1199</v>
      </c>
      <c r="U171" s="1519">
        <v>1.96</v>
      </c>
      <c r="V171" s="1521" t="s">
        <v>1883</v>
      </c>
      <c r="W171" s="1522">
        <v>22700</v>
      </c>
      <c r="X171" s="1523" t="s">
        <v>1883</v>
      </c>
      <c r="Y171" s="1524">
        <v>3.1077126346439998E-2</v>
      </c>
      <c r="Z171" s="1524">
        <v>0.42406531242651002</v>
      </c>
      <c r="AA171" s="1524">
        <v>1.01775674982362</v>
      </c>
      <c r="AB171" s="1524">
        <v>7.77E-3</v>
      </c>
      <c r="AC171" s="1525" t="s">
        <v>1199</v>
      </c>
      <c r="AD171" s="1526" t="s">
        <v>635</v>
      </c>
      <c r="AE171" s="1527"/>
      <c r="AF171" s="1528" t="s">
        <v>635</v>
      </c>
      <c r="AG171" s="1527"/>
      <c r="AH171" s="1528">
        <v>0.05</v>
      </c>
      <c r="AI171" s="1529" t="s">
        <v>1119</v>
      </c>
      <c r="AJ171" s="1528">
        <v>0.6</v>
      </c>
      <c r="AK171" s="1529" t="s">
        <v>1900</v>
      </c>
      <c r="AL171" s="1527"/>
      <c r="AM171" s="1527"/>
      <c r="AN171" s="1530">
        <v>1</v>
      </c>
      <c r="AO171" s="1531">
        <v>0.1</v>
      </c>
      <c r="AP171" s="1532" t="s">
        <v>635</v>
      </c>
    </row>
    <row r="172" spans="1:42" ht="30">
      <c r="A172" s="1481" t="s">
        <v>2196</v>
      </c>
      <c r="B172" s="1482" t="s">
        <v>2197</v>
      </c>
      <c r="C172" s="1483">
        <v>108.14</v>
      </c>
      <c r="D172" s="1484" t="s">
        <v>1883</v>
      </c>
      <c r="E172" s="1485">
        <v>4.9059689290000002E-5</v>
      </c>
      <c r="F172" s="1485">
        <v>1.1999999999999999E-6</v>
      </c>
      <c r="G172" s="1486" t="s">
        <v>1883</v>
      </c>
      <c r="H172" s="1485">
        <v>0.29899999999999999</v>
      </c>
      <c r="I172" s="1486" t="s">
        <v>1199</v>
      </c>
      <c r="J172" s="1487">
        <v>29.8</v>
      </c>
      <c r="K172" s="1488" t="s">
        <v>1883</v>
      </c>
      <c r="L172" s="1489">
        <v>1.0327</v>
      </c>
      <c r="M172" s="1490" t="s">
        <v>1884</v>
      </c>
      <c r="N172" s="1491">
        <v>7.2834975402760002E-2</v>
      </c>
      <c r="O172" s="1491">
        <v>9.3167503556200001E-6</v>
      </c>
      <c r="P172" s="1492" t="s">
        <v>1885</v>
      </c>
      <c r="Q172" s="1493" t="s">
        <v>635</v>
      </c>
      <c r="R172" s="1494"/>
      <c r="S172" s="1493">
        <v>306.5</v>
      </c>
      <c r="T172" s="1493" t="s">
        <v>1199</v>
      </c>
      <c r="U172" s="1493">
        <v>1.95</v>
      </c>
      <c r="V172" s="1495" t="s">
        <v>1883</v>
      </c>
      <c r="W172" s="1496">
        <v>25900</v>
      </c>
      <c r="X172" s="1497" t="s">
        <v>1883</v>
      </c>
      <c r="Y172" s="1498">
        <v>3.06371670288E-2</v>
      </c>
      <c r="Z172" s="1498">
        <v>0.42406531242651002</v>
      </c>
      <c r="AA172" s="1498">
        <v>1.01775674982362</v>
      </c>
      <c r="AB172" s="1498">
        <v>7.6600000000000001E-3</v>
      </c>
      <c r="AC172" s="1499" t="s">
        <v>1199</v>
      </c>
      <c r="AD172" s="1500" t="s">
        <v>635</v>
      </c>
      <c r="AE172" s="1501"/>
      <c r="AF172" s="1502" t="s">
        <v>635</v>
      </c>
      <c r="AG172" s="1501"/>
      <c r="AH172" s="1502">
        <v>0.05</v>
      </c>
      <c r="AI172" s="1503" t="s">
        <v>1119</v>
      </c>
      <c r="AJ172" s="1502">
        <v>0.6</v>
      </c>
      <c r="AK172" s="1503" t="s">
        <v>1900</v>
      </c>
      <c r="AL172" s="1501"/>
      <c r="AM172" s="1501"/>
      <c r="AN172" s="1504">
        <v>1</v>
      </c>
      <c r="AO172" s="1505">
        <v>0.1</v>
      </c>
      <c r="AP172" s="1506" t="s">
        <v>635</v>
      </c>
    </row>
    <row r="173" spans="1:42" ht="30">
      <c r="A173" s="1481" t="s">
        <v>2198</v>
      </c>
      <c r="B173" s="1482" t="s">
        <v>2199</v>
      </c>
      <c r="C173" s="1483">
        <v>108.14</v>
      </c>
      <c r="D173" s="1484" t="s">
        <v>1883</v>
      </c>
      <c r="E173" s="1485">
        <v>4.088307441E-5</v>
      </c>
      <c r="F173" s="1485">
        <v>9.9999999999999995E-7</v>
      </c>
      <c r="G173" s="1486" t="s">
        <v>1883</v>
      </c>
      <c r="H173" s="1485">
        <v>0.11</v>
      </c>
      <c r="I173" s="1486" t="s">
        <v>1883</v>
      </c>
      <c r="J173" s="1487">
        <v>35.5</v>
      </c>
      <c r="K173" s="1488" t="s">
        <v>1883</v>
      </c>
      <c r="L173" s="1489">
        <v>1.0185</v>
      </c>
      <c r="M173" s="1490" t="s">
        <v>1884</v>
      </c>
      <c r="N173" s="1491">
        <v>7.2393799120169994E-2</v>
      </c>
      <c r="O173" s="1491">
        <v>9.2396723826299992E-6</v>
      </c>
      <c r="P173" s="1492" t="s">
        <v>1885</v>
      </c>
      <c r="Q173" s="1493" t="s">
        <v>635</v>
      </c>
      <c r="R173" s="1494"/>
      <c r="S173" s="1493">
        <v>300.39999999999998</v>
      </c>
      <c r="T173" s="1493" t="s">
        <v>1199</v>
      </c>
      <c r="U173" s="1493">
        <v>1.94</v>
      </c>
      <c r="V173" s="1495" t="s">
        <v>1883</v>
      </c>
      <c r="W173" s="1496">
        <v>21500</v>
      </c>
      <c r="X173" s="1497" t="s">
        <v>1883</v>
      </c>
      <c r="Y173" s="1498">
        <v>3.0157211409550001E-2</v>
      </c>
      <c r="Z173" s="1498">
        <v>0.42406531242651002</v>
      </c>
      <c r="AA173" s="1498">
        <v>1.01775674982362</v>
      </c>
      <c r="AB173" s="1498">
        <v>7.5399999999999998E-3</v>
      </c>
      <c r="AC173" s="1499" t="s">
        <v>1199</v>
      </c>
      <c r="AD173" s="1500" t="s">
        <v>635</v>
      </c>
      <c r="AE173" s="1501"/>
      <c r="AF173" s="1502" t="s">
        <v>635</v>
      </c>
      <c r="AG173" s="1501"/>
      <c r="AH173" s="1502">
        <v>0.02</v>
      </c>
      <c r="AI173" s="1503" t="s">
        <v>1909</v>
      </c>
      <c r="AJ173" s="1502">
        <v>0.6</v>
      </c>
      <c r="AK173" s="1503" t="s">
        <v>1900</v>
      </c>
      <c r="AL173" s="1501"/>
      <c r="AM173" s="1501"/>
      <c r="AN173" s="1504">
        <v>1</v>
      </c>
      <c r="AO173" s="1505">
        <v>0.1</v>
      </c>
      <c r="AP173" s="1506" t="s">
        <v>635</v>
      </c>
    </row>
    <row r="174" spans="1:42" ht="30">
      <c r="A174" s="1507" t="s">
        <v>2200</v>
      </c>
      <c r="B174" s="1508" t="s">
        <v>2201</v>
      </c>
      <c r="C174" s="1509">
        <v>142.59</v>
      </c>
      <c r="D174" s="1510" t="s">
        <v>1883</v>
      </c>
      <c r="E174" s="1511">
        <v>1.001635323E-4</v>
      </c>
      <c r="F174" s="1511">
        <v>2.4499999999999998E-6</v>
      </c>
      <c r="G174" s="1512" t="s">
        <v>1199</v>
      </c>
      <c r="H174" s="1511">
        <v>0.05</v>
      </c>
      <c r="I174" s="1512" t="s">
        <v>1883</v>
      </c>
      <c r="J174" s="1513">
        <v>67</v>
      </c>
      <c r="K174" s="1514" t="s">
        <v>1883</v>
      </c>
      <c r="L174" s="1515" t="s">
        <v>635</v>
      </c>
      <c r="M174" s="1538"/>
      <c r="N174" s="1517">
        <v>6.9613620541200003E-2</v>
      </c>
      <c r="O174" s="1517">
        <v>8.1338019790200006E-6</v>
      </c>
      <c r="P174" s="1518" t="s">
        <v>1885</v>
      </c>
      <c r="Q174" s="1519" t="s">
        <v>635</v>
      </c>
      <c r="R174" s="1520"/>
      <c r="S174" s="1519">
        <v>491.8</v>
      </c>
      <c r="T174" s="1519" t="s">
        <v>1199</v>
      </c>
      <c r="U174" s="1519">
        <v>3.1</v>
      </c>
      <c r="V174" s="1521" t="s">
        <v>1883</v>
      </c>
      <c r="W174" s="1522">
        <v>3834</v>
      </c>
      <c r="X174" s="1523" t="s">
        <v>1883</v>
      </c>
      <c r="Y174" s="1524">
        <v>0.13089288695352999</v>
      </c>
      <c r="Z174" s="1524">
        <v>0.66123030501421998</v>
      </c>
      <c r="AA174" s="1524">
        <v>1.5869527320341199</v>
      </c>
      <c r="AB174" s="1524">
        <v>2.8500000000000001E-2</v>
      </c>
      <c r="AC174" s="1525" t="s">
        <v>1199</v>
      </c>
      <c r="AD174" s="1526" t="s">
        <v>635</v>
      </c>
      <c r="AE174" s="1527"/>
      <c r="AF174" s="1528" t="s">
        <v>635</v>
      </c>
      <c r="AG174" s="1527"/>
      <c r="AH174" s="1528">
        <v>0.1</v>
      </c>
      <c r="AI174" s="1529" t="s">
        <v>1960</v>
      </c>
      <c r="AJ174" s="1528" t="s">
        <v>635</v>
      </c>
      <c r="AK174" s="1527"/>
      <c r="AL174" s="1527"/>
      <c r="AM174" s="1527"/>
      <c r="AN174" s="1530">
        <v>1</v>
      </c>
      <c r="AO174" s="1531">
        <v>0.1</v>
      </c>
      <c r="AP174" s="1532" t="s">
        <v>635</v>
      </c>
    </row>
    <row r="175" spans="1:42" ht="30">
      <c r="A175" s="1481" t="s">
        <v>2202</v>
      </c>
      <c r="B175" s="1482" t="s">
        <v>2203</v>
      </c>
      <c r="C175" s="1483">
        <v>324.42</v>
      </c>
      <c r="D175" s="1484" t="s">
        <v>1883</v>
      </c>
      <c r="E175" s="1485">
        <v>2.5306623060000001E-5</v>
      </c>
      <c r="F175" s="1485">
        <v>6.1900000000000002E-7</v>
      </c>
      <c r="G175" s="1486" t="s">
        <v>1883</v>
      </c>
      <c r="H175" s="1485">
        <v>0.17</v>
      </c>
      <c r="I175" s="1486" t="s">
        <v>1883</v>
      </c>
      <c r="J175" s="1487">
        <v>29.8</v>
      </c>
      <c r="K175" s="1488" t="s">
        <v>1199</v>
      </c>
      <c r="L175" s="1489" t="s">
        <v>635</v>
      </c>
      <c r="M175" s="1533"/>
      <c r="N175" s="1491">
        <v>4.0242212896610001E-2</v>
      </c>
      <c r="O175" s="1491">
        <v>4.7019848752899999E-6</v>
      </c>
      <c r="P175" s="1492" t="s">
        <v>1885</v>
      </c>
      <c r="Q175" s="1493" t="s">
        <v>635</v>
      </c>
      <c r="R175" s="1494"/>
      <c r="S175" s="1493">
        <v>306.5</v>
      </c>
      <c r="T175" s="1493" t="s">
        <v>1199</v>
      </c>
      <c r="U175" s="1493">
        <v>1.95</v>
      </c>
      <c r="V175" s="1495" t="s">
        <v>1883</v>
      </c>
      <c r="W175" s="1496">
        <v>9066</v>
      </c>
      <c r="X175" s="1497" t="s">
        <v>1883</v>
      </c>
      <c r="Y175" s="1498">
        <v>5.3065129893849997E-2</v>
      </c>
      <c r="Z175" s="1498">
        <v>6.8960555246009703</v>
      </c>
      <c r="AA175" s="1498">
        <v>16.5505332590423</v>
      </c>
      <c r="AB175" s="1498">
        <v>7.6600000000000001E-3</v>
      </c>
      <c r="AC175" s="1499" t="s">
        <v>1199</v>
      </c>
      <c r="AD175" s="1500" t="s">
        <v>635</v>
      </c>
      <c r="AE175" s="1501"/>
      <c r="AF175" s="1502" t="s">
        <v>635</v>
      </c>
      <c r="AG175" s="1501"/>
      <c r="AH175" s="1502">
        <v>0.1</v>
      </c>
      <c r="AI175" s="1503" t="s">
        <v>1960</v>
      </c>
      <c r="AJ175" s="1502">
        <v>0.6</v>
      </c>
      <c r="AK175" s="1503" t="s">
        <v>1900</v>
      </c>
      <c r="AL175" s="1501"/>
      <c r="AM175" s="1501"/>
      <c r="AN175" s="1504">
        <v>1</v>
      </c>
      <c r="AO175" s="1505">
        <v>0.1</v>
      </c>
      <c r="AP175" s="1506" t="s">
        <v>635</v>
      </c>
    </row>
    <row r="176" spans="1:42" ht="30">
      <c r="A176" s="1481" t="s">
        <v>2204</v>
      </c>
      <c r="B176" s="1482" t="s">
        <v>2205</v>
      </c>
      <c r="C176" s="1483">
        <v>70.091999999999999</v>
      </c>
      <c r="D176" s="1484" t="s">
        <v>1883</v>
      </c>
      <c r="E176" s="1485">
        <v>7.9313164350000001E-4</v>
      </c>
      <c r="F176" s="1485">
        <v>1.9400000000000001E-5</v>
      </c>
      <c r="G176" s="1486" t="s">
        <v>1883</v>
      </c>
      <c r="H176" s="1485">
        <v>30</v>
      </c>
      <c r="I176" s="1486" t="s">
        <v>1883</v>
      </c>
      <c r="J176" s="1487">
        <v>-76</v>
      </c>
      <c r="K176" s="1488" t="s">
        <v>1883</v>
      </c>
      <c r="L176" s="1489">
        <v>0.85160000000000002</v>
      </c>
      <c r="M176" s="1490" t="s">
        <v>1884</v>
      </c>
      <c r="N176" s="1491">
        <v>9.5923530204479995E-2</v>
      </c>
      <c r="O176" s="1491">
        <v>1.0764951860000001E-5</v>
      </c>
      <c r="P176" s="1492" t="s">
        <v>1885</v>
      </c>
      <c r="Q176" s="1493" t="s">
        <v>635</v>
      </c>
      <c r="R176" s="1494"/>
      <c r="S176" s="1493">
        <v>1.7929999999999999</v>
      </c>
      <c r="T176" s="1493" t="s">
        <v>1199</v>
      </c>
      <c r="U176" s="1493">
        <v>0.6</v>
      </c>
      <c r="V176" s="1495" t="s">
        <v>1883</v>
      </c>
      <c r="W176" s="1496">
        <v>150000</v>
      </c>
      <c r="X176" s="1497" t="s">
        <v>1883</v>
      </c>
      <c r="Y176" s="1498">
        <v>5.1198590205699997E-3</v>
      </c>
      <c r="Z176" s="1498">
        <v>0.25963542603604001</v>
      </c>
      <c r="AA176" s="1498">
        <v>0.62312502248649004</v>
      </c>
      <c r="AB176" s="1498">
        <v>1.5900000000000001E-3</v>
      </c>
      <c r="AC176" s="1499" t="s">
        <v>1199</v>
      </c>
      <c r="AD176" s="1500">
        <v>1.9</v>
      </c>
      <c r="AE176" s="1503" t="s">
        <v>1073</v>
      </c>
      <c r="AF176" s="1502" t="s">
        <v>635</v>
      </c>
      <c r="AG176" s="1501"/>
      <c r="AH176" s="1502">
        <v>1E-3</v>
      </c>
      <c r="AI176" s="1503" t="s">
        <v>1909</v>
      </c>
      <c r="AJ176" s="1502" t="s">
        <v>635</v>
      </c>
      <c r="AK176" s="1501"/>
      <c r="AL176" s="1503" t="s">
        <v>1127</v>
      </c>
      <c r="AM176" s="1501"/>
      <c r="AN176" s="1504">
        <v>1</v>
      </c>
      <c r="AO176" s="1504" t="s">
        <v>635</v>
      </c>
      <c r="AP176" s="1506">
        <v>16600</v>
      </c>
    </row>
    <row r="177" spans="1:42" ht="30">
      <c r="A177" s="1507" t="s">
        <v>2206</v>
      </c>
      <c r="B177" s="1508" t="s">
        <v>2207</v>
      </c>
      <c r="C177" s="1509">
        <v>120.2</v>
      </c>
      <c r="D177" s="1510" t="s">
        <v>1883</v>
      </c>
      <c r="E177" s="1511">
        <v>0.47015535568275002</v>
      </c>
      <c r="F177" s="1511">
        <v>1.15E-2</v>
      </c>
      <c r="G177" s="1512" t="s">
        <v>1883</v>
      </c>
      <c r="H177" s="1511">
        <v>4.5</v>
      </c>
      <c r="I177" s="1512" t="s">
        <v>1883</v>
      </c>
      <c r="J177" s="1513">
        <v>-96</v>
      </c>
      <c r="K177" s="1514" t="s">
        <v>1883</v>
      </c>
      <c r="L177" s="1515">
        <v>0.86399999999999999</v>
      </c>
      <c r="M177" s="1516" t="s">
        <v>1884</v>
      </c>
      <c r="N177" s="1517">
        <v>6.0304449968449997E-2</v>
      </c>
      <c r="O177" s="1517">
        <v>7.8566487323800006E-6</v>
      </c>
      <c r="P177" s="1518" t="s">
        <v>1885</v>
      </c>
      <c r="Q177" s="1519" t="s">
        <v>635</v>
      </c>
      <c r="R177" s="1520"/>
      <c r="S177" s="1519">
        <v>697.8</v>
      </c>
      <c r="T177" s="1519" t="s">
        <v>1199</v>
      </c>
      <c r="U177" s="1519">
        <v>3.66</v>
      </c>
      <c r="V177" s="1521" t="s">
        <v>1883</v>
      </c>
      <c r="W177" s="1522">
        <v>61.3</v>
      </c>
      <c r="X177" s="1523" t="s">
        <v>1883</v>
      </c>
      <c r="Y177" s="1524">
        <v>0.37824337403316999</v>
      </c>
      <c r="Z177" s="1524">
        <v>0.49541454114276001</v>
      </c>
      <c r="AA177" s="1524">
        <v>1.18899489874263</v>
      </c>
      <c r="AB177" s="1524">
        <v>8.9700000000000002E-2</v>
      </c>
      <c r="AC177" s="1525" t="s">
        <v>1199</v>
      </c>
      <c r="AD177" s="1526" t="s">
        <v>635</v>
      </c>
      <c r="AE177" s="1527"/>
      <c r="AF177" s="1528" t="s">
        <v>635</v>
      </c>
      <c r="AG177" s="1527"/>
      <c r="AH177" s="1528">
        <v>0.1</v>
      </c>
      <c r="AI177" s="1529" t="s">
        <v>1119</v>
      </c>
      <c r="AJ177" s="1528">
        <v>0.4</v>
      </c>
      <c r="AK177" s="1529" t="s">
        <v>1119</v>
      </c>
      <c r="AL177" s="1529" t="s">
        <v>1127</v>
      </c>
      <c r="AM177" s="1527"/>
      <c r="AN177" s="1530">
        <v>1</v>
      </c>
      <c r="AO177" s="1530" t="s">
        <v>635</v>
      </c>
      <c r="AP177" s="1532">
        <v>268</v>
      </c>
    </row>
    <row r="178" spans="1:42" ht="30">
      <c r="A178" s="1481" t="s">
        <v>2208</v>
      </c>
      <c r="B178" s="1482" t="s">
        <v>2209</v>
      </c>
      <c r="C178" s="1483">
        <v>155.16</v>
      </c>
      <c r="D178" s="1484" t="s">
        <v>1883</v>
      </c>
      <c r="E178" s="1485">
        <v>1.47996729354E-7</v>
      </c>
      <c r="F178" s="1485">
        <v>3.6199999999999999E-9</v>
      </c>
      <c r="G178" s="1486" t="s">
        <v>1883</v>
      </c>
      <c r="H178" s="1485">
        <v>6.2899999999999997E-5</v>
      </c>
      <c r="I178" s="1486" t="s">
        <v>1883</v>
      </c>
      <c r="J178" s="1487">
        <v>163.5</v>
      </c>
      <c r="K178" s="1488" t="s">
        <v>1883</v>
      </c>
      <c r="L178" s="1489" t="s">
        <v>635</v>
      </c>
      <c r="M178" s="1533"/>
      <c r="N178" s="1491">
        <v>6.5801190888269995E-2</v>
      </c>
      <c r="O178" s="1491">
        <v>7.6883496722100001E-6</v>
      </c>
      <c r="P178" s="1492" t="s">
        <v>1885</v>
      </c>
      <c r="Q178" s="1493" t="s">
        <v>635</v>
      </c>
      <c r="R178" s="1494"/>
      <c r="S178" s="1493">
        <v>762.4</v>
      </c>
      <c r="T178" s="1493" t="s">
        <v>1199</v>
      </c>
      <c r="U178" s="1493">
        <v>-1.73</v>
      </c>
      <c r="V178" s="1495" t="s">
        <v>1883</v>
      </c>
      <c r="W178" s="1496">
        <v>608000</v>
      </c>
      <c r="X178" s="1497" t="s">
        <v>1883</v>
      </c>
      <c r="Y178" s="1498">
        <v>8.0007925273099999E-6</v>
      </c>
      <c r="Z178" s="1498">
        <v>0.77757940551433002</v>
      </c>
      <c r="AA178" s="1498">
        <v>1.86619057323438</v>
      </c>
      <c r="AB178" s="1498">
        <v>1.6700000000000001E-6</v>
      </c>
      <c r="AC178" s="1499" t="s">
        <v>1199</v>
      </c>
      <c r="AD178" s="1500">
        <v>0.22</v>
      </c>
      <c r="AE178" s="1503" t="s">
        <v>1900</v>
      </c>
      <c r="AF178" s="1502">
        <v>6.3E-5</v>
      </c>
      <c r="AG178" s="1503" t="s">
        <v>1900</v>
      </c>
      <c r="AH178" s="1502" t="s">
        <v>635</v>
      </c>
      <c r="AI178" s="1501"/>
      <c r="AJ178" s="1502" t="s">
        <v>635</v>
      </c>
      <c r="AK178" s="1501"/>
      <c r="AL178" s="1501"/>
      <c r="AM178" s="1501"/>
      <c r="AN178" s="1504">
        <v>1</v>
      </c>
      <c r="AO178" s="1505">
        <v>0.1</v>
      </c>
      <c r="AP178" s="1506" t="s">
        <v>635</v>
      </c>
    </row>
    <row r="179" spans="1:42" ht="30">
      <c r="A179" s="1481" t="s">
        <v>2210</v>
      </c>
      <c r="B179" s="1482" t="s">
        <v>2211</v>
      </c>
      <c r="C179" s="1483">
        <v>240.7</v>
      </c>
      <c r="D179" s="1484" t="s">
        <v>1883</v>
      </c>
      <c r="E179" s="1485">
        <v>1.0506950122999999E-10</v>
      </c>
      <c r="F179" s="1485">
        <v>2.5700000000000002E-12</v>
      </c>
      <c r="G179" s="1486" t="s">
        <v>1199</v>
      </c>
      <c r="H179" s="1485">
        <v>1.3799999999999999E-7</v>
      </c>
      <c r="I179" s="1486" t="s">
        <v>1883</v>
      </c>
      <c r="J179" s="1487">
        <v>168</v>
      </c>
      <c r="K179" s="1488" t="s">
        <v>1883</v>
      </c>
      <c r="L179" s="1489" t="s">
        <v>635</v>
      </c>
      <c r="M179" s="1533"/>
      <c r="N179" s="1491">
        <v>4.9102417440470003E-2</v>
      </c>
      <c r="O179" s="1491">
        <v>5.7372298272499999E-6</v>
      </c>
      <c r="P179" s="1492" t="s">
        <v>1885</v>
      </c>
      <c r="Q179" s="1493" t="s">
        <v>635</v>
      </c>
      <c r="R179" s="1494"/>
      <c r="S179" s="1493">
        <v>134.1</v>
      </c>
      <c r="T179" s="1493" t="s">
        <v>1199</v>
      </c>
      <c r="U179" s="1493">
        <v>2.2200000000000002</v>
      </c>
      <c r="V179" s="1495" t="s">
        <v>1883</v>
      </c>
      <c r="W179" s="1496">
        <v>170</v>
      </c>
      <c r="X179" s="1497" t="s">
        <v>1883</v>
      </c>
      <c r="Y179" s="1498">
        <v>1.247127866019E-2</v>
      </c>
      <c r="Z179" s="1498">
        <v>2.3429809074300501</v>
      </c>
      <c r="AA179" s="1498">
        <v>5.6231541778321104</v>
      </c>
      <c r="AB179" s="1498">
        <v>2.0899999999999998E-3</v>
      </c>
      <c r="AC179" s="1499" t="s">
        <v>1199</v>
      </c>
      <c r="AD179" s="1500">
        <v>0.84</v>
      </c>
      <c r="AE179" s="1503" t="s">
        <v>1073</v>
      </c>
      <c r="AF179" s="1502" t="s">
        <v>635</v>
      </c>
      <c r="AG179" s="1501"/>
      <c r="AH179" s="1502">
        <v>2E-3</v>
      </c>
      <c r="AI179" s="1503" t="s">
        <v>1073</v>
      </c>
      <c r="AJ179" s="1502" t="s">
        <v>635</v>
      </c>
      <c r="AK179" s="1501"/>
      <c r="AL179" s="1501"/>
      <c r="AM179" s="1501"/>
      <c r="AN179" s="1504">
        <v>1</v>
      </c>
      <c r="AO179" s="1505">
        <v>0.1</v>
      </c>
      <c r="AP179" s="1506" t="s">
        <v>635</v>
      </c>
    </row>
    <row r="180" spans="1:42" ht="15">
      <c r="A180" s="1507"/>
      <c r="B180" s="1508" t="s">
        <v>2212</v>
      </c>
      <c r="C180" s="1509" t="s">
        <v>635</v>
      </c>
      <c r="D180" s="1548"/>
      <c r="E180" s="1511" t="s">
        <v>635</v>
      </c>
      <c r="F180" s="1511" t="s">
        <v>635</v>
      </c>
      <c r="G180" s="1534"/>
      <c r="H180" s="1511" t="s">
        <v>635</v>
      </c>
      <c r="I180" s="1534"/>
      <c r="J180" s="1513" t="s">
        <v>635</v>
      </c>
      <c r="K180" s="1540"/>
      <c r="L180" s="1515" t="s">
        <v>635</v>
      </c>
      <c r="M180" s="1538"/>
      <c r="N180" s="1517" t="s">
        <v>635</v>
      </c>
      <c r="O180" s="1517" t="s">
        <v>635</v>
      </c>
      <c r="P180" s="1549"/>
      <c r="Q180" s="1519" t="s">
        <v>635</v>
      </c>
      <c r="R180" s="1520"/>
      <c r="S180" s="1519" t="s">
        <v>635</v>
      </c>
      <c r="T180" s="1520"/>
      <c r="U180" s="1519" t="s">
        <v>635</v>
      </c>
      <c r="V180" s="1507"/>
      <c r="W180" s="1522" t="s">
        <v>635</v>
      </c>
      <c r="X180" s="1535"/>
      <c r="Y180" s="1524" t="s">
        <v>635</v>
      </c>
      <c r="Z180" s="1524" t="s">
        <v>635</v>
      </c>
      <c r="AA180" s="1524" t="s">
        <v>635</v>
      </c>
      <c r="AB180" s="1524" t="s">
        <v>635</v>
      </c>
      <c r="AC180" s="1550"/>
      <c r="AD180" s="1526" t="s">
        <v>635</v>
      </c>
      <c r="AE180" s="1527"/>
      <c r="AF180" s="1528" t="s">
        <v>635</v>
      </c>
      <c r="AG180" s="1527"/>
      <c r="AH180" s="1528" t="s">
        <v>635</v>
      </c>
      <c r="AI180" s="1527"/>
      <c r="AJ180" s="1528" t="s">
        <v>635</v>
      </c>
      <c r="AK180" s="1527"/>
      <c r="AL180" s="1527"/>
      <c r="AM180" s="1527"/>
      <c r="AN180" s="1530" t="s">
        <v>635</v>
      </c>
      <c r="AO180" s="1530" t="s">
        <v>635</v>
      </c>
      <c r="AP180" s="1532" t="s">
        <v>635</v>
      </c>
    </row>
    <row r="181" spans="1:42" ht="30">
      <c r="A181" s="1481" t="s">
        <v>2213</v>
      </c>
      <c r="B181" s="1482" t="s">
        <v>2214</v>
      </c>
      <c r="C181" s="1483">
        <v>92.116</v>
      </c>
      <c r="D181" s="1484" t="s">
        <v>1883</v>
      </c>
      <c r="E181" s="1485" t="s">
        <v>635</v>
      </c>
      <c r="F181" s="1485" t="s">
        <v>635</v>
      </c>
      <c r="G181" s="1536"/>
      <c r="H181" s="1485" t="s">
        <v>635</v>
      </c>
      <c r="I181" s="1536"/>
      <c r="J181" s="1487" t="s">
        <v>635</v>
      </c>
      <c r="K181" s="1542"/>
      <c r="L181" s="1489" t="s">
        <v>635</v>
      </c>
      <c r="M181" s="1533"/>
      <c r="N181" s="1491">
        <v>9.3153008779600005E-2</v>
      </c>
      <c r="O181" s="1491">
        <v>1.0884193659999999E-5</v>
      </c>
      <c r="P181" s="1492" t="s">
        <v>1885</v>
      </c>
      <c r="Q181" s="1493" t="s">
        <v>635</v>
      </c>
      <c r="R181" s="1494"/>
      <c r="S181" s="1493" t="s">
        <v>635</v>
      </c>
      <c r="T181" s="1494"/>
      <c r="U181" s="1493" t="s">
        <v>635</v>
      </c>
      <c r="V181" s="1481"/>
      <c r="W181" s="1496" t="s">
        <v>635</v>
      </c>
      <c r="X181" s="1537"/>
      <c r="Y181" s="1498">
        <v>3.6914261768199999E-3</v>
      </c>
      <c r="Z181" s="1498">
        <v>0.34490409412506001</v>
      </c>
      <c r="AA181" s="1498">
        <v>0.82776982590014003</v>
      </c>
      <c r="AB181" s="1498">
        <v>1E-3</v>
      </c>
      <c r="AC181" s="1499" t="s">
        <v>1203</v>
      </c>
      <c r="AD181" s="1500" t="s">
        <v>635</v>
      </c>
      <c r="AE181" s="1501"/>
      <c r="AF181" s="1502" t="s">
        <v>635</v>
      </c>
      <c r="AG181" s="1501"/>
      <c r="AH181" s="1502">
        <v>1E-3</v>
      </c>
      <c r="AI181" s="1503" t="s">
        <v>1119</v>
      </c>
      <c r="AJ181" s="1502">
        <v>8.9999999999999993E-3</v>
      </c>
      <c r="AK181" s="1503" t="s">
        <v>1900</v>
      </c>
      <c r="AL181" s="1501"/>
      <c r="AM181" s="1501"/>
      <c r="AN181" s="1504">
        <v>1</v>
      </c>
      <c r="AO181" s="1504" t="s">
        <v>635</v>
      </c>
      <c r="AP181" s="1506" t="s">
        <v>635</v>
      </c>
    </row>
    <row r="182" spans="1:42" ht="30">
      <c r="A182" s="1481" t="s">
        <v>2215</v>
      </c>
      <c r="B182" s="1482" t="s">
        <v>2216</v>
      </c>
      <c r="C182" s="1483">
        <v>89.563999999999993</v>
      </c>
      <c r="D182" s="1484" t="s">
        <v>1883</v>
      </c>
      <c r="E182" s="1485" t="s">
        <v>635</v>
      </c>
      <c r="F182" s="1485" t="s">
        <v>635</v>
      </c>
      <c r="G182" s="1536"/>
      <c r="H182" s="1485" t="s">
        <v>635</v>
      </c>
      <c r="I182" s="1536"/>
      <c r="J182" s="1487">
        <v>474</v>
      </c>
      <c r="K182" s="1488" t="s">
        <v>1883</v>
      </c>
      <c r="L182" s="1489">
        <v>2.9</v>
      </c>
      <c r="M182" s="1490" t="s">
        <v>1884</v>
      </c>
      <c r="N182" s="1491">
        <v>0.13049664998391</v>
      </c>
      <c r="O182" s="1491">
        <v>1.9383423360000002E-5</v>
      </c>
      <c r="P182" s="1492" t="s">
        <v>1885</v>
      </c>
      <c r="Q182" s="1493" t="s">
        <v>635</v>
      </c>
      <c r="R182" s="1494"/>
      <c r="S182" s="1493" t="s">
        <v>635</v>
      </c>
      <c r="T182" s="1494"/>
      <c r="U182" s="1493" t="s">
        <v>635</v>
      </c>
      <c r="V182" s="1481"/>
      <c r="W182" s="1496" t="s">
        <v>635</v>
      </c>
      <c r="X182" s="1537"/>
      <c r="Y182" s="1498">
        <v>3.6399330249399999E-3</v>
      </c>
      <c r="Z182" s="1498">
        <v>0.33373914547398997</v>
      </c>
      <c r="AA182" s="1498">
        <v>0.80097394913759001</v>
      </c>
      <c r="AB182" s="1498">
        <v>1E-3</v>
      </c>
      <c r="AC182" s="1499" t="s">
        <v>1203</v>
      </c>
      <c r="AD182" s="1500" t="s">
        <v>635</v>
      </c>
      <c r="AE182" s="1501"/>
      <c r="AF182" s="1502" t="s">
        <v>635</v>
      </c>
      <c r="AG182" s="1501"/>
      <c r="AH182" s="1502">
        <v>5.0000000000000001E-3</v>
      </c>
      <c r="AI182" s="1503" t="s">
        <v>1119</v>
      </c>
      <c r="AJ182" s="1502" t="s">
        <v>635</v>
      </c>
      <c r="AK182" s="1501"/>
      <c r="AL182" s="1501"/>
      <c r="AM182" s="1501"/>
      <c r="AN182" s="1504">
        <v>1</v>
      </c>
      <c r="AO182" s="1504" t="s">
        <v>635</v>
      </c>
      <c r="AP182" s="1506" t="s">
        <v>635</v>
      </c>
    </row>
    <row r="183" spans="1:42" ht="30">
      <c r="A183" s="1507" t="s">
        <v>144</v>
      </c>
      <c r="B183" s="1508" t="s">
        <v>2217</v>
      </c>
      <c r="C183" s="1509">
        <v>26.018000000000001</v>
      </c>
      <c r="D183" s="1510" t="s">
        <v>1883</v>
      </c>
      <c r="E183" s="1511">
        <v>4.15E-3</v>
      </c>
      <c r="F183" s="1511">
        <v>1.01E-4</v>
      </c>
      <c r="G183" s="1512" t="s">
        <v>2218</v>
      </c>
      <c r="H183" s="1511">
        <v>308</v>
      </c>
      <c r="I183" s="1512" t="s">
        <v>1883</v>
      </c>
      <c r="J183" s="1513" t="s">
        <v>635</v>
      </c>
      <c r="K183" s="1540"/>
      <c r="L183" s="1515">
        <v>0.69499999999999995</v>
      </c>
      <c r="M183" s="1516" t="s">
        <v>2219</v>
      </c>
      <c r="N183" s="1517">
        <v>0.17286419943081999</v>
      </c>
      <c r="O183" s="1517">
        <v>1.727023745E-5</v>
      </c>
      <c r="P183" s="1518" t="s">
        <v>1885</v>
      </c>
      <c r="Q183" s="1519">
        <v>9.9</v>
      </c>
      <c r="R183" s="1519" t="s">
        <v>1959</v>
      </c>
      <c r="S183" s="1519" t="s">
        <v>635</v>
      </c>
      <c r="T183" s="1520"/>
      <c r="U183" s="1519" t="s">
        <v>635</v>
      </c>
      <c r="V183" s="1507"/>
      <c r="W183" s="1522">
        <v>95400</v>
      </c>
      <c r="X183" s="1523" t="s">
        <v>1883</v>
      </c>
      <c r="Y183" s="1524">
        <v>1.9618400974699998E-3</v>
      </c>
      <c r="Z183" s="1524">
        <v>0.14707862110785999</v>
      </c>
      <c r="AA183" s="1524">
        <v>0.35298869065886002</v>
      </c>
      <c r="AB183" s="1524">
        <v>1E-3</v>
      </c>
      <c r="AC183" s="1525" t="s">
        <v>1203</v>
      </c>
      <c r="AD183" s="1526" t="s">
        <v>635</v>
      </c>
      <c r="AE183" s="1527"/>
      <c r="AF183" s="1528" t="s">
        <v>635</v>
      </c>
      <c r="AG183" s="1527"/>
      <c r="AH183" s="1528">
        <v>5.9999999999999995E-4</v>
      </c>
      <c r="AI183" s="1529" t="s">
        <v>1119</v>
      </c>
      <c r="AJ183" s="1528">
        <v>8.0000000000000004E-4</v>
      </c>
      <c r="AK183" s="1529" t="s">
        <v>2111</v>
      </c>
      <c r="AL183" s="1529" t="s">
        <v>1127</v>
      </c>
      <c r="AM183" s="1527"/>
      <c r="AN183" s="1530">
        <v>1</v>
      </c>
      <c r="AO183" s="1530" t="s">
        <v>635</v>
      </c>
      <c r="AP183" s="1532">
        <v>954000</v>
      </c>
    </row>
    <row r="184" spans="1:42" ht="30">
      <c r="A184" s="1481" t="s">
        <v>2220</v>
      </c>
      <c r="B184" s="1482" t="s">
        <v>2221</v>
      </c>
      <c r="C184" s="1483">
        <v>52.036000000000001</v>
      </c>
      <c r="D184" s="1484" t="s">
        <v>1883</v>
      </c>
      <c r="E184" s="1485">
        <v>0.22076860179885999</v>
      </c>
      <c r="F184" s="1485">
        <v>5.4000000000000003E-3</v>
      </c>
      <c r="G184" s="1486" t="s">
        <v>1199</v>
      </c>
      <c r="H184" s="1485">
        <v>4302</v>
      </c>
      <c r="I184" s="1486" t="s">
        <v>1883</v>
      </c>
      <c r="J184" s="1487">
        <v>-27.9</v>
      </c>
      <c r="K184" s="1488" t="s">
        <v>1883</v>
      </c>
      <c r="L184" s="1489">
        <v>0.95369999999999999</v>
      </c>
      <c r="M184" s="1490" t="s">
        <v>1884</v>
      </c>
      <c r="N184" s="1491">
        <v>0.12375969095187001</v>
      </c>
      <c r="O184" s="1491">
        <v>1.3776423919999999E-5</v>
      </c>
      <c r="P184" s="1492" t="s">
        <v>1885</v>
      </c>
      <c r="Q184" s="1493" t="s">
        <v>635</v>
      </c>
      <c r="R184" s="1494"/>
      <c r="S184" s="1493" t="s">
        <v>635</v>
      </c>
      <c r="T184" s="1494"/>
      <c r="U184" s="1493">
        <v>7.0000000000000007E-2</v>
      </c>
      <c r="V184" s="1495" t="s">
        <v>1883</v>
      </c>
      <c r="W184" s="1496">
        <v>8000</v>
      </c>
      <c r="X184" s="1497" t="s">
        <v>1884</v>
      </c>
      <c r="Y184" s="1498">
        <v>2.4692701770200002E-3</v>
      </c>
      <c r="Z184" s="1498">
        <v>0.20570760584277001</v>
      </c>
      <c r="AA184" s="1498">
        <v>0.49369825402265</v>
      </c>
      <c r="AB184" s="1498">
        <v>8.8999999999999995E-4</v>
      </c>
      <c r="AC184" s="1499" t="s">
        <v>1203</v>
      </c>
      <c r="AD184" s="1500" t="s">
        <v>635</v>
      </c>
      <c r="AE184" s="1501"/>
      <c r="AF184" s="1502" t="s">
        <v>635</v>
      </c>
      <c r="AG184" s="1501"/>
      <c r="AH184" s="1502">
        <v>1E-3</v>
      </c>
      <c r="AI184" s="1503" t="s">
        <v>1119</v>
      </c>
      <c r="AJ184" s="1502" t="s">
        <v>635</v>
      </c>
      <c r="AK184" s="1501"/>
      <c r="AL184" s="1503" t="s">
        <v>1127</v>
      </c>
      <c r="AM184" s="1501"/>
      <c r="AN184" s="1504">
        <v>1</v>
      </c>
      <c r="AO184" s="1504" t="s">
        <v>635</v>
      </c>
      <c r="AP184" s="1506" t="s">
        <v>635</v>
      </c>
    </row>
    <row r="185" spans="1:42" ht="30">
      <c r="A185" s="1481" t="s">
        <v>2222</v>
      </c>
      <c r="B185" s="1482" t="s">
        <v>2223</v>
      </c>
      <c r="C185" s="1483">
        <v>105.93</v>
      </c>
      <c r="D185" s="1484" t="s">
        <v>1883</v>
      </c>
      <c r="E185" s="1485">
        <v>1</v>
      </c>
      <c r="F185" s="1485">
        <v>2.4500000000000001E-2</v>
      </c>
      <c r="G185" s="1486" t="s">
        <v>1199</v>
      </c>
      <c r="H185" s="1485">
        <v>121.56</v>
      </c>
      <c r="I185" s="1486" t="s">
        <v>1883</v>
      </c>
      <c r="J185" s="1487">
        <v>52</v>
      </c>
      <c r="K185" s="1488" t="s">
        <v>1883</v>
      </c>
      <c r="L185" s="1489">
        <v>2.0150000000000001</v>
      </c>
      <c r="M185" s="1490" t="s">
        <v>1884</v>
      </c>
      <c r="N185" s="1491">
        <v>9.8397953473139996E-2</v>
      </c>
      <c r="O185" s="1491">
        <v>1.408722394E-5</v>
      </c>
      <c r="P185" s="1492" t="s">
        <v>1885</v>
      </c>
      <c r="Q185" s="1493" t="s">
        <v>635</v>
      </c>
      <c r="R185" s="1494"/>
      <c r="S185" s="1493" t="s">
        <v>635</v>
      </c>
      <c r="T185" s="1494"/>
      <c r="U185" s="1493" t="s">
        <v>635</v>
      </c>
      <c r="V185" s="1481"/>
      <c r="W185" s="1496" t="s">
        <v>635</v>
      </c>
      <c r="X185" s="1537"/>
      <c r="Y185" s="1498">
        <v>1.0094302577499999E-3</v>
      </c>
      <c r="Z185" s="1498">
        <v>0.41215137173674998</v>
      </c>
      <c r="AA185" s="1498">
        <v>0.98916329216819998</v>
      </c>
      <c r="AB185" s="1498">
        <v>2.5500000000000002E-4</v>
      </c>
      <c r="AC185" s="1499" t="s">
        <v>1203</v>
      </c>
      <c r="AD185" s="1500" t="s">
        <v>635</v>
      </c>
      <c r="AE185" s="1501"/>
      <c r="AF185" s="1502" t="s">
        <v>635</v>
      </c>
      <c r="AG185" s="1501"/>
      <c r="AH185" s="1502">
        <v>0.09</v>
      </c>
      <c r="AI185" s="1503" t="s">
        <v>1119</v>
      </c>
      <c r="AJ185" s="1502" t="s">
        <v>635</v>
      </c>
      <c r="AK185" s="1501"/>
      <c r="AL185" s="1503" t="s">
        <v>1127</v>
      </c>
      <c r="AM185" s="1501"/>
      <c r="AN185" s="1504">
        <v>1</v>
      </c>
      <c r="AO185" s="1504" t="s">
        <v>635</v>
      </c>
      <c r="AP185" s="1506" t="s">
        <v>635</v>
      </c>
    </row>
    <row r="186" spans="1:42" ht="30">
      <c r="A186" s="1507" t="s">
        <v>2224</v>
      </c>
      <c r="B186" s="1508" t="s">
        <v>2225</v>
      </c>
      <c r="C186" s="1509">
        <v>61.470999999999997</v>
      </c>
      <c r="D186" s="1510" t="s">
        <v>1883</v>
      </c>
      <c r="E186" s="1511">
        <v>7.8718572587190005E-2</v>
      </c>
      <c r="F186" s="1511">
        <v>1.9411999999999999E-3</v>
      </c>
      <c r="G186" s="1512" t="s">
        <v>2006</v>
      </c>
      <c r="H186" s="1511">
        <v>1225</v>
      </c>
      <c r="I186" s="1512" t="s">
        <v>1883</v>
      </c>
      <c r="J186" s="1513">
        <v>-6.55</v>
      </c>
      <c r="K186" s="1514" t="s">
        <v>1883</v>
      </c>
      <c r="L186" s="1515">
        <v>1.1859999999999999</v>
      </c>
      <c r="M186" s="1516" t="s">
        <v>1884</v>
      </c>
      <c r="N186" s="1517">
        <v>0.12074407011648</v>
      </c>
      <c r="O186" s="1517">
        <v>1.4207590070000001E-5</v>
      </c>
      <c r="P186" s="1518" t="s">
        <v>1885</v>
      </c>
      <c r="Q186" s="1519" t="s">
        <v>635</v>
      </c>
      <c r="R186" s="1520"/>
      <c r="S186" s="1519" t="s">
        <v>635</v>
      </c>
      <c r="T186" s="1520"/>
      <c r="U186" s="1519" t="s">
        <v>635</v>
      </c>
      <c r="V186" s="1507"/>
      <c r="W186" s="1522">
        <v>60000</v>
      </c>
      <c r="X186" s="1523" t="s">
        <v>1883</v>
      </c>
      <c r="Y186" s="1524">
        <v>1.18811372531E-3</v>
      </c>
      <c r="Z186" s="1524">
        <v>0.23231986658491</v>
      </c>
      <c r="AA186" s="1524">
        <v>0.55756767980377997</v>
      </c>
      <c r="AB186" s="1524">
        <v>3.9399999999999998E-4</v>
      </c>
      <c r="AC186" s="1525" t="s">
        <v>1203</v>
      </c>
      <c r="AD186" s="1526" t="s">
        <v>635</v>
      </c>
      <c r="AE186" s="1527"/>
      <c r="AF186" s="1528" t="s">
        <v>635</v>
      </c>
      <c r="AG186" s="1527"/>
      <c r="AH186" s="1528">
        <v>0.05</v>
      </c>
      <c r="AI186" s="1529" t="s">
        <v>1119</v>
      </c>
      <c r="AJ186" s="1528" t="s">
        <v>635</v>
      </c>
      <c r="AK186" s="1527"/>
      <c r="AL186" s="1529" t="s">
        <v>1127</v>
      </c>
      <c r="AM186" s="1527"/>
      <c r="AN186" s="1530">
        <v>1</v>
      </c>
      <c r="AO186" s="1530" t="s">
        <v>635</v>
      </c>
      <c r="AP186" s="1532" t="s">
        <v>635</v>
      </c>
    </row>
    <row r="187" spans="1:42" ht="30">
      <c r="A187" s="1481" t="s">
        <v>2226</v>
      </c>
      <c r="B187" s="1482" t="s">
        <v>2227</v>
      </c>
      <c r="C187" s="1483">
        <v>27.026</v>
      </c>
      <c r="D187" s="1484" t="s">
        <v>1883</v>
      </c>
      <c r="E187" s="1485">
        <v>5.4374488961599996E-3</v>
      </c>
      <c r="F187" s="1485">
        <v>1.3300000000000001E-4</v>
      </c>
      <c r="G187" s="1486" t="s">
        <v>1883</v>
      </c>
      <c r="H187" s="1485">
        <v>741.9</v>
      </c>
      <c r="I187" s="1486" t="s">
        <v>1883</v>
      </c>
      <c r="J187" s="1487">
        <v>-13.4</v>
      </c>
      <c r="K187" s="1488" t="s">
        <v>1883</v>
      </c>
      <c r="L187" s="1489">
        <v>0.68759999999999999</v>
      </c>
      <c r="M187" s="1490" t="s">
        <v>1884</v>
      </c>
      <c r="N187" s="1491">
        <v>0.16782022010563</v>
      </c>
      <c r="O187" s="1491">
        <v>1.6772748269999999E-5</v>
      </c>
      <c r="P187" s="1492" t="s">
        <v>1885</v>
      </c>
      <c r="Q187" s="1493">
        <v>9.9</v>
      </c>
      <c r="R187" s="1493" t="s">
        <v>1959</v>
      </c>
      <c r="S187" s="1493" t="s">
        <v>635</v>
      </c>
      <c r="T187" s="1494"/>
      <c r="U187" s="1493">
        <v>-0.25</v>
      </c>
      <c r="V187" s="1495" t="s">
        <v>1883</v>
      </c>
      <c r="W187" s="1496">
        <v>1000000</v>
      </c>
      <c r="X187" s="1497" t="s">
        <v>1883</v>
      </c>
      <c r="Y187" s="1498">
        <v>1.99948218149E-3</v>
      </c>
      <c r="Z187" s="1498">
        <v>0.14900277256714001</v>
      </c>
      <c r="AA187" s="1498">
        <v>0.35760665416114001</v>
      </c>
      <c r="AB187" s="1498">
        <v>1E-3</v>
      </c>
      <c r="AC187" s="1499" t="s">
        <v>1203</v>
      </c>
      <c r="AD187" s="1500" t="s">
        <v>635</v>
      </c>
      <c r="AE187" s="1501"/>
      <c r="AF187" s="1502" t="s">
        <v>635</v>
      </c>
      <c r="AG187" s="1501"/>
      <c r="AH187" s="1502">
        <v>5.9999999999999995E-4</v>
      </c>
      <c r="AI187" s="1503" t="s">
        <v>1119</v>
      </c>
      <c r="AJ187" s="1502">
        <v>8.0000000000000004E-4</v>
      </c>
      <c r="AK187" s="1503" t="s">
        <v>1119</v>
      </c>
      <c r="AL187" s="1503" t="s">
        <v>1127</v>
      </c>
      <c r="AM187" s="1501"/>
      <c r="AN187" s="1504">
        <v>1</v>
      </c>
      <c r="AO187" s="1504" t="s">
        <v>635</v>
      </c>
      <c r="AP187" s="1506">
        <v>10000000</v>
      </c>
    </row>
    <row r="188" spans="1:42" ht="30">
      <c r="A188" s="1481" t="s">
        <v>2228</v>
      </c>
      <c r="B188" s="1482" t="s">
        <v>2229</v>
      </c>
      <c r="C188" s="1483">
        <v>65.12</v>
      </c>
      <c r="D188" s="1484" t="s">
        <v>1883</v>
      </c>
      <c r="E188" s="1485" t="s">
        <v>635</v>
      </c>
      <c r="F188" s="1485" t="s">
        <v>635</v>
      </c>
      <c r="G188" s="1536"/>
      <c r="H188" s="1485">
        <v>0</v>
      </c>
      <c r="I188" s="1486" t="s">
        <v>1929</v>
      </c>
      <c r="J188" s="1487">
        <v>634</v>
      </c>
      <c r="K188" s="1488" t="s">
        <v>1883</v>
      </c>
      <c r="L188" s="1489">
        <v>1.55</v>
      </c>
      <c r="M188" s="1490" t="s">
        <v>1884</v>
      </c>
      <c r="N188" s="1491">
        <v>0.12908078297032</v>
      </c>
      <c r="O188" s="1491">
        <v>1.6115439549999999E-5</v>
      </c>
      <c r="P188" s="1492" t="s">
        <v>1885</v>
      </c>
      <c r="Q188" s="1493" t="s">
        <v>635</v>
      </c>
      <c r="R188" s="1494"/>
      <c r="S188" s="1493" t="s">
        <v>635</v>
      </c>
      <c r="T188" s="1494"/>
      <c r="U188" s="1493" t="s">
        <v>635</v>
      </c>
      <c r="V188" s="1481"/>
      <c r="W188" s="1496">
        <v>720000</v>
      </c>
      <c r="X188" s="1497" t="s">
        <v>1883</v>
      </c>
      <c r="Y188" s="1498">
        <v>6.2074587697899999E-3</v>
      </c>
      <c r="Z188" s="1498">
        <v>0.24351221418474001</v>
      </c>
      <c r="AA188" s="1498">
        <v>0.58442931404338005</v>
      </c>
      <c r="AB188" s="1498">
        <v>2E-3</v>
      </c>
      <c r="AC188" s="1499" t="s">
        <v>1203</v>
      </c>
      <c r="AD188" s="1500" t="s">
        <v>635</v>
      </c>
      <c r="AE188" s="1501"/>
      <c r="AF188" s="1502" t="s">
        <v>635</v>
      </c>
      <c r="AG188" s="1501"/>
      <c r="AH188" s="1502">
        <v>2E-3</v>
      </c>
      <c r="AI188" s="1503" t="s">
        <v>1119</v>
      </c>
      <c r="AJ188" s="1502">
        <v>8.9999999999999993E-3</v>
      </c>
      <c r="AK188" s="1503" t="s">
        <v>1900</v>
      </c>
      <c r="AL188" s="1501"/>
      <c r="AM188" s="1501"/>
      <c r="AN188" s="1504">
        <v>1</v>
      </c>
      <c r="AO188" s="1504" t="s">
        <v>635</v>
      </c>
      <c r="AP188" s="1506" t="s">
        <v>635</v>
      </c>
    </row>
    <row r="189" spans="1:42" ht="30">
      <c r="A189" s="1507" t="s">
        <v>2230</v>
      </c>
      <c r="B189" s="1508" t="s">
        <v>2231</v>
      </c>
      <c r="C189" s="1509">
        <v>199.01</v>
      </c>
      <c r="D189" s="1510" t="s">
        <v>1883</v>
      </c>
      <c r="E189" s="1511" t="s">
        <v>635</v>
      </c>
      <c r="F189" s="1511" t="s">
        <v>635</v>
      </c>
      <c r="G189" s="1534"/>
      <c r="H189" s="1511" t="s">
        <v>635</v>
      </c>
      <c r="I189" s="1534"/>
      <c r="J189" s="1513" t="s">
        <v>635</v>
      </c>
      <c r="K189" s="1540"/>
      <c r="L189" s="1515" t="s">
        <v>635</v>
      </c>
      <c r="M189" s="1538"/>
      <c r="N189" s="1517">
        <v>5.5740432541580003E-2</v>
      </c>
      <c r="O189" s="1517">
        <v>6.5128294864399999E-6</v>
      </c>
      <c r="P189" s="1518" t="s">
        <v>1885</v>
      </c>
      <c r="Q189" s="1519" t="s">
        <v>635</v>
      </c>
      <c r="R189" s="1520"/>
      <c r="S189" s="1519" t="s">
        <v>635</v>
      </c>
      <c r="T189" s="1520"/>
      <c r="U189" s="1519" t="s">
        <v>635</v>
      </c>
      <c r="V189" s="1507"/>
      <c r="W189" s="1522" t="s">
        <v>635</v>
      </c>
      <c r="X189" s="1535"/>
      <c r="Y189" s="1524">
        <v>1.085160801217E-2</v>
      </c>
      <c r="Z189" s="1524">
        <v>1.36868891403454</v>
      </c>
      <c r="AA189" s="1524">
        <v>3.2848533936828899</v>
      </c>
      <c r="AB189" s="1524">
        <v>2E-3</v>
      </c>
      <c r="AC189" s="1525" t="s">
        <v>1203</v>
      </c>
      <c r="AD189" s="1526" t="s">
        <v>635</v>
      </c>
      <c r="AE189" s="1527"/>
      <c r="AF189" s="1528" t="s">
        <v>635</v>
      </c>
      <c r="AG189" s="1527"/>
      <c r="AH189" s="1528">
        <v>5.0000000000000001E-3</v>
      </c>
      <c r="AI189" s="1529" t="s">
        <v>1119</v>
      </c>
      <c r="AJ189" s="1528" t="s">
        <v>635</v>
      </c>
      <c r="AK189" s="1527"/>
      <c r="AL189" s="1527"/>
      <c r="AM189" s="1527"/>
      <c r="AN189" s="1541">
        <v>0.04</v>
      </c>
      <c r="AO189" s="1530" t="s">
        <v>635</v>
      </c>
      <c r="AP189" s="1532" t="s">
        <v>635</v>
      </c>
    </row>
    <row r="190" spans="1:42" ht="30">
      <c r="A190" s="1481" t="s">
        <v>2232</v>
      </c>
      <c r="B190" s="1482" t="s">
        <v>2233</v>
      </c>
      <c r="C190" s="1483">
        <v>133.88999999999999</v>
      </c>
      <c r="D190" s="1484" t="s">
        <v>1883</v>
      </c>
      <c r="E190" s="1485" t="s">
        <v>635</v>
      </c>
      <c r="F190" s="1485" t="s">
        <v>635</v>
      </c>
      <c r="G190" s="1536"/>
      <c r="H190" s="1485" t="s">
        <v>635</v>
      </c>
      <c r="I190" s="1536"/>
      <c r="J190" s="1487">
        <v>320</v>
      </c>
      <c r="K190" s="1488" t="s">
        <v>1883</v>
      </c>
      <c r="L190" s="1489">
        <v>3.95</v>
      </c>
      <c r="M190" s="1490" t="s">
        <v>1884</v>
      </c>
      <c r="N190" s="1491">
        <v>0.10034229275113001</v>
      </c>
      <c r="O190" s="1491">
        <v>1.8330788390000001E-5</v>
      </c>
      <c r="P190" s="1492" t="s">
        <v>1885</v>
      </c>
      <c r="Q190" s="1493" t="s">
        <v>635</v>
      </c>
      <c r="R190" s="1494"/>
      <c r="S190" s="1493" t="s">
        <v>635</v>
      </c>
      <c r="T190" s="1494"/>
      <c r="U190" s="1493" t="s">
        <v>635</v>
      </c>
      <c r="V190" s="1481"/>
      <c r="W190" s="1496">
        <v>23</v>
      </c>
      <c r="X190" s="1497" t="s">
        <v>1883</v>
      </c>
      <c r="Y190" s="1498">
        <v>4.4504171734499999E-3</v>
      </c>
      <c r="Z190" s="1498">
        <v>0.59106160616345005</v>
      </c>
      <c r="AA190" s="1498">
        <v>1.4185478547922801</v>
      </c>
      <c r="AB190" s="1498">
        <v>1E-3</v>
      </c>
      <c r="AC190" s="1499" t="s">
        <v>1203</v>
      </c>
      <c r="AD190" s="1500" t="s">
        <v>635</v>
      </c>
      <c r="AE190" s="1501"/>
      <c r="AF190" s="1502" t="s">
        <v>635</v>
      </c>
      <c r="AG190" s="1501"/>
      <c r="AH190" s="1502">
        <v>0.1</v>
      </c>
      <c r="AI190" s="1503" t="s">
        <v>1119</v>
      </c>
      <c r="AJ190" s="1502" t="s">
        <v>635</v>
      </c>
      <c r="AK190" s="1501"/>
      <c r="AL190" s="1501"/>
      <c r="AM190" s="1501"/>
      <c r="AN190" s="1539">
        <v>0.04</v>
      </c>
      <c r="AO190" s="1504" t="s">
        <v>635</v>
      </c>
      <c r="AP190" s="1506" t="s">
        <v>635</v>
      </c>
    </row>
    <row r="191" spans="1:42" ht="30">
      <c r="A191" s="1481" t="s">
        <v>2234</v>
      </c>
      <c r="B191" s="1482" t="s">
        <v>2235</v>
      </c>
      <c r="C191" s="1483">
        <v>49.008000000000003</v>
      </c>
      <c r="D191" s="1484" t="s">
        <v>1883</v>
      </c>
      <c r="E191" s="1485" t="s">
        <v>635</v>
      </c>
      <c r="F191" s="1485" t="s">
        <v>635</v>
      </c>
      <c r="G191" s="1536"/>
      <c r="H191" s="1485">
        <v>0</v>
      </c>
      <c r="I191" s="1486" t="s">
        <v>1929</v>
      </c>
      <c r="J191" s="1487">
        <v>563</v>
      </c>
      <c r="K191" s="1488" t="s">
        <v>1883</v>
      </c>
      <c r="L191" s="1489">
        <v>1.6</v>
      </c>
      <c r="M191" s="1490" t="s">
        <v>1884</v>
      </c>
      <c r="N191" s="1491">
        <v>0.15743509686192</v>
      </c>
      <c r="O191" s="1491">
        <v>1.9479758729999999E-5</v>
      </c>
      <c r="P191" s="1492" t="s">
        <v>1885</v>
      </c>
      <c r="Q191" s="1493" t="s">
        <v>635</v>
      </c>
      <c r="R191" s="1494"/>
      <c r="S191" s="1493" t="s">
        <v>635</v>
      </c>
      <c r="T191" s="1494"/>
      <c r="U191" s="1493" t="s">
        <v>635</v>
      </c>
      <c r="V191" s="1481"/>
      <c r="W191" s="1496">
        <v>582000</v>
      </c>
      <c r="X191" s="1497" t="s">
        <v>1884</v>
      </c>
      <c r="Y191" s="1498">
        <v>2.69252746356E-3</v>
      </c>
      <c r="Z191" s="1498">
        <v>0.19783063710165999</v>
      </c>
      <c r="AA191" s="1498">
        <v>0.47479352904399003</v>
      </c>
      <c r="AB191" s="1498">
        <v>1E-3</v>
      </c>
      <c r="AC191" s="1499" t="s">
        <v>1203</v>
      </c>
      <c r="AD191" s="1500" t="s">
        <v>635</v>
      </c>
      <c r="AE191" s="1501"/>
      <c r="AF191" s="1502" t="s">
        <v>635</v>
      </c>
      <c r="AG191" s="1501"/>
      <c r="AH191" s="1502">
        <v>1E-3</v>
      </c>
      <c r="AI191" s="1503" t="s">
        <v>1119</v>
      </c>
      <c r="AJ191" s="1502">
        <v>8.9999999999999993E-3</v>
      </c>
      <c r="AK191" s="1503" t="s">
        <v>1900</v>
      </c>
      <c r="AL191" s="1501"/>
      <c r="AM191" s="1501"/>
      <c r="AN191" s="1504">
        <v>1</v>
      </c>
      <c r="AO191" s="1504" t="s">
        <v>635</v>
      </c>
      <c r="AP191" s="1506" t="s">
        <v>635</v>
      </c>
    </row>
    <row r="192" spans="1:42" ht="30">
      <c r="A192" s="1507" t="s">
        <v>2236</v>
      </c>
      <c r="B192" s="1508" t="s">
        <v>2237</v>
      </c>
      <c r="C192" s="1509">
        <v>117.41</v>
      </c>
      <c r="D192" s="1510" t="s">
        <v>1883</v>
      </c>
      <c r="E192" s="1511" t="s">
        <v>635</v>
      </c>
      <c r="F192" s="1511" t="s">
        <v>635</v>
      </c>
      <c r="G192" s="1534"/>
      <c r="H192" s="1511" t="s">
        <v>635</v>
      </c>
      <c r="I192" s="1534"/>
      <c r="J192" s="1513">
        <v>80</v>
      </c>
      <c r="K192" s="1514" t="s">
        <v>1949</v>
      </c>
      <c r="L192" s="1515">
        <v>1.8520000000000001</v>
      </c>
      <c r="M192" s="1516" t="s">
        <v>1884</v>
      </c>
      <c r="N192" s="1517">
        <v>8.6018198555270001E-2</v>
      </c>
      <c r="O192" s="1517">
        <v>1.259021969E-5</v>
      </c>
      <c r="P192" s="1518" t="s">
        <v>1885</v>
      </c>
      <c r="Q192" s="1519" t="s">
        <v>635</v>
      </c>
      <c r="R192" s="1520"/>
      <c r="S192" s="1519" t="s">
        <v>635</v>
      </c>
      <c r="T192" s="1520"/>
      <c r="U192" s="1519" t="s">
        <v>635</v>
      </c>
      <c r="V192" s="1507"/>
      <c r="W192" s="1522">
        <v>4.7</v>
      </c>
      <c r="X192" s="1523" t="s">
        <v>1884</v>
      </c>
      <c r="Y192" s="1524">
        <v>2.5005206558399999E-3</v>
      </c>
      <c r="Z192" s="1524">
        <v>0.47790849421004999</v>
      </c>
      <c r="AA192" s="1524">
        <v>1.1469803861041199</v>
      </c>
      <c r="AB192" s="1524">
        <v>5.9999999999999995E-4</v>
      </c>
      <c r="AC192" s="1525" t="s">
        <v>1203</v>
      </c>
      <c r="AD192" s="1526" t="s">
        <v>635</v>
      </c>
      <c r="AE192" s="1527"/>
      <c r="AF192" s="1528" t="s">
        <v>635</v>
      </c>
      <c r="AG192" s="1527"/>
      <c r="AH192" s="1528">
        <v>0.05</v>
      </c>
      <c r="AI192" s="1529" t="s">
        <v>1119</v>
      </c>
      <c r="AJ192" s="1528" t="s">
        <v>635</v>
      </c>
      <c r="AK192" s="1527"/>
      <c r="AL192" s="1527"/>
      <c r="AM192" s="1527"/>
      <c r="AN192" s="1530">
        <v>1</v>
      </c>
      <c r="AO192" s="1530" t="s">
        <v>635</v>
      </c>
      <c r="AP192" s="1532" t="s">
        <v>635</v>
      </c>
    </row>
    <row r="193" spans="1:42" ht="30">
      <c r="A193" s="1481" t="s">
        <v>2238</v>
      </c>
      <c r="B193" s="1482" t="s">
        <v>2239</v>
      </c>
      <c r="C193" s="1483">
        <v>84.162999999999997</v>
      </c>
      <c r="D193" s="1484" t="s">
        <v>1883</v>
      </c>
      <c r="E193" s="1485">
        <v>6.1324611610793101</v>
      </c>
      <c r="F193" s="1485">
        <v>0.15</v>
      </c>
      <c r="G193" s="1486" t="s">
        <v>1883</v>
      </c>
      <c r="H193" s="1485">
        <v>96.86</v>
      </c>
      <c r="I193" s="1486" t="s">
        <v>1883</v>
      </c>
      <c r="J193" s="1487">
        <v>6.6</v>
      </c>
      <c r="K193" s="1488" t="s">
        <v>1883</v>
      </c>
      <c r="L193" s="1489">
        <v>0.77390000000000003</v>
      </c>
      <c r="M193" s="1490" t="s">
        <v>1884</v>
      </c>
      <c r="N193" s="1491">
        <v>7.9972934324940001E-2</v>
      </c>
      <c r="O193" s="1491">
        <v>9.1077259652699995E-6</v>
      </c>
      <c r="P193" s="1492" t="s">
        <v>1885</v>
      </c>
      <c r="Q193" s="1493" t="s">
        <v>635</v>
      </c>
      <c r="R193" s="1494"/>
      <c r="S193" s="1493">
        <v>145.80000000000001</v>
      </c>
      <c r="T193" s="1493" t="s">
        <v>1199</v>
      </c>
      <c r="U193" s="1493">
        <v>3.44</v>
      </c>
      <c r="V193" s="1495" t="s">
        <v>1883</v>
      </c>
      <c r="W193" s="1496">
        <v>55</v>
      </c>
      <c r="X193" s="1497" t="s">
        <v>1883</v>
      </c>
      <c r="Y193" s="1498">
        <v>0.35990462494006997</v>
      </c>
      <c r="Z193" s="1498">
        <v>0.31128740540699001</v>
      </c>
      <c r="AA193" s="1498">
        <v>0.74708977297679002</v>
      </c>
      <c r="AB193" s="1498">
        <v>0.10199999999999999</v>
      </c>
      <c r="AC193" s="1499" t="s">
        <v>1199</v>
      </c>
      <c r="AD193" s="1500" t="s">
        <v>635</v>
      </c>
      <c r="AE193" s="1501"/>
      <c r="AF193" s="1502" t="s">
        <v>635</v>
      </c>
      <c r="AG193" s="1501"/>
      <c r="AH193" s="1502" t="s">
        <v>635</v>
      </c>
      <c r="AI193" s="1501"/>
      <c r="AJ193" s="1502">
        <v>6</v>
      </c>
      <c r="AK193" s="1503" t="s">
        <v>1119</v>
      </c>
      <c r="AL193" s="1503" t="s">
        <v>1127</v>
      </c>
      <c r="AM193" s="1501"/>
      <c r="AN193" s="1504">
        <v>1</v>
      </c>
      <c r="AO193" s="1504" t="s">
        <v>635</v>
      </c>
      <c r="AP193" s="1506">
        <v>117</v>
      </c>
    </row>
    <row r="194" spans="1:42" ht="30">
      <c r="A194" s="1481" t="s">
        <v>2240</v>
      </c>
      <c r="B194" s="1482" t="s">
        <v>2241</v>
      </c>
      <c r="C194" s="1483">
        <v>513.09</v>
      </c>
      <c r="D194" s="1484" t="s">
        <v>1883</v>
      </c>
      <c r="E194" s="1485">
        <v>3.9206868359999999E-5</v>
      </c>
      <c r="F194" s="1485">
        <v>9.5900000000000005E-7</v>
      </c>
      <c r="G194" s="1486" t="s">
        <v>1883</v>
      </c>
      <c r="H194" s="1485">
        <v>3.4599999999999999E-6</v>
      </c>
      <c r="I194" s="1486" t="s">
        <v>1883</v>
      </c>
      <c r="J194" s="1487">
        <v>204</v>
      </c>
      <c r="K194" s="1488" t="s">
        <v>1884</v>
      </c>
      <c r="L194" s="1489" t="s">
        <v>635</v>
      </c>
      <c r="M194" s="1533"/>
      <c r="N194" s="1491">
        <v>2.964544000647E-2</v>
      </c>
      <c r="O194" s="1491">
        <v>3.4638356218099999E-6</v>
      </c>
      <c r="P194" s="1492" t="s">
        <v>1885</v>
      </c>
      <c r="Q194" s="1493" t="s">
        <v>635</v>
      </c>
      <c r="R194" s="1494"/>
      <c r="S194" s="1493">
        <v>2807</v>
      </c>
      <c r="T194" s="1493" t="s">
        <v>1199</v>
      </c>
      <c r="U194" s="1493">
        <v>4.72</v>
      </c>
      <c r="V194" s="1495" t="s">
        <v>1883</v>
      </c>
      <c r="W194" s="1496">
        <v>5.4960000000000002E-2</v>
      </c>
      <c r="X194" s="1497" t="s">
        <v>1883</v>
      </c>
      <c r="Y194" s="1498">
        <v>2.4655275672579999E-2</v>
      </c>
      <c r="Z194" s="1498">
        <v>78.551186546903295</v>
      </c>
      <c r="AA194" s="1498">
        <v>188.52284771256799</v>
      </c>
      <c r="AB194" s="1498">
        <v>2.8300000000000001E-3</v>
      </c>
      <c r="AC194" s="1499" t="s">
        <v>1199</v>
      </c>
      <c r="AD194" s="1500">
        <v>0.02</v>
      </c>
      <c r="AE194" s="1503" t="s">
        <v>1893</v>
      </c>
      <c r="AF194" s="1502" t="s">
        <v>635</v>
      </c>
      <c r="AG194" s="1501"/>
      <c r="AH194" s="1502">
        <v>0.02</v>
      </c>
      <c r="AI194" s="1503" t="s">
        <v>1893</v>
      </c>
      <c r="AJ194" s="1502" t="s">
        <v>635</v>
      </c>
      <c r="AK194" s="1501"/>
      <c r="AL194" s="1501"/>
      <c r="AM194" s="1501"/>
      <c r="AN194" s="1504">
        <v>1</v>
      </c>
      <c r="AO194" s="1505">
        <v>0.1</v>
      </c>
      <c r="AP194" s="1506" t="s">
        <v>635</v>
      </c>
    </row>
    <row r="195" spans="1:42" ht="30">
      <c r="A195" s="1507" t="s">
        <v>2242</v>
      </c>
      <c r="B195" s="1508" t="s">
        <v>2243</v>
      </c>
      <c r="C195" s="1509">
        <v>98.146000000000001</v>
      </c>
      <c r="D195" s="1510" t="s">
        <v>1883</v>
      </c>
      <c r="E195" s="1511">
        <v>3.6794766966000001E-4</v>
      </c>
      <c r="F195" s="1511">
        <v>9.0000000000000002E-6</v>
      </c>
      <c r="G195" s="1512" t="s">
        <v>1883</v>
      </c>
      <c r="H195" s="1511">
        <v>4.33</v>
      </c>
      <c r="I195" s="1512" t="s">
        <v>1883</v>
      </c>
      <c r="J195" s="1513">
        <v>-31</v>
      </c>
      <c r="K195" s="1514" t="s">
        <v>1883</v>
      </c>
      <c r="L195" s="1515">
        <v>0.94779999999999998</v>
      </c>
      <c r="M195" s="1516" t="s">
        <v>1884</v>
      </c>
      <c r="N195" s="1517">
        <v>7.6759912017320006E-2</v>
      </c>
      <c r="O195" s="1517">
        <v>9.3794685508999998E-6</v>
      </c>
      <c r="P195" s="1518" t="s">
        <v>1885</v>
      </c>
      <c r="Q195" s="1519" t="s">
        <v>635</v>
      </c>
      <c r="R195" s="1520"/>
      <c r="S195" s="1519">
        <v>17.38</v>
      </c>
      <c r="T195" s="1519" t="s">
        <v>1199</v>
      </c>
      <c r="U195" s="1519">
        <v>0.81</v>
      </c>
      <c r="V195" s="1521" t="s">
        <v>1883</v>
      </c>
      <c r="W195" s="1522">
        <v>25000</v>
      </c>
      <c r="X195" s="1523" t="s">
        <v>1883</v>
      </c>
      <c r="Y195" s="1524">
        <v>5.7917064556699998E-3</v>
      </c>
      <c r="Z195" s="1524">
        <v>0.37279179884474001</v>
      </c>
      <c r="AA195" s="1524">
        <v>0.89470031722737997</v>
      </c>
      <c r="AB195" s="1524">
        <v>1.5200000000000001E-3</v>
      </c>
      <c r="AC195" s="1525" t="s">
        <v>1199</v>
      </c>
      <c r="AD195" s="1526" t="s">
        <v>635</v>
      </c>
      <c r="AE195" s="1527"/>
      <c r="AF195" s="1528" t="s">
        <v>635</v>
      </c>
      <c r="AG195" s="1527"/>
      <c r="AH195" s="1528">
        <v>5</v>
      </c>
      <c r="AI195" s="1529" t="s">
        <v>1119</v>
      </c>
      <c r="AJ195" s="1528">
        <v>0.7</v>
      </c>
      <c r="AK195" s="1529" t="s">
        <v>1909</v>
      </c>
      <c r="AL195" s="1529" t="s">
        <v>1127</v>
      </c>
      <c r="AM195" s="1527"/>
      <c r="AN195" s="1530">
        <v>1</v>
      </c>
      <c r="AO195" s="1530" t="s">
        <v>635</v>
      </c>
      <c r="AP195" s="1532">
        <v>5110</v>
      </c>
    </row>
    <row r="196" spans="1:42" ht="30">
      <c r="A196" s="1481" t="s">
        <v>2244</v>
      </c>
      <c r="B196" s="1482" t="s">
        <v>2245</v>
      </c>
      <c r="C196" s="1483">
        <v>82.147000000000006</v>
      </c>
      <c r="D196" s="1484" t="s">
        <v>1883</v>
      </c>
      <c r="E196" s="1485">
        <v>1.8601798855273901</v>
      </c>
      <c r="F196" s="1485">
        <v>4.5499999999999999E-2</v>
      </c>
      <c r="G196" s="1486" t="s">
        <v>1883</v>
      </c>
      <c r="H196" s="1485">
        <v>89</v>
      </c>
      <c r="I196" s="1486" t="s">
        <v>1883</v>
      </c>
      <c r="J196" s="1487">
        <v>-103.5</v>
      </c>
      <c r="K196" s="1488" t="s">
        <v>1883</v>
      </c>
      <c r="L196" s="1489">
        <v>0.81100000000000005</v>
      </c>
      <c r="M196" s="1490" t="s">
        <v>1884</v>
      </c>
      <c r="N196" s="1491">
        <v>8.3232416197299999E-2</v>
      </c>
      <c r="O196" s="1491">
        <v>9.5044996599799993E-6</v>
      </c>
      <c r="P196" s="1492" t="s">
        <v>1885</v>
      </c>
      <c r="Q196" s="1493" t="s">
        <v>635</v>
      </c>
      <c r="R196" s="1494"/>
      <c r="S196" s="1493">
        <v>145.80000000000001</v>
      </c>
      <c r="T196" s="1493" t="s">
        <v>1199</v>
      </c>
      <c r="U196" s="1493">
        <v>2.86</v>
      </c>
      <c r="V196" s="1495" t="s">
        <v>1883</v>
      </c>
      <c r="W196" s="1496">
        <v>213</v>
      </c>
      <c r="X196" s="1497" t="s">
        <v>1883</v>
      </c>
      <c r="Y196" s="1498">
        <v>0.15024491281544999</v>
      </c>
      <c r="Z196" s="1498">
        <v>0.30329967826322002</v>
      </c>
      <c r="AA196" s="1498">
        <v>0.72791922783172003</v>
      </c>
      <c r="AB196" s="1498">
        <v>4.3099999999999999E-2</v>
      </c>
      <c r="AC196" s="1499" t="s">
        <v>1199</v>
      </c>
      <c r="AD196" s="1500" t="s">
        <v>635</v>
      </c>
      <c r="AE196" s="1501"/>
      <c r="AF196" s="1502" t="s">
        <v>635</v>
      </c>
      <c r="AG196" s="1501"/>
      <c r="AH196" s="1502">
        <v>5.0000000000000001E-3</v>
      </c>
      <c r="AI196" s="1503" t="s">
        <v>1909</v>
      </c>
      <c r="AJ196" s="1502">
        <v>1</v>
      </c>
      <c r="AK196" s="1503" t="s">
        <v>1893</v>
      </c>
      <c r="AL196" s="1503" t="s">
        <v>1127</v>
      </c>
      <c r="AM196" s="1501"/>
      <c r="AN196" s="1504">
        <v>1</v>
      </c>
      <c r="AO196" s="1504" t="s">
        <v>635</v>
      </c>
      <c r="AP196" s="1506">
        <v>283</v>
      </c>
    </row>
    <row r="197" spans="1:42" ht="30">
      <c r="A197" s="1481" t="s">
        <v>2246</v>
      </c>
      <c r="B197" s="1482" t="s">
        <v>2247</v>
      </c>
      <c r="C197" s="1483">
        <v>99.177000000000007</v>
      </c>
      <c r="D197" s="1484" t="s">
        <v>1883</v>
      </c>
      <c r="E197" s="1485">
        <v>1.7007358953000001E-4</v>
      </c>
      <c r="F197" s="1485">
        <v>4.16E-6</v>
      </c>
      <c r="G197" s="1486" t="s">
        <v>1883</v>
      </c>
      <c r="H197" s="1485">
        <v>10.1</v>
      </c>
      <c r="I197" s="1486" t="s">
        <v>1883</v>
      </c>
      <c r="J197" s="1487">
        <v>-17.7</v>
      </c>
      <c r="K197" s="1488" t="s">
        <v>1883</v>
      </c>
      <c r="L197" s="1489">
        <v>0.81910000000000005</v>
      </c>
      <c r="M197" s="1490" t="s">
        <v>1884</v>
      </c>
      <c r="N197" s="1491">
        <v>7.1294509989010005E-2</v>
      </c>
      <c r="O197" s="1491">
        <v>8.5393997969500004E-6</v>
      </c>
      <c r="P197" s="1492" t="s">
        <v>1885</v>
      </c>
      <c r="Q197" s="1493" t="s">
        <v>635</v>
      </c>
      <c r="R197" s="1494"/>
      <c r="S197" s="1493">
        <v>32.17</v>
      </c>
      <c r="T197" s="1493" t="s">
        <v>1199</v>
      </c>
      <c r="U197" s="1493">
        <v>1.49</v>
      </c>
      <c r="V197" s="1495" t="s">
        <v>1883</v>
      </c>
      <c r="W197" s="1496">
        <v>1000000</v>
      </c>
      <c r="X197" s="1497" t="s">
        <v>1883</v>
      </c>
      <c r="Y197" s="1498">
        <v>1.6278750454080001E-2</v>
      </c>
      <c r="Z197" s="1498">
        <v>0.37778085886555002</v>
      </c>
      <c r="AA197" s="1498">
        <v>0.90667406127731998</v>
      </c>
      <c r="AB197" s="1498">
        <v>4.2500000000000003E-3</v>
      </c>
      <c r="AC197" s="1499" t="s">
        <v>1199</v>
      </c>
      <c r="AD197" s="1500" t="s">
        <v>635</v>
      </c>
      <c r="AE197" s="1501"/>
      <c r="AF197" s="1502" t="s">
        <v>635</v>
      </c>
      <c r="AG197" s="1501"/>
      <c r="AH197" s="1502">
        <v>0.2</v>
      </c>
      <c r="AI197" s="1503" t="s">
        <v>1119</v>
      </c>
      <c r="AJ197" s="1502" t="s">
        <v>635</v>
      </c>
      <c r="AK197" s="1501"/>
      <c r="AL197" s="1503" t="s">
        <v>1127</v>
      </c>
      <c r="AM197" s="1501"/>
      <c r="AN197" s="1504">
        <v>1</v>
      </c>
      <c r="AO197" s="1504" t="s">
        <v>635</v>
      </c>
      <c r="AP197" s="1506">
        <v>293000</v>
      </c>
    </row>
    <row r="198" spans="1:42" ht="30">
      <c r="A198" s="1507" t="s">
        <v>2248</v>
      </c>
      <c r="B198" s="1508" t="s">
        <v>2249</v>
      </c>
      <c r="C198" s="1509">
        <v>434.3</v>
      </c>
      <c r="D198" s="1510" t="s">
        <v>1883</v>
      </c>
      <c r="E198" s="1511">
        <v>1.18560915781E-6</v>
      </c>
      <c r="F198" s="1511">
        <v>2.9000000000000002E-8</v>
      </c>
      <c r="G198" s="1512" t="s">
        <v>1199</v>
      </c>
      <c r="H198" s="1511">
        <v>1.5E-10</v>
      </c>
      <c r="I198" s="1512" t="s">
        <v>1883</v>
      </c>
      <c r="J198" s="1513">
        <v>60</v>
      </c>
      <c r="K198" s="1514" t="s">
        <v>1883</v>
      </c>
      <c r="L198" s="1515" t="s">
        <v>635</v>
      </c>
      <c r="M198" s="1538"/>
      <c r="N198" s="1517">
        <v>3.31304281246E-2</v>
      </c>
      <c r="O198" s="1517">
        <v>3.8710289703499997E-6</v>
      </c>
      <c r="P198" s="1518" t="s">
        <v>1885</v>
      </c>
      <c r="Q198" s="1519" t="s">
        <v>635</v>
      </c>
      <c r="R198" s="1520"/>
      <c r="S198" s="1519">
        <v>130600</v>
      </c>
      <c r="T198" s="1519" t="s">
        <v>1199</v>
      </c>
      <c r="U198" s="1519">
        <v>5.95</v>
      </c>
      <c r="V198" s="1521" t="s">
        <v>1883</v>
      </c>
      <c r="W198" s="1522">
        <v>3.0000000000000001E-3</v>
      </c>
      <c r="X198" s="1523" t="s">
        <v>1883</v>
      </c>
      <c r="Y198" s="1524">
        <v>0.41278964638150001</v>
      </c>
      <c r="Z198" s="1524">
        <v>28.4399448323421</v>
      </c>
      <c r="AA198" s="1524">
        <v>68.255867597621105</v>
      </c>
      <c r="AB198" s="1524">
        <v>5.1499999999999997E-2</v>
      </c>
      <c r="AC198" s="1525" t="s">
        <v>1199</v>
      </c>
      <c r="AD198" s="1526" t="s">
        <v>635</v>
      </c>
      <c r="AE198" s="1527"/>
      <c r="AF198" s="1528" t="s">
        <v>635</v>
      </c>
      <c r="AG198" s="1527"/>
      <c r="AH198" s="1528">
        <v>2.5000000000000001E-2</v>
      </c>
      <c r="AI198" s="1529" t="s">
        <v>1119</v>
      </c>
      <c r="AJ198" s="1528" t="s">
        <v>635</v>
      </c>
      <c r="AK198" s="1527"/>
      <c r="AL198" s="1527"/>
      <c r="AM198" s="1527"/>
      <c r="AN198" s="1530">
        <v>1</v>
      </c>
      <c r="AO198" s="1531">
        <v>0.1</v>
      </c>
      <c r="AP198" s="1532" t="s">
        <v>635</v>
      </c>
    </row>
    <row r="199" spans="1:42" ht="30">
      <c r="A199" s="1481" t="s">
        <v>2250</v>
      </c>
      <c r="B199" s="1482" t="s">
        <v>2251</v>
      </c>
      <c r="C199" s="1483">
        <v>166.19</v>
      </c>
      <c r="D199" s="1484" t="s">
        <v>1883</v>
      </c>
      <c r="E199" s="1485">
        <v>2.309893704E-12</v>
      </c>
      <c r="F199" s="1485">
        <v>5.6499999999999999E-14</v>
      </c>
      <c r="G199" s="1486" t="s">
        <v>1199</v>
      </c>
      <c r="H199" s="1485">
        <v>3.36E-9</v>
      </c>
      <c r="I199" s="1486" t="s">
        <v>1883</v>
      </c>
      <c r="J199" s="1487">
        <v>224.9</v>
      </c>
      <c r="K199" s="1488" t="s">
        <v>1883</v>
      </c>
      <c r="L199" s="1489" t="s">
        <v>635</v>
      </c>
      <c r="M199" s="1533"/>
      <c r="N199" s="1491">
        <v>6.2856521362600004E-2</v>
      </c>
      <c r="O199" s="1491">
        <v>7.3442882855200002E-6</v>
      </c>
      <c r="P199" s="1492" t="s">
        <v>1885</v>
      </c>
      <c r="Q199" s="1493" t="s">
        <v>635</v>
      </c>
      <c r="R199" s="1494"/>
      <c r="S199" s="1493">
        <v>28.73</v>
      </c>
      <c r="T199" s="1493" t="s">
        <v>1199</v>
      </c>
      <c r="U199" s="1493">
        <v>-6.0999999999999999E-2</v>
      </c>
      <c r="V199" s="1495" t="s">
        <v>1883</v>
      </c>
      <c r="W199" s="1496">
        <v>13000</v>
      </c>
      <c r="X199" s="1497" t="s">
        <v>1883</v>
      </c>
      <c r="Y199" s="1498">
        <v>3.9517313954999999E-3</v>
      </c>
      <c r="Z199" s="1498">
        <v>0.89642250190769002</v>
      </c>
      <c r="AA199" s="1498">
        <v>2.1514140045784602</v>
      </c>
      <c r="AB199" s="1498">
        <v>7.9699999999999997E-4</v>
      </c>
      <c r="AC199" s="1499" t="s">
        <v>1199</v>
      </c>
      <c r="AD199" s="1500" t="s">
        <v>635</v>
      </c>
      <c r="AE199" s="1501"/>
      <c r="AF199" s="1502" t="s">
        <v>635</v>
      </c>
      <c r="AG199" s="1501"/>
      <c r="AH199" s="1502">
        <v>0.5</v>
      </c>
      <c r="AI199" s="1503" t="s">
        <v>1116</v>
      </c>
      <c r="AJ199" s="1502" t="s">
        <v>635</v>
      </c>
      <c r="AK199" s="1501"/>
      <c r="AL199" s="1501"/>
      <c r="AM199" s="1501"/>
      <c r="AN199" s="1504">
        <v>1</v>
      </c>
      <c r="AO199" s="1505">
        <v>0.1</v>
      </c>
      <c r="AP199" s="1506" t="s">
        <v>635</v>
      </c>
    </row>
    <row r="200" spans="1:42" ht="30">
      <c r="A200" s="1481" t="s">
        <v>2252</v>
      </c>
      <c r="B200" s="1482" t="s">
        <v>2253</v>
      </c>
      <c r="C200" s="1483">
        <v>142.97</v>
      </c>
      <c r="D200" s="1484" t="s">
        <v>1883</v>
      </c>
      <c r="E200" s="1485">
        <v>2.3139820114500001E-6</v>
      </c>
      <c r="F200" s="1485">
        <v>5.6599999999999997E-8</v>
      </c>
      <c r="G200" s="1486" t="s">
        <v>1199</v>
      </c>
      <c r="H200" s="1485">
        <v>0.151</v>
      </c>
      <c r="I200" s="1486" t="s">
        <v>1199</v>
      </c>
      <c r="J200" s="1487">
        <v>-5</v>
      </c>
      <c r="K200" s="1488" t="s">
        <v>1883</v>
      </c>
      <c r="L200" s="1489">
        <v>1.389</v>
      </c>
      <c r="M200" s="1490" t="s">
        <v>1884</v>
      </c>
      <c r="N200" s="1491">
        <v>6.0081261370549997E-2</v>
      </c>
      <c r="O200" s="1491">
        <v>9.4133925287300005E-6</v>
      </c>
      <c r="P200" s="1492" t="s">
        <v>1885</v>
      </c>
      <c r="Q200" s="1493" t="s">
        <v>635</v>
      </c>
      <c r="R200" s="1494"/>
      <c r="S200" s="1493">
        <v>3.2309999999999999</v>
      </c>
      <c r="T200" s="1493" t="s">
        <v>1199</v>
      </c>
      <c r="U200" s="1493">
        <v>0.78</v>
      </c>
      <c r="V200" s="1495" t="s">
        <v>1883</v>
      </c>
      <c r="W200" s="1496">
        <v>502000</v>
      </c>
      <c r="X200" s="1497" t="s">
        <v>1883</v>
      </c>
      <c r="Y200" s="1498">
        <v>3.7480615946699999E-3</v>
      </c>
      <c r="Z200" s="1498">
        <v>0.66447821882841995</v>
      </c>
      <c r="AA200" s="1498">
        <v>1.5947477251882101</v>
      </c>
      <c r="AB200" s="1498">
        <v>8.1499999999999997E-4</v>
      </c>
      <c r="AC200" s="1499" t="s">
        <v>1199</v>
      </c>
      <c r="AD200" s="1500" t="s">
        <v>635</v>
      </c>
      <c r="AE200" s="1501"/>
      <c r="AF200" s="1502" t="s">
        <v>635</v>
      </c>
      <c r="AG200" s="1501"/>
      <c r="AH200" s="1502">
        <v>0.03</v>
      </c>
      <c r="AI200" s="1503" t="s">
        <v>1119</v>
      </c>
      <c r="AJ200" s="1502" t="s">
        <v>635</v>
      </c>
      <c r="AK200" s="1501"/>
      <c r="AL200" s="1501"/>
      <c r="AM200" s="1501"/>
      <c r="AN200" s="1504">
        <v>1</v>
      </c>
      <c r="AO200" s="1505">
        <v>0.1</v>
      </c>
      <c r="AP200" s="1506" t="s">
        <v>635</v>
      </c>
    </row>
    <row r="201" spans="1:42" ht="30">
      <c r="A201" s="1507" t="s">
        <v>2254</v>
      </c>
      <c r="B201" s="1508" t="s">
        <v>2255</v>
      </c>
      <c r="C201" s="1509">
        <v>160.16999999999999</v>
      </c>
      <c r="D201" s="1510" t="s">
        <v>1883</v>
      </c>
      <c r="E201" s="1511">
        <v>1.7293540474199998E-8</v>
      </c>
      <c r="F201" s="1511">
        <v>4.2299999999999999E-10</v>
      </c>
      <c r="G201" s="1512" t="s">
        <v>1199</v>
      </c>
      <c r="H201" s="1511">
        <v>2.0000000000000001E-4</v>
      </c>
      <c r="I201" s="1512" t="s">
        <v>1883</v>
      </c>
      <c r="J201" s="1513">
        <v>154.5</v>
      </c>
      <c r="K201" s="1514" t="s">
        <v>1883</v>
      </c>
      <c r="L201" s="1515" t="s">
        <v>635</v>
      </c>
      <c r="M201" s="1538"/>
      <c r="N201" s="1517">
        <v>6.4421794366659998E-2</v>
      </c>
      <c r="O201" s="1517">
        <v>7.5271780786300002E-6</v>
      </c>
      <c r="P201" s="1518" t="s">
        <v>1885</v>
      </c>
      <c r="Q201" s="1519" t="s">
        <v>635</v>
      </c>
      <c r="R201" s="1520"/>
      <c r="S201" s="1519">
        <v>10</v>
      </c>
      <c r="T201" s="1519" t="s">
        <v>1199</v>
      </c>
      <c r="U201" s="1519">
        <v>-1.5</v>
      </c>
      <c r="V201" s="1521" t="s">
        <v>1883</v>
      </c>
      <c r="W201" s="1522">
        <v>100000</v>
      </c>
      <c r="X201" s="1523" t="s">
        <v>1883</v>
      </c>
      <c r="Y201" s="1524">
        <v>9.6865765790000004E-5</v>
      </c>
      <c r="Z201" s="1524">
        <v>0.82947012680545995</v>
      </c>
      <c r="AA201" s="1524">
        <v>1.9907283043331001</v>
      </c>
      <c r="AB201" s="1524">
        <v>1.9899999999999999E-5</v>
      </c>
      <c r="AC201" s="1525" t="s">
        <v>1199</v>
      </c>
      <c r="AD201" s="1526">
        <v>1.7999999999999999E-2</v>
      </c>
      <c r="AE201" s="1529" t="s">
        <v>1900</v>
      </c>
      <c r="AF201" s="1528">
        <v>5.1000000000000003E-6</v>
      </c>
      <c r="AG201" s="1529" t="s">
        <v>1900</v>
      </c>
      <c r="AH201" s="1528">
        <v>0.15</v>
      </c>
      <c r="AI201" s="1529" t="s">
        <v>1119</v>
      </c>
      <c r="AJ201" s="1528" t="s">
        <v>635</v>
      </c>
      <c r="AK201" s="1527"/>
      <c r="AL201" s="1527"/>
      <c r="AM201" s="1527"/>
      <c r="AN201" s="1530">
        <v>1</v>
      </c>
      <c r="AO201" s="1531">
        <v>0.1</v>
      </c>
      <c r="AP201" s="1532" t="s">
        <v>635</v>
      </c>
    </row>
    <row r="202" spans="1:42" ht="60">
      <c r="A202" s="1481" t="s">
        <v>2256</v>
      </c>
      <c r="B202" s="1482" t="s">
        <v>2257</v>
      </c>
      <c r="C202" s="1483">
        <v>959.17</v>
      </c>
      <c r="D202" s="1484" t="s">
        <v>1883</v>
      </c>
      <c r="E202" s="1485">
        <v>4.8650858544600005E-7</v>
      </c>
      <c r="F202" s="1485">
        <v>1.1900000000000001E-8</v>
      </c>
      <c r="G202" s="1486" t="s">
        <v>1883</v>
      </c>
      <c r="H202" s="1485">
        <v>4.6700000000000001E-12</v>
      </c>
      <c r="I202" s="1486" t="s">
        <v>1883</v>
      </c>
      <c r="J202" s="1487">
        <v>305</v>
      </c>
      <c r="K202" s="1488" t="s">
        <v>1883</v>
      </c>
      <c r="L202" s="1489">
        <v>3</v>
      </c>
      <c r="M202" s="1490" t="s">
        <v>2258</v>
      </c>
      <c r="N202" s="1491">
        <v>1.8924069924780001E-2</v>
      </c>
      <c r="O202" s="1491">
        <v>4.7687787356900003E-6</v>
      </c>
      <c r="P202" s="1492" t="s">
        <v>1885</v>
      </c>
      <c r="Q202" s="1493" t="s">
        <v>635</v>
      </c>
      <c r="R202" s="1494"/>
      <c r="S202" s="1493">
        <v>276200</v>
      </c>
      <c r="T202" s="1493" t="s">
        <v>1199</v>
      </c>
      <c r="U202" s="1493">
        <v>12.11</v>
      </c>
      <c r="V202" s="1495" t="s">
        <v>1883</v>
      </c>
      <c r="W202" s="1496">
        <v>1E-4</v>
      </c>
      <c r="X202" s="1497" t="s">
        <v>1883</v>
      </c>
      <c r="Y202" s="1498">
        <v>8.6359963881919199</v>
      </c>
      <c r="Z202" s="1498">
        <v>24728.669464888098</v>
      </c>
      <c r="AA202" s="1498">
        <v>111398.388456328</v>
      </c>
      <c r="AB202" s="1498">
        <v>0.72499999999999998</v>
      </c>
      <c r="AC202" s="1499" t="s">
        <v>1199</v>
      </c>
      <c r="AD202" s="1500">
        <v>6.9999999999999999E-4</v>
      </c>
      <c r="AE202" s="1503" t="s">
        <v>1119</v>
      </c>
      <c r="AF202" s="1502" t="s">
        <v>635</v>
      </c>
      <c r="AG202" s="1501"/>
      <c r="AH202" s="1502">
        <v>7.0000000000000001E-3</v>
      </c>
      <c r="AI202" s="1503" t="s">
        <v>1119</v>
      </c>
      <c r="AJ202" s="1502" t="s">
        <v>635</v>
      </c>
      <c r="AK202" s="1501"/>
      <c r="AL202" s="1501"/>
      <c r="AM202" s="1501"/>
      <c r="AN202" s="1504">
        <v>1</v>
      </c>
      <c r="AO202" s="1505">
        <v>0.1</v>
      </c>
      <c r="AP202" s="1506" t="s">
        <v>635</v>
      </c>
    </row>
    <row r="203" spans="1:42" ht="30">
      <c r="A203" s="1481" t="s">
        <v>2259</v>
      </c>
      <c r="B203" s="1482" t="s">
        <v>2260</v>
      </c>
      <c r="C203" s="1483">
        <v>516.67999999999995</v>
      </c>
      <c r="D203" s="1484" t="s">
        <v>1883</v>
      </c>
      <c r="E203" s="1485">
        <v>1.5617334423999999E-4</v>
      </c>
      <c r="F203" s="1485">
        <v>3.8199999999999998E-6</v>
      </c>
      <c r="G203" s="1486" t="s">
        <v>1883</v>
      </c>
      <c r="H203" s="1485">
        <v>3.4000000000000002E-4</v>
      </c>
      <c r="I203" s="1486" t="s">
        <v>1883</v>
      </c>
      <c r="J203" s="1487" t="s">
        <v>635</v>
      </c>
      <c r="K203" s="1542"/>
      <c r="L203" s="1489">
        <v>1.1200000000000001</v>
      </c>
      <c r="M203" s="1490" t="s">
        <v>1890</v>
      </c>
      <c r="N203" s="1491">
        <v>1.596418670504E-2</v>
      </c>
      <c r="O203" s="1491">
        <v>3.8270980998300001E-6</v>
      </c>
      <c r="P203" s="1492" t="s">
        <v>1885</v>
      </c>
      <c r="Q203" s="1493" t="s">
        <v>635</v>
      </c>
      <c r="R203" s="1494"/>
      <c r="S203" s="1493" t="s">
        <v>635</v>
      </c>
      <c r="T203" s="1494"/>
      <c r="U203" s="1493">
        <v>3.21</v>
      </c>
      <c r="V203" s="1495" t="s">
        <v>1883</v>
      </c>
      <c r="W203" s="1496">
        <v>666</v>
      </c>
      <c r="X203" s="1497" t="s">
        <v>1883</v>
      </c>
      <c r="Y203" s="1498">
        <v>6.6092220374739996E-2</v>
      </c>
      <c r="Z203" s="1498">
        <v>82.272889351911701</v>
      </c>
      <c r="AA203" s="1498">
        <v>197.45493444458799</v>
      </c>
      <c r="AB203" s="1498">
        <v>7.5598445400300003E-3</v>
      </c>
      <c r="AC203" s="1499" t="s">
        <v>1203</v>
      </c>
      <c r="AD203" s="1500" t="s">
        <v>635</v>
      </c>
      <c r="AE203" s="1501"/>
      <c r="AF203" s="1502" t="s">
        <v>635</v>
      </c>
      <c r="AG203" s="1501"/>
      <c r="AH203" s="1502">
        <v>4.0000000000000003E-5</v>
      </c>
      <c r="AI203" s="1503" t="s">
        <v>1119</v>
      </c>
      <c r="AJ203" s="1502" t="s">
        <v>635</v>
      </c>
      <c r="AK203" s="1501"/>
      <c r="AL203" s="1501"/>
      <c r="AM203" s="1501"/>
      <c r="AN203" s="1504">
        <v>1</v>
      </c>
      <c r="AO203" s="1505">
        <v>0.1</v>
      </c>
      <c r="AP203" s="1506" t="s">
        <v>635</v>
      </c>
    </row>
    <row r="204" spans="1:42" ht="30">
      <c r="A204" s="1507" t="s">
        <v>2261</v>
      </c>
      <c r="B204" s="1508" t="s">
        <v>2262</v>
      </c>
      <c r="C204" s="1509">
        <v>370.58</v>
      </c>
      <c r="D204" s="1510" t="s">
        <v>1883</v>
      </c>
      <c r="E204" s="1511">
        <v>1.7743254289999999E-5</v>
      </c>
      <c r="F204" s="1511">
        <v>4.34E-7</v>
      </c>
      <c r="G204" s="1512" t="s">
        <v>1883</v>
      </c>
      <c r="H204" s="1511">
        <v>8.5000000000000001E-7</v>
      </c>
      <c r="I204" s="1512" t="s">
        <v>1883</v>
      </c>
      <c r="J204" s="1513">
        <v>-67.8</v>
      </c>
      <c r="K204" s="1514" t="s">
        <v>1883</v>
      </c>
      <c r="L204" s="1515">
        <v>0.92200000000000004</v>
      </c>
      <c r="M204" s="1516" t="s">
        <v>1884</v>
      </c>
      <c r="N204" s="1517">
        <v>1.7290778023649998E-2</v>
      </c>
      <c r="O204" s="1517">
        <v>4.1570106582399997E-6</v>
      </c>
      <c r="P204" s="1518" t="s">
        <v>1885</v>
      </c>
      <c r="Q204" s="1519" t="s">
        <v>635</v>
      </c>
      <c r="R204" s="1520"/>
      <c r="S204" s="1519">
        <v>36000</v>
      </c>
      <c r="T204" s="1519" t="s">
        <v>1199</v>
      </c>
      <c r="U204" s="1519">
        <v>6.11</v>
      </c>
      <c r="V204" s="1521" t="s">
        <v>1883</v>
      </c>
      <c r="W204" s="1522">
        <v>0.78</v>
      </c>
      <c r="X204" s="1523" t="s">
        <v>1883</v>
      </c>
      <c r="Y204" s="1524">
        <v>23.914987755571001</v>
      </c>
      <c r="Z204" s="1524">
        <v>12.505375867299</v>
      </c>
      <c r="AA204" s="1524">
        <v>57.918929185115999</v>
      </c>
      <c r="AB204" s="1524">
        <v>3.23</v>
      </c>
      <c r="AC204" s="1525" t="s">
        <v>1199</v>
      </c>
      <c r="AD204" s="1526">
        <v>1.1999999999999999E-3</v>
      </c>
      <c r="AE204" s="1529" t="s">
        <v>1119</v>
      </c>
      <c r="AF204" s="1528" t="s">
        <v>635</v>
      </c>
      <c r="AG204" s="1527"/>
      <c r="AH204" s="1528">
        <v>0.6</v>
      </c>
      <c r="AI204" s="1529" t="s">
        <v>1119</v>
      </c>
      <c r="AJ204" s="1528" t="s">
        <v>635</v>
      </c>
      <c r="AK204" s="1527"/>
      <c r="AL204" s="1527"/>
      <c r="AM204" s="1527"/>
      <c r="AN204" s="1530">
        <v>1</v>
      </c>
      <c r="AO204" s="1531">
        <v>0.1</v>
      </c>
      <c r="AP204" s="1532" t="s">
        <v>635</v>
      </c>
    </row>
    <row r="205" spans="1:42" ht="30">
      <c r="A205" s="1481" t="s">
        <v>2263</v>
      </c>
      <c r="B205" s="1482" t="s">
        <v>2264</v>
      </c>
      <c r="C205" s="1483">
        <v>270.22000000000003</v>
      </c>
      <c r="D205" s="1484" t="s">
        <v>1883</v>
      </c>
      <c r="E205" s="1485">
        <v>1.5535568274999999E-4</v>
      </c>
      <c r="F205" s="1485">
        <v>3.8E-6</v>
      </c>
      <c r="G205" s="1486" t="s">
        <v>1199</v>
      </c>
      <c r="H205" s="1485">
        <v>1.4999999999999999E-4</v>
      </c>
      <c r="I205" s="1486" t="s">
        <v>1883</v>
      </c>
      <c r="J205" s="1487">
        <v>25</v>
      </c>
      <c r="K205" s="1488" t="s">
        <v>1883</v>
      </c>
      <c r="L205" s="1489" t="s">
        <v>635</v>
      </c>
      <c r="M205" s="1533"/>
      <c r="N205" s="1491">
        <v>4.5457820338100002E-2</v>
      </c>
      <c r="O205" s="1491">
        <v>5.3113874289800004E-6</v>
      </c>
      <c r="P205" s="1492" t="s">
        <v>1885</v>
      </c>
      <c r="Q205" s="1493" t="s">
        <v>635</v>
      </c>
      <c r="R205" s="1494"/>
      <c r="S205" s="1493">
        <v>644.29999999999995</v>
      </c>
      <c r="T205" s="1493" t="s">
        <v>1199</v>
      </c>
      <c r="U205" s="1493">
        <v>4.49</v>
      </c>
      <c r="V205" s="1495" t="s">
        <v>1883</v>
      </c>
      <c r="W205" s="1496">
        <v>14</v>
      </c>
      <c r="X205" s="1497" t="s">
        <v>1883</v>
      </c>
      <c r="Y205" s="1498">
        <v>0.29083269555662999</v>
      </c>
      <c r="Z205" s="1498">
        <v>3.4283152426759398</v>
      </c>
      <c r="AA205" s="1498">
        <v>8.2279565824222392</v>
      </c>
      <c r="AB205" s="1498">
        <v>4.5999999999999999E-2</v>
      </c>
      <c r="AC205" s="1499" t="s">
        <v>1199</v>
      </c>
      <c r="AD205" s="1500">
        <v>6.0999999999999999E-2</v>
      </c>
      <c r="AE205" s="1503" t="s">
        <v>1073</v>
      </c>
      <c r="AF205" s="1502" t="s">
        <v>635</v>
      </c>
      <c r="AG205" s="1501"/>
      <c r="AH205" s="1502" t="s">
        <v>635</v>
      </c>
      <c r="AI205" s="1501"/>
      <c r="AJ205" s="1502" t="s">
        <v>635</v>
      </c>
      <c r="AK205" s="1501"/>
      <c r="AL205" s="1501"/>
      <c r="AM205" s="1501"/>
      <c r="AN205" s="1504">
        <v>1</v>
      </c>
      <c r="AO205" s="1505">
        <v>0.1</v>
      </c>
      <c r="AP205" s="1506" t="s">
        <v>635</v>
      </c>
    </row>
    <row r="206" spans="1:42" ht="30">
      <c r="A206" s="1481" t="s">
        <v>2265</v>
      </c>
      <c r="B206" s="1482" t="s">
        <v>2266</v>
      </c>
      <c r="C206" s="1483">
        <v>304.35000000000002</v>
      </c>
      <c r="D206" s="1484" t="s">
        <v>1883</v>
      </c>
      <c r="E206" s="1485">
        <v>4.6197874080100004E-6</v>
      </c>
      <c r="F206" s="1485">
        <v>1.1300000000000001E-7</v>
      </c>
      <c r="G206" s="1486" t="s">
        <v>1883</v>
      </c>
      <c r="H206" s="1485">
        <v>9.0099999999999995E-5</v>
      </c>
      <c r="I206" s="1486" t="s">
        <v>1883</v>
      </c>
      <c r="J206" s="1487">
        <v>87.58</v>
      </c>
      <c r="K206" s="1488" t="s">
        <v>1199</v>
      </c>
      <c r="L206" s="1489">
        <v>1.1088</v>
      </c>
      <c r="M206" s="1490" t="s">
        <v>1884</v>
      </c>
      <c r="N206" s="1491">
        <v>2.1026401928520001E-2</v>
      </c>
      <c r="O206" s="1491">
        <v>5.2258834331299998E-6</v>
      </c>
      <c r="P206" s="1492" t="s">
        <v>1885</v>
      </c>
      <c r="Q206" s="1493" t="s">
        <v>635</v>
      </c>
      <c r="R206" s="1494"/>
      <c r="S206" s="1493">
        <v>3034</v>
      </c>
      <c r="T206" s="1493" t="s">
        <v>1199</v>
      </c>
      <c r="U206" s="1493">
        <v>3.81</v>
      </c>
      <c r="V206" s="1495" t="s">
        <v>1883</v>
      </c>
      <c r="W206" s="1496">
        <v>40</v>
      </c>
      <c r="X206" s="1497" t="s">
        <v>1883</v>
      </c>
      <c r="Y206" s="1498">
        <v>6.978251930104E-2</v>
      </c>
      <c r="Z206" s="1498">
        <v>5.3236408589901796</v>
      </c>
      <c r="AA206" s="1498">
        <v>12.776738061576401</v>
      </c>
      <c r="AB206" s="1498">
        <v>1.04E-2</v>
      </c>
      <c r="AC206" s="1499" t="s">
        <v>1199</v>
      </c>
      <c r="AD206" s="1500" t="s">
        <v>635</v>
      </c>
      <c r="AE206" s="1501"/>
      <c r="AF206" s="1502" t="s">
        <v>635</v>
      </c>
      <c r="AG206" s="1501"/>
      <c r="AH206" s="1502">
        <v>6.9999999999999999E-4</v>
      </c>
      <c r="AI206" s="1503" t="s">
        <v>1960</v>
      </c>
      <c r="AJ206" s="1502" t="s">
        <v>635</v>
      </c>
      <c r="AK206" s="1501"/>
      <c r="AL206" s="1501"/>
      <c r="AM206" s="1501"/>
      <c r="AN206" s="1504">
        <v>1</v>
      </c>
      <c r="AO206" s="1505">
        <v>0.1</v>
      </c>
      <c r="AP206" s="1506" t="s">
        <v>635</v>
      </c>
    </row>
    <row r="207" spans="1:42" ht="30">
      <c r="A207" s="1507" t="s">
        <v>148</v>
      </c>
      <c r="B207" s="1508" t="s">
        <v>2267</v>
      </c>
      <c r="C207" s="1509">
        <v>236.33</v>
      </c>
      <c r="D207" s="1510" t="s">
        <v>1883</v>
      </c>
      <c r="E207" s="1511">
        <v>6.0098119378600001E-3</v>
      </c>
      <c r="F207" s="1511">
        <v>1.47E-4</v>
      </c>
      <c r="G207" s="1512" t="s">
        <v>1199</v>
      </c>
      <c r="H207" s="1511">
        <v>0.57999999999999996</v>
      </c>
      <c r="I207" s="1512" t="s">
        <v>1883</v>
      </c>
      <c r="J207" s="1513">
        <v>6</v>
      </c>
      <c r="K207" s="1514" t="s">
        <v>1883</v>
      </c>
      <c r="L207" s="1515">
        <v>2.093</v>
      </c>
      <c r="M207" s="1516" t="s">
        <v>1884</v>
      </c>
      <c r="N207" s="1517">
        <v>3.2135053870100003E-2</v>
      </c>
      <c r="O207" s="1517">
        <v>8.9047554209699996E-6</v>
      </c>
      <c r="P207" s="1518" t="s">
        <v>1885</v>
      </c>
      <c r="Q207" s="1519" t="s">
        <v>635</v>
      </c>
      <c r="R207" s="1520"/>
      <c r="S207" s="1519">
        <v>115.8</v>
      </c>
      <c r="T207" s="1519" t="s">
        <v>1199</v>
      </c>
      <c r="U207" s="1519">
        <v>2.96</v>
      </c>
      <c r="V207" s="1521" t="s">
        <v>1883</v>
      </c>
      <c r="W207" s="1522">
        <v>1230</v>
      </c>
      <c r="X207" s="1523" t="s">
        <v>1883</v>
      </c>
      <c r="Y207" s="1524">
        <v>4.0502016943349997E-2</v>
      </c>
      <c r="Z207" s="1524">
        <v>2.2146074145907599</v>
      </c>
      <c r="AA207" s="1524">
        <v>5.3150577950178297</v>
      </c>
      <c r="AB207" s="1524">
        <v>6.8500000000000002E-3</v>
      </c>
      <c r="AC207" s="1525" t="s">
        <v>1199</v>
      </c>
      <c r="AD207" s="1526">
        <v>0.8</v>
      </c>
      <c r="AE207" s="1529" t="s">
        <v>1909</v>
      </c>
      <c r="AF207" s="1528">
        <v>6.0000000000000001E-3</v>
      </c>
      <c r="AG207" s="1529" t="s">
        <v>1909</v>
      </c>
      <c r="AH207" s="1528">
        <v>2.0000000000000001E-4</v>
      </c>
      <c r="AI207" s="1529" t="s">
        <v>1909</v>
      </c>
      <c r="AJ207" s="1528">
        <v>2.0000000000000001E-4</v>
      </c>
      <c r="AK207" s="1529" t="s">
        <v>1119</v>
      </c>
      <c r="AL207" s="1529" t="s">
        <v>1127</v>
      </c>
      <c r="AM207" s="1529" t="s">
        <v>1906</v>
      </c>
      <c r="AN207" s="1530">
        <v>1</v>
      </c>
      <c r="AO207" s="1530" t="s">
        <v>635</v>
      </c>
      <c r="AP207" s="1532">
        <v>979</v>
      </c>
    </row>
    <row r="208" spans="1:42" ht="30">
      <c r="A208" s="1481" t="s">
        <v>2268</v>
      </c>
      <c r="B208" s="1482" t="s">
        <v>2269</v>
      </c>
      <c r="C208" s="1483">
        <v>217.85</v>
      </c>
      <c r="D208" s="1484" t="s">
        <v>1883</v>
      </c>
      <c r="E208" s="1485">
        <v>1.8070318887999999E-7</v>
      </c>
      <c r="F208" s="1485">
        <v>4.42E-9</v>
      </c>
      <c r="G208" s="1486" t="s">
        <v>1883</v>
      </c>
      <c r="H208" s="1485">
        <v>2.3E-2</v>
      </c>
      <c r="I208" s="1486" t="s">
        <v>1883</v>
      </c>
      <c r="J208" s="1487">
        <v>49</v>
      </c>
      <c r="K208" s="1488" t="s">
        <v>1883</v>
      </c>
      <c r="L208" s="1489" t="s">
        <v>635</v>
      </c>
      <c r="M208" s="1533"/>
      <c r="N208" s="1491">
        <v>5.2478557806950002E-2</v>
      </c>
      <c r="O208" s="1491">
        <v>6.1317051753399998E-6</v>
      </c>
      <c r="P208" s="1492" t="s">
        <v>1885</v>
      </c>
      <c r="Q208" s="1493" t="s">
        <v>635</v>
      </c>
      <c r="R208" s="1494"/>
      <c r="S208" s="1493">
        <v>2.2519999999999998</v>
      </c>
      <c r="T208" s="1493" t="s">
        <v>1199</v>
      </c>
      <c r="U208" s="1493">
        <v>0.7</v>
      </c>
      <c r="V208" s="1495" t="s">
        <v>1883</v>
      </c>
      <c r="W208" s="1496">
        <v>2110000</v>
      </c>
      <c r="X208" s="1497" t="s">
        <v>1883</v>
      </c>
      <c r="Y208" s="1498">
        <v>1.5554497912999999E-3</v>
      </c>
      <c r="Z208" s="1498">
        <v>1.7450535139812799</v>
      </c>
      <c r="AA208" s="1498">
        <v>4.1881284335550797</v>
      </c>
      <c r="AB208" s="1498">
        <v>2.7399999999999999E-4</v>
      </c>
      <c r="AC208" s="1499" t="s">
        <v>1199</v>
      </c>
      <c r="AD208" s="1500">
        <v>0.25</v>
      </c>
      <c r="AE208" s="1503" t="s">
        <v>1900</v>
      </c>
      <c r="AF208" s="1502" t="s">
        <v>635</v>
      </c>
      <c r="AG208" s="1501"/>
      <c r="AH208" s="1502">
        <v>2.9999999999999997E-4</v>
      </c>
      <c r="AI208" s="1503" t="s">
        <v>1900</v>
      </c>
      <c r="AJ208" s="1502" t="s">
        <v>635</v>
      </c>
      <c r="AK208" s="1501"/>
      <c r="AL208" s="1501"/>
      <c r="AM208" s="1501"/>
      <c r="AN208" s="1504">
        <v>1</v>
      </c>
      <c r="AO208" s="1505">
        <v>0.1</v>
      </c>
      <c r="AP208" s="1506" t="s">
        <v>635</v>
      </c>
    </row>
    <row r="209" spans="1:42" ht="30">
      <c r="A209" s="1481" t="s">
        <v>2270</v>
      </c>
      <c r="B209" s="1482" t="s">
        <v>2271</v>
      </c>
      <c r="C209" s="1483">
        <v>235.91</v>
      </c>
      <c r="D209" s="1484" t="s">
        <v>1883</v>
      </c>
      <c r="E209" s="1485">
        <v>5.0700000000000002E-2</v>
      </c>
      <c r="F209" s="1485">
        <v>1.24E-3</v>
      </c>
      <c r="G209" s="1486" t="s">
        <v>1199</v>
      </c>
      <c r="H209" s="1485">
        <v>0.26860000000000001</v>
      </c>
      <c r="I209" s="1486" t="s">
        <v>1883</v>
      </c>
      <c r="J209" s="1487">
        <v>-7</v>
      </c>
      <c r="K209" s="1488" t="s">
        <v>1883</v>
      </c>
      <c r="L209" s="1489">
        <v>1.9522999999999999</v>
      </c>
      <c r="M209" s="1490" t="s">
        <v>1884</v>
      </c>
      <c r="N209" s="1491">
        <v>3.1185266423069999E-2</v>
      </c>
      <c r="O209" s="1491">
        <v>8.5497200350199997E-6</v>
      </c>
      <c r="P209" s="1492" t="s">
        <v>1885</v>
      </c>
      <c r="Q209" s="1493" t="s">
        <v>635</v>
      </c>
      <c r="R209" s="1494"/>
      <c r="S209" s="1493">
        <v>375.3</v>
      </c>
      <c r="T209" s="1493" t="s">
        <v>1199</v>
      </c>
      <c r="U209" s="1493">
        <v>3.75</v>
      </c>
      <c r="V209" s="1495" t="s">
        <v>1883</v>
      </c>
      <c r="W209" s="1496">
        <v>67.5</v>
      </c>
      <c r="X209" s="1497" t="s">
        <v>1883</v>
      </c>
      <c r="Y209" s="1498">
        <v>0.13646202362025001</v>
      </c>
      <c r="Z209" s="1498">
        <v>2.2026462274171101</v>
      </c>
      <c r="AA209" s="1498">
        <v>5.28635094580107</v>
      </c>
      <c r="AB209" s="1498">
        <v>2.3099999999999999E-2</v>
      </c>
      <c r="AC209" s="1499" t="s">
        <v>1199</v>
      </c>
      <c r="AD209" s="1500" t="s">
        <v>635</v>
      </c>
      <c r="AE209" s="1501"/>
      <c r="AF209" s="1502" t="s">
        <v>635</v>
      </c>
      <c r="AG209" s="1501"/>
      <c r="AH209" s="1502">
        <v>4.0000000000000002E-4</v>
      </c>
      <c r="AI209" s="1503" t="s">
        <v>1893</v>
      </c>
      <c r="AJ209" s="1502" t="s">
        <v>635</v>
      </c>
      <c r="AK209" s="1501"/>
      <c r="AL209" s="1503" t="s">
        <v>1127</v>
      </c>
      <c r="AM209" s="1501"/>
      <c r="AN209" s="1504">
        <v>1</v>
      </c>
      <c r="AO209" s="1504" t="s">
        <v>635</v>
      </c>
      <c r="AP209" s="1506">
        <v>159</v>
      </c>
    </row>
    <row r="210" spans="1:42" ht="30">
      <c r="A210" s="1507" t="s">
        <v>2272</v>
      </c>
      <c r="B210" s="1508" t="s">
        <v>2273</v>
      </c>
      <c r="C210" s="1509">
        <v>235.91</v>
      </c>
      <c r="D210" s="1510" t="s">
        <v>1883</v>
      </c>
      <c r="E210" s="1511">
        <v>3.6508585445630001E-2</v>
      </c>
      <c r="F210" s="1511">
        <v>8.9300000000000002E-4</v>
      </c>
      <c r="G210" s="1512" t="s">
        <v>1199</v>
      </c>
      <c r="H210" s="1511">
        <v>5.7500000000000002E-2</v>
      </c>
      <c r="I210" s="1512" t="s">
        <v>1883</v>
      </c>
      <c r="J210" s="1513">
        <v>87.3</v>
      </c>
      <c r="K210" s="1514" t="s">
        <v>1883</v>
      </c>
      <c r="L210" s="1515">
        <v>2.2610000000000001</v>
      </c>
      <c r="M210" s="1516" t="s">
        <v>1884</v>
      </c>
      <c r="N210" s="1517">
        <v>3.3275453631009998E-2</v>
      </c>
      <c r="O210" s="1517">
        <v>9.3369342082000005E-6</v>
      </c>
      <c r="P210" s="1518" t="s">
        <v>1885</v>
      </c>
      <c r="Q210" s="1519" t="s">
        <v>635</v>
      </c>
      <c r="R210" s="1520"/>
      <c r="S210" s="1519">
        <v>375.3</v>
      </c>
      <c r="T210" s="1519" t="s">
        <v>1199</v>
      </c>
      <c r="U210" s="1519">
        <v>3.79</v>
      </c>
      <c r="V210" s="1521" t="s">
        <v>1883</v>
      </c>
      <c r="W210" s="1522">
        <v>20</v>
      </c>
      <c r="X210" s="1523" t="s">
        <v>1883</v>
      </c>
      <c r="Y210" s="1524">
        <v>0.14473244929420001</v>
      </c>
      <c r="Z210" s="1524">
        <v>2.2026462274171101</v>
      </c>
      <c r="AA210" s="1524">
        <v>5.28635094580107</v>
      </c>
      <c r="AB210" s="1524">
        <v>2.4500000000000001E-2</v>
      </c>
      <c r="AC210" s="1525" t="s">
        <v>1199</v>
      </c>
      <c r="AD210" s="1526" t="s">
        <v>635</v>
      </c>
      <c r="AE210" s="1527"/>
      <c r="AF210" s="1528" t="s">
        <v>635</v>
      </c>
      <c r="AG210" s="1527"/>
      <c r="AH210" s="1528">
        <v>0.01</v>
      </c>
      <c r="AI210" s="1529" t="s">
        <v>1119</v>
      </c>
      <c r="AJ210" s="1528" t="s">
        <v>635</v>
      </c>
      <c r="AK210" s="1527"/>
      <c r="AL210" s="1529" t="s">
        <v>1127</v>
      </c>
      <c r="AM210" s="1527"/>
      <c r="AN210" s="1530">
        <v>1</v>
      </c>
      <c r="AO210" s="1530" t="s">
        <v>635</v>
      </c>
      <c r="AP210" s="1532" t="s">
        <v>635</v>
      </c>
    </row>
    <row r="211" spans="1:42" ht="30">
      <c r="A211" s="1481" t="s">
        <v>146</v>
      </c>
      <c r="B211" s="1482" t="s">
        <v>145</v>
      </c>
      <c r="C211" s="1483">
        <v>208.28</v>
      </c>
      <c r="D211" s="1484" t="s">
        <v>1883</v>
      </c>
      <c r="E211" s="1485">
        <v>3.2011447260830002E-2</v>
      </c>
      <c r="F211" s="1485">
        <v>7.8299999999999995E-4</v>
      </c>
      <c r="G211" s="1486" t="s">
        <v>1883</v>
      </c>
      <c r="H211" s="1485">
        <v>5.54</v>
      </c>
      <c r="I211" s="1486" t="s">
        <v>1883</v>
      </c>
      <c r="J211" s="1487">
        <v>-20</v>
      </c>
      <c r="K211" s="1488" t="s">
        <v>1883</v>
      </c>
      <c r="L211" s="1489">
        <v>2.4510000000000001</v>
      </c>
      <c r="M211" s="1490" t="s">
        <v>1884</v>
      </c>
      <c r="N211" s="1491">
        <v>3.663560512248E-2</v>
      </c>
      <c r="O211" s="1491">
        <v>1.056061516E-5</v>
      </c>
      <c r="P211" s="1492" t="s">
        <v>1885</v>
      </c>
      <c r="Q211" s="1493" t="s">
        <v>635</v>
      </c>
      <c r="R211" s="1494"/>
      <c r="S211" s="1493">
        <v>31.82</v>
      </c>
      <c r="T211" s="1493" t="s">
        <v>1199</v>
      </c>
      <c r="U211" s="1493">
        <v>2.16</v>
      </c>
      <c r="V211" s="1495" t="s">
        <v>1883</v>
      </c>
      <c r="W211" s="1496">
        <v>2700</v>
      </c>
      <c r="X211" s="1497" t="s">
        <v>1883</v>
      </c>
      <c r="Y211" s="1498">
        <v>1.6041622027649999E-2</v>
      </c>
      <c r="Z211" s="1498">
        <v>1.54247008368927</v>
      </c>
      <c r="AA211" s="1498">
        <v>3.7019282008542498</v>
      </c>
      <c r="AB211" s="1498">
        <v>2.8900000000000002E-3</v>
      </c>
      <c r="AC211" s="1499" t="s">
        <v>1199</v>
      </c>
      <c r="AD211" s="1500">
        <v>8.4000000000000005E-2</v>
      </c>
      <c r="AE211" s="1503" t="s">
        <v>1119</v>
      </c>
      <c r="AF211" s="1502" t="s">
        <v>635</v>
      </c>
      <c r="AG211" s="1501"/>
      <c r="AH211" s="1502">
        <v>0.02</v>
      </c>
      <c r="AI211" s="1503" t="s">
        <v>1119</v>
      </c>
      <c r="AJ211" s="1502" t="s">
        <v>635</v>
      </c>
      <c r="AK211" s="1501"/>
      <c r="AL211" s="1503" t="s">
        <v>1127</v>
      </c>
      <c r="AM211" s="1501"/>
      <c r="AN211" s="1504">
        <v>1</v>
      </c>
      <c r="AO211" s="1504" t="s">
        <v>635</v>
      </c>
      <c r="AP211" s="1506">
        <v>802</v>
      </c>
    </row>
    <row r="212" spans="1:42" ht="30">
      <c r="A212" s="1481" t="s">
        <v>150</v>
      </c>
      <c r="B212" s="1482" t="s">
        <v>2274</v>
      </c>
      <c r="C212" s="1483">
        <v>187.86</v>
      </c>
      <c r="D212" s="1484" t="s">
        <v>1883</v>
      </c>
      <c r="E212" s="1485">
        <v>2.6573998364679999E-2</v>
      </c>
      <c r="F212" s="1485">
        <v>6.4999999999999997E-4</v>
      </c>
      <c r="G212" s="1486" t="s">
        <v>1883</v>
      </c>
      <c r="H212" s="1485">
        <v>11.2</v>
      </c>
      <c r="I212" s="1486" t="s">
        <v>1883</v>
      </c>
      <c r="J212" s="1487">
        <v>9.9</v>
      </c>
      <c r="K212" s="1488" t="s">
        <v>1883</v>
      </c>
      <c r="L212" s="1489">
        <v>2.1682999999999999</v>
      </c>
      <c r="M212" s="1490" t="s">
        <v>1884</v>
      </c>
      <c r="N212" s="1491">
        <v>4.3034841244550003E-2</v>
      </c>
      <c r="O212" s="1491">
        <v>1.043861314E-5</v>
      </c>
      <c r="P212" s="1492" t="s">
        <v>1885</v>
      </c>
      <c r="Q212" s="1493" t="s">
        <v>635</v>
      </c>
      <c r="R212" s="1494"/>
      <c r="S212" s="1493">
        <v>39.6</v>
      </c>
      <c r="T212" s="1493" t="s">
        <v>1199</v>
      </c>
      <c r="U212" s="1493">
        <v>1.96</v>
      </c>
      <c r="V212" s="1495" t="s">
        <v>1883</v>
      </c>
      <c r="W212" s="1496">
        <v>3910</v>
      </c>
      <c r="X212" s="1497" t="s">
        <v>1883</v>
      </c>
      <c r="Y212" s="1498">
        <v>1.465509395051E-2</v>
      </c>
      <c r="Z212" s="1498">
        <v>1.18539952701691</v>
      </c>
      <c r="AA212" s="1498">
        <v>2.8449588648405899</v>
      </c>
      <c r="AB212" s="1498">
        <v>2.7799999999999999E-3</v>
      </c>
      <c r="AC212" s="1499" t="s">
        <v>1199</v>
      </c>
      <c r="AD212" s="1500">
        <v>2</v>
      </c>
      <c r="AE212" s="1503" t="s">
        <v>1119</v>
      </c>
      <c r="AF212" s="1502">
        <v>5.9999999999999995E-4</v>
      </c>
      <c r="AG212" s="1503" t="s">
        <v>1119</v>
      </c>
      <c r="AH212" s="1502">
        <v>8.9999999999999993E-3</v>
      </c>
      <c r="AI212" s="1503" t="s">
        <v>1119</v>
      </c>
      <c r="AJ212" s="1502">
        <v>8.9999999999999993E-3</v>
      </c>
      <c r="AK212" s="1503" t="s">
        <v>1119</v>
      </c>
      <c r="AL212" s="1503" t="s">
        <v>1127</v>
      </c>
      <c r="AM212" s="1501"/>
      <c r="AN212" s="1504">
        <v>1</v>
      </c>
      <c r="AO212" s="1504" t="s">
        <v>635</v>
      </c>
      <c r="AP212" s="1506">
        <v>1340</v>
      </c>
    </row>
    <row r="213" spans="1:42" ht="30">
      <c r="A213" s="1507" t="s">
        <v>2275</v>
      </c>
      <c r="B213" s="1508" t="s">
        <v>2276</v>
      </c>
      <c r="C213" s="1509">
        <v>173.84</v>
      </c>
      <c r="D213" s="1510" t="s">
        <v>1883</v>
      </c>
      <c r="E213" s="1511">
        <v>3.3605887162709999E-2</v>
      </c>
      <c r="F213" s="1511">
        <v>8.2200000000000003E-4</v>
      </c>
      <c r="G213" s="1512" t="s">
        <v>1883</v>
      </c>
      <c r="H213" s="1511">
        <v>44.4</v>
      </c>
      <c r="I213" s="1512" t="s">
        <v>1883</v>
      </c>
      <c r="J213" s="1513">
        <v>-52.5</v>
      </c>
      <c r="K213" s="1514" t="s">
        <v>1883</v>
      </c>
      <c r="L213" s="1515">
        <v>2.4969000000000001</v>
      </c>
      <c r="M213" s="1516" t="s">
        <v>1884</v>
      </c>
      <c r="N213" s="1517">
        <v>5.5137259510489998E-2</v>
      </c>
      <c r="O213" s="1517">
        <v>1.1902073650000001E-5</v>
      </c>
      <c r="P213" s="1518" t="s">
        <v>1885</v>
      </c>
      <c r="Q213" s="1519" t="s">
        <v>635</v>
      </c>
      <c r="R213" s="1520"/>
      <c r="S213" s="1519">
        <v>21.73</v>
      </c>
      <c r="T213" s="1519" t="s">
        <v>1199</v>
      </c>
      <c r="U213" s="1519">
        <v>1.7</v>
      </c>
      <c r="V213" s="1521" t="s">
        <v>1883</v>
      </c>
      <c r="W213" s="1522">
        <v>11900</v>
      </c>
      <c r="X213" s="1523" t="s">
        <v>1883</v>
      </c>
      <c r="Y213" s="1524">
        <v>1.1308535656669999E-2</v>
      </c>
      <c r="Z213" s="1524">
        <v>0.98935635925247001</v>
      </c>
      <c r="AA213" s="1524">
        <v>2.3744552622059301</v>
      </c>
      <c r="AB213" s="1524">
        <v>2.2300000000000002E-3</v>
      </c>
      <c r="AC213" s="1525" t="s">
        <v>1199</v>
      </c>
      <c r="AD213" s="1526" t="s">
        <v>635</v>
      </c>
      <c r="AE213" s="1527"/>
      <c r="AF213" s="1528" t="s">
        <v>635</v>
      </c>
      <c r="AG213" s="1527"/>
      <c r="AH213" s="1528" t="s">
        <v>635</v>
      </c>
      <c r="AI213" s="1527"/>
      <c r="AJ213" s="1528">
        <v>4.0000000000000001E-3</v>
      </c>
      <c r="AK213" s="1529" t="s">
        <v>1893</v>
      </c>
      <c r="AL213" s="1529" t="s">
        <v>1127</v>
      </c>
      <c r="AM213" s="1527"/>
      <c r="AN213" s="1530">
        <v>1</v>
      </c>
      <c r="AO213" s="1530" t="s">
        <v>635</v>
      </c>
      <c r="AP213" s="1532">
        <v>2820</v>
      </c>
    </row>
    <row r="214" spans="1:42" ht="30">
      <c r="A214" s="1481" t="s">
        <v>2277</v>
      </c>
      <c r="B214" s="1482" t="s">
        <v>2278</v>
      </c>
      <c r="C214" s="1483" t="s">
        <v>635</v>
      </c>
      <c r="D214" s="1543"/>
      <c r="E214" s="1485" t="s">
        <v>635</v>
      </c>
      <c r="F214" s="1485" t="s">
        <v>635</v>
      </c>
      <c r="G214" s="1536"/>
      <c r="H214" s="1485" t="s">
        <v>635</v>
      </c>
      <c r="I214" s="1536"/>
      <c r="J214" s="1487" t="s">
        <v>635</v>
      </c>
      <c r="K214" s="1542"/>
      <c r="L214" s="1489" t="s">
        <v>635</v>
      </c>
      <c r="M214" s="1533"/>
      <c r="N214" s="1491" t="s">
        <v>635</v>
      </c>
      <c r="O214" s="1491" t="s">
        <v>635</v>
      </c>
      <c r="P214" s="1544"/>
      <c r="Q214" s="1493" t="s">
        <v>635</v>
      </c>
      <c r="R214" s="1494"/>
      <c r="S214" s="1493" t="s">
        <v>635</v>
      </c>
      <c r="T214" s="1494"/>
      <c r="U214" s="1493" t="s">
        <v>635</v>
      </c>
      <c r="V214" s="1481"/>
      <c r="W214" s="1496" t="s">
        <v>635</v>
      </c>
      <c r="X214" s="1537"/>
      <c r="Y214" s="1498" t="s">
        <v>635</v>
      </c>
      <c r="Z214" s="1498" t="s">
        <v>635</v>
      </c>
      <c r="AA214" s="1498" t="s">
        <v>635</v>
      </c>
      <c r="AB214" s="1498" t="s">
        <v>635</v>
      </c>
      <c r="AC214" s="1547"/>
      <c r="AD214" s="1500" t="s">
        <v>635</v>
      </c>
      <c r="AE214" s="1501"/>
      <c r="AF214" s="1502" t="s">
        <v>635</v>
      </c>
      <c r="AG214" s="1501"/>
      <c r="AH214" s="1502">
        <v>2.9999999999999997E-4</v>
      </c>
      <c r="AI214" s="1503" t="s">
        <v>1909</v>
      </c>
      <c r="AJ214" s="1502" t="s">
        <v>635</v>
      </c>
      <c r="AK214" s="1501"/>
      <c r="AL214" s="1501"/>
      <c r="AM214" s="1501"/>
      <c r="AN214" s="1504">
        <v>1</v>
      </c>
      <c r="AO214" s="1505">
        <v>0.1</v>
      </c>
      <c r="AP214" s="1506" t="s">
        <v>635</v>
      </c>
    </row>
    <row r="215" spans="1:42" ht="30">
      <c r="A215" s="1481" t="s">
        <v>2279</v>
      </c>
      <c r="B215" s="1482" t="s">
        <v>2280</v>
      </c>
      <c r="C215" s="1483">
        <v>221.04</v>
      </c>
      <c r="D215" s="1484" t="s">
        <v>1883</v>
      </c>
      <c r="E215" s="1485">
        <v>8.9125102207699995E-8</v>
      </c>
      <c r="F215" s="1485">
        <v>2.1799999999999999E-9</v>
      </c>
      <c r="G215" s="1486" t="s">
        <v>1199</v>
      </c>
      <c r="H215" s="1485">
        <v>1.2500000000000001E-5</v>
      </c>
      <c r="I215" s="1486" t="s">
        <v>1883</v>
      </c>
      <c r="J215" s="1487">
        <v>115</v>
      </c>
      <c r="K215" s="1488" t="s">
        <v>1883</v>
      </c>
      <c r="L215" s="1489">
        <v>1.57</v>
      </c>
      <c r="M215" s="1490" t="s">
        <v>1884</v>
      </c>
      <c r="N215" s="1491">
        <v>2.922425179898E-2</v>
      </c>
      <c r="O215" s="1491">
        <v>7.8006185217200001E-6</v>
      </c>
      <c r="P215" s="1492" t="s">
        <v>1885</v>
      </c>
      <c r="Q215" s="1493" t="s">
        <v>635</v>
      </c>
      <c r="R215" s="1494"/>
      <c r="S215" s="1493">
        <v>29.01</v>
      </c>
      <c r="T215" s="1493" t="s">
        <v>1199</v>
      </c>
      <c r="U215" s="1493">
        <v>2.21</v>
      </c>
      <c r="V215" s="1495" t="s">
        <v>1883</v>
      </c>
      <c r="W215" s="1496">
        <v>8310</v>
      </c>
      <c r="X215" s="1497" t="s">
        <v>1883</v>
      </c>
      <c r="Y215" s="1498">
        <v>1.515332584035E-2</v>
      </c>
      <c r="Z215" s="1498">
        <v>1.8183301907223199</v>
      </c>
      <c r="AA215" s="1498">
        <v>4.36399245773356</v>
      </c>
      <c r="AB215" s="1498">
        <v>2.65E-3</v>
      </c>
      <c r="AC215" s="1499" t="s">
        <v>1199</v>
      </c>
      <c r="AD215" s="1500" t="s">
        <v>635</v>
      </c>
      <c r="AE215" s="1501"/>
      <c r="AF215" s="1502" t="s">
        <v>635</v>
      </c>
      <c r="AG215" s="1501"/>
      <c r="AH215" s="1502">
        <v>0.03</v>
      </c>
      <c r="AI215" s="1503" t="s">
        <v>1119</v>
      </c>
      <c r="AJ215" s="1502" t="s">
        <v>635</v>
      </c>
      <c r="AK215" s="1501"/>
      <c r="AL215" s="1501"/>
      <c r="AM215" s="1501"/>
      <c r="AN215" s="1504">
        <v>1</v>
      </c>
      <c r="AO215" s="1505">
        <v>0.1</v>
      </c>
      <c r="AP215" s="1506" t="s">
        <v>635</v>
      </c>
    </row>
    <row r="216" spans="1:42" ht="30">
      <c r="A216" s="1507" t="s">
        <v>2281</v>
      </c>
      <c r="B216" s="1508" t="s">
        <v>2282</v>
      </c>
      <c r="C216" s="1509" t="s">
        <v>635</v>
      </c>
      <c r="D216" s="1548"/>
      <c r="E216" s="1511" t="s">
        <v>635</v>
      </c>
      <c r="F216" s="1511" t="s">
        <v>635</v>
      </c>
      <c r="G216" s="1534"/>
      <c r="H216" s="1511" t="s">
        <v>635</v>
      </c>
      <c r="I216" s="1534"/>
      <c r="J216" s="1513" t="s">
        <v>635</v>
      </c>
      <c r="K216" s="1540"/>
      <c r="L216" s="1515" t="s">
        <v>635</v>
      </c>
      <c r="M216" s="1538"/>
      <c r="N216" s="1517" t="s">
        <v>635</v>
      </c>
      <c r="O216" s="1517" t="s">
        <v>635</v>
      </c>
      <c r="P216" s="1549"/>
      <c r="Q216" s="1519" t="s">
        <v>635</v>
      </c>
      <c r="R216" s="1520"/>
      <c r="S216" s="1519" t="s">
        <v>635</v>
      </c>
      <c r="T216" s="1520"/>
      <c r="U216" s="1519" t="s">
        <v>635</v>
      </c>
      <c r="V216" s="1507"/>
      <c r="W216" s="1522" t="s">
        <v>635</v>
      </c>
      <c r="X216" s="1535"/>
      <c r="Y216" s="1524" t="s">
        <v>635</v>
      </c>
      <c r="Z216" s="1524" t="s">
        <v>635</v>
      </c>
      <c r="AA216" s="1524" t="s">
        <v>635</v>
      </c>
      <c r="AB216" s="1524" t="s">
        <v>635</v>
      </c>
      <c r="AC216" s="1550"/>
      <c r="AD216" s="1526" t="s">
        <v>635</v>
      </c>
      <c r="AE216" s="1527"/>
      <c r="AF216" s="1528" t="s">
        <v>635</v>
      </c>
      <c r="AG216" s="1527"/>
      <c r="AH216" s="1528" t="s">
        <v>635</v>
      </c>
      <c r="AI216" s="1527"/>
      <c r="AJ216" s="1528" t="s">
        <v>635</v>
      </c>
      <c r="AK216" s="1527"/>
      <c r="AL216" s="1527"/>
      <c r="AM216" s="1527"/>
      <c r="AN216" s="1530">
        <v>1</v>
      </c>
      <c r="AO216" s="1531">
        <v>0.1</v>
      </c>
      <c r="AP216" s="1532" t="s">
        <v>635</v>
      </c>
    </row>
    <row r="217" spans="1:42" ht="30">
      <c r="A217" s="1481" t="s">
        <v>2283</v>
      </c>
      <c r="B217" s="1482" t="s">
        <v>2284</v>
      </c>
      <c r="C217" s="1483">
        <v>125</v>
      </c>
      <c r="D217" s="1484" t="s">
        <v>1883</v>
      </c>
      <c r="E217" s="1485">
        <v>0.34791496320523002</v>
      </c>
      <c r="F217" s="1485">
        <v>8.5100000000000002E-3</v>
      </c>
      <c r="G217" s="1486" t="s">
        <v>1883</v>
      </c>
      <c r="H217" s="1485">
        <v>3</v>
      </c>
      <c r="I217" s="1486" t="s">
        <v>1199</v>
      </c>
      <c r="J217" s="1487">
        <v>3.5</v>
      </c>
      <c r="K217" s="1488" t="s">
        <v>1883</v>
      </c>
      <c r="L217" s="1489">
        <v>1.1879999999999999</v>
      </c>
      <c r="M217" s="1490" t="s">
        <v>1905</v>
      </c>
      <c r="N217" s="1491">
        <v>6.6504724839259996E-2</v>
      </c>
      <c r="O217" s="1491">
        <v>9.2899981635400007E-6</v>
      </c>
      <c r="P217" s="1492" t="s">
        <v>1885</v>
      </c>
      <c r="Q217" s="1493" t="s">
        <v>635</v>
      </c>
      <c r="R217" s="1494"/>
      <c r="S217" s="1493">
        <v>131.5</v>
      </c>
      <c r="T217" s="1493" t="s">
        <v>1199</v>
      </c>
      <c r="U217" s="1493">
        <v>2.6</v>
      </c>
      <c r="V217" s="1495" t="s">
        <v>1883</v>
      </c>
      <c r="W217" s="1496">
        <v>580</v>
      </c>
      <c r="X217" s="1497" t="s">
        <v>1883</v>
      </c>
      <c r="Y217" s="1498">
        <v>7.1382170050950003E-2</v>
      </c>
      <c r="Z217" s="1498">
        <v>0.52704627669473003</v>
      </c>
      <c r="AA217" s="1498">
        <v>1.26491106406735</v>
      </c>
      <c r="AB217" s="1498">
        <v>1.66E-2</v>
      </c>
      <c r="AC217" s="1499" t="s">
        <v>1199</v>
      </c>
      <c r="AD217" s="1500" t="s">
        <v>635</v>
      </c>
      <c r="AE217" s="1501"/>
      <c r="AF217" s="1502">
        <v>4.1999999999999997E-3</v>
      </c>
      <c r="AG217" s="1503" t="s">
        <v>1909</v>
      </c>
      <c r="AH217" s="1502" t="s">
        <v>635</v>
      </c>
      <c r="AI217" s="1501"/>
      <c r="AJ217" s="1502" t="s">
        <v>635</v>
      </c>
      <c r="AK217" s="1501"/>
      <c r="AL217" s="1503" t="s">
        <v>1127</v>
      </c>
      <c r="AM217" s="1501"/>
      <c r="AN217" s="1504">
        <v>1</v>
      </c>
      <c r="AO217" s="1504" t="s">
        <v>635</v>
      </c>
      <c r="AP217" s="1506">
        <v>554</v>
      </c>
    </row>
    <row r="218" spans="1:42" ht="30">
      <c r="A218" s="1481" t="s">
        <v>2285</v>
      </c>
      <c r="B218" s="1482" t="s">
        <v>2286</v>
      </c>
      <c r="C218" s="1483">
        <v>125</v>
      </c>
      <c r="D218" s="1484" t="s">
        <v>1883</v>
      </c>
      <c r="E218" s="1485">
        <v>2.714636140638E-2</v>
      </c>
      <c r="F218" s="1485">
        <v>6.6399999999999999E-4</v>
      </c>
      <c r="G218" s="1486" t="s">
        <v>1199</v>
      </c>
      <c r="H218" s="1485">
        <v>4.0940000000000003</v>
      </c>
      <c r="I218" s="1486" t="s">
        <v>1883</v>
      </c>
      <c r="J218" s="1487">
        <v>-48</v>
      </c>
      <c r="K218" s="1488" t="s">
        <v>1883</v>
      </c>
      <c r="L218" s="1489">
        <v>1.1879999999999999</v>
      </c>
      <c r="M218" s="1490" t="s">
        <v>1884</v>
      </c>
      <c r="N218" s="1491">
        <v>6.6504724839259996E-2</v>
      </c>
      <c r="O218" s="1491">
        <v>9.2899981635400007E-6</v>
      </c>
      <c r="P218" s="1492" t="s">
        <v>1885</v>
      </c>
      <c r="Q218" s="1493" t="s">
        <v>635</v>
      </c>
      <c r="R218" s="1494"/>
      <c r="S218" s="1493">
        <v>131.5</v>
      </c>
      <c r="T218" s="1493" t="s">
        <v>1199</v>
      </c>
      <c r="U218" s="1493">
        <v>2.6</v>
      </c>
      <c r="V218" s="1495" t="s">
        <v>1883</v>
      </c>
      <c r="W218" s="1496">
        <v>580.20000000000005</v>
      </c>
      <c r="X218" s="1497" t="s">
        <v>1883</v>
      </c>
      <c r="Y218" s="1498">
        <v>7.1382170050950003E-2</v>
      </c>
      <c r="Z218" s="1498">
        <v>0.52704627669473003</v>
      </c>
      <c r="AA218" s="1498">
        <v>1.26491106406735</v>
      </c>
      <c r="AB218" s="1498">
        <v>1.66E-2</v>
      </c>
      <c r="AC218" s="1499" t="s">
        <v>1199</v>
      </c>
      <c r="AD218" s="1500" t="s">
        <v>635</v>
      </c>
      <c r="AE218" s="1501"/>
      <c r="AF218" s="1502">
        <v>4.1999999999999997E-3</v>
      </c>
      <c r="AG218" s="1503" t="s">
        <v>1909</v>
      </c>
      <c r="AH218" s="1502" t="s">
        <v>635</v>
      </c>
      <c r="AI218" s="1501"/>
      <c r="AJ218" s="1502" t="s">
        <v>635</v>
      </c>
      <c r="AK218" s="1501"/>
      <c r="AL218" s="1503" t="s">
        <v>1127</v>
      </c>
      <c r="AM218" s="1501"/>
      <c r="AN218" s="1504">
        <v>1</v>
      </c>
      <c r="AO218" s="1504" t="s">
        <v>635</v>
      </c>
      <c r="AP218" s="1506">
        <v>519</v>
      </c>
    </row>
    <row r="219" spans="1:42" ht="30">
      <c r="A219" s="1507" t="s">
        <v>2287</v>
      </c>
      <c r="B219" s="1508" t="s">
        <v>2288</v>
      </c>
      <c r="C219" s="1509">
        <v>125</v>
      </c>
      <c r="D219" s="1510" t="s">
        <v>1883</v>
      </c>
      <c r="E219" s="1511">
        <v>2.714636140638E-2</v>
      </c>
      <c r="F219" s="1511">
        <v>6.6399999999999999E-4</v>
      </c>
      <c r="G219" s="1512" t="s">
        <v>1199</v>
      </c>
      <c r="H219" s="1511">
        <v>3.43</v>
      </c>
      <c r="I219" s="1512" t="s">
        <v>1883</v>
      </c>
      <c r="J219" s="1513">
        <v>2</v>
      </c>
      <c r="K219" s="1514" t="s">
        <v>1883</v>
      </c>
      <c r="L219" s="1515">
        <v>1.1830000000000001</v>
      </c>
      <c r="M219" s="1516" t="s">
        <v>1884</v>
      </c>
      <c r="N219" s="1517">
        <v>6.6381756786559998E-2</v>
      </c>
      <c r="O219" s="1517">
        <v>9.2665187861999992E-6</v>
      </c>
      <c r="P219" s="1518" t="s">
        <v>1885</v>
      </c>
      <c r="Q219" s="1519" t="s">
        <v>635</v>
      </c>
      <c r="R219" s="1520"/>
      <c r="S219" s="1519">
        <v>131.5</v>
      </c>
      <c r="T219" s="1519" t="s">
        <v>1199</v>
      </c>
      <c r="U219" s="1519">
        <v>2.6</v>
      </c>
      <c r="V219" s="1521" t="s">
        <v>1883</v>
      </c>
      <c r="W219" s="1522">
        <v>850</v>
      </c>
      <c r="X219" s="1523" t="s">
        <v>1883</v>
      </c>
      <c r="Y219" s="1524">
        <v>7.1382170050950003E-2</v>
      </c>
      <c r="Z219" s="1524">
        <v>0.52704627669473003</v>
      </c>
      <c r="AA219" s="1524">
        <v>1.26491106406735</v>
      </c>
      <c r="AB219" s="1524">
        <v>1.66E-2</v>
      </c>
      <c r="AC219" s="1525" t="s">
        <v>1199</v>
      </c>
      <c r="AD219" s="1526" t="s">
        <v>635</v>
      </c>
      <c r="AE219" s="1527"/>
      <c r="AF219" s="1528">
        <v>4.1999999999999997E-3</v>
      </c>
      <c r="AG219" s="1529" t="s">
        <v>1909</v>
      </c>
      <c r="AH219" s="1528" t="s">
        <v>635</v>
      </c>
      <c r="AI219" s="1527"/>
      <c r="AJ219" s="1528" t="s">
        <v>635</v>
      </c>
      <c r="AK219" s="1527"/>
      <c r="AL219" s="1529" t="s">
        <v>1127</v>
      </c>
      <c r="AM219" s="1527"/>
      <c r="AN219" s="1530">
        <v>1</v>
      </c>
      <c r="AO219" s="1530" t="s">
        <v>635</v>
      </c>
      <c r="AP219" s="1532">
        <v>760</v>
      </c>
    </row>
    <row r="220" spans="1:42" ht="30">
      <c r="A220" s="1481" t="s">
        <v>2289</v>
      </c>
      <c r="B220" s="1482" t="s">
        <v>2290</v>
      </c>
      <c r="C220" s="1483">
        <v>128.94</v>
      </c>
      <c r="D220" s="1484" t="s">
        <v>1883</v>
      </c>
      <c r="E220" s="1485">
        <v>3.4260016353200003E-7</v>
      </c>
      <c r="F220" s="1485">
        <v>8.3799999999999996E-9</v>
      </c>
      <c r="G220" s="1486" t="s">
        <v>1883</v>
      </c>
      <c r="H220" s="1485">
        <v>0.1787</v>
      </c>
      <c r="I220" s="1486" t="s">
        <v>1883</v>
      </c>
      <c r="J220" s="1487">
        <v>13.5</v>
      </c>
      <c r="K220" s="1488" t="s">
        <v>1883</v>
      </c>
      <c r="L220" s="1489">
        <v>1.5633999999999999</v>
      </c>
      <c r="M220" s="1490" t="s">
        <v>1884</v>
      </c>
      <c r="N220" s="1491">
        <v>7.2234340447509995E-2</v>
      </c>
      <c r="O220" s="1491">
        <v>1.0751801470000001E-5</v>
      </c>
      <c r="P220" s="1492" t="s">
        <v>1885</v>
      </c>
      <c r="Q220" s="1493" t="s">
        <v>635</v>
      </c>
      <c r="R220" s="1494"/>
      <c r="S220" s="1493">
        <v>2.2519999999999998</v>
      </c>
      <c r="T220" s="1493" t="s">
        <v>1199</v>
      </c>
      <c r="U220" s="1493">
        <v>0.92</v>
      </c>
      <c r="V220" s="1495" t="s">
        <v>1883</v>
      </c>
      <c r="W220" s="1496">
        <v>1000000</v>
      </c>
      <c r="X220" s="1497" t="s">
        <v>1883</v>
      </c>
      <c r="Y220" s="1498">
        <v>5.2845237647399998E-3</v>
      </c>
      <c r="Z220" s="1498">
        <v>0.55451429904952998</v>
      </c>
      <c r="AA220" s="1498">
        <v>1.33083431771886</v>
      </c>
      <c r="AB220" s="1498">
        <v>1.2099999999999999E-3</v>
      </c>
      <c r="AC220" s="1499" t="s">
        <v>1199</v>
      </c>
      <c r="AD220" s="1500">
        <v>0.05</v>
      </c>
      <c r="AE220" s="1503" t="s">
        <v>1119</v>
      </c>
      <c r="AF220" s="1502" t="s">
        <v>635</v>
      </c>
      <c r="AG220" s="1501"/>
      <c r="AH220" s="1502">
        <v>4.0000000000000001E-3</v>
      </c>
      <c r="AI220" s="1503" t="s">
        <v>1119</v>
      </c>
      <c r="AJ220" s="1502" t="s">
        <v>635</v>
      </c>
      <c r="AK220" s="1501"/>
      <c r="AL220" s="1501"/>
      <c r="AM220" s="1501"/>
      <c r="AN220" s="1504">
        <v>1</v>
      </c>
      <c r="AO220" s="1505">
        <v>0.1</v>
      </c>
      <c r="AP220" s="1506" t="s">
        <v>635</v>
      </c>
    </row>
    <row r="221" spans="1:42" ht="30">
      <c r="A221" s="1481" t="s">
        <v>152</v>
      </c>
      <c r="B221" s="1482" t="s">
        <v>2291</v>
      </c>
      <c r="C221" s="1483">
        <v>147</v>
      </c>
      <c r="D221" s="1484" t="s">
        <v>1883</v>
      </c>
      <c r="E221" s="1485">
        <v>7.8495502861819999E-2</v>
      </c>
      <c r="F221" s="1485">
        <v>1.92E-3</v>
      </c>
      <c r="G221" s="1486" t="s">
        <v>1883</v>
      </c>
      <c r="H221" s="1485">
        <v>1.36</v>
      </c>
      <c r="I221" s="1486" t="s">
        <v>1883</v>
      </c>
      <c r="J221" s="1487">
        <v>-16.7</v>
      </c>
      <c r="K221" s="1488" t="s">
        <v>1883</v>
      </c>
      <c r="L221" s="1489">
        <v>1.3059000000000001</v>
      </c>
      <c r="M221" s="1490" t="s">
        <v>1884</v>
      </c>
      <c r="N221" s="1491">
        <v>5.6170340489030003E-2</v>
      </c>
      <c r="O221" s="1491">
        <v>8.9212831562199998E-6</v>
      </c>
      <c r="P221" s="1492" t="s">
        <v>1885</v>
      </c>
      <c r="Q221" s="1493" t="s">
        <v>635</v>
      </c>
      <c r="R221" s="1494"/>
      <c r="S221" s="1493">
        <v>382.9</v>
      </c>
      <c r="T221" s="1493" t="s">
        <v>1199</v>
      </c>
      <c r="U221" s="1493">
        <v>3.43</v>
      </c>
      <c r="V221" s="1495" t="s">
        <v>1883</v>
      </c>
      <c r="W221" s="1496">
        <v>156</v>
      </c>
      <c r="X221" s="1497" t="s">
        <v>1883</v>
      </c>
      <c r="Y221" s="1498">
        <v>0.20797933158577001</v>
      </c>
      <c r="Z221" s="1498">
        <v>0.69992055777343998</v>
      </c>
      <c r="AA221" s="1498">
        <v>1.67980933865626</v>
      </c>
      <c r="AB221" s="1498">
        <v>4.4600000000000001E-2</v>
      </c>
      <c r="AC221" s="1499" t="s">
        <v>1199</v>
      </c>
      <c r="AD221" s="1500" t="s">
        <v>635</v>
      </c>
      <c r="AE221" s="1501"/>
      <c r="AF221" s="1502" t="s">
        <v>635</v>
      </c>
      <c r="AG221" s="1501"/>
      <c r="AH221" s="1502">
        <v>0.09</v>
      </c>
      <c r="AI221" s="1503" t="s">
        <v>1119</v>
      </c>
      <c r="AJ221" s="1502">
        <v>0.2</v>
      </c>
      <c r="AK221" s="1503" t="s">
        <v>1073</v>
      </c>
      <c r="AL221" s="1503" t="s">
        <v>1127</v>
      </c>
      <c r="AM221" s="1501"/>
      <c r="AN221" s="1504">
        <v>1</v>
      </c>
      <c r="AO221" s="1504" t="s">
        <v>635</v>
      </c>
      <c r="AP221" s="1506">
        <v>376</v>
      </c>
    </row>
    <row r="222" spans="1:42" ht="30">
      <c r="A222" s="1507" t="s">
        <v>154</v>
      </c>
      <c r="B222" s="1508" t="s">
        <v>2292</v>
      </c>
      <c r="C222" s="1509">
        <v>147</v>
      </c>
      <c r="D222" s="1510" t="s">
        <v>1883</v>
      </c>
      <c r="E222" s="1511">
        <v>9.8528209321340002E-2</v>
      </c>
      <c r="F222" s="1511">
        <v>2.4099999999999998E-3</v>
      </c>
      <c r="G222" s="1512" t="s">
        <v>1883</v>
      </c>
      <c r="H222" s="1511">
        <v>1.74</v>
      </c>
      <c r="I222" s="1512" t="s">
        <v>1883</v>
      </c>
      <c r="J222" s="1513">
        <v>52.09</v>
      </c>
      <c r="K222" s="1514" t="s">
        <v>1883</v>
      </c>
      <c r="L222" s="1515">
        <v>1.2475000000000001</v>
      </c>
      <c r="M222" s="1516" t="s">
        <v>1884</v>
      </c>
      <c r="N222" s="1517">
        <v>5.5042894256450002E-2</v>
      </c>
      <c r="O222" s="1517">
        <v>8.6797197569099999E-6</v>
      </c>
      <c r="P222" s="1518" t="s">
        <v>1885</v>
      </c>
      <c r="Q222" s="1519" t="s">
        <v>635</v>
      </c>
      <c r="R222" s="1520"/>
      <c r="S222" s="1519">
        <v>375.3</v>
      </c>
      <c r="T222" s="1519" t="s">
        <v>1199</v>
      </c>
      <c r="U222" s="1519">
        <v>3.44</v>
      </c>
      <c r="V222" s="1521" t="s">
        <v>1883</v>
      </c>
      <c r="W222" s="1522">
        <v>81.3</v>
      </c>
      <c r="X222" s="1523" t="s">
        <v>1883</v>
      </c>
      <c r="Y222" s="1524">
        <v>0.21124358118465</v>
      </c>
      <c r="Z222" s="1524">
        <v>0.69992055777343998</v>
      </c>
      <c r="AA222" s="1524">
        <v>1.67980933865626</v>
      </c>
      <c r="AB222" s="1524">
        <v>4.53E-2</v>
      </c>
      <c r="AC222" s="1525" t="s">
        <v>1199</v>
      </c>
      <c r="AD222" s="1526">
        <v>5.4000000000000003E-3</v>
      </c>
      <c r="AE222" s="1529" t="s">
        <v>1900</v>
      </c>
      <c r="AF222" s="1528">
        <v>1.1E-5</v>
      </c>
      <c r="AG222" s="1529" t="s">
        <v>1900</v>
      </c>
      <c r="AH222" s="1528">
        <v>7.0000000000000007E-2</v>
      </c>
      <c r="AI222" s="1529" t="s">
        <v>1960</v>
      </c>
      <c r="AJ222" s="1528">
        <v>0.8</v>
      </c>
      <c r="AK222" s="1529" t="s">
        <v>1119</v>
      </c>
      <c r="AL222" s="1529" t="s">
        <v>1127</v>
      </c>
      <c r="AM222" s="1527"/>
      <c r="AN222" s="1530">
        <v>1</v>
      </c>
      <c r="AO222" s="1530" t="s">
        <v>635</v>
      </c>
      <c r="AP222" s="1532" t="s">
        <v>635</v>
      </c>
    </row>
    <row r="223" spans="1:42" ht="30">
      <c r="A223" s="1481" t="s">
        <v>156</v>
      </c>
      <c r="B223" s="1482" t="s">
        <v>2293</v>
      </c>
      <c r="C223" s="1483">
        <v>253.13</v>
      </c>
      <c r="D223" s="1484" t="s">
        <v>1883</v>
      </c>
      <c r="E223" s="1485">
        <v>1.16107931316E-9</v>
      </c>
      <c r="F223" s="1485">
        <v>2.84E-11</v>
      </c>
      <c r="G223" s="1486" t="s">
        <v>1883</v>
      </c>
      <c r="H223" s="1485">
        <v>2.5600000000000002E-7</v>
      </c>
      <c r="I223" s="1486" t="s">
        <v>1883</v>
      </c>
      <c r="J223" s="1487">
        <v>132</v>
      </c>
      <c r="K223" s="1488" t="s">
        <v>1883</v>
      </c>
      <c r="L223" s="1489" t="s">
        <v>635</v>
      </c>
      <c r="M223" s="1533"/>
      <c r="N223" s="1491">
        <v>4.7481509962950003E-2</v>
      </c>
      <c r="O223" s="1491">
        <v>5.5478395851399997E-6</v>
      </c>
      <c r="P223" s="1492" t="s">
        <v>1885</v>
      </c>
      <c r="Q223" s="1493" t="s">
        <v>635</v>
      </c>
      <c r="R223" s="1494"/>
      <c r="S223" s="1493">
        <v>3190</v>
      </c>
      <c r="T223" s="1493" t="s">
        <v>1199</v>
      </c>
      <c r="U223" s="1493">
        <v>3.51</v>
      </c>
      <c r="V223" s="1495" t="s">
        <v>1883</v>
      </c>
      <c r="W223" s="1496">
        <v>3.1</v>
      </c>
      <c r="X223" s="1497" t="s">
        <v>1883</v>
      </c>
      <c r="Y223" s="1498">
        <v>7.8326447806829999E-2</v>
      </c>
      <c r="Z223" s="1498">
        <v>2.7502789801898202</v>
      </c>
      <c r="AA223" s="1498">
        <v>6.6006695524555701</v>
      </c>
      <c r="AB223" s="1498">
        <v>1.2800000000000001E-2</v>
      </c>
      <c r="AC223" s="1499" t="s">
        <v>1199</v>
      </c>
      <c r="AD223" s="1500">
        <v>0.45</v>
      </c>
      <c r="AE223" s="1503" t="s">
        <v>1119</v>
      </c>
      <c r="AF223" s="1502">
        <v>3.4000000000000002E-4</v>
      </c>
      <c r="AG223" s="1503" t="s">
        <v>1900</v>
      </c>
      <c r="AH223" s="1502" t="s">
        <v>635</v>
      </c>
      <c r="AI223" s="1501"/>
      <c r="AJ223" s="1502" t="s">
        <v>635</v>
      </c>
      <c r="AK223" s="1501"/>
      <c r="AL223" s="1501"/>
      <c r="AM223" s="1501"/>
      <c r="AN223" s="1504">
        <v>1</v>
      </c>
      <c r="AO223" s="1505">
        <v>0.1</v>
      </c>
      <c r="AP223" s="1506" t="s">
        <v>635</v>
      </c>
    </row>
    <row r="224" spans="1:42" ht="30">
      <c r="A224" s="1481" t="s">
        <v>2294</v>
      </c>
      <c r="B224" s="1482" t="s">
        <v>2295</v>
      </c>
      <c r="C224" s="1483">
        <v>251.11</v>
      </c>
      <c r="D224" s="1484" t="s">
        <v>1883</v>
      </c>
      <c r="E224" s="1485">
        <v>4.3744889620000001E-5</v>
      </c>
      <c r="F224" s="1485">
        <v>1.0699999999999999E-6</v>
      </c>
      <c r="G224" s="1486" t="s">
        <v>1883</v>
      </c>
      <c r="H224" s="1485">
        <v>6.3899999999999998E-6</v>
      </c>
      <c r="I224" s="1486" t="s">
        <v>1883</v>
      </c>
      <c r="J224" s="1487">
        <v>147.5</v>
      </c>
      <c r="K224" s="1488" t="s">
        <v>1883</v>
      </c>
      <c r="L224" s="1489">
        <v>1.45</v>
      </c>
      <c r="M224" s="1490" t="s">
        <v>1884</v>
      </c>
      <c r="N224" s="1491">
        <v>2.639293422685E-2</v>
      </c>
      <c r="O224" s="1491">
        <v>6.88928526648E-6</v>
      </c>
      <c r="P224" s="1492" t="s">
        <v>1885</v>
      </c>
      <c r="Q224" s="1493" t="s">
        <v>635</v>
      </c>
      <c r="R224" s="1494"/>
      <c r="S224" s="1493">
        <v>2927</v>
      </c>
      <c r="T224" s="1493" t="s">
        <v>1199</v>
      </c>
      <c r="U224" s="1493">
        <v>4.4400000000000004</v>
      </c>
      <c r="V224" s="1495" t="s">
        <v>1883</v>
      </c>
      <c r="W224" s="1496">
        <v>0.82930000000000004</v>
      </c>
      <c r="X224" s="1497" t="s">
        <v>1883</v>
      </c>
      <c r="Y224" s="1498">
        <v>0.33033754934745002</v>
      </c>
      <c r="Z224" s="1498">
        <v>2.6795677958252</v>
      </c>
      <c r="AA224" s="1498">
        <v>6.4309627099804896</v>
      </c>
      <c r="AB224" s="1498">
        <v>5.4199999999999998E-2</v>
      </c>
      <c r="AC224" s="1499" t="s">
        <v>1199</v>
      </c>
      <c r="AD224" s="1500" t="s">
        <v>635</v>
      </c>
      <c r="AE224" s="1501"/>
      <c r="AF224" s="1502" t="s">
        <v>635</v>
      </c>
      <c r="AG224" s="1501"/>
      <c r="AH224" s="1502">
        <v>8.9999999999999993E-3</v>
      </c>
      <c r="AI224" s="1503" t="s">
        <v>1893</v>
      </c>
      <c r="AJ224" s="1502" t="s">
        <v>635</v>
      </c>
      <c r="AK224" s="1501"/>
      <c r="AL224" s="1501"/>
      <c r="AM224" s="1501"/>
      <c r="AN224" s="1504">
        <v>1</v>
      </c>
      <c r="AO224" s="1505">
        <v>0.1</v>
      </c>
      <c r="AP224" s="1506" t="s">
        <v>635</v>
      </c>
    </row>
    <row r="225" spans="1:42" ht="30">
      <c r="A225" s="1507" t="s">
        <v>2296</v>
      </c>
      <c r="B225" s="1508" t="s">
        <v>2297</v>
      </c>
      <c r="C225" s="1509">
        <v>120.91</v>
      </c>
      <c r="D225" s="1510" t="s">
        <v>1883</v>
      </c>
      <c r="E225" s="1511">
        <v>14.022894521668</v>
      </c>
      <c r="F225" s="1511">
        <v>0.34300000000000003</v>
      </c>
      <c r="G225" s="1512" t="s">
        <v>1883</v>
      </c>
      <c r="H225" s="1511">
        <v>4848</v>
      </c>
      <c r="I225" s="1512" t="s">
        <v>1883</v>
      </c>
      <c r="J225" s="1513">
        <v>-158</v>
      </c>
      <c r="K225" s="1514" t="s">
        <v>1883</v>
      </c>
      <c r="L225" s="1515">
        <v>1.486</v>
      </c>
      <c r="M225" s="1516" t="s">
        <v>1949</v>
      </c>
      <c r="N225" s="1517">
        <v>7.6029265276299995E-2</v>
      </c>
      <c r="O225" s="1517">
        <v>1.0839412020000001E-5</v>
      </c>
      <c r="P225" s="1518" t="s">
        <v>1885</v>
      </c>
      <c r="Q225" s="1519" t="s">
        <v>635</v>
      </c>
      <c r="R225" s="1520"/>
      <c r="S225" s="1519">
        <v>43.89</v>
      </c>
      <c r="T225" s="1519" t="s">
        <v>1199</v>
      </c>
      <c r="U225" s="1519">
        <v>2.16</v>
      </c>
      <c r="V225" s="1521" t="s">
        <v>1883</v>
      </c>
      <c r="W225" s="1522">
        <v>280</v>
      </c>
      <c r="X225" s="1523" t="s">
        <v>1883</v>
      </c>
      <c r="Y225" s="1524">
        <v>3.7851299827990001E-2</v>
      </c>
      <c r="Z225" s="1524">
        <v>0.49997092527485998</v>
      </c>
      <c r="AA225" s="1524">
        <v>1.19993022065967</v>
      </c>
      <c r="AB225" s="1524">
        <v>8.9499999999999996E-3</v>
      </c>
      <c r="AC225" s="1525" t="s">
        <v>1199</v>
      </c>
      <c r="AD225" s="1526" t="s">
        <v>635</v>
      </c>
      <c r="AE225" s="1527"/>
      <c r="AF225" s="1528" t="s">
        <v>635</v>
      </c>
      <c r="AG225" s="1527"/>
      <c r="AH225" s="1528">
        <v>0.2</v>
      </c>
      <c r="AI225" s="1529" t="s">
        <v>1119</v>
      </c>
      <c r="AJ225" s="1528">
        <v>0.1</v>
      </c>
      <c r="AK225" s="1529" t="s">
        <v>1893</v>
      </c>
      <c r="AL225" s="1529" t="s">
        <v>1127</v>
      </c>
      <c r="AM225" s="1527"/>
      <c r="AN225" s="1530">
        <v>1</v>
      </c>
      <c r="AO225" s="1530" t="s">
        <v>635</v>
      </c>
      <c r="AP225" s="1532">
        <v>845</v>
      </c>
    </row>
    <row r="226" spans="1:42" ht="30">
      <c r="A226" s="1481" t="s">
        <v>158</v>
      </c>
      <c r="B226" s="1482" t="s">
        <v>2298</v>
      </c>
      <c r="C226" s="1483">
        <v>320.05</v>
      </c>
      <c r="D226" s="1484" t="s">
        <v>1883</v>
      </c>
      <c r="E226" s="1485">
        <v>2.6982829108999998E-4</v>
      </c>
      <c r="F226" s="1485">
        <v>6.6000000000000003E-6</v>
      </c>
      <c r="G226" s="1486" t="s">
        <v>1883</v>
      </c>
      <c r="H226" s="1485">
        <v>1.35E-6</v>
      </c>
      <c r="I226" s="1486" t="s">
        <v>1883</v>
      </c>
      <c r="J226" s="1487">
        <v>109.5</v>
      </c>
      <c r="K226" s="1488" t="s">
        <v>1883</v>
      </c>
      <c r="L226" s="1489" t="s">
        <v>635</v>
      </c>
      <c r="M226" s="1533"/>
      <c r="N226" s="1491">
        <v>4.0607698875089998E-2</v>
      </c>
      <c r="O226" s="1491">
        <v>4.7446890264600002E-6</v>
      </c>
      <c r="P226" s="1492" t="s">
        <v>1885</v>
      </c>
      <c r="Q226" s="1493" t="s">
        <v>635</v>
      </c>
      <c r="R226" s="1494"/>
      <c r="S226" s="1493">
        <v>117500</v>
      </c>
      <c r="T226" s="1493" t="s">
        <v>1199</v>
      </c>
      <c r="U226" s="1493">
        <v>6.02</v>
      </c>
      <c r="V226" s="1495" t="s">
        <v>1883</v>
      </c>
      <c r="W226" s="1496">
        <v>0.09</v>
      </c>
      <c r="X226" s="1497" t="s">
        <v>1883</v>
      </c>
      <c r="Y226" s="1498">
        <v>1.72706741087775</v>
      </c>
      <c r="Z226" s="1498">
        <v>6.5182160246292398</v>
      </c>
      <c r="AA226" s="1498">
        <v>26.2267968690931</v>
      </c>
      <c r="AB226" s="1498">
        <v>0.251</v>
      </c>
      <c r="AC226" s="1499" t="s">
        <v>1199</v>
      </c>
      <c r="AD226" s="1500">
        <v>0.24</v>
      </c>
      <c r="AE226" s="1503" t="s">
        <v>1119</v>
      </c>
      <c r="AF226" s="1502">
        <v>6.8999999999999997E-5</v>
      </c>
      <c r="AG226" s="1503" t="s">
        <v>1900</v>
      </c>
      <c r="AH226" s="1502">
        <v>5.0000000000000001E-4</v>
      </c>
      <c r="AI226" s="1503" t="s">
        <v>1960</v>
      </c>
      <c r="AJ226" s="1502" t="s">
        <v>635</v>
      </c>
      <c r="AK226" s="1501"/>
      <c r="AL226" s="1501"/>
      <c r="AM226" s="1501"/>
      <c r="AN226" s="1504">
        <v>1</v>
      </c>
      <c r="AO226" s="1505">
        <v>0.1</v>
      </c>
      <c r="AP226" s="1506" t="s">
        <v>635</v>
      </c>
    </row>
    <row r="227" spans="1:42" ht="30">
      <c r="A227" s="1481" t="s">
        <v>160</v>
      </c>
      <c r="B227" s="1482" t="s">
        <v>2299</v>
      </c>
      <c r="C227" s="1483">
        <v>318.02999999999997</v>
      </c>
      <c r="D227" s="1484" t="s">
        <v>1883</v>
      </c>
      <c r="E227" s="1485">
        <v>1.7007358953399999E-3</v>
      </c>
      <c r="F227" s="1485">
        <v>4.1600000000000002E-5</v>
      </c>
      <c r="G227" s="1486" t="s">
        <v>1883</v>
      </c>
      <c r="H227" s="1485">
        <v>6.0000000000000002E-6</v>
      </c>
      <c r="I227" s="1486" t="s">
        <v>1199</v>
      </c>
      <c r="J227" s="1487">
        <v>89</v>
      </c>
      <c r="K227" s="1488" t="s">
        <v>1883</v>
      </c>
      <c r="L227" s="1489">
        <v>1.4019999999999999</v>
      </c>
      <c r="M227" s="1490" t="s">
        <v>2050</v>
      </c>
      <c r="N227" s="1491">
        <v>2.299592570658E-2</v>
      </c>
      <c r="O227" s="1491">
        <v>5.85921893614E-6</v>
      </c>
      <c r="P227" s="1492" t="s">
        <v>1885</v>
      </c>
      <c r="Q227" s="1493" t="s">
        <v>635</v>
      </c>
      <c r="R227" s="1494"/>
      <c r="S227" s="1493">
        <v>117500</v>
      </c>
      <c r="T227" s="1493" t="s">
        <v>1199</v>
      </c>
      <c r="U227" s="1493">
        <v>6.51</v>
      </c>
      <c r="V227" s="1495" t="s">
        <v>1883</v>
      </c>
      <c r="W227" s="1496">
        <v>0.04</v>
      </c>
      <c r="X227" s="1497" t="s">
        <v>1883</v>
      </c>
      <c r="Y227" s="1498">
        <v>3.7381540857667899</v>
      </c>
      <c r="Z227" s="1498">
        <v>6.3506291076779702</v>
      </c>
      <c r="AA227" s="1498">
        <v>27.291554395341301</v>
      </c>
      <c r="AB227" s="1498">
        <v>0.54500000000000004</v>
      </c>
      <c r="AC227" s="1499" t="s">
        <v>1199</v>
      </c>
      <c r="AD227" s="1500">
        <v>0.34</v>
      </c>
      <c r="AE227" s="1503" t="s">
        <v>1119</v>
      </c>
      <c r="AF227" s="1502">
        <v>9.7E-5</v>
      </c>
      <c r="AG227" s="1503" t="s">
        <v>1900</v>
      </c>
      <c r="AH227" s="1502">
        <v>5.0000000000000001E-4</v>
      </c>
      <c r="AI227" s="1503" t="s">
        <v>1960</v>
      </c>
      <c r="AJ227" s="1502" t="s">
        <v>635</v>
      </c>
      <c r="AK227" s="1501"/>
      <c r="AL227" s="1503" t="s">
        <v>1127</v>
      </c>
      <c r="AM227" s="1501"/>
      <c r="AN227" s="1504">
        <v>1</v>
      </c>
      <c r="AO227" s="1504" t="s">
        <v>635</v>
      </c>
      <c r="AP227" s="1506" t="s">
        <v>635</v>
      </c>
    </row>
    <row r="228" spans="1:42" ht="30">
      <c r="A228" s="1507" t="s">
        <v>162</v>
      </c>
      <c r="B228" s="1508" t="s">
        <v>2300</v>
      </c>
      <c r="C228" s="1509">
        <v>354.49</v>
      </c>
      <c r="D228" s="1510" t="s">
        <v>1883</v>
      </c>
      <c r="E228" s="1511">
        <v>3.4014717906999999E-4</v>
      </c>
      <c r="F228" s="1511">
        <v>8.32E-6</v>
      </c>
      <c r="G228" s="1512" t="s">
        <v>1883</v>
      </c>
      <c r="H228" s="1511">
        <v>1.6E-7</v>
      </c>
      <c r="I228" s="1512" t="s">
        <v>1883</v>
      </c>
      <c r="J228" s="1513">
        <v>108.5</v>
      </c>
      <c r="K228" s="1514" t="s">
        <v>1883</v>
      </c>
      <c r="L228" s="1515" t="s">
        <v>635</v>
      </c>
      <c r="M228" s="1538"/>
      <c r="N228" s="1517">
        <v>3.7933036477480003E-2</v>
      </c>
      <c r="O228" s="1517">
        <v>4.43217584105E-6</v>
      </c>
      <c r="P228" s="1518" t="s">
        <v>1885</v>
      </c>
      <c r="Q228" s="1519" t="s">
        <v>635</v>
      </c>
      <c r="R228" s="1520"/>
      <c r="S228" s="1519">
        <v>168600</v>
      </c>
      <c r="T228" s="1519" t="s">
        <v>1199</v>
      </c>
      <c r="U228" s="1519">
        <v>6.91</v>
      </c>
      <c r="V228" s="1521" t="s">
        <v>1883</v>
      </c>
      <c r="W228" s="1522">
        <v>5.4999999999999997E-3</v>
      </c>
      <c r="X228" s="1523" t="s">
        <v>1883</v>
      </c>
      <c r="Y228" s="1524">
        <v>4.5476631647863996</v>
      </c>
      <c r="Z228" s="1524">
        <v>10.1623172712118</v>
      </c>
      <c r="AA228" s="1524">
        <v>44.266796804437</v>
      </c>
      <c r="AB228" s="1524">
        <v>0.628</v>
      </c>
      <c r="AC228" s="1525" t="s">
        <v>1199</v>
      </c>
      <c r="AD228" s="1526">
        <v>0.34</v>
      </c>
      <c r="AE228" s="1529" t="s">
        <v>1119</v>
      </c>
      <c r="AF228" s="1528">
        <v>9.7E-5</v>
      </c>
      <c r="AG228" s="1529" t="s">
        <v>1119</v>
      </c>
      <c r="AH228" s="1528">
        <v>5.0000000000000001E-4</v>
      </c>
      <c r="AI228" s="1529" t="s">
        <v>1119</v>
      </c>
      <c r="AJ228" s="1528" t="s">
        <v>635</v>
      </c>
      <c r="AK228" s="1527"/>
      <c r="AL228" s="1527"/>
      <c r="AM228" s="1527"/>
      <c r="AN228" s="1530">
        <v>1</v>
      </c>
      <c r="AO228" s="1541">
        <v>0.03</v>
      </c>
      <c r="AP228" s="1532" t="s">
        <v>635</v>
      </c>
    </row>
    <row r="229" spans="1:42" ht="30">
      <c r="A229" s="1481" t="s">
        <v>164</v>
      </c>
      <c r="B229" s="1482" t="s">
        <v>2301</v>
      </c>
      <c r="C229" s="1483">
        <v>98.96</v>
      </c>
      <c r="D229" s="1484" t="s">
        <v>1883</v>
      </c>
      <c r="E229" s="1485">
        <v>0.22976287816843999</v>
      </c>
      <c r="F229" s="1485">
        <v>5.62E-3</v>
      </c>
      <c r="G229" s="1486" t="s">
        <v>1883</v>
      </c>
      <c r="H229" s="1485">
        <v>227.3</v>
      </c>
      <c r="I229" s="1486" t="s">
        <v>1883</v>
      </c>
      <c r="J229" s="1487">
        <v>-96.9</v>
      </c>
      <c r="K229" s="1488" t="s">
        <v>1883</v>
      </c>
      <c r="L229" s="1489">
        <v>1.1757</v>
      </c>
      <c r="M229" s="1490" t="s">
        <v>1884</v>
      </c>
      <c r="N229" s="1491">
        <v>8.3644611321010004E-2</v>
      </c>
      <c r="O229" s="1491">
        <v>1.0621206939999999E-5</v>
      </c>
      <c r="P229" s="1492" t="s">
        <v>1885</v>
      </c>
      <c r="Q229" s="1493" t="s">
        <v>635</v>
      </c>
      <c r="R229" s="1494"/>
      <c r="S229" s="1493">
        <v>31.82</v>
      </c>
      <c r="T229" s="1493" t="s">
        <v>1199</v>
      </c>
      <c r="U229" s="1493">
        <v>1.79</v>
      </c>
      <c r="V229" s="1495" t="s">
        <v>1883</v>
      </c>
      <c r="W229" s="1496">
        <v>5040</v>
      </c>
      <c r="X229" s="1497" t="s">
        <v>1883</v>
      </c>
      <c r="Y229" s="1498">
        <v>2.582618562439E-2</v>
      </c>
      <c r="Z229" s="1498">
        <v>0.37672526722851002</v>
      </c>
      <c r="AA229" s="1498">
        <v>0.90414064134842997</v>
      </c>
      <c r="AB229" s="1498">
        <v>6.7499999999999999E-3</v>
      </c>
      <c r="AC229" s="1499" t="s">
        <v>1199</v>
      </c>
      <c r="AD229" s="1500">
        <v>5.7000000000000002E-3</v>
      </c>
      <c r="AE229" s="1503" t="s">
        <v>1900</v>
      </c>
      <c r="AF229" s="1502">
        <v>1.5999999999999999E-6</v>
      </c>
      <c r="AG229" s="1503" t="s">
        <v>1900</v>
      </c>
      <c r="AH229" s="1502">
        <v>0.2</v>
      </c>
      <c r="AI229" s="1503" t="s">
        <v>1909</v>
      </c>
      <c r="AJ229" s="1502" t="s">
        <v>635</v>
      </c>
      <c r="AK229" s="1501"/>
      <c r="AL229" s="1503" t="s">
        <v>1127</v>
      </c>
      <c r="AM229" s="1501"/>
      <c r="AN229" s="1504">
        <v>1</v>
      </c>
      <c r="AO229" s="1504" t="s">
        <v>635</v>
      </c>
      <c r="AP229" s="1506">
        <v>1690</v>
      </c>
    </row>
    <row r="230" spans="1:42" ht="30">
      <c r="A230" s="1481" t="s">
        <v>166</v>
      </c>
      <c r="B230" s="1482" t="s">
        <v>2302</v>
      </c>
      <c r="C230" s="1483">
        <v>98.96</v>
      </c>
      <c r="D230" s="1484" t="s">
        <v>1883</v>
      </c>
      <c r="E230" s="1485">
        <v>4.824202780049E-2</v>
      </c>
      <c r="F230" s="1485">
        <v>1.1800000000000001E-3</v>
      </c>
      <c r="G230" s="1486" t="s">
        <v>1883</v>
      </c>
      <c r="H230" s="1485">
        <v>78.900000000000006</v>
      </c>
      <c r="I230" s="1486" t="s">
        <v>1883</v>
      </c>
      <c r="J230" s="1487">
        <v>-35.5</v>
      </c>
      <c r="K230" s="1488" t="s">
        <v>1883</v>
      </c>
      <c r="L230" s="1489">
        <v>1.2454000000000001</v>
      </c>
      <c r="M230" s="1490" t="s">
        <v>1884</v>
      </c>
      <c r="N230" s="1491">
        <v>8.5722058078229996E-2</v>
      </c>
      <c r="O230" s="1491">
        <v>1.0994646649999999E-5</v>
      </c>
      <c r="P230" s="1492" t="s">
        <v>1885</v>
      </c>
      <c r="Q230" s="1493" t="s">
        <v>635</v>
      </c>
      <c r="R230" s="1494"/>
      <c r="S230" s="1493">
        <v>39.6</v>
      </c>
      <c r="T230" s="1493" t="s">
        <v>1199</v>
      </c>
      <c r="U230" s="1493">
        <v>1.48</v>
      </c>
      <c r="V230" s="1495" t="s">
        <v>1883</v>
      </c>
      <c r="W230" s="1496">
        <v>8600</v>
      </c>
      <c r="X230" s="1497" t="s">
        <v>1883</v>
      </c>
      <c r="Y230" s="1498">
        <v>1.6069626610730001E-2</v>
      </c>
      <c r="Z230" s="1498">
        <v>0.37672526722851002</v>
      </c>
      <c r="AA230" s="1498">
        <v>0.90414064134842997</v>
      </c>
      <c r="AB230" s="1498">
        <v>4.1999999999999997E-3</v>
      </c>
      <c r="AC230" s="1499" t="s">
        <v>1199</v>
      </c>
      <c r="AD230" s="1500">
        <v>9.0999999999999998E-2</v>
      </c>
      <c r="AE230" s="1503" t="s">
        <v>1119</v>
      </c>
      <c r="AF230" s="1502">
        <v>2.5999999999999998E-5</v>
      </c>
      <c r="AG230" s="1503" t="s">
        <v>1119</v>
      </c>
      <c r="AH230" s="1502">
        <v>6.0000000000000001E-3</v>
      </c>
      <c r="AI230" s="1503" t="s">
        <v>1893</v>
      </c>
      <c r="AJ230" s="1502">
        <v>7.0000000000000001E-3</v>
      </c>
      <c r="AK230" s="1503" t="s">
        <v>1909</v>
      </c>
      <c r="AL230" s="1503" t="s">
        <v>1127</v>
      </c>
      <c r="AM230" s="1501"/>
      <c r="AN230" s="1504">
        <v>1</v>
      </c>
      <c r="AO230" s="1504" t="s">
        <v>635</v>
      </c>
      <c r="AP230" s="1506">
        <v>2980</v>
      </c>
    </row>
    <row r="231" spans="1:42" ht="30">
      <c r="A231" s="1507" t="s">
        <v>168</v>
      </c>
      <c r="B231" s="1508" t="s">
        <v>2303</v>
      </c>
      <c r="C231" s="1509">
        <v>96.944000000000003</v>
      </c>
      <c r="D231" s="1510" t="s">
        <v>1883</v>
      </c>
      <c r="E231" s="1511">
        <v>1.0670482420278</v>
      </c>
      <c r="F231" s="1511">
        <v>2.6100000000000002E-2</v>
      </c>
      <c r="G231" s="1512" t="s">
        <v>1883</v>
      </c>
      <c r="H231" s="1511">
        <v>600</v>
      </c>
      <c r="I231" s="1512" t="s">
        <v>1883</v>
      </c>
      <c r="J231" s="1513">
        <v>-122.5</v>
      </c>
      <c r="K231" s="1514" t="s">
        <v>1883</v>
      </c>
      <c r="L231" s="1515">
        <v>1.2130000000000001</v>
      </c>
      <c r="M231" s="1516" t="s">
        <v>1884</v>
      </c>
      <c r="N231" s="1517">
        <v>8.6310687359099997E-2</v>
      </c>
      <c r="O231" s="1517">
        <v>1.095659708E-5</v>
      </c>
      <c r="P231" s="1518" t="s">
        <v>1885</v>
      </c>
      <c r="Q231" s="1519" t="s">
        <v>635</v>
      </c>
      <c r="R231" s="1520"/>
      <c r="S231" s="1519">
        <v>31.82</v>
      </c>
      <c r="T231" s="1519" t="s">
        <v>1199</v>
      </c>
      <c r="U231" s="1519">
        <v>2.13</v>
      </c>
      <c r="V231" s="1521" t="s">
        <v>1883</v>
      </c>
      <c r="W231" s="1522">
        <v>2420</v>
      </c>
      <c r="X231" s="1523" t="s">
        <v>1883</v>
      </c>
      <c r="Y231" s="1524">
        <v>4.4307064899399999E-2</v>
      </c>
      <c r="Z231" s="1524">
        <v>0.36705838514296002</v>
      </c>
      <c r="AA231" s="1524">
        <v>0.88094012434309998</v>
      </c>
      <c r="AB231" s="1524">
        <v>1.17E-2</v>
      </c>
      <c r="AC231" s="1525" t="s">
        <v>1199</v>
      </c>
      <c r="AD231" s="1526" t="s">
        <v>635</v>
      </c>
      <c r="AE231" s="1527"/>
      <c r="AF231" s="1528" t="s">
        <v>635</v>
      </c>
      <c r="AG231" s="1527"/>
      <c r="AH231" s="1528">
        <v>0.05</v>
      </c>
      <c r="AI231" s="1529" t="s">
        <v>1119</v>
      </c>
      <c r="AJ231" s="1528">
        <v>3.96E-3</v>
      </c>
      <c r="AK231" s="1529" t="s">
        <v>1960</v>
      </c>
      <c r="AL231" s="1529" t="s">
        <v>1127</v>
      </c>
      <c r="AM231" s="1527"/>
      <c r="AN231" s="1530">
        <v>1</v>
      </c>
      <c r="AO231" s="1530" t="s">
        <v>635</v>
      </c>
      <c r="AP231" s="1532">
        <v>1190</v>
      </c>
    </row>
    <row r="232" spans="1:42" ht="30">
      <c r="A232" s="1481" t="s">
        <v>170</v>
      </c>
      <c r="B232" s="1482" t="s">
        <v>2304</v>
      </c>
      <c r="C232" s="1483">
        <v>96.944000000000003</v>
      </c>
      <c r="D232" s="1484" t="s">
        <v>1883</v>
      </c>
      <c r="E232" s="1485">
        <v>0.16680294358136</v>
      </c>
      <c r="F232" s="1485">
        <v>4.0800000000000003E-3</v>
      </c>
      <c r="G232" s="1486" t="s">
        <v>1883</v>
      </c>
      <c r="H232" s="1485">
        <v>200</v>
      </c>
      <c r="I232" s="1486" t="s">
        <v>1883</v>
      </c>
      <c r="J232" s="1487">
        <v>-80</v>
      </c>
      <c r="K232" s="1488" t="s">
        <v>1883</v>
      </c>
      <c r="L232" s="1489">
        <v>1.2837000000000001</v>
      </c>
      <c r="M232" s="1490" t="s">
        <v>1884</v>
      </c>
      <c r="N232" s="1491">
        <v>8.8405643037459999E-2</v>
      </c>
      <c r="O232" s="1491">
        <v>1.133541266E-5</v>
      </c>
      <c r="P232" s="1492" t="s">
        <v>1885</v>
      </c>
      <c r="Q232" s="1493" t="s">
        <v>635</v>
      </c>
      <c r="R232" s="1494"/>
      <c r="S232" s="1493">
        <v>39.6</v>
      </c>
      <c r="T232" s="1493" t="s">
        <v>1199</v>
      </c>
      <c r="U232" s="1493">
        <v>1.86</v>
      </c>
      <c r="V232" s="1495" t="s">
        <v>1883</v>
      </c>
      <c r="W232" s="1496">
        <v>6410</v>
      </c>
      <c r="X232" s="1497" t="s">
        <v>1883</v>
      </c>
      <c r="Y232" s="1498">
        <v>4.165621486269E-2</v>
      </c>
      <c r="Z232" s="1498">
        <v>0.36705838514296002</v>
      </c>
      <c r="AA232" s="1498">
        <v>0.88094012434309998</v>
      </c>
      <c r="AB232" s="1498">
        <v>1.0999999999999999E-2</v>
      </c>
      <c r="AC232" s="1499" t="s">
        <v>1199</v>
      </c>
      <c r="AD232" s="1500" t="s">
        <v>635</v>
      </c>
      <c r="AE232" s="1501"/>
      <c r="AF232" s="1502" t="s">
        <v>635</v>
      </c>
      <c r="AG232" s="1501"/>
      <c r="AH232" s="1502">
        <v>2E-3</v>
      </c>
      <c r="AI232" s="1503" t="s">
        <v>1119</v>
      </c>
      <c r="AJ232" s="1502">
        <v>0.04</v>
      </c>
      <c r="AK232" s="1503" t="s">
        <v>1893</v>
      </c>
      <c r="AL232" s="1503" t="s">
        <v>1127</v>
      </c>
      <c r="AM232" s="1501"/>
      <c r="AN232" s="1504">
        <v>1</v>
      </c>
      <c r="AO232" s="1504" t="s">
        <v>635</v>
      </c>
      <c r="AP232" s="1506">
        <v>2370</v>
      </c>
    </row>
    <row r="233" spans="1:42" ht="30">
      <c r="A233" s="1481" t="s">
        <v>172</v>
      </c>
      <c r="B233" s="1482" t="s">
        <v>2305</v>
      </c>
      <c r="C233" s="1483">
        <v>96.944000000000003</v>
      </c>
      <c r="D233" s="1484" t="s">
        <v>1883</v>
      </c>
      <c r="E233" s="1485">
        <v>0.38348323793949002</v>
      </c>
      <c r="F233" s="1485">
        <v>9.3799999999999994E-3</v>
      </c>
      <c r="G233" s="1486" t="s">
        <v>1883</v>
      </c>
      <c r="H233" s="1485">
        <v>331</v>
      </c>
      <c r="I233" s="1486" t="s">
        <v>1199</v>
      </c>
      <c r="J233" s="1487">
        <v>-49.8</v>
      </c>
      <c r="K233" s="1488" t="s">
        <v>1883</v>
      </c>
      <c r="L233" s="1489">
        <v>1.2565</v>
      </c>
      <c r="M233" s="1490" t="s">
        <v>1884</v>
      </c>
      <c r="N233" s="1491">
        <v>8.7609432305390006E-2</v>
      </c>
      <c r="O233" s="1491">
        <v>1.11906859E-5</v>
      </c>
      <c r="P233" s="1492" t="s">
        <v>1885</v>
      </c>
      <c r="Q233" s="1493" t="s">
        <v>635</v>
      </c>
      <c r="R233" s="1494"/>
      <c r="S233" s="1493">
        <v>39.6</v>
      </c>
      <c r="T233" s="1493" t="s">
        <v>1199</v>
      </c>
      <c r="U233" s="1493">
        <v>2.09</v>
      </c>
      <c r="V233" s="1495" t="s">
        <v>1883</v>
      </c>
      <c r="W233" s="1496">
        <v>4520</v>
      </c>
      <c r="X233" s="1497" t="s">
        <v>1883</v>
      </c>
      <c r="Y233" s="1498">
        <v>4.165621486269E-2</v>
      </c>
      <c r="Z233" s="1498">
        <v>0.36705838514296002</v>
      </c>
      <c r="AA233" s="1498">
        <v>0.88094012434309998</v>
      </c>
      <c r="AB233" s="1498">
        <v>1.0999999999999999E-2</v>
      </c>
      <c r="AC233" s="1499" t="s">
        <v>1199</v>
      </c>
      <c r="AD233" s="1500" t="s">
        <v>635</v>
      </c>
      <c r="AE233" s="1501"/>
      <c r="AF233" s="1502" t="s">
        <v>635</v>
      </c>
      <c r="AG233" s="1501"/>
      <c r="AH233" s="1502">
        <v>0.02</v>
      </c>
      <c r="AI233" s="1503" t="s">
        <v>1119</v>
      </c>
      <c r="AJ233" s="1502">
        <v>0.04</v>
      </c>
      <c r="AK233" s="1503" t="s">
        <v>1893</v>
      </c>
      <c r="AL233" s="1503" t="s">
        <v>1127</v>
      </c>
      <c r="AM233" s="1501"/>
      <c r="AN233" s="1504">
        <v>1</v>
      </c>
      <c r="AO233" s="1504" t="s">
        <v>635</v>
      </c>
      <c r="AP233" s="1506">
        <v>1850</v>
      </c>
    </row>
    <row r="234" spans="1:42" ht="30">
      <c r="A234" s="1507" t="s">
        <v>174</v>
      </c>
      <c r="B234" s="1508" t="s">
        <v>2306</v>
      </c>
      <c r="C234" s="1509">
        <v>163</v>
      </c>
      <c r="D234" s="1510" t="s">
        <v>1883</v>
      </c>
      <c r="E234" s="1511">
        <v>1.7538838921000001E-4</v>
      </c>
      <c r="F234" s="1511">
        <v>4.2899999999999996E-6</v>
      </c>
      <c r="G234" s="1512" t="s">
        <v>1199</v>
      </c>
      <c r="H234" s="1511">
        <v>0.09</v>
      </c>
      <c r="I234" s="1512" t="s">
        <v>1883</v>
      </c>
      <c r="J234" s="1513">
        <v>45</v>
      </c>
      <c r="K234" s="1514" t="s">
        <v>1883</v>
      </c>
      <c r="L234" s="1515">
        <v>1.383</v>
      </c>
      <c r="M234" s="1516" t="s">
        <v>1949</v>
      </c>
      <c r="N234" s="1517">
        <v>4.8576831463819997E-2</v>
      </c>
      <c r="O234" s="1517">
        <v>8.6786568514900008E-6</v>
      </c>
      <c r="P234" s="1518" t="s">
        <v>1885</v>
      </c>
      <c r="Q234" s="1519" t="s">
        <v>635</v>
      </c>
      <c r="R234" s="1520"/>
      <c r="S234" s="1519">
        <v>147</v>
      </c>
      <c r="T234" s="1519" t="s">
        <v>1959</v>
      </c>
      <c r="U234" s="1519">
        <v>3.06</v>
      </c>
      <c r="V234" s="1521" t="s">
        <v>1883</v>
      </c>
      <c r="W234" s="1522">
        <v>5550</v>
      </c>
      <c r="X234" s="1523" t="s">
        <v>1883</v>
      </c>
      <c r="Y234" s="1524">
        <v>0.10115507457575</v>
      </c>
      <c r="Z234" s="1524">
        <v>0.86029767582779004</v>
      </c>
      <c r="AA234" s="1524">
        <v>2.06471442198669</v>
      </c>
      <c r="AB234" s="1524">
        <v>2.06E-2</v>
      </c>
      <c r="AC234" s="1525" t="s">
        <v>1199</v>
      </c>
      <c r="AD234" s="1526" t="s">
        <v>635</v>
      </c>
      <c r="AE234" s="1527"/>
      <c r="AF234" s="1528" t="s">
        <v>635</v>
      </c>
      <c r="AG234" s="1527"/>
      <c r="AH234" s="1528">
        <v>3.0000000000000001E-3</v>
      </c>
      <c r="AI234" s="1529" t="s">
        <v>1119</v>
      </c>
      <c r="AJ234" s="1528" t="s">
        <v>635</v>
      </c>
      <c r="AK234" s="1527"/>
      <c r="AL234" s="1527"/>
      <c r="AM234" s="1527"/>
      <c r="AN234" s="1530">
        <v>1</v>
      </c>
      <c r="AO234" s="1531">
        <v>0.1</v>
      </c>
      <c r="AP234" s="1532" t="s">
        <v>635</v>
      </c>
    </row>
    <row r="235" spans="1:42" ht="30">
      <c r="A235" s="1481" t="s">
        <v>2307</v>
      </c>
      <c r="B235" s="1482" t="s">
        <v>2308</v>
      </c>
      <c r="C235" s="1483">
        <v>221.04</v>
      </c>
      <c r="D235" s="1484" t="s">
        <v>1883</v>
      </c>
      <c r="E235" s="1485">
        <v>1.44726083401E-6</v>
      </c>
      <c r="F235" s="1485">
        <v>3.5399999999999999E-8</v>
      </c>
      <c r="G235" s="1486" t="s">
        <v>1199</v>
      </c>
      <c r="H235" s="1485">
        <v>8.25E-5</v>
      </c>
      <c r="I235" s="1486" t="s">
        <v>1883</v>
      </c>
      <c r="J235" s="1487">
        <v>140.5</v>
      </c>
      <c r="K235" s="1488" t="s">
        <v>1883</v>
      </c>
      <c r="L235" s="1489">
        <v>1.42</v>
      </c>
      <c r="M235" s="1490" t="s">
        <v>1890</v>
      </c>
      <c r="N235" s="1491">
        <v>2.791789773469E-2</v>
      </c>
      <c r="O235" s="1491">
        <v>7.3445003361699996E-6</v>
      </c>
      <c r="P235" s="1492" t="s">
        <v>1885</v>
      </c>
      <c r="Q235" s="1493" t="s">
        <v>635</v>
      </c>
      <c r="R235" s="1494"/>
      <c r="S235" s="1493">
        <v>29.63</v>
      </c>
      <c r="T235" s="1493" t="s">
        <v>1199</v>
      </c>
      <c r="U235" s="1493">
        <v>2.81</v>
      </c>
      <c r="V235" s="1495" t="s">
        <v>1883</v>
      </c>
      <c r="W235" s="1496">
        <v>677</v>
      </c>
      <c r="X235" s="1497" t="s">
        <v>1883</v>
      </c>
      <c r="Y235" s="1498">
        <v>3.7969088143360002E-2</v>
      </c>
      <c r="Z235" s="1498">
        <v>1.8183301907223199</v>
      </c>
      <c r="AA235" s="1498">
        <v>4.36399245773356</v>
      </c>
      <c r="AB235" s="1498">
        <v>6.6400000000000001E-3</v>
      </c>
      <c r="AC235" s="1499" t="s">
        <v>1199</v>
      </c>
      <c r="AD235" s="1500" t="s">
        <v>635</v>
      </c>
      <c r="AE235" s="1501"/>
      <c r="AF235" s="1502" t="s">
        <v>635</v>
      </c>
      <c r="AG235" s="1501"/>
      <c r="AH235" s="1502">
        <v>0.01</v>
      </c>
      <c r="AI235" s="1503" t="s">
        <v>1119</v>
      </c>
      <c r="AJ235" s="1502" t="s">
        <v>635</v>
      </c>
      <c r="AK235" s="1501"/>
      <c r="AL235" s="1501"/>
      <c r="AM235" s="1501"/>
      <c r="AN235" s="1504">
        <v>1</v>
      </c>
      <c r="AO235" s="1539">
        <v>0.05</v>
      </c>
      <c r="AP235" s="1506" t="s">
        <v>635</v>
      </c>
    </row>
    <row r="236" spans="1:42" ht="30">
      <c r="A236" s="1481" t="s">
        <v>176</v>
      </c>
      <c r="B236" s="1482" t="s">
        <v>2309</v>
      </c>
      <c r="C236" s="1483">
        <v>112.99</v>
      </c>
      <c r="D236" s="1484" t="s">
        <v>1883</v>
      </c>
      <c r="E236" s="1485">
        <v>0.11529026982829001</v>
      </c>
      <c r="F236" s="1485">
        <v>2.82E-3</v>
      </c>
      <c r="G236" s="1486" t="s">
        <v>1883</v>
      </c>
      <c r="H236" s="1485">
        <v>53.3</v>
      </c>
      <c r="I236" s="1486" t="s">
        <v>1883</v>
      </c>
      <c r="J236" s="1487">
        <v>-100</v>
      </c>
      <c r="K236" s="1488" t="s">
        <v>1883</v>
      </c>
      <c r="L236" s="1489">
        <v>1.159</v>
      </c>
      <c r="M236" s="1490" t="s">
        <v>1949</v>
      </c>
      <c r="N236" s="1491">
        <v>7.3340244461150006E-2</v>
      </c>
      <c r="O236" s="1491">
        <v>9.7251840234299995E-6</v>
      </c>
      <c r="P236" s="1492" t="s">
        <v>1885</v>
      </c>
      <c r="Q236" s="1493" t="s">
        <v>635</v>
      </c>
      <c r="R236" s="1494"/>
      <c r="S236" s="1493">
        <v>60.7</v>
      </c>
      <c r="T236" s="1493" t="s">
        <v>1199</v>
      </c>
      <c r="U236" s="1493">
        <v>1.98</v>
      </c>
      <c r="V236" s="1495" t="s">
        <v>1883</v>
      </c>
      <c r="W236" s="1496">
        <v>2800</v>
      </c>
      <c r="X236" s="1497" t="s">
        <v>1883</v>
      </c>
      <c r="Y236" s="1498">
        <v>3.0785175414410001E-2</v>
      </c>
      <c r="Z236" s="1498">
        <v>0.45143242470886003</v>
      </c>
      <c r="AA236" s="1498">
        <v>1.0834378193012699</v>
      </c>
      <c r="AB236" s="1498">
        <v>7.5300000000000002E-3</v>
      </c>
      <c r="AC236" s="1499" t="s">
        <v>1199</v>
      </c>
      <c r="AD236" s="1500">
        <v>3.6999999999999998E-2</v>
      </c>
      <c r="AE236" s="1503" t="s">
        <v>1909</v>
      </c>
      <c r="AF236" s="1502">
        <v>3.7000000000000002E-6</v>
      </c>
      <c r="AG236" s="1503" t="s">
        <v>1909</v>
      </c>
      <c r="AH236" s="1502">
        <v>0.04</v>
      </c>
      <c r="AI236" s="1503" t="s">
        <v>1909</v>
      </c>
      <c r="AJ236" s="1502">
        <v>4.0000000000000001E-3</v>
      </c>
      <c r="AK236" s="1503" t="s">
        <v>1119</v>
      </c>
      <c r="AL236" s="1503" t="s">
        <v>1127</v>
      </c>
      <c r="AM236" s="1501"/>
      <c r="AN236" s="1504">
        <v>1</v>
      </c>
      <c r="AO236" s="1504" t="s">
        <v>635</v>
      </c>
      <c r="AP236" s="1506">
        <v>1360</v>
      </c>
    </row>
    <row r="237" spans="1:42" ht="30">
      <c r="A237" s="1507" t="s">
        <v>2310</v>
      </c>
      <c r="B237" s="1508" t="s">
        <v>2311</v>
      </c>
      <c r="C237" s="1509">
        <v>112.99</v>
      </c>
      <c r="D237" s="1510" t="s">
        <v>1883</v>
      </c>
      <c r="E237" s="1511">
        <v>3.9901880621419999E-2</v>
      </c>
      <c r="F237" s="1511">
        <v>9.7599999999999998E-4</v>
      </c>
      <c r="G237" s="1512" t="s">
        <v>1883</v>
      </c>
      <c r="H237" s="1511">
        <v>18.16</v>
      </c>
      <c r="I237" s="1512" t="s">
        <v>1883</v>
      </c>
      <c r="J237" s="1513">
        <v>-99.5</v>
      </c>
      <c r="K237" s="1514" t="s">
        <v>1883</v>
      </c>
      <c r="L237" s="1515">
        <v>1.1785000000000001</v>
      </c>
      <c r="M237" s="1516" t="s">
        <v>1884</v>
      </c>
      <c r="N237" s="1517">
        <v>7.3873815434119999E-2</v>
      </c>
      <c r="O237" s="1517">
        <v>9.8230310876100005E-6</v>
      </c>
      <c r="P237" s="1518" t="s">
        <v>1885</v>
      </c>
      <c r="Q237" s="1519" t="s">
        <v>635</v>
      </c>
      <c r="R237" s="1520"/>
      <c r="S237" s="1519">
        <v>72.17</v>
      </c>
      <c r="T237" s="1519" t="s">
        <v>1199</v>
      </c>
      <c r="U237" s="1519">
        <v>2</v>
      </c>
      <c r="V237" s="1521" t="s">
        <v>1883</v>
      </c>
      <c r="W237" s="1522">
        <v>2750</v>
      </c>
      <c r="X237" s="1523" t="s">
        <v>1883</v>
      </c>
      <c r="Y237" s="1524">
        <v>3.1725492857339999E-2</v>
      </c>
      <c r="Z237" s="1524">
        <v>0.45143242470886003</v>
      </c>
      <c r="AA237" s="1524">
        <v>1.0834378193012699</v>
      </c>
      <c r="AB237" s="1524">
        <v>7.7600000000000004E-3</v>
      </c>
      <c r="AC237" s="1525" t="s">
        <v>1199</v>
      </c>
      <c r="AD237" s="1526" t="s">
        <v>635</v>
      </c>
      <c r="AE237" s="1527"/>
      <c r="AF237" s="1528" t="s">
        <v>635</v>
      </c>
      <c r="AG237" s="1527"/>
      <c r="AH237" s="1528">
        <v>0.02</v>
      </c>
      <c r="AI237" s="1529" t="s">
        <v>1909</v>
      </c>
      <c r="AJ237" s="1528" t="s">
        <v>635</v>
      </c>
      <c r="AK237" s="1527"/>
      <c r="AL237" s="1529" t="s">
        <v>1127</v>
      </c>
      <c r="AM237" s="1527"/>
      <c r="AN237" s="1530">
        <v>1</v>
      </c>
      <c r="AO237" s="1530" t="s">
        <v>635</v>
      </c>
      <c r="AP237" s="1532">
        <v>1490</v>
      </c>
    </row>
    <row r="238" spans="1:42" ht="30">
      <c r="A238" s="1481" t="s">
        <v>2312</v>
      </c>
      <c r="B238" s="1482" t="s">
        <v>2313</v>
      </c>
      <c r="C238" s="1483">
        <v>128.99</v>
      </c>
      <c r="D238" s="1484" t="s">
        <v>1883</v>
      </c>
      <c r="E238" s="1485">
        <v>1.47179067866E-7</v>
      </c>
      <c r="F238" s="1485">
        <v>3.6E-9</v>
      </c>
      <c r="G238" s="1486" t="s">
        <v>1883</v>
      </c>
      <c r="H238" s="1485">
        <v>0.184</v>
      </c>
      <c r="I238" s="1486" t="s">
        <v>1883</v>
      </c>
      <c r="J238" s="1487">
        <v>-24.89</v>
      </c>
      <c r="K238" s="1488" t="s">
        <v>1199</v>
      </c>
      <c r="L238" s="1489">
        <v>1.3607</v>
      </c>
      <c r="M238" s="1490" t="s">
        <v>1884</v>
      </c>
      <c r="N238" s="1491">
        <v>6.8016553963669998E-2</v>
      </c>
      <c r="O238" s="1491">
        <v>9.8899837217600002E-6</v>
      </c>
      <c r="P238" s="1492" t="s">
        <v>1885</v>
      </c>
      <c r="Q238" s="1493" t="s">
        <v>635</v>
      </c>
      <c r="R238" s="1494"/>
      <c r="S238" s="1493">
        <v>5.5679999999999996</v>
      </c>
      <c r="T238" s="1493" t="s">
        <v>1199</v>
      </c>
      <c r="U238" s="1493">
        <v>0.78</v>
      </c>
      <c r="V238" s="1495" t="s">
        <v>1883</v>
      </c>
      <c r="W238" s="1496">
        <v>64220</v>
      </c>
      <c r="X238" s="1497" t="s">
        <v>1883</v>
      </c>
      <c r="Y238" s="1498">
        <v>4.29396194532E-3</v>
      </c>
      <c r="Z238" s="1498">
        <v>0.55487192290192</v>
      </c>
      <c r="AA238" s="1498">
        <v>1.33169261496462</v>
      </c>
      <c r="AB238" s="1498">
        <v>9.8299999999999993E-4</v>
      </c>
      <c r="AC238" s="1499" t="s">
        <v>1199</v>
      </c>
      <c r="AD238" s="1500" t="s">
        <v>635</v>
      </c>
      <c r="AE238" s="1501"/>
      <c r="AF238" s="1502" t="s">
        <v>635</v>
      </c>
      <c r="AG238" s="1501"/>
      <c r="AH238" s="1502">
        <v>3.0000000000000001E-3</v>
      </c>
      <c r="AI238" s="1503" t="s">
        <v>1119</v>
      </c>
      <c r="AJ238" s="1502" t="s">
        <v>635</v>
      </c>
      <c r="AK238" s="1501"/>
      <c r="AL238" s="1501"/>
      <c r="AM238" s="1501"/>
      <c r="AN238" s="1504">
        <v>1</v>
      </c>
      <c r="AO238" s="1505">
        <v>0.1</v>
      </c>
      <c r="AP238" s="1506" t="s">
        <v>635</v>
      </c>
    </row>
    <row r="239" spans="1:42" ht="30">
      <c r="A239" s="1481" t="s">
        <v>178</v>
      </c>
      <c r="B239" s="1482" t="s">
        <v>2314</v>
      </c>
      <c r="C239" s="1483">
        <v>110.97</v>
      </c>
      <c r="D239" s="1484" t="s">
        <v>1883</v>
      </c>
      <c r="E239" s="1485">
        <v>0.14513491414554</v>
      </c>
      <c r="F239" s="1485">
        <v>3.5500000000000002E-3</v>
      </c>
      <c r="G239" s="1486" t="s">
        <v>1883</v>
      </c>
      <c r="H239" s="1485">
        <v>34</v>
      </c>
      <c r="I239" s="1486" t="s">
        <v>1883</v>
      </c>
      <c r="J239" s="1487">
        <v>-50</v>
      </c>
      <c r="K239" s="1488" t="s">
        <v>1883</v>
      </c>
      <c r="L239" s="1489">
        <v>1.2170000000000001</v>
      </c>
      <c r="M239" s="1490" t="s">
        <v>1905</v>
      </c>
      <c r="N239" s="1491">
        <v>7.6272488447510001E-2</v>
      </c>
      <c r="O239" s="1491">
        <v>1.012331538E-5</v>
      </c>
      <c r="P239" s="1492" t="s">
        <v>1885</v>
      </c>
      <c r="Q239" s="1493" t="s">
        <v>635</v>
      </c>
      <c r="R239" s="1494"/>
      <c r="S239" s="1493">
        <v>72.17</v>
      </c>
      <c r="T239" s="1493" t="s">
        <v>1199</v>
      </c>
      <c r="U239" s="1493">
        <v>2.04</v>
      </c>
      <c r="V239" s="1495" t="s">
        <v>1883</v>
      </c>
      <c r="W239" s="1496">
        <v>2800</v>
      </c>
      <c r="X239" s="1497" t="s">
        <v>1883</v>
      </c>
      <c r="Y239" s="1498">
        <v>3.3790568280720003E-2</v>
      </c>
      <c r="Z239" s="1498">
        <v>0.43982584892449</v>
      </c>
      <c r="AA239" s="1498">
        <v>1.0555820374187701</v>
      </c>
      <c r="AB239" s="1498">
        <v>8.3400000000000002E-3</v>
      </c>
      <c r="AC239" s="1499" t="s">
        <v>1199</v>
      </c>
      <c r="AD239" s="1500">
        <v>0.1</v>
      </c>
      <c r="AE239" s="1503" t="s">
        <v>1119</v>
      </c>
      <c r="AF239" s="1502">
        <v>3.9999999999999998E-6</v>
      </c>
      <c r="AG239" s="1503" t="s">
        <v>1119</v>
      </c>
      <c r="AH239" s="1502">
        <v>0.03</v>
      </c>
      <c r="AI239" s="1503" t="s">
        <v>1119</v>
      </c>
      <c r="AJ239" s="1502">
        <v>0.02</v>
      </c>
      <c r="AK239" s="1503" t="s">
        <v>1119</v>
      </c>
      <c r="AL239" s="1503" t="s">
        <v>1127</v>
      </c>
      <c r="AM239" s="1501"/>
      <c r="AN239" s="1504">
        <v>1</v>
      </c>
      <c r="AO239" s="1504" t="s">
        <v>635</v>
      </c>
      <c r="AP239" s="1506">
        <v>1570</v>
      </c>
    </row>
    <row r="240" spans="1:42" ht="30">
      <c r="A240" s="1507" t="s">
        <v>2315</v>
      </c>
      <c r="B240" s="1508" t="s">
        <v>2316</v>
      </c>
      <c r="C240" s="1509">
        <v>220.98</v>
      </c>
      <c r="D240" s="1510" t="s">
        <v>1883</v>
      </c>
      <c r="E240" s="1511">
        <v>2.3466884710000001E-5</v>
      </c>
      <c r="F240" s="1511">
        <v>5.7400000000000003E-7</v>
      </c>
      <c r="G240" s="1512" t="s">
        <v>1199</v>
      </c>
      <c r="H240" s="1511">
        <v>1.575E-2</v>
      </c>
      <c r="I240" s="1512" t="s">
        <v>1883</v>
      </c>
      <c r="J240" s="1513">
        <v>-60</v>
      </c>
      <c r="K240" s="1514" t="s">
        <v>1883</v>
      </c>
      <c r="L240" s="1515">
        <v>1.415</v>
      </c>
      <c r="M240" s="1516" t="s">
        <v>1884</v>
      </c>
      <c r="N240" s="1517">
        <v>2.7876753126080001E-2</v>
      </c>
      <c r="O240" s="1517">
        <v>7.3301667440699999E-6</v>
      </c>
      <c r="P240" s="1518" t="s">
        <v>1885</v>
      </c>
      <c r="Q240" s="1519" t="s">
        <v>635</v>
      </c>
      <c r="R240" s="1520"/>
      <c r="S240" s="1519">
        <v>53.96</v>
      </c>
      <c r="T240" s="1519" t="s">
        <v>1199</v>
      </c>
      <c r="U240" s="1519">
        <v>1.43</v>
      </c>
      <c r="V240" s="1521" t="s">
        <v>1883</v>
      </c>
      <c r="W240" s="1522">
        <v>8000</v>
      </c>
      <c r="X240" s="1523" t="s">
        <v>1883</v>
      </c>
      <c r="Y240" s="1524">
        <v>4.5968378583400001E-3</v>
      </c>
      <c r="Z240" s="1524">
        <v>1.8169239498176</v>
      </c>
      <c r="AA240" s="1524">
        <v>4.3606174795622303</v>
      </c>
      <c r="AB240" s="1524">
        <v>8.0400000000000003E-4</v>
      </c>
      <c r="AC240" s="1525" t="s">
        <v>1199</v>
      </c>
      <c r="AD240" s="1526">
        <v>0.28999999999999998</v>
      </c>
      <c r="AE240" s="1529" t="s">
        <v>1119</v>
      </c>
      <c r="AF240" s="1528">
        <v>8.2999999999999998E-5</v>
      </c>
      <c r="AG240" s="1529" t="s">
        <v>1900</v>
      </c>
      <c r="AH240" s="1528">
        <v>5.0000000000000001E-4</v>
      </c>
      <c r="AI240" s="1529" t="s">
        <v>1119</v>
      </c>
      <c r="AJ240" s="1528">
        <v>5.0000000000000001E-4</v>
      </c>
      <c r="AK240" s="1529" t="s">
        <v>1119</v>
      </c>
      <c r="AL240" s="1527"/>
      <c r="AM240" s="1527"/>
      <c r="AN240" s="1530">
        <v>1</v>
      </c>
      <c r="AO240" s="1531">
        <v>0.1</v>
      </c>
      <c r="AP240" s="1532" t="s">
        <v>635</v>
      </c>
    </row>
    <row r="241" spans="1:42" ht="30">
      <c r="A241" s="1481" t="s">
        <v>2317</v>
      </c>
      <c r="B241" s="1482" t="s">
        <v>2318</v>
      </c>
      <c r="C241" s="1483">
        <v>237.19</v>
      </c>
      <c r="D241" s="1484" t="s">
        <v>1883</v>
      </c>
      <c r="E241" s="1485">
        <v>2.0564186426799998E-9</v>
      </c>
      <c r="F241" s="1485">
        <v>5.0299999999999997E-11</v>
      </c>
      <c r="G241" s="1486" t="s">
        <v>1883</v>
      </c>
      <c r="H241" s="1485">
        <v>1.6000000000000001E-4</v>
      </c>
      <c r="I241" s="1486" t="s">
        <v>1883</v>
      </c>
      <c r="J241" s="1487">
        <v>79.209999999999994</v>
      </c>
      <c r="K241" s="1488" t="s">
        <v>1199</v>
      </c>
      <c r="L241" s="1489">
        <v>1.216</v>
      </c>
      <c r="M241" s="1490" t="s">
        <v>1884</v>
      </c>
      <c r="N241" s="1491">
        <v>2.5047353857079999E-2</v>
      </c>
      <c r="O241" s="1491">
        <v>6.41466663644E-6</v>
      </c>
      <c r="P241" s="1492" t="s">
        <v>1885</v>
      </c>
      <c r="Q241" s="1493" t="s">
        <v>635</v>
      </c>
      <c r="R241" s="1494"/>
      <c r="S241" s="1493">
        <v>16.579999999999998</v>
      </c>
      <c r="T241" s="1493" t="s">
        <v>1199</v>
      </c>
      <c r="U241" s="1493">
        <v>0</v>
      </c>
      <c r="V241" s="1495" t="s">
        <v>1883</v>
      </c>
      <c r="W241" s="1496">
        <v>1000000</v>
      </c>
      <c r="X241" s="1497" t="s">
        <v>1883</v>
      </c>
      <c r="Y241" s="1498">
        <v>4.3300430733000001E-4</v>
      </c>
      <c r="Z241" s="1498">
        <v>2.2393024209200298</v>
      </c>
      <c r="AA241" s="1498">
        <v>5.3743258102080604</v>
      </c>
      <c r="AB241" s="1498">
        <v>7.3100000000000001E-5</v>
      </c>
      <c r="AC241" s="1499" t="s">
        <v>1199</v>
      </c>
      <c r="AD241" s="1500" t="s">
        <v>635</v>
      </c>
      <c r="AE241" s="1501"/>
      <c r="AF241" s="1502" t="s">
        <v>635</v>
      </c>
      <c r="AG241" s="1501"/>
      <c r="AH241" s="1502">
        <v>3.0000000000000001E-5</v>
      </c>
      <c r="AI241" s="1503" t="s">
        <v>1116</v>
      </c>
      <c r="AJ241" s="1502" t="s">
        <v>635</v>
      </c>
      <c r="AK241" s="1501"/>
      <c r="AL241" s="1501"/>
      <c r="AM241" s="1501"/>
      <c r="AN241" s="1504">
        <v>1</v>
      </c>
      <c r="AO241" s="1505">
        <v>0.1</v>
      </c>
      <c r="AP241" s="1506" t="s">
        <v>635</v>
      </c>
    </row>
    <row r="242" spans="1:42" ht="30">
      <c r="A242" s="1481" t="s">
        <v>2319</v>
      </c>
      <c r="B242" s="1482" t="s">
        <v>2320</v>
      </c>
      <c r="C242" s="1483">
        <v>132.21</v>
      </c>
      <c r="D242" s="1484" t="s">
        <v>1883</v>
      </c>
      <c r="E242" s="1485">
        <v>2.5551921504497099</v>
      </c>
      <c r="F242" s="1485">
        <v>6.25E-2</v>
      </c>
      <c r="G242" s="1486" t="s">
        <v>1883</v>
      </c>
      <c r="H242" s="1485">
        <v>2.29</v>
      </c>
      <c r="I242" s="1486" t="s">
        <v>1199</v>
      </c>
      <c r="J242" s="1487">
        <v>-1</v>
      </c>
      <c r="K242" s="1488" t="s">
        <v>1883</v>
      </c>
      <c r="L242" s="1489">
        <v>0.93</v>
      </c>
      <c r="M242" s="1490" t="s">
        <v>1905</v>
      </c>
      <c r="N242" s="1491">
        <v>5.5745477572459998E-2</v>
      </c>
      <c r="O242" s="1491">
        <v>7.7553777716799992E-6</v>
      </c>
      <c r="P242" s="1492" t="s">
        <v>1885</v>
      </c>
      <c r="Q242" s="1493" t="s">
        <v>635</v>
      </c>
      <c r="R242" s="1494"/>
      <c r="S242" s="1493">
        <v>1513</v>
      </c>
      <c r="T242" s="1493" t="s">
        <v>1199</v>
      </c>
      <c r="U242" s="1493">
        <v>3.16</v>
      </c>
      <c r="V242" s="1495" t="s">
        <v>1883</v>
      </c>
      <c r="W242" s="1496">
        <v>26.47</v>
      </c>
      <c r="X242" s="1497" t="s">
        <v>1883</v>
      </c>
      <c r="Y242" s="1498">
        <v>0.15920668714212</v>
      </c>
      <c r="Z242" s="1498">
        <v>0.57839529249169996</v>
      </c>
      <c r="AA242" s="1498">
        <v>1.38814870198009</v>
      </c>
      <c r="AB242" s="1498">
        <v>3.5999999999999997E-2</v>
      </c>
      <c r="AC242" s="1499" t="s">
        <v>1199</v>
      </c>
      <c r="AD242" s="1500" t="s">
        <v>635</v>
      </c>
      <c r="AE242" s="1501"/>
      <c r="AF242" s="1502" t="s">
        <v>635</v>
      </c>
      <c r="AG242" s="1501"/>
      <c r="AH242" s="1502">
        <v>0.08</v>
      </c>
      <c r="AI242" s="1503" t="s">
        <v>1909</v>
      </c>
      <c r="AJ242" s="1502">
        <v>2.9999999999999997E-4</v>
      </c>
      <c r="AK242" s="1503" t="s">
        <v>1893</v>
      </c>
      <c r="AL242" s="1503" t="s">
        <v>1127</v>
      </c>
      <c r="AM242" s="1501"/>
      <c r="AN242" s="1504">
        <v>1</v>
      </c>
      <c r="AO242" s="1504" t="s">
        <v>635</v>
      </c>
      <c r="AP242" s="1506">
        <v>256</v>
      </c>
    </row>
    <row r="243" spans="1:42" ht="30">
      <c r="A243" s="1507" t="s">
        <v>180</v>
      </c>
      <c r="B243" s="1508" t="s">
        <v>179</v>
      </c>
      <c r="C243" s="1509">
        <v>380.91</v>
      </c>
      <c r="D243" s="1510" t="s">
        <v>1883</v>
      </c>
      <c r="E243" s="1511">
        <v>4.0883074407E-4</v>
      </c>
      <c r="F243" s="1511">
        <v>1.0000000000000001E-5</v>
      </c>
      <c r="G243" s="1512" t="s">
        <v>1883</v>
      </c>
      <c r="H243" s="1511">
        <v>5.8900000000000004E-6</v>
      </c>
      <c r="I243" s="1512" t="s">
        <v>1883</v>
      </c>
      <c r="J243" s="1513">
        <v>175.5</v>
      </c>
      <c r="K243" s="1514" t="s">
        <v>1883</v>
      </c>
      <c r="L243" s="1515">
        <v>1.75</v>
      </c>
      <c r="M243" s="1516" t="s">
        <v>1884</v>
      </c>
      <c r="N243" s="1517">
        <v>2.3286453600050001E-2</v>
      </c>
      <c r="O243" s="1517">
        <v>6.0062191756200001E-6</v>
      </c>
      <c r="P243" s="1518" t="s">
        <v>1885</v>
      </c>
      <c r="Q243" s="1519" t="s">
        <v>635</v>
      </c>
      <c r="R243" s="1520"/>
      <c r="S243" s="1519">
        <v>20090</v>
      </c>
      <c r="T243" s="1519" t="s">
        <v>1199</v>
      </c>
      <c r="U243" s="1519">
        <v>5.4</v>
      </c>
      <c r="V243" s="1521" t="s">
        <v>1883</v>
      </c>
      <c r="W243" s="1522">
        <v>0.19500000000000001</v>
      </c>
      <c r="X243" s="1523" t="s">
        <v>1883</v>
      </c>
      <c r="Y243" s="1524">
        <v>0.24471209735466001</v>
      </c>
      <c r="Z243" s="1524">
        <v>14.287121880278701</v>
      </c>
      <c r="AA243" s="1524">
        <v>34.289092512668802</v>
      </c>
      <c r="AB243" s="1524">
        <v>3.2599999999999997E-2</v>
      </c>
      <c r="AC243" s="1525" t="s">
        <v>1199</v>
      </c>
      <c r="AD243" s="1526">
        <v>16</v>
      </c>
      <c r="AE243" s="1529" t="s">
        <v>1119</v>
      </c>
      <c r="AF243" s="1528">
        <v>4.5999999999999999E-3</v>
      </c>
      <c r="AG243" s="1529" t="s">
        <v>1119</v>
      </c>
      <c r="AH243" s="1528">
        <v>5.0000000000000002E-5</v>
      </c>
      <c r="AI243" s="1529" t="s">
        <v>1119</v>
      </c>
      <c r="AJ243" s="1528" t="s">
        <v>635</v>
      </c>
      <c r="AK243" s="1527"/>
      <c r="AL243" s="1527"/>
      <c r="AM243" s="1527"/>
      <c r="AN243" s="1530">
        <v>1</v>
      </c>
      <c r="AO243" s="1531">
        <v>0.1</v>
      </c>
      <c r="AP243" s="1532" t="s">
        <v>635</v>
      </c>
    </row>
    <row r="244" spans="1:42" ht="30">
      <c r="A244" s="1481" t="s">
        <v>2321</v>
      </c>
      <c r="B244" s="1482" t="s">
        <v>2322</v>
      </c>
      <c r="C244" s="1483" t="s">
        <v>635</v>
      </c>
      <c r="D244" s="1543"/>
      <c r="E244" s="1485" t="s">
        <v>635</v>
      </c>
      <c r="F244" s="1485" t="s">
        <v>635</v>
      </c>
      <c r="G244" s="1536"/>
      <c r="H244" s="1485" t="s">
        <v>635</v>
      </c>
      <c r="I244" s="1536"/>
      <c r="J244" s="1487" t="s">
        <v>635</v>
      </c>
      <c r="K244" s="1542"/>
      <c r="L244" s="1489" t="s">
        <v>635</v>
      </c>
      <c r="M244" s="1533"/>
      <c r="N244" s="1491" t="s">
        <v>635</v>
      </c>
      <c r="O244" s="1491" t="s">
        <v>635</v>
      </c>
      <c r="P244" s="1544"/>
      <c r="Q244" s="1493" t="s">
        <v>635</v>
      </c>
      <c r="R244" s="1494"/>
      <c r="S244" s="1493" t="s">
        <v>635</v>
      </c>
      <c r="T244" s="1494"/>
      <c r="U244" s="1493" t="s">
        <v>635</v>
      </c>
      <c r="V244" s="1481"/>
      <c r="W244" s="1496" t="s">
        <v>635</v>
      </c>
      <c r="X244" s="1537"/>
      <c r="Y244" s="1498" t="s">
        <v>635</v>
      </c>
      <c r="Z244" s="1498" t="s">
        <v>635</v>
      </c>
      <c r="AA244" s="1498" t="s">
        <v>635</v>
      </c>
      <c r="AB244" s="1498" t="s">
        <v>635</v>
      </c>
      <c r="AC244" s="1547"/>
      <c r="AD244" s="1500" t="s">
        <v>635</v>
      </c>
      <c r="AE244" s="1501"/>
      <c r="AF244" s="1502">
        <v>2.9999999999999997E-4</v>
      </c>
      <c r="AG244" s="1503" t="s">
        <v>1900</v>
      </c>
      <c r="AH244" s="1502" t="s">
        <v>635</v>
      </c>
      <c r="AI244" s="1501"/>
      <c r="AJ244" s="1502">
        <v>5.0000000000000001E-3</v>
      </c>
      <c r="AK244" s="1503" t="s">
        <v>1119</v>
      </c>
      <c r="AL244" s="1501"/>
      <c r="AM244" s="1501"/>
      <c r="AN244" s="1504">
        <v>1</v>
      </c>
      <c r="AO244" s="1505">
        <v>0.1</v>
      </c>
      <c r="AP244" s="1506" t="s">
        <v>635</v>
      </c>
    </row>
    <row r="245" spans="1:42" ht="30">
      <c r="A245" s="1481" t="s">
        <v>2323</v>
      </c>
      <c r="B245" s="1482" t="s">
        <v>2324</v>
      </c>
      <c r="C245" s="1483">
        <v>105.14</v>
      </c>
      <c r="D245" s="1484" t="s">
        <v>1883</v>
      </c>
      <c r="E245" s="1485">
        <v>1.5821749795600001E-9</v>
      </c>
      <c r="F245" s="1485">
        <v>3.8699999999999999E-11</v>
      </c>
      <c r="G245" s="1486" t="s">
        <v>1199</v>
      </c>
      <c r="H245" s="1485">
        <v>2.7999999999999998E-4</v>
      </c>
      <c r="I245" s="1486" t="s">
        <v>1883</v>
      </c>
      <c r="J245" s="1487">
        <v>28</v>
      </c>
      <c r="K245" s="1488" t="s">
        <v>1883</v>
      </c>
      <c r="L245" s="1489">
        <v>1.0966</v>
      </c>
      <c r="M245" s="1490" t="s">
        <v>1884</v>
      </c>
      <c r="N245" s="1491">
        <v>7.6805406275900004E-2</v>
      </c>
      <c r="O245" s="1491">
        <v>9.8229047510200005E-6</v>
      </c>
      <c r="P245" s="1492" t="s">
        <v>1885</v>
      </c>
      <c r="Q245" s="1493" t="s">
        <v>635</v>
      </c>
      <c r="R245" s="1494"/>
      <c r="S245" s="1493">
        <v>1</v>
      </c>
      <c r="T245" s="1493" t="s">
        <v>1199</v>
      </c>
      <c r="U245" s="1493">
        <v>-1.43</v>
      </c>
      <c r="V245" s="1495" t="s">
        <v>1883</v>
      </c>
      <c r="W245" s="1496">
        <v>1000000</v>
      </c>
      <c r="X245" s="1497" t="s">
        <v>1883</v>
      </c>
      <c r="Y245" s="1498">
        <v>1.7786364175999999E-4</v>
      </c>
      <c r="Z245" s="1498">
        <v>0.40797424709576002</v>
      </c>
      <c r="AA245" s="1498">
        <v>0.97913819302981997</v>
      </c>
      <c r="AB245" s="1498">
        <v>4.5099999999999998E-5</v>
      </c>
      <c r="AC245" s="1499" t="s">
        <v>1199</v>
      </c>
      <c r="AD245" s="1500" t="s">
        <v>635</v>
      </c>
      <c r="AE245" s="1501"/>
      <c r="AF245" s="1502" t="s">
        <v>635</v>
      </c>
      <c r="AG245" s="1501"/>
      <c r="AH245" s="1502">
        <v>2E-3</v>
      </c>
      <c r="AI245" s="1503" t="s">
        <v>1909</v>
      </c>
      <c r="AJ245" s="1502">
        <v>2.0000000000000001E-4</v>
      </c>
      <c r="AK245" s="1503" t="s">
        <v>1909</v>
      </c>
      <c r="AL245" s="1501"/>
      <c r="AM245" s="1501"/>
      <c r="AN245" s="1504">
        <v>1</v>
      </c>
      <c r="AO245" s="1505">
        <v>0.1</v>
      </c>
      <c r="AP245" s="1506" t="s">
        <v>635</v>
      </c>
    </row>
    <row r="246" spans="1:42" ht="30">
      <c r="A246" s="1507" t="s">
        <v>2325</v>
      </c>
      <c r="B246" s="1508" t="s">
        <v>2326</v>
      </c>
      <c r="C246" s="1509">
        <v>162.22999999999999</v>
      </c>
      <c r="D246" s="1510" t="s">
        <v>1883</v>
      </c>
      <c r="E246" s="1511">
        <v>2.94358135732E-7</v>
      </c>
      <c r="F246" s="1511">
        <v>7.2E-9</v>
      </c>
      <c r="G246" s="1512" t="s">
        <v>1883</v>
      </c>
      <c r="H246" s="1511">
        <v>2.1899999999999999E-2</v>
      </c>
      <c r="I246" s="1512" t="s">
        <v>1883</v>
      </c>
      <c r="J246" s="1513">
        <v>-68</v>
      </c>
      <c r="K246" s="1514" t="s">
        <v>1883</v>
      </c>
      <c r="L246" s="1515">
        <v>0.95530000000000004</v>
      </c>
      <c r="M246" s="1516" t="s">
        <v>1884</v>
      </c>
      <c r="N246" s="1517">
        <v>4.143836891983E-2</v>
      </c>
      <c r="O246" s="1517">
        <v>6.9707087478100003E-6</v>
      </c>
      <c r="P246" s="1518" t="s">
        <v>1885</v>
      </c>
      <c r="Q246" s="1519" t="s">
        <v>635</v>
      </c>
      <c r="R246" s="1520"/>
      <c r="S246" s="1519">
        <v>10</v>
      </c>
      <c r="T246" s="1519" t="s">
        <v>1199</v>
      </c>
      <c r="U246" s="1519">
        <v>0.56000000000000005</v>
      </c>
      <c r="V246" s="1521" t="s">
        <v>1883</v>
      </c>
      <c r="W246" s="1522">
        <v>1000000</v>
      </c>
      <c r="X246" s="1523" t="s">
        <v>1883</v>
      </c>
      <c r="Y246" s="1524">
        <v>2.22406814074E-3</v>
      </c>
      <c r="Z246" s="1524">
        <v>0.85179826201471998</v>
      </c>
      <c r="AA246" s="1524">
        <v>2.0443158288353298</v>
      </c>
      <c r="AB246" s="1524">
        <v>4.5399999999999998E-4</v>
      </c>
      <c r="AC246" s="1525" t="s">
        <v>1199</v>
      </c>
      <c r="AD246" s="1526" t="s">
        <v>635</v>
      </c>
      <c r="AE246" s="1527"/>
      <c r="AF246" s="1528" t="s">
        <v>635</v>
      </c>
      <c r="AG246" s="1527"/>
      <c r="AH246" s="1528">
        <v>0.03</v>
      </c>
      <c r="AI246" s="1529" t="s">
        <v>1909</v>
      </c>
      <c r="AJ246" s="1528">
        <v>1E-4</v>
      </c>
      <c r="AK246" s="1529" t="s">
        <v>1909</v>
      </c>
      <c r="AL246" s="1527"/>
      <c r="AM246" s="1527"/>
      <c r="AN246" s="1530">
        <v>1</v>
      </c>
      <c r="AO246" s="1531">
        <v>0.1</v>
      </c>
      <c r="AP246" s="1532" t="s">
        <v>635</v>
      </c>
    </row>
    <row r="247" spans="1:42" ht="30">
      <c r="A247" s="1481" t="s">
        <v>2327</v>
      </c>
      <c r="B247" s="1482" t="s">
        <v>2328</v>
      </c>
      <c r="C247" s="1483">
        <v>134.18</v>
      </c>
      <c r="D247" s="1484" t="s">
        <v>1883</v>
      </c>
      <c r="E247" s="1485">
        <v>9.1169255927999997E-7</v>
      </c>
      <c r="F247" s="1485">
        <v>2.2300000000000001E-8</v>
      </c>
      <c r="G247" s="1486" t="s">
        <v>1199</v>
      </c>
      <c r="H247" s="1485">
        <v>0.126</v>
      </c>
      <c r="I247" s="1486" t="s">
        <v>1883</v>
      </c>
      <c r="J247" s="1487">
        <v>-76</v>
      </c>
      <c r="K247" s="1488" t="s">
        <v>1883</v>
      </c>
      <c r="L247" s="1489">
        <v>0.98850000000000005</v>
      </c>
      <c r="M247" s="1490" t="s">
        <v>1884</v>
      </c>
      <c r="N247" s="1491">
        <v>5.6240455148610001E-2</v>
      </c>
      <c r="O247" s="1491">
        <v>7.9734284832199997E-6</v>
      </c>
      <c r="P247" s="1492" t="s">
        <v>1885</v>
      </c>
      <c r="Q247" s="1493" t="s">
        <v>635</v>
      </c>
      <c r="R247" s="1494"/>
      <c r="S247" s="1493">
        <v>1</v>
      </c>
      <c r="T247" s="1493" t="s">
        <v>1199</v>
      </c>
      <c r="U247" s="1493">
        <v>-0.54</v>
      </c>
      <c r="V247" s="1495" t="s">
        <v>1883</v>
      </c>
      <c r="W247" s="1496">
        <v>1000000</v>
      </c>
      <c r="X247" s="1497" t="s">
        <v>1883</v>
      </c>
      <c r="Y247" s="1498">
        <v>5.3908334701999996E-4</v>
      </c>
      <c r="Z247" s="1498">
        <v>0.59327595845651004</v>
      </c>
      <c r="AA247" s="1498">
        <v>1.4238623002956201</v>
      </c>
      <c r="AB247" s="1498">
        <v>1.21E-4</v>
      </c>
      <c r="AC247" s="1499" t="s">
        <v>1199</v>
      </c>
      <c r="AD247" s="1500" t="s">
        <v>635</v>
      </c>
      <c r="AE247" s="1501"/>
      <c r="AF247" s="1502" t="s">
        <v>635</v>
      </c>
      <c r="AG247" s="1501"/>
      <c r="AH247" s="1502">
        <v>0.06</v>
      </c>
      <c r="AI247" s="1503" t="s">
        <v>1909</v>
      </c>
      <c r="AJ247" s="1502">
        <v>2.9999999999999997E-4</v>
      </c>
      <c r="AK247" s="1503" t="s">
        <v>1909</v>
      </c>
      <c r="AL247" s="1501"/>
      <c r="AM247" s="1501"/>
      <c r="AN247" s="1504">
        <v>1</v>
      </c>
      <c r="AO247" s="1505">
        <v>0.1</v>
      </c>
      <c r="AP247" s="1506" t="s">
        <v>635</v>
      </c>
    </row>
    <row r="248" spans="1:42" ht="30">
      <c r="A248" s="1481" t="s">
        <v>2329</v>
      </c>
      <c r="B248" s="1482" t="s">
        <v>2330</v>
      </c>
      <c r="C248" s="1483">
        <v>101.15</v>
      </c>
      <c r="D248" s="1484" t="s">
        <v>1883</v>
      </c>
      <c r="E248" s="1485">
        <v>5.3147996729399999E-6</v>
      </c>
      <c r="F248" s="1485">
        <v>1.3E-7</v>
      </c>
      <c r="G248" s="1486" t="s">
        <v>1883</v>
      </c>
      <c r="H248" s="1485">
        <v>1.21</v>
      </c>
      <c r="I248" s="1486" t="s">
        <v>1199</v>
      </c>
      <c r="J248" s="1487">
        <v>-7.6</v>
      </c>
      <c r="K248" s="1488" t="s">
        <v>1199</v>
      </c>
      <c r="L248" s="1489">
        <v>0.90800000000000003</v>
      </c>
      <c r="M248" s="1490" t="s">
        <v>1884</v>
      </c>
      <c r="N248" s="1491">
        <v>7.330096118354E-2</v>
      </c>
      <c r="O248" s="1491">
        <v>8.9772588626199998E-6</v>
      </c>
      <c r="P248" s="1492" t="s">
        <v>1885</v>
      </c>
      <c r="Q248" s="1493" t="s">
        <v>635</v>
      </c>
      <c r="R248" s="1494"/>
      <c r="S248" s="1493">
        <v>2.06</v>
      </c>
      <c r="T248" s="1493" t="s">
        <v>1199</v>
      </c>
      <c r="U248" s="1493">
        <v>0.05</v>
      </c>
      <c r="V248" s="1495" t="s">
        <v>1883</v>
      </c>
      <c r="W248" s="1496">
        <v>1000000</v>
      </c>
      <c r="X248" s="1497" t="s">
        <v>1883</v>
      </c>
      <c r="Y248" s="1498">
        <v>1.7677701474999999E-3</v>
      </c>
      <c r="Z248" s="1498">
        <v>0.38751520674286999</v>
      </c>
      <c r="AA248" s="1498">
        <v>0.93003649618288997</v>
      </c>
      <c r="AB248" s="1498">
        <v>4.57E-4</v>
      </c>
      <c r="AC248" s="1499" t="s">
        <v>1199</v>
      </c>
      <c r="AD248" s="1500" t="s">
        <v>635</v>
      </c>
      <c r="AE248" s="1501"/>
      <c r="AF248" s="1502" t="s">
        <v>635</v>
      </c>
      <c r="AG248" s="1501"/>
      <c r="AH248" s="1502">
        <v>1E-3</v>
      </c>
      <c r="AI248" s="1503" t="s">
        <v>1909</v>
      </c>
      <c r="AJ248" s="1502" t="s">
        <v>635</v>
      </c>
      <c r="AK248" s="1501"/>
      <c r="AL248" s="1503" t="s">
        <v>1127</v>
      </c>
      <c r="AM248" s="1501"/>
      <c r="AN248" s="1504">
        <v>1</v>
      </c>
      <c r="AO248" s="1504" t="s">
        <v>635</v>
      </c>
      <c r="AP248" s="1506">
        <v>112000</v>
      </c>
    </row>
    <row r="249" spans="1:42" ht="30">
      <c r="A249" s="1507" t="s">
        <v>2331</v>
      </c>
      <c r="B249" s="1508" t="s">
        <v>2332</v>
      </c>
      <c r="C249" s="1509">
        <v>268.36</v>
      </c>
      <c r="D249" s="1510" t="s">
        <v>1883</v>
      </c>
      <c r="E249" s="1511">
        <v>2.3712183156000002E-10</v>
      </c>
      <c r="F249" s="1511">
        <v>5.8000000000000003E-12</v>
      </c>
      <c r="G249" s="1512" t="s">
        <v>1883</v>
      </c>
      <c r="H249" s="1511">
        <v>1.4100000000000001E-8</v>
      </c>
      <c r="I249" s="1512" t="s">
        <v>1883</v>
      </c>
      <c r="J249" s="1513">
        <v>170.5</v>
      </c>
      <c r="K249" s="1514" t="s">
        <v>1883</v>
      </c>
      <c r="L249" s="1515" t="s">
        <v>635</v>
      </c>
      <c r="M249" s="1538"/>
      <c r="N249" s="1517">
        <v>4.5667623524180002E-2</v>
      </c>
      <c r="O249" s="1517">
        <v>5.33590127493E-6</v>
      </c>
      <c r="P249" s="1518" t="s">
        <v>1885</v>
      </c>
      <c r="Q249" s="1519" t="s">
        <v>635</v>
      </c>
      <c r="R249" s="1520"/>
      <c r="S249" s="1519">
        <v>274100</v>
      </c>
      <c r="T249" s="1519" t="s">
        <v>1199</v>
      </c>
      <c r="U249" s="1519">
        <v>5.07</v>
      </c>
      <c r="V249" s="1521" t="s">
        <v>1883</v>
      </c>
      <c r="W249" s="1522">
        <v>12</v>
      </c>
      <c r="X249" s="1523" t="s">
        <v>1883</v>
      </c>
      <c r="Y249" s="1524">
        <v>0.71827441147343996</v>
      </c>
      <c r="Z249" s="1524">
        <v>3.34706964863806</v>
      </c>
      <c r="AA249" s="1524">
        <v>12.965617150014999</v>
      </c>
      <c r="AB249" s="1524">
        <v>0.114</v>
      </c>
      <c r="AC249" s="1525" t="s">
        <v>1199</v>
      </c>
      <c r="AD249" s="1526">
        <v>350</v>
      </c>
      <c r="AE249" s="1529" t="s">
        <v>1900</v>
      </c>
      <c r="AF249" s="1528">
        <v>0.1</v>
      </c>
      <c r="AG249" s="1529" t="s">
        <v>1900</v>
      </c>
      <c r="AH249" s="1528" t="s">
        <v>635</v>
      </c>
      <c r="AI249" s="1527"/>
      <c r="AJ249" s="1528" t="s">
        <v>635</v>
      </c>
      <c r="AK249" s="1527"/>
      <c r="AL249" s="1527"/>
      <c r="AM249" s="1527"/>
      <c r="AN249" s="1530">
        <v>1</v>
      </c>
      <c r="AO249" s="1531">
        <v>0.1</v>
      </c>
      <c r="AP249" s="1532" t="s">
        <v>635</v>
      </c>
    </row>
    <row r="250" spans="1:42" ht="30">
      <c r="A250" s="1481" t="s">
        <v>2333</v>
      </c>
      <c r="B250" s="1482" t="s">
        <v>2334</v>
      </c>
      <c r="C250" s="1483">
        <v>360.44</v>
      </c>
      <c r="D250" s="1484" t="s">
        <v>1883</v>
      </c>
      <c r="E250" s="1485" t="s">
        <v>635</v>
      </c>
      <c r="F250" s="1485" t="s">
        <v>635</v>
      </c>
      <c r="G250" s="1536"/>
      <c r="H250" s="1485">
        <v>4.0899999999999997E-12</v>
      </c>
      <c r="I250" s="1486" t="s">
        <v>1883</v>
      </c>
      <c r="J250" s="1487">
        <v>157</v>
      </c>
      <c r="K250" s="1488" t="s">
        <v>1883</v>
      </c>
      <c r="L250" s="1489" t="s">
        <v>635</v>
      </c>
      <c r="M250" s="1533"/>
      <c r="N250" s="1491">
        <v>3.751442379574E-2</v>
      </c>
      <c r="O250" s="1491">
        <v>4.3832642540300004E-6</v>
      </c>
      <c r="P250" s="1492" t="s">
        <v>1885</v>
      </c>
      <c r="Q250" s="1493" t="s">
        <v>635</v>
      </c>
      <c r="R250" s="1494"/>
      <c r="S250" s="1493">
        <v>78380</v>
      </c>
      <c r="T250" s="1493" t="s">
        <v>1199</v>
      </c>
      <c r="U250" s="1493">
        <v>0.65</v>
      </c>
      <c r="V250" s="1495" t="s">
        <v>1883</v>
      </c>
      <c r="W250" s="1496">
        <v>817000</v>
      </c>
      <c r="X250" s="1497" t="s">
        <v>1883</v>
      </c>
      <c r="Y250" s="1498">
        <v>2.9354128809000002E-4</v>
      </c>
      <c r="Z250" s="1498">
        <v>10.9726809022241</v>
      </c>
      <c r="AA250" s="1498">
        <v>26.3344341653379</v>
      </c>
      <c r="AB250" s="1498">
        <v>4.0200000000000001E-5</v>
      </c>
      <c r="AC250" s="1499" t="s">
        <v>1199</v>
      </c>
      <c r="AD250" s="1500" t="s">
        <v>635</v>
      </c>
      <c r="AE250" s="1501"/>
      <c r="AF250" s="1502" t="s">
        <v>635</v>
      </c>
      <c r="AG250" s="1501"/>
      <c r="AH250" s="1502">
        <v>8.3000000000000004E-2</v>
      </c>
      <c r="AI250" s="1503" t="s">
        <v>1116</v>
      </c>
      <c r="AJ250" s="1502" t="s">
        <v>635</v>
      </c>
      <c r="AK250" s="1501"/>
      <c r="AL250" s="1501"/>
      <c r="AM250" s="1501"/>
      <c r="AN250" s="1504">
        <v>1</v>
      </c>
      <c r="AO250" s="1505">
        <v>0.1</v>
      </c>
      <c r="AP250" s="1506" t="s">
        <v>635</v>
      </c>
    </row>
    <row r="251" spans="1:42" ht="30">
      <c r="A251" s="1481" t="s">
        <v>2335</v>
      </c>
      <c r="B251" s="1482" t="s">
        <v>2336</v>
      </c>
      <c r="C251" s="1483">
        <v>310.69</v>
      </c>
      <c r="D251" s="1484" t="s">
        <v>1883</v>
      </c>
      <c r="E251" s="1485">
        <v>1.8806214227300001E-7</v>
      </c>
      <c r="F251" s="1485">
        <v>4.5999999999999998E-9</v>
      </c>
      <c r="G251" s="1486" t="s">
        <v>1199</v>
      </c>
      <c r="H251" s="1485">
        <v>8.9999999999999999E-10</v>
      </c>
      <c r="I251" s="1486" t="s">
        <v>1883</v>
      </c>
      <c r="J251" s="1487">
        <v>239</v>
      </c>
      <c r="K251" s="1488" t="s">
        <v>1883</v>
      </c>
      <c r="L251" s="1489" t="s">
        <v>635</v>
      </c>
      <c r="M251" s="1533"/>
      <c r="N251" s="1491">
        <v>4.1419236036890003E-2</v>
      </c>
      <c r="O251" s="1491">
        <v>4.8395107369399999E-6</v>
      </c>
      <c r="P251" s="1492" t="s">
        <v>1885</v>
      </c>
      <c r="Q251" s="1493" t="s">
        <v>635</v>
      </c>
      <c r="R251" s="1494"/>
      <c r="S251" s="1493">
        <v>463.2</v>
      </c>
      <c r="T251" s="1493" t="s">
        <v>1199</v>
      </c>
      <c r="U251" s="1493">
        <v>3.88</v>
      </c>
      <c r="V251" s="1495" t="s">
        <v>1883</v>
      </c>
      <c r="W251" s="1496">
        <v>0.08</v>
      </c>
      <c r="X251" s="1497" t="s">
        <v>1883</v>
      </c>
      <c r="Y251" s="1498">
        <v>7.2539418074289999E-2</v>
      </c>
      <c r="Z251" s="1498">
        <v>5.7771381043654699</v>
      </c>
      <c r="AA251" s="1498">
        <v>13.865131450477101</v>
      </c>
      <c r="AB251" s="1498">
        <v>1.0699999999999999E-2</v>
      </c>
      <c r="AC251" s="1499" t="s">
        <v>1199</v>
      </c>
      <c r="AD251" s="1500" t="s">
        <v>635</v>
      </c>
      <c r="AE251" s="1501"/>
      <c r="AF251" s="1502" t="s">
        <v>635</v>
      </c>
      <c r="AG251" s="1501"/>
      <c r="AH251" s="1502">
        <v>0.02</v>
      </c>
      <c r="AI251" s="1503" t="s">
        <v>1119</v>
      </c>
      <c r="AJ251" s="1502" t="s">
        <v>635</v>
      </c>
      <c r="AK251" s="1501"/>
      <c r="AL251" s="1501"/>
      <c r="AM251" s="1501"/>
      <c r="AN251" s="1504">
        <v>1</v>
      </c>
      <c r="AO251" s="1505">
        <v>0.1</v>
      </c>
      <c r="AP251" s="1506" t="s">
        <v>635</v>
      </c>
    </row>
    <row r="252" spans="1:42" ht="30">
      <c r="A252" s="1507" t="s">
        <v>2337</v>
      </c>
      <c r="B252" s="1508" t="s">
        <v>2338</v>
      </c>
      <c r="C252" s="1509">
        <v>66.051000000000002</v>
      </c>
      <c r="D252" s="1510" t="s">
        <v>1883</v>
      </c>
      <c r="E252" s="1511">
        <v>0.82992641046606996</v>
      </c>
      <c r="F252" s="1511">
        <v>2.0299999999999999E-2</v>
      </c>
      <c r="G252" s="1512" t="s">
        <v>1883</v>
      </c>
      <c r="H252" s="1511">
        <v>4550</v>
      </c>
      <c r="I252" s="1512" t="s">
        <v>1883</v>
      </c>
      <c r="J252" s="1513">
        <v>-117</v>
      </c>
      <c r="K252" s="1514" t="s">
        <v>1883</v>
      </c>
      <c r="L252" s="1515">
        <v>0.89600000000000002</v>
      </c>
      <c r="M252" s="1516" t="s">
        <v>1884</v>
      </c>
      <c r="N252" s="1517">
        <v>0.10231447051697</v>
      </c>
      <c r="O252" s="1517">
        <v>1.1500823520000001E-5</v>
      </c>
      <c r="P252" s="1518" t="s">
        <v>1885</v>
      </c>
      <c r="Q252" s="1519" t="s">
        <v>635</v>
      </c>
      <c r="R252" s="1520"/>
      <c r="S252" s="1519">
        <v>31.82</v>
      </c>
      <c r="T252" s="1519" t="s">
        <v>1199</v>
      </c>
      <c r="U252" s="1519">
        <v>0.75</v>
      </c>
      <c r="V252" s="1521" t="s">
        <v>1883</v>
      </c>
      <c r="W252" s="1522">
        <v>3200</v>
      </c>
      <c r="X252" s="1523" t="s">
        <v>1883</v>
      </c>
      <c r="Y252" s="1524">
        <v>6.56425804854E-3</v>
      </c>
      <c r="Z252" s="1524">
        <v>0.24645313650952</v>
      </c>
      <c r="AA252" s="1524">
        <v>0.59148752762283996</v>
      </c>
      <c r="AB252" s="1524">
        <v>2.0999999999999999E-3</v>
      </c>
      <c r="AC252" s="1525" t="s">
        <v>1199</v>
      </c>
      <c r="AD252" s="1526" t="s">
        <v>635</v>
      </c>
      <c r="AE252" s="1527"/>
      <c r="AF252" s="1528" t="s">
        <v>635</v>
      </c>
      <c r="AG252" s="1527"/>
      <c r="AH252" s="1528" t="s">
        <v>635</v>
      </c>
      <c r="AI252" s="1527"/>
      <c r="AJ252" s="1528">
        <v>40</v>
      </c>
      <c r="AK252" s="1529" t="s">
        <v>1119</v>
      </c>
      <c r="AL252" s="1529" t="s">
        <v>1127</v>
      </c>
      <c r="AM252" s="1527"/>
      <c r="AN252" s="1530">
        <v>1</v>
      </c>
      <c r="AO252" s="1530" t="s">
        <v>635</v>
      </c>
      <c r="AP252" s="1532">
        <v>1430</v>
      </c>
    </row>
    <row r="253" spans="1:42" ht="30">
      <c r="A253" s="1481" t="s">
        <v>2339</v>
      </c>
      <c r="B253" s="1482" t="s">
        <v>2340</v>
      </c>
      <c r="C253" s="1483">
        <v>80.078000000000003</v>
      </c>
      <c r="D253" s="1484" t="s">
        <v>1883</v>
      </c>
      <c r="E253" s="1485">
        <v>21.013900245298402</v>
      </c>
      <c r="F253" s="1485">
        <v>0.51400000000000001</v>
      </c>
      <c r="G253" s="1486" t="s">
        <v>1883</v>
      </c>
      <c r="H253" s="1485">
        <v>1800</v>
      </c>
      <c r="I253" s="1486" t="s">
        <v>1883</v>
      </c>
      <c r="J253" s="1487">
        <v>-104.8</v>
      </c>
      <c r="K253" s="1488" t="s">
        <v>1883</v>
      </c>
      <c r="L253" s="1489">
        <v>0.92049999999999998</v>
      </c>
      <c r="M253" s="1490" t="s">
        <v>1884</v>
      </c>
      <c r="N253" s="1491">
        <v>8.9702399401100003E-2</v>
      </c>
      <c r="O253" s="1491">
        <v>1.04130539E-5</v>
      </c>
      <c r="P253" s="1492" t="s">
        <v>1885</v>
      </c>
      <c r="Q253" s="1493" t="s">
        <v>635</v>
      </c>
      <c r="R253" s="1494"/>
      <c r="S253" s="1493">
        <v>43.89</v>
      </c>
      <c r="T253" s="1493" t="s">
        <v>1199</v>
      </c>
      <c r="U253" s="1493">
        <v>2.29</v>
      </c>
      <c r="V253" s="1495" t="s">
        <v>1883</v>
      </c>
      <c r="W253" s="1496">
        <v>159.19999999999999</v>
      </c>
      <c r="X253" s="1497" t="s">
        <v>1883</v>
      </c>
      <c r="Y253" s="1498">
        <v>6.3672952628649998E-2</v>
      </c>
      <c r="Z253" s="1498">
        <v>0.29531502915483998</v>
      </c>
      <c r="AA253" s="1498">
        <v>0.70875606997161</v>
      </c>
      <c r="AB253" s="1498">
        <v>1.8499999999999999E-2</v>
      </c>
      <c r="AC253" s="1499" t="s">
        <v>1199</v>
      </c>
      <c r="AD253" s="1500" t="s">
        <v>635</v>
      </c>
      <c r="AE253" s="1501"/>
      <c r="AF253" s="1502" t="s">
        <v>635</v>
      </c>
      <c r="AG253" s="1501"/>
      <c r="AH253" s="1502" t="s">
        <v>635</v>
      </c>
      <c r="AI253" s="1501"/>
      <c r="AJ253" s="1502">
        <v>30</v>
      </c>
      <c r="AK253" s="1503" t="s">
        <v>1893</v>
      </c>
      <c r="AL253" s="1503" t="s">
        <v>1127</v>
      </c>
      <c r="AM253" s="1501"/>
      <c r="AN253" s="1504">
        <v>1</v>
      </c>
      <c r="AO253" s="1504" t="s">
        <v>635</v>
      </c>
      <c r="AP253" s="1506">
        <v>691</v>
      </c>
    </row>
    <row r="254" spans="1:42" ht="30">
      <c r="A254" s="1481" t="s">
        <v>2341</v>
      </c>
      <c r="B254" s="1482" t="s">
        <v>2342</v>
      </c>
      <c r="C254" s="1483">
        <v>164.21</v>
      </c>
      <c r="D254" s="1484" t="s">
        <v>1883</v>
      </c>
      <c r="E254" s="1485">
        <v>4.9877350776999997E-4</v>
      </c>
      <c r="F254" s="1485">
        <v>1.22E-5</v>
      </c>
      <c r="G254" s="1486" t="s">
        <v>1883</v>
      </c>
      <c r="H254" s="1485">
        <v>5.6000000000000001E-2</v>
      </c>
      <c r="I254" s="1486" t="s">
        <v>1883</v>
      </c>
      <c r="J254" s="1487">
        <v>43.51</v>
      </c>
      <c r="K254" s="1488" t="s">
        <v>1199</v>
      </c>
      <c r="L254" s="1489">
        <v>1.0649999999999999</v>
      </c>
      <c r="M254" s="1490" t="s">
        <v>1890</v>
      </c>
      <c r="N254" s="1491">
        <v>4.2585836329720003E-2</v>
      </c>
      <c r="O254" s="1491">
        <v>7.3865522728E-6</v>
      </c>
      <c r="P254" s="1492" t="s">
        <v>1885</v>
      </c>
      <c r="Q254" s="1493" t="s">
        <v>635</v>
      </c>
      <c r="R254" s="1494"/>
      <c r="S254" s="1493">
        <v>207.2</v>
      </c>
      <c r="T254" s="1493" t="s">
        <v>1199</v>
      </c>
      <c r="U254" s="1493">
        <v>3.58</v>
      </c>
      <c r="V254" s="1495" t="s">
        <v>1883</v>
      </c>
      <c r="W254" s="1496">
        <v>56.87</v>
      </c>
      <c r="X254" s="1497" t="s">
        <v>1883</v>
      </c>
      <c r="Y254" s="1498">
        <v>0.22277419724596001</v>
      </c>
      <c r="Z254" s="1498">
        <v>0.87382557135613004</v>
      </c>
      <c r="AA254" s="1498">
        <v>2.0971813712546998</v>
      </c>
      <c r="AB254" s="1498">
        <v>4.5199999999999997E-2</v>
      </c>
      <c r="AC254" s="1499" t="s">
        <v>1199</v>
      </c>
      <c r="AD254" s="1500">
        <v>4.3999999999999997E-2</v>
      </c>
      <c r="AE254" s="1503" t="s">
        <v>1900</v>
      </c>
      <c r="AF254" s="1502">
        <v>1.2999999999999999E-5</v>
      </c>
      <c r="AG254" s="1503" t="s">
        <v>1900</v>
      </c>
      <c r="AH254" s="1502" t="s">
        <v>635</v>
      </c>
      <c r="AI254" s="1501"/>
      <c r="AJ254" s="1502" t="s">
        <v>635</v>
      </c>
      <c r="AK254" s="1501"/>
      <c r="AL254" s="1503" t="s">
        <v>1127</v>
      </c>
      <c r="AM254" s="1501"/>
      <c r="AN254" s="1504">
        <v>1</v>
      </c>
      <c r="AO254" s="1504" t="s">
        <v>635</v>
      </c>
      <c r="AP254" s="1506" t="s">
        <v>635</v>
      </c>
    </row>
    <row r="255" spans="1:42" ht="30">
      <c r="A255" s="1507" t="s">
        <v>2343</v>
      </c>
      <c r="B255" s="1508" t="s">
        <v>2344</v>
      </c>
      <c r="C255" s="1509">
        <v>102.18</v>
      </c>
      <c r="D255" s="1510" t="s">
        <v>1883</v>
      </c>
      <c r="E255" s="1511">
        <v>0.10466067048242</v>
      </c>
      <c r="F255" s="1511">
        <v>2.5600000000000002E-3</v>
      </c>
      <c r="G255" s="1512" t="s">
        <v>1883</v>
      </c>
      <c r="H255" s="1511">
        <v>149</v>
      </c>
      <c r="I255" s="1512" t="s">
        <v>1883</v>
      </c>
      <c r="J255" s="1513">
        <v>-86.8</v>
      </c>
      <c r="K255" s="1514" t="s">
        <v>1883</v>
      </c>
      <c r="L255" s="1515">
        <v>0.71919999999999995</v>
      </c>
      <c r="M255" s="1516" t="s">
        <v>1884</v>
      </c>
      <c r="N255" s="1517">
        <v>6.5422642324779998E-2</v>
      </c>
      <c r="O255" s="1517">
        <v>7.7582190898500007E-6</v>
      </c>
      <c r="P255" s="1518" t="s">
        <v>1885</v>
      </c>
      <c r="Q255" s="1519" t="s">
        <v>635</v>
      </c>
      <c r="R255" s="1520"/>
      <c r="S255" s="1519">
        <v>22.79</v>
      </c>
      <c r="T255" s="1519" t="s">
        <v>1199</v>
      </c>
      <c r="U255" s="1519">
        <v>1.52</v>
      </c>
      <c r="V255" s="1521" t="s">
        <v>1883</v>
      </c>
      <c r="W255" s="1522">
        <v>8800</v>
      </c>
      <c r="X255" s="1523" t="s">
        <v>1883</v>
      </c>
      <c r="Y255" s="1524">
        <v>1.6640001849109999E-2</v>
      </c>
      <c r="Z255" s="1524">
        <v>0.39269624598786002</v>
      </c>
      <c r="AA255" s="1524">
        <v>0.94247099037086002</v>
      </c>
      <c r="AB255" s="1524">
        <v>4.28E-3</v>
      </c>
      <c r="AC255" s="1525" t="s">
        <v>1199</v>
      </c>
      <c r="AD255" s="1526" t="s">
        <v>635</v>
      </c>
      <c r="AE255" s="1527"/>
      <c r="AF255" s="1528" t="s">
        <v>635</v>
      </c>
      <c r="AG255" s="1527"/>
      <c r="AH255" s="1528" t="s">
        <v>635</v>
      </c>
      <c r="AI255" s="1527"/>
      <c r="AJ255" s="1528">
        <v>0.7</v>
      </c>
      <c r="AK255" s="1529" t="s">
        <v>1909</v>
      </c>
      <c r="AL255" s="1529" t="s">
        <v>1127</v>
      </c>
      <c r="AM255" s="1527"/>
      <c r="AN255" s="1530">
        <v>1</v>
      </c>
      <c r="AO255" s="1530" t="s">
        <v>635</v>
      </c>
      <c r="AP255" s="1532">
        <v>2260</v>
      </c>
    </row>
    <row r="256" spans="1:42" ht="30">
      <c r="A256" s="1481" t="s">
        <v>2345</v>
      </c>
      <c r="B256" s="1482" t="s">
        <v>2346</v>
      </c>
      <c r="C256" s="1483">
        <v>180.19</v>
      </c>
      <c r="D256" s="1484" t="s">
        <v>1883</v>
      </c>
      <c r="E256" s="1485">
        <v>1.7906786590400001E-3</v>
      </c>
      <c r="F256" s="1485">
        <v>4.3800000000000001E-5</v>
      </c>
      <c r="G256" s="1486" t="s">
        <v>1199</v>
      </c>
      <c r="H256" s="1485">
        <v>0.22800000000000001</v>
      </c>
      <c r="I256" s="1486" t="s">
        <v>1883</v>
      </c>
      <c r="J256" s="1487">
        <v>-23.8</v>
      </c>
      <c r="K256" s="1488" t="s">
        <v>1199</v>
      </c>
      <c r="L256" s="1489">
        <v>0.97599999999999998</v>
      </c>
      <c r="M256" s="1490" t="s">
        <v>2347</v>
      </c>
      <c r="N256" s="1491">
        <v>3.3527521609229997E-2</v>
      </c>
      <c r="O256" s="1491">
        <v>6.62984310542E-6</v>
      </c>
      <c r="P256" s="1492" t="s">
        <v>1885</v>
      </c>
      <c r="Q256" s="1493" t="s">
        <v>635</v>
      </c>
      <c r="R256" s="1494"/>
      <c r="S256" s="1493">
        <v>42.2</v>
      </c>
      <c r="T256" s="1493" t="s">
        <v>1199</v>
      </c>
      <c r="U256" s="1493">
        <v>1.03</v>
      </c>
      <c r="V256" s="1495" t="s">
        <v>1883</v>
      </c>
      <c r="W256" s="1496">
        <v>1500</v>
      </c>
      <c r="X256" s="1497" t="s">
        <v>1883</v>
      </c>
      <c r="Y256" s="1498">
        <v>3.81020512191E-3</v>
      </c>
      <c r="Z256" s="1498">
        <v>1.0737736680019601</v>
      </c>
      <c r="AA256" s="1498">
        <v>2.5770568032047101</v>
      </c>
      <c r="AB256" s="1498">
        <v>7.3800000000000005E-4</v>
      </c>
      <c r="AC256" s="1499" t="s">
        <v>1199</v>
      </c>
      <c r="AD256" s="1500" t="s">
        <v>635</v>
      </c>
      <c r="AE256" s="1501"/>
      <c r="AF256" s="1502" t="s">
        <v>635</v>
      </c>
      <c r="AG256" s="1501"/>
      <c r="AH256" s="1502">
        <v>0.08</v>
      </c>
      <c r="AI256" s="1503" t="s">
        <v>1119</v>
      </c>
      <c r="AJ256" s="1502" t="s">
        <v>635</v>
      </c>
      <c r="AK256" s="1501"/>
      <c r="AL256" s="1503" t="s">
        <v>1127</v>
      </c>
      <c r="AM256" s="1501"/>
      <c r="AN256" s="1504">
        <v>1</v>
      </c>
      <c r="AO256" s="1504" t="s">
        <v>635</v>
      </c>
      <c r="AP256" s="1506">
        <v>530</v>
      </c>
    </row>
    <row r="257" spans="1:42" ht="30">
      <c r="A257" s="1481" t="s">
        <v>2348</v>
      </c>
      <c r="B257" s="1482" t="s">
        <v>2349</v>
      </c>
      <c r="C257" s="1483">
        <v>210.27</v>
      </c>
      <c r="D257" s="1484" t="s">
        <v>1883</v>
      </c>
      <c r="E257" s="1485">
        <v>9.4031071136999999E-10</v>
      </c>
      <c r="F257" s="1485">
        <v>2.3000000000000001E-11</v>
      </c>
      <c r="G257" s="1486" t="s">
        <v>1199</v>
      </c>
      <c r="H257" s="1485">
        <v>3.8299999999999998E-7</v>
      </c>
      <c r="I257" s="1486" t="s">
        <v>1883</v>
      </c>
      <c r="J257" s="1487">
        <v>165</v>
      </c>
      <c r="K257" s="1488" t="s">
        <v>1883</v>
      </c>
      <c r="L257" s="1489" t="s">
        <v>635</v>
      </c>
      <c r="M257" s="1533"/>
      <c r="N257" s="1491">
        <v>5.3732295088010001E-2</v>
      </c>
      <c r="O257" s="1491">
        <v>6.2781944786999998E-6</v>
      </c>
      <c r="P257" s="1492" t="s">
        <v>1885</v>
      </c>
      <c r="Q257" s="1493" t="s">
        <v>635</v>
      </c>
      <c r="R257" s="1494"/>
      <c r="S257" s="1493">
        <v>10</v>
      </c>
      <c r="T257" s="1493" t="s">
        <v>1199</v>
      </c>
      <c r="U257" s="1493">
        <v>-0.17</v>
      </c>
      <c r="V257" s="1495" t="s">
        <v>1883</v>
      </c>
      <c r="W257" s="1496">
        <v>4600</v>
      </c>
      <c r="X257" s="1497" t="s">
        <v>1883</v>
      </c>
      <c r="Y257" s="1498">
        <v>4.4505962814000001E-4</v>
      </c>
      <c r="Z257" s="1498">
        <v>1.5825620592052201</v>
      </c>
      <c r="AA257" s="1498">
        <v>3.7981489420925301</v>
      </c>
      <c r="AB257" s="1498">
        <v>7.9800000000000002E-5</v>
      </c>
      <c r="AC257" s="1499" t="s">
        <v>1199</v>
      </c>
      <c r="AD257" s="1500" t="s">
        <v>635</v>
      </c>
      <c r="AE257" s="1501"/>
      <c r="AF257" s="1502" t="s">
        <v>635</v>
      </c>
      <c r="AG257" s="1501"/>
      <c r="AH257" s="1502">
        <v>2.18E-2</v>
      </c>
      <c r="AI257" s="1503" t="s">
        <v>1116</v>
      </c>
      <c r="AJ257" s="1502" t="s">
        <v>635</v>
      </c>
      <c r="AK257" s="1501"/>
      <c r="AL257" s="1501"/>
      <c r="AM257" s="1501"/>
      <c r="AN257" s="1504">
        <v>1</v>
      </c>
      <c r="AO257" s="1505">
        <v>0.1</v>
      </c>
      <c r="AP257" s="1506" t="s">
        <v>635</v>
      </c>
    </row>
    <row r="258" spans="1:42" ht="30">
      <c r="A258" s="1507" t="s">
        <v>2350</v>
      </c>
      <c r="B258" s="1508" t="s">
        <v>2351</v>
      </c>
      <c r="C258" s="1509">
        <v>229.26</v>
      </c>
      <c r="D258" s="1510" t="s">
        <v>1883</v>
      </c>
      <c r="E258" s="1511">
        <v>9.9345870809500007E-9</v>
      </c>
      <c r="F258" s="1511">
        <v>2.4299999999999999E-10</v>
      </c>
      <c r="G258" s="1512" t="s">
        <v>1199</v>
      </c>
      <c r="H258" s="1511">
        <v>1.8749999999999998E-5</v>
      </c>
      <c r="I258" s="1512" t="s">
        <v>1883</v>
      </c>
      <c r="J258" s="1513">
        <v>52</v>
      </c>
      <c r="K258" s="1514" t="s">
        <v>1883</v>
      </c>
      <c r="L258" s="1515">
        <v>1.2769999999999999</v>
      </c>
      <c r="M258" s="1516" t="s">
        <v>1884</v>
      </c>
      <c r="N258" s="1517">
        <v>2.6085182765359999E-2</v>
      </c>
      <c r="O258" s="1517">
        <v>6.7420091419399999E-6</v>
      </c>
      <c r="P258" s="1518" t="s">
        <v>1885</v>
      </c>
      <c r="Q258" s="1519" t="s">
        <v>635</v>
      </c>
      <c r="R258" s="1520"/>
      <c r="S258" s="1519">
        <v>12.77</v>
      </c>
      <c r="T258" s="1519" t="s">
        <v>1199</v>
      </c>
      <c r="U258" s="1519">
        <v>0.78</v>
      </c>
      <c r="V258" s="1521" t="s">
        <v>1883</v>
      </c>
      <c r="W258" s="1522">
        <v>23300</v>
      </c>
      <c r="X258" s="1523" t="s">
        <v>1883</v>
      </c>
      <c r="Y258" s="1524">
        <v>1.5548985459399999E-3</v>
      </c>
      <c r="Z258" s="1524">
        <v>2.0216443184705</v>
      </c>
      <c r="AA258" s="1524">
        <v>4.8519463643291996</v>
      </c>
      <c r="AB258" s="1524">
        <v>2.6699999999999998E-4</v>
      </c>
      <c r="AC258" s="1525" t="s">
        <v>1199</v>
      </c>
      <c r="AD258" s="1526" t="s">
        <v>635</v>
      </c>
      <c r="AE258" s="1527"/>
      <c r="AF258" s="1528" t="s">
        <v>635</v>
      </c>
      <c r="AG258" s="1527"/>
      <c r="AH258" s="1528">
        <v>2.2000000000000001E-3</v>
      </c>
      <c r="AI258" s="1529" t="s">
        <v>1116</v>
      </c>
      <c r="AJ258" s="1528" t="s">
        <v>635</v>
      </c>
      <c r="AK258" s="1527"/>
      <c r="AL258" s="1527"/>
      <c r="AM258" s="1527"/>
      <c r="AN258" s="1530">
        <v>1</v>
      </c>
      <c r="AO258" s="1531">
        <v>0.1</v>
      </c>
      <c r="AP258" s="1532" t="s">
        <v>635</v>
      </c>
    </row>
    <row r="259" spans="1:42" ht="30">
      <c r="A259" s="1481" t="s">
        <v>2352</v>
      </c>
      <c r="B259" s="1482" t="s">
        <v>2353</v>
      </c>
      <c r="C259" s="1483">
        <v>244.3</v>
      </c>
      <c r="D259" s="1484" t="s">
        <v>1883</v>
      </c>
      <c r="E259" s="1485">
        <v>1.9215044971400001E-9</v>
      </c>
      <c r="F259" s="1485">
        <v>4.6999999999999999E-11</v>
      </c>
      <c r="G259" s="1486" t="s">
        <v>1883</v>
      </c>
      <c r="H259" s="1485">
        <v>1.2499999999999999E-7</v>
      </c>
      <c r="I259" s="1486" t="s">
        <v>1883</v>
      </c>
      <c r="J259" s="1487">
        <v>137</v>
      </c>
      <c r="K259" s="1488" t="s">
        <v>1883</v>
      </c>
      <c r="L259" s="1489" t="s">
        <v>635</v>
      </c>
      <c r="M259" s="1533"/>
      <c r="N259" s="1491">
        <v>4.861884338078E-2</v>
      </c>
      <c r="O259" s="1491">
        <v>5.6807280160700001E-6</v>
      </c>
      <c r="P259" s="1492" t="s">
        <v>1885</v>
      </c>
      <c r="Q259" s="1493" t="s">
        <v>635</v>
      </c>
      <c r="R259" s="1494"/>
      <c r="S259" s="1493">
        <v>508.8</v>
      </c>
      <c r="T259" s="1493" t="s">
        <v>1199</v>
      </c>
      <c r="U259" s="1493">
        <v>1.81</v>
      </c>
      <c r="V259" s="1495" t="s">
        <v>1883</v>
      </c>
      <c r="W259" s="1496">
        <v>60</v>
      </c>
      <c r="X259" s="1497" t="s">
        <v>1883</v>
      </c>
      <c r="Y259" s="1498">
        <v>6.37227119924E-3</v>
      </c>
      <c r="Z259" s="1498">
        <v>2.4543062289987398</v>
      </c>
      <c r="AA259" s="1498">
        <v>5.8903349495969701</v>
      </c>
      <c r="AB259" s="1498">
        <v>1.06E-3</v>
      </c>
      <c r="AC259" s="1499" t="s">
        <v>1199</v>
      </c>
      <c r="AD259" s="1500">
        <v>1.6</v>
      </c>
      <c r="AE259" s="1503" t="s">
        <v>1909</v>
      </c>
      <c r="AF259" s="1502" t="s">
        <v>635</v>
      </c>
      <c r="AG259" s="1501"/>
      <c r="AH259" s="1502" t="s">
        <v>635</v>
      </c>
      <c r="AI259" s="1501"/>
      <c r="AJ259" s="1502" t="s">
        <v>635</v>
      </c>
      <c r="AK259" s="1501"/>
      <c r="AL259" s="1501"/>
      <c r="AM259" s="1503" t="s">
        <v>1906</v>
      </c>
      <c r="AN259" s="1504">
        <v>1</v>
      </c>
      <c r="AO259" s="1505">
        <v>0.1</v>
      </c>
      <c r="AP259" s="1506" t="s">
        <v>635</v>
      </c>
    </row>
    <row r="260" spans="1:42" ht="30">
      <c r="A260" s="1481" t="s">
        <v>2354</v>
      </c>
      <c r="B260" s="1482" t="s">
        <v>2355</v>
      </c>
      <c r="C260" s="1483">
        <v>62.134</v>
      </c>
      <c r="D260" s="1484" t="s">
        <v>1883</v>
      </c>
      <c r="E260" s="1485">
        <v>6.5821749795580003E-2</v>
      </c>
      <c r="F260" s="1485">
        <v>1.6100000000000001E-3</v>
      </c>
      <c r="G260" s="1486" t="s">
        <v>1883</v>
      </c>
      <c r="H260" s="1485">
        <v>502.35</v>
      </c>
      <c r="I260" s="1486" t="s">
        <v>1883</v>
      </c>
      <c r="J260" s="1487">
        <v>-98.3</v>
      </c>
      <c r="K260" s="1488" t="s">
        <v>1883</v>
      </c>
      <c r="L260" s="1489">
        <v>0.84830000000000005</v>
      </c>
      <c r="M260" s="1490" t="s">
        <v>1884</v>
      </c>
      <c r="N260" s="1491">
        <v>0.10441764911345</v>
      </c>
      <c r="O260" s="1491">
        <v>1.1545263889999999E-5</v>
      </c>
      <c r="P260" s="1492" t="s">
        <v>1885</v>
      </c>
      <c r="Q260" s="1493" t="s">
        <v>635</v>
      </c>
      <c r="R260" s="1494"/>
      <c r="S260" s="1493">
        <v>21.73</v>
      </c>
      <c r="T260" s="1493" t="s">
        <v>1199</v>
      </c>
      <c r="U260" s="1493">
        <v>0.92</v>
      </c>
      <c r="V260" s="1495" t="s">
        <v>1883</v>
      </c>
      <c r="W260" s="1496">
        <v>22030</v>
      </c>
      <c r="X260" s="1497" t="s">
        <v>1883</v>
      </c>
      <c r="Y260" s="1498">
        <v>8.6707635188599998E-3</v>
      </c>
      <c r="Z260" s="1498">
        <v>0.23431449185226999</v>
      </c>
      <c r="AA260" s="1498">
        <v>0.56235478044545995</v>
      </c>
      <c r="AB260" s="1498">
        <v>2.8600000000000001E-3</v>
      </c>
      <c r="AC260" s="1499" t="s">
        <v>1199</v>
      </c>
      <c r="AD260" s="1500" t="s">
        <v>635</v>
      </c>
      <c r="AE260" s="1501"/>
      <c r="AF260" s="1502" t="s">
        <v>635</v>
      </c>
      <c r="AG260" s="1501"/>
      <c r="AH260" s="1502">
        <v>0.02</v>
      </c>
      <c r="AI260" s="1503" t="s">
        <v>1893</v>
      </c>
      <c r="AJ260" s="1502">
        <v>2.0000000000000001E-4</v>
      </c>
      <c r="AK260" s="1503" t="s">
        <v>1893</v>
      </c>
      <c r="AL260" s="1503" t="s">
        <v>1127</v>
      </c>
      <c r="AM260" s="1501"/>
      <c r="AN260" s="1504">
        <v>1</v>
      </c>
      <c r="AO260" s="1504" t="s">
        <v>635</v>
      </c>
      <c r="AP260" s="1506">
        <v>5350</v>
      </c>
    </row>
    <row r="261" spans="1:42" ht="30">
      <c r="A261" s="1507" t="s">
        <v>2356</v>
      </c>
      <c r="B261" s="1508" t="s">
        <v>2357</v>
      </c>
      <c r="C261" s="1509">
        <v>124.08</v>
      </c>
      <c r="D261" s="1510" t="s">
        <v>1883</v>
      </c>
      <c r="E261" s="1511">
        <v>5.5600981193800001E-6</v>
      </c>
      <c r="F261" s="1511">
        <v>1.36E-7</v>
      </c>
      <c r="G261" s="1512" t="s">
        <v>1883</v>
      </c>
      <c r="H261" s="1511">
        <v>0.83299999999999996</v>
      </c>
      <c r="I261" s="1512" t="s">
        <v>1883</v>
      </c>
      <c r="J261" s="1513">
        <v>-48.25</v>
      </c>
      <c r="K261" s="1514" t="s">
        <v>1199</v>
      </c>
      <c r="L261" s="1515">
        <v>1.1684000000000001</v>
      </c>
      <c r="M261" s="1516" t="s">
        <v>1884</v>
      </c>
      <c r="N261" s="1517">
        <v>6.6579624336659995E-2</v>
      </c>
      <c r="O261" s="1517">
        <v>9.2385886322500003E-6</v>
      </c>
      <c r="P261" s="1518" t="s">
        <v>1885</v>
      </c>
      <c r="Q261" s="1519" t="s">
        <v>635</v>
      </c>
      <c r="R261" s="1520"/>
      <c r="S261" s="1519">
        <v>5.407</v>
      </c>
      <c r="T261" s="1519" t="s">
        <v>1199</v>
      </c>
      <c r="U261" s="1519">
        <v>-0.61</v>
      </c>
      <c r="V261" s="1521" t="s">
        <v>1883</v>
      </c>
      <c r="W261" s="1522">
        <v>1000000</v>
      </c>
      <c r="X261" s="1523" t="s">
        <v>1883</v>
      </c>
      <c r="Y261" s="1524">
        <v>5.3125035050000005E-4</v>
      </c>
      <c r="Z261" s="1524">
        <v>0.5208309088127</v>
      </c>
      <c r="AA261" s="1524">
        <v>1.24999418115048</v>
      </c>
      <c r="AB261" s="1524">
        <v>1.2400000000000001E-4</v>
      </c>
      <c r="AC261" s="1525" t="s">
        <v>1199</v>
      </c>
      <c r="AD261" s="1526">
        <v>1.6999999999999999E-3</v>
      </c>
      <c r="AE261" s="1529" t="s">
        <v>1909</v>
      </c>
      <c r="AF261" s="1528" t="s">
        <v>635</v>
      </c>
      <c r="AG261" s="1527"/>
      <c r="AH261" s="1528">
        <v>0.06</v>
      </c>
      <c r="AI261" s="1529" t="s">
        <v>1909</v>
      </c>
      <c r="AJ261" s="1528" t="s">
        <v>635</v>
      </c>
      <c r="AK261" s="1527"/>
      <c r="AL261" s="1527"/>
      <c r="AM261" s="1527"/>
      <c r="AN261" s="1530">
        <v>1</v>
      </c>
      <c r="AO261" s="1531">
        <v>0.1</v>
      </c>
      <c r="AP261" s="1532" t="s">
        <v>635</v>
      </c>
    </row>
    <row r="262" spans="1:42" ht="30">
      <c r="A262" s="1481" t="s">
        <v>2358</v>
      </c>
      <c r="B262" s="1482" t="s">
        <v>2359</v>
      </c>
      <c r="C262" s="1483">
        <v>225.3</v>
      </c>
      <c r="D262" s="1484" t="s">
        <v>1883</v>
      </c>
      <c r="E262" s="1485">
        <v>1.6353229762900001E-8</v>
      </c>
      <c r="F262" s="1485">
        <v>4.0000000000000001E-10</v>
      </c>
      <c r="G262" s="1486" t="s">
        <v>1883</v>
      </c>
      <c r="H262" s="1485">
        <v>7.0000000000000005E-8</v>
      </c>
      <c r="I262" s="1486" t="s">
        <v>1199</v>
      </c>
      <c r="J262" s="1487">
        <v>117</v>
      </c>
      <c r="K262" s="1488" t="s">
        <v>1883</v>
      </c>
      <c r="L262" s="1489" t="s">
        <v>635</v>
      </c>
      <c r="M262" s="1533"/>
      <c r="N262" s="1491">
        <v>5.131521345877E-2</v>
      </c>
      <c r="O262" s="1491">
        <v>5.9957775725500003E-6</v>
      </c>
      <c r="P262" s="1492" t="s">
        <v>1885</v>
      </c>
      <c r="Q262" s="1493" t="s">
        <v>635</v>
      </c>
      <c r="R262" s="1494"/>
      <c r="S262" s="1493">
        <v>2028</v>
      </c>
      <c r="T262" s="1493" t="s">
        <v>1199</v>
      </c>
      <c r="U262" s="1493">
        <v>4.58</v>
      </c>
      <c r="V262" s="1495" t="s">
        <v>1883</v>
      </c>
      <c r="W262" s="1496">
        <v>0.23</v>
      </c>
      <c r="X262" s="1497" t="s">
        <v>1883</v>
      </c>
      <c r="Y262" s="1498">
        <v>0.54440103302925003</v>
      </c>
      <c r="Z262" s="1498">
        <v>1.92100612514793</v>
      </c>
      <c r="AA262" s="1498">
        <v>4.6104147003550402</v>
      </c>
      <c r="AB262" s="1498">
        <v>9.4299999999999995E-2</v>
      </c>
      <c r="AC262" s="1499" t="s">
        <v>1199</v>
      </c>
      <c r="AD262" s="1500">
        <v>4.5999999999999996</v>
      </c>
      <c r="AE262" s="1503" t="s">
        <v>1900</v>
      </c>
      <c r="AF262" s="1502">
        <v>1.2999999999999999E-3</v>
      </c>
      <c r="AG262" s="1503" t="s">
        <v>1900</v>
      </c>
      <c r="AH262" s="1502" t="s">
        <v>635</v>
      </c>
      <c r="AI262" s="1501"/>
      <c r="AJ262" s="1502" t="s">
        <v>635</v>
      </c>
      <c r="AK262" s="1501"/>
      <c r="AL262" s="1501"/>
      <c r="AM262" s="1501"/>
      <c r="AN262" s="1504">
        <v>1</v>
      </c>
      <c r="AO262" s="1505">
        <v>0.1</v>
      </c>
      <c r="AP262" s="1506" t="s">
        <v>635</v>
      </c>
    </row>
    <row r="263" spans="1:42" ht="30">
      <c r="A263" s="1481" t="s">
        <v>2360</v>
      </c>
      <c r="B263" s="1482" t="s">
        <v>2361</v>
      </c>
      <c r="C263" s="1483">
        <v>121.18</v>
      </c>
      <c r="D263" s="1484" t="s">
        <v>1883</v>
      </c>
      <c r="E263" s="1485">
        <v>9.4848732619999996E-5</v>
      </c>
      <c r="F263" s="1485">
        <v>2.3199999999999998E-6</v>
      </c>
      <c r="G263" s="1486" t="s">
        <v>1883</v>
      </c>
      <c r="H263" s="1485">
        <v>0.17799999999999999</v>
      </c>
      <c r="I263" s="1486" t="s">
        <v>1883</v>
      </c>
      <c r="J263" s="1487">
        <v>156.87</v>
      </c>
      <c r="K263" s="1488" t="s">
        <v>1199</v>
      </c>
      <c r="L263" s="1489" t="s">
        <v>635</v>
      </c>
      <c r="M263" s="1533"/>
      <c r="N263" s="1491">
        <v>7.7588907274419999E-2</v>
      </c>
      <c r="O263" s="1491">
        <v>9.0656512710100003E-6</v>
      </c>
      <c r="P263" s="1492" t="s">
        <v>1885</v>
      </c>
      <c r="Q263" s="1493" t="s">
        <v>635</v>
      </c>
      <c r="R263" s="1494"/>
      <c r="S263" s="1493">
        <v>351.9</v>
      </c>
      <c r="T263" s="1493" t="s">
        <v>1199</v>
      </c>
      <c r="U263" s="1493">
        <v>2.17</v>
      </c>
      <c r="V263" s="1495" t="s">
        <v>1883</v>
      </c>
      <c r="W263" s="1496">
        <v>3650</v>
      </c>
      <c r="X263" s="1497" t="s">
        <v>1883</v>
      </c>
      <c r="Y263" s="1498">
        <v>8.5525081269999999E-5</v>
      </c>
      <c r="Z263" s="1498">
        <v>0.50171461195013001</v>
      </c>
      <c r="AA263" s="1498">
        <v>1.2041150686803199</v>
      </c>
      <c r="AB263" s="1498">
        <v>2.02E-5</v>
      </c>
      <c r="AC263" s="1499" t="s">
        <v>1199</v>
      </c>
      <c r="AD263" s="1500">
        <v>0.57999999999999996</v>
      </c>
      <c r="AE263" s="1503" t="s">
        <v>1073</v>
      </c>
      <c r="AF263" s="1502" t="s">
        <v>635</v>
      </c>
      <c r="AG263" s="1501"/>
      <c r="AH263" s="1502" t="s">
        <v>635</v>
      </c>
      <c r="AI263" s="1501"/>
      <c r="AJ263" s="1502" t="s">
        <v>635</v>
      </c>
      <c r="AK263" s="1501"/>
      <c r="AL263" s="1501"/>
      <c r="AM263" s="1501"/>
      <c r="AN263" s="1504">
        <v>1</v>
      </c>
      <c r="AO263" s="1505">
        <v>0.1</v>
      </c>
      <c r="AP263" s="1506" t="s">
        <v>635</v>
      </c>
    </row>
    <row r="264" spans="1:42" ht="30">
      <c r="A264" s="1507" t="s">
        <v>2362</v>
      </c>
      <c r="B264" s="1508" t="s">
        <v>2363</v>
      </c>
      <c r="C264" s="1509">
        <v>121.18</v>
      </c>
      <c r="D264" s="1510" t="s">
        <v>1883</v>
      </c>
      <c r="E264" s="1511">
        <v>1.0220768602E-4</v>
      </c>
      <c r="F264" s="1511">
        <v>2.5000000000000002E-6</v>
      </c>
      <c r="G264" s="1512" t="s">
        <v>1883</v>
      </c>
      <c r="H264" s="1511">
        <v>0.1331</v>
      </c>
      <c r="I264" s="1512" t="s">
        <v>1883</v>
      </c>
      <c r="J264" s="1513">
        <v>-14.3</v>
      </c>
      <c r="K264" s="1514" t="s">
        <v>1883</v>
      </c>
      <c r="L264" s="1515">
        <v>0.97230000000000005</v>
      </c>
      <c r="M264" s="1516" t="s">
        <v>1884</v>
      </c>
      <c r="N264" s="1517">
        <v>6.3024861132469995E-2</v>
      </c>
      <c r="O264" s="1517">
        <v>8.39253911652E-6</v>
      </c>
      <c r="P264" s="1518" t="s">
        <v>1885</v>
      </c>
      <c r="Q264" s="1519" t="s">
        <v>635</v>
      </c>
      <c r="R264" s="1520"/>
      <c r="S264" s="1519">
        <v>184.5</v>
      </c>
      <c r="T264" s="1519" t="s">
        <v>1199</v>
      </c>
      <c r="U264" s="1519">
        <v>1.68</v>
      </c>
      <c r="V264" s="1521" t="s">
        <v>1883</v>
      </c>
      <c r="W264" s="1522">
        <v>6069</v>
      </c>
      <c r="X264" s="1523" t="s">
        <v>1883</v>
      </c>
      <c r="Y264" s="1524">
        <v>1.8121155833930001E-2</v>
      </c>
      <c r="Z264" s="1524">
        <v>0.50171461195013001</v>
      </c>
      <c r="AA264" s="1524">
        <v>1.2041150686803199</v>
      </c>
      <c r="AB264" s="1524">
        <v>4.28E-3</v>
      </c>
      <c r="AC264" s="1525" t="s">
        <v>1199</v>
      </c>
      <c r="AD264" s="1526">
        <v>0.2</v>
      </c>
      <c r="AE264" s="1529" t="s">
        <v>1909</v>
      </c>
      <c r="AF264" s="1528" t="s">
        <v>635</v>
      </c>
      <c r="AG264" s="1527"/>
      <c r="AH264" s="1528">
        <v>2E-3</v>
      </c>
      <c r="AI264" s="1529" t="s">
        <v>1893</v>
      </c>
      <c r="AJ264" s="1528" t="s">
        <v>635</v>
      </c>
      <c r="AK264" s="1527"/>
      <c r="AL264" s="1527"/>
      <c r="AM264" s="1527"/>
      <c r="AN264" s="1530">
        <v>1</v>
      </c>
      <c r="AO264" s="1531">
        <v>0.1</v>
      </c>
      <c r="AP264" s="1532" t="s">
        <v>635</v>
      </c>
    </row>
    <row r="265" spans="1:42" ht="30">
      <c r="A265" s="1481" t="s">
        <v>2364</v>
      </c>
      <c r="B265" s="1482" t="s">
        <v>2365</v>
      </c>
      <c r="C265" s="1483">
        <v>121.18</v>
      </c>
      <c r="D265" s="1484" t="s">
        <v>1883</v>
      </c>
      <c r="E265" s="1485">
        <v>2.32215862633E-3</v>
      </c>
      <c r="F265" s="1485">
        <v>5.6799999999999998E-5</v>
      </c>
      <c r="G265" s="1486" t="s">
        <v>1199</v>
      </c>
      <c r="H265" s="1485">
        <v>0.7</v>
      </c>
      <c r="I265" s="1486" t="s">
        <v>1883</v>
      </c>
      <c r="J265" s="1487">
        <v>2.5</v>
      </c>
      <c r="K265" s="1488" t="s">
        <v>1883</v>
      </c>
      <c r="L265" s="1489">
        <v>0.95569999999999999</v>
      </c>
      <c r="M265" s="1490" t="s">
        <v>1884</v>
      </c>
      <c r="N265" s="1491">
        <v>6.254106545792E-2</v>
      </c>
      <c r="O265" s="1491">
        <v>8.3062721091599994E-6</v>
      </c>
      <c r="P265" s="1492" t="s">
        <v>1885</v>
      </c>
      <c r="Q265" s="1493" t="s">
        <v>635</v>
      </c>
      <c r="R265" s="1494"/>
      <c r="S265" s="1493">
        <v>78.67</v>
      </c>
      <c r="T265" s="1493" t="s">
        <v>1199</v>
      </c>
      <c r="U265" s="1493">
        <v>2.31</v>
      </c>
      <c r="V265" s="1495" t="s">
        <v>1883</v>
      </c>
      <c r="W265" s="1496">
        <v>1450</v>
      </c>
      <c r="X265" s="1497" t="s">
        <v>1883</v>
      </c>
      <c r="Y265" s="1498">
        <v>4.7419847042050003E-2</v>
      </c>
      <c r="Z265" s="1498">
        <v>0.50171461195013001</v>
      </c>
      <c r="AA265" s="1498">
        <v>1.2041150686803199</v>
      </c>
      <c r="AB265" s="1498">
        <v>1.12E-2</v>
      </c>
      <c r="AC265" s="1499" t="s">
        <v>1199</v>
      </c>
      <c r="AD265" s="1500">
        <v>2.7E-2</v>
      </c>
      <c r="AE265" s="1503" t="s">
        <v>1909</v>
      </c>
      <c r="AF265" s="1502" t="s">
        <v>635</v>
      </c>
      <c r="AG265" s="1501"/>
      <c r="AH265" s="1502">
        <v>2E-3</v>
      </c>
      <c r="AI265" s="1503" t="s">
        <v>1119</v>
      </c>
      <c r="AJ265" s="1502" t="s">
        <v>635</v>
      </c>
      <c r="AK265" s="1501"/>
      <c r="AL265" s="1503" t="s">
        <v>1127</v>
      </c>
      <c r="AM265" s="1501"/>
      <c r="AN265" s="1504">
        <v>1</v>
      </c>
      <c r="AO265" s="1504" t="s">
        <v>635</v>
      </c>
      <c r="AP265" s="1506">
        <v>830</v>
      </c>
    </row>
    <row r="266" spans="1:42" ht="30">
      <c r="A266" s="1481" t="s">
        <v>2366</v>
      </c>
      <c r="B266" s="1482" t="s">
        <v>2367</v>
      </c>
      <c r="C266" s="1483">
        <v>212.3</v>
      </c>
      <c r="D266" s="1484" t="s">
        <v>1883</v>
      </c>
      <c r="E266" s="1485">
        <v>2.57154538021E-9</v>
      </c>
      <c r="F266" s="1485">
        <v>6.2899999999999997E-11</v>
      </c>
      <c r="G266" s="1486" t="s">
        <v>1883</v>
      </c>
      <c r="H266" s="1485">
        <v>6.92E-7</v>
      </c>
      <c r="I266" s="1486" t="s">
        <v>1883</v>
      </c>
      <c r="J266" s="1487">
        <v>131.5</v>
      </c>
      <c r="K266" s="1488" t="s">
        <v>1883</v>
      </c>
      <c r="L266" s="1489" t="s">
        <v>635</v>
      </c>
      <c r="M266" s="1533"/>
      <c r="N266" s="1491">
        <v>5.3389223546140001E-2</v>
      </c>
      <c r="O266" s="1491">
        <v>6.2381092775000003E-6</v>
      </c>
      <c r="P266" s="1492" t="s">
        <v>1885</v>
      </c>
      <c r="Q266" s="1493" t="s">
        <v>635</v>
      </c>
      <c r="R266" s="1494"/>
      <c r="S266" s="1493">
        <v>3190</v>
      </c>
      <c r="T266" s="1493" t="s">
        <v>1199</v>
      </c>
      <c r="U266" s="1493">
        <v>2.34</v>
      </c>
      <c r="V266" s="1495" t="s">
        <v>1883</v>
      </c>
      <c r="W266" s="1496">
        <v>1300</v>
      </c>
      <c r="X266" s="1497" t="s">
        <v>1883</v>
      </c>
      <c r="Y266" s="1498">
        <v>2.028664454131E-2</v>
      </c>
      <c r="Z266" s="1498">
        <v>1.62453379223369</v>
      </c>
      <c r="AA266" s="1498">
        <v>3.8988811013608502</v>
      </c>
      <c r="AB266" s="1498">
        <v>3.62E-3</v>
      </c>
      <c r="AC266" s="1499" t="s">
        <v>1199</v>
      </c>
      <c r="AD266" s="1500">
        <v>11</v>
      </c>
      <c r="AE266" s="1503" t="s">
        <v>1909</v>
      </c>
      <c r="AF266" s="1502" t="s">
        <v>635</v>
      </c>
      <c r="AG266" s="1501"/>
      <c r="AH266" s="1502" t="s">
        <v>635</v>
      </c>
      <c r="AI266" s="1501"/>
      <c r="AJ266" s="1502" t="s">
        <v>635</v>
      </c>
      <c r="AK266" s="1501"/>
      <c r="AL266" s="1501"/>
      <c r="AM266" s="1503" t="s">
        <v>1906</v>
      </c>
      <c r="AN266" s="1504">
        <v>1</v>
      </c>
      <c r="AO266" s="1505">
        <v>0.1</v>
      </c>
      <c r="AP266" s="1506" t="s">
        <v>635</v>
      </c>
    </row>
    <row r="267" spans="1:42" ht="30">
      <c r="A267" s="1507" t="s">
        <v>2368</v>
      </c>
      <c r="B267" s="1508" t="s">
        <v>2369</v>
      </c>
      <c r="C267" s="1509">
        <v>73.094999999999999</v>
      </c>
      <c r="D267" s="1510" t="s">
        <v>1883</v>
      </c>
      <c r="E267" s="1511">
        <v>3.02125919869E-6</v>
      </c>
      <c r="F267" s="1511">
        <v>7.3900000000000007E-8</v>
      </c>
      <c r="G267" s="1512" t="s">
        <v>1883</v>
      </c>
      <c r="H267" s="1511">
        <v>3.87</v>
      </c>
      <c r="I267" s="1512" t="s">
        <v>1883</v>
      </c>
      <c r="J267" s="1513">
        <v>-60.4</v>
      </c>
      <c r="K267" s="1514" t="s">
        <v>1883</v>
      </c>
      <c r="L267" s="1515">
        <v>0.94450000000000001</v>
      </c>
      <c r="M267" s="1516" t="s">
        <v>1884</v>
      </c>
      <c r="N267" s="1517">
        <v>9.7184647197839993E-2</v>
      </c>
      <c r="O267" s="1517">
        <v>1.1170184499999999E-5</v>
      </c>
      <c r="P267" s="1518" t="s">
        <v>1885</v>
      </c>
      <c r="Q267" s="1519" t="s">
        <v>635</v>
      </c>
      <c r="R267" s="1520"/>
      <c r="S267" s="1519">
        <v>1</v>
      </c>
      <c r="T267" s="1519" t="s">
        <v>1199</v>
      </c>
      <c r="U267" s="1519">
        <v>-1.01</v>
      </c>
      <c r="V267" s="1521" t="s">
        <v>1883</v>
      </c>
      <c r="W267" s="1522">
        <v>1000000</v>
      </c>
      <c r="X267" s="1523" t="s">
        <v>1883</v>
      </c>
      <c r="Y267" s="1524">
        <v>4.2747806961000002E-4</v>
      </c>
      <c r="Z267" s="1524">
        <v>0.26988624419982998</v>
      </c>
      <c r="AA267" s="1524">
        <v>0.6477269860796</v>
      </c>
      <c r="AB267" s="1524">
        <v>1.2999999999999999E-4</v>
      </c>
      <c r="AC267" s="1525" t="s">
        <v>1199</v>
      </c>
      <c r="AD267" s="1526" t="s">
        <v>635</v>
      </c>
      <c r="AE267" s="1527"/>
      <c r="AF267" s="1528" t="s">
        <v>635</v>
      </c>
      <c r="AG267" s="1527"/>
      <c r="AH267" s="1528">
        <v>0.1</v>
      </c>
      <c r="AI267" s="1529" t="s">
        <v>1909</v>
      </c>
      <c r="AJ267" s="1528">
        <v>0.03</v>
      </c>
      <c r="AK267" s="1529" t="s">
        <v>1119</v>
      </c>
      <c r="AL267" s="1529" t="s">
        <v>1127</v>
      </c>
      <c r="AM267" s="1527"/>
      <c r="AN267" s="1530">
        <v>1</v>
      </c>
      <c r="AO267" s="1530" t="s">
        <v>635</v>
      </c>
      <c r="AP267" s="1532">
        <v>106000</v>
      </c>
    </row>
    <row r="268" spans="1:42" ht="30">
      <c r="A268" s="1481" t="s">
        <v>2370</v>
      </c>
      <c r="B268" s="1482" t="s">
        <v>2371</v>
      </c>
      <c r="C268" s="1483">
        <v>60.098999999999997</v>
      </c>
      <c r="D268" s="1484" t="s">
        <v>1883</v>
      </c>
      <c r="E268" s="1485">
        <v>5.2739165985000004E-4</v>
      </c>
      <c r="F268" s="1485">
        <v>1.29E-5</v>
      </c>
      <c r="G268" s="1486" t="s">
        <v>1883</v>
      </c>
      <c r="H268" s="1485">
        <v>163</v>
      </c>
      <c r="I268" s="1486" t="s">
        <v>1883</v>
      </c>
      <c r="J268" s="1487">
        <v>-58</v>
      </c>
      <c r="K268" s="1488" t="s">
        <v>1883</v>
      </c>
      <c r="L268" s="1489">
        <v>0.79100000000000004</v>
      </c>
      <c r="M268" s="1490" t="s">
        <v>1884</v>
      </c>
      <c r="N268" s="1491">
        <v>0.10378569927441</v>
      </c>
      <c r="O268" s="1491">
        <v>1.129424786E-5</v>
      </c>
      <c r="P268" s="1492" t="s">
        <v>1885</v>
      </c>
      <c r="Q268" s="1493" t="s">
        <v>635</v>
      </c>
      <c r="R268" s="1494"/>
      <c r="S268" s="1493">
        <v>11.95</v>
      </c>
      <c r="T268" s="1493" t="s">
        <v>1199</v>
      </c>
      <c r="U268" s="1493">
        <v>-1.19</v>
      </c>
      <c r="V268" s="1495" t="s">
        <v>1883</v>
      </c>
      <c r="W268" s="1496">
        <v>1000000</v>
      </c>
      <c r="X268" s="1497" t="s">
        <v>1883</v>
      </c>
      <c r="Y268" s="1498">
        <v>3.4587427684999999E-4</v>
      </c>
      <c r="Z268" s="1498">
        <v>0.22824598651051001</v>
      </c>
      <c r="AA268" s="1498">
        <v>0.54779036762523003</v>
      </c>
      <c r="AB268" s="1498">
        <v>1.16E-4</v>
      </c>
      <c r="AC268" s="1499" t="s">
        <v>1199</v>
      </c>
      <c r="AD268" s="1500" t="s">
        <v>635</v>
      </c>
      <c r="AE268" s="1501"/>
      <c r="AF268" s="1502" t="s">
        <v>635</v>
      </c>
      <c r="AG268" s="1501"/>
      <c r="AH268" s="1502">
        <v>1E-4</v>
      </c>
      <c r="AI268" s="1503" t="s">
        <v>1893</v>
      </c>
      <c r="AJ268" s="1502">
        <v>1.9999999999999999E-6</v>
      </c>
      <c r="AK268" s="1503" t="s">
        <v>1893</v>
      </c>
      <c r="AL268" s="1503" t="s">
        <v>1127</v>
      </c>
      <c r="AM268" s="1501"/>
      <c r="AN268" s="1504">
        <v>1</v>
      </c>
      <c r="AO268" s="1504" t="s">
        <v>635</v>
      </c>
      <c r="AP268" s="1506">
        <v>172000</v>
      </c>
    </row>
    <row r="269" spans="1:42" ht="30">
      <c r="A269" s="1481" t="s">
        <v>2372</v>
      </c>
      <c r="B269" s="1482" t="s">
        <v>2373</v>
      </c>
      <c r="C269" s="1483">
        <v>60.098999999999997</v>
      </c>
      <c r="D269" s="1484" t="s">
        <v>1883</v>
      </c>
      <c r="E269" s="1485">
        <v>2.8413736712999999E-6</v>
      </c>
      <c r="F269" s="1485">
        <v>6.9499999999999994E-8</v>
      </c>
      <c r="G269" s="1486" t="s">
        <v>1883</v>
      </c>
      <c r="H269" s="1485">
        <v>69.900000000000006</v>
      </c>
      <c r="I269" s="1486" t="s">
        <v>1883</v>
      </c>
      <c r="J269" s="1487">
        <v>-9</v>
      </c>
      <c r="K269" s="1488" t="s">
        <v>1883</v>
      </c>
      <c r="L269" s="1489">
        <v>0.82740000000000002</v>
      </c>
      <c r="M269" s="1490" t="s">
        <v>1884</v>
      </c>
      <c r="N269" s="1491">
        <v>0.10577042202061999</v>
      </c>
      <c r="O269" s="1491">
        <v>1.1603278980000001E-5</v>
      </c>
      <c r="P269" s="1492" t="s">
        <v>1885</v>
      </c>
      <c r="Q269" s="1493" t="s">
        <v>635</v>
      </c>
      <c r="R269" s="1494"/>
      <c r="S269" s="1493">
        <v>14.87</v>
      </c>
      <c r="T269" s="1493" t="s">
        <v>1199</v>
      </c>
      <c r="U269" s="1493">
        <v>-0.54</v>
      </c>
      <c r="V269" s="1495" t="s">
        <v>1883</v>
      </c>
      <c r="W269" s="1496">
        <v>1000000</v>
      </c>
      <c r="X269" s="1497" t="s">
        <v>1883</v>
      </c>
      <c r="Y269" s="1498">
        <v>9.4519091173000003E-4</v>
      </c>
      <c r="Z269" s="1498">
        <v>0.22824598651051001</v>
      </c>
      <c r="AA269" s="1498">
        <v>0.54779036762523003</v>
      </c>
      <c r="AB269" s="1498">
        <v>3.1700000000000001E-4</v>
      </c>
      <c r="AC269" s="1499" t="s">
        <v>1199</v>
      </c>
      <c r="AD269" s="1500">
        <v>550</v>
      </c>
      <c r="AE269" s="1503" t="s">
        <v>1900</v>
      </c>
      <c r="AF269" s="1502">
        <v>0.16</v>
      </c>
      <c r="AG269" s="1503" t="s">
        <v>1900</v>
      </c>
      <c r="AH269" s="1502" t="s">
        <v>635</v>
      </c>
      <c r="AI269" s="1501"/>
      <c r="AJ269" s="1502" t="s">
        <v>635</v>
      </c>
      <c r="AK269" s="1501"/>
      <c r="AL269" s="1503" t="s">
        <v>1127</v>
      </c>
      <c r="AM269" s="1501"/>
      <c r="AN269" s="1504">
        <v>1</v>
      </c>
      <c r="AO269" s="1504" t="s">
        <v>635</v>
      </c>
      <c r="AP269" s="1506">
        <v>189000</v>
      </c>
    </row>
    <row r="270" spans="1:42" ht="30">
      <c r="A270" s="1507" t="s">
        <v>184</v>
      </c>
      <c r="B270" s="1508" t="s">
        <v>2374</v>
      </c>
      <c r="C270" s="1509">
        <v>122.17</v>
      </c>
      <c r="D270" s="1510" t="s">
        <v>1883</v>
      </c>
      <c r="E270" s="1511">
        <v>3.8879803760000002E-5</v>
      </c>
      <c r="F270" s="1511">
        <v>9.5099999999999998E-7</v>
      </c>
      <c r="G270" s="1512" t="s">
        <v>1883</v>
      </c>
      <c r="H270" s="1511">
        <v>0.10199999999999999</v>
      </c>
      <c r="I270" s="1512" t="s">
        <v>1883</v>
      </c>
      <c r="J270" s="1513">
        <v>24.5</v>
      </c>
      <c r="K270" s="1514" t="s">
        <v>1883</v>
      </c>
      <c r="L270" s="1515">
        <v>0.96499999999999997</v>
      </c>
      <c r="M270" s="1516" t="s">
        <v>1884</v>
      </c>
      <c r="N270" s="1517">
        <v>6.2245058879930003E-2</v>
      </c>
      <c r="O270" s="1517">
        <v>8.3139884193999994E-6</v>
      </c>
      <c r="P270" s="1518" t="s">
        <v>1885</v>
      </c>
      <c r="Q270" s="1519" t="s">
        <v>635</v>
      </c>
      <c r="R270" s="1520"/>
      <c r="S270" s="1519">
        <v>491.8</v>
      </c>
      <c r="T270" s="1519" t="s">
        <v>1199</v>
      </c>
      <c r="U270" s="1519">
        <v>2.2999999999999998</v>
      </c>
      <c r="V270" s="1521" t="s">
        <v>1883</v>
      </c>
      <c r="W270" s="1522">
        <v>7870</v>
      </c>
      <c r="X270" s="1523" t="s">
        <v>1883</v>
      </c>
      <c r="Y270" s="1524">
        <v>4.6337802790549998E-2</v>
      </c>
      <c r="Z270" s="1524">
        <v>0.50816031967269004</v>
      </c>
      <c r="AA270" s="1524">
        <v>1.21958476721446</v>
      </c>
      <c r="AB270" s="1524">
        <v>1.09E-2</v>
      </c>
      <c r="AC270" s="1525" t="s">
        <v>1199</v>
      </c>
      <c r="AD270" s="1526" t="s">
        <v>635</v>
      </c>
      <c r="AE270" s="1527"/>
      <c r="AF270" s="1528" t="s">
        <v>635</v>
      </c>
      <c r="AG270" s="1527"/>
      <c r="AH270" s="1528">
        <v>0.02</v>
      </c>
      <c r="AI270" s="1529" t="s">
        <v>1119</v>
      </c>
      <c r="AJ270" s="1528" t="s">
        <v>635</v>
      </c>
      <c r="AK270" s="1527"/>
      <c r="AL270" s="1527"/>
      <c r="AM270" s="1527"/>
      <c r="AN270" s="1530">
        <v>1</v>
      </c>
      <c r="AO270" s="1531">
        <v>0.1</v>
      </c>
      <c r="AP270" s="1532" t="s">
        <v>635</v>
      </c>
    </row>
    <row r="271" spans="1:42" ht="30">
      <c r="A271" s="1481" t="s">
        <v>2375</v>
      </c>
      <c r="B271" s="1482" t="s">
        <v>2376</v>
      </c>
      <c r="C271" s="1483">
        <v>122.17</v>
      </c>
      <c r="D271" s="1484" t="s">
        <v>1883</v>
      </c>
      <c r="E271" s="1485">
        <v>2.7187244481000002E-4</v>
      </c>
      <c r="F271" s="1485">
        <v>6.6499999999999999E-6</v>
      </c>
      <c r="G271" s="1486" t="s">
        <v>1883</v>
      </c>
      <c r="H271" s="1485">
        <v>0.17100000000000001</v>
      </c>
      <c r="I271" s="1486" t="s">
        <v>1199</v>
      </c>
      <c r="J271" s="1487">
        <v>45.7</v>
      </c>
      <c r="K271" s="1488" t="s">
        <v>1883</v>
      </c>
      <c r="L271" s="1489" t="s">
        <v>635</v>
      </c>
      <c r="M271" s="1533"/>
      <c r="N271" s="1491">
        <v>7.7169179924510001E-2</v>
      </c>
      <c r="O271" s="1491">
        <v>9.0166094438099997E-6</v>
      </c>
      <c r="P271" s="1492" t="s">
        <v>1885</v>
      </c>
      <c r="Q271" s="1493" t="s">
        <v>635</v>
      </c>
      <c r="R271" s="1494"/>
      <c r="S271" s="1493">
        <v>501.9</v>
      </c>
      <c r="T271" s="1493" t="s">
        <v>1199</v>
      </c>
      <c r="U271" s="1493">
        <v>2.36</v>
      </c>
      <c r="V271" s="1495" t="s">
        <v>1883</v>
      </c>
      <c r="W271" s="1496">
        <v>6050</v>
      </c>
      <c r="X271" s="1497" t="s">
        <v>1883</v>
      </c>
      <c r="Y271" s="1498">
        <v>5.1014094815279999E-2</v>
      </c>
      <c r="Z271" s="1498">
        <v>0.50816031967269004</v>
      </c>
      <c r="AA271" s="1498">
        <v>1.21958476721446</v>
      </c>
      <c r="AB271" s="1498">
        <v>1.2E-2</v>
      </c>
      <c r="AC271" s="1499" t="s">
        <v>1199</v>
      </c>
      <c r="AD271" s="1500" t="s">
        <v>635</v>
      </c>
      <c r="AE271" s="1501"/>
      <c r="AF271" s="1502" t="s">
        <v>635</v>
      </c>
      <c r="AG271" s="1501"/>
      <c r="AH271" s="1502">
        <v>5.9999999999999995E-4</v>
      </c>
      <c r="AI271" s="1503" t="s">
        <v>1119</v>
      </c>
      <c r="AJ271" s="1502" t="s">
        <v>635</v>
      </c>
      <c r="AK271" s="1501"/>
      <c r="AL271" s="1501"/>
      <c r="AM271" s="1501"/>
      <c r="AN271" s="1504">
        <v>1</v>
      </c>
      <c r="AO271" s="1505">
        <v>0.1</v>
      </c>
      <c r="AP271" s="1506" t="s">
        <v>635</v>
      </c>
    </row>
    <row r="272" spans="1:42" ht="30">
      <c r="A272" s="1481" t="s">
        <v>2377</v>
      </c>
      <c r="B272" s="1482" t="s">
        <v>2378</v>
      </c>
      <c r="C272" s="1483">
        <v>122.17</v>
      </c>
      <c r="D272" s="1484" t="s">
        <v>1883</v>
      </c>
      <c r="E272" s="1485">
        <v>1.6966475880000001E-5</v>
      </c>
      <c r="F272" s="1485">
        <v>4.15E-7</v>
      </c>
      <c r="G272" s="1486" t="s">
        <v>1883</v>
      </c>
      <c r="H272" s="1485">
        <v>3.56E-2</v>
      </c>
      <c r="I272" s="1486" t="s">
        <v>1199</v>
      </c>
      <c r="J272" s="1487">
        <v>60.8</v>
      </c>
      <c r="K272" s="1488" t="s">
        <v>1883</v>
      </c>
      <c r="L272" s="1489">
        <v>0.98299999999999998</v>
      </c>
      <c r="M272" s="1490" t="s">
        <v>1884</v>
      </c>
      <c r="N272" s="1491">
        <v>6.2761837538529999E-2</v>
      </c>
      <c r="O272" s="1491">
        <v>8.4066920325000004E-6</v>
      </c>
      <c r="P272" s="1492" t="s">
        <v>1885</v>
      </c>
      <c r="Q272" s="1493" t="s">
        <v>635</v>
      </c>
      <c r="R272" s="1494"/>
      <c r="S272" s="1493">
        <v>491.8</v>
      </c>
      <c r="T272" s="1493" t="s">
        <v>1199</v>
      </c>
      <c r="U272" s="1493">
        <v>2.23</v>
      </c>
      <c r="V272" s="1495" t="s">
        <v>1883</v>
      </c>
      <c r="W272" s="1496">
        <v>4760</v>
      </c>
      <c r="X272" s="1497" t="s">
        <v>1883</v>
      </c>
      <c r="Y272" s="1498">
        <v>4.1661510765809998E-2</v>
      </c>
      <c r="Z272" s="1498">
        <v>0.50816031967269004</v>
      </c>
      <c r="AA272" s="1498">
        <v>1.21958476721446</v>
      </c>
      <c r="AB272" s="1498">
        <v>9.7999999999999997E-3</v>
      </c>
      <c r="AC272" s="1499" t="s">
        <v>1199</v>
      </c>
      <c r="AD272" s="1500" t="s">
        <v>635</v>
      </c>
      <c r="AE272" s="1501"/>
      <c r="AF272" s="1502" t="s">
        <v>635</v>
      </c>
      <c r="AG272" s="1501"/>
      <c r="AH272" s="1502">
        <v>1E-3</v>
      </c>
      <c r="AI272" s="1503" t="s">
        <v>1119</v>
      </c>
      <c r="AJ272" s="1502" t="s">
        <v>635</v>
      </c>
      <c r="AK272" s="1501"/>
      <c r="AL272" s="1501"/>
      <c r="AM272" s="1501"/>
      <c r="AN272" s="1504">
        <v>1</v>
      </c>
      <c r="AO272" s="1505">
        <v>0.1</v>
      </c>
      <c r="AP272" s="1506" t="s">
        <v>635</v>
      </c>
    </row>
    <row r="273" spans="1:42" ht="30">
      <c r="A273" s="1507" t="s">
        <v>2379</v>
      </c>
      <c r="B273" s="1508" t="s">
        <v>2380</v>
      </c>
      <c r="C273" s="1509">
        <v>90.552999999999997</v>
      </c>
      <c r="D273" s="1510" t="s">
        <v>1883</v>
      </c>
      <c r="E273" s="1511">
        <v>4.841700735895E-2</v>
      </c>
      <c r="F273" s="1511">
        <v>1.18428E-3</v>
      </c>
      <c r="G273" s="1512" t="s">
        <v>1884</v>
      </c>
      <c r="H273" s="1511">
        <v>212</v>
      </c>
      <c r="I273" s="1512" t="s">
        <v>1883</v>
      </c>
      <c r="J273" s="1513">
        <v>-103.1</v>
      </c>
      <c r="K273" s="1514" t="s">
        <v>1199</v>
      </c>
      <c r="L273" s="1515">
        <v>0.91859999999999997</v>
      </c>
      <c r="M273" s="1516" t="s">
        <v>1884</v>
      </c>
      <c r="N273" s="1517">
        <v>8.1171582337409995E-2</v>
      </c>
      <c r="O273" s="1517">
        <v>9.6606407081299994E-6</v>
      </c>
      <c r="P273" s="1518" t="s">
        <v>1885</v>
      </c>
      <c r="Q273" s="1519" t="s">
        <v>635</v>
      </c>
      <c r="R273" s="1520"/>
      <c r="S273" s="1519">
        <v>60.7</v>
      </c>
      <c r="T273" s="1519" t="s">
        <v>1199</v>
      </c>
      <c r="U273" s="1519">
        <v>2.58</v>
      </c>
      <c r="V273" s="1521" t="s">
        <v>1883</v>
      </c>
      <c r="W273" s="1522">
        <v>1000</v>
      </c>
      <c r="X273" s="1523" t="s">
        <v>1883</v>
      </c>
      <c r="Y273" s="1524">
        <v>9.2597357824270005E-2</v>
      </c>
      <c r="Z273" s="1524">
        <v>0.33802245342911003</v>
      </c>
      <c r="AA273" s="1524">
        <v>0.81125388822986</v>
      </c>
      <c r="AB273" s="1524">
        <v>2.53E-2</v>
      </c>
      <c r="AC273" s="1525" t="s">
        <v>1199</v>
      </c>
      <c r="AD273" s="1526">
        <v>4.4999999999999998E-2</v>
      </c>
      <c r="AE273" s="1529" t="s">
        <v>1900</v>
      </c>
      <c r="AF273" s="1528">
        <v>1.2999999999999999E-5</v>
      </c>
      <c r="AG273" s="1529" t="s">
        <v>1900</v>
      </c>
      <c r="AH273" s="1528" t="s">
        <v>635</v>
      </c>
      <c r="AI273" s="1527"/>
      <c r="AJ273" s="1528" t="s">
        <v>635</v>
      </c>
      <c r="AK273" s="1527"/>
      <c r="AL273" s="1529" t="s">
        <v>1127</v>
      </c>
      <c r="AM273" s="1527"/>
      <c r="AN273" s="1530">
        <v>1</v>
      </c>
      <c r="AO273" s="1530" t="s">
        <v>635</v>
      </c>
      <c r="AP273" s="1532">
        <v>473</v>
      </c>
    </row>
    <row r="274" spans="1:42" ht="30">
      <c r="A274" s="1481" t="s">
        <v>2381</v>
      </c>
      <c r="B274" s="1482" t="s">
        <v>2382</v>
      </c>
      <c r="C274" s="1483">
        <v>198.14</v>
      </c>
      <c r="D274" s="1484" t="s">
        <v>1883</v>
      </c>
      <c r="E274" s="1485">
        <v>5.7236304169999997E-5</v>
      </c>
      <c r="F274" s="1485">
        <v>1.3999999999999999E-6</v>
      </c>
      <c r="G274" s="1486" t="s">
        <v>1883</v>
      </c>
      <c r="H274" s="1485">
        <v>1.2E-4</v>
      </c>
      <c r="I274" s="1486" t="s">
        <v>1883</v>
      </c>
      <c r="J274" s="1487">
        <v>86.6</v>
      </c>
      <c r="K274" s="1488" t="s">
        <v>1883</v>
      </c>
      <c r="L274" s="1489" t="s">
        <v>635</v>
      </c>
      <c r="M274" s="1533"/>
      <c r="N274" s="1491">
        <v>5.5903478055090002E-2</v>
      </c>
      <c r="O274" s="1491">
        <v>6.53188006749E-6</v>
      </c>
      <c r="P274" s="1492" t="s">
        <v>1885</v>
      </c>
      <c r="Q274" s="1493" t="s">
        <v>635</v>
      </c>
      <c r="R274" s="1494"/>
      <c r="S274" s="1493">
        <v>754.4</v>
      </c>
      <c r="T274" s="1493" t="s">
        <v>1199</v>
      </c>
      <c r="U274" s="1493">
        <v>2.13</v>
      </c>
      <c r="V274" s="1495" t="s">
        <v>1883</v>
      </c>
      <c r="W274" s="1496">
        <v>198</v>
      </c>
      <c r="X274" s="1497" t="s">
        <v>1883</v>
      </c>
      <c r="Y274" s="1498">
        <v>1.7053883236139999E-2</v>
      </c>
      <c r="Z274" s="1498">
        <v>1.35342049764434</v>
      </c>
      <c r="AA274" s="1498">
        <v>3.2482091943464102</v>
      </c>
      <c r="AB274" s="1498">
        <v>3.15E-3</v>
      </c>
      <c r="AC274" s="1499" t="s">
        <v>1199</v>
      </c>
      <c r="AD274" s="1500" t="s">
        <v>635</v>
      </c>
      <c r="AE274" s="1501"/>
      <c r="AF274" s="1502" t="s">
        <v>635</v>
      </c>
      <c r="AG274" s="1501"/>
      <c r="AH274" s="1502">
        <v>8.0000000000000007E-5</v>
      </c>
      <c r="AI274" s="1503" t="s">
        <v>1893</v>
      </c>
      <c r="AJ274" s="1502" t="s">
        <v>635</v>
      </c>
      <c r="AK274" s="1501"/>
      <c r="AL274" s="1501"/>
      <c r="AM274" s="1501"/>
      <c r="AN274" s="1504">
        <v>1</v>
      </c>
      <c r="AO274" s="1505">
        <v>0.1</v>
      </c>
      <c r="AP274" s="1506" t="s">
        <v>635</v>
      </c>
    </row>
    <row r="275" spans="1:42" ht="30">
      <c r="A275" s="1481" t="s">
        <v>2383</v>
      </c>
      <c r="B275" s="1482" t="s">
        <v>2384</v>
      </c>
      <c r="C275" s="1483">
        <v>266.26</v>
      </c>
      <c r="D275" s="1484" t="s">
        <v>1883</v>
      </c>
      <c r="E275" s="1485">
        <v>2.2649223221599999E-6</v>
      </c>
      <c r="F275" s="1485">
        <v>5.54E-8</v>
      </c>
      <c r="G275" s="1486" t="s">
        <v>1883</v>
      </c>
      <c r="H275" s="1485">
        <v>4.1899999999999998E-8</v>
      </c>
      <c r="I275" s="1486" t="s">
        <v>1883</v>
      </c>
      <c r="J275" s="1487">
        <v>107</v>
      </c>
      <c r="K275" s="1488" t="s">
        <v>1883</v>
      </c>
      <c r="L275" s="1489" t="s">
        <v>635</v>
      </c>
      <c r="M275" s="1533"/>
      <c r="N275" s="1491">
        <v>4.5907430193449998E-2</v>
      </c>
      <c r="O275" s="1491">
        <v>5.3639207910200003E-6</v>
      </c>
      <c r="P275" s="1492" t="s">
        <v>1885</v>
      </c>
      <c r="Q275" s="1493" t="s">
        <v>635</v>
      </c>
      <c r="R275" s="1494"/>
      <c r="S275" s="1493">
        <v>16540</v>
      </c>
      <c r="T275" s="1493" t="s">
        <v>1199</v>
      </c>
      <c r="U275" s="1493">
        <v>4.12</v>
      </c>
      <c r="V275" s="1495" t="s">
        <v>1883</v>
      </c>
      <c r="W275" s="1496">
        <v>15</v>
      </c>
      <c r="X275" s="1497" t="s">
        <v>1883</v>
      </c>
      <c r="Y275" s="1498">
        <v>0.17258868100385999</v>
      </c>
      <c r="Z275" s="1498">
        <v>3.25765245644252</v>
      </c>
      <c r="AA275" s="1498">
        <v>7.8183658954620396</v>
      </c>
      <c r="AB275" s="1498">
        <v>2.75E-2</v>
      </c>
      <c r="AC275" s="1499" t="s">
        <v>1199</v>
      </c>
      <c r="AD275" s="1500" t="s">
        <v>635</v>
      </c>
      <c r="AE275" s="1501"/>
      <c r="AF275" s="1502" t="s">
        <v>635</v>
      </c>
      <c r="AG275" s="1501"/>
      <c r="AH275" s="1502">
        <v>2E-3</v>
      </c>
      <c r="AI275" s="1503" t="s">
        <v>1119</v>
      </c>
      <c r="AJ275" s="1502" t="s">
        <v>635</v>
      </c>
      <c r="AK275" s="1501"/>
      <c r="AL275" s="1501"/>
      <c r="AM275" s="1501"/>
      <c r="AN275" s="1504">
        <v>1</v>
      </c>
      <c r="AO275" s="1505">
        <v>0.1</v>
      </c>
      <c r="AP275" s="1506" t="s">
        <v>635</v>
      </c>
    </row>
    <row r="276" spans="1:42" ht="30">
      <c r="A276" s="1507" t="s">
        <v>2385</v>
      </c>
      <c r="B276" s="1508" t="s">
        <v>2386</v>
      </c>
      <c r="C276" s="1509">
        <v>183.12</v>
      </c>
      <c r="D276" s="1510" t="s">
        <v>1883</v>
      </c>
      <c r="E276" s="1511">
        <v>1.21013900245E-9</v>
      </c>
      <c r="F276" s="1511">
        <v>2.96E-11</v>
      </c>
      <c r="G276" s="1512" t="s">
        <v>1883</v>
      </c>
      <c r="H276" s="1511">
        <v>2.6800000000000001E-5</v>
      </c>
      <c r="I276" s="1512" t="s">
        <v>1883</v>
      </c>
      <c r="J276" s="1513">
        <v>163</v>
      </c>
      <c r="K276" s="1514" t="s">
        <v>1883</v>
      </c>
      <c r="L276" s="1515">
        <v>1.601</v>
      </c>
      <c r="M276" s="1516" t="s">
        <v>1884</v>
      </c>
      <c r="N276" s="1517">
        <v>4.0334656406699997E-2</v>
      </c>
      <c r="O276" s="1517">
        <v>8.8361911638499997E-6</v>
      </c>
      <c r="P276" s="1518" t="s">
        <v>1885</v>
      </c>
      <c r="Q276" s="1519" t="s">
        <v>635</v>
      </c>
      <c r="R276" s="1520"/>
      <c r="S276" s="1519">
        <v>169.4</v>
      </c>
      <c r="T276" s="1519" t="s">
        <v>1199</v>
      </c>
      <c r="U276" s="1519">
        <v>1.89</v>
      </c>
      <c r="V276" s="1521" t="s">
        <v>1883</v>
      </c>
      <c r="W276" s="1522">
        <v>1293</v>
      </c>
      <c r="X276" s="1523" t="s">
        <v>1883</v>
      </c>
      <c r="Y276" s="1524">
        <v>1.3792418164219999E-2</v>
      </c>
      <c r="Z276" s="1524">
        <v>1.1151178034571101</v>
      </c>
      <c r="AA276" s="1524">
        <v>2.67628272829706</v>
      </c>
      <c r="AB276" s="1524">
        <v>2.65E-3</v>
      </c>
      <c r="AC276" s="1525" t="s">
        <v>1199</v>
      </c>
      <c r="AD276" s="1526" t="s">
        <v>635</v>
      </c>
      <c r="AE276" s="1527"/>
      <c r="AF276" s="1528" t="s">
        <v>635</v>
      </c>
      <c r="AG276" s="1527"/>
      <c r="AH276" s="1528">
        <v>4.0000000000000002E-4</v>
      </c>
      <c r="AI276" s="1529" t="s">
        <v>1893</v>
      </c>
      <c r="AJ276" s="1528">
        <v>2E-3</v>
      </c>
      <c r="AK276" s="1529" t="s">
        <v>1893</v>
      </c>
      <c r="AL276" s="1527"/>
      <c r="AM276" s="1527"/>
      <c r="AN276" s="1530">
        <v>1</v>
      </c>
      <c r="AO276" s="1531">
        <v>0.1</v>
      </c>
      <c r="AP276" s="1532" t="s">
        <v>635</v>
      </c>
    </row>
    <row r="277" spans="1:42" ht="30">
      <c r="A277" s="1481" t="s">
        <v>2387</v>
      </c>
      <c r="B277" s="1482" t="s">
        <v>2388</v>
      </c>
      <c r="C277" s="1483">
        <v>168.11</v>
      </c>
      <c r="D277" s="1484" t="s">
        <v>1883</v>
      </c>
      <c r="E277" s="1485">
        <v>2.1790678658999999E-6</v>
      </c>
      <c r="F277" s="1485">
        <v>5.3300000000000001E-8</v>
      </c>
      <c r="G277" s="1486" t="s">
        <v>1199</v>
      </c>
      <c r="H277" s="1485">
        <v>4.5500000000000001E-5</v>
      </c>
      <c r="I277" s="1486" t="s">
        <v>1199</v>
      </c>
      <c r="J277" s="1487">
        <v>118.5</v>
      </c>
      <c r="K277" s="1488" t="s">
        <v>1883</v>
      </c>
      <c r="L277" s="1489">
        <v>1.3119000000000001</v>
      </c>
      <c r="M277" s="1490" t="s">
        <v>1884</v>
      </c>
      <c r="N277" s="1491">
        <v>4.4717623491670001E-2</v>
      </c>
      <c r="O277" s="1491">
        <v>8.25384068503E-6</v>
      </c>
      <c r="P277" s="1492" t="s">
        <v>1885</v>
      </c>
      <c r="Q277" s="1493" t="s">
        <v>635</v>
      </c>
      <c r="R277" s="1494"/>
      <c r="S277" s="1493">
        <v>358.8</v>
      </c>
      <c r="T277" s="1493" t="s">
        <v>1199</v>
      </c>
      <c r="U277" s="1493">
        <v>1.69</v>
      </c>
      <c r="V277" s="1495" t="s">
        <v>1883</v>
      </c>
      <c r="W277" s="1496">
        <v>133</v>
      </c>
      <c r="X277" s="1497" t="s">
        <v>1883</v>
      </c>
      <c r="Y277" s="1498">
        <v>1.181875614832E-2</v>
      </c>
      <c r="Z277" s="1498">
        <v>0.91889259052981997</v>
      </c>
      <c r="AA277" s="1498">
        <v>2.2053422172715602</v>
      </c>
      <c r="AB277" s="1498">
        <v>2.3700000000000001E-3</v>
      </c>
      <c r="AC277" s="1499" t="s">
        <v>1199</v>
      </c>
      <c r="AD277" s="1500" t="s">
        <v>635</v>
      </c>
      <c r="AE277" s="1501"/>
      <c r="AF277" s="1502" t="s">
        <v>635</v>
      </c>
      <c r="AG277" s="1501"/>
      <c r="AH277" s="1502">
        <v>1E-4</v>
      </c>
      <c r="AI277" s="1503" t="s">
        <v>1909</v>
      </c>
      <c r="AJ277" s="1502" t="s">
        <v>635</v>
      </c>
      <c r="AK277" s="1501"/>
      <c r="AL277" s="1501"/>
      <c r="AM277" s="1501"/>
      <c r="AN277" s="1504">
        <v>1</v>
      </c>
      <c r="AO277" s="1505">
        <v>0.1</v>
      </c>
      <c r="AP277" s="1506" t="s">
        <v>635</v>
      </c>
    </row>
    <row r="278" spans="1:42" ht="30">
      <c r="A278" s="1481" t="s">
        <v>2389</v>
      </c>
      <c r="B278" s="1482" t="s">
        <v>2390</v>
      </c>
      <c r="C278" s="1483">
        <v>168.11</v>
      </c>
      <c r="D278" s="1484" t="s">
        <v>1883</v>
      </c>
      <c r="E278" s="1485">
        <v>2.00327064595E-6</v>
      </c>
      <c r="F278" s="1485">
        <v>4.9000000000000002E-8</v>
      </c>
      <c r="G278" s="1486" t="s">
        <v>1883</v>
      </c>
      <c r="H278" s="1485">
        <v>8.9999999999999998E-4</v>
      </c>
      <c r="I278" s="1486" t="s">
        <v>1199</v>
      </c>
      <c r="J278" s="1487">
        <v>90</v>
      </c>
      <c r="K278" s="1488" t="s">
        <v>1883</v>
      </c>
      <c r="L278" s="1489">
        <v>1.5750999999999999</v>
      </c>
      <c r="M278" s="1490" t="s">
        <v>1884</v>
      </c>
      <c r="N278" s="1491">
        <v>4.8498714626700003E-2</v>
      </c>
      <c r="O278" s="1491">
        <v>9.2108672163200004E-6</v>
      </c>
      <c r="P278" s="1492" t="s">
        <v>1885</v>
      </c>
      <c r="Q278" s="1493" t="s">
        <v>635</v>
      </c>
      <c r="R278" s="1494"/>
      <c r="S278" s="1493">
        <v>351.6</v>
      </c>
      <c r="T278" s="1493" t="s">
        <v>1199</v>
      </c>
      <c r="U278" s="1493">
        <v>1.49</v>
      </c>
      <c r="V278" s="1495" t="s">
        <v>1883</v>
      </c>
      <c r="W278" s="1496">
        <v>533</v>
      </c>
      <c r="X278" s="1497" t="s">
        <v>1883</v>
      </c>
      <c r="Y278" s="1498">
        <v>8.67706147598E-3</v>
      </c>
      <c r="Z278" s="1498">
        <v>0.91889259052981997</v>
      </c>
      <c r="AA278" s="1498">
        <v>2.2053422172715602</v>
      </c>
      <c r="AB278" s="1498">
        <v>1.74E-3</v>
      </c>
      <c r="AC278" s="1499" t="s">
        <v>1199</v>
      </c>
      <c r="AD278" s="1500" t="s">
        <v>635</v>
      </c>
      <c r="AE278" s="1501"/>
      <c r="AF278" s="1502" t="s">
        <v>635</v>
      </c>
      <c r="AG278" s="1501"/>
      <c r="AH278" s="1502">
        <v>1E-4</v>
      </c>
      <c r="AI278" s="1503" t="s">
        <v>1119</v>
      </c>
      <c r="AJ278" s="1502" t="s">
        <v>635</v>
      </c>
      <c r="AK278" s="1501"/>
      <c r="AL278" s="1501"/>
      <c r="AM278" s="1501"/>
      <c r="AN278" s="1504">
        <v>1</v>
      </c>
      <c r="AO278" s="1505">
        <v>0.1</v>
      </c>
      <c r="AP278" s="1506" t="s">
        <v>635</v>
      </c>
    </row>
    <row r="279" spans="1:42" ht="30">
      <c r="A279" s="1507" t="s">
        <v>2391</v>
      </c>
      <c r="B279" s="1508" t="s">
        <v>2392</v>
      </c>
      <c r="C279" s="1509">
        <v>168.11</v>
      </c>
      <c r="D279" s="1510" t="s">
        <v>1883</v>
      </c>
      <c r="E279" s="1511">
        <v>3.43008994276E-6</v>
      </c>
      <c r="F279" s="1511">
        <v>8.3900000000000004E-8</v>
      </c>
      <c r="G279" s="1512" t="s">
        <v>1883</v>
      </c>
      <c r="H279" s="1511">
        <v>2.6100000000000001E-5</v>
      </c>
      <c r="I279" s="1512" t="s">
        <v>1883</v>
      </c>
      <c r="J279" s="1513">
        <v>174</v>
      </c>
      <c r="K279" s="1514" t="s">
        <v>1883</v>
      </c>
      <c r="L279" s="1515">
        <v>1.625</v>
      </c>
      <c r="M279" s="1516" t="s">
        <v>1884</v>
      </c>
      <c r="N279" s="1517">
        <v>4.9166764288999999E-2</v>
      </c>
      <c r="O279" s="1517">
        <v>9.3848570503199993E-6</v>
      </c>
      <c r="P279" s="1518" t="s">
        <v>1885</v>
      </c>
      <c r="Q279" s="1519" t="s">
        <v>635</v>
      </c>
      <c r="R279" s="1520"/>
      <c r="S279" s="1519">
        <v>351.6</v>
      </c>
      <c r="T279" s="1519" t="s">
        <v>1199</v>
      </c>
      <c r="U279" s="1519">
        <v>1.46</v>
      </c>
      <c r="V279" s="1521" t="s">
        <v>1883</v>
      </c>
      <c r="W279" s="1522">
        <v>69</v>
      </c>
      <c r="X279" s="1523" t="s">
        <v>1883</v>
      </c>
      <c r="Y279" s="1524">
        <v>8.3279842901699992E-3</v>
      </c>
      <c r="Z279" s="1524">
        <v>0.91889259052981997</v>
      </c>
      <c r="AA279" s="1524">
        <v>2.2053422172715602</v>
      </c>
      <c r="AB279" s="1524">
        <v>1.67E-3</v>
      </c>
      <c r="AC279" s="1525" t="s">
        <v>1199</v>
      </c>
      <c r="AD279" s="1526" t="s">
        <v>635</v>
      </c>
      <c r="AE279" s="1527"/>
      <c r="AF279" s="1528" t="s">
        <v>635</v>
      </c>
      <c r="AG279" s="1527"/>
      <c r="AH279" s="1528">
        <v>1E-4</v>
      </c>
      <c r="AI279" s="1529" t="s">
        <v>1909</v>
      </c>
      <c r="AJ279" s="1528" t="s">
        <v>635</v>
      </c>
      <c r="AK279" s="1527"/>
      <c r="AL279" s="1527"/>
      <c r="AM279" s="1527"/>
      <c r="AN279" s="1530">
        <v>1</v>
      </c>
      <c r="AO279" s="1531">
        <v>0.1</v>
      </c>
      <c r="AP279" s="1532" t="s">
        <v>635</v>
      </c>
    </row>
    <row r="280" spans="1:42" ht="30">
      <c r="A280" s="1481" t="s">
        <v>186</v>
      </c>
      <c r="B280" s="1482" t="s">
        <v>2393</v>
      </c>
      <c r="C280" s="1483">
        <v>184.11</v>
      </c>
      <c r="D280" s="1484" t="s">
        <v>1883</v>
      </c>
      <c r="E280" s="1485">
        <v>3.51594439902E-6</v>
      </c>
      <c r="F280" s="1485">
        <v>8.6000000000000002E-8</v>
      </c>
      <c r="G280" s="1486" t="s">
        <v>1883</v>
      </c>
      <c r="H280" s="1485">
        <v>3.8999999999999999E-4</v>
      </c>
      <c r="I280" s="1486" t="s">
        <v>1883</v>
      </c>
      <c r="J280" s="1487">
        <v>114.8</v>
      </c>
      <c r="K280" s="1488" t="s">
        <v>1883</v>
      </c>
      <c r="L280" s="1489">
        <v>1.6830000000000001</v>
      </c>
      <c r="M280" s="1490" t="s">
        <v>1884</v>
      </c>
      <c r="N280" s="1491">
        <v>4.0669921011750002E-2</v>
      </c>
      <c r="O280" s="1491">
        <v>9.0756097778499994E-6</v>
      </c>
      <c r="P280" s="1492" t="s">
        <v>1885</v>
      </c>
      <c r="Q280" s="1493" t="s">
        <v>635</v>
      </c>
      <c r="R280" s="1494"/>
      <c r="S280" s="1493">
        <v>460.8</v>
      </c>
      <c r="T280" s="1493" t="s">
        <v>1199</v>
      </c>
      <c r="U280" s="1493">
        <v>1.67</v>
      </c>
      <c r="V280" s="1495" t="s">
        <v>1883</v>
      </c>
      <c r="W280" s="1496">
        <v>2790</v>
      </c>
      <c r="X280" s="1497" t="s">
        <v>1883</v>
      </c>
      <c r="Y280" s="1498">
        <v>9.7590366179299993E-3</v>
      </c>
      <c r="Z280" s="1498">
        <v>1.1294441221771601</v>
      </c>
      <c r="AA280" s="1498">
        <v>2.7106658932251899</v>
      </c>
      <c r="AB280" s="1498">
        <v>1.8699999999999999E-3</v>
      </c>
      <c r="AC280" s="1499" t="s">
        <v>1199</v>
      </c>
      <c r="AD280" s="1500" t="s">
        <v>635</v>
      </c>
      <c r="AE280" s="1501"/>
      <c r="AF280" s="1502" t="s">
        <v>635</v>
      </c>
      <c r="AG280" s="1501"/>
      <c r="AH280" s="1502">
        <v>2E-3</v>
      </c>
      <c r="AI280" s="1503" t="s">
        <v>1119</v>
      </c>
      <c r="AJ280" s="1502" t="s">
        <v>635</v>
      </c>
      <c r="AK280" s="1501"/>
      <c r="AL280" s="1501"/>
      <c r="AM280" s="1501"/>
      <c r="AN280" s="1504">
        <v>1</v>
      </c>
      <c r="AO280" s="1505">
        <v>0.1</v>
      </c>
      <c r="AP280" s="1506" t="s">
        <v>635</v>
      </c>
    </row>
    <row r="281" spans="1:42" ht="30">
      <c r="A281" s="1481" t="s">
        <v>2394</v>
      </c>
      <c r="B281" s="1482" t="s">
        <v>2395</v>
      </c>
      <c r="C281" s="1483">
        <v>182.14</v>
      </c>
      <c r="D281" s="1484" t="s">
        <v>1199</v>
      </c>
      <c r="E281" s="1485">
        <v>1.6230580539999999E-5</v>
      </c>
      <c r="F281" s="1485">
        <v>3.9700000000000002E-7</v>
      </c>
      <c r="G281" s="1486" t="s">
        <v>1199</v>
      </c>
      <c r="H281" s="1485">
        <v>2.15E-3</v>
      </c>
      <c r="I281" s="1486" t="s">
        <v>1199</v>
      </c>
      <c r="J281" s="1487">
        <v>60</v>
      </c>
      <c r="K281" s="1488" t="s">
        <v>1199</v>
      </c>
      <c r="L281" s="1489" t="s">
        <v>635</v>
      </c>
      <c r="M281" s="1533"/>
      <c r="N281" s="1491">
        <v>5.9131202749660002E-2</v>
      </c>
      <c r="O281" s="1491">
        <v>6.9090142160100002E-6</v>
      </c>
      <c r="P281" s="1492" t="s">
        <v>1885</v>
      </c>
      <c r="Q281" s="1493" t="s">
        <v>635</v>
      </c>
      <c r="R281" s="1494"/>
      <c r="S281" s="1493">
        <v>587.4</v>
      </c>
      <c r="T281" s="1493" t="s">
        <v>1199</v>
      </c>
      <c r="U281" s="1493">
        <v>2.1800000000000002</v>
      </c>
      <c r="V281" s="1495" t="s">
        <v>1199</v>
      </c>
      <c r="W281" s="1496">
        <v>270</v>
      </c>
      <c r="X281" s="1497" t="s">
        <v>1199</v>
      </c>
      <c r="Y281" s="1498">
        <v>2.1593480497589999E-2</v>
      </c>
      <c r="Z281" s="1498">
        <v>1.1011151793496901</v>
      </c>
      <c r="AA281" s="1498">
        <v>2.64267643043926</v>
      </c>
      <c r="AB281" s="1498">
        <v>4.1599999999999996E-3</v>
      </c>
      <c r="AC281" s="1499" t="s">
        <v>1199</v>
      </c>
      <c r="AD281" s="1500">
        <v>0.68</v>
      </c>
      <c r="AE281" s="1503" t="s">
        <v>1119</v>
      </c>
      <c r="AF281" s="1502" t="s">
        <v>635</v>
      </c>
      <c r="AG281" s="1501"/>
      <c r="AH281" s="1502" t="s">
        <v>635</v>
      </c>
      <c r="AI281" s="1501"/>
      <c r="AJ281" s="1502" t="s">
        <v>635</v>
      </c>
      <c r="AK281" s="1501"/>
      <c r="AL281" s="1501"/>
      <c r="AM281" s="1501"/>
      <c r="AN281" s="1504">
        <v>1</v>
      </c>
      <c r="AO281" s="1505">
        <v>0.1</v>
      </c>
      <c r="AP281" s="1506" t="s">
        <v>635</v>
      </c>
    </row>
    <row r="282" spans="1:42" ht="30">
      <c r="A282" s="1507" t="s">
        <v>188</v>
      </c>
      <c r="B282" s="1508" t="s">
        <v>2396</v>
      </c>
      <c r="C282" s="1509">
        <v>182.14</v>
      </c>
      <c r="D282" s="1510" t="s">
        <v>1883</v>
      </c>
      <c r="E282" s="1511">
        <v>2.2076860179899999E-6</v>
      </c>
      <c r="F282" s="1511">
        <v>5.4E-8</v>
      </c>
      <c r="G282" s="1512" t="s">
        <v>1883</v>
      </c>
      <c r="H282" s="1511">
        <v>1.47E-4</v>
      </c>
      <c r="I282" s="1512" t="s">
        <v>1883</v>
      </c>
      <c r="J282" s="1513">
        <v>71</v>
      </c>
      <c r="K282" s="1514" t="s">
        <v>1883</v>
      </c>
      <c r="L282" s="1515">
        <v>1.3208</v>
      </c>
      <c r="M282" s="1516" t="s">
        <v>1884</v>
      </c>
      <c r="N282" s="1517">
        <v>3.7511504073990003E-2</v>
      </c>
      <c r="O282" s="1517">
        <v>7.8982487671299997E-6</v>
      </c>
      <c r="P282" s="1518" t="s">
        <v>1885</v>
      </c>
      <c r="Q282" s="1519" t="s">
        <v>635</v>
      </c>
      <c r="R282" s="1520"/>
      <c r="S282" s="1519">
        <v>575.6</v>
      </c>
      <c r="T282" s="1519" t="s">
        <v>1199</v>
      </c>
      <c r="U282" s="1519">
        <v>1.98</v>
      </c>
      <c r="V282" s="1521" t="s">
        <v>1883</v>
      </c>
      <c r="W282" s="1522">
        <v>200</v>
      </c>
      <c r="X282" s="1523" t="s">
        <v>1883</v>
      </c>
      <c r="Y282" s="1524">
        <v>1.5987480753030001E-2</v>
      </c>
      <c r="Z282" s="1524">
        <v>1.1011151793496901</v>
      </c>
      <c r="AA282" s="1524">
        <v>2.64267643043926</v>
      </c>
      <c r="AB282" s="1524">
        <v>3.0799999999999998E-3</v>
      </c>
      <c r="AC282" s="1525" t="s">
        <v>1199</v>
      </c>
      <c r="AD282" s="1526">
        <v>0.31</v>
      </c>
      <c r="AE282" s="1529" t="s">
        <v>1900</v>
      </c>
      <c r="AF282" s="1528">
        <v>8.8999999999999995E-5</v>
      </c>
      <c r="AG282" s="1529" t="s">
        <v>1900</v>
      </c>
      <c r="AH282" s="1528">
        <v>2E-3</v>
      </c>
      <c r="AI282" s="1529" t="s">
        <v>1119</v>
      </c>
      <c r="AJ282" s="1528" t="s">
        <v>635</v>
      </c>
      <c r="AK282" s="1527"/>
      <c r="AL282" s="1527"/>
      <c r="AM282" s="1527"/>
      <c r="AN282" s="1530">
        <v>1</v>
      </c>
      <c r="AO282" s="1546">
        <v>0.10199999999999999</v>
      </c>
      <c r="AP282" s="1532" t="s">
        <v>635</v>
      </c>
    </row>
    <row r="283" spans="1:42" ht="30">
      <c r="A283" s="1481" t="s">
        <v>2397</v>
      </c>
      <c r="B283" s="1482" t="s">
        <v>2398</v>
      </c>
      <c r="C283" s="1483">
        <v>182.14</v>
      </c>
      <c r="D283" s="1484" t="s">
        <v>1883</v>
      </c>
      <c r="E283" s="1485">
        <v>3.0539656579999998E-5</v>
      </c>
      <c r="F283" s="1485">
        <v>7.4700000000000001E-7</v>
      </c>
      <c r="G283" s="1486" t="s">
        <v>1199</v>
      </c>
      <c r="H283" s="1485">
        <v>5.6700000000000001E-4</v>
      </c>
      <c r="I283" s="1486" t="s">
        <v>1883</v>
      </c>
      <c r="J283" s="1487">
        <v>66</v>
      </c>
      <c r="K283" s="1488" t="s">
        <v>1883</v>
      </c>
      <c r="L283" s="1489">
        <v>1.2833000000000001</v>
      </c>
      <c r="M283" s="1490" t="s">
        <v>1884</v>
      </c>
      <c r="N283" s="1491">
        <v>3.7025583727249997E-2</v>
      </c>
      <c r="O283" s="1491">
        <v>7.7629267596600005E-6</v>
      </c>
      <c r="P283" s="1492" t="s">
        <v>1885</v>
      </c>
      <c r="Q283" s="1493" t="s">
        <v>635</v>
      </c>
      <c r="R283" s="1494"/>
      <c r="S283" s="1493">
        <v>587.4</v>
      </c>
      <c r="T283" s="1493" t="s">
        <v>1199</v>
      </c>
      <c r="U283" s="1493">
        <v>2.1</v>
      </c>
      <c r="V283" s="1495" t="s">
        <v>1883</v>
      </c>
      <c r="W283" s="1496">
        <v>182</v>
      </c>
      <c r="X283" s="1497" t="s">
        <v>1883</v>
      </c>
      <c r="Y283" s="1498">
        <v>1.9205739865649999E-2</v>
      </c>
      <c r="Z283" s="1498">
        <v>1.1011151793496901</v>
      </c>
      <c r="AA283" s="1498">
        <v>2.64267643043926</v>
      </c>
      <c r="AB283" s="1498">
        <v>3.7000000000000002E-3</v>
      </c>
      <c r="AC283" s="1499" t="s">
        <v>1199</v>
      </c>
      <c r="AD283" s="1500">
        <v>1.5</v>
      </c>
      <c r="AE283" s="1503" t="s">
        <v>1909</v>
      </c>
      <c r="AF283" s="1502" t="s">
        <v>635</v>
      </c>
      <c r="AG283" s="1501"/>
      <c r="AH283" s="1502">
        <v>2.9999999999999997E-4</v>
      </c>
      <c r="AI283" s="1503" t="s">
        <v>1893</v>
      </c>
      <c r="AJ283" s="1502" t="s">
        <v>635</v>
      </c>
      <c r="AK283" s="1501"/>
      <c r="AL283" s="1501"/>
      <c r="AM283" s="1501"/>
      <c r="AN283" s="1504">
        <v>1</v>
      </c>
      <c r="AO283" s="1545">
        <v>9.9000000000000005E-2</v>
      </c>
      <c r="AP283" s="1506" t="s">
        <v>635</v>
      </c>
    </row>
    <row r="284" spans="1:42" ht="30">
      <c r="A284" s="1481" t="s">
        <v>2399</v>
      </c>
      <c r="B284" s="1482" t="s">
        <v>2400</v>
      </c>
      <c r="C284" s="1483">
        <v>197.15</v>
      </c>
      <c r="D284" s="1484" t="s">
        <v>1883</v>
      </c>
      <c r="E284" s="1485">
        <v>1.33687653312E-9</v>
      </c>
      <c r="F284" s="1485">
        <v>3.2700000000000001E-11</v>
      </c>
      <c r="G284" s="1486" t="s">
        <v>1883</v>
      </c>
      <c r="H284" s="1485">
        <v>1.0699999999999999E-5</v>
      </c>
      <c r="I284" s="1486" t="s">
        <v>1883</v>
      </c>
      <c r="J284" s="1487">
        <v>174.5</v>
      </c>
      <c r="K284" s="1488" t="s">
        <v>1883</v>
      </c>
      <c r="L284" s="1489" t="s">
        <v>635</v>
      </c>
      <c r="M284" s="1533"/>
      <c r="N284" s="1491">
        <v>5.6090470115739997E-2</v>
      </c>
      <c r="O284" s="1491">
        <v>6.5537286135200003E-6</v>
      </c>
      <c r="P284" s="1492" t="s">
        <v>1885</v>
      </c>
      <c r="Q284" s="1493" t="s">
        <v>635</v>
      </c>
      <c r="R284" s="1494"/>
      <c r="S284" s="1493">
        <v>283</v>
      </c>
      <c r="T284" s="1493" t="s">
        <v>1199</v>
      </c>
      <c r="U284" s="1493">
        <v>1.84</v>
      </c>
      <c r="V284" s="1495" t="s">
        <v>1883</v>
      </c>
      <c r="W284" s="1496">
        <v>1220</v>
      </c>
      <c r="X284" s="1497" t="s">
        <v>1883</v>
      </c>
      <c r="Y284" s="1498">
        <v>1.1016793528290001E-2</v>
      </c>
      <c r="Z284" s="1498">
        <v>1.3362531734440699</v>
      </c>
      <c r="AA284" s="1498">
        <v>3.2070076162657601</v>
      </c>
      <c r="AB284" s="1498">
        <v>2.0400000000000001E-3</v>
      </c>
      <c r="AC284" s="1499" t="s">
        <v>1199</v>
      </c>
      <c r="AD284" s="1500" t="s">
        <v>635</v>
      </c>
      <c r="AE284" s="1501"/>
      <c r="AF284" s="1502" t="s">
        <v>635</v>
      </c>
      <c r="AG284" s="1501"/>
      <c r="AH284" s="1502">
        <v>1E-4</v>
      </c>
      <c r="AI284" s="1503" t="s">
        <v>1893</v>
      </c>
      <c r="AJ284" s="1502" t="s">
        <v>635</v>
      </c>
      <c r="AK284" s="1501"/>
      <c r="AL284" s="1501"/>
      <c r="AM284" s="1501"/>
      <c r="AN284" s="1504">
        <v>1</v>
      </c>
      <c r="AO284" s="1545">
        <v>6.0000000000000001E-3</v>
      </c>
      <c r="AP284" s="1506" t="s">
        <v>635</v>
      </c>
    </row>
    <row r="285" spans="1:42" ht="30">
      <c r="A285" s="1507" t="s">
        <v>2401</v>
      </c>
      <c r="B285" s="1508" t="s">
        <v>2402</v>
      </c>
      <c r="C285" s="1509">
        <v>197.15</v>
      </c>
      <c r="D285" s="1510" t="s">
        <v>1883</v>
      </c>
      <c r="E285" s="1511">
        <v>1.33687653312E-9</v>
      </c>
      <c r="F285" s="1511">
        <v>3.2700000000000001E-11</v>
      </c>
      <c r="G285" s="1512" t="s">
        <v>1883</v>
      </c>
      <c r="H285" s="1511">
        <v>1.0699999999999999E-5</v>
      </c>
      <c r="I285" s="1512" t="s">
        <v>1883</v>
      </c>
      <c r="J285" s="1513">
        <v>171</v>
      </c>
      <c r="K285" s="1514" t="s">
        <v>1883</v>
      </c>
      <c r="L285" s="1515" t="s">
        <v>635</v>
      </c>
      <c r="M285" s="1538"/>
      <c r="N285" s="1517">
        <v>5.6090470115739997E-2</v>
      </c>
      <c r="O285" s="1517">
        <v>6.5537286135200003E-6</v>
      </c>
      <c r="P285" s="1518" t="s">
        <v>1885</v>
      </c>
      <c r="Q285" s="1519" t="s">
        <v>635</v>
      </c>
      <c r="R285" s="1520"/>
      <c r="S285" s="1519">
        <v>283</v>
      </c>
      <c r="T285" s="1519" t="s">
        <v>1199</v>
      </c>
      <c r="U285" s="1519">
        <v>1.84</v>
      </c>
      <c r="V285" s="1521" t="s">
        <v>1883</v>
      </c>
      <c r="W285" s="1522">
        <v>1220</v>
      </c>
      <c r="X285" s="1523" t="s">
        <v>1883</v>
      </c>
      <c r="Y285" s="1524">
        <v>1.1016793528290001E-2</v>
      </c>
      <c r="Z285" s="1524">
        <v>1.3362531734440699</v>
      </c>
      <c r="AA285" s="1524">
        <v>3.2070076162657601</v>
      </c>
      <c r="AB285" s="1524">
        <v>2.0400000000000001E-3</v>
      </c>
      <c r="AC285" s="1525" t="s">
        <v>1199</v>
      </c>
      <c r="AD285" s="1526" t="s">
        <v>635</v>
      </c>
      <c r="AE285" s="1527"/>
      <c r="AF285" s="1528" t="s">
        <v>635</v>
      </c>
      <c r="AG285" s="1527"/>
      <c r="AH285" s="1528">
        <v>1E-4</v>
      </c>
      <c r="AI285" s="1529" t="s">
        <v>1893</v>
      </c>
      <c r="AJ285" s="1528" t="s">
        <v>635</v>
      </c>
      <c r="AK285" s="1527"/>
      <c r="AL285" s="1527"/>
      <c r="AM285" s="1527"/>
      <c r="AN285" s="1530">
        <v>1</v>
      </c>
      <c r="AO285" s="1546">
        <v>8.9999999999999993E-3</v>
      </c>
      <c r="AP285" s="1532" t="s">
        <v>635</v>
      </c>
    </row>
    <row r="286" spans="1:42" ht="30">
      <c r="A286" s="1481" t="s">
        <v>2403</v>
      </c>
      <c r="B286" s="1482" t="s">
        <v>2404</v>
      </c>
      <c r="C286" s="1483">
        <v>546.41</v>
      </c>
      <c r="D286" s="1484" t="s">
        <v>1883</v>
      </c>
      <c r="E286" s="1485">
        <v>3.78577269011E-6</v>
      </c>
      <c r="F286" s="1485">
        <v>9.2599999999999995E-8</v>
      </c>
      <c r="G286" s="1486" t="s">
        <v>1883</v>
      </c>
      <c r="H286" s="1485">
        <v>3.97E-4</v>
      </c>
      <c r="I286" s="1486" t="s">
        <v>1883</v>
      </c>
      <c r="J286" s="1487">
        <v>60</v>
      </c>
      <c r="K286" s="1488" t="s">
        <v>1199</v>
      </c>
      <c r="L286" s="1489" t="s">
        <v>635</v>
      </c>
      <c r="M286" s="1533"/>
      <c r="N286" s="1491">
        <v>2.842766408887E-2</v>
      </c>
      <c r="O286" s="1491">
        <v>3.3215481198599998E-6</v>
      </c>
      <c r="P286" s="1492" t="s">
        <v>1885</v>
      </c>
      <c r="Q286" s="1493" t="s">
        <v>635</v>
      </c>
      <c r="R286" s="1494"/>
      <c r="S286" s="1493">
        <v>587.4</v>
      </c>
      <c r="T286" s="1493" t="s">
        <v>1199</v>
      </c>
      <c r="U286" s="1493">
        <v>2.1800000000000002</v>
      </c>
      <c r="V286" s="1495" t="s">
        <v>1883</v>
      </c>
      <c r="W286" s="1496">
        <v>270</v>
      </c>
      <c r="X286" s="1497" t="s">
        <v>1883</v>
      </c>
      <c r="Y286" s="1498">
        <v>3.7400663095730001E-2</v>
      </c>
      <c r="Z286" s="1498">
        <v>120.710416833137</v>
      </c>
      <c r="AA286" s="1498">
        <v>289.70500039952799</v>
      </c>
      <c r="AB286" s="1498">
        <v>4.1599999999999996E-3</v>
      </c>
      <c r="AC286" s="1499" t="s">
        <v>1199</v>
      </c>
      <c r="AD286" s="1500">
        <v>0.45</v>
      </c>
      <c r="AE286" s="1503" t="s">
        <v>1893</v>
      </c>
      <c r="AF286" s="1502" t="s">
        <v>635</v>
      </c>
      <c r="AG286" s="1501"/>
      <c r="AH286" s="1502">
        <v>8.9999999999999998E-4</v>
      </c>
      <c r="AI286" s="1503" t="s">
        <v>1893</v>
      </c>
      <c r="AJ286" s="1502" t="s">
        <v>635</v>
      </c>
      <c r="AK286" s="1501"/>
      <c r="AL286" s="1501"/>
      <c r="AM286" s="1501"/>
      <c r="AN286" s="1504">
        <v>1</v>
      </c>
      <c r="AO286" s="1505">
        <v>0.1</v>
      </c>
      <c r="AP286" s="1506" t="s">
        <v>635</v>
      </c>
    </row>
    <row r="287" spans="1:42" ht="30">
      <c r="A287" s="1481" t="s">
        <v>2405</v>
      </c>
      <c r="B287" s="1482" t="s">
        <v>2406</v>
      </c>
      <c r="C287" s="1483">
        <v>240.22</v>
      </c>
      <c r="D287" s="1484" t="s">
        <v>1883</v>
      </c>
      <c r="E287" s="1485">
        <v>1.8642681929999999E-5</v>
      </c>
      <c r="F287" s="1485">
        <v>4.5600000000000001E-7</v>
      </c>
      <c r="G287" s="1486" t="s">
        <v>1199</v>
      </c>
      <c r="H287" s="1485">
        <v>7.4999999999999993E-5</v>
      </c>
      <c r="I287" s="1486" t="s">
        <v>1883</v>
      </c>
      <c r="J287" s="1487">
        <v>40</v>
      </c>
      <c r="K287" s="1488" t="s">
        <v>1883</v>
      </c>
      <c r="L287" s="1489">
        <v>1.2649999999999999</v>
      </c>
      <c r="M287" s="1490" t="s">
        <v>1884</v>
      </c>
      <c r="N287" s="1491">
        <v>2.534582295187E-2</v>
      </c>
      <c r="O287" s="1491">
        <v>6.5186939156999999E-6</v>
      </c>
      <c r="P287" s="1492" t="s">
        <v>1885</v>
      </c>
      <c r="Q287" s="1493" t="s">
        <v>635</v>
      </c>
      <c r="R287" s="1494"/>
      <c r="S287" s="1493">
        <v>4294</v>
      </c>
      <c r="T287" s="1493" t="s">
        <v>1199</v>
      </c>
      <c r="U287" s="1493">
        <v>3.56</v>
      </c>
      <c r="V287" s="1495" t="s">
        <v>1883</v>
      </c>
      <c r="W287" s="1496">
        <v>52</v>
      </c>
      <c r="X287" s="1497" t="s">
        <v>1883</v>
      </c>
      <c r="Y287" s="1498">
        <v>9.7167009736150001E-2</v>
      </c>
      <c r="Z287" s="1498">
        <v>2.3285241665823602</v>
      </c>
      <c r="AA287" s="1498">
        <v>5.5884579997976598</v>
      </c>
      <c r="AB287" s="1498">
        <v>1.6299999999999999E-2</v>
      </c>
      <c r="AC287" s="1499" t="s">
        <v>1199</v>
      </c>
      <c r="AD287" s="1500" t="s">
        <v>635</v>
      </c>
      <c r="AE287" s="1501"/>
      <c r="AF287" s="1502" t="s">
        <v>635</v>
      </c>
      <c r="AG287" s="1501"/>
      <c r="AH287" s="1502">
        <v>1E-3</v>
      </c>
      <c r="AI287" s="1503" t="s">
        <v>1119</v>
      </c>
      <c r="AJ287" s="1502" t="s">
        <v>635</v>
      </c>
      <c r="AK287" s="1501"/>
      <c r="AL287" s="1501"/>
      <c r="AM287" s="1501"/>
      <c r="AN287" s="1504">
        <v>1</v>
      </c>
      <c r="AO287" s="1505">
        <v>0.1</v>
      </c>
      <c r="AP287" s="1506" t="s">
        <v>635</v>
      </c>
    </row>
    <row r="288" spans="1:42" ht="30">
      <c r="A288" s="1507" t="s">
        <v>190</v>
      </c>
      <c r="B288" s="1508" t="s">
        <v>2407</v>
      </c>
      <c r="C288" s="1509">
        <v>88.106999999999999</v>
      </c>
      <c r="D288" s="1510" t="s">
        <v>1883</v>
      </c>
      <c r="E288" s="1511">
        <v>1.9623875715000001E-4</v>
      </c>
      <c r="F288" s="1511">
        <v>4.7999999999999998E-6</v>
      </c>
      <c r="G288" s="1512" t="s">
        <v>1883</v>
      </c>
      <c r="H288" s="1511">
        <v>38.090000000000003</v>
      </c>
      <c r="I288" s="1512" t="s">
        <v>1883</v>
      </c>
      <c r="J288" s="1513">
        <v>11.8</v>
      </c>
      <c r="K288" s="1514" t="s">
        <v>1883</v>
      </c>
      <c r="L288" s="1515">
        <v>1.0337000000000001</v>
      </c>
      <c r="M288" s="1516" t="s">
        <v>1884</v>
      </c>
      <c r="N288" s="1517">
        <v>8.7373925367260005E-2</v>
      </c>
      <c r="O288" s="1517">
        <v>1.0541495629999999E-5</v>
      </c>
      <c r="P288" s="1518" t="s">
        <v>1885</v>
      </c>
      <c r="Q288" s="1519" t="s">
        <v>635</v>
      </c>
      <c r="R288" s="1520"/>
      <c r="S288" s="1519">
        <v>2.633</v>
      </c>
      <c r="T288" s="1519" t="s">
        <v>1199</v>
      </c>
      <c r="U288" s="1519">
        <v>-0.27</v>
      </c>
      <c r="V288" s="1521" t="s">
        <v>1883</v>
      </c>
      <c r="W288" s="1522">
        <v>1000000</v>
      </c>
      <c r="X288" s="1523" t="s">
        <v>1883</v>
      </c>
      <c r="Y288" s="1524">
        <v>1.1985880480299999E-3</v>
      </c>
      <c r="Z288" s="1524">
        <v>0.32752763525405998</v>
      </c>
      <c r="AA288" s="1524">
        <v>0.78606632460975001</v>
      </c>
      <c r="AB288" s="1524">
        <v>3.3199999999999999E-4</v>
      </c>
      <c r="AC288" s="1525" t="s">
        <v>1199</v>
      </c>
      <c r="AD288" s="1526">
        <v>0.1</v>
      </c>
      <c r="AE288" s="1529" t="s">
        <v>1119</v>
      </c>
      <c r="AF288" s="1528">
        <v>5.0000000000000004E-6</v>
      </c>
      <c r="AG288" s="1529" t="s">
        <v>1119</v>
      </c>
      <c r="AH288" s="1528">
        <v>0.03</v>
      </c>
      <c r="AI288" s="1529" t="s">
        <v>1119</v>
      </c>
      <c r="AJ288" s="1528">
        <v>0.03</v>
      </c>
      <c r="AK288" s="1529" t="s">
        <v>1119</v>
      </c>
      <c r="AL288" s="1529" t="s">
        <v>1127</v>
      </c>
      <c r="AM288" s="1527"/>
      <c r="AN288" s="1530">
        <v>1</v>
      </c>
      <c r="AO288" s="1530" t="s">
        <v>635</v>
      </c>
      <c r="AP288" s="1532">
        <v>116000</v>
      </c>
    </row>
    <row r="289" spans="1:42" ht="15">
      <c r="A289" s="1481"/>
      <c r="B289" s="1482" t="s">
        <v>2408</v>
      </c>
      <c r="C289" s="1483" t="s">
        <v>635</v>
      </c>
      <c r="D289" s="1543"/>
      <c r="E289" s="1485" t="s">
        <v>635</v>
      </c>
      <c r="F289" s="1485" t="s">
        <v>635</v>
      </c>
      <c r="G289" s="1536"/>
      <c r="H289" s="1485" t="s">
        <v>635</v>
      </c>
      <c r="I289" s="1536"/>
      <c r="J289" s="1487" t="s">
        <v>635</v>
      </c>
      <c r="K289" s="1542"/>
      <c r="L289" s="1489" t="s">
        <v>635</v>
      </c>
      <c r="M289" s="1533"/>
      <c r="N289" s="1491" t="s">
        <v>635</v>
      </c>
      <c r="O289" s="1491" t="s">
        <v>635</v>
      </c>
      <c r="P289" s="1544"/>
      <c r="Q289" s="1493" t="s">
        <v>635</v>
      </c>
      <c r="R289" s="1494"/>
      <c r="S289" s="1493" t="s">
        <v>635</v>
      </c>
      <c r="T289" s="1494"/>
      <c r="U289" s="1493" t="s">
        <v>635</v>
      </c>
      <c r="V289" s="1481"/>
      <c r="W289" s="1496" t="s">
        <v>635</v>
      </c>
      <c r="X289" s="1537"/>
      <c r="Y289" s="1498" t="s">
        <v>635</v>
      </c>
      <c r="Z289" s="1498" t="s">
        <v>635</v>
      </c>
      <c r="AA289" s="1498" t="s">
        <v>635</v>
      </c>
      <c r="AB289" s="1498" t="s">
        <v>635</v>
      </c>
      <c r="AC289" s="1547"/>
      <c r="AD289" s="1500" t="s">
        <v>635</v>
      </c>
      <c r="AE289" s="1501"/>
      <c r="AF289" s="1502" t="s">
        <v>635</v>
      </c>
      <c r="AG289" s="1501"/>
      <c r="AH289" s="1502" t="s">
        <v>635</v>
      </c>
      <c r="AI289" s="1501"/>
      <c r="AJ289" s="1502" t="s">
        <v>635</v>
      </c>
      <c r="AK289" s="1501"/>
      <c r="AL289" s="1501"/>
      <c r="AM289" s="1501"/>
      <c r="AN289" s="1504" t="s">
        <v>635</v>
      </c>
      <c r="AO289" s="1504" t="s">
        <v>635</v>
      </c>
      <c r="AP289" s="1506" t="s">
        <v>635</v>
      </c>
    </row>
    <row r="290" spans="1:42" ht="30">
      <c r="A290" s="1481" t="s">
        <v>2409</v>
      </c>
      <c r="B290" s="1482" t="s">
        <v>2410</v>
      </c>
      <c r="C290" s="1483">
        <v>390.87</v>
      </c>
      <c r="D290" s="1484" t="s">
        <v>1883</v>
      </c>
      <c r="E290" s="1485">
        <v>2.3303352412000001E-4</v>
      </c>
      <c r="F290" s="1485">
        <v>5.6999999999999996E-6</v>
      </c>
      <c r="G290" s="1486" t="s">
        <v>1199</v>
      </c>
      <c r="H290" s="1485">
        <v>4.4000000000000003E-11</v>
      </c>
      <c r="I290" s="1486" t="s">
        <v>1883</v>
      </c>
      <c r="J290" s="1487">
        <v>250</v>
      </c>
      <c r="K290" s="1488" t="s">
        <v>1883</v>
      </c>
      <c r="L290" s="1489">
        <v>1.7769999999999999</v>
      </c>
      <c r="M290" s="1490" t="s">
        <v>1989</v>
      </c>
      <c r="N290" s="1491">
        <v>4.2682819875729999E-2</v>
      </c>
      <c r="O290" s="1491">
        <v>5.9684948705699997E-6</v>
      </c>
      <c r="P290" s="1492" t="s">
        <v>1885</v>
      </c>
      <c r="Q290" s="1493" t="s">
        <v>635</v>
      </c>
      <c r="R290" s="1494"/>
      <c r="S290" s="1493">
        <v>695200</v>
      </c>
      <c r="T290" s="1493" t="s">
        <v>1199</v>
      </c>
      <c r="U290" s="1493">
        <v>8.2100000000000009</v>
      </c>
      <c r="V290" s="1495" t="s">
        <v>1883</v>
      </c>
      <c r="W290" s="1496">
        <v>3.9999999999999998E-6</v>
      </c>
      <c r="X290" s="1497" t="s">
        <v>1883</v>
      </c>
      <c r="Y290" s="1498">
        <v>21.7474757155859</v>
      </c>
      <c r="Z290" s="1498">
        <v>16.245038674909601</v>
      </c>
      <c r="AA290" s="1498">
        <v>75.114655789551804</v>
      </c>
      <c r="AB290" s="1498">
        <v>2.86</v>
      </c>
      <c r="AC290" s="1499" t="s">
        <v>1199</v>
      </c>
      <c r="AD290" s="1500">
        <v>6200</v>
      </c>
      <c r="AE290" s="1503" t="s">
        <v>1119</v>
      </c>
      <c r="AF290" s="1502">
        <v>1.3</v>
      </c>
      <c r="AG290" s="1503" t="s">
        <v>1119</v>
      </c>
      <c r="AH290" s="1502" t="s">
        <v>635</v>
      </c>
      <c r="AI290" s="1501"/>
      <c r="AJ290" s="1502" t="s">
        <v>635</v>
      </c>
      <c r="AK290" s="1501"/>
      <c r="AL290" s="1501"/>
      <c r="AM290" s="1501"/>
      <c r="AN290" s="1504">
        <v>1</v>
      </c>
      <c r="AO290" s="1539">
        <v>0.03</v>
      </c>
      <c r="AP290" s="1506" t="s">
        <v>635</v>
      </c>
    </row>
    <row r="291" spans="1:42" ht="30">
      <c r="A291" s="1507" t="s">
        <v>192</v>
      </c>
      <c r="B291" s="1508" t="s">
        <v>2411</v>
      </c>
      <c r="C291" s="1509">
        <v>321.98</v>
      </c>
      <c r="D291" s="1510" t="s">
        <v>1883</v>
      </c>
      <c r="E291" s="1511">
        <v>2.0441537203599999E-3</v>
      </c>
      <c r="F291" s="1511">
        <v>5.0000000000000002E-5</v>
      </c>
      <c r="G291" s="1512" t="s">
        <v>1199</v>
      </c>
      <c r="H291" s="1511">
        <v>1.5E-9</v>
      </c>
      <c r="I291" s="1512" t="s">
        <v>1883</v>
      </c>
      <c r="J291" s="1513">
        <v>305</v>
      </c>
      <c r="K291" s="1514" t="s">
        <v>1883</v>
      </c>
      <c r="L291" s="1515">
        <v>1.8</v>
      </c>
      <c r="M291" s="1516" t="s">
        <v>1890</v>
      </c>
      <c r="N291" s="1517">
        <v>4.702781760086E-2</v>
      </c>
      <c r="O291" s="1517">
        <v>6.7567513486299998E-6</v>
      </c>
      <c r="P291" s="1518" t="s">
        <v>1885</v>
      </c>
      <c r="Q291" s="1519" t="s">
        <v>635</v>
      </c>
      <c r="R291" s="1520"/>
      <c r="S291" s="1519">
        <v>249100</v>
      </c>
      <c r="T291" s="1519" t="s">
        <v>1199</v>
      </c>
      <c r="U291" s="1519">
        <v>6.8</v>
      </c>
      <c r="V291" s="1521" t="s">
        <v>1883</v>
      </c>
      <c r="W291" s="1522">
        <v>2.0000000000000001E-4</v>
      </c>
      <c r="X291" s="1523" t="s">
        <v>1883</v>
      </c>
      <c r="Y291" s="1524">
        <v>5.5763812829663797</v>
      </c>
      <c r="Z291" s="1524">
        <v>6.6824658745553398</v>
      </c>
      <c r="AA291" s="1524">
        <v>29.471893843615899</v>
      </c>
      <c r="AB291" s="1524">
        <v>0.80800000000000005</v>
      </c>
      <c r="AC291" s="1525" t="s">
        <v>1199</v>
      </c>
      <c r="AD291" s="1526">
        <v>130000</v>
      </c>
      <c r="AE291" s="1529" t="s">
        <v>1900</v>
      </c>
      <c r="AF291" s="1528">
        <v>38</v>
      </c>
      <c r="AG291" s="1529" t="s">
        <v>1900</v>
      </c>
      <c r="AH291" s="1528">
        <v>6.9999999999999996E-10</v>
      </c>
      <c r="AI291" s="1529" t="s">
        <v>1119</v>
      </c>
      <c r="AJ291" s="1528">
        <v>4.0000000000000001E-8</v>
      </c>
      <c r="AK291" s="1529" t="s">
        <v>1900</v>
      </c>
      <c r="AL291" s="1529" t="s">
        <v>1127</v>
      </c>
      <c r="AM291" s="1527"/>
      <c r="AN291" s="1530">
        <v>1</v>
      </c>
      <c r="AO291" s="1541">
        <v>0.03</v>
      </c>
      <c r="AP291" s="1532" t="s">
        <v>635</v>
      </c>
    </row>
    <row r="292" spans="1:42" ht="30">
      <c r="A292" s="1481" t="s">
        <v>2412</v>
      </c>
      <c r="B292" s="1482" t="s">
        <v>2413</v>
      </c>
      <c r="C292" s="1483">
        <v>239.32</v>
      </c>
      <c r="D292" s="1484" t="s">
        <v>1883</v>
      </c>
      <c r="E292" s="1485">
        <v>1.4840556009799999E-9</v>
      </c>
      <c r="F292" s="1485">
        <v>3.63E-11</v>
      </c>
      <c r="G292" s="1486" t="s">
        <v>1199</v>
      </c>
      <c r="H292" s="1485">
        <v>2.9999999999999997E-8</v>
      </c>
      <c r="I292" s="1486" t="s">
        <v>1883</v>
      </c>
      <c r="J292" s="1487">
        <v>135</v>
      </c>
      <c r="K292" s="1488" t="s">
        <v>1883</v>
      </c>
      <c r="L292" s="1489">
        <v>1.17</v>
      </c>
      <c r="M292" s="1490" t="s">
        <v>1884</v>
      </c>
      <c r="N292" s="1491">
        <v>2.4482885855909998E-2</v>
      </c>
      <c r="O292" s="1491">
        <v>6.2344176408000002E-6</v>
      </c>
      <c r="P292" s="1492" t="s">
        <v>1885</v>
      </c>
      <c r="Q292" s="1493" t="s">
        <v>635</v>
      </c>
      <c r="R292" s="1494"/>
      <c r="S292" s="1493">
        <v>4798</v>
      </c>
      <c r="T292" s="1493" t="s">
        <v>1199</v>
      </c>
      <c r="U292" s="1493">
        <v>2.17</v>
      </c>
      <c r="V292" s="1495" t="s">
        <v>1883</v>
      </c>
      <c r="W292" s="1496">
        <v>260</v>
      </c>
      <c r="X292" s="1497" t="s">
        <v>1883</v>
      </c>
      <c r="Y292" s="1498">
        <v>3.3498437012020002E-2</v>
      </c>
      <c r="Z292" s="1498">
        <v>2.3016577705807699</v>
      </c>
      <c r="AA292" s="1498">
        <v>5.5239786493938396</v>
      </c>
      <c r="AB292" s="1498">
        <v>5.6299999999999996E-3</v>
      </c>
      <c r="AC292" s="1499" t="s">
        <v>1199</v>
      </c>
      <c r="AD292" s="1500" t="s">
        <v>635</v>
      </c>
      <c r="AE292" s="1501"/>
      <c r="AF292" s="1502" t="s">
        <v>635</v>
      </c>
      <c r="AG292" s="1501"/>
      <c r="AH292" s="1502">
        <v>0.03</v>
      </c>
      <c r="AI292" s="1503" t="s">
        <v>1119</v>
      </c>
      <c r="AJ292" s="1502" t="s">
        <v>635</v>
      </c>
      <c r="AK292" s="1501"/>
      <c r="AL292" s="1501"/>
      <c r="AM292" s="1501"/>
      <c r="AN292" s="1504">
        <v>1</v>
      </c>
      <c r="AO292" s="1505">
        <v>0.1</v>
      </c>
      <c r="AP292" s="1506" t="s">
        <v>635</v>
      </c>
    </row>
    <row r="293" spans="1:42" ht="30">
      <c r="A293" s="1481" t="s">
        <v>2414</v>
      </c>
      <c r="B293" s="1482" t="s">
        <v>2415</v>
      </c>
      <c r="C293" s="1483">
        <v>170.21</v>
      </c>
      <c r="D293" s="1484" t="s">
        <v>1883</v>
      </c>
      <c r="E293" s="1485">
        <v>1.1406378E-2</v>
      </c>
      <c r="F293" s="1485">
        <v>2.7900000000000001E-4</v>
      </c>
      <c r="G293" s="1486" t="s">
        <v>1199</v>
      </c>
      <c r="H293" s="1485">
        <v>2.2499999999999999E-2</v>
      </c>
      <c r="I293" s="1486" t="s">
        <v>1883</v>
      </c>
      <c r="J293" s="1487">
        <v>26.8</v>
      </c>
      <c r="K293" s="1488" t="s">
        <v>1883</v>
      </c>
      <c r="L293" s="1489">
        <v>1.0661</v>
      </c>
      <c r="M293" s="1490" t="s">
        <v>1884</v>
      </c>
      <c r="N293" s="1491">
        <v>3.9686288966650003E-2</v>
      </c>
      <c r="O293" s="1491">
        <v>7.2336833611800004E-6</v>
      </c>
      <c r="P293" s="1492" t="s">
        <v>1885</v>
      </c>
      <c r="Q293" s="1493" t="s">
        <v>635</v>
      </c>
      <c r="R293" s="1494"/>
      <c r="S293" s="1493">
        <v>1950</v>
      </c>
      <c r="T293" s="1493" t="s">
        <v>1247</v>
      </c>
      <c r="U293" s="1493">
        <v>4.21</v>
      </c>
      <c r="V293" s="1495" t="s">
        <v>1883</v>
      </c>
      <c r="W293" s="1496">
        <v>18</v>
      </c>
      <c r="X293" s="1497" t="s">
        <v>1883</v>
      </c>
      <c r="Y293" s="1498">
        <v>0.54694755571098996</v>
      </c>
      <c r="Z293" s="1498">
        <v>0.94411467805237004</v>
      </c>
      <c r="AA293" s="1498">
        <v>2.2658752273256901</v>
      </c>
      <c r="AB293" s="1498">
        <v>0.109</v>
      </c>
      <c r="AC293" s="1499" t="s">
        <v>1199</v>
      </c>
      <c r="AD293" s="1500" t="s">
        <v>635</v>
      </c>
      <c r="AE293" s="1501"/>
      <c r="AF293" s="1502" t="s">
        <v>635</v>
      </c>
      <c r="AG293" s="1501"/>
      <c r="AH293" s="1502" t="s">
        <v>635</v>
      </c>
      <c r="AI293" s="1501"/>
      <c r="AJ293" s="1502">
        <v>4.0000000000000002E-4</v>
      </c>
      <c r="AK293" s="1503" t="s">
        <v>1893</v>
      </c>
      <c r="AL293" s="1503" t="s">
        <v>1127</v>
      </c>
      <c r="AM293" s="1501"/>
      <c r="AN293" s="1504">
        <v>1</v>
      </c>
      <c r="AO293" s="1504" t="s">
        <v>635</v>
      </c>
      <c r="AP293" s="1506" t="s">
        <v>635</v>
      </c>
    </row>
    <row r="294" spans="1:42" ht="30">
      <c r="A294" s="1507" t="s">
        <v>2416</v>
      </c>
      <c r="B294" s="1508" t="s">
        <v>2417</v>
      </c>
      <c r="C294" s="1509">
        <v>218.28</v>
      </c>
      <c r="D294" s="1510" t="s">
        <v>1883</v>
      </c>
      <c r="E294" s="1511">
        <v>1.017988553E-5</v>
      </c>
      <c r="F294" s="1511">
        <v>2.4900000000000002E-7</v>
      </c>
      <c r="G294" s="1512" t="s">
        <v>1883</v>
      </c>
      <c r="H294" s="1511">
        <v>1.5299999999999999E-5</v>
      </c>
      <c r="I294" s="1512" t="s">
        <v>1883</v>
      </c>
      <c r="J294" s="1513">
        <v>128.5</v>
      </c>
      <c r="K294" s="1514" t="s">
        <v>1883</v>
      </c>
      <c r="L294" s="1515">
        <v>1.252</v>
      </c>
      <c r="M294" s="1516" t="s">
        <v>1884</v>
      </c>
      <c r="N294" s="1517">
        <v>2.6517719768670001E-2</v>
      </c>
      <c r="O294" s="1517">
        <v>6.8616095546699999E-6</v>
      </c>
      <c r="P294" s="1518" t="s">
        <v>1885</v>
      </c>
      <c r="Q294" s="1519" t="s">
        <v>635</v>
      </c>
      <c r="R294" s="1520"/>
      <c r="S294" s="1519">
        <v>1109</v>
      </c>
      <c r="T294" s="1519" t="s">
        <v>1199</v>
      </c>
      <c r="U294" s="1519">
        <v>2.4</v>
      </c>
      <c r="V294" s="1521" t="s">
        <v>1883</v>
      </c>
      <c r="W294" s="1522">
        <v>313.60000000000002</v>
      </c>
      <c r="X294" s="1523" t="s">
        <v>1883</v>
      </c>
      <c r="Y294" s="1524">
        <v>2.08544955351E-2</v>
      </c>
      <c r="Z294" s="1524">
        <v>1.75475605477126</v>
      </c>
      <c r="AA294" s="1524">
        <v>4.2114145314510401</v>
      </c>
      <c r="AB294" s="1524">
        <v>3.6700000000000001E-3</v>
      </c>
      <c r="AC294" s="1525" t="s">
        <v>1199</v>
      </c>
      <c r="AD294" s="1526" t="s">
        <v>635</v>
      </c>
      <c r="AE294" s="1527"/>
      <c r="AF294" s="1528" t="s">
        <v>635</v>
      </c>
      <c r="AG294" s="1527"/>
      <c r="AH294" s="1528">
        <v>8.0000000000000004E-4</v>
      </c>
      <c r="AI294" s="1529" t="s">
        <v>1893</v>
      </c>
      <c r="AJ294" s="1528" t="s">
        <v>635</v>
      </c>
      <c r="AK294" s="1527"/>
      <c r="AL294" s="1527"/>
      <c r="AM294" s="1527"/>
      <c r="AN294" s="1530">
        <v>1</v>
      </c>
      <c r="AO294" s="1531">
        <v>0.1</v>
      </c>
      <c r="AP294" s="1532" t="s">
        <v>635</v>
      </c>
    </row>
    <row r="295" spans="1:42" ht="30">
      <c r="A295" s="1481" t="s">
        <v>2418</v>
      </c>
      <c r="B295" s="1482" t="s">
        <v>2419</v>
      </c>
      <c r="C295" s="1483">
        <v>169.23</v>
      </c>
      <c r="D295" s="1484" t="s">
        <v>1883</v>
      </c>
      <c r="E295" s="1485">
        <v>1.0997547016000001E-4</v>
      </c>
      <c r="F295" s="1485">
        <v>2.6900000000000001E-6</v>
      </c>
      <c r="G295" s="1486" t="s">
        <v>1199</v>
      </c>
      <c r="H295" s="1485">
        <v>6.7000000000000002E-4</v>
      </c>
      <c r="I295" s="1486" t="s">
        <v>1883</v>
      </c>
      <c r="J295" s="1487">
        <v>52.9</v>
      </c>
      <c r="K295" s="1488" t="s">
        <v>1883</v>
      </c>
      <c r="L295" s="1489">
        <v>1.1579999999999999</v>
      </c>
      <c r="M295" s="1490" t="s">
        <v>1884</v>
      </c>
      <c r="N295" s="1491">
        <v>4.1705642848430001E-2</v>
      </c>
      <c r="O295" s="1491">
        <v>7.62799666551E-6</v>
      </c>
      <c r="P295" s="1492" t="s">
        <v>1885</v>
      </c>
      <c r="Q295" s="1493" t="s">
        <v>635</v>
      </c>
      <c r="R295" s="1494"/>
      <c r="S295" s="1493">
        <v>825.8</v>
      </c>
      <c r="T295" s="1493" t="s">
        <v>1199</v>
      </c>
      <c r="U295" s="1493">
        <v>3.5</v>
      </c>
      <c r="V295" s="1495" t="s">
        <v>1883</v>
      </c>
      <c r="W295" s="1496">
        <v>53</v>
      </c>
      <c r="X295" s="1497" t="s">
        <v>1883</v>
      </c>
      <c r="Y295" s="1498">
        <v>0.18662686513453</v>
      </c>
      <c r="Z295" s="1498">
        <v>0.93225935396905002</v>
      </c>
      <c r="AA295" s="1498">
        <v>2.2374224495257198</v>
      </c>
      <c r="AB295" s="1498">
        <v>3.73E-2</v>
      </c>
      <c r="AC295" s="1499" t="s">
        <v>1199</v>
      </c>
      <c r="AD295" s="1500" t="s">
        <v>635</v>
      </c>
      <c r="AE295" s="1501"/>
      <c r="AF295" s="1502" t="s">
        <v>635</v>
      </c>
      <c r="AG295" s="1501"/>
      <c r="AH295" s="1502">
        <v>0.1</v>
      </c>
      <c r="AI295" s="1503" t="s">
        <v>1116</v>
      </c>
      <c r="AJ295" s="1502" t="s">
        <v>635</v>
      </c>
      <c r="AK295" s="1501"/>
      <c r="AL295" s="1501"/>
      <c r="AM295" s="1501"/>
      <c r="AN295" s="1504">
        <v>1</v>
      </c>
      <c r="AO295" s="1505">
        <v>0.1</v>
      </c>
      <c r="AP295" s="1506" t="s">
        <v>635</v>
      </c>
    </row>
    <row r="296" spans="1:42" ht="30">
      <c r="A296" s="1481" t="s">
        <v>2420</v>
      </c>
      <c r="B296" s="1482" t="s">
        <v>2421</v>
      </c>
      <c r="C296" s="1483">
        <v>184.24</v>
      </c>
      <c r="D296" s="1484" t="s">
        <v>1883</v>
      </c>
      <c r="E296" s="1485">
        <v>1.9542109569999999E-5</v>
      </c>
      <c r="F296" s="1485">
        <v>4.7800000000000002E-7</v>
      </c>
      <c r="G296" s="1486" t="s">
        <v>1199</v>
      </c>
      <c r="H296" s="1485">
        <v>4.3600000000000003E-4</v>
      </c>
      <c r="I296" s="1486" t="s">
        <v>1199</v>
      </c>
      <c r="J296" s="1487">
        <v>131</v>
      </c>
      <c r="K296" s="1488" t="s">
        <v>1883</v>
      </c>
      <c r="L296" s="1489">
        <v>1.1579999999999999</v>
      </c>
      <c r="M296" s="1490" t="s">
        <v>1884</v>
      </c>
      <c r="N296" s="1491">
        <v>3.431164309062E-2</v>
      </c>
      <c r="O296" s="1491">
        <v>7.2488072576399998E-6</v>
      </c>
      <c r="P296" s="1492" t="s">
        <v>1885</v>
      </c>
      <c r="Q296" s="1493" t="s">
        <v>635</v>
      </c>
      <c r="R296" s="1494"/>
      <c r="S296" s="1493">
        <v>1505</v>
      </c>
      <c r="T296" s="1493" t="s">
        <v>1199</v>
      </c>
      <c r="U296" s="1493">
        <v>2.94</v>
      </c>
      <c r="V296" s="1495" t="s">
        <v>1883</v>
      </c>
      <c r="W296" s="1496">
        <v>221</v>
      </c>
      <c r="X296" s="1497" t="s">
        <v>1883</v>
      </c>
      <c r="Y296" s="1498">
        <v>6.7867518003829994E-2</v>
      </c>
      <c r="Z296" s="1498">
        <v>1.1313389766816</v>
      </c>
      <c r="AA296" s="1498">
        <v>2.71521354403585</v>
      </c>
      <c r="AB296" s="1498">
        <v>1.2999999999999999E-2</v>
      </c>
      <c r="AC296" s="1499" t="s">
        <v>1199</v>
      </c>
      <c r="AD296" s="1500">
        <v>0.8</v>
      </c>
      <c r="AE296" s="1503" t="s">
        <v>1119</v>
      </c>
      <c r="AF296" s="1502">
        <v>2.2000000000000001E-4</v>
      </c>
      <c r="AG296" s="1503" t="s">
        <v>1119</v>
      </c>
      <c r="AH296" s="1502" t="s">
        <v>635</v>
      </c>
      <c r="AI296" s="1501"/>
      <c r="AJ296" s="1502" t="s">
        <v>635</v>
      </c>
      <c r="AK296" s="1501"/>
      <c r="AL296" s="1501"/>
      <c r="AM296" s="1501"/>
      <c r="AN296" s="1504">
        <v>1</v>
      </c>
      <c r="AO296" s="1505">
        <v>0.1</v>
      </c>
      <c r="AP296" s="1506" t="s">
        <v>635</v>
      </c>
    </row>
    <row r="297" spans="1:42" ht="30">
      <c r="A297" s="1507" t="s">
        <v>2422</v>
      </c>
      <c r="B297" s="1508" t="s">
        <v>2423</v>
      </c>
      <c r="C297" s="1509">
        <v>184.24</v>
      </c>
      <c r="D297" s="1510" t="s">
        <v>1199</v>
      </c>
      <c r="E297" s="1511">
        <v>5.8100000000000003E-6</v>
      </c>
      <c r="F297" s="1511">
        <v>1.42E-7</v>
      </c>
      <c r="G297" s="1512" t="s">
        <v>1199</v>
      </c>
      <c r="H297" s="1511">
        <v>1E-8</v>
      </c>
      <c r="I297" s="1512" t="s">
        <v>1199</v>
      </c>
      <c r="J297" s="1513">
        <v>95.29</v>
      </c>
      <c r="K297" s="1514" t="s">
        <v>1199</v>
      </c>
      <c r="L297" s="1515" t="s">
        <v>635</v>
      </c>
      <c r="M297" s="1538"/>
      <c r="N297" s="1517">
        <v>5.868101956631E-2</v>
      </c>
      <c r="O297" s="1517">
        <v>6.8564138651199999E-6</v>
      </c>
      <c r="P297" s="1518" t="s">
        <v>1885</v>
      </c>
      <c r="Q297" s="1519" t="s">
        <v>635</v>
      </c>
      <c r="R297" s="1520"/>
      <c r="S297" s="1519">
        <v>4041</v>
      </c>
      <c r="T297" s="1519" t="s">
        <v>1199</v>
      </c>
      <c r="U297" s="1519">
        <v>2.3622000000000001</v>
      </c>
      <c r="V297" s="1521" t="s">
        <v>1199</v>
      </c>
      <c r="W297" s="1522">
        <v>70</v>
      </c>
      <c r="X297" s="1523" t="s">
        <v>1199</v>
      </c>
      <c r="Y297" s="1524">
        <v>2.8086711296970001E-2</v>
      </c>
      <c r="Z297" s="1524">
        <v>1.1313389766816</v>
      </c>
      <c r="AA297" s="1524">
        <v>2.71521354403585</v>
      </c>
      <c r="AB297" s="1524">
        <v>5.3800000000000002E-3</v>
      </c>
      <c r="AC297" s="1525" t="s">
        <v>1199</v>
      </c>
      <c r="AD297" s="1526" t="s">
        <v>635</v>
      </c>
      <c r="AE297" s="1527"/>
      <c r="AF297" s="1528" t="s">
        <v>635</v>
      </c>
      <c r="AG297" s="1527"/>
      <c r="AH297" s="1528">
        <v>2.2000000000000001E-3</v>
      </c>
      <c r="AI297" s="1529" t="s">
        <v>1119</v>
      </c>
      <c r="AJ297" s="1528" t="s">
        <v>635</v>
      </c>
      <c r="AK297" s="1527"/>
      <c r="AL297" s="1527"/>
      <c r="AM297" s="1527"/>
      <c r="AN297" s="1530">
        <v>1</v>
      </c>
      <c r="AO297" s="1531">
        <v>0.1</v>
      </c>
      <c r="AP297" s="1532" t="s">
        <v>635</v>
      </c>
    </row>
    <row r="298" spans="1:42" ht="30">
      <c r="A298" s="1481" t="s">
        <v>2424</v>
      </c>
      <c r="B298" s="1482" t="s">
        <v>2425</v>
      </c>
      <c r="C298" s="1483">
        <v>779.77</v>
      </c>
      <c r="D298" s="1484" t="s">
        <v>1883</v>
      </c>
      <c r="E298" s="1485">
        <v>3.3646770237000001E-38</v>
      </c>
      <c r="F298" s="1485">
        <v>8.2299999999999998E-40</v>
      </c>
      <c r="G298" s="1486" t="s">
        <v>1883</v>
      </c>
      <c r="H298" s="1485">
        <v>1.5299999999999999E-36</v>
      </c>
      <c r="I298" s="1486" t="s">
        <v>1883</v>
      </c>
      <c r="J298" s="1487">
        <v>349.84</v>
      </c>
      <c r="K298" s="1488" t="s">
        <v>1199</v>
      </c>
      <c r="L298" s="1489" t="s">
        <v>635</v>
      </c>
      <c r="M298" s="1533"/>
      <c r="N298" s="1491">
        <v>2.242724457689E-2</v>
      </c>
      <c r="O298" s="1491">
        <v>2.6204464716199998E-6</v>
      </c>
      <c r="P298" s="1492" t="s">
        <v>1885</v>
      </c>
      <c r="Q298" s="1493" t="s">
        <v>635</v>
      </c>
      <c r="R298" s="1494"/>
      <c r="S298" s="1493">
        <v>242000000</v>
      </c>
      <c r="T298" s="1493" t="s">
        <v>1199</v>
      </c>
      <c r="U298" s="1493">
        <v>4.9000000000000004</v>
      </c>
      <c r="V298" s="1495" t="s">
        <v>1883</v>
      </c>
      <c r="W298" s="1496">
        <v>3000</v>
      </c>
      <c r="X298" s="1497" t="s">
        <v>1883</v>
      </c>
      <c r="Y298" s="1498">
        <v>2.2017285520400001E-3</v>
      </c>
      <c r="Z298" s="1498">
        <v>2446.5874836142898</v>
      </c>
      <c r="AA298" s="1498">
        <v>5871.8099606742799</v>
      </c>
      <c r="AB298" s="1498">
        <v>2.05E-4</v>
      </c>
      <c r="AC298" s="1499" t="s">
        <v>1199</v>
      </c>
      <c r="AD298" s="1500">
        <v>7.4</v>
      </c>
      <c r="AE298" s="1503" t="s">
        <v>1900</v>
      </c>
      <c r="AF298" s="1502">
        <v>2.0999999999999999E-3</v>
      </c>
      <c r="AG298" s="1503" t="s">
        <v>1900</v>
      </c>
      <c r="AH298" s="1502" t="s">
        <v>635</v>
      </c>
      <c r="AI298" s="1501"/>
      <c r="AJ298" s="1502" t="s">
        <v>635</v>
      </c>
      <c r="AK298" s="1501"/>
      <c r="AL298" s="1501"/>
      <c r="AM298" s="1501"/>
      <c r="AN298" s="1504">
        <v>1</v>
      </c>
      <c r="AO298" s="1505">
        <v>0.1</v>
      </c>
      <c r="AP298" s="1506" t="s">
        <v>635</v>
      </c>
    </row>
    <row r="299" spans="1:42" ht="30">
      <c r="A299" s="1481" t="s">
        <v>2426</v>
      </c>
      <c r="B299" s="1482" t="s">
        <v>2427</v>
      </c>
      <c r="C299" s="1483">
        <v>932.76</v>
      </c>
      <c r="D299" s="1484" t="s">
        <v>1883</v>
      </c>
      <c r="E299" s="1485">
        <v>3.7244480785000002E-42</v>
      </c>
      <c r="F299" s="1485">
        <v>9.1100000000000001E-44</v>
      </c>
      <c r="G299" s="1486" t="s">
        <v>1883</v>
      </c>
      <c r="H299" s="1485">
        <v>9.5400000000000002E-39</v>
      </c>
      <c r="I299" s="1486" t="s">
        <v>1883</v>
      </c>
      <c r="J299" s="1487">
        <v>349.84</v>
      </c>
      <c r="K299" s="1488" t="s">
        <v>1199</v>
      </c>
      <c r="L299" s="1489" t="s">
        <v>635</v>
      </c>
      <c r="M299" s="1533"/>
      <c r="N299" s="1491">
        <v>1.9902470633630001E-2</v>
      </c>
      <c r="O299" s="1491">
        <v>2.3254465687700001E-6</v>
      </c>
      <c r="P299" s="1492" t="s">
        <v>1885</v>
      </c>
      <c r="Q299" s="1493" t="s">
        <v>635</v>
      </c>
      <c r="R299" s="1494"/>
      <c r="S299" s="1493">
        <v>790800000</v>
      </c>
      <c r="T299" s="1493" t="s">
        <v>1199</v>
      </c>
      <c r="U299" s="1493">
        <v>2.6</v>
      </c>
      <c r="V299" s="1495" t="s">
        <v>1883</v>
      </c>
      <c r="W299" s="1496">
        <v>1.3660000000000001E-4</v>
      </c>
      <c r="X299" s="1497" t="s">
        <v>1883</v>
      </c>
      <c r="Y299" s="1498">
        <v>2.0321591266400002E-8</v>
      </c>
      <c r="Z299" s="1498">
        <v>17591.576028213101</v>
      </c>
      <c r="AA299" s="1498">
        <v>42219.782467711302</v>
      </c>
      <c r="AB299" s="1498">
        <v>1.73E-9</v>
      </c>
      <c r="AC299" s="1499" t="s">
        <v>1199</v>
      </c>
      <c r="AD299" s="1500">
        <v>7.4</v>
      </c>
      <c r="AE299" s="1503" t="s">
        <v>1900</v>
      </c>
      <c r="AF299" s="1502">
        <v>2.0999999999999999E-3</v>
      </c>
      <c r="AG299" s="1503" t="s">
        <v>1900</v>
      </c>
      <c r="AH299" s="1502" t="s">
        <v>635</v>
      </c>
      <c r="AI299" s="1501"/>
      <c r="AJ299" s="1502" t="s">
        <v>635</v>
      </c>
      <c r="AK299" s="1501"/>
      <c r="AL299" s="1501"/>
      <c r="AM299" s="1501"/>
      <c r="AN299" s="1504">
        <v>1</v>
      </c>
      <c r="AO299" s="1505">
        <v>0.1</v>
      </c>
      <c r="AP299" s="1506" t="s">
        <v>635</v>
      </c>
    </row>
    <row r="300" spans="1:42" ht="30">
      <c r="A300" s="1507" t="s">
        <v>2428</v>
      </c>
      <c r="B300" s="1508" t="s">
        <v>2429</v>
      </c>
      <c r="C300" s="1509">
        <v>761.12</v>
      </c>
      <c r="D300" s="1510" t="s">
        <v>1883</v>
      </c>
      <c r="E300" s="1511" t="s">
        <v>635</v>
      </c>
      <c r="F300" s="1511" t="s">
        <v>635</v>
      </c>
      <c r="G300" s="1534"/>
      <c r="H300" s="1511">
        <v>1.43E-41</v>
      </c>
      <c r="I300" s="1512" t="s">
        <v>1883</v>
      </c>
      <c r="J300" s="1513">
        <v>349.84</v>
      </c>
      <c r="K300" s="1514" t="s">
        <v>1199</v>
      </c>
      <c r="L300" s="1515" t="s">
        <v>635</v>
      </c>
      <c r="M300" s="1538"/>
      <c r="N300" s="1517">
        <v>2.2792126408649999E-2</v>
      </c>
      <c r="O300" s="1517">
        <v>2.6630800330099999E-6</v>
      </c>
      <c r="P300" s="1518" t="s">
        <v>1885</v>
      </c>
      <c r="Q300" s="1519" t="s">
        <v>635</v>
      </c>
      <c r="R300" s="1520"/>
      <c r="S300" s="1519">
        <v>6985000</v>
      </c>
      <c r="T300" s="1519" t="s">
        <v>1199</v>
      </c>
      <c r="U300" s="1519">
        <v>-6.53</v>
      </c>
      <c r="V300" s="1521" t="s">
        <v>1883</v>
      </c>
      <c r="W300" s="1522">
        <v>1000000</v>
      </c>
      <c r="X300" s="1523" t="s">
        <v>1883</v>
      </c>
      <c r="Y300" s="1524">
        <v>4.1064277310000002E-11</v>
      </c>
      <c r="Z300" s="1524">
        <v>1923.6264924932</v>
      </c>
      <c r="AA300" s="1524">
        <v>4616.7035819836801</v>
      </c>
      <c r="AB300" s="1524">
        <v>3.8700000000000003E-12</v>
      </c>
      <c r="AC300" s="1525" t="s">
        <v>1199</v>
      </c>
      <c r="AD300" s="1526">
        <v>6.7</v>
      </c>
      <c r="AE300" s="1529" t="s">
        <v>1900</v>
      </c>
      <c r="AF300" s="1528">
        <v>1.9E-3</v>
      </c>
      <c r="AG300" s="1529" t="s">
        <v>1900</v>
      </c>
      <c r="AH300" s="1528" t="s">
        <v>635</v>
      </c>
      <c r="AI300" s="1527"/>
      <c r="AJ300" s="1528" t="s">
        <v>635</v>
      </c>
      <c r="AK300" s="1527"/>
      <c r="AL300" s="1527"/>
      <c r="AM300" s="1527"/>
      <c r="AN300" s="1530">
        <v>1</v>
      </c>
      <c r="AO300" s="1531">
        <v>0.1</v>
      </c>
      <c r="AP300" s="1532" t="s">
        <v>635</v>
      </c>
    </row>
    <row r="301" spans="1:42" ht="30">
      <c r="A301" s="1481" t="s">
        <v>2430</v>
      </c>
      <c r="B301" s="1482" t="s">
        <v>2431</v>
      </c>
      <c r="C301" s="1483">
        <v>274.41000000000003</v>
      </c>
      <c r="D301" s="1484" t="s">
        <v>1883</v>
      </c>
      <c r="E301" s="1485">
        <v>8.8307440719999998E-5</v>
      </c>
      <c r="F301" s="1485">
        <v>2.1600000000000001E-6</v>
      </c>
      <c r="G301" s="1486" t="s">
        <v>1199</v>
      </c>
      <c r="H301" s="1485">
        <v>9.7499999999999998E-5</v>
      </c>
      <c r="I301" s="1486" t="s">
        <v>1883</v>
      </c>
      <c r="J301" s="1487">
        <v>-25</v>
      </c>
      <c r="K301" s="1488" t="s">
        <v>1883</v>
      </c>
      <c r="L301" s="1489">
        <v>1.1439999999999999</v>
      </c>
      <c r="M301" s="1490" t="s">
        <v>1884</v>
      </c>
      <c r="N301" s="1491">
        <v>2.2542109704319999E-2</v>
      </c>
      <c r="O301" s="1491">
        <v>5.6661416309500003E-6</v>
      </c>
      <c r="P301" s="1492" t="s">
        <v>1885</v>
      </c>
      <c r="Q301" s="1493" t="s">
        <v>635</v>
      </c>
      <c r="R301" s="1494"/>
      <c r="S301" s="1493">
        <v>837.9</v>
      </c>
      <c r="T301" s="1493" t="s">
        <v>1199</v>
      </c>
      <c r="U301" s="1493">
        <v>4.0199999999999996</v>
      </c>
      <c r="V301" s="1495" t="s">
        <v>1883</v>
      </c>
      <c r="W301" s="1496">
        <v>16.3</v>
      </c>
      <c r="X301" s="1497" t="s">
        <v>1883</v>
      </c>
      <c r="Y301" s="1498">
        <v>0.13507111341983</v>
      </c>
      <c r="Z301" s="1498">
        <v>3.6186347515144801</v>
      </c>
      <c r="AA301" s="1498">
        <v>8.6847234036347398</v>
      </c>
      <c r="AB301" s="1498">
        <v>2.12E-2</v>
      </c>
      <c r="AC301" s="1499" t="s">
        <v>1199</v>
      </c>
      <c r="AD301" s="1500" t="s">
        <v>635</v>
      </c>
      <c r="AE301" s="1501"/>
      <c r="AF301" s="1502" t="s">
        <v>635</v>
      </c>
      <c r="AG301" s="1501"/>
      <c r="AH301" s="1502">
        <v>4.0000000000000003E-5</v>
      </c>
      <c r="AI301" s="1503" t="s">
        <v>1119</v>
      </c>
      <c r="AJ301" s="1502" t="s">
        <v>635</v>
      </c>
      <c r="AK301" s="1501"/>
      <c r="AL301" s="1501"/>
      <c r="AM301" s="1501"/>
      <c r="AN301" s="1504">
        <v>1</v>
      </c>
      <c r="AO301" s="1505">
        <v>0.1</v>
      </c>
      <c r="AP301" s="1506" t="s">
        <v>635</v>
      </c>
    </row>
    <row r="302" spans="1:42" ht="30">
      <c r="A302" s="1481" t="s">
        <v>2432</v>
      </c>
      <c r="B302" s="1482" t="s">
        <v>2433</v>
      </c>
      <c r="C302" s="1483">
        <v>120.24</v>
      </c>
      <c r="D302" s="1484" t="s">
        <v>1883</v>
      </c>
      <c r="E302" s="1485">
        <v>1.7170891251E-3</v>
      </c>
      <c r="F302" s="1485">
        <v>4.1999999999999998E-5</v>
      </c>
      <c r="G302" s="1486" t="s">
        <v>1199</v>
      </c>
      <c r="H302" s="1485">
        <v>7.9500000000000001E-2</v>
      </c>
      <c r="I302" s="1486" t="s">
        <v>1883</v>
      </c>
      <c r="J302" s="1487">
        <v>112.3</v>
      </c>
      <c r="K302" s="1488" t="s">
        <v>1883</v>
      </c>
      <c r="L302" s="1489">
        <v>1.1399999999999999</v>
      </c>
      <c r="M302" s="1490" t="s">
        <v>1989</v>
      </c>
      <c r="N302" s="1491">
        <v>6.8209272451299999E-2</v>
      </c>
      <c r="O302" s="1491">
        <v>9.2765246259299997E-6</v>
      </c>
      <c r="P302" s="1492" t="s">
        <v>1885</v>
      </c>
      <c r="Q302" s="1493" t="s">
        <v>635</v>
      </c>
      <c r="R302" s="1494"/>
      <c r="S302" s="1493">
        <v>145.80000000000001</v>
      </c>
      <c r="T302" s="1493" t="s">
        <v>1199</v>
      </c>
      <c r="U302" s="1493">
        <v>0.77</v>
      </c>
      <c r="V302" s="1495" t="s">
        <v>1883</v>
      </c>
      <c r="W302" s="1496">
        <v>3000</v>
      </c>
      <c r="X302" s="1497" t="s">
        <v>1883</v>
      </c>
      <c r="Y302" s="1498">
        <v>4.5548585153300002E-3</v>
      </c>
      <c r="Z302" s="1498">
        <v>0.49567013149792999</v>
      </c>
      <c r="AA302" s="1498">
        <v>1.1896083155950301</v>
      </c>
      <c r="AB302" s="1498">
        <v>1.08E-3</v>
      </c>
      <c r="AC302" s="1499" t="s">
        <v>1199</v>
      </c>
      <c r="AD302" s="1500" t="s">
        <v>635</v>
      </c>
      <c r="AE302" s="1501"/>
      <c r="AF302" s="1502" t="s">
        <v>635</v>
      </c>
      <c r="AG302" s="1501"/>
      <c r="AH302" s="1502">
        <v>0.01</v>
      </c>
      <c r="AI302" s="1503" t="s">
        <v>1119</v>
      </c>
      <c r="AJ302" s="1502" t="s">
        <v>635</v>
      </c>
      <c r="AK302" s="1501"/>
      <c r="AL302" s="1503" t="s">
        <v>1127</v>
      </c>
      <c r="AM302" s="1501"/>
      <c r="AN302" s="1504">
        <v>1</v>
      </c>
      <c r="AO302" s="1504" t="s">
        <v>635</v>
      </c>
      <c r="AP302" s="1506" t="s">
        <v>635</v>
      </c>
    </row>
    <row r="303" spans="1:42" ht="30">
      <c r="A303" s="1507" t="s">
        <v>2434</v>
      </c>
      <c r="B303" s="1508" t="s">
        <v>2435</v>
      </c>
      <c r="C303" s="1509">
        <v>233.1</v>
      </c>
      <c r="D303" s="1510" t="s">
        <v>1883</v>
      </c>
      <c r="E303" s="1511">
        <v>2.06050695012E-8</v>
      </c>
      <c r="F303" s="1511">
        <v>5.0400000000000002E-10</v>
      </c>
      <c r="G303" s="1512" t="s">
        <v>1199</v>
      </c>
      <c r="H303" s="1511">
        <v>6.8999999999999996E-8</v>
      </c>
      <c r="I303" s="1512" t="s">
        <v>1883</v>
      </c>
      <c r="J303" s="1513">
        <v>158</v>
      </c>
      <c r="K303" s="1514" t="s">
        <v>1883</v>
      </c>
      <c r="L303" s="1515" t="s">
        <v>635</v>
      </c>
      <c r="M303" s="1538"/>
      <c r="N303" s="1517">
        <v>5.0163991463670003E-2</v>
      </c>
      <c r="O303" s="1517">
        <v>5.8612663710200003E-6</v>
      </c>
      <c r="P303" s="1518" t="s">
        <v>1885</v>
      </c>
      <c r="Q303" s="1519" t="s">
        <v>635</v>
      </c>
      <c r="R303" s="1520"/>
      <c r="S303" s="1519">
        <v>109.1</v>
      </c>
      <c r="T303" s="1519" t="s">
        <v>1199</v>
      </c>
      <c r="U303" s="1519">
        <v>2.68</v>
      </c>
      <c r="V303" s="1521" t="s">
        <v>1883</v>
      </c>
      <c r="W303" s="1522">
        <v>42</v>
      </c>
      <c r="X303" s="1523" t="s">
        <v>1883</v>
      </c>
      <c r="Y303" s="1524">
        <v>2.7364259828769999E-2</v>
      </c>
      <c r="Z303" s="1524">
        <v>2.1242652739696601</v>
      </c>
      <c r="AA303" s="1524">
        <v>5.09823665752719</v>
      </c>
      <c r="AB303" s="1524">
        <v>4.6600000000000001E-3</v>
      </c>
      <c r="AC303" s="1525" t="s">
        <v>1199</v>
      </c>
      <c r="AD303" s="1526" t="s">
        <v>635</v>
      </c>
      <c r="AE303" s="1527"/>
      <c r="AF303" s="1528" t="s">
        <v>635</v>
      </c>
      <c r="AG303" s="1527"/>
      <c r="AH303" s="1528">
        <v>2E-3</v>
      </c>
      <c r="AI303" s="1529" t="s">
        <v>1119</v>
      </c>
      <c r="AJ303" s="1528" t="s">
        <v>635</v>
      </c>
      <c r="AK303" s="1527"/>
      <c r="AL303" s="1527"/>
      <c r="AM303" s="1527"/>
      <c r="AN303" s="1530">
        <v>1</v>
      </c>
      <c r="AO303" s="1531">
        <v>0.1</v>
      </c>
      <c r="AP303" s="1532" t="s">
        <v>635</v>
      </c>
    </row>
    <row r="304" spans="1:42" ht="30">
      <c r="A304" s="1481" t="s">
        <v>2436</v>
      </c>
      <c r="B304" s="1482" t="s">
        <v>2437</v>
      </c>
      <c r="C304" s="1483">
        <v>287.45</v>
      </c>
      <c r="D304" s="1484" t="s">
        <v>1883</v>
      </c>
      <c r="E304" s="1485">
        <v>3.6835650040899999E-9</v>
      </c>
      <c r="F304" s="1485">
        <v>9.0100000000000004E-11</v>
      </c>
      <c r="G304" s="1486" t="s">
        <v>1199</v>
      </c>
      <c r="H304" s="1485">
        <v>1.4999999999999999E-7</v>
      </c>
      <c r="I304" s="1486" t="s">
        <v>1883</v>
      </c>
      <c r="J304" s="1487">
        <v>136</v>
      </c>
      <c r="K304" s="1488" t="s">
        <v>1883</v>
      </c>
      <c r="L304" s="1489" t="s">
        <v>635</v>
      </c>
      <c r="M304" s="1533"/>
      <c r="N304" s="1491">
        <v>4.3622651435110002E-2</v>
      </c>
      <c r="O304" s="1491">
        <v>5.09696243084E-6</v>
      </c>
      <c r="P304" s="1492" t="s">
        <v>1885</v>
      </c>
      <c r="Q304" s="1493" t="s">
        <v>635</v>
      </c>
      <c r="R304" s="1494"/>
      <c r="S304" s="1493">
        <v>2482</v>
      </c>
      <c r="T304" s="1493" t="s">
        <v>1199</v>
      </c>
      <c r="U304" s="1493">
        <v>1.1499999999999999</v>
      </c>
      <c r="V304" s="1495" t="s">
        <v>1883</v>
      </c>
      <c r="W304" s="1496">
        <v>630</v>
      </c>
      <c r="X304" s="1497" t="s">
        <v>1883</v>
      </c>
      <c r="Y304" s="1498">
        <v>1.44764069433E-3</v>
      </c>
      <c r="Z304" s="1498">
        <v>4.2812318691120899</v>
      </c>
      <c r="AA304" s="1498">
        <v>10.274956485869</v>
      </c>
      <c r="AB304" s="1498">
        <v>2.22E-4</v>
      </c>
      <c r="AC304" s="1499" t="s">
        <v>1199</v>
      </c>
      <c r="AD304" s="1500" t="s">
        <v>635</v>
      </c>
      <c r="AE304" s="1501"/>
      <c r="AF304" s="1502" t="s">
        <v>635</v>
      </c>
      <c r="AG304" s="1501"/>
      <c r="AH304" s="1502">
        <v>0.02</v>
      </c>
      <c r="AI304" s="1503" t="s">
        <v>1116</v>
      </c>
      <c r="AJ304" s="1502" t="s">
        <v>635</v>
      </c>
      <c r="AK304" s="1501"/>
      <c r="AL304" s="1501"/>
      <c r="AM304" s="1501"/>
      <c r="AN304" s="1504">
        <v>1</v>
      </c>
      <c r="AO304" s="1505">
        <v>0.1</v>
      </c>
      <c r="AP304" s="1506" t="s">
        <v>635</v>
      </c>
    </row>
    <row r="305" spans="1:42" ht="30">
      <c r="A305" s="1481" t="s">
        <v>2438</v>
      </c>
      <c r="B305" s="1482" t="s">
        <v>2439</v>
      </c>
      <c r="C305" s="1483">
        <v>189.32</v>
      </c>
      <c r="D305" s="1484" t="s">
        <v>1883</v>
      </c>
      <c r="E305" s="1485">
        <v>6.5004088306999999E-4</v>
      </c>
      <c r="F305" s="1485">
        <v>1.59E-5</v>
      </c>
      <c r="G305" s="1486" t="s">
        <v>1199</v>
      </c>
      <c r="H305" s="1485">
        <v>2.4E-2</v>
      </c>
      <c r="I305" s="1486" t="s">
        <v>1883</v>
      </c>
      <c r="J305" s="1487">
        <v>60.53</v>
      </c>
      <c r="K305" s="1488" t="s">
        <v>1199</v>
      </c>
      <c r="L305" s="1489">
        <v>0.9546</v>
      </c>
      <c r="M305" s="1490" t="s">
        <v>1884</v>
      </c>
      <c r="N305" s="1491">
        <v>2.912620987223E-2</v>
      </c>
      <c r="O305" s="1491">
        <v>6.35106755259E-6</v>
      </c>
      <c r="P305" s="1492" t="s">
        <v>1885</v>
      </c>
      <c r="Q305" s="1493" t="s">
        <v>635</v>
      </c>
      <c r="R305" s="1494"/>
      <c r="S305" s="1493">
        <v>164.1</v>
      </c>
      <c r="T305" s="1493" t="s">
        <v>1199</v>
      </c>
      <c r="U305" s="1493">
        <v>3.21</v>
      </c>
      <c r="V305" s="1495" t="s">
        <v>1883</v>
      </c>
      <c r="W305" s="1496">
        <v>375</v>
      </c>
      <c r="X305" s="1497" t="s">
        <v>1883</v>
      </c>
      <c r="Y305" s="1498">
        <v>9.7373935494100006E-2</v>
      </c>
      <c r="Z305" s="1498">
        <v>1.2079271689426501</v>
      </c>
      <c r="AA305" s="1498">
        <v>2.8990252054623502</v>
      </c>
      <c r="AB305" s="1498">
        <v>1.84E-2</v>
      </c>
      <c r="AC305" s="1499" t="s">
        <v>1199</v>
      </c>
      <c r="AD305" s="1500" t="s">
        <v>635</v>
      </c>
      <c r="AE305" s="1501"/>
      <c r="AF305" s="1502" t="s">
        <v>635</v>
      </c>
      <c r="AG305" s="1501"/>
      <c r="AH305" s="1502">
        <v>0.05</v>
      </c>
      <c r="AI305" s="1503" t="s">
        <v>1116</v>
      </c>
      <c r="AJ305" s="1502" t="s">
        <v>635</v>
      </c>
      <c r="AK305" s="1501"/>
      <c r="AL305" s="1503" t="s">
        <v>1127</v>
      </c>
      <c r="AM305" s="1501"/>
      <c r="AN305" s="1504">
        <v>1</v>
      </c>
      <c r="AO305" s="1504" t="s">
        <v>635</v>
      </c>
      <c r="AP305" s="1506" t="s">
        <v>635</v>
      </c>
    </row>
    <row r="306" spans="1:42" ht="30">
      <c r="A306" s="1507" t="s">
        <v>194</v>
      </c>
      <c r="B306" s="1508" t="s">
        <v>193</v>
      </c>
      <c r="C306" s="1509">
        <v>406.93</v>
      </c>
      <c r="D306" s="1510" t="s">
        <v>1883</v>
      </c>
      <c r="E306" s="1511">
        <v>2.65739983647E-3</v>
      </c>
      <c r="F306" s="1511">
        <v>6.4999999999999994E-5</v>
      </c>
      <c r="G306" s="1512" t="s">
        <v>1883</v>
      </c>
      <c r="H306" s="1511">
        <v>1.73E-7</v>
      </c>
      <c r="I306" s="1512" t="s">
        <v>1883</v>
      </c>
      <c r="J306" s="1513">
        <v>106</v>
      </c>
      <c r="K306" s="1514" t="s">
        <v>1883</v>
      </c>
      <c r="L306" s="1515">
        <v>1.7450000000000001</v>
      </c>
      <c r="M306" s="1516" t="s">
        <v>1884</v>
      </c>
      <c r="N306" s="1517">
        <v>2.2484548455469999E-2</v>
      </c>
      <c r="O306" s="1517">
        <v>5.76284853659E-6</v>
      </c>
      <c r="P306" s="1518" t="s">
        <v>1885</v>
      </c>
      <c r="Q306" s="1519" t="s">
        <v>635</v>
      </c>
      <c r="R306" s="1520"/>
      <c r="S306" s="1519">
        <v>6761</v>
      </c>
      <c r="T306" s="1519" t="s">
        <v>1199</v>
      </c>
      <c r="U306" s="1519">
        <v>3.83</v>
      </c>
      <c r="V306" s="1521" t="s">
        <v>1883</v>
      </c>
      <c r="W306" s="1522">
        <v>0.32500000000000001</v>
      </c>
      <c r="X306" s="1523" t="s">
        <v>1883</v>
      </c>
      <c r="Y306" s="1524">
        <v>2.2189756645800002E-2</v>
      </c>
      <c r="Z306" s="1524">
        <v>19.982818768391599</v>
      </c>
      <c r="AA306" s="1524">
        <v>47.958765044139902</v>
      </c>
      <c r="AB306" s="1524">
        <v>2.8600000000000001E-3</v>
      </c>
      <c r="AC306" s="1525" t="s">
        <v>1199</v>
      </c>
      <c r="AD306" s="1526" t="s">
        <v>635</v>
      </c>
      <c r="AE306" s="1527"/>
      <c r="AF306" s="1528" t="s">
        <v>635</v>
      </c>
      <c r="AG306" s="1527"/>
      <c r="AH306" s="1528">
        <v>6.0000000000000001E-3</v>
      </c>
      <c r="AI306" s="1529" t="s">
        <v>1119</v>
      </c>
      <c r="AJ306" s="1528" t="s">
        <v>635</v>
      </c>
      <c r="AK306" s="1527"/>
      <c r="AL306" s="1529" t="s">
        <v>1127</v>
      </c>
      <c r="AM306" s="1527"/>
      <c r="AN306" s="1530">
        <v>1</v>
      </c>
      <c r="AO306" s="1530" t="s">
        <v>635</v>
      </c>
      <c r="AP306" s="1532" t="s">
        <v>635</v>
      </c>
    </row>
    <row r="307" spans="1:42" ht="30">
      <c r="A307" s="1481" t="s">
        <v>2440</v>
      </c>
      <c r="B307" s="1482" t="s">
        <v>2441</v>
      </c>
      <c r="C307" s="1483">
        <v>422.93</v>
      </c>
      <c r="D307" s="1484" t="s">
        <v>1883</v>
      </c>
      <c r="E307" s="1485">
        <v>1.3286999180000001E-5</v>
      </c>
      <c r="F307" s="1485">
        <v>3.2500000000000001E-7</v>
      </c>
      <c r="G307" s="1486" t="s">
        <v>1199</v>
      </c>
      <c r="H307" s="1485">
        <v>2.8000000000000002E-7</v>
      </c>
      <c r="I307" s="1486" t="s">
        <v>1199</v>
      </c>
      <c r="J307" s="1487">
        <v>181</v>
      </c>
      <c r="K307" s="1488" t="s">
        <v>1883</v>
      </c>
      <c r="L307" s="1489" t="s">
        <v>635</v>
      </c>
      <c r="M307" s="1533"/>
      <c r="N307" s="1491">
        <v>3.3721581894289997E-2</v>
      </c>
      <c r="O307" s="1491">
        <v>3.94010062133E-6</v>
      </c>
      <c r="P307" s="1492" t="s">
        <v>1885</v>
      </c>
      <c r="Q307" s="1493" t="s">
        <v>635</v>
      </c>
      <c r="R307" s="1494"/>
      <c r="S307" s="1493">
        <v>9847</v>
      </c>
      <c r="T307" s="1493" t="s">
        <v>1199</v>
      </c>
      <c r="U307" s="1493">
        <v>3.66</v>
      </c>
      <c r="V307" s="1495" t="s">
        <v>1883</v>
      </c>
      <c r="W307" s="1496">
        <v>0.48</v>
      </c>
      <c r="X307" s="1497" t="s">
        <v>1883</v>
      </c>
      <c r="Y307" s="1498">
        <v>1.415839189649E-2</v>
      </c>
      <c r="Z307" s="1498">
        <v>24.5616053879357</v>
      </c>
      <c r="AA307" s="1498">
        <v>58.947852931045801</v>
      </c>
      <c r="AB307" s="1498">
        <v>1.7899999999999999E-3</v>
      </c>
      <c r="AC307" s="1499" t="s">
        <v>1199</v>
      </c>
      <c r="AD307" s="1500" t="s">
        <v>635</v>
      </c>
      <c r="AE307" s="1501"/>
      <c r="AF307" s="1502" t="s">
        <v>635</v>
      </c>
      <c r="AG307" s="1501"/>
      <c r="AH307" s="1502">
        <v>6.0000000000000001E-3</v>
      </c>
      <c r="AI307" s="1503" t="s">
        <v>1909</v>
      </c>
      <c r="AJ307" s="1502" t="s">
        <v>635</v>
      </c>
      <c r="AK307" s="1501"/>
      <c r="AL307" s="1501"/>
      <c r="AM307" s="1501"/>
      <c r="AN307" s="1504">
        <v>1</v>
      </c>
      <c r="AO307" s="1505">
        <v>0.1</v>
      </c>
      <c r="AP307" s="1506" t="s">
        <v>635</v>
      </c>
    </row>
    <row r="308" spans="1:42" ht="30">
      <c r="A308" s="1481" t="s">
        <v>2442</v>
      </c>
      <c r="B308" s="1482" t="s">
        <v>2443</v>
      </c>
      <c r="C308" s="1483">
        <v>186.17</v>
      </c>
      <c r="D308" s="1484" t="s">
        <v>1883</v>
      </c>
      <c r="E308" s="1485">
        <v>1.5739983646999999E-14</v>
      </c>
      <c r="F308" s="1485">
        <v>3.8499999999999999E-16</v>
      </c>
      <c r="G308" s="1486" t="s">
        <v>1199</v>
      </c>
      <c r="H308" s="1485">
        <v>1.57E-10</v>
      </c>
      <c r="I308" s="1486" t="s">
        <v>1883</v>
      </c>
      <c r="J308" s="1487">
        <v>144</v>
      </c>
      <c r="K308" s="1488" t="s">
        <v>1883</v>
      </c>
      <c r="L308" s="1489">
        <v>1.431</v>
      </c>
      <c r="M308" s="1490" t="s">
        <v>1884</v>
      </c>
      <c r="N308" s="1491">
        <v>3.6747017588909997E-2</v>
      </c>
      <c r="O308" s="1491">
        <v>8.1791793730200001E-6</v>
      </c>
      <c r="P308" s="1492" t="s">
        <v>1885</v>
      </c>
      <c r="Q308" s="1493" t="s">
        <v>635</v>
      </c>
      <c r="R308" s="1494"/>
      <c r="S308" s="1493">
        <v>19.41</v>
      </c>
      <c r="T308" s="1493" t="s">
        <v>1199</v>
      </c>
      <c r="U308" s="1493">
        <v>1.91</v>
      </c>
      <c r="V308" s="1495" t="s">
        <v>1883</v>
      </c>
      <c r="W308" s="1496">
        <v>100000</v>
      </c>
      <c r="X308" s="1497" t="s">
        <v>1883</v>
      </c>
      <c r="Y308" s="1498">
        <v>1.380184830796E-2</v>
      </c>
      <c r="Z308" s="1498">
        <v>1.1598471231488801</v>
      </c>
      <c r="AA308" s="1498">
        <v>2.7836330955573199</v>
      </c>
      <c r="AB308" s="1498">
        <v>2.63E-3</v>
      </c>
      <c r="AC308" s="1499" t="s">
        <v>1199</v>
      </c>
      <c r="AD308" s="1500" t="s">
        <v>635</v>
      </c>
      <c r="AE308" s="1501"/>
      <c r="AF308" s="1502" t="s">
        <v>635</v>
      </c>
      <c r="AG308" s="1501"/>
      <c r="AH308" s="1502">
        <v>0.02</v>
      </c>
      <c r="AI308" s="1503" t="s">
        <v>1119</v>
      </c>
      <c r="AJ308" s="1502" t="s">
        <v>635</v>
      </c>
      <c r="AK308" s="1501"/>
      <c r="AL308" s="1501"/>
      <c r="AM308" s="1501"/>
      <c r="AN308" s="1504">
        <v>1</v>
      </c>
      <c r="AO308" s="1505">
        <v>0.1</v>
      </c>
      <c r="AP308" s="1506" t="s">
        <v>635</v>
      </c>
    </row>
    <row r="309" spans="1:42" ht="30">
      <c r="A309" s="1507" t="s">
        <v>196</v>
      </c>
      <c r="B309" s="1508" t="s">
        <v>195</v>
      </c>
      <c r="C309" s="1509">
        <v>380.91</v>
      </c>
      <c r="D309" s="1510" t="s">
        <v>1883</v>
      </c>
      <c r="E309" s="1511">
        <v>2.6001635323E-4</v>
      </c>
      <c r="F309" s="1511">
        <v>6.3600000000000001E-6</v>
      </c>
      <c r="G309" s="1512" t="s">
        <v>1883</v>
      </c>
      <c r="H309" s="1511">
        <v>3.0000000000000001E-6</v>
      </c>
      <c r="I309" s="1512" t="s">
        <v>1883</v>
      </c>
      <c r="J309" s="1513">
        <v>226</v>
      </c>
      <c r="K309" s="1514" t="s">
        <v>1883</v>
      </c>
      <c r="L309" s="1515" t="s">
        <v>635</v>
      </c>
      <c r="M309" s="1538"/>
      <c r="N309" s="1517">
        <v>3.615807917628E-2</v>
      </c>
      <c r="O309" s="1517">
        <v>4.22478609323E-6</v>
      </c>
      <c r="P309" s="1518" t="s">
        <v>1885</v>
      </c>
      <c r="Q309" s="1519" t="s">
        <v>635</v>
      </c>
      <c r="R309" s="1520"/>
      <c r="S309" s="1519">
        <v>20090</v>
      </c>
      <c r="T309" s="1519" t="s">
        <v>1199</v>
      </c>
      <c r="U309" s="1519">
        <v>5.2</v>
      </c>
      <c r="V309" s="1521" t="s">
        <v>1883</v>
      </c>
      <c r="W309" s="1522">
        <v>0.25</v>
      </c>
      <c r="X309" s="1523" t="s">
        <v>1883</v>
      </c>
      <c r="Y309" s="1524">
        <v>0.24471209735466001</v>
      </c>
      <c r="Z309" s="1524">
        <v>14.287121880278701</v>
      </c>
      <c r="AA309" s="1524">
        <v>34.289092512668802</v>
      </c>
      <c r="AB309" s="1524">
        <v>3.2599999999999997E-2</v>
      </c>
      <c r="AC309" s="1525" t="s">
        <v>1199</v>
      </c>
      <c r="AD309" s="1526" t="s">
        <v>635</v>
      </c>
      <c r="AE309" s="1527"/>
      <c r="AF309" s="1528" t="s">
        <v>635</v>
      </c>
      <c r="AG309" s="1527"/>
      <c r="AH309" s="1528">
        <v>2.9999999999999997E-4</v>
      </c>
      <c r="AI309" s="1529" t="s">
        <v>1119</v>
      </c>
      <c r="AJ309" s="1528" t="s">
        <v>635</v>
      </c>
      <c r="AK309" s="1527"/>
      <c r="AL309" s="1527"/>
      <c r="AM309" s="1527"/>
      <c r="AN309" s="1530">
        <v>1</v>
      </c>
      <c r="AO309" s="1531">
        <v>0.1</v>
      </c>
      <c r="AP309" s="1532" t="s">
        <v>635</v>
      </c>
    </row>
    <row r="310" spans="1:42" ht="30">
      <c r="A310" s="1481" t="s">
        <v>2444</v>
      </c>
      <c r="B310" s="1482" t="s">
        <v>2445</v>
      </c>
      <c r="C310" s="1483">
        <v>92.525999999999996</v>
      </c>
      <c r="D310" s="1484" t="s">
        <v>1883</v>
      </c>
      <c r="E310" s="1485">
        <v>1.2428454619800001E-3</v>
      </c>
      <c r="F310" s="1485">
        <v>3.04E-5</v>
      </c>
      <c r="G310" s="1486" t="s">
        <v>1199</v>
      </c>
      <c r="H310" s="1485">
        <v>16.440000000000001</v>
      </c>
      <c r="I310" s="1486" t="s">
        <v>1883</v>
      </c>
      <c r="J310" s="1487">
        <v>-57.2</v>
      </c>
      <c r="K310" s="1488" t="s">
        <v>1883</v>
      </c>
      <c r="L310" s="1489">
        <v>1.1830000000000001</v>
      </c>
      <c r="M310" s="1490" t="s">
        <v>1949</v>
      </c>
      <c r="N310" s="1491">
        <v>8.8868248103709996E-2</v>
      </c>
      <c r="O310" s="1491">
        <v>1.109952378E-5</v>
      </c>
      <c r="P310" s="1492" t="s">
        <v>1885</v>
      </c>
      <c r="Q310" s="1493" t="s">
        <v>635</v>
      </c>
      <c r="R310" s="1494"/>
      <c r="S310" s="1493">
        <v>9.907</v>
      </c>
      <c r="T310" s="1493" t="s">
        <v>1199</v>
      </c>
      <c r="U310" s="1493">
        <v>0.45</v>
      </c>
      <c r="V310" s="1495" t="s">
        <v>1883</v>
      </c>
      <c r="W310" s="1496">
        <v>65900</v>
      </c>
      <c r="X310" s="1497" t="s">
        <v>1883</v>
      </c>
      <c r="Y310" s="1498">
        <v>3.4924527574099998E-3</v>
      </c>
      <c r="Z310" s="1498">
        <v>0.34673233926585001</v>
      </c>
      <c r="AA310" s="1498">
        <v>0.83215761423804002</v>
      </c>
      <c r="AB310" s="1498">
        <v>9.4399999999999996E-4</v>
      </c>
      <c r="AC310" s="1499" t="s">
        <v>1199</v>
      </c>
      <c r="AD310" s="1500">
        <v>9.9000000000000008E-3</v>
      </c>
      <c r="AE310" s="1503" t="s">
        <v>1119</v>
      </c>
      <c r="AF310" s="1502">
        <v>1.1999999999999999E-6</v>
      </c>
      <c r="AG310" s="1503" t="s">
        <v>1119</v>
      </c>
      <c r="AH310" s="1502">
        <v>6.0000000000000001E-3</v>
      </c>
      <c r="AI310" s="1503" t="s">
        <v>1909</v>
      </c>
      <c r="AJ310" s="1502">
        <v>1E-3</v>
      </c>
      <c r="AK310" s="1503" t="s">
        <v>1119</v>
      </c>
      <c r="AL310" s="1503" t="s">
        <v>1127</v>
      </c>
      <c r="AM310" s="1501"/>
      <c r="AN310" s="1504">
        <v>1</v>
      </c>
      <c r="AO310" s="1504" t="s">
        <v>635</v>
      </c>
      <c r="AP310" s="1506">
        <v>10500</v>
      </c>
    </row>
    <row r="311" spans="1:42" ht="30">
      <c r="A311" s="1481" t="s">
        <v>2446</v>
      </c>
      <c r="B311" s="1482" t="s">
        <v>2447</v>
      </c>
      <c r="C311" s="1483">
        <v>72.108000000000004</v>
      </c>
      <c r="D311" s="1484" t="s">
        <v>1883</v>
      </c>
      <c r="E311" s="1485">
        <v>7.3589533932999999E-3</v>
      </c>
      <c r="F311" s="1485">
        <v>1.8000000000000001E-4</v>
      </c>
      <c r="G311" s="1486" t="s">
        <v>1199</v>
      </c>
      <c r="H311" s="1485">
        <v>180</v>
      </c>
      <c r="I311" s="1486" t="s">
        <v>1883</v>
      </c>
      <c r="J311" s="1487">
        <v>-150</v>
      </c>
      <c r="K311" s="1488" t="s">
        <v>1883</v>
      </c>
      <c r="L311" s="1489">
        <v>0.82969999999999999</v>
      </c>
      <c r="M311" s="1490" t="s">
        <v>1884</v>
      </c>
      <c r="N311" s="1491">
        <v>9.2895846700269999E-2</v>
      </c>
      <c r="O311" s="1491">
        <v>1.041919955E-5</v>
      </c>
      <c r="P311" s="1492" t="s">
        <v>1885</v>
      </c>
      <c r="Q311" s="1493" t="s">
        <v>635</v>
      </c>
      <c r="R311" s="1494"/>
      <c r="S311" s="1493">
        <v>9.907</v>
      </c>
      <c r="T311" s="1493" t="s">
        <v>1199</v>
      </c>
      <c r="U311" s="1493">
        <v>0.86</v>
      </c>
      <c r="V311" s="1495" t="s">
        <v>1883</v>
      </c>
      <c r="W311" s="1496">
        <v>95000</v>
      </c>
      <c r="X311" s="1497" t="s">
        <v>1883</v>
      </c>
      <c r="Y311" s="1498">
        <v>7.54449815993E-3</v>
      </c>
      <c r="Z311" s="1498">
        <v>0.26647320757247001</v>
      </c>
      <c r="AA311" s="1498">
        <v>0.63953569817392997</v>
      </c>
      <c r="AB311" s="1498">
        <v>2.31E-3</v>
      </c>
      <c r="AC311" s="1499" t="s">
        <v>1199</v>
      </c>
      <c r="AD311" s="1500" t="s">
        <v>635</v>
      </c>
      <c r="AE311" s="1501"/>
      <c r="AF311" s="1502" t="s">
        <v>635</v>
      </c>
      <c r="AG311" s="1501"/>
      <c r="AH311" s="1502" t="s">
        <v>635</v>
      </c>
      <c r="AI311" s="1501"/>
      <c r="AJ311" s="1502">
        <v>0.02</v>
      </c>
      <c r="AK311" s="1503" t="s">
        <v>1119</v>
      </c>
      <c r="AL311" s="1503" t="s">
        <v>1127</v>
      </c>
      <c r="AM311" s="1501"/>
      <c r="AN311" s="1504">
        <v>1</v>
      </c>
      <c r="AO311" s="1504" t="s">
        <v>635</v>
      </c>
      <c r="AP311" s="1506">
        <v>15300</v>
      </c>
    </row>
    <row r="312" spans="1:42" ht="30">
      <c r="A312" s="1507" t="s">
        <v>2448</v>
      </c>
      <c r="B312" s="1508" t="s">
        <v>2449</v>
      </c>
      <c r="C312" s="1509">
        <v>120.15</v>
      </c>
      <c r="D312" s="1510" t="s">
        <v>1883</v>
      </c>
      <c r="E312" s="1511">
        <v>6.7457072772000002E-10</v>
      </c>
      <c r="F312" s="1511">
        <v>1.6500000000000001E-11</v>
      </c>
      <c r="G312" s="1512" t="s">
        <v>1883</v>
      </c>
      <c r="H312" s="1511">
        <v>0.25</v>
      </c>
      <c r="I312" s="1512" t="s">
        <v>1883</v>
      </c>
      <c r="J312" s="1513">
        <v>-14.6</v>
      </c>
      <c r="K312" s="1514" t="s">
        <v>1199</v>
      </c>
      <c r="L312" s="1515" t="s">
        <v>635</v>
      </c>
      <c r="M312" s="1538"/>
      <c r="N312" s="1517">
        <v>7.8031702807780004E-2</v>
      </c>
      <c r="O312" s="1517">
        <v>9.1173884333299998E-6</v>
      </c>
      <c r="P312" s="1518" t="s">
        <v>1885</v>
      </c>
      <c r="Q312" s="1519" t="s">
        <v>635</v>
      </c>
      <c r="R312" s="1520"/>
      <c r="S312" s="1519">
        <v>1</v>
      </c>
      <c r="T312" s="1519" t="s">
        <v>1199</v>
      </c>
      <c r="U312" s="1519">
        <v>-1.18</v>
      </c>
      <c r="V312" s="1521" t="s">
        <v>1883</v>
      </c>
      <c r="W312" s="1522">
        <v>1000000</v>
      </c>
      <c r="X312" s="1523" t="s">
        <v>1883</v>
      </c>
      <c r="Y312" s="1524">
        <v>2.2934402984E-4</v>
      </c>
      <c r="Z312" s="1524">
        <v>0.49509523852638998</v>
      </c>
      <c r="AA312" s="1524">
        <v>1.1882285724633299</v>
      </c>
      <c r="AB312" s="1524">
        <v>5.4400000000000001E-5</v>
      </c>
      <c r="AC312" s="1525" t="s">
        <v>1199</v>
      </c>
      <c r="AD312" s="1526" t="s">
        <v>635</v>
      </c>
      <c r="AE312" s="1527"/>
      <c r="AF312" s="1528" t="s">
        <v>635</v>
      </c>
      <c r="AG312" s="1527"/>
      <c r="AH312" s="1528">
        <v>0.04</v>
      </c>
      <c r="AI312" s="1529" t="s">
        <v>1909</v>
      </c>
      <c r="AJ312" s="1528" t="s">
        <v>635</v>
      </c>
      <c r="AK312" s="1527"/>
      <c r="AL312" s="1527"/>
      <c r="AM312" s="1527"/>
      <c r="AN312" s="1530">
        <v>1</v>
      </c>
      <c r="AO312" s="1531">
        <v>0.1</v>
      </c>
      <c r="AP312" s="1532" t="s">
        <v>635</v>
      </c>
    </row>
    <row r="313" spans="1:42" ht="30">
      <c r="A313" s="1481" t="s">
        <v>2450</v>
      </c>
      <c r="B313" s="1482" t="s">
        <v>2451</v>
      </c>
      <c r="C313" s="1483">
        <v>144.5</v>
      </c>
      <c r="D313" s="1484" t="s">
        <v>1883</v>
      </c>
      <c r="E313" s="1485">
        <v>2.3303352411999998E-10</v>
      </c>
      <c r="F313" s="1485">
        <v>5.7000000000000003E-12</v>
      </c>
      <c r="G313" s="1486" t="s">
        <v>1883</v>
      </c>
      <c r="H313" s="1485">
        <v>9.8000000000000004E-8</v>
      </c>
      <c r="I313" s="1486" t="s">
        <v>1883</v>
      </c>
      <c r="J313" s="1487">
        <v>74</v>
      </c>
      <c r="K313" s="1488" t="s">
        <v>1883</v>
      </c>
      <c r="L313" s="1489">
        <v>1.2</v>
      </c>
      <c r="M313" s="1490" t="s">
        <v>1884</v>
      </c>
      <c r="N313" s="1491">
        <v>5.5476461352340002E-2</v>
      </c>
      <c r="O313" s="1491">
        <v>8.5676124041100004E-6</v>
      </c>
      <c r="P313" s="1492" t="s">
        <v>1885</v>
      </c>
      <c r="Q313" s="1493" t="s">
        <v>635</v>
      </c>
      <c r="R313" s="1494"/>
      <c r="S313" s="1493">
        <v>5.0279999999999996</v>
      </c>
      <c r="T313" s="1493" t="s">
        <v>1199</v>
      </c>
      <c r="U313" s="1493">
        <v>-0.22</v>
      </c>
      <c r="V313" s="1495" t="s">
        <v>1883</v>
      </c>
      <c r="W313" s="1496">
        <v>1000000</v>
      </c>
      <c r="X313" s="1497" t="s">
        <v>1883</v>
      </c>
      <c r="Y313" s="1498">
        <v>7.9984655517999995E-4</v>
      </c>
      <c r="Z313" s="1498">
        <v>0.67771757723405002</v>
      </c>
      <c r="AA313" s="1498">
        <v>1.62652218536171</v>
      </c>
      <c r="AB313" s="1498">
        <v>1.73E-4</v>
      </c>
      <c r="AC313" s="1499" t="s">
        <v>1199</v>
      </c>
      <c r="AD313" s="1500" t="s">
        <v>635</v>
      </c>
      <c r="AE313" s="1501"/>
      <c r="AF313" s="1502" t="s">
        <v>635</v>
      </c>
      <c r="AG313" s="1501"/>
      <c r="AH313" s="1502">
        <v>5.0000000000000001E-3</v>
      </c>
      <c r="AI313" s="1503" t="s">
        <v>1119</v>
      </c>
      <c r="AJ313" s="1502" t="s">
        <v>635</v>
      </c>
      <c r="AK313" s="1501"/>
      <c r="AL313" s="1501"/>
      <c r="AM313" s="1501"/>
      <c r="AN313" s="1504">
        <v>1</v>
      </c>
      <c r="AO313" s="1505">
        <v>0.1</v>
      </c>
      <c r="AP313" s="1506" t="s">
        <v>635</v>
      </c>
    </row>
    <row r="314" spans="1:42" ht="30">
      <c r="A314" s="1481" t="s">
        <v>2452</v>
      </c>
      <c r="B314" s="1482" t="s">
        <v>2453</v>
      </c>
      <c r="C314" s="1483">
        <v>384.48</v>
      </c>
      <c r="D314" s="1484" t="s">
        <v>1883</v>
      </c>
      <c r="E314" s="1485">
        <v>1.5494685200000001E-5</v>
      </c>
      <c r="F314" s="1485">
        <v>3.7899999999999999E-7</v>
      </c>
      <c r="G314" s="1486" t="s">
        <v>1199</v>
      </c>
      <c r="H314" s="1485">
        <v>1.5E-6</v>
      </c>
      <c r="I314" s="1486" t="s">
        <v>1883</v>
      </c>
      <c r="J314" s="1487">
        <v>-13</v>
      </c>
      <c r="K314" s="1488" t="s">
        <v>1883</v>
      </c>
      <c r="L314" s="1489">
        <v>1.22</v>
      </c>
      <c r="M314" s="1490" t="s">
        <v>1884</v>
      </c>
      <c r="N314" s="1491">
        <v>1.9477411232470002E-2</v>
      </c>
      <c r="O314" s="1491">
        <v>4.81020314453E-6</v>
      </c>
      <c r="P314" s="1492" t="s">
        <v>1885</v>
      </c>
      <c r="Q314" s="1493" t="s">
        <v>635</v>
      </c>
      <c r="R314" s="1494"/>
      <c r="S314" s="1493">
        <v>882</v>
      </c>
      <c r="T314" s="1493" t="s">
        <v>1199</v>
      </c>
      <c r="U314" s="1493">
        <v>5.07</v>
      </c>
      <c r="V314" s="1495" t="s">
        <v>1883</v>
      </c>
      <c r="W314" s="1496">
        <v>2</v>
      </c>
      <c r="X314" s="1497" t="s">
        <v>1883</v>
      </c>
      <c r="Y314" s="1498">
        <v>0.19231081535926001</v>
      </c>
      <c r="Z314" s="1498">
        <v>14.9601776111286</v>
      </c>
      <c r="AA314" s="1498">
        <v>35.904426266708597</v>
      </c>
      <c r="AB314" s="1498">
        <v>2.5499999999999998E-2</v>
      </c>
      <c r="AC314" s="1499" t="s">
        <v>1199</v>
      </c>
      <c r="AD314" s="1500" t="s">
        <v>635</v>
      </c>
      <c r="AE314" s="1501"/>
      <c r="AF314" s="1502" t="s">
        <v>635</v>
      </c>
      <c r="AG314" s="1501"/>
      <c r="AH314" s="1502">
        <v>5.0000000000000001E-4</v>
      </c>
      <c r="AI314" s="1503" t="s">
        <v>1119</v>
      </c>
      <c r="AJ314" s="1502" t="s">
        <v>635</v>
      </c>
      <c r="AK314" s="1501"/>
      <c r="AL314" s="1501"/>
      <c r="AM314" s="1501"/>
      <c r="AN314" s="1504">
        <v>1</v>
      </c>
      <c r="AO314" s="1505">
        <v>0.1</v>
      </c>
      <c r="AP314" s="1506" t="s">
        <v>635</v>
      </c>
    </row>
    <row r="315" spans="1:42" ht="30">
      <c r="A315" s="1507" t="s">
        <v>2454</v>
      </c>
      <c r="B315" s="1508" t="s">
        <v>2455</v>
      </c>
      <c r="C315" s="1509">
        <v>132.16</v>
      </c>
      <c r="D315" s="1510" t="s">
        <v>1883</v>
      </c>
      <c r="E315" s="1511">
        <v>1.3082583810000001E-4</v>
      </c>
      <c r="F315" s="1511">
        <v>3.1999999999999999E-6</v>
      </c>
      <c r="G315" s="1512" t="s">
        <v>1883</v>
      </c>
      <c r="H315" s="1511">
        <v>2</v>
      </c>
      <c r="I315" s="1512" t="s">
        <v>1883</v>
      </c>
      <c r="J315" s="1513">
        <v>-61.7</v>
      </c>
      <c r="K315" s="1514" t="s">
        <v>1883</v>
      </c>
      <c r="L315" s="1515">
        <v>0.97399999999999998</v>
      </c>
      <c r="M315" s="1516" t="s">
        <v>1884</v>
      </c>
      <c r="N315" s="1517">
        <v>5.695037863961E-2</v>
      </c>
      <c r="O315" s="1517">
        <v>7.9753018213699995E-6</v>
      </c>
      <c r="P315" s="1518" t="s">
        <v>1885</v>
      </c>
      <c r="Q315" s="1519" t="s">
        <v>635</v>
      </c>
      <c r="R315" s="1520"/>
      <c r="S315" s="1519">
        <v>4.5419999999999998</v>
      </c>
      <c r="T315" s="1519" t="s">
        <v>1199</v>
      </c>
      <c r="U315" s="1519">
        <v>0.59</v>
      </c>
      <c r="V315" s="1521" t="s">
        <v>1883</v>
      </c>
      <c r="W315" s="1522">
        <v>187000</v>
      </c>
      <c r="X315" s="1523" t="s">
        <v>1883</v>
      </c>
      <c r="Y315" s="1524">
        <v>3.09510015515E-3</v>
      </c>
      <c r="Z315" s="1524">
        <v>0.57802250745037997</v>
      </c>
      <c r="AA315" s="1524">
        <v>1.3872540178809101</v>
      </c>
      <c r="AB315" s="1524">
        <v>6.9999999999999999E-4</v>
      </c>
      <c r="AC315" s="1525" t="s">
        <v>1199</v>
      </c>
      <c r="AD315" s="1526" t="s">
        <v>635</v>
      </c>
      <c r="AE315" s="1527"/>
      <c r="AF315" s="1528" t="s">
        <v>635</v>
      </c>
      <c r="AG315" s="1527"/>
      <c r="AH315" s="1528">
        <v>0.1</v>
      </c>
      <c r="AI315" s="1529" t="s">
        <v>1909</v>
      </c>
      <c r="AJ315" s="1528">
        <v>0.06</v>
      </c>
      <c r="AK315" s="1529" t="s">
        <v>1909</v>
      </c>
      <c r="AL315" s="1529" t="s">
        <v>1127</v>
      </c>
      <c r="AM315" s="1527"/>
      <c r="AN315" s="1530">
        <v>1</v>
      </c>
      <c r="AO315" s="1530" t="s">
        <v>635</v>
      </c>
      <c r="AP315" s="1532">
        <v>23800</v>
      </c>
    </row>
    <row r="316" spans="1:42" ht="30">
      <c r="A316" s="1481" t="s">
        <v>2456</v>
      </c>
      <c r="B316" s="1482" t="s">
        <v>2457</v>
      </c>
      <c r="C316" s="1483">
        <v>90.123000000000005</v>
      </c>
      <c r="D316" s="1484" t="s">
        <v>1883</v>
      </c>
      <c r="E316" s="1485">
        <v>1.9215044969999998E-5</v>
      </c>
      <c r="F316" s="1485">
        <v>4.7E-7</v>
      </c>
      <c r="G316" s="1486" t="s">
        <v>1883</v>
      </c>
      <c r="H316" s="1485">
        <v>5.31</v>
      </c>
      <c r="I316" s="1486" t="s">
        <v>1883</v>
      </c>
      <c r="J316" s="1487">
        <v>-70</v>
      </c>
      <c r="K316" s="1488" t="s">
        <v>1883</v>
      </c>
      <c r="L316" s="1489">
        <v>0.92530000000000001</v>
      </c>
      <c r="M316" s="1490" t="s">
        <v>1884</v>
      </c>
      <c r="N316" s="1491">
        <v>8.1753705026339996E-2</v>
      </c>
      <c r="O316" s="1491">
        <v>9.7306068260200006E-6</v>
      </c>
      <c r="P316" s="1492" t="s">
        <v>1885</v>
      </c>
      <c r="Q316" s="1493" t="s">
        <v>635</v>
      </c>
      <c r="R316" s="1494"/>
      <c r="S316" s="1493">
        <v>1</v>
      </c>
      <c r="T316" s="1493" t="s">
        <v>1199</v>
      </c>
      <c r="U316" s="1493">
        <v>-0.32</v>
      </c>
      <c r="V316" s="1495" t="s">
        <v>1883</v>
      </c>
      <c r="W316" s="1496">
        <v>1000000</v>
      </c>
      <c r="X316" s="1497" t="s">
        <v>1883</v>
      </c>
      <c r="Y316" s="1498">
        <v>1.09538231957E-3</v>
      </c>
      <c r="Z316" s="1498">
        <v>0.33615343201532999</v>
      </c>
      <c r="AA316" s="1498">
        <v>0.80676823683679</v>
      </c>
      <c r="AB316" s="1498">
        <v>2.9999999999999997E-4</v>
      </c>
      <c r="AC316" s="1499" t="s">
        <v>1199</v>
      </c>
      <c r="AD316" s="1500" t="s">
        <v>635</v>
      </c>
      <c r="AE316" s="1501"/>
      <c r="AF316" s="1502" t="s">
        <v>635</v>
      </c>
      <c r="AG316" s="1501"/>
      <c r="AH316" s="1502">
        <v>0.09</v>
      </c>
      <c r="AI316" s="1503" t="s">
        <v>1909</v>
      </c>
      <c r="AJ316" s="1502">
        <v>0.04</v>
      </c>
      <c r="AK316" s="1503" t="s">
        <v>1909</v>
      </c>
      <c r="AL316" s="1503" t="s">
        <v>1127</v>
      </c>
      <c r="AM316" s="1501"/>
      <c r="AN316" s="1504">
        <v>1</v>
      </c>
      <c r="AO316" s="1504" t="s">
        <v>635</v>
      </c>
      <c r="AP316" s="1506">
        <v>106000</v>
      </c>
    </row>
    <row r="317" spans="1:42" ht="30">
      <c r="A317" s="1481" t="s">
        <v>2458</v>
      </c>
      <c r="B317" s="1482" t="s">
        <v>2459</v>
      </c>
      <c r="C317" s="1483">
        <v>88.106999999999999</v>
      </c>
      <c r="D317" s="1484" t="s">
        <v>1883</v>
      </c>
      <c r="E317" s="1485">
        <v>5.4783319705599999E-3</v>
      </c>
      <c r="F317" s="1485">
        <v>1.34E-4</v>
      </c>
      <c r="G317" s="1486" t="s">
        <v>1883</v>
      </c>
      <c r="H317" s="1485">
        <v>93.2</v>
      </c>
      <c r="I317" s="1486" t="s">
        <v>1883</v>
      </c>
      <c r="J317" s="1487">
        <v>-83.6</v>
      </c>
      <c r="K317" s="1488" t="s">
        <v>1883</v>
      </c>
      <c r="L317" s="1489">
        <v>0.90029999999999999</v>
      </c>
      <c r="M317" s="1490" t="s">
        <v>1884</v>
      </c>
      <c r="N317" s="1491">
        <v>8.2315847539899997E-2</v>
      </c>
      <c r="O317" s="1491">
        <v>9.7028177330599999E-6</v>
      </c>
      <c r="P317" s="1492" t="s">
        <v>1885</v>
      </c>
      <c r="Q317" s="1493" t="s">
        <v>635</v>
      </c>
      <c r="R317" s="1494"/>
      <c r="S317" s="1493">
        <v>5.5830000000000002</v>
      </c>
      <c r="T317" s="1493" t="s">
        <v>1199</v>
      </c>
      <c r="U317" s="1493">
        <v>0.73</v>
      </c>
      <c r="V317" s="1495" t="s">
        <v>1883</v>
      </c>
      <c r="W317" s="1496">
        <v>80000</v>
      </c>
      <c r="X317" s="1497" t="s">
        <v>1883</v>
      </c>
      <c r="Y317" s="1498">
        <v>5.5236135948299996E-3</v>
      </c>
      <c r="Z317" s="1498">
        <v>0.32752763525405998</v>
      </c>
      <c r="AA317" s="1498">
        <v>0.78606632460975001</v>
      </c>
      <c r="AB317" s="1498">
        <v>1.5299999999999999E-3</v>
      </c>
      <c r="AC317" s="1499" t="s">
        <v>1199</v>
      </c>
      <c r="AD317" s="1500" t="s">
        <v>635</v>
      </c>
      <c r="AE317" s="1501"/>
      <c r="AF317" s="1502" t="s">
        <v>635</v>
      </c>
      <c r="AG317" s="1501"/>
      <c r="AH317" s="1502">
        <v>0.7</v>
      </c>
      <c r="AI317" s="1503" t="s">
        <v>1909</v>
      </c>
      <c r="AJ317" s="1502">
        <v>7.0000000000000007E-2</v>
      </c>
      <c r="AK317" s="1503" t="s">
        <v>1909</v>
      </c>
      <c r="AL317" s="1503" t="s">
        <v>1127</v>
      </c>
      <c r="AM317" s="1501"/>
      <c r="AN317" s="1504">
        <v>1</v>
      </c>
      <c r="AO317" s="1504" t="s">
        <v>635</v>
      </c>
      <c r="AP317" s="1506">
        <v>10800</v>
      </c>
    </row>
    <row r="318" spans="1:42" ht="30">
      <c r="A318" s="1507" t="s">
        <v>2460</v>
      </c>
      <c r="B318" s="1508" t="s">
        <v>2461</v>
      </c>
      <c r="C318" s="1509">
        <v>100.12</v>
      </c>
      <c r="D318" s="1510" t="s">
        <v>1883</v>
      </c>
      <c r="E318" s="1511">
        <v>1.385936222404E-2</v>
      </c>
      <c r="F318" s="1511">
        <v>3.39E-4</v>
      </c>
      <c r="G318" s="1512" t="s">
        <v>1199</v>
      </c>
      <c r="H318" s="1511">
        <v>38.6</v>
      </c>
      <c r="I318" s="1512" t="s">
        <v>1883</v>
      </c>
      <c r="J318" s="1513">
        <v>-71.2</v>
      </c>
      <c r="K318" s="1514" t="s">
        <v>1883</v>
      </c>
      <c r="L318" s="1515">
        <v>0.9234</v>
      </c>
      <c r="M318" s="1516" t="s">
        <v>1884</v>
      </c>
      <c r="N318" s="1517">
        <v>7.4539161799679995E-2</v>
      </c>
      <c r="O318" s="1517">
        <v>9.1241662340000008E-6</v>
      </c>
      <c r="P318" s="1518" t="s">
        <v>1885</v>
      </c>
      <c r="Q318" s="1519" t="s">
        <v>635</v>
      </c>
      <c r="R318" s="1520"/>
      <c r="S318" s="1519">
        <v>10.65</v>
      </c>
      <c r="T318" s="1519" t="s">
        <v>1199</v>
      </c>
      <c r="U318" s="1519">
        <v>1.32</v>
      </c>
      <c r="V318" s="1521" t="s">
        <v>1883</v>
      </c>
      <c r="W318" s="1522">
        <v>15000</v>
      </c>
      <c r="X318" s="1523" t="s">
        <v>1883</v>
      </c>
      <c r="Y318" s="1524">
        <v>1.2469013142880001E-2</v>
      </c>
      <c r="Z318" s="1524">
        <v>0.38240252355663001</v>
      </c>
      <c r="AA318" s="1524">
        <v>0.91776605653590004</v>
      </c>
      <c r="AB318" s="1524">
        <v>3.2399999999999998E-3</v>
      </c>
      <c r="AC318" s="1525" t="s">
        <v>1199</v>
      </c>
      <c r="AD318" s="1526" t="s">
        <v>635</v>
      </c>
      <c r="AE318" s="1527"/>
      <c r="AF318" s="1528" t="s">
        <v>635</v>
      </c>
      <c r="AG318" s="1527"/>
      <c r="AH318" s="1528">
        <v>5.0000000000000001E-3</v>
      </c>
      <c r="AI318" s="1529" t="s">
        <v>1909</v>
      </c>
      <c r="AJ318" s="1528">
        <v>8.0000000000000002E-3</v>
      </c>
      <c r="AK318" s="1529" t="s">
        <v>1909</v>
      </c>
      <c r="AL318" s="1529" t="s">
        <v>1127</v>
      </c>
      <c r="AM318" s="1527"/>
      <c r="AN318" s="1530">
        <v>1</v>
      </c>
      <c r="AO318" s="1530" t="s">
        <v>635</v>
      </c>
      <c r="AP318" s="1532">
        <v>2500</v>
      </c>
    </row>
    <row r="319" spans="1:42" ht="30">
      <c r="A319" s="1481" t="s">
        <v>126</v>
      </c>
      <c r="B319" s="1482" t="s">
        <v>2462</v>
      </c>
      <c r="C319" s="1483">
        <v>64.515000000000001</v>
      </c>
      <c r="D319" s="1484" t="s">
        <v>1883</v>
      </c>
      <c r="E319" s="1485">
        <v>0.45380212591987001</v>
      </c>
      <c r="F319" s="1485">
        <v>1.11E-2</v>
      </c>
      <c r="G319" s="1486" t="s">
        <v>1883</v>
      </c>
      <c r="H319" s="1485">
        <v>1008</v>
      </c>
      <c r="I319" s="1486" t="s">
        <v>1883</v>
      </c>
      <c r="J319" s="1487">
        <v>-138.69999999999999</v>
      </c>
      <c r="K319" s="1488" t="s">
        <v>1883</v>
      </c>
      <c r="L319" s="1489">
        <v>0.89019999999999999</v>
      </c>
      <c r="M319" s="1490" t="s">
        <v>1884</v>
      </c>
      <c r="N319" s="1491">
        <v>0.10375966598687</v>
      </c>
      <c r="O319" s="1491">
        <v>1.161897734E-5</v>
      </c>
      <c r="P319" s="1492" t="s">
        <v>1885</v>
      </c>
      <c r="Q319" s="1493" t="s">
        <v>635</v>
      </c>
      <c r="R319" s="1494"/>
      <c r="S319" s="1493">
        <v>21.73</v>
      </c>
      <c r="T319" s="1493" t="s">
        <v>1199</v>
      </c>
      <c r="U319" s="1493">
        <v>1.43</v>
      </c>
      <c r="V319" s="1495" t="s">
        <v>1883</v>
      </c>
      <c r="W319" s="1496">
        <v>6710</v>
      </c>
      <c r="X319" s="1497" t="s">
        <v>1883</v>
      </c>
      <c r="Y319" s="1498">
        <v>1.8751917943330001E-2</v>
      </c>
      <c r="Z319" s="1498">
        <v>0.24161992746596</v>
      </c>
      <c r="AA319" s="1498">
        <v>0.57988782591830002</v>
      </c>
      <c r="AB319" s="1498">
        <v>6.0699999999999999E-3</v>
      </c>
      <c r="AC319" s="1499" t="s">
        <v>1199</v>
      </c>
      <c r="AD319" s="1500" t="s">
        <v>635</v>
      </c>
      <c r="AE319" s="1501"/>
      <c r="AF319" s="1502" t="s">
        <v>635</v>
      </c>
      <c r="AG319" s="1501"/>
      <c r="AH319" s="1502" t="s">
        <v>635</v>
      </c>
      <c r="AI319" s="1501"/>
      <c r="AJ319" s="1502">
        <v>4</v>
      </c>
      <c r="AK319" s="1503" t="s">
        <v>1909</v>
      </c>
      <c r="AL319" s="1503" t="s">
        <v>1127</v>
      </c>
      <c r="AM319" s="1501"/>
      <c r="AN319" s="1504">
        <v>1</v>
      </c>
      <c r="AO319" s="1504" t="s">
        <v>635</v>
      </c>
      <c r="AP319" s="1506">
        <v>2120</v>
      </c>
    </row>
    <row r="320" spans="1:42" ht="30">
      <c r="A320" s="1481" t="s">
        <v>2463</v>
      </c>
      <c r="B320" s="1482" t="s">
        <v>2464</v>
      </c>
      <c r="C320" s="1483">
        <v>74.123999999999995</v>
      </c>
      <c r="D320" s="1484" t="s">
        <v>1883</v>
      </c>
      <c r="E320" s="1485">
        <v>5.0286181520850001E-2</v>
      </c>
      <c r="F320" s="1485">
        <v>1.23E-3</v>
      </c>
      <c r="G320" s="1486" t="s">
        <v>1883</v>
      </c>
      <c r="H320" s="1485">
        <v>538</v>
      </c>
      <c r="I320" s="1486" t="s">
        <v>1883</v>
      </c>
      <c r="J320" s="1487">
        <v>-116.3</v>
      </c>
      <c r="K320" s="1488" t="s">
        <v>1883</v>
      </c>
      <c r="L320" s="1489">
        <v>0.71379999999999999</v>
      </c>
      <c r="M320" s="1490" t="s">
        <v>1884</v>
      </c>
      <c r="N320" s="1491">
        <v>8.5244567392969997E-2</v>
      </c>
      <c r="O320" s="1491">
        <v>9.3635900031999996E-6</v>
      </c>
      <c r="P320" s="1492" t="s">
        <v>1885</v>
      </c>
      <c r="Q320" s="1493" t="s">
        <v>635</v>
      </c>
      <c r="R320" s="1494"/>
      <c r="S320" s="1493">
        <v>9.6989999999999998</v>
      </c>
      <c r="T320" s="1493" t="s">
        <v>1199</v>
      </c>
      <c r="U320" s="1493">
        <v>0.89</v>
      </c>
      <c r="V320" s="1495" t="s">
        <v>1883</v>
      </c>
      <c r="W320" s="1496">
        <v>60400</v>
      </c>
      <c r="X320" s="1497" t="s">
        <v>1883</v>
      </c>
      <c r="Y320" s="1498">
        <v>7.7816902188899998E-3</v>
      </c>
      <c r="Z320" s="1498">
        <v>0.27349106952802998</v>
      </c>
      <c r="AA320" s="1498">
        <v>0.65637856686726004</v>
      </c>
      <c r="AB320" s="1498">
        <v>2.3500000000000001E-3</v>
      </c>
      <c r="AC320" s="1499" t="s">
        <v>1199</v>
      </c>
      <c r="AD320" s="1500" t="s">
        <v>635</v>
      </c>
      <c r="AE320" s="1501"/>
      <c r="AF320" s="1502" t="s">
        <v>635</v>
      </c>
      <c r="AG320" s="1501"/>
      <c r="AH320" s="1502">
        <v>0.2</v>
      </c>
      <c r="AI320" s="1503" t="s">
        <v>1119</v>
      </c>
      <c r="AJ320" s="1502" t="s">
        <v>635</v>
      </c>
      <c r="AK320" s="1501"/>
      <c r="AL320" s="1503" t="s">
        <v>1127</v>
      </c>
      <c r="AM320" s="1501"/>
      <c r="AN320" s="1504">
        <v>1</v>
      </c>
      <c r="AO320" s="1504" t="s">
        <v>635</v>
      </c>
      <c r="AP320" s="1506">
        <v>10100</v>
      </c>
    </row>
    <row r="321" spans="1:42" ht="30">
      <c r="A321" s="1507" t="s">
        <v>2465</v>
      </c>
      <c r="B321" s="1508" t="s">
        <v>2466</v>
      </c>
      <c r="C321" s="1509">
        <v>114.15</v>
      </c>
      <c r="D321" s="1510" t="s">
        <v>1883</v>
      </c>
      <c r="E321" s="1511">
        <v>2.342600163532E-2</v>
      </c>
      <c r="F321" s="1511">
        <v>5.7300000000000005E-4</v>
      </c>
      <c r="G321" s="1512" t="s">
        <v>1199</v>
      </c>
      <c r="H321" s="1511">
        <v>20.59</v>
      </c>
      <c r="I321" s="1512" t="s">
        <v>1883</v>
      </c>
      <c r="J321" s="1513">
        <v>-75</v>
      </c>
      <c r="K321" s="1514" t="s">
        <v>1883</v>
      </c>
      <c r="L321" s="1515">
        <v>0.91349999999999998</v>
      </c>
      <c r="M321" s="1516" t="s">
        <v>1884</v>
      </c>
      <c r="N321" s="1517">
        <v>6.5344090272240002E-2</v>
      </c>
      <c r="O321" s="1517">
        <v>8.3793697201900005E-6</v>
      </c>
      <c r="P321" s="1518" t="s">
        <v>1885</v>
      </c>
      <c r="Q321" s="1519" t="s">
        <v>635</v>
      </c>
      <c r="R321" s="1520"/>
      <c r="S321" s="1519">
        <v>16.66</v>
      </c>
      <c r="T321" s="1519" t="s">
        <v>1199</v>
      </c>
      <c r="U321" s="1519">
        <v>1.94</v>
      </c>
      <c r="V321" s="1521" t="s">
        <v>1883</v>
      </c>
      <c r="W321" s="1522">
        <v>5400</v>
      </c>
      <c r="X321" s="1523" t="s">
        <v>1883</v>
      </c>
      <c r="Y321" s="1524">
        <v>2.8682700134090001E-2</v>
      </c>
      <c r="Z321" s="1524">
        <v>0.45823551919930999</v>
      </c>
      <c r="AA321" s="1524">
        <v>1.09976524607834</v>
      </c>
      <c r="AB321" s="1524">
        <v>6.9800000000000001E-3</v>
      </c>
      <c r="AC321" s="1525" t="s">
        <v>1199</v>
      </c>
      <c r="AD321" s="1526" t="s">
        <v>635</v>
      </c>
      <c r="AE321" s="1527"/>
      <c r="AF321" s="1528" t="s">
        <v>635</v>
      </c>
      <c r="AG321" s="1527"/>
      <c r="AH321" s="1528" t="s">
        <v>635</v>
      </c>
      <c r="AI321" s="1527"/>
      <c r="AJ321" s="1528">
        <v>0.3</v>
      </c>
      <c r="AK321" s="1529" t="s">
        <v>1909</v>
      </c>
      <c r="AL321" s="1529" t="s">
        <v>1127</v>
      </c>
      <c r="AM321" s="1527"/>
      <c r="AN321" s="1530">
        <v>1</v>
      </c>
      <c r="AO321" s="1530" t="s">
        <v>635</v>
      </c>
      <c r="AP321" s="1532">
        <v>1100</v>
      </c>
    </row>
    <row r="322" spans="1:42" ht="30">
      <c r="A322" s="1481" t="s">
        <v>2467</v>
      </c>
      <c r="B322" s="1482" t="s">
        <v>2468</v>
      </c>
      <c r="C322" s="1483">
        <v>102.18</v>
      </c>
      <c r="D322" s="1484" t="s">
        <v>1199</v>
      </c>
      <c r="E322" s="1485">
        <v>6.7048241999999994E-2</v>
      </c>
      <c r="F322" s="1485">
        <v>1.64E-3</v>
      </c>
      <c r="G322" s="1486" t="s">
        <v>1199</v>
      </c>
      <c r="H322" s="1485">
        <v>124</v>
      </c>
      <c r="I322" s="1486" t="s">
        <v>1199</v>
      </c>
      <c r="J322" s="1487">
        <v>-94</v>
      </c>
      <c r="K322" s="1488" t="s">
        <v>1199</v>
      </c>
      <c r="L322" s="1489">
        <v>0.73599999999999999</v>
      </c>
      <c r="M322" s="1490" t="s">
        <v>1884</v>
      </c>
      <c r="N322" s="1491">
        <v>6.6110361242539994E-2</v>
      </c>
      <c r="O322" s="1491">
        <v>7.8664524374700001E-6</v>
      </c>
      <c r="P322" s="1492" t="s">
        <v>1885</v>
      </c>
      <c r="Q322" s="1493" t="s">
        <v>635</v>
      </c>
      <c r="R322" s="1494"/>
      <c r="S322" s="1493">
        <v>21.07</v>
      </c>
      <c r="T322" s="1493" t="s">
        <v>1199</v>
      </c>
      <c r="U322" s="1493">
        <v>1.9202999999999999</v>
      </c>
      <c r="V322" s="1495" t="s">
        <v>1199</v>
      </c>
      <c r="W322" s="1496">
        <v>12000</v>
      </c>
      <c r="X322" s="1497" t="s">
        <v>1199</v>
      </c>
      <c r="Y322" s="1498">
        <v>3.0714022104669999E-2</v>
      </c>
      <c r="Z322" s="1498">
        <v>0.39269624598786002</v>
      </c>
      <c r="AA322" s="1498">
        <v>0.94247099037086002</v>
      </c>
      <c r="AB322" s="1498">
        <v>7.9000000000000008E-3</v>
      </c>
      <c r="AC322" s="1499" t="s">
        <v>1199</v>
      </c>
      <c r="AD322" s="1500" t="s">
        <v>635</v>
      </c>
      <c r="AE322" s="1501"/>
      <c r="AF322" s="1502">
        <v>8.0000000000000002E-8</v>
      </c>
      <c r="AG322" s="1503" t="s">
        <v>1119</v>
      </c>
      <c r="AH322" s="1502">
        <v>1</v>
      </c>
      <c r="AI322" s="1503" t="s">
        <v>1119</v>
      </c>
      <c r="AJ322" s="1502">
        <v>40</v>
      </c>
      <c r="AK322" s="1503" t="s">
        <v>1119</v>
      </c>
      <c r="AL322" s="1503" t="s">
        <v>1127</v>
      </c>
      <c r="AM322" s="1501"/>
      <c r="AN322" s="1504">
        <v>1</v>
      </c>
      <c r="AO322" s="1504" t="s">
        <v>635</v>
      </c>
      <c r="AP322" s="1506">
        <v>2870</v>
      </c>
    </row>
    <row r="323" spans="1:42" ht="30">
      <c r="A323" s="1481" t="s">
        <v>2469</v>
      </c>
      <c r="B323" s="1482" t="s">
        <v>2470</v>
      </c>
      <c r="C323" s="1483">
        <v>323.31</v>
      </c>
      <c r="D323" s="1484" t="s">
        <v>1883</v>
      </c>
      <c r="E323" s="1485">
        <v>1.815208504E-5</v>
      </c>
      <c r="F323" s="1485">
        <v>4.4400000000000001E-7</v>
      </c>
      <c r="G323" s="1486" t="s">
        <v>1199</v>
      </c>
      <c r="H323" s="1485">
        <v>9.5000000000000001E-7</v>
      </c>
      <c r="I323" s="1486" t="s">
        <v>1883</v>
      </c>
      <c r="J323" s="1487">
        <v>36</v>
      </c>
      <c r="K323" s="1488" t="s">
        <v>1883</v>
      </c>
      <c r="L323" s="1489">
        <v>1.27</v>
      </c>
      <c r="M323" s="1490" t="s">
        <v>1884</v>
      </c>
      <c r="N323" s="1491">
        <v>2.1747491024230001E-2</v>
      </c>
      <c r="O323" s="1491">
        <v>5.4674210635900002E-6</v>
      </c>
      <c r="P323" s="1492" t="s">
        <v>1885</v>
      </c>
      <c r="Q323" s="1493" t="s">
        <v>635</v>
      </c>
      <c r="R323" s="1494"/>
      <c r="S323" s="1493">
        <v>15470</v>
      </c>
      <c r="T323" s="1493" t="s">
        <v>1199</v>
      </c>
      <c r="U323" s="1493">
        <v>4.78</v>
      </c>
      <c r="V323" s="1495" t="s">
        <v>1883</v>
      </c>
      <c r="W323" s="1496">
        <v>3.11</v>
      </c>
      <c r="X323" s="1497" t="s">
        <v>1883</v>
      </c>
      <c r="Y323" s="1498">
        <v>0.24965681329191999</v>
      </c>
      <c r="Z323" s="1498">
        <v>6.7980561845348202</v>
      </c>
      <c r="AA323" s="1498">
        <v>16.315334842883601</v>
      </c>
      <c r="AB323" s="1498">
        <v>3.61E-2</v>
      </c>
      <c r="AC323" s="1499" t="s">
        <v>1199</v>
      </c>
      <c r="AD323" s="1500" t="s">
        <v>635</v>
      </c>
      <c r="AE323" s="1501"/>
      <c r="AF323" s="1502" t="s">
        <v>635</v>
      </c>
      <c r="AG323" s="1501"/>
      <c r="AH323" s="1502">
        <v>1.0000000000000001E-5</v>
      </c>
      <c r="AI323" s="1503" t="s">
        <v>1119</v>
      </c>
      <c r="AJ323" s="1502" t="s">
        <v>635</v>
      </c>
      <c r="AK323" s="1501"/>
      <c r="AL323" s="1501"/>
      <c r="AM323" s="1501"/>
      <c r="AN323" s="1504">
        <v>1</v>
      </c>
      <c r="AO323" s="1505">
        <v>0.1</v>
      </c>
      <c r="AP323" s="1506" t="s">
        <v>635</v>
      </c>
    </row>
    <row r="324" spans="1:42" ht="30">
      <c r="A324" s="1507" t="s">
        <v>198</v>
      </c>
      <c r="B324" s="1508" t="s">
        <v>197</v>
      </c>
      <c r="C324" s="1509">
        <v>106.17</v>
      </c>
      <c r="D324" s="1510" t="s">
        <v>1883</v>
      </c>
      <c r="E324" s="1511">
        <v>0.32215862632870002</v>
      </c>
      <c r="F324" s="1511">
        <v>7.8799999999999999E-3</v>
      </c>
      <c r="G324" s="1512" t="s">
        <v>1883</v>
      </c>
      <c r="H324" s="1511">
        <v>9.6</v>
      </c>
      <c r="I324" s="1512" t="s">
        <v>1883</v>
      </c>
      <c r="J324" s="1513">
        <v>-94.9</v>
      </c>
      <c r="K324" s="1514" t="s">
        <v>1883</v>
      </c>
      <c r="L324" s="1515">
        <v>0.86260000000000003</v>
      </c>
      <c r="M324" s="1516" t="s">
        <v>1884</v>
      </c>
      <c r="N324" s="1517">
        <v>6.8465204860710005E-2</v>
      </c>
      <c r="O324" s="1517">
        <v>8.45583214768E-6</v>
      </c>
      <c r="P324" s="1518" t="s">
        <v>1885</v>
      </c>
      <c r="Q324" s="1519" t="s">
        <v>635</v>
      </c>
      <c r="R324" s="1520"/>
      <c r="S324" s="1519">
        <v>446.1</v>
      </c>
      <c r="T324" s="1519" t="s">
        <v>1199</v>
      </c>
      <c r="U324" s="1519">
        <v>3.15</v>
      </c>
      <c r="V324" s="1521" t="s">
        <v>1883</v>
      </c>
      <c r="W324" s="1522">
        <v>169</v>
      </c>
      <c r="X324" s="1523" t="s">
        <v>1883</v>
      </c>
      <c r="Y324" s="1524">
        <v>0.19537746931965</v>
      </c>
      <c r="Z324" s="1524">
        <v>0.41342882164758998</v>
      </c>
      <c r="AA324" s="1524">
        <v>0.99222917195421001</v>
      </c>
      <c r="AB324" s="1524">
        <v>4.9299999999999997E-2</v>
      </c>
      <c r="AC324" s="1525" t="s">
        <v>1199</v>
      </c>
      <c r="AD324" s="1526">
        <v>1.0999999999999999E-2</v>
      </c>
      <c r="AE324" s="1529" t="s">
        <v>1900</v>
      </c>
      <c r="AF324" s="1528">
        <v>2.5000000000000002E-6</v>
      </c>
      <c r="AG324" s="1529" t="s">
        <v>1900</v>
      </c>
      <c r="AH324" s="1528">
        <v>0.05</v>
      </c>
      <c r="AI324" s="1529" t="s">
        <v>1909</v>
      </c>
      <c r="AJ324" s="1528">
        <v>1</v>
      </c>
      <c r="AK324" s="1529" t="s">
        <v>1119</v>
      </c>
      <c r="AL324" s="1529" t="s">
        <v>1127</v>
      </c>
      <c r="AM324" s="1527"/>
      <c r="AN324" s="1530">
        <v>1</v>
      </c>
      <c r="AO324" s="1530" t="s">
        <v>635</v>
      </c>
      <c r="AP324" s="1532">
        <v>480</v>
      </c>
    </row>
    <row r="325" spans="1:42" ht="30">
      <c r="A325" s="1481" t="s">
        <v>2471</v>
      </c>
      <c r="B325" s="1482" t="s">
        <v>2472</v>
      </c>
      <c r="C325" s="1483">
        <v>71.078999999999994</v>
      </c>
      <c r="D325" s="1484" t="s">
        <v>1883</v>
      </c>
      <c r="E325" s="1485">
        <v>3.06623058054E-7</v>
      </c>
      <c r="F325" s="1485">
        <v>7.4999999999999993E-9</v>
      </c>
      <c r="G325" s="1486" t="s">
        <v>1199</v>
      </c>
      <c r="H325" s="1485">
        <v>8.0199999999999994E-2</v>
      </c>
      <c r="I325" s="1486" t="s">
        <v>1883</v>
      </c>
      <c r="J325" s="1487">
        <v>-46</v>
      </c>
      <c r="K325" s="1488" t="s">
        <v>1883</v>
      </c>
      <c r="L325" s="1489">
        <v>1.0404</v>
      </c>
      <c r="M325" s="1490" t="s">
        <v>1884</v>
      </c>
      <c r="N325" s="1491">
        <v>0.10331141089463999</v>
      </c>
      <c r="O325" s="1491">
        <v>1.2037801900000001E-5</v>
      </c>
      <c r="P325" s="1492" t="s">
        <v>1885</v>
      </c>
      <c r="Q325" s="1493" t="s">
        <v>635</v>
      </c>
      <c r="R325" s="1494"/>
      <c r="S325" s="1493">
        <v>1</v>
      </c>
      <c r="T325" s="1493" t="s">
        <v>1199</v>
      </c>
      <c r="U325" s="1493">
        <v>-0.94</v>
      </c>
      <c r="V325" s="1495" t="s">
        <v>1883</v>
      </c>
      <c r="W325" s="1496">
        <v>1000000</v>
      </c>
      <c r="X325" s="1497" t="s">
        <v>1883</v>
      </c>
      <c r="Y325" s="1498">
        <v>4.7990914080999999E-4</v>
      </c>
      <c r="Z325" s="1498">
        <v>0.26296088313131</v>
      </c>
      <c r="AA325" s="1498">
        <v>0.63110611951515005</v>
      </c>
      <c r="AB325" s="1498">
        <v>1.4799999999999999E-4</v>
      </c>
      <c r="AC325" s="1499" t="s">
        <v>1199</v>
      </c>
      <c r="AD325" s="1500" t="s">
        <v>635</v>
      </c>
      <c r="AE325" s="1501"/>
      <c r="AF325" s="1502" t="s">
        <v>635</v>
      </c>
      <c r="AG325" s="1501"/>
      <c r="AH325" s="1502">
        <v>7.0000000000000007E-2</v>
      </c>
      <c r="AI325" s="1503" t="s">
        <v>1909</v>
      </c>
      <c r="AJ325" s="1502" t="s">
        <v>635</v>
      </c>
      <c r="AK325" s="1501"/>
      <c r="AL325" s="1501"/>
      <c r="AM325" s="1501"/>
      <c r="AN325" s="1504">
        <v>1</v>
      </c>
      <c r="AO325" s="1505">
        <v>0.1</v>
      </c>
      <c r="AP325" s="1506" t="s">
        <v>635</v>
      </c>
    </row>
    <row r="326" spans="1:42" ht="30">
      <c r="A326" s="1481" t="s">
        <v>2473</v>
      </c>
      <c r="B326" s="1482" t="s">
        <v>2474</v>
      </c>
      <c r="C326" s="1483">
        <v>60.098999999999997</v>
      </c>
      <c r="D326" s="1484" t="s">
        <v>1883</v>
      </c>
      <c r="E326" s="1485">
        <v>7.0727718724399999E-8</v>
      </c>
      <c r="F326" s="1485">
        <v>1.73E-9</v>
      </c>
      <c r="G326" s="1486" t="s">
        <v>1883</v>
      </c>
      <c r="H326" s="1485">
        <v>12</v>
      </c>
      <c r="I326" s="1486" t="s">
        <v>1883</v>
      </c>
      <c r="J326" s="1487">
        <v>11.1</v>
      </c>
      <c r="K326" s="1488" t="s">
        <v>1883</v>
      </c>
      <c r="L326" s="1489">
        <v>0.89790000000000003</v>
      </c>
      <c r="M326" s="1490" t="s">
        <v>1884</v>
      </c>
      <c r="N326" s="1491">
        <v>0.10944602490031</v>
      </c>
      <c r="O326" s="1491">
        <v>1.218675856E-5</v>
      </c>
      <c r="P326" s="1492" t="s">
        <v>1885</v>
      </c>
      <c r="Q326" s="1493" t="s">
        <v>635</v>
      </c>
      <c r="R326" s="1494"/>
      <c r="S326" s="1493">
        <v>14.87</v>
      </c>
      <c r="T326" s="1493" t="s">
        <v>1199</v>
      </c>
      <c r="U326" s="1493">
        <v>-2.04</v>
      </c>
      <c r="V326" s="1495" t="s">
        <v>1883</v>
      </c>
      <c r="W326" s="1496">
        <v>1000000</v>
      </c>
      <c r="X326" s="1497" t="s">
        <v>1883</v>
      </c>
      <c r="Y326" s="1498">
        <v>9.4817258650000002E-5</v>
      </c>
      <c r="Z326" s="1498">
        <v>0.22824598651051001</v>
      </c>
      <c r="AA326" s="1498">
        <v>0.54779036762523003</v>
      </c>
      <c r="AB326" s="1498">
        <v>3.18E-5</v>
      </c>
      <c r="AC326" s="1499" t="s">
        <v>1199</v>
      </c>
      <c r="AD326" s="1500" t="s">
        <v>635</v>
      </c>
      <c r="AE326" s="1501"/>
      <c r="AF326" s="1502" t="s">
        <v>635</v>
      </c>
      <c r="AG326" s="1501"/>
      <c r="AH326" s="1502">
        <v>0.09</v>
      </c>
      <c r="AI326" s="1503" t="s">
        <v>1909</v>
      </c>
      <c r="AJ326" s="1502" t="s">
        <v>635</v>
      </c>
      <c r="AK326" s="1501"/>
      <c r="AL326" s="1503" t="s">
        <v>1127</v>
      </c>
      <c r="AM326" s="1501"/>
      <c r="AN326" s="1504">
        <v>1</v>
      </c>
      <c r="AO326" s="1504" t="s">
        <v>635</v>
      </c>
      <c r="AP326" s="1506">
        <v>189000</v>
      </c>
    </row>
    <row r="327" spans="1:42" ht="30">
      <c r="A327" s="1507" t="s">
        <v>2475</v>
      </c>
      <c r="B327" s="1508" t="s">
        <v>2476</v>
      </c>
      <c r="C327" s="1509">
        <v>62.069000000000003</v>
      </c>
      <c r="D327" s="1510" t="s">
        <v>1883</v>
      </c>
      <c r="E327" s="1511">
        <v>2.4529844644300001E-6</v>
      </c>
      <c r="F327" s="1511">
        <v>5.9999999999999995E-8</v>
      </c>
      <c r="G327" s="1512" t="s">
        <v>1883</v>
      </c>
      <c r="H327" s="1511">
        <v>9.1999999999999998E-2</v>
      </c>
      <c r="I327" s="1512" t="s">
        <v>1883</v>
      </c>
      <c r="J327" s="1513">
        <v>-13</v>
      </c>
      <c r="K327" s="1514" t="s">
        <v>1883</v>
      </c>
      <c r="L327" s="1515">
        <v>1.1134999999999999</v>
      </c>
      <c r="M327" s="1516" t="s">
        <v>1884</v>
      </c>
      <c r="N327" s="1517">
        <v>0.11692495503863</v>
      </c>
      <c r="O327" s="1517">
        <v>1.360069355E-5</v>
      </c>
      <c r="P327" s="1518" t="s">
        <v>1885</v>
      </c>
      <c r="Q327" s="1519" t="s">
        <v>635</v>
      </c>
      <c r="R327" s="1520"/>
      <c r="S327" s="1519">
        <v>1</v>
      </c>
      <c r="T327" s="1519" t="s">
        <v>1199</v>
      </c>
      <c r="U327" s="1519">
        <v>-1.36</v>
      </c>
      <c r="V327" s="1521" t="s">
        <v>1883</v>
      </c>
      <c r="W327" s="1522">
        <v>1000000</v>
      </c>
      <c r="X327" s="1523" t="s">
        <v>1883</v>
      </c>
      <c r="Y327" s="1524">
        <v>2.6574409293999998E-4</v>
      </c>
      <c r="Z327" s="1524">
        <v>0.23411818555354999</v>
      </c>
      <c r="AA327" s="1524">
        <v>0.56188364532852997</v>
      </c>
      <c r="AB327" s="1524">
        <v>8.7700000000000004E-5</v>
      </c>
      <c r="AC327" s="1525" t="s">
        <v>1199</v>
      </c>
      <c r="AD327" s="1526" t="s">
        <v>635</v>
      </c>
      <c r="AE327" s="1527"/>
      <c r="AF327" s="1528" t="s">
        <v>635</v>
      </c>
      <c r="AG327" s="1527"/>
      <c r="AH327" s="1528">
        <v>0.8</v>
      </c>
      <c r="AI327" s="1529" t="s">
        <v>1960</v>
      </c>
      <c r="AJ327" s="1528">
        <v>0.4</v>
      </c>
      <c r="AK327" s="1529" t="s">
        <v>1900</v>
      </c>
      <c r="AL327" s="1527"/>
      <c r="AM327" s="1527"/>
      <c r="AN327" s="1530">
        <v>1</v>
      </c>
      <c r="AO327" s="1531">
        <v>0.1</v>
      </c>
      <c r="AP327" s="1532" t="s">
        <v>635</v>
      </c>
    </row>
    <row r="328" spans="1:42" ht="30">
      <c r="A328" s="1481" t="s">
        <v>2477</v>
      </c>
      <c r="B328" s="1482" t="s">
        <v>2478</v>
      </c>
      <c r="C328" s="1483">
        <v>118.18</v>
      </c>
      <c r="D328" s="1484" t="s">
        <v>1883</v>
      </c>
      <c r="E328" s="1485">
        <v>6.5412919050000006E-5</v>
      </c>
      <c r="F328" s="1485">
        <v>1.5999999999999999E-6</v>
      </c>
      <c r="G328" s="1486" t="s">
        <v>1883</v>
      </c>
      <c r="H328" s="1485">
        <v>0.88</v>
      </c>
      <c r="I328" s="1486" t="s">
        <v>1883</v>
      </c>
      <c r="J328" s="1487">
        <v>-74.8</v>
      </c>
      <c r="K328" s="1488" t="s">
        <v>1883</v>
      </c>
      <c r="L328" s="1489">
        <v>0.90149999999999997</v>
      </c>
      <c r="M328" s="1490" t="s">
        <v>1884</v>
      </c>
      <c r="N328" s="1491">
        <v>6.2618837486459994E-2</v>
      </c>
      <c r="O328" s="1491">
        <v>8.1418822799599997E-6</v>
      </c>
      <c r="P328" s="1492" t="s">
        <v>1885</v>
      </c>
      <c r="Q328" s="1493" t="s">
        <v>635</v>
      </c>
      <c r="R328" s="1494"/>
      <c r="S328" s="1493">
        <v>2.823</v>
      </c>
      <c r="T328" s="1493" t="s">
        <v>1199</v>
      </c>
      <c r="U328" s="1493">
        <v>0.83</v>
      </c>
      <c r="V328" s="1495" t="s">
        <v>1883</v>
      </c>
      <c r="W328" s="1496">
        <v>1000000</v>
      </c>
      <c r="X328" s="1497" t="s">
        <v>1883</v>
      </c>
      <c r="Y328" s="1498">
        <v>5.0592252429800004E-3</v>
      </c>
      <c r="Z328" s="1498">
        <v>0.48267716096861002</v>
      </c>
      <c r="AA328" s="1498">
        <v>1.15842518632467</v>
      </c>
      <c r="AB328" s="1498">
        <v>1.2099999999999999E-3</v>
      </c>
      <c r="AC328" s="1499" t="s">
        <v>1199</v>
      </c>
      <c r="AD328" s="1500" t="s">
        <v>635</v>
      </c>
      <c r="AE328" s="1501"/>
      <c r="AF328" s="1502" t="s">
        <v>635</v>
      </c>
      <c r="AG328" s="1501"/>
      <c r="AH328" s="1502">
        <v>0.1</v>
      </c>
      <c r="AI328" s="1503" t="s">
        <v>1119</v>
      </c>
      <c r="AJ328" s="1502">
        <v>1.6</v>
      </c>
      <c r="AK328" s="1503" t="s">
        <v>1119</v>
      </c>
      <c r="AL328" s="1501"/>
      <c r="AM328" s="1501"/>
      <c r="AN328" s="1504">
        <v>1</v>
      </c>
      <c r="AO328" s="1505">
        <v>0.1</v>
      </c>
      <c r="AP328" s="1506" t="s">
        <v>635</v>
      </c>
    </row>
    <row r="329" spans="1:42" ht="30">
      <c r="A329" s="1481" t="s">
        <v>2479</v>
      </c>
      <c r="B329" s="1482" t="s">
        <v>2480</v>
      </c>
      <c r="C329" s="1483">
        <v>44.054000000000002</v>
      </c>
      <c r="D329" s="1484" t="s">
        <v>1883</v>
      </c>
      <c r="E329" s="1485">
        <v>6.0506950122600003E-3</v>
      </c>
      <c r="F329" s="1485">
        <v>1.4799999999999999E-4</v>
      </c>
      <c r="G329" s="1486" t="s">
        <v>1883</v>
      </c>
      <c r="H329" s="1485">
        <v>1314</v>
      </c>
      <c r="I329" s="1486" t="s">
        <v>1883</v>
      </c>
      <c r="J329" s="1487">
        <v>-111.7</v>
      </c>
      <c r="K329" s="1488" t="s">
        <v>1883</v>
      </c>
      <c r="L329" s="1489">
        <v>0.8821</v>
      </c>
      <c r="M329" s="1490" t="s">
        <v>1884</v>
      </c>
      <c r="N329" s="1491">
        <v>0.1339637663264</v>
      </c>
      <c r="O329" s="1491">
        <v>1.4527512449999999E-5</v>
      </c>
      <c r="P329" s="1492" t="s">
        <v>1885</v>
      </c>
      <c r="Q329" s="1493" t="s">
        <v>635</v>
      </c>
      <c r="R329" s="1494"/>
      <c r="S329" s="1493">
        <v>3.2370000000000001</v>
      </c>
      <c r="T329" s="1493" t="s">
        <v>1199</v>
      </c>
      <c r="U329" s="1493">
        <v>-0.3</v>
      </c>
      <c r="V329" s="1495" t="s">
        <v>1883</v>
      </c>
      <c r="W329" s="1496">
        <v>1000000</v>
      </c>
      <c r="X329" s="1497" t="s">
        <v>1883</v>
      </c>
      <c r="Y329" s="1498">
        <v>1.4295763430900001E-3</v>
      </c>
      <c r="Z329" s="1498">
        <v>0.18558853759571001</v>
      </c>
      <c r="AA329" s="1498">
        <v>0.44541249022968998</v>
      </c>
      <c r="AB329" s="1498">
        <v>5.5999999999999995E-4</v>
      </c>
      <c r="AC329" s="1499" t="s">
        <v>1199</v>
      </c>
      <c r="AD329" s="1500">
        <v>0.31</v>
      </c>
      <c r="AE329" s="1503" t="s">
        <v>1900</v>
      </c>
      <c r="AF329" s="1502">
        <v>3.0000000000000001E-3</v>
      </c>
      <c r="AG329" s="1503" t="s">
        <v>1119</v>
      </c>
      <c r="AH329" s="1502" t="s">
        <v>635</v>
      </c>
      <c r="AI329" s="1501"/>
      <c r="AJ329" s="1502">
        <v>0.03</v>
      </c>
      <c r="AK329" s="1503" t="s">
        <v>1900</v>
      </c>
      <c r="AL329" s="1503" t="s">
        <v>1127</v>
      </c>
      <c r="AM329" s="1503" t="s">
        <v>1906</v>
      </c>
      <c r="AN329" s="1504">
        <v>1</v>
      </c>
      <c r="AO329" s="1504" t="s">
        <v>635</v>
      </c>
      <c r="AP329" s="1506">
        <v>121000</v>
      </c>
    </row>
    <row r="330" spans="1:42" ht="30">
      <c r="A330" s="1507" t="s">
        <v>2481</v>
      </c>
      <c r="B330" s="1508" t="s">
        <v>2482</v>
      </c>
      <c r="C330" s="1509">
        <v>102.16</v>
      </c>
      <c r="D330" s="1510" t="s">
        <v>1883</v>
      </c>
      <c r="E330" s="1511">
        <v>5.5600981194000004E-10</v>
      </c>
      <c r="F330" s="1511">
        <v>1.36E-11</v>
      </c>
      <c r="G330" s="1512" t="s">
        <v>1883</v>
      </c>
      <c r="H330" s="1511">
        <v>2.0200000000000001E-6</v>
      </c>
      <c r="I330" s="1512" t="s">
        <v>1883</v>
      </c>
      <c r="J330" s="1513">
        <v>203</v>
      </c>
      <c r="K330" s="1514" t="s">
        <v>1883</v>
      </c>
      <c r="L330" s="1515" t="s">
        <v>635</v>
      </c>
      <c r="M330" s="1538"/>
      <c r="N330" s="1517">
        <v>8.6942677657990006E-2</v>
      </c>
      <c r="O330" s="1517">
        <v>1.015856549E-5</v>
      </c>
      <c r="P330" s="1518" t="s">
        <v>1885</v>
      </c>
      <c r="Q330" s="1519" t="s">
        <v>635</v>
      </c>
      <c r="R330" s="1520"/>
      <c r="S330" s="1519">
        <v>12.97</v>
      </c>
      <c r="T330" s="1519" t="s">
        <v>1199</v>
      </c>
      <c r="U330" s="1519">
        <v>-0.66</v>
      </c>
      <c r="V330" s="1521" t="s">
        <v>1883</v>
      </c>
      <c r="W330" s="1522">
        <v>20000</v>
      </c>
      <c r="X330" s="1523" t="s">
        <v>1883</v>
      </c>
      <c r="Y330" s="1524">
        <v>5.9089549933000001E-4</v>
      </c>
      <c r="Z330" s="1524">
        <v>0.39259498679478999</v>
      </c>
      <c r="AA330" s="1524">
        <v>0.9422279683075</v>
      </c>
      <c r="AB330" s="1524">
        <v>1.5200000000000001E-4</v>
      </c>
      <c r="AC330" s="1525" t="s">
        <v>1199</v>
      </c>
      <c r="AD330" s="1526">
        <v>4.4999999999999998E-2</v>
      </c>
      <c r="AE330" s="1529" t="s">
        <v>1900</v>
      </c>
      <c r="AF330" s="1528">
        <v>1.2999999999999999E-5</v>
      </c>
      <c r="AG330" s="1529" t="s">
        <v>1900</v>
      </c>
      <c r="AH330" s="1528">
        <v>8.0000000000000007E-5</v>
      </c>
      <c r="AI330" s="1529" t="s">
        <v>1119</v>
      </c>
      <c r="AJ330" s="1528" t="s">
        <v>635</v>
      </c>
      <c r="AK330" s="1527"/>
      <c r="AL330" s="1527"/>
      <c r="AM330" s="1527"/>
      <c r="AN330" s="1530">
        <v>1</v>
      </c>
      <c r="AO330" s="1531">
        <v>0.1</v>
      </c>
      <c r="AP330" s="1532" t="s">
        <v>635</v>
      </c>
    </row>
    <row r="331" spans="1:42" ht="30">
      <c r="A331" s="1481" t="s">
        <v>2483</v>
      </c>
      <c r="B331" s="1482" t="s">
        <v>2484</v>
      </c>
      <c r="C331" s="1483">
        <v>43.069000000000003</v>
      </c>
      <c r="D331" s="1484" t="s">
        <v>1883</v>
      </c>
      <c r="E331" s="1485">
        <v>4.9468520033000001E-4</v>
      </c>
      <c r="F331" s="1485">
        <v>1.2099999999999999E-5</v>
      </c>
      <c r="G331" s="1486" t="s">
        <v>1199</v>
      </c>
      <c r="H331" s="1485">
        <v>213</v>
      </c>
      <c r="I331" s="1486" t="s">
        <v>1883</v>
      </c>
      <c r="J331" s="1487">
        <v>-77.900000000000006</v>
      </c>
      <c r="K331" s="1488" t="s">
        <v>1883</v>
      </c>
      <c r="L331" s="1489">
        <v>0.83199999999999996</v>
      </c>
      <c r="M331" s="1490" t="s">
        <v>1884</v>
      </c>
      <c r="N331" s="1491">
        <v>0.13282931729978001</v>
      </c>
      <c r="O331" s="1491">
        <v>1.4218274499999999E-5</v>
      </c>
      <c r="P331" s="1492" t="s">
        <v>1885</v>
      </c>
      <c r="Q331" s="1493" t="s">
        <v>635</v>
      </c>
      <c r="R331" s="1494"/>
      <c r="S331" s="1493">
        <v>9.0429999999999993</v>
      </c>
      <c r="T331" s="1493" t="s">
        <v>1199</v>
      </c>
      <c r="U331" s="1493">
        <v>-0.28000000000000003</v>
      </c>
      <c r="V331" s="1495" t="s">
        <v>1883</v>
      </c>
      <c r="W331" s="1496">
        <v>1000000</v>
      </c>
      <c r="X331" s="1497" t="s">
        <v>1883</v>
      </c>
      <c r="Y331" s="1498">
        <v>1.4665105057499999E-3</v>
      </c>
      <c r="Z331" s="1498">
        <v>0.18324627267085999</v>
      </c>
      <c r="AA331" s="1498">
        <v>0.43979105441006999</v>
      </c>
      <c r="AB331" s="1498">
        <v>5.8100000000000003E-4</v>
      </c>
      <c r="AC331" s="1499" t="s">
        <v>1199</v>
      </c>
      <c r="AD331" s="1500">
        <v>65</v>
      </c>
      <c r="AE331" s="1503" t="s">
        <v>1900</v>
      </c>
      <c r="AF331" s="1502">
        <v>1.9E-2</v>
      </c>
      <c r="AG331" s="1503" t="s">
        <v>1900</v>
      </c>
      <c r="AH331" s="1502" t="s">
        <v>635</v>
      </c>
      <c r="AI331" s="1501"/>
      <c r="AJ331" s="1502" t="s">
        <v>635</v>
      </c>
      <c r="AK331" s="1501"/>
      <c r="AL331" s="1503" t="s">
        <v>1127</v>
      </c>
      <c r="AM331" s="1501"/>
      <c r="AN331" s="1504">
        <v>1</v>
      </c>
      <c r="AO331" s="1504" t="s">
        <v>635</v>
      </c>
      <c r="AP331" s="1506">
        <v>154000</v>
      </c>
    </row>
    <row r="332" spans="1:42" ht="30">
      <c r="A332" s="1481" t="s">
        <v>2485</v>
      </c>
      <c r="B332" s="1482" t="s">
        <v>2486</v>
      </c>
      <c r="C332" s="1483">
        <v>280.27999999999997</v>
      </c>
      <c r="D332" s="1484" t="s">
        <v>1883</v>
      </c>
      <c r="E332" s="1485">
        <v>2.7146361406400001E-7</v>
      </c>
      <c r="F332" s="1485">
        <v>6.6400000000000002E-9</v>
      </c>
      <c r="G332" s="1486" t="s">
        <v>1883</v>
      </c>
      <c r="H332" s="1485">
        <v>2.1599999999999999E-4</v>
      </c>
      <c r="I332" s="1486" t="s">
        <v>1883</v>
      </c>
      <c r="J332" s="1487">
        <v>22.83</v>
      </c>
      <c r="K332" s="1488" t="s">
        <v>1199</v>
      </c>
      <c r="L332" s="1489" t="s">
        <v>635</v>
      </c>
      <c r="M332" s="1533"/>
      <c r="N332" s="1491">
        <v>4.4363472060180001E-2</v>
      </c>
      <c r="O332" s="1491">
        <v>5.1835214722899999E-6</v>
      </c>
      <c r="P332" s="1492" t="s">
        <v>1885</v>
      </c>
      <c r="Q332" s="1493" t="s">
        <v>635</v>
      </c>
      <c r="R332" s="1494"/>
      <c r="S332" s="1493">
        <v>1019</v>
      </c>
      <c r="T332" s="1493" t="s">
        <v>1199</v>
      </c>
      <c r="U332" s="1493">
        <v>2.19</v>
      </c>
      <c r="V332" s="1495" t="s">
        <v>1883</v>
      </c>
      <c r="W332" s="1496">
        <v>216.8</v>
      </c>
      <c r="X332" s="1497" t="s">
        <v>1883</v>
      </c>
      <c r="Y332" s="1498">
        <v>7.6624855376900003E-3</v>
      </c>
      <c r="Z332" s="1498">
        <v>3.90316355167533</v>
      </c>
      <c r="AA332" s="1498">
        <v>9.3675925240207807</v>
      </c>
      <c r="AB332" s="1498">
        <v>1.1900000000000001E-3</v>
      </c>
      <c r="AC332" s="1499" t="s">
        <v>1199</v>
      </c>
      <c r="AD332" s="1500" t="s">
        <v>635</v>
      </c>
      <c r="AE332" s="1501"/>
      <c r="AF332" s="1502" t="s">
        <v>635</v>
      </c>
      <c r="AG332" s="1501"/>
      <c r="AH332" s="1502">
        <v>3</v>
      </c>
      <c r="AI332" s="1503" t="s">
        <v>1119</v>
      </c>
      <c r="AJ332" s="1502" t="s">
        <v>635</v>
      </c>
      <c r="AK332" s="1501"/>
      <c r="AL332" s="1501"/>
      <c r="AM332" s="1501"/>
      <c r="AN332" s="1504">
        <v>1</v>
      </c>
      <c r="AO332" s="1505">
        <v>0.1</v>
      </c>
      <c r="AP332" s="1506" t="s">
        <v>635</v>
      </c>
    </row>
    <row r="333" spans="1:42" ht="30">
      <c r="A333" s="1507" t="s">
        <v>2487</v>
      </c>
      <c r="B333" s="1508" t="s">
        <v>2488</v>
      </c>
      <c r="C333" s="1509">
        <v>303.36</v>
      </c>
      <c r="D333" s="1510" t="s">
        <v>1883</v>
      </c>
      <c r="E333" s="1511">
        <v>4.9468520032700002E-8</v>
      </c>
      <c r="F333" s="1511">
        <v>1.21E-9</v>
      </c>
      <c r="G333" s="1512" t="s">
        <v>1199</v>
      </c>
      <c r="H333" s="1511">
        <v>9.9999999999999995E-7</v>
      </c>
      <c r="I333" s="1512" t="s">
        <v>1883</v>
      </c>
      <c r="J333" s="1513">
        <v>49</v>
      </c>
      <c r="K333" s="1514" t="s">
        <v>1883</v>
      </c>
      <c r="L333" s="1515">
        <v>1.1499999999999999</v>
      </c>
      <c r="M333" s="1516" t="s">
        <v>1884</v>
      </c>
      <c r="N333" s="1517">
        <v>2.143695544466E-2</v>
      </c>
      <c r="O333" s="1517">
        <v>5.3519923793999996E-6</v>
      </c>
      <c r="P333" s="1518" t="s">
        <v>1885</v>
      </c>
      <c r="Q333" s="1519" t="s">
        <v>635</v>
      </c>
      <c r="R333" s="1520"/>
      <c r="S333" s="1519">
        <v>398</v>
      </c>
      <c r="T333" s="1519" t="s">
        <v>1199</v>
      </c>
      <c r="U333" s="1519">
        <v>3.23</v>
      </c>
      <c r="V333" s="1521" t="s">
        <v>1883</v>
      </c>
      <c r="W333" s="1522">
        <v>329</v>
      </c>
      <c r="X333" s="1523" t="s">
        <v>1883</v>
      </c>
      <c r="Y333" s="1524">
        <v>2.9207359695030001E-2</v>
      </c>
      <c r="Z333" s="1524">
        <v>5.2561136797349697</v>
      </c>
      <c r="AA333" s="1524">
        <v>12.614672831363899</v>
      </c>
      <c r="AB333" s="1524">
        <v>4.3600000000000002E-3</v>
      </c>
      <c r="AC333" s="1525" t="s">
        <v>1199</v>
      </c>
      <c r="AD333" s="1526" t="s">
        <v>635</v>
      </c>
      <c r="AE333" s="1527"/>
      <c r="AF333" s="1528" t="s">
        <v>635</v>
      </c>
      <c r="AG333" s="1527"/>
      <c r="AH333" s="1528">
        <v>2.5000000000000001E-4</v>
      </c>
      <c r="AI333" s="1529" t="s">
        <v>1119</v>
      </c>
      <c r="AJ333" s="1528" t="s">
        <v>635</v>
      </c>
      <c r="AK333" s="1527"/>
      <c r="AL333" s="1527"/>
      <c r="AM333" s="1527"/>
      <c r="AN333" s="1530">
        <v>1</v>
      </c>
      <c r="AO333" s="1531">
        <v>0.1</v>
      </c>
      <c r="AP333" s="1532" t="s">
        <v>635</v>
      </c>
    </row>
    <row r="334" spans="1:42" ht="30">
      <c r="A334" s="1481" t="s">
        <v>2489</v>
      </c>
      <c r="B334" s="1482" t="s">
        <v>2490</v>
      </c>
      <c r="C334" s="1483">
        <v>349.43</v>
      </c>
      <c r="D334" s="1484" t="s">
        <v>1883</v>
      </c>
      <c r="E334" s="1485">
        <v>3.1234668847E-4</v>
      </c>
      <c r="F334" s="1485">
        <v>7.6399999999999997E-6</v>
      </c>
      <c r="G334" s="1486" t="s">
        <v>1199</v>
      </c>
      <c r="H334" s="1485">
        <v>5.48E-6</v>
      </c>
      <c r="I334" s="1486" t="s">
        <v>1883</v>
      </c>
      <c r="J334" s="1487">
        <v>47</v>
      </c>
      <c r="K334" s="1488" t="s">
        <v>1883</v>
      </c>
      <c r="L334" s="1489" t="s">
        <v>635</v>
      </c>
      <c r="M334" s="1533"/>
      <c r="N334" s="1491">
        <v>3.8298356913180003E-2</v>
      </c>
      <c r="O334" s="1491">
        <v>4.4748606498600002E-6</v>
      </c>
      <c r="P334" s="1492" t="s">
        <v>1885</v>
      </c>
      <c r="Q334" s="1493" t="s">
        <v>635</v>
      </c>
      <c r="R334" s="1494"/>
      <c r="S334" s="1493">
        <v>22490</v>
      </c>
      <c r="T334" s="1493" t="s">
        <v>1199</v>
      </c>
      <c r="U334" s="1493">
        <v>5.7</v>
      </c>
      <c r="V334" s="1495" t="s">
        <v>1883</v>
      </c>
      <c r="W334" s="1496">
        <v>0.33</v>
      </c>
      <c r="X334" s="1497" t="s">
        <v>1883</v>
      </c>
      <c r="Y334" s="1498">
        <v>1.2006687775209299</v>
      </c>
      <c r="Z334" s="1498">
        <v>9.5204340649785895</v>
      </c>
      <c r="AA334" s="1498">
        <v>37.143137683985898</v>
      </c>
      <c r="AB334" s="1498">
        <v>0.16700000000000001</v>
      </c>
      <c r="AC334" s="1499" t="s">
        <v>1199</v>
      </c>
      <c r="AD334" s="1500" t="s">
        <v>635</v>
      </c>
      <c r="AE334" s="1501"/>
      <c r="AF334" s="1502" t="s">
        <v>635</v>
      </c>
      <c r="AG334" s="1501"/>
      <c r="AH334" s="1502">
        <v>2.5000000000000001E-2</v>
      </c>
      <c r="AI334" s="1503" t="s">
        <v>1119</v>
      </c>
      <c r="AJ334" s="1502" t="s">
        <v>635</v>
      </c>
      <c r="AK334" s="1501"/>
      <c r="AL334" s="1501"/>
      <c r="AM334" s="1501"/>
      <c r="AN334" s="1504">
        <v>1</v>
      </c>
      <c r="AO334" s="1505">
        <v>0.1</v>
      </c>
      <c r="AP334" s="1506" t="s">
        <v>635</v>
      </c>
    </row>
    <row r="335" spans="1:42" ht="30">
      <c r="A335" s="1481" t="s">
        <v>2491</v>
      </c>
      <c r="B335" s="1482" t="s">
        <v>2492</v>
      </c>
      <c r="C335" s="1483">
        <v>419.91</v>
      </c>
      <c r="D335" s="1484" t="s">
        <v>1883</v>
      </c>
      <c r="E335" s="1485">
        <v>1.4104660670500001E-6</v>
      </c>
      <c r="F335" s="1485">
        <v>3.4499999999999998E-8</v>
      </c>
      <c r="G335" s="1486" t="s">
        <v>1199</v>
      </c>
      <c r="H335" s="1485">
        <v>1.5E-9</v>
      </c>
      <c r="I335" s="1486" t="s">
        <v>1883</v>
      </c>
      <c r="J335" s="1487">
        <v>39.5</v>
      </c>
      <c r="K335" s="1488" t="s">
        <v>1883</v>
      </c>
      <c r="L335" s="1489">
        <v>1.1499999999999999</v>
      </c>
      <c r="M335" s="1490" t="s">
        <v>1884</v>
      </c>
      <c r="N335" s="1491">
        <v>1.8059257828650001E-2</v>
      </c>
      <c r="O335" s="1491">
        <v>4.4034872719799997E-6</v>
      </c>
      <c r="P335" s="1492" t="s">
        <v>1885</v>
      </c>
      <c r="Q335" s="1493" t="s">
        <v>635</v>
      </c>
      <c r="R335" s="1494"/>
      <c r="S335" s="1493">
        <v>317000</v>
      </c>
      <c r="T335" s="1493" t="s">
        <v>1199</v>
      </c>
      <c r="U335" s="1493">
        <v>6.2</v>
      </c>
      <c r="V335" s="1495" t="s">
        <v>1883</v>
      </c>
      <c r="W335" s="1496">
        <v>2.4E-2</v>
      </c>
      <c r="X335" s="1497" t="s">
        <v>1883</v>
      </c>
      <c r="Y335" s="1498">
        <v>0.73927768805717997</v>
      </c>
      <c r="Z335" s="1498">
        <v>23.623527608981401</v>
      </c>
      <c r="AA335" s="1498">
        <v>91.267056759344896</v>
      </c>
      <c r="AB335" s="1498">
        <v>9.3799999999999994E-2</v>
      </c>
      <c r="AC335" s="1499" t="s">
        <v>1199</v>
      </c>
      <c r="AD335" s="1500" t="s">
        <v>635</v>
      </c>
      <c r="AE335" s="1501"/>
      <c r="AF335" s="1502" t="s">
        <v>635</v>
      </c>
      <c r="AG335" s="1501"/>
      <c r="AH335" s="1502">
        <v>2.5000000000000001E-2</v>
      </c>
      <c r="AI335" s="1503" t="s">
        <v>1119</v>
      </c>
      <c r="AJ335" s="1502" t="s">
        <v>635</v>
      </c>
      <c r="AK335" s="1501"/>
      <c r="AL335" s="1501"/>
      <c r="AM335" s="1501"/>
      <c r="AN335" s="1504">
        <v>1</v>
      </c>
      <c r="AO335" s="1505">
        <v>0.1</v>
      </c>
      <c r="AP335" s="1506" t="s">
        <v>635</v>
      </c>
    </row>
    <row r="336" spans="1:42" ht="30">
      <c r="A336" s="1507" t="s">
        <v>2493</v>
      </c>
      <c r="B336" s="1508" t="s">
        <v>2494</v>
      </c>
      <c r="C336" s="1509">
        <v>232.21</v>
      </c>
      <c r="D336" s="1510" t="s">
        <v>1883</v>
      </c>
      <c r="E336" s="1511">
        <v>1.0670482420299999E-7</v>
      </c>
      <c r="F336" s="1511">
        <v>2.6099999999999999E-9</v>
      </c>
      <c r="G336" s="1512" t="s">
        <v>1199</v>
      </c>
      <c r="H336" s="1511">
        <v>9.3799999999999996E-7</v>
      </c>
      <c r="I336" s="1512" t="s">
        <v>1883</v>
      </c>
      <c r="J336" s="1513">
        <v>164</v>
      </c>
      <c r="K336" s="1514" t="s">
        <v>1883</v>
      </c>
      <c r="L336" s="1515" t="s">
        <v>635</v>
      </c>
      <c r="M336" s="1538"/>
      <c r="N336" s="1517">
        <v>5.0292086669180003E-2</v>
      </c>
      <c r="O336" s="1517">
        <v>5.8762332844999999E-6</v>
      </c>
      <c r="P336" s="1518" t="s">
        <v>1885</v>
      </c>
      <c r="Q336" s="1519" t="s">
        <v>635</v>
      </c>
      <c r="R336" s="1520"/>
      <c r="S336" s="1519">
        <v>285.3</v>
      </c>
      <c r="T336" s="1519" t="s">
        <v>1199</v>
      </c>
      <c r="U336" s="1519">
        <v>2.42</v>
      </c>
      <c r="V336" s="1521" t="s">
        <v>1883</v>
      </c>
      <c r="W336" s="1522">
        <v>110</v>
      </c>
      <c r="X336" s="1523" t="s">
        <v>1883</v>
      </c>
      <c r="Y336" s="1524">
        <v>1.8520563399610002E-2</v>
      </c>
      <c r="Z336" s="1524">
        <v>2.1000263768607201</v>
      </c>
      <c r="AA336" s="1524">
        <v>5.0400633044657202</v>
      </c>
      <c r="AB336" s="1524">
        <v>3.16E-3</v>
      </c>
      <c r="AC336" s="1525" t="s">
        <v>1199</v>
      </c>
      <c r="AD336" s="1526" t="s">
        <v>635</v>
      </c>
      <c r="AE336" s="1527"/>
      <c r="AF336" s="1528" t="s">
        <v>635</v>
      </c>
      <c r="AG336" s="1527"/>
      <c r="AH336" s="1528">
        <v>1.2999999999999999E-2</v>
      </c>
      <c r="AI336" s="1529" t="s">
        <v>1119</v>
      </c>
      <c r="AJ336" s="1528" t="s">
        <v>635</v>
      </c>
      <c r="AK336" s="1527"/>
      <c r="AL336" s="1527"/>
      <c r="AM336" s="1527"/>
      <c r="AN336" s="1530">
        <v>1</v>
      </c>
      <c r="AO336" s="1531">
        <v>0.1</v>
      </c>
      <c r="AP336" s="1532" t="s">
        <v>635</v>
      </c>
    </row>
    <row r="337" spans="1:42" ht="30">
      <c r="A337" s="1481" t="s">
        <v>2495</v>
      </c>
      <c r="B337" s="1482" t="s">
        <v>2496</v>
      </c>
      <c r="C337" s="1483">
        <v>38</v>
      </c>
      <c r="D337" s="1484" t="s">
        <v>1199</v>
      </c>
      <c r="E337" s="1485" t="s">
        <v>635</v>
      </c>
      <c r="F337" s="1485" t="s">
        <v>635</v>
      </c>
      <c r="G337" s="1536"/>
      <c r="H337" s="1485" t="s">
        <v>635</v>
      </c>
      <c r="I337" s="1536"/>
      <c r="J337" s="1487">
        <v>-219.61</v>
      </c>
      <c r="K337" s="1488" t="s">
        <v>1199</v>
      </c>
      <c r="L337" s="1489" t="s">
        <v>635</v>
      </c>
      <c r="M337" s="1533"/>
      <c r="N337" s="1491">
        <v>0.16809877033994999</v>
      </c>
      <c r="O337" s="1491">
        <v>1.9641014220000002E-5</v>
      </c>
      <c r="P337" s="1492" t="s">
        <v>1885</v>
      </c>
      <c r="Q337" s="1493">
        <v>150</v>
      </c>
      <c r="R337" s="1493" t="s">
        <v>1930</v>
      </c>
      <c r="S337" s="1493" t="s">
        <v>635</v>
      </c>
      <c r="T337" s="1494"/>
      <c r="U337" s="1493" t="s">
        <v>635</v>
      </c>
      <c r="V337" s="1481"/>
      <c r="W337" s="1496">
        <v>1.69</v>
      </c>
      <c r="X337" s="1497" t="s">
        <v>1199</v>
      </c>
      <c r="Y337" s="1498">
        <v>2.3709284626799998E-3</v>
      </c>
      <c r="Z337" s="1498">
        <v>0.17165195322345</v>
      </c>
      <c r="AA337" s="1498">
        <v>0.41196468773627998</v>
      </c>
      <c r="AB337" s="1498">
        <v>1E-3</v>
      </c>
      <c r="AC337" s="1499" t="s">
        <v>1203</v>
      </c>
      <c r="AD337" s="1500" t="s">
        <v>635</v>
      </c>
      <c r="AE337" s="1501"/>
      <c r="AF337" s="1502" t="s">
        <v>635</v>
      </c>
      <c r="AG337" s="1501"/>
      <c r="AH337" s="1502">
        <v>0.04</v>
      </c>
      <c r="AI337" s="1503" t="s">
        <v>1900</v>
      </c>
      <c r="AJ337" s="1502">
        <v>1.2999999999999999E-2</v>
      </c>
      <c r="AK337" s="1503" t="s">
        <v>1900</v>
      </c>
      <c r="AL337" s="1501"/>
      <c r="AM337" s="1501"/>
      <c r="AN337" s="1504">
        <v>1</v>
      </c>
      <c r="AO337" s="1504" t="s">
        <v>635</v>
      </c>
      <c r="AP337" s="1506" t="s">
        <v>635</v>
      </c>
    </row>
    <row r="338" spans="1:42" ht="30">
      <c r="A338" s="1481" t="s">
        <v>2497</v>
      </c>
      <c r="B338" s="1482" t="s">
        <v>2498</v>
      </c>
      <c r="C338" s="1483">
        <v>37.997</v>
      </c>
      <c r="D338" s="1484" t="s">
        <v>1883</v>
      </c>
      <c r="E338" s="1485" t="s">
        <v>635</v>
      </c>
      <c r="F338" s="1485" t="s">
        <v>635</v>
      </c>
      <c r="G338" s="1536"/>
      <c r="H338" s="1485" t="s">
        <v>635</v>
      </c>
      <c r="I338" s="1536"/>
      <c r="J338" s="1487">
        <v>-219.61</v>
      </c>
      <c r="K338" s="1488" t="s">
        <v>1883</v>
      </c>
      <c r="L338" s="1489">
        <v>1.5529999999999999</v>
      </c>
      <c r="M338" s="1490" t="s">
        <v>1884</v>
      </c>
      <c r="N338" s="1491">
        <v>0.18272942568584</v>
      </c>
      <c r="O338" s="1491">
        <v>2.2290769430000001E-5</v>
      </c>
      <c r="P338" s="1492" t="s">
        <v>1885</v>
      </c>
      <c r="Q338" s="1493">
        <v>150</v>
      </c>
      <c r="R338" s="1493" t="s">
        <v>1930</v>
      </c>
      <c r="S338" s="1493" t="s">
        <v>635</v>
      </c>
      <c r="T338" s="1494"/>
      <c r="U338" s="1493" t="s">
        <v>635</v>
      </c>
      <c r="V338" s="1481"/>
      <c r="W338" s="1496">
        <v>1.69</v>
      </c>
      <c r="X338" s="1497" t="s">
        <v>1883</v>
      </c>
      <c r="Y338" s="1498">
        <v>2.3708348715500002E-3</v>
      </c>
      <c r="Z338" s="1498">
        <v>0.17164531326564</v>
      </c>
      <c r="AA338" s="1498">
        <v>0.41194875183752999</v>
      </c>
      <c r="AB338" s="1498">
        <v>1E-3</v>
      </c>
      <c r="AC338" s="1499" t="s">
        <v>1203</v>
      </c>
      <c r="AD338" s="1500" t="s">
        <v>635</v>
      </c>
      <c r="AE338" s="1501"/>
      <c r="AF338" s="1502" t="s">
        <v>635</v>
      </c>
      <c r="AG338" s="1501"/>
      <c r="AH338" s="1502">
        <v>0.06</v>
      </c>
      <c r="AI338" s="1503" t="s">
        <v>1119</v>
      </c>
      <c r="AJ338" s="1502">
        <v>1.2999999999999999E-2</v>
      </c>
      <c r="AK338" s="1503" t="s">
        <v>1900</v>
      </c>
      <c r="AL338" s="1501"/>
      <c r="AM338" s="1501"/>
      <c r="AN338" s="1504">
        <v>1</v>
      </c>
      <c r="AO338" s="1504" t="s">
        <v>635</v>
      </c>
      <c r="AP338" s="1506" t="s">
        <v>635</v>
      </c>
    </row>
    <row r="339" spans="1:42" ht="30">
      <c r="A339" s="1507" t="s">
        <v>2499</v>
      </c>
      <c r="B339" s="1508" t="s">
        <v>2500</v>
      </c>
      <c r="C339" s="1509">
        <v>329.32</v>
      </c>
      <c r="D339" s="1510" t="s">
        <v>1883</v>
      </c>
      <c r="E339" s="1511">
        <v>3.3115290269799998E-7</v>
      </c>
      <c r="F339" s="1511">
        <v>8.0999999999999997E-9</v>
      </c>
      <c r="G339" s="1512" t="s">
        <v>1199</v>
      </c>
      <c r="H339" s="1511">
        <v>9.7500000000000006E-8</v>
      </c>
      <c r="I339" s="1512" t="s">
        <v>1883</v>
      </c>
      <c r="J339" s="1513">
        <v>154.5</v>
      </c>
      <c r="K339" s="1514" t="s">
        <v>1883</v>
      </c>
      <c r="L339" s="1515" t="s">
        <v>635</v>
      </c>
      <c r="M339" s="1538"/>
      <c r="N339" s="1517">
        <v>3.9842036572640002E-2</v>
      </c>
      <c r="O339" s="1517">
        <v>4.65522743112E-6</v>
      </c>
      <c r="P339" s="1518" t="s">
        <v>1885</v>
      </c>
      <c r="Q339" s="1519" t="s">
        <v>635</v>
      </c>
      <c r="R339" s="1520"/>
      <c r="S339" s="1519">
        <v>56770</v>
      </c>
      <c r="T339" s="1519" t="s">
        <v>1199</v>
      </c>
      <c r="U339" s="1519">
        <v>3.16</v>
      </c>
      <c r="V339" s="1521" t="s">
        <v>1883</v>
      </c>
      <c r="W339" s="1522">
        <v>12</v>
      </c>
      <c r="X339" s="1523" t="s">
        <v>1883</v>
      </c>
      <c r="Y339" s="1524">
        <v>1.9543112711079998E-2</v>
      </c>
      <c r="Z339" s="1524">
        <v>7.3458279042953496</v>
      </c>
      <c r="AA339" s="1524">
        <v>17.629986970308799</v>
      </c>
      <c r="AB339" s="1524">
        <v>2.8E-3</v>
      </c>
      <c r="AC339" s="1525" t="s">
        <v>1199</v>
      </c>
      <c r="AD339" s="1526" t="s">
        <v>635</v>
      </c>
      <c r="AE339" s="1527"/>
      <c r="AF339" s="1528" t="s">
        <v>635</v>
      </c>
      <c r="AG339" s="1527"/>
      <c r="AH339" s="1528">
        <v>0.08</v>
      </c>
      <c r="AI339" s="1529" t="s">
        <v>1119</v>
      </c>
      <c r="AJ339" s="1528" t="s">
        <v>635</v>
      </c>
      <c r="AK339" s="1527"/>
      <c r="AL339" s="1527"/>
      <c r="AM339" s="1527"/>
      <c r="AN339" s="1530">
        <v>1</v>
      </c>
      <c r="AO339" s="1531">
        <v>0.1</v>
      </c>
      <c r="AP339" s="1532" t="s">
        <v>635</v>
      </c>
    </row>
    <row r="340" spans="1:42" ht="30">
      <c r="A340" s="1481" t="s">
        <v>2501</v>
      </c>
      <c r="B340" s="1482" t="s">
        <v>2502</v>
      </c>
      <c r="C340" s="1483">
        <v>312.29000000000002</v>
      </c>
      <c r="D340" s="1484" t="s">
        <v>1883</v>
      </c>
      <c r="E340" s="1485">
        <v>5.35568274734E-8</v>
      </c>
      <c r="F340" s="1485">
        <v>1.31E-9</v>
      </c>
      <c r="G340" s="1486" t="s">
        <v>1199</v>
      </c>
      <c r="H340" s="1485">
        <v>3.6399999999999998E-7</v>
      </c>
      <c r="I340" s="1486" t="s">
        <v>1883</v>
      </c>
      <c r="J340" s="1487">
        <v>95</v>
      </c>
      <c r="K340" s="1488" t="s">
        <v>1883</v>
      </c>
      <c r="L340" s="1489" t="s">
        <v>635</v>
      </c>
      <c r="M340" s="1533"/>
      <c r="N340" s="1491">
        <v>4.1277642227729998E-2</v>
      </c>
      <c r="O340" s="1491">
        <v>4.8229666181899997E-6</v>
      </c>
      <c r="P340" s="1492" t="s">
        <v>1885</v>
      </c>
      <c r="Q340" s="1493" t="s">
        <v>635</v>
      </c>
      <c r="R340" s="1494"/>
      <c r="S340" s="1493">
        <v>2189</v>
      </c>
      <c r="T340" s="1493" t="s">
        <v>1199</v>
      </c>
      <c r="U340" s="1493">
        <v>3.34</v>
      </c>
      <c r="V340" s="1495" t="s">
        <v>1883</v>
      </c>
      <c r="W340" s="1496">
        <v>114</v>
      </c>
      <c r="X340" s="1497" t="s">
        <v>1883</v>
      </c>
      <c r="Y340" s="1498">
        <v>3.1197398211669999E-2</v>
      </c>
      <c r="Z340" s="1498">
        <v>5.8975651827364599</v>
      </c>
      <c r="AA340" s="1498">
        <v>14.154156438567499</v>
      </c>
      <c r="AB340" s="1498">
        <v>4.5900000000000003E-3</v>
      </c>
      <c r="AC340" s="1499" t="s">
        <v>1199</v>
      </c>
      <c r="AD340" s="1500" t="s">
        <v>635</v>
      </c>
      <c r="AE340" s="1501"/>
      <c r="AF340" s="1502" t="s">
        <v>635</v>
      </c>
      <c r="AG340" s="1501"/>
      <c r="AH340" s="1502">
        <v>0.04</v>
      </c>
      <c r="AI340" s="1503" t="s">
        <v>1116</v>
      </c>
      <c r="AJ340" s="1502" t="s">
        <v>635</v>
      </c>
      <c r="AK340" s="1501"/>
      <c r="AL340" s="1501"/>
      <c r="AM340" s="1501"/>
      <c r="AN340" s="1504">
        <v>1</v>
      </c>
      <c r="AO340" s="1505">
        <v>0.1</v>
      </c>
      <c r="AP340" s="1506" t="s">
        <v>635</v>
      </c>
    </row>
    <row r="341" spans="1:42" ht="30">
      <c r="A341" s="1481" t="s">
        <v>2503</v>
      </c>
      <c r="B341" s="1482" t="s">
        <v>2504</v>
      </c>
      <c r="C341" s="1483">
        <v>315.39999999999998</v>
      </c>
      <c r="D341" s="1484" t="s">
        <v>1883</v>
      </c>
      <c r="E341" s="1485">
        <v>9.1986917416200007E-8</v>
      </c>
      <c r="F341" s="1485">
        <v>2.2499999999999999E-9</v>
      </c>
      <c r="G341" s="1486" t="s">
        <v>1883</v>
      </c>
      <c r="H341" s="1485">
        <v>2.9299999999999999E-7</v>
      </c>
      <c r="I341" s="1486" t="s">
        <v>1883</v>
      </c>
      <c r="J341" s="1487">
        <v>54</v>
      </c>
      <c r="K341" s="1488" t="s">
        <v>1883</v>
      </c>
      <c r="L341" s="1489" t="s">
        <v>635</v>
      </c>
      <c r="M341" s="1533"/>
      <c r="N341" s="1491">
        <v>4.10058490165E-2</v>
      </c>
      <c r="O341" s="1491">
        <v>4.7912097271899999E-6</v>
      </c>
      <c r="P341" s="1492" t="s">
        <v>1885</v>
      </c>
      <c r="Q341" s="1493" t="s">
        <v>635</v>
      </c>
      <c r="R341" s="1494"/>
      <c r="S341" s="1493">
        <v>81060</v>
      </c>
      <c r="T341" s="1493" t="s">
        <v>1199</v>
      </c>
      <c r="U341" s="1493">
        <v>3.7</v>
      </c>
      <c r="V341" s="1495" t="s">
        <v>1883</v>
      </c>
      <c r="W341" s="1496">
        <v>54</v>
      </c>
      <c r="X341" s="1497" t="s">
        <v>1883</v>
      </c>
      <c r="Y341" s="1498">
        <v>5.2322232481370003E-2</v>
      </c>
      <c r="Z341" s="1498">
        <v>6.13887442421834</v>
      </c>
      <c r="AA341" s="1498">
        <v>14.733298618124</v>
      </c>
      <c r="AB341" s="1498">
        <v>7.6600000000000001E-3</v>
      </c>
      <c r="AC341" s="1499" t="s">
        <v>1199</v>
      </c>
      <c r="AD341" s="1500" t="s">
        <v>635</v>
      </c>
      <c r="AE341" s="1501"/>
      <c r="AF341" s="1502" t="s">
        <v>635</v>
      </c>
      <c r="AG341" s="1501"/>
      <c r="AH341" s="1502">
        <v>2E-3</v>
      </c>
      <c r="AI341" s="1503" t="s">
        <v>1116</v>
      </c>
      <c r="AJ341" s="1502" t="s">
        <v>635</v>
      </c>
      <c r="AK341" s="1501"/>
      <c r="AL341" s="1501"/>
      <c r="AM341" s="1501"/>
      <c r="AN341" s="1504">
        <v>1</v>
      </c>
      <c r="AO341" s="1505">
        <v>0.1</v>
      </c>
      <c r="AP341" s="1506" t="s">
        <v>635</v>
      </c>
    </row>
    <row r="342" spans="1:42" ht="30">
      <c r="A342" s="1507" t="s">
        <v>2505</v>
      </c>
      <c r="B342" s="1508" t="s">
        <v>2506</v>
      </c>
      <c r="C342" s="1509">
        <v>323.32</v>
      </c>
      <c r="D342" s="1510" t="s">
        <v>1883</v>
      </c>
      <c r="E342" s="1511">
        <v>1.3000817661500001E-7</v>
      </c>
      <c r="F342" s="1511">
        <v>3.1800000000000002E-9</v>
      </c>
      <c r="G342" s="1512" t="s">
        <v>1199</v>
      </c>
      <c r="H342" s="1511">
        <v>4.88E-8</v>
      </c>
      <c r="I342" s="1512" t="s">
        <v>1883</v>
      </c>
      <c r="J342" s="1513">
        <v>104.5</v>
      </c>
      <c r="K342" s="1514" t="s">
        <v>1883</v>
      </c>
      <c r="L342" s="1515" t="s">
        <v>635</v>
      </c>
      <c r="M342" s="1538"/>
      <c r="N342" s="1517">
        <v>4.0333435981080003E-2</v>
      </c>
      <c r="O342" s="1517">
        <v>4.71264357253E-6</v>
      </c>
      <c r="P342" s="1518" t="s">
        <v>1885</v>
      </c>
      <c r="Q342" s="1519" t="s">
        <v>635</v>
      </c>
      <c r="R342" s="1520"/>
      <c r="S342" s="1519">
        <v>2558</v>
      </c>
      <c r="T342" s="1519" t="s">
        <v>1199</v>
      </c>
      <c r="U342" s="1519">
        <v>3.7</v>
      </c>
      <c r="V342" s="1521" t="s">
        <v>1883</v>
      </c>
      <c r="W342" s="1522">
        <v>6.53</v>
      </c>
      <c r="X342" s="1523" t="s">
        <v>1883</v>
      </c>
      <c r="Y342" s="1524">
        <v>4.7788234316130003E-2</v>
      </c>
      <c r="Z342" s="1524">
        <v>6.7989328148106303</v>
      </c>
      <c r="AA342" s="1524">
        <v>16.317438755545499</v>
      </c>
      <c r="AB342" s="1524">
        <v>6.9100000000000003E-3</v>
      </c>
      <c r="AC342" s="1525" t="s">
        <v>1199</v>
      </c>
      <c r="AD342" s="1526" t="s">
        <v>635</v>
      </c>
      <c r="AE342" s="1527"/>
      <c r="AF342" s="1528" t="s">
        <v>635</v>
      </c>
      <c r="AG342" s="1527"/>
      <c r="AH342" s="1528">
        <v>0.5</v>
      </c>
      <c r="AI342" s="1529" t="s">
        <v>1116</v>
      </c>
      <c r="AJ342" s="1528" t="s">
        <v>635</v>
      </c>
      <c r="AK342" s="1527"/>
      <c r="AL342" s="1527"/>
      <c r="AM342" s="1527"/>
      <c r="AN342" s="1530">
        <v>1</v>
      </c>
      <c r="AO342" s="1531">
        <v>0.1</v>
      </c>
      <c r="AP342" s="1532" t="s">
        <v>635</v>
      </c>
    </row>
    <row r="343" spans="1:42" ht="30">
      <c r="A343" s="1481" t="s">
        <v>2507</v>
      </c>
      <c r="B343" s="1482" t="s">
        <v>2508</v>
      </c>
      <c r="C343" s="1483">
        <v>502.93</v>
      </c>
      <c r="D343" s="1484" t="s">
        <v>1883</v>
      </c>
      <c r="E343" s="1485">
        <v>5.9280457890399999E-7</v>
      </c>
      <c r="F343" s="1485">
        <v>1.4500000000000001E-8</v>
      </c>
      <c r="G343" s="1486" t="s">
        <v>1883</v>
      </c>
      <c r="H343" s="1485">
        <v>9.9999999999999995E-8</v>
      </c>
      <c r="I343" s="1486" t="s">
        <v>1883</v>
      </c>
      <c r="J343" s="1487">
        <v>156.16999999999999</v>
      </c>
      <c r="K343" s="1488" t="s">
        <v>1199</v>
      </c>
      <c r="L343" s="1489" t="s">
        <v>635</v>
      </c>
      <c r="M343" s="1533"/>
      <c r="N343" s="1491">
        <v>3.0043364908409999E-2</v>
      </c>
      <c r="O343" s="1491">
        <v>3.5103300050900002E-6</v>
      </c>
      <c r="P343" s="1492" t="s">
        <v>1885</v>
      </c>
      <c r="Q343" s="1493" t="s">
        <v>635</v>
      </c>
      <c r="R343" s="1494"/>
      <c r="S343" s="1493">
        <v>730000</v>
      </c>
      <c r="T343" s="1493" t="s">
        <v>1199</v>
      </c>
      <c r="U343" s="1493">
        <v>6.81</v>
      </c>
      <c r="V343" s="1495" t="s">
        <v>1883</v>
      </c>
      <c r="W343" s="1496">
        <v>5.0000000000000001E-3</v>
      </c>
      <c r="X343" s="1497" t="s">
        <v>1883</v>
      </c>
      <c r="Y343" s="1498">
        <v>0.68313353403667998</v>
      </c>
      <c r="Z343" s="1498">
        <v>68.9059539574111</v>
      </c>
      <c r="AA343" s="1498">
        <v>268.69259129351701</v>
      </c>
      <c r="AB343" s="1498">
        <v>7.9200000000000007E-2</v>
      </c>
      <c r="AC343" s="1499" t="s">
        <v>1199</v>
      </c>
      <c r="AD343" s="1500" t="s">
        <v>635</v>
      </c>
      <c r="AE343" s="1501"/>
      <c r="AF343" s="1502" t="s">
        <v>635</v>
      </c>
      <c r="AG343" s="1501"/>
      <c r="AH343" s="1502">
        <v>0.01</v>
      </c>
      <c r="AI343" s="1503" t="s">
        <v>1119</v>
      </c>
      <c r="AJ343" s="1502" t="s">
        <v>635</v>
      </c>
      <c r="AK343" s="1501"/>
      <c r="AL343" s="1501"/>
      <c r="AM343" s="1501"/>
      <c r="AN343" s="1504">
        <v>1</v>
      </c>
      <c r="AO343" s="1505">
        <v>0.1</v>
      </c>
      <c r="AP343" s="1506" t="s">
        <v>635</v>
      </c>
    </row>
    <row r="344" spans="1:42" ht="30">
      <c r="A344" s="1481" t="s">
        <v>2509</v>
      </c>
      <c r="B344" s="1482" t="s">
        <v>2510</v>
      </c>
      <c r="C344" s="1483">
        <v>296.56</v>
      </c>
      <c r="D344" s="1484" t="s">
        <v>1883</v>
      </c>
      <c r="E344" s="1485">
        <v>3.1316434995900001E-6</v>
      </c>
      <c r="F344" s="1485">
        <v>7.6599999999999998E-8</v>
      </c>
      <c r="G344" s="1486" t="s">
        <v>1199</v>
      </c>
      <c r="H344" s="1485">
        <v>1.5699999999999999E-7</v>
      </c>
      <c r="I344" s="1486" t="s">
        <v>1883</v>
      </c>
      <c r="J344" s="1487">
        <v>177</v>
      </c>
      <c r="K344" s="1488" t="s">
        <v>1199</v>
      </c>
      <c r="L344" s="1489" t="s">
        <v>635</v>
      </c>
      <c r="M344" s="1533"/>
      <c r="N344" s="1491">
        <v>4.2724653797499998E-2</v>
      </c>
      <c r="O344" s="1491">
        <v>4.9920384963400004E-6</v>
      </c>
      <c r="P344" s="1492" t="s">
        <v>1885</v>
      </c>
      <c r="Q344" s="1493" t="s">
        <v>635</v>
      </c>
      <c r="R344" s="1494"/>
      <c r="S344" s="1493">
        <v>17.7</v>
      </c>
      <c r="T344" s="1493" t="s">
        <v>1199</v>
      </c>
      <c r="U344" s="1493">
        <v>2.85</v>
      </c>
      <c r="V344" s="1495" t="s">
        <v>1883</v>
      </c>
      <c r="W344" s="1496">
        <v>0.8</v>
      </c>
      <c r="X344" s="1497" t="s">
        <v>1883</v>
      </c>
      <c r="Y344" s="1498">
        <v>1.7618323302069999E-2</v>
      </c>
      <c r="Z344" s="1498">
        <v>4.8148720378829104</v>
      </c>
      <c r="AA344" s="1498">
        <v>11.555692890919</v>
      </c>
      <c r="AB344" s="1498">
        <v>2.66E-3</v>
      </c>
      <c r="AC344" s="1499" t="s">
        <v>1199</v>
      </c>
      <c r="AD344" s="1500" t="s">
        <v>635</v>
      </c>
      <c r="AE344" s="1501"/>
      <c r="AF344" s="1502" t="s">
        <v>635</v>
      </c>
      <c r="AG344" s="1501"/>
      <c r="AH344" s="1502">
        <v>0.09</v>
      </c>
      <c r="AI344" s="1503" t="s">
        <v>1116</v>
      </c>
      <c r="AJ344" s="1502" t="s">
        <v>635</v>
      </c>
      <c r="AK344" s="1501"/>
      <c r="AL344" s="1501"/>
      <c r="AM344" s="1501"/>
      <c r="AN344" s="1504">
        <v>1</v>
      </c>
      <c r="AO344" s="1505">
        <v>0.1</v>
      </c>
      <c r="AP344" s="1506" t="s">
        <v>635</v>
      </c>
    </row>
    <row r="345" spans="1:42" ht="30">
      <c r="A345" s="1507" t="s">
        <v>2511</v>
      </c>
      <c r="B345" s="1508" t="s">
        <v>2512</v>
      </c>
      <c r="C345" s="1509">
        <v>438.77</v>
      </c>
      <c r="D345" s="1510" t="s">
        <v>1883</v>
      </c>
      <c r="E345" s="1511">
        <v>3.0784955029000002E-11</v>
      </c>
      <c r="F345" s="1511">
        <v>7.5300000000000002E-13</v>
      </c>
      <c r="G345" s="1512" t="s">
        <v>1883</v>
      </c>
      <c r="H345" s="1511">
        <v>7.5000000000000002E-7</v>
      </c>
      <c r="I345" s="1512" t="s">
        <v>1199</v>
      </c>
      <c r="J345" s="1513">
        <v>220</v>
      </c>
      <c r="K345" s="1514" t="s">
        <v>1883</v>
      </c>
      <c r="L345" s="1515">
        <v>1.28</v>
      </c>
      <c r="M345" s="1516" t="s">
        <v>1884</v>
      </c>
      <c r="N345" s="1517">
        <v>1.86063527546E-2</v>
      </c>
      <c r="O345" s="1517">
        <v>4.5735728149699997E-6</v>
      </c>
      <c r="P345" s="1518" t="s">
        <v>1885</v>
      </c>
      <c r="Q345" s="1519" t="s">
        <v>635</v>
      </c>
      <c r="R345" s="1520"/>
      <c r="S345" s="1519">
        <v>1546</v>
      </c>
      <c r="T345" s="1519" t="s">
        <v>1199</v>
      </c>
      <c r="U345" s="1519">
        <v>2.9</v>
      </c>
      <c r="V345" s="1521" t="s">
        <v>1883</v>
      </c>
      <c r="W345" s="1522">
        <v>50</v>
      </c>
      <c r="X345" s="1523" t="s">
        <v>1883</v>
      </c>
      <c r="Y345" s="1524">
        <v>3.6818095091699999E-3</v>
      </c>
      <c r="Z345" s="1524">
        <v>30.127337289961702</v>
      </c>
      <c r="AA345" s="1524">
        <v>72.305609495908001</v>
      </c>
      <c r="AB345" s="1524">
        <v>4.57E-4</v>
      </c>
      <c r="AC345" s="1525" t="s">
        <v>1199</v>
      </c>
      <c r="AD345" s="1526" t="s">
        <v>635</v>
      </c>
      <c r="AE345" s="1527"/>
      <c r="AF345" s="1528" t="s">
        <v>635</v>
      </c>
      <c r="AG345" s="1527"/>
      <c r="AH345" s="1528">
        <v>0.01</v>
      </c>
      <c r="AI345" s="1529" t="s">
        <v>1116</v>
      </c>
      <c r="AJ345" s="1528" t="s">
        <v>635</v>
      </c>
      <c r="AK345" s="1527"/>
      <c r="AL345" s="1527"/>
      <c r="AM345" s="1527"/>
      <c r="AN345" s="1530">
        <v>1</v>
      </c>
      <c r="AO345" s="1531">
        <v>0.1</v>
      </c>
      <c r="AP345" s="1532" t="s">
        <v>635</v>
      </c>
    </row>
    <row r="346" spans="1:42" ht="30">
      <c r="A346" s="1481" t="s">
        <v>2513</v>
      </c>
      <c r="B346" s="1482" t="s">
        <v>2514</v>
      </c>
      <c r="C346" s="1483">
        <v>246.33</v>
      </c>
      <c r="D346" s="1484" t="s">
        <v>1883</v>
      </c>
      <c r="E346" s="1485">
        <v>2.8536385936E-4</v>
      </c>
      <c r="F346" s="1485">
        <v>6.9800000000000001E-6</v>
      </c>
      <c r="G346" s="1486" t="s">
        <v>1199</v>
      </c>
      <c r="H346" s="1485">
        <v>3.3799999999999998E-4</v>
      </c>
      <c r="I346" s="1486" t="s">
        <v>1883</v>
      </c>
      <c r="J346" s="1487">
        <v>0.66</v>
      </c>
      <c r="K346" s="1488" t="s">
        <v>1199</v>
      </c>
      <c r="L346" s="1489">
        <v>1.1599999999999999</v>
      </c>
      <c r="M346" s="1490" t="s">
        <v>1884</v>
      </c>
      <c r="N346" s="1491">
        <v>2.4016873936779998E-2</v>
      </c>
      <c r="O346" s="1491">
        <v>6.0958767975200003E-6</v>
      </c>
      <c r="P346" s="1492" t="s">
        <v>1885</v>
      </c>
      <c r="Q346" s="1493" t="s">
        <v>635</v>
      </c>
      <c r="R346" s="1494"/>
      <c r="S346" s="1493">
        <v>855.8</v>
      </c>
      <c r="T346" s="1493" t="s">
        <v>1199</v>
      </c>
      <c r="U346" s="1493">
        <v>3.94</v>
      </c>
      <c r="V346" s="1495" t="s">
        <v>1883</v>
      </c>
      <c r="W346" s="1496">
        <v>15.7</v>
      </c>
      <c r="X346" s="1497" t="s">
        <v>1883</v>
      </c>
      <c r="Y346" s="1498">
        <v>0.16298553771105001</v>
      </c>
      <c r="Z346" s="1498">
        <v>2.5193978222253302</v>
      </c>
      <c r="AA346" s="1498">
        <v>6.0465547733407998</v>
      </c>
      <c r="AB346" s="1498">
        <v>2.7E-2</v>
      </c>
      <c r="AC346" s="1499" t="s">
        <v>1199</v>
      </c>
      <c r="AD346" s="1500" t="s">
        <v>635</v>
      </c>
      <c r="AE346" s="1501"/>
      <c r="AF346" s="1502" t="s">
        <v>635</v>
      </c>
      <c r="AG346" s="1501"/>
      <c r="AH346" s="1502">
        <v>2E-3</v>
      </c>
      <c r="AI346" s="1503" t="s">
        <v>1119</v>
      </c>
      <c r="AJ346" s="1502" t="s">
        <v>635</v>
      </c>
      <c r="AK346" s="1501"/>
      <c r="AL346" s="1501"/>
      <c r="AM346" s="1501"/>
      <c r="AN346" s="1504">
        <v>1</v>
      </c>
      <c r="AO346" s="1505">
        <v>0.1</v>
      </c>
      <c r="AP346" s="1506" t="s">
        <v>635</v>
      </c>
    </row>
    <row r="347" spans="1:42" ht="30">
      <c r="A347" s="1481" t="s">
        <v>2515</v>
      </c>
      <c r="B347" s="1482" t="s">
        <v>2516</v>
      </c>
      <c r="C347" s="1483">
        <v>30.026</v>
      </c>
      <c r="D347" s="1484" t="s">
        <v>1883</v>
      </c>
      <c r="E347" s="1485">
        <v>1.3777596079999999E-5</v>
      </c>
      <c r="F347" s="1485">
        <v>3.3700000000000001E-7</v>
      </c>
      <c r="G347" s="1486" t="s">
        <v>1883</v>
      </c>
      <c r="H347" s="1485">
        <v>3890</v>
      </c>
      <c r="I347" s="1486" t="s">
        <v>1199</v>
      </c>
      <c r="J347" s="1487">
        <v>-92</v>
      </c>
      <c r="K347" s="1488" t="s">
        <v>1883</v>
      </c>
      <c r="L347" s="1489">
        <v>0.81499999999999995</v>
      </c>
      <c r="M347" s="1490" t="s">
        <v>1884</v>
      </c>
      <c r="N347" s="1491">
        <v>0.16708711276196</v>
      </c>
      <c r="O347" s="1491">
        <v>1.7436842659999999E-5</v>
      </c>
      <c r="P347" s="1492" t="s">
        <v>1885</v>
      </c>
      <c r="Q347" s="1493" t="s">
        <v>635</v>
      </c>
      <c r="R347" s="1494"/>
      <c r="S347" s="1493">
        <v>1</v>
      </c>
      <c r="T347" s="1493" t="s">
        <v>1199</v>
      </c>
      <c r="U347" s="1493">
        <v>0.35</v>
      </c>
      <c r="V347" s="1495" t="s">
        <v>1883</v>
      </c>
      <c r="W347" s="1496">
        <v>400000</v>
      </c>
      <c r="X347" s="1497" t="s">
        <v>1883</v>
      </c>
      <c r="Y347" s="1498">
        <v>3.8357189678099998E-3</v>
      </c>
      <c r="Z347" s="1498">
        <v>0.15487964681818001</v>
      </c>
      <c r="AA347" s="1498">
        <v>0.37171115236362001</v>
      </c>
      <c r="AB347" s="1498">
        <v>1.82E-3</v>
      </c>
      <c r="AC347" s="1499" t="s">
        <v>1199</v>
      </c>
      <c r="AD347" s="1500">
        <v>2.1000000000000001E-2</v>
      </c>
      <c r="AE347" s="1503" t="s">
        <v>1900</v>
      </c>
      <c r="AF347" s="1502">
        <v>7.4000000000000003E-6</v>
      </c>
      <c r="AG347" s="1503" t="s">
        <v>1119</v>
      </c>
      <c r="AH347" s="1502">
        <v>0.2</v>
      </c>
      <c r="AI347" s="1503" t="s">
        <v>1119</v>
      </c>
      <c r="AJ347" s="1502">
        <v>7.0000000000000001E-3</v>
      </c>
      <c r="AK347" s="1503" t="s">
        <v>1119</v>
      </c>
      <c r="AL347" s="1503" t="s">
        <v>1127</v>
      </c>
      <c r="AM347" s="1503" t="s">
        <v>1906</v>
      </c>
      <c r="AN347" s="1504">
        <v>1</v>
      </c>
      <c r="AO347" s="1504" t="s">
        <v>635</v>
      </c>
      <c r="AP347" s="1506">
        <v>42400</v>
      </c>
    </row>
    <row r="348" spans="1:42" ht="30">
      <c r="A348" s="1507" t="s">
        <v>2517</v>
      </c>
      <c r="B348" s="1508" t="s">
        <v>2518</v>
      </c>
      <c r="C348" s="1509">
        <v>46.026000000000003</v>
      </c>
      <c r="D348" s="1510" t="s">
        <v>1883</v>
      </c>
      <c r="E348" s="1511">
        <v>6.8274734260000002E-6</v>
      </c>
      <c r="F348" s="1511">
        <v>1.67E-7</v>
      </c>
      <c r="G348" s="1512" t="s">
        <v>1883</v>
      </c>
      <c r="H348" s="1511">
        <v>42.59</v>
      </c>
      <c r="I348" s="1512" t="s">
        <v>1883</v>
      </c>
      <c r="J348" s="1513">
        <v>8.3000000000000007</v>
      </c>
      <c r="K348" s="1514" t="s">
        <v>1883</v>
      </c>
      <c r="L348" s="1515">
        <v>1.22</v>
      </c>
      <c r="M348" s="1516" t="s">
        <v>1884</v>
      </c>
      <c r="N348" s="1517">
        <v>0.14787006297229999</v>
      </c>
      <c r="O348" s="1517">
        <v>1.719039002E-5</v>
      </c>
      <c r="P348" s="1518" t="s">
        <v>1885</v>
      </c>
      <c r="Q348" s="1519" t="s">
        <v>635</v>
      </c>
      <c r="R348" s="1520"/>
      <c r="S348" s="1519">
        <v>1</v>
      </c>
      <c r="T348" s="1519" t="s">
        <v>1199</v>
      </c>
      <c r="U348" s="1519">
        <v>-0.54</v>
      </c>
      <c r="V348" s="1521" t="s">
        <v>1883</v>
      </c>
      <c r="W348" s="1522">
        <v>1000000</v>
      </c>
      <c r="X348" s="1523" t="s">
        <v>1883</v>
      </c>
      <c r="Y348" s="1524">
        <v>9.8632506193999992E-4</v>
      </c>
      <c r="Z348" s="1524">
        <v>0.190368176375</v>
      </c>
      <c r="AA348" s="1524">
        <v>0.45688362330000998</v>
      </c>
      <c r="AB348" s="1524">
        <v>3.7800000000000003E-4</v>
      </c>
      <c r="AC348" s="1525" t="s">
        <v>1199</v>
      </c>
      <c r="AD348" s="1526" t="s">
        <v>635</v>
      </c>
      <c r="AE348" s="1527"/>
      <c r="AF348" s="1528" t="s">
        <v>635</v>
      </c>
      <c r="AG348" s="1527"/>
      <c r="AH348" s="1528">
        <v>0.9</v>
      </c>
      <c r="AI348" s="1529" t="s">
        <v>1909</v>
      </c>
      <c r="AJ348" s="1528">
        <v>2.9999999999999997E-4</v>
      </c>
      <c r="AK348" s="1529" t="s">
        <v>1893</v>
      </c>
      <c r="AL348" s="1529" t="s">
        <v>1127</v>
      </c>
      <c r="AM348" s="1527"/>
      <c r="AN348" s="1530">
        <v>1</v>
      </c>
      <c r="AO348" s="1530" t="s">
        <v>635</v>
      </c>
      <c r="AP348" s="1532">
        <v>106000</v>
      </c>
    </row>
    <row r="349" spans="1:42" ht="30">
      <c r="A349" s="1481" t="s">
        <v>2519</v>
      </c>
      <c r="B349" s="1482" t="s">
        <v>2520</v>
      </c>
      <c r="C349" s="1483">
        <v>354.11</v>
      </c>
      <c r="D349" s="1484" t="s">
        <v>1883</v>
      </c>
      <c r="E349" s="1485">
        <v>1.2878168438000001E-12</v>
      </c>
      <c r="F349" s="1485">
        <v>3.1499999999999998E-14</v>
      </c>
      <c r="G349" s="1486" t="s">
        <v>1883</v>
      </c>
      <c r="H349" s="1485">
        <v>7.5E-11</v>
      </c>
      <c r="I349" s="1486" t="s">
        <v>1883</v>
      </c>
      <c r="J349" s="1487">
        <v>215</v>
      </c>
      <c r="K349" s="1488" t="s">
        <v>1883</v>
      </c>
      <c r="L349" s="1489" t="s">
        <v>635</v>
      </c>
      <c r="M349" s="1533"/>
      <c r="N349" s="1491">
        <v>3.7960169246050002E-2</v>
      </c>
      <c r="O349" s="1491">
        <v>4.4353460908499999E-6</v>
      </c>
      <c r="P349" s="1492" t="s">
        <v>1885</v>
      </c>
      <c r="Q349" s="1493" t="s">
        <v>635</v>
      </c>
      <c r="R349" s="1494"/>
      <c r="S349" s="1493">
        <v>6485</v>
      </c>
      <c r="T349" s="1493" t="s">
        <v>1199</v>
      </c>
      <c r="U349" s="1493">
        <v>-2.4</v>
      </c>
      <c r="V349" s="1495" t="s">
        <v>1883</v>
      </c>
      <c r="W349" s="1496">
        <v>111000</v>
      </c>
      <c r="X349" s="1497" t="s">
        <v>1883</v>
      </c>
      <c r="Y349" s="1498">
        <v>2.9674239969200001E-6</v>
      </c>
      <c r="Z349" s="1498">
        <v>10.1126447165452</v>
      </c>
      <c r="AA349" s="1498">
        <v>24.270347319708598</v>
      </c>
      <c r="AB349" s="1498">
        <v>4.0999999999999999E-7</v>
      </c>
      <c r="AC349" s="1499" t="s">
        <v>1199</v>
      </c>
      <c r="AD349" s="1500" t="s">
        <v>635</v>
      </c>
      <c r="AE349" s="1501"/>
      <c r="AF349" s="1502" t="s">
        <v>635</v>
      </c>
      <c r="AG349" s="1501"/>
      <c r="AH349" s="1502">
        <v>2.5</v>
      </c>
      <c r="AI349" s="1503" t="s">
        <v>1116</v>
      </c>
      <c r="AJ349" s="1502" t="s">
        <v>635</v>
      </c>
      <c r="AK349" s="1501"/>
      <c r="AL349" s="1501"/>
      <c r="AM349" s="1501"/>
      <c r="AN349" s="1504">
        <v>1</v>
      </c>
      <c r="AO349" s="1505">
        <v>0.1</v>
      </c>
      <c r="AP349" s="1506" t="s">
        <v>635</v>
      </c>
    </row>
    <row r="350" spans="1:42" ht="15">
      <c r="A350" s="1481"/>
      <c r="B350" s="1482" t="s">
        <v>2521</v>
      </c>
      <c r="C350" s="1483" t="s">
        <v>635</v>
      </c>
      <c r="D350" s="1543"/>
      <c r="E350" s="1485" t="s">
        <v>635</v>
      </c>
      <c r="F350" s="1485" t="s">
        <v>635</v>
      </c>
      <c r="G350" s="1536"/>
      <c r="H350" s="1485" t="s">
        <v>635</v>
      </c>
      <c r="I350" s="1536"/>
      <c r="J350" s="1487" t="s">
        <v>635</v>
      </c>
      <c r="K350" s="1542"/>
      <c r="L350" s="1489" t="s">
        <v>635</v>
      </c>
      <c r="M350" s="1533"/>
      <c r="N350" s="1491" t="s">
        <v>635</v>
      </c>
      <c r="O350" s="1491" t="s">
        <v>635</v>
      </c>
      <c r="P350" s="1544"/>
      <c r="Q350" s="1493" t="s">
        <v>635</v>
      </c>
      <c r="R350" s="1494"/>
      <c r="S350" s="1493" t="s">
        <v>635</v>
      </c>
      <c r="T350" s="1494"/>
      <c r="U350" s="1493" t="s">
        <v>635</v>
      </c>
      <c r="V350" s="1481"/>
      <c r="W350" s="1496" t="s">
        <v>635</v>
      </c>
      <c r="X350" s="1537"/>
      <c r="Y350" s="1498" t="s">
        <v>635</v>
      </c>
      <c r="Z350" s="1498" t="s">
        <v>635</v>
      </c>
      <c r="AA350" s="1498" t="s">
        <v>635</v>
      </c>
      <c r="AB350" s="1498" t="s">
        <v>635</v>
      </c>
      <c r="AC350" s="1547"/>
      <c r="AD350" s="1500" t="s">
        <v>635</v>
      </c>
      <c r="AE350" s="1501"/>
      <c r="AF350" s="1502" t="s">
        <v>635</v>
      </c>
      <c r="AG350" s="1501"/>
      <c r="AH350" s="1502" t="s">
        <v>635</v>
      </c>
      <c r="AI350" s="1501"/>
      <c r="AJ350" s="1502" t="s">
        <v>635</v>
      </c>
      <c r="AK350" s="1501"/>
      <c r="AL350" s="1501"/>
      <c r="AM350" s="1501"/>
      <c r="AN350" s="1504" t="s">
        <v>635</v>
      </c>
      <c r="AO350" s="1504" t="s">
        <v>635</v>
      </c>
      <c r="AP350" s="1506" t="s">
        <v>635</v>
      </c>
    </row>
    <row r="351" spans="1:42" ht="30">
      <c r="A351" s="1507" t="s">
        <v>2522</v>
      </c>
      <c r="B351" s="1508" t="s">
        <v>2523</v>
      </c>
      <c r="C351" s="1509">
        <v>168.2</v>
      </c>
      <c r="D351" s="1510" t="s">
        <v>1883</v>
      </c>
      <c r="E351" s="1511">
        <v>8.7080948487300008E-3</v>
      </c>
      <c r="F351" s="1511">
        <v>2.13E-4</v>
      </c>
      <c r="G351" s="1512" t="s">
        <v>1199</v>
      </c>
      <c r="H351" s="1511">
        <v>2.48E-3</v>
      </c>
      <c r="I351" s="1512" t="s">
        <v>1883</v>
      </c>
      <c r="J351" s="1513">
        <v>86.5</v>
      </c>
      <c r="K351" s="1514" t="s">
        <v>1883</v>
      </c>
      <c r="L351" s="1515">
        <v>1.0886</v>
      </c>
      <c r="M351" s="1516" t="s">
        <v>1884</v>
      </c>
      <c r="N351" s="1517">
        <v>6.5066324892049998E-2</v>
      </c>
      <c r="O351" s="1517">
        <v>7.37729541601E-6</v>
      </c>
      <c r="P351" s="1518" t="s">
        <v>1885</v>
      </c>
      <c r="Q351" s="1519" t="s">
        <v>635</v>
      </c>
      <c r="R351" s="1520"/>
      <c r="S351" s="1519">
        <v>9161</v>
      </c>
      <c r="T351" s="1519" t="s">
        <v>1199</v>
      </c>
      <c r="U351" s="1519">
        <v>4.12</v>
      </c>
      <c r="V351" s="1521" t="s">
        <v>1883</v>
      </c>
      <c r="W351" s="1522">
        <v>3.1</v>
      </c>
      <c r="X351" s="1523" t="s">
        <v>1883</v>
      </c>
      <c r="Y351" s="1524">
        <v>0.48634478510619999</v>
      </c>
      <c r="Z351" s="1524">
        <v>0.91995958704036995</v>
      </c>
      <c r="AA351" s="1524">
        <v>2.2079030088968801</v>
      </c>
      <c r="AB351" s="1524">
        <v>9.7500000000000003E-2</v>
      </c>
      <c r="AC351" s="1525" t="s">
        <v>1199</v>
      </c>
      <c r="AD351" s="1526" t="s">
        <v>635</v>
      </c>
      <c r="AE351" s="1527"/>
      <c r="AF351" s="1528" t="s">
        <v>635</v>
      </c>
      <c r="AG351" s="1527"/>
      <c r="AH351" s="1528">
        <v>1E-3</v>
      </c>
      <c r="AI351" s="1529" t="s">
        <v>1893</v>
      </c>
      <c r="AJ351" s="1528" t="s">
        <v>635</v>
      </c>
      <c r="AK351" s="1527"/>
      <c r="AL351" s="1529" t="s">
        <v>1127</v>
      </c>
      <c r="AM351" s="1527"/>
      <c r="AN351" s="1530">
        <v>1</v>
      </c>
      <c r="AO351" s="1530" t="s">
        <v>635</v>
      </c>
      <c r="AP351" s="1532" t="s">
        <v>635</v>
      </c>
    </row>
    <row r="352" spans="1:42" ht="30">
      <c r="A352" s="1481" t="s">
        <v>2524</v>
      </c>
      <c r="B352" s="1482" t="s">
        <v>2525</v>
      </c>
      <c r="C352" s="1483">
        <v>68.075999999999993</v>
      </c>
      <c r="D352" s="1484" t="s">
        <v>1883</v>
      </c>
      <c r="E352" s="1485">
        <v>0.22076860179885999</v>
      </c>
      <c r="F352" s="1485">
        <v>5.4000000000000003E-3</v>
      </c>
      <c r="G352" s="1486" t="s">
        <v>1199</v>
      </c>
      <c r="H352" s="1485">
        <v>600</v>
      </c>
      <c r="I352" s="1486" t="s">
        <v>1883</v>
      </c>
      <c r="J352" s="1487">
        <v>-85.6</v>
      </c>
      <c r="K352" s="1488" t="s">
        <v>1883</v>
      </c>
      <c r="L352" s="1489">
        <v>0.95140000000000002</v>
      </c>
      <c r="M352" s="1490" t="s">
        <v>1884</v>
      </c>
      <c r="N352" s="1491">
        <v>0.1022756523633</v>
      </c>
      <c r="O352" s="1491">
        <v>1.170828383E-5</v>
      </c>
      <c r="P352" s="1492" t="s">
        <v>1885</v>
      </c>
      <c r="Q352" s="1493" t="s">
        <v>635</v>
      </c>
      <c r="R352" s="1494"/>
      <c r="S352" s="1493">
        <v>79.989999999999995</v>
      </c>
      <c r="T352" s="1493" t="s">
        <v>1199</v>
      </c>
      <c r="U352" s="1493">
        <v>1.34</v>
      </c>
      <c r="V352" s="1495" t="s">
        <v>1883</v>
      </c>
      <c r="W352" s="1496">
        <v>10000</v>
      </c>
      <c r="X352" s="1497" t="s">
        <v>1883</v>
      </c>
      <c r="Y352" s="1498">
        <v>1.6025627543580001E-2</v>
      </c>
      <c r="Z352" s="1498">
        <v>0.25297310400176998</v>
      </c>
      <c r="AA352" s="1498">
        <v>0.60713544960424004</v>
      </c>
      <c r="AB352" s="1498">
        <v>5.0499999999999998E-3</v>
      </c>
      <c r="AC352" s="1499" t="s">
        <v>1199</v>
      </c>
      <c r="AD352" s="1500" t="s">
        <v>635</v>
      </c>
      <c r="AE352" s="1501"/>
      <c r="AF352" s="1502" t="s">
        <v>635</v>
      </c>
      <c r="AG352" s="1501"/>
      <c r="AH352" s="1502">
        <v>1E-3</v>
      </c>
      <c r="AI352" s="1503" t="s">
        <v>1119</v>
      </c>
      <c r="AJ352" s="1502" t="s">
        <v>635</v>
      </c>
      <c r="AK352" s="1501"/>
      <c r="AL352" s="1503" t="s">
        <v>1127</v>
      </c>
      <c r="AM352" s="1501"/>
      <c r="AN352" s="1504">
        <v>1</v>
      </c>
      <c r="AO352" s="1504" t="s">
        <v>635</v>
      </c>
      <c r="AP352" s="1506">
        <v>6220</v>
      </c>
    </row>
    <row r="353" spans="1:42" ht="30">
      <c r="A353" s="1481" t="s">
        <v>2526</v>
      </c>
      <c r="B353" s="1482" t="s">
        <v>2527</v>
      </c>
      <c r="C353" s="1483">
        <v>72.108000000000004</v>
      </c>
      <c r="D353" s="1484" t="s">
        <v>1883</v>
      </c>
      <c r="E353" s="1485">
        <v>2.88225674571E-3</v>
      </c>
      <c r="F353" s="1485">
        <v>7.0500000000000006E-5</v>
      </c>
      <c r="G353" s="1486" t="s">
        <v>1883</v>
      </c>
      <c r="H353" s="1485">
        <v>162.19999999999999</v>
      </c>
      <c r="I353" s="1486" t="s">
        <v>1883</v>
      </c>
      <c r="J353" s="1487">
        <v>-108.44</v>
      </c>
      <c r="K353" s="1488" t="s">
        <v>1883</v>
      </c>
      <c r="L353" s="1489">
        <v>0.88329999999999997</v>
      </c>
      <c r="M353" s="1490" t="s">
        <v>1884</v>
      </c>
      <c r="N353" s="1491">
        <v>9.9375092999000006E-2</v>
      </c>
      <c r="O353" s="1491">
        <v>1.08179916E-5</v>
      </c>
      <c r="P353" s="1492" t="s">
        <v>1885</v>
      </c>
      <c r="Q353" s="1493" t="s">
        <v>635</v>
      </c>
      <c r="R353" s="1494"/>
      <c r="S353" s="1493">
        <v>10.75</v>
      </c>
      <c r="T353" s="1493" t="s">
        <v>1199</v>
      </c>
      <c r="U353" s="1493">
        <v>0.46</v>
      </c>
      <c r="V353" s="1495" t="s">
        <v>1883</v>
      </c>
      <c r="W353" s="1496">
        <v>1000000</v>
      </c>
      <c r="X353" s="1497" t="s">
        <v>1883</v>
      </c>
      <c r="Y353" s="1498">
        <v>4.0825206493099999E-3</v>
      </c>
      <c r="Z353" s="1498">
        <v>0.26647320757247001</v>
      </c>
      <c r="AA353" s="1498">
        <v>0.63953569817392997</v>
      </c>
      <c r="AB353" s="1498">
        <v>1.25E-3</v>
      </c>
      <c r="AC353" s="1499" t="s">
        <v>1199</v>
      </c>
      <c r="AD353" s="1500" t="s">
        <v>635</v>
      </c>
      <c r="AE353" s="1501"/>
      <c r="AF353" s="1502" t="s">
        <v>635</v>
      </c>
      <c r="AG353" s="1501"/>
      <c r="AH353" s="1502">
        <v>0.9</v>
      </c>
      <c r="AI353" s="1503" t="s">
        <v>1119</v>
      </c>
      <c r="AJ353" s="1502">
        <v>2</v>
      </c>
      <c r="AK353" s="1503" t="s">
        <v>1119</v>
      </c>
      <c r="AL353" s="1503" t="s">
        <v>1127</v>
      </c>
      <c r="AM353" s="1501"/>
      <c r="AN353" s="1504">
        <v>1</v>
      </c>
      <c r="AO353" s="1504" t="s">
        <v>635</v>
      </c>
      <c r="AP353" s="1506">
        <v>165000</v>
      </c>
    </row>
    <row r="354" spans="1:42" ht="30">
      <c r="A354" s="1507" t="s">
        <v>2528</v>
      </c>
      <c r="B354" s="1508" t="s">
        <v>2529</v>
      </c>
      <c r="C354" s="1509">
        <v>225.16</v>
      </c>
      <c r="D354" s="1510" t="s">
        <v>1883</v>
      </c>
      <c r="E354" s="1511">
        <v>1.3327882256699999E-9</v>
      </c>
      <c r="F354" s="1511">
        <v>3.2600000000000002E-11</v>
      </c>
      <c r="G354" s="1512" t="s">
        <v>1883</v>
      </c>
      <c r="H354" s="1511">
        <v>2.6000000000000001E-6</v>
      </c>
      <c r="I354" s="1512" t="s">
        <v>1883</v>
      </c>
      <c r="J354" s="1513">
        <v>255</v>
      </c>
      <c r="K354" s="1514" t="s">
        <v>1883</v>
      </c>
      <c r="L354" s="1515" t="s">
        <v>635</v>
      </c>
      <c r="M354" s="1538"/>
      <c r="N354" s="1517">
        <v>5.1336482439640001E-2</v>
      </c>
      <c r="O354" s="1517">
        <v>5.9982626850500002E-6</v>
      </c>
      <c r="P354" s="1518" t="s">
        <v>1885</v>
      </c>
      <c r="Q354" s="1519" t="s">
        <v>635</v>
      </c>
      <c r="R354" s="1520"/>
      <c r="S354" s="1519">
        <v>858.4</v>
      </c>
      <c r="T354" s="1519" t="s">
        <v>1199</v>
      </c>
      <c r="U354" s="1519">
        <v>-0.04</v>
      </c>
      <c r="V354" s="1521" t="s">
        <v>1883</v>
      </c>
      <c r="W354" s="1522">
        <v>40</v>
      </c>
      <c r="X354" s="1523" t="s">
        <v>1883</v>
      </c>
      <c r="Y354" s="1524">
        <v>4.6343391944999999E-4</v>
      </c>
      <c r="Z354" s="1524">
        <v>1.9175414018216199</v>
      </c>
      <c r="AA354" s="1524">
        <v>4.6020993643718899</v>
      </c>
      <c r="AB354" s="1524">
        <v>8.03E-5</v>
      </c>
      <c r="AC354" s="1525" t="s">
        <v>1199</v>
      </c>
      <c r="AD354" s="1526">
        <v>3.8</v>
      </c>
      <c r="AE354" s="1529" t="s">
        <v>1073</v>
      </c>
      <c r="AF354" s="1528" t="s">
        <v>635</v>
      </c>
      <c r="AG354" s="1527"/>
      <c r="AH354" s="1528" t="s">
        <v>635</v>
      </c>
      <c r="AI354" s="1527"/>
      <c r="AJ354" s="1528" t="s">
        <v>635</v>
      </c>
      <c r="AK354" s="1527"/>
      <c r="AL354" s="1527"/>
      <c r="AM354" s="1527"/>
      <c r="AN354" s="1530">
        <v>1</v>
      </c>
      <c r="AO354" s="1531">
        <v>0.1</v>
      </c>
      <c r="AP354" s="1532" t="s">
        <v>635</v>
      </c>
    </row>
    <row r="355" spans="1:42" ht="30">
      <c r="A355" s="1481" t="s">
        <v>2530</v>
      </c>
      <c r="B355" s="1482" t="s">
        <v>2531</v>
      </c>
      <c r="C355" s="1483">
        <v>96.085999999999999</v>
      </c>
      <c r="D355" s="1484" t="s">
        <v>1883</v>
      </c>
      <c r="E355" s="1485">
        <v>1.5412919052000001E-4</v>
      </c>
      <c r="F355" s="1485">
        <v>3.7699999999999999E-6</v>
      </c>
      <c r="G355" s="1486" t="s">
        <v>1199</v>
      </c>
      <c r="H355" s="1485">
        <v>2.21</v>
      </c>
      <c r="I355" s="1486" t="s">
        <v>1883</v>
      </c>
      <c r="J355" s="1487">
        <v>-38.1</v>
      </c>
      <c r="K355" s="1488" t="s">
        <v>1883</v>
      </c>
      <c r="L355" s="1489">
        <v>1.1594</v>
      </c>
      <c r="M355" s="1490" t="s">
        <v>1884</v>
      </c>
      <c r="N355" s="1491">
        <v>8.5321272147970001E-2</v>
      </c>
      <c r="O355" s="1491">
        <v>1.0720515779999999E-5</v>
      </c>
      <c r="P355" s="1492" t="s">
        <v>1885</v>
      </c>
      <c r="Q355" s="1493" t="s">
        <v>635</v>
      </c>
      <c r="R355" s="1494"/>
      <c r="S355" s="1493">
        <v>6.0830000000000002</v>
      </c>
      <c r="T355" s="1493" t="s">
        <v>1199</v>
      </c>
      <c r="U355" s="1493">
        <v>0.41</v>
      </c>
      <c r="V355" s="1495" t="s">
        <v>1883</v>
      </c>
      <c r="W355" s="1496">
        <v>74100</v>
      </c>
      <c r="X355" s="1497" t="s">
        <v>1883</v>
      </c>
      <c r="Y355" s="1498">
        <v>3.1970730637799999E-3</v>
      </c>
      <c r="Z355" s="1498">
        <v>0.36301983045656999</v>
      </c>
      <c r="AA355" s="1498">
        <v>0.87124759309576005</v>
      </c>
      <c r="AB355" s="1498">
        <v>8.4800000000000001E-4</v>
      </c>
      <c r="AC355" s="1499" t="s">
        <v>1199</v>
      </c>
      <c r="AD355" s="1500" t="s">
        <v>635</v>
      </c>
      <c r="AE355" s="1501"/>
      <c r="AF355" s="1502" t="s">
        <v>635</v>
      </c>
      <c r="AG355" s="1501"/>
      <c r="AH355" s="1502">
        <v>3.0000000000000001E-3</v>
      </c>
      <c r="AI355" s="1503" t="s">
        <v>1119</v>
      </c>
      <c r="AJ355" s="1502">
        <v>0.05</v>
      </c>
      <c r="AK355" s="1503" t="s">
        <v>1073</v>
      </c>
      <c r="AL355" s="1503" t="s">
        <v>1127</v>
      </c>
      <c r="AM355" s="1501"/>
      <c r="AN355" s="1504">
        <v>1</v>
      </c>
      <c r="AO355" s="1504" t="s">
        <v>635</v>
      </c>
      <c r="AP355" s="1506">
        <v>10100</v>
      </c>
    </row>
    <row r="356" spans="1:42" ht="30">
      <c r="A356" s="1481" t="s">
        <v>2532</v>
      </c>
      <c r="B356" s="1482" t="s">
        <v>2533</v>
      </c>
      <c r="C356" s="1483">
        <v>253.23</v>
      </c>
      <c r="D356" s="1484" t="s">
        <v>1199</v>
      </c>
      <c r="E356" s="1485">
        <v>5.4374488962000001E-14</v>
      </c>
      <c r="F356" s="1485">
        <v>1.3299999999999999E-15</v>
      </c>
      <c r="G356" s="1486" t="s">
        <v>1199</v>
      </c>
      <c r="H356" s="1485">
        <v>8.8200000000000006E-9</v>
      </c>
      <c r="I356" s="1486" t="s">
        <v>1199</v>
      </c>
      <c r="J356" s="1487">
        <v>189.65</v>
      </c>
      <c r="K356" s="1488" t="s">
        <v>1199</v>
      </c>
      <c r="L356" s="1489" t="s">
        <v>635</v>
      </c>
      <c r="M356" s="1533"/>
      <c r="N356" s="1491">
        <v>4.7469008907099999E-2</v>
      </c>
      <c r="O356" s="1491">
        <v>5.5463789354600002E-6</v>
      </c>
      <c r="P356" s="1492" t="s">
        <v>1885</v>
      </c>
      <c r="Q356" s="1493" t="s">
        <v>635</v>
      </c>
      <c r="R356" s="1494"/>
      <c r="S356" s="1493">
        <v>577.6</v>
      </c>
      <c r="T356" s="1493" t="s">
        <v>1199</v>
      </c>
      <c r="U356" s="1493">
        <v>1.8</v>
      </c>
      <c r="V356" s="1495" t="s">
        <v>1199</v>
      </c>
      <c r="W356" s="1496">
        <v>4205.3</v>
      </c>
      <c r="X356" s="1497" t="s">
        <v>1199</v>
      </c>
      <c r="Y356" s="1498">
        <v>5.7226322814999996E-3</v>
      </c>
      <c r="Z356" s="1498">
        <v>2.75382760835683</v>
      </c>
      <c r="AA356" s="1498">
        <v>6.6091862600563802</v>
      </c>
      <c r="AB356" s="1498">
        <v>9.3499999999999996E-4</v>
      </c>
      <c r="AC356" s="1499" t="s">
        <v>1199</v>
      </c>
      <c r="AD356" s="1500">
        <v>1.5</v>
      </c>
      <c r="AE356" s="1503" t="s">
        <v>1900</v>
      </c>
      <c r="AF356" s="1502">
        <v>4.2999999999999999E-4</v>
      </c>
      <c r="AG356" s="1503" t="s">
        <v>1900</v>
      </c>
      <c r="AH356" s="1502" t="s">
        <v>635</v>
      </c>
      <c r="AI356" s="1501"/>
      <c r="AJ356" s="1502" t="s">
        <v>635</v>
      </c>
      <c r="AK356" s="1501"/>
      <c r="AL356" s="1501"/>
      <c r="AM356" s="1501"/>
      <c r="AN356" s="1504">
        <v>1</v>
      </c>
      <c r="AO356" s="1505">
        <v>0.1</v>
      </c>
      <c r="AP356" s="1506" t="s">
        <v>635</v>
      </c>
    </row>
    <row r="357" spans="1:42" ht="30">
      <c r="A357" s="1507" t="s">
        <v>2534</v>
      </c>
      <c r="B357" s="1508" t="s">
        <v>2535</v>
      </c>
      <c r="C357" s="1509">
        <v>251.33</v>
      </c>
      <c r="D357" s="1510" t="s">
        <v>1883</v>
      </c>
      <c r="E357" s="1511">
        <v>2.8168438266600002E-7</v>
      </c>
      <c r="F357" s="1511">
        <v>6.89E-9</v>
      </c>
      <c r="G357" s="1512" t="s">
        <v>1883</v>
      </c>
      <c r="H357" s="1511">
        <v>8.3700000000000002E-5</v>
      </c>
      <c r="I357" s="1512" t="s">
        <v>1883</v>
      </c>
      <c r="J357" s="1513">
        <v>33</v>
      </c>
      <c r="K357" s="1514" t="s">
        <v>1883</v>
      </c>
      <c r="L357" s="1515" t="s">
        <v>635</v>
      </c>
      <c r="M357" s="1538"/>
      <c r="N357" s="1517">
        <v>4.7707945390419997E-2</v>
      </c>
      <c r="O357" s="1517">
        <v>5.5742967772000004E-6</v>
      </c>
      <c r="P357" s="1518" t="s">
        <v>1885</v>
      </c>
      <c r="Q357" s="1519" t="s">
        <v>635</v>
      </c>
      <c r="R357" s="1520"/>
      <c r="S357" s="1519">
        <v>429</v>
      </c>
      <c r="T357" s="1519" t="s">
        <v>1199</v>
      </c>
      <c r="U357" s="1519">
        <v>4.38</v>
      </c>
      <c r="V357" s="1521" t="s">
        <v>1883</v>
      </c>
      <c r="W357" s="1522">
        <v>0.3</v>
      </c>
      <c r="X357" s="1523" t="s">
        <v>1883</v>
      </c>
      <c r="Y357" s="1524">
        <v>0.30426315428624001</v>
      </c>
      <c r="Z357" s="1524">
        <v>2.6871799450215001</v>
      </c>
      <c r="AA357" s="1524">
        <v>6.4492318680515899</v>
      </c>
      <c r="AB357" s="1524">
        <v>4.99E-2</v>
      </c>
      <c r="AC357" s="1525" t="s">
        <v>1199</v>
      </c>
      <c r="AD357" s="1526">
        <v>0.03</v>
      </c>
      <c r="AE357" s="1529" t="s">
        <v>1119</v>
      </c>
      <c r="AF357" s="1528">
        <v>8.6000000000000007E-6</v>
      </c>
      <c r="AG357" s="1529" t="s">
        <v>1900</v>
      </c>
      <c r="AH357" s="1528" t="s">
        <v>635</v>
      </c>
      <c r="AI357" s="1527"/>
      <c r="AJ357" s="1528" t="s">
        <v>635</v>
      </c>
      <c r="AK357" s="1527"/>
      <c r="AL357" s="1527"/>
      <c r="AM357" s="1527"/>
      <c r="AN357" s="1530">
        <v>1</v>
      </c>
      <c r="AO357" s="1531">
        <v>0.1</v>
      </c>
      <c r="AP357" s="1532" t="s">
        <v>635</v>
      </c>
    </row>
    <row r="358" spans="1:42" ht="30">
      <c r="A358" s="1481" t="s">
        <v>2536</v>
      </c>
      <c r="B358" s="1482" t="s">
        <v>2537</v>
      </c>
      <c r="C358" s="1483">
        <v>198.16</v>
      </c>
      <c r="D358" s="1484" t="s">
        <v>1883</v>
      </c>
      <c r="E358" s="1485">
        <v>1.8070318888000001E-12</v>
      </c>
      <c r="F358" s="1485">
        <v>4.4199999999999997E-14</v>
      </c>
      <c r="G358" s="1486" t="s">
        <v>1883</v>
      </c>
      <c r="H358" s="1485">
        <v>9.1199999999999999E-12</v>
      </c>
      <c r="I358" s="1486" t="s">
        <v>1883</v>
      </c>
      <c r="J358" s="1487">
        <v>215</v>
      </c>
      <c r="K358" s="1488" t="s">
        <v>1883</v>
      </c>
      <c r="L358" s="1489" t="s">
        <v>635</v>
      </c>
      <c r="M358" s="1533"/>
      <c r="N358" s="1491">
        <v>5.589971648744E-2</v>
      </c>
      <c r="O358" s="1491">
        <v>6.5314405580099999E-6</v>
      </c>
      <c r="P358" s="1492" t="s">
        <v>1885</v>
      </c>
      <c r="Q358" s="1493" t="s">
        <v>635</v>
      </c>
      <c r="R358" s="1494"/>
      <c r="S358" s="1493">
        <v>10</v>
      </c>
      <c r="T358" s="1493" t="s">
        <v>1199</v>
      </c>
      <c r="U358" s="1493">
        <v>-4.8099999999999996</v>
      </c>
      <c r="V358" s="1495" t="s">
        <v>1883</v>
      </c>
      <c r="W358" s="1496">
        <v>1370000</v>
      </c>
      <c r="X358" s="1497" t="s">
        <v>1883</v>
      </c>
      <c r="Y358" s="1498">
        <v>1.8516579105600001E-7</v>
      </c>
      <c r="Z358" s="1498">
        <v>1.3537695756307799</v>
      </c>
      <c r="AA358" s="1498">
        <v>3.2490469815138598</v>
      </c>
      <c r="AB358" s="1498">
        <v>3.4200000000000002E-8</v>
      </c>
      <c r="AC358" s="1499" t="s">
        <v>1199</v>
      </c>
      <c r="AD358" s="1500" t="s">
        <v>635</v>
      </c>
      <c r="AE358" s="1501"/>
      <c r="AF358" s="1502" t="s">
        <v>635</v>
      </c>
      <c r="AG358" s="1501"/>
      <c r="AH358" s="1502">
        <v>6.0000000000000001E-3</v>
      </c>
      <c r="AI358" s="1503" t="s">
        <v>1116</v>
      </c>
      <c r="AJ358" s="1502" t="s">
        <v>635</v>
      </c>
      <c r="AK358" s="1501"/>
      <c r="AL358" s="1501"/>
      <c r="AM358" s="1501"/>
      <c r="AN358" s="1504">
        <v>1</v>
      </c>
      <c r="AO358" s="1505">
        <v>0.1</v>
      </c>
      <c r="AP358" s="1506" t="s">
        <v>635</v>
      </c>
    </row>
    <row r="359" spans="1:42" ht="30">
      <c r="A359" s="1481" t="s">
        <v>2538</v>
      </c>
      <c r="B359" s="1482" t="s">
        <v>2539</v>
      </c>
      <c r="C359" s="1483">
        <v>100.12</v>
      </c>
      <c r="D359" s="1484" t="s">
        <v>1883</v>
      </c>
      <c r="E359" s="1485">
        <v>1.34914145544E-6</v>
      </c>
      <c r="F359" s="1485">
        <v>3.2999999999999998E-8</v>
      </c>
      <c r="G359" s="1486" t="s">
        <v>1883</v>
      </c>
      <c r="H359" s="1485">
        <v>0.6</v>
      </c>
      <c r="I359" s="1486" t="s">
        <v>1883</v>
      </c>
      <c r="J359" s="1487">
        <v>-29.86</v>
      </c>
      <c r="K359" s="1488" t="s">
        <v>1199</v>
      </c>
      <c r="L359" s="1489" t="s">
        <v>635</v>
      </c>
      <c r="M359" s="1533"/>
      <c r="N359" s="1491">
        <v>8.8119706165350004E-2</v>
      </c>
      <c r="O359" s="1491">
        <v>1.029609198E-5</v>
      </c>
      <c r="P359" s="1492" t="s">
        <v>1885</v>
      </c>
      <c r="Q359" s="1493" t="s">
        <v>635</v>
      </c>
      <c r="R359" s="1494"/>
      <c r="S359" s="1493">
        <v>1</v>
      </c>
      <c r="T359" s="1493" t="s">
        <v>1199</v>
      </c>
      <c r="U359" s="1493">
        <v>-0.33</v>
      </c>
      <c r="V359" s="1495" t="s">
        <v>1883</v>
      </c>
      <c r="W359" s="1496">
        <v>224000</v>
      </c>
      <c r="X359" s="1497" t="s">
        <v>1883</v>
      </c>
      <c r="Y359" s="1498">
        <v>1.2507497751299999E-3</v>
      </c>
      <c r="Z359" s="1498">
        <v>0.38240252355663001</v>
      </c>
      <c r="AA359" s="1498">
        <v>0.91776605653590004</v>
      </c>
      <c r="AB359" s="1498">
        <v>3.2499999999999999E-4</v>
      </c>
      <c r="AC359" s="1499" t="s">
        <v>1199</v>
      </c>
      <c r="AD359" s="1500" t="s">
        <v>635</v>
      </c>
      <c r="AE359" s="1501"/>
      <c r="AF359" s="1502" t="s">
        <v>635</v>
      </c>
      <c r="AG359" s="1501"/>
      <c r="AH359" s="1502">
        <v>0.1</v>
      </c>
      <c r="AI359" s="1503" t="s">
        <v>1960</v>
      </c>
      <c r="AJ359" s="1502">
        <v>8.0000000000000007E-5</v>
      </c>
      <c r="AK359" s="1503" t="s">
        <v>1900</v>
      </c>
      <c r="AL359" s="1501"/>
      <c r="AM359" s="1501"/>
      <c r="AN359" s="1504">
        <v>1</v>
      </c>
      <c r="AO359" s="1505">
        <v>0.1</v>
      </c>
      <c r="AP359" s="1506" t="s">
        <v>635</v>
      </c>
    </row>
    <row r="360" spans="1:42" ht="30">
      <c r="A360" s="1507" t="s">
        <v>2540</v>
      </c>
      <c r="B360" s="1508" t="s">
        <v>2541</v>
      </c>
      <c r="C360" s="1509">
        <v>72.063999999999993</v>
      </c>
      <c r="D360" s="1510" t="s">
        <v>1883</v>
      </c>
      <c r="E360" s="1511">
        <v>2.089125102E-5</v>
      </c>
      <c r="F360" s="1511">
        <v>5.1099999999999996E-7</v>
      </c>
      <c r="G360" s="1512" t="s">
        <v>1883</v>
      </c>
      <c r="H360" s="1511">
        <v>45.3</v>
      </c>
      <c r="I360" s="1512" t="s">
        <v>1883</v>
      </c>
      <c r="J360" s="1513">
        <v>-62</v>
      </c>
      <c r="K360" s="1514" t="s">
        <v>1883</v>
      </c>
      <c r="L360" s="1515">
        <v>1.1403000000000001</v>
      </c>
      <c r="M360" s="1516" t="s">
        <v>1884</v>
      </c>
      <c r="N360" s="1517">
        <v>0.10624690417936999</v>
      </c>
      <c r="O360" s="1517">
        <v>1.26139826E-5</v>
      </c>
      <c r="P360" s="1518" t="s">
        <v>1885</v>
      </c>
      <c r="Q360" s="1519" t="s">
        <v>635</v>
      </c>
      <c r="R360" s="1520"/>
      <c r="S360" s="1519">
        <v>1</v>
      </c>
      <c r="T360" s="1519" t="s">
        <v>1199</v>
      </c>
      <c r="U360" s="1519">
        <v>-0.12</v>
      </c>
      <c r="V360" s="1521" t="s">
        <v>1883</v>
      </c>
      <c r="W360" s="1522">
        <v>1000000</v>
      </c>
      <c r="X360" s="1523" t="s">
        <v>1883</v>
      </c>
      <c r="Y360" s="1524">
        <v>1.6847502748899999E-3</v>
      </c>
      <c r="Z360" s="1524">
        <v>0.2663220650216</v>
      </c>
      <c r="AA360" s="1524">
        <v>0.63917295605184998</v>
      </c>
      <c r="AB360" s="1524">
        <v>5.1599999999999997E-4</v>
      </c>
      <c r="AC360" s="1525" t="s">
        <v>1199</v>
      </c>
      <c r="AD360" s="1526" t="s">
        <v>635</v>
      </c>
      <c r="AE360" s="1527"/>
      <c r="AF360" s="1528" t="s">
        <v>635</v>
      </c>
      <c r="AG360" s="1527"/>
      <c r="AH360" s="1528">
        <v>4.0000000000000002E-4</v>
      </c>
      <c r="AI360" s="1529" t="s">
        <v>1119</v>
      </c>
      <c r="AJ360" s="1528">
        <v>1E-3</v>
      </c>
      <c r="AK360" s="1529" t="s">
        <v>1893</v>
      </c>
      <c r="AL360" s="1529" t="s">
        <v>1127</v>
      </c>
      <c r="AM360" s="1527"/>
      <c r="AN360" s="1530">
        <v>1</v>
      </c>
      <c r="AO360" s="1530" t="s">
        <v>635</v>
      </c>
      <c r="AP360" s="1532">
        <v>106000</v>
      </c>
    </row>
    <row r="361" spans="1:42" ht="30">
      <c r="A361" s="1481" t="s">
        <v>2542</v>
      </c>
      <c r="B361" s="1482" t="s">
        <v>2543</v>
      </c>
      <c r="C361" s="1483">
        <v>169.07</v>
      </c>
      <c r="D361" s="1484" t="s">
        <v>1883</v>
      </c>
      <c r="E361" s="1485">
        <v>8.5854456255000001E-11</v>
      </c>
      <c r="F361" s="1485">
        <v>2.0999999999999999E-12</v>
      </c>
      <c r="G361" s="1486" t="s">
        <v>1199</v>
      </c>
      <c r="H361" s="1485">
        <v>9.8000000000000004E-8</v>
      </c>
      <c r="I361" s="1486" t="s">
        <v>1883</v>
      </c>
      <c r="J361" s="1487">
        <v>189.5</v>
      </c>
      <c r="K361" s="1488" t="s">
        <v>1883</v>
      </c>
      <c r="L361" s="1489" t="s">
        <v>635</v>
      </c>
      <c r="M361" s="1533"/>
      <c r="N361" s="1491">
        <v>6.2140665375299997E-2</v>
      </c>
      <c r="O361" s="1491">
        <v>7.2606461649000002E-6</v>
      </c>
      <c r="P361" s="1492" t="s">
        <v>1885</v>
      </c>
      <c r="Q361" s="1493" t="s">
        <v>635</v>
      </c>
      <c r="R361" s="1494"/>
      <c r="S361" s="1493">
        <v>2100</v>
      </c>
      <c r="T361" s="1493" t="s">
        <v>2544</v>
      </c>
      <c r="U361" s="1493">
        <v>-3.4</v>
      </c>
      <c r="V361" s="1495" t="s">
        <v>1883</v>
      </c>
      <c r="W361" s="1496">
        <v>10500</v>
      </c>
      <c r="X361" s="1497" t="s">
        <v>1883</v>
      </c>
      <c r="Y361" s="1498">
        <v>2.27047006967E-7</v>
      </c>
      <c r="Z361" s="1498">
        <v>0.93033797724616996</v>
      </c>
      <c r="AA361" s="1498">
        <v>2.2328111453908099</v>
      </c>
      <c r="AB361" s="1498">
        <v>4.5400000000000003E-8</v>
      </c>
      <c r="AC361" s="1499" t="s">
        <v>1199</v>
      </c>
      <c r="AD361" s="1500" t="s">
        <v>635</v>
      </c>
      <c r="AE361" s="1501"/>
      <c r="AF361" s="1502" t="s">
        <v>635</v>
      </c>
      <c r="AG361" s="1501"/>
      <c r="AH361" s="1502">
        <v>0.1</v>
      </c>
      <c r="AI361" s="1503" t="s">
        <v>1119</v>
      </c>
      <c r="AJ361" s="1502" t="s">
        <v>635</v>
      </c>
      <c r="AK361" s="1501"/>
      <c r="AL361" s="1501"/>
      <c r="AM361" s="1501"/>
      <c r="AN361" s="1504">
        <v>1</v>
      </c>
      <c r="AO361" s="1505">
        <v>0.1</v>
      </c>
      <c r="AP361" s="1506" t="s">
        <v>635</v>
      </c>
    </row>
    <row r="362" spans="1:42" ht="30">
      <c r="A362" s="1481" t="s">
        <v>2545</v>
      </c>
      <c r="B362" s="1482" t="s">
        <v>2546</v>
      </c>
      <c r="C362" s="1483">
        <v>59.070999999999998</v>
      </c>
      <c r="D362" s="1484" t="s">
        <v>1883</v>
      </c>
      <c r="E362" s="1485">
        <v>9.5666394112999991E-10</v>
      </c>
      <c r="F362" s="1485">
        <v>2.3400000000000001E-11</v>
      </c>
      <c r="G362" s="1486" t="s">
        <v>1883</v>
      </c>
      <c r="H362" s="1485">
        <v>2.21</v>
      </c>
      <c r="I362" s="1486" t="s">
        <v>1883</v>
      </c>
      <c r="J362" s="1487">
        <v>50</v>
      </c>
      <c r="K362" s="1488" t="s">
        <v>1883</v>
      </c>
      <c r="L362" s="1489">
        <v>1.55</v>
      </c>
      <c r="M362" s="1490" t="s">
        <v>1986</v>
      </c>
      <c r="N362" s="1491">
        <v>0.13781937214352999</v>
      </c>
      <c r="O362" s="1491">
        <v>1.708622797E-5</v>
      </c>
      <c r="P362" s="1492" t="s">
        <v>1885</v>
      </c>
      <c r="Q362" s="1493" t="s">
        <v>635</v>
      </c>
      <c r="R362" s="1494"/>
      <c r="S362" s="1493">
        <v>11.95</v>
      </c>
      <c r="T362" s="1493" t="s">
        <v>1199</v>
      </c>
      <c r="U362" s="1493">
        <v>-1.63</v>
      </c>
      <c r="V362" s="1495" t="s">
        <v>1883</v>
      </c>
      <c r="W362" s="1496">
        <v>1840</v>
      </c>
      <c r="X362" s="1497" t="s">
        <v>1883</v>
      </c>
      <c r="Y362" s="1498">
        <v>1.7825065142E-4</v>
      </c>
      <c r="Z362" s="1498">
        <v>0.22524043095820001</v>
      </c>
      <c r="AA362" s="1498">
        <v>0.54057703429967996</v>
      </c>
      <c r="AB362" s="1498">
        <v>6.0300000000000002E-5</v>
      </c>
      <c r="AC362" s="1499" t="s">
        <v>1199</v>
      </c>
      <c r="AD362" s="1500" t="s">
        <v>635</v>
      </c>
      <c r="AE362" s="1501"/>
      <c r="AF362" s="1502" t="s">
        <v>635</v>
      </c>
      <c r="AG362" s="1501"/>
      <c r="AH362" s="1502">
        <v>0.01</v>
      </c>
      <c r="AI362" s="1503" t="s">
        <v>1893</v>
      </c>
      <c r="AJ362" s="1502" t="s">
        <v>635</v>
      </c>
      <c r="AK362" s="1501"/>
      <c r="AL362" s="1503" t="s">
        <v>1127</v>
      </c>
      <c r="AM362" s="1501"/>
      <c r="AN362" s="1504">
        <v>1</v>
      </c>
      <c r="AO362" s="1504" t="s">
        <v>635</v>
      </c>
      <c r="AP362" s="1506" t="s">
        <v>635</v>
      </c>
    </row>
    <row r="363" spans="1:42" ht="30">
      <c r="A363" s="1507" t="s">
        <v>2547</v>
      </c>
      <c r="B363" s="1508" t="s">
        <v>2548</v>
      </c>
      <c r="C363" s="1509">
        <v>95.531999999999996</v>
      </c>
      <c r="D363" s="1510" t="s">
        <v>1883</v>
      </c>
      <c r="E363" s="1511">
        <v>8.8716271464000001E-17</v>
      </c>
      <c r="F363" s="1511">
        <v>2.17E-18</v>
      </c>
      <c r="G363" s="1512" t="s">
        <v>1883</v>
      </c>
      <c r="H363" s="1511">
        <v>1.7600000000000001E-6</v>
      </c>
      <c r="I363" s="1512" t="s">
        <v>1883</v>
      </c>
      <c r="J363" s="1513">
        <v>182.3</v>
      </c>
      <c r="K363" s="1514" t="s">
        <v>1883</v>
      </c>
      <c r="L363" s="1515">
        <v>1.3540000000000001</v>
      </c>
      <c r="M363" s="1516" t="s">
        <v>1884</v>
      </c>
      <c r="N363" s="1517">
        <v>9.1556098213670001E-2</v>
      </c>
      <c r="O363" s="1517">
        <v>1.180738293E-5</v>
      </c>
      <c r="P363" s="1518" t="s">
        <v>1885</v>
      </c>
      <c r="Q363" s="1519" t="s">
        <v>635</v>
      </c>
      <c r="R363" s="1520"/>
      <c r="S363" s="1519" t="s">
        <v>635</v>
      </c>
      <c r="T363" s="1520"/>
      <c r="U363" s="1519">
        <v>-3.56</v>
      </c>
      <c r="V363" s="1521" t="s">
        <v>1883</v>
      </c>
      <c r="W363" s="1522">
        <v>1000000</v>
      </c>
      <c r="X363" s="1523" t="s">
        <v>1883</v>
      </c>
      <c r="Y363" s="1524">
        <v>1.4510700944299999E-7</v>
      </c>
      <c r="Z363" s="1524">
        <v>0.360435824244</v>
      </c>
      <c r="AA363" s="1524">
        <v>0.86504597818560003</v>
      </c>
      <c r="AB363" s="1524">
        <v>3.8600000000000002E-8</v>
      </c>
      <c r="AC363" s="1525" t="s">
        <v>1199</v>
      </c>
      <c r="AD363" s="1526" t="s">
        <v>635</v>
      </c>
      <c r="AE363" s="1527"/>
      <c r="AF363" s="1528" t="s">
        <v>635</v>
      </c>
      <c r="AG363" s="1527"/>
      <c r="AH363" s="1528">
        <v>0.02</v>
      </c>
      <c r="AI363" s="1529" t="s">
        <v>1909</v>
      </c>
      <c r="AJ363" s="1528" t="s">
        <v>635</v>
      </c>
      <c r="AK363" s="1527"/>
      <c r="AL363" s="1527"/>
      <c r="AM363" s="1527"/>
      <c r="AN363" s="1530">
        <v>1</v>
      </c>
      <c r="AO363" s="1531">
        <v>0.1</v>
      </c>
      <c r="AP363" s="1532" t="s">
        <v>635</v>
      </c>
    </row>
    <row r="364" spans="1:42" ht="30">
      <c r="A364" s="1481" t="s">
        <v>2549</v>
      </c>
      <c r="B364" s="1482" t="s">
        <v>2550</v>
      </c>
      <c r="C364" s="1483">
        <v>122.11</v>
      </c>
      <c r="D364" s="1484" t="s">
        <v>1883</v>
      </c>
      <c r="E364" s="1485">
        <v>3.6631234669E-17</v>
      </c>
      <c r="F364" s="1485">
        <v>8.9600000000000009E-19</v>
      </c>
      <c r="G364" s="1486" t="s">
        <v>1883</v>
      </c>
      <c r="H364" s="1485">
        <v>1.2499999999999999E-7</v>
      </c>
      <c r="I364" s="1486" t="s">
        <v>1883</v>
      </c>
      <c r="J364" s="1487">
        <v>214</v>
      </c>
      <c r="K364" s="1488" t="s">
        <v>1883</v>
      </c>
      <c r="L364" s="1489" t="s">
        <v>635</v>
      </c>
      <c r="M364" s="1533"/>
      <c r="N364" s="1491">
        <v>7.7194456433120007E-2</v>
      </c>
      <c r="O364" s="1491">
        <v>9.0195628042899997E-6</v>
      </c>
      <c r="P364" s="1492" t="s">
        <v>1885</v>
      </c>
      <c r="Q364" s="1493" t="s">
        <v>635</v>
      </c>
      <c r="R364" s="1494"/>
      <c r="S364" s="1493">
        <v>22.79</v>
      </c>
      <c r="T364" s="1493" t="s">
        <v>1199</v>
      </c>
      <c r="U364" s="1493">
        <v>-8.35</v>
      </c>
      <c r="V364" s="1495" t="s">
        <v>1883</v>
      </c>
      <c r="W364" s="1496">
        <v>1000000</v>
      </c>
      <c r="X364" s="1497" t="s">
        <v>1883</v>
      </c>
      <c r="Y364" s="1498">
        <v>1.12628458875E-7</v>
      </c>
      <c r="Z364" s="1498">
        <v>0.50776732403783997</v>
      </c>
      <c r="AA364" s="1498">
        <v>1.2186415776908099</v>
      </c>
      <c r="AB364" s="1498">
        <v>2.6499999999999999E-8</v>
      </c>
      <c r="AC364" s="1499" t="s">
        <v>1199</v>
      </c>
      <c r="AD364" s="1500" t="s">
        <v>635</v>
      </c>
      <c r="AE364" s="1501"/>
      <c r="AF364" s="1502" t="s">
        <v>635</v>
      </c>
      <c r="AG364" s="1501"/>
      <c r="AH364" s="1502">
        <v>0.03</v>
      </c>
      <c r="AI364" s="1503" t="s">
        <v>1893</v>
      </c>
      <c r="AJ364" s="1502" t="s">
        <v>635</v>
      </c>
      <c r="AK364" s="1501"/>
      <c r="AL364" s="1501"/>
      <c r="AM364" s="1501"/>
      <c r="AN364" s="1504">
        <v>1</v>
      </c>
      <c r="AO364" s="1505">
        <v>0.1</v>
      </c>
      <c r="AP364" s="1506" t="s">
        <v>635</v>
      </c>
    </row>
    <row r="365" spans="1:42" ht="30">
      <c r="A365" s="1481" t="s">
        <v>2551</v>
      </c>
      <c r="B365" s="1482" t="s">
        <v>2552</v>
      </c>
      <c r="C365" s="1483">
        <v>375.73</v>
      </c>
      <c r="D365" s="1484" t="s">
        <v>1883</v>
      </c>
      <c r="E365" s="1485">
        <v>1.304170074E-5</v>
      </c>
      <c r="F365" s="1485">
        <v>3.1899999999999998E-7</v>
      </c>
      <c r="G365" s="1486" t="s">
        <v>1199</v>
      </c>
      <c r="H365" s="1485">
        <v>6.0000000000000002E-6</v>
      </c>
      <c r="I365" s="1486" t="s">
        <v>1883</v>
      </c>
      <c r="J365" s="1487">
        <v>56</v>
      </c>
      <c r="K365" s="1488" t="s">
        <v>1883</v>
      </c>
      <c r="L365" s="1489" t="s">
        <v>635</v>
      </c>
      <c r="M365" s="1533"/>
      <c r="N365" s="1491">
        <v>3.6489649009790001E-2</v>
      </c>
      <c r="O365" s="1491">
        <v>4.2635274106200002E-6</v>
      </c>
      <c r="P365" s="1492" t="s">
        <v>1885</v>
      </c>
      <c r="Q365" s="1493" t="s">
        <v>635</v>
      </c>
      <c r="R365" s="1494"/>
      <c r="S365" s="1493">
        <v>5454</v>
      </c>
      <c r="T365" s="1493" t="s">
        <v>1199</v>
      </c>
      <c r="U365" s="1493">
        <v>4.07</v>
      </c>
      <c r="V365" s="1495" t="s">
        <v>1883</v>
      </c>
      <c r="W365" s="1496">
        <v>9.3000000000000007</v>
      </c>
      <c r="X365" s="1497" t="s">
        <v>1883</v>
      </c>
      <c r="Y365" s="1498">
        <v>4.4731744813750002E-2</v>
      </c>
      <c r="Z365" s="1498">
        <v>13.3640086976453</v>
      </c>
      <c r="AA365" s="1498">
        <v>32.073620874348599</v>
      </c>
      <c r="AB365" s="1498">
        <v>6.0000000000000001E-3</v>
      </c>
      <c r="AC365" s="1499" t="s">
        <v>1199</v>
      </c>
      <c r="AD365" s="1500" t="s">
        <v>635</v>
      </c>
      <c r="AE365" s="1501"/>
      <c r="AF365" s="1502" t="s">
        <v>635</v>
      </c>
      <c r="AG365" s="1501"/>
      <c r="AH365" s="1502">
        <v>5.0000000000000002E-5</v>
      </c>
      <c r="AI365" s="1503" t="s">
        <v>1119</v>
      </c>
      <c r="AJ365" s="1502" t="s">
        <v>635</v>
      </c>
      <c r="AK365" s="1501"/>
      <c r="AL365" s="1501"/>
      <c r="AM365" s="1501"/>
      <c r="AN365" s="1504">
        <v>1</v>
      </c>
      <c r="AO365" s="1505">
        <v>0.1</v>
      </c>
      <c r="AP365" s="1506" t="s">
        <v>635</v>
      </c>
    </row>
    <row r="366" spans="1:42" ht="30">
      <c r="A366" s="1507" t="s">
        <v>200</v>
      </c>
      <c r="B366" s="1508" t="s">
        <v>199</v>
      </c>
      <c r="C366" s="1509">
        <v>373.32</v>
      </c>
      <c r="D366" s="1510" t="s">
        <v>1883</v>
      </c>
      <c r="E366" s="1511">
        <v>1.201962387572E-2</v>
      </c>
      <c r="F366" s="1511">
        <v>2.9399999999999999E-4</v>
      </c>
      <c r="G366" s="1512" t="s">
        <v>1883</v>
      </c>
      <c r="H366" s="1511">
        <v>4.0000000000000002E-4</v>
      </c>
      <c r="I366" s="1512" t="s">
        <v>1883</v>
      </c>
      <c r="J366" s="1513">
        <v>95.5</v>
      </c>
      <c r="K366" s="1514" t="s">
        <v>1883</v>
      </c>
      <c r="L366" s="1515">
        <v>1.57</v>
      </c>
      <c r="M366" s="1516" t="s">
        <v>1884</v>
      </c>
      <c r="N366" s="1517">
        <v>2.2344145812679999E-2</v>
      </c>
      <c r="O366" s="1517">
        <v>5.6959059373100003E-6</v>
      </c>
      <c r="P366" s="1518" t="s">
        <v>1885</v>
      </c>
      <c r="Q366" s="1519" t="s">
        <v>635</v>
      </c>
      <c r="R366" s="1520"/>
      <c r="S366" s="1519">
        <v>41260</v>
      </c>
      <c r="T366" s="1519" t="s">
        <v>1199</v>
      </c>
      <c r="U366" s="1519">
        <v>6.1</v>
      </c>
      <c r="V366" s="1521" t="s">
        <v>1883</v>
      </c>
      <c r="W366" s="1522">
        <v>0.18</v>
      </c>
      <c r="X366" s="1523" t="s">
        <v>1883</v>
      </c>
      <c r="Y366" s="1524">
        <v>1.06268198441491</v>
      </c>
      <c r="Z366" s="1524">
        <v>12.9550994026929</v>
      </c>
      <c r="AA366" s="1524">
        <v>50.142248344350897</v>
      </c>
      <c r="AB366" s="1524">
        <v>0.14299999999999999</v>
      </c>
      <c r="AC366" s="1525" t="s">
        <v>1199</v>
      </c>
      <c r="AD366" s="1526">
        <v>4.5</v>
      </c>
      <c r="AE366" s="1529" t="s">
        <v>1119</v>
      </c>
      <c r="AF366" s="1528">
        <v>1.2999999999999999E-3</v>
      </c>
      <c r="AG366" s="1529" t="s">
        <v>1119</v>
      </c>
      <c r="AH366" s="1528">
        <v>1E-4</v>
      </c>
      <c r="AI366" s="1529" t="s">
        <v>1960</v>
      </c>
      <c r="AJ366" s="1528" t="s">
        <v>635</v>
      </c>
      <c r="AK366" s="1527"/>
      <c r="AL366" s="1529" t="s">
        <v>1127</v>
      </c>
      <c r="AM366" s="1527"/>
      <c r="AN366" s="1530">
        <v>1</v>
      </c>
      <c r="AO366" s="1530" t="s">
        <v>635</v>
      </c>
      <c r="AP366" s="1532" t="s">
        <v>635</v>
      </c>
    </row>
    <row r="367" spans="1:42" ht="30">
      <c r="A367" s="1481" t="s">
        <v>202</v>
      </c>
      <c r="B367" s="1482" t="s">
        <v>2553</v>
      </c>
      <c r="C367" s="1483">
        <v>389.32</v>
      </c>
      <c r="D367" s="1484" t="s">
        <v>1883</v>
      </c>
      <c r="E367" s="1485">
        <v>8.5854456255E-4</v>
      </c>
      <c r="F367" s="1485">
        <v>2.0999999999999999E-5</v>
      </c>
      <c r="G367" s="1486" t="s">
        <v>1883</v>
      </c>
      <c r="H367" s="1485">
        <v>1.95E-5</v>
      </c>
      <c r="I367" s="1486" t="s">
        <v>1883</v>
      </c>
      <c r="J367" s="1487">
        <v>160</v>
      </c>
      <c r="K367" s="1488" t="s">
        <v>1883</v>
      </c>
      <c r="L367" s="1489">
        <v>1.91</v>
      </c>
      <c r="M367" s="1490" t="s">
        <v>2050</v>
      </c>
      <c r="N367" s="1491">
        <v>2.4000609906139999E-2</v>
      </c>
      <c r="O367" s="1491">
        <v>6.2475215534999998E-6</v>
      </c>
      <c r="P367" s="1492" t="s">
        <v>1885</v>
      </c>
      <c r="Q367" s="1493" t="s">
        <v>635</v>
      </c>
      <c r="R367" s="1494"/>
      <c r="S367" s="1493">
        <v>10110</v>
      </c>
      <c r="T367" s="1493" t="s">
        <v>1199</v>
      </c>
      <c r="U367" s="1493">
        <v>4.9800000000000004</v>
      </c>
      <c r="V367" s="1495" t="s">
        <v>1883</v>
      </c>
      <c r="W367" s="1496">
        <v>0.2</v>
      </c>
      <c r="X367" s="1497" t="s">
        <v>1883</v>
      </c>
      <c r="Y367" s="1498">
        <v>0.15860844068214</v>
      </c>
      <c r="Z367" s="1498">
        <v>15.9235813014401</v>
      </c>
      <c r="AA367" s="1498">
        <v>38.216595123456102</v>
      </c>
      <c r="AB367" s="1498">
        <v>2.0899999999999998E-2</v>
      </c>
      <c r="AC367" s="1499" t="s">
        <v>1199</v>
      </c>
      <c r="AD367" s="1500">
        <v>9.1</v>
      </c>
      <c r="AE367" s="1503" t="s">
        <v>1119</v>
      </c>
      <c r="AF367" s="1502">
        <v>2.5999999999999999E-3</v>
      </c>
      <c r="AG367" s="1503" t="s">
        <v>1119</v>
      </c>
      <c r="AH367" s="1502">
        <v>1.2999999999999999E-5</v>
      </c>
      <c r="AI367" s="1503" t="s">
        <v>1119</v>
      </c>
      <c r="AJ367" s="1502" t="s">
        <v>635</v>
      </c>
      <c r="AK367" s="1501"/>
      <c r="AL367" s="1503" t="s">
        <v>1127</v>
      </c>
      <c r="AM367" s="1501"/>
      <c r="AN367" s="1504">
        <v>1</v>
      </c>
      <c r="AO367" s="1504" t="s">
        <v>635</v>
      </c>
      <c r="AP367" s="1506" t="s">
        <v>635</v>
      </c>
    </row>
    <row r="368" spans="1:42" ht="30">
      <c r="A368" s="1481" t="s">
        <v>2554</v>
      </c>
      <c r="B368" s="1482" t="s">
        <v>2555</v>
      </c>
      <c r="C368" s="1483">
        <v>114.19</v>
      </c>
      <c r="D368" s="1484" t="s">
        <v>1883</v>
      </c>
      <c r="E368" s="1485">
        <v>1.103843008994E-2</v>
      </c>
      <c r="F368" s="1485">
        <v>2.7E-4</v>
      </c>
      <c r="G368" s="1486" t="s">
        <v>1883</v>
      </c>
      <c r="H368" s="1485">
        <v>3.52</v>
      </c>
      <c r="I368" s="1486" t="s">
        <v>1883</v>
      </c>
      <c r="J368" s="1487">
        <v>-43.3</v>
      </c>
      <c r="K368" s="1488" t="s">
        <v>1883</v>
      </c>
      <c r="L368" s="1489">
        <v>0.81320000000000003</v>
      </c>
      <c r="M368" s="1490" t="s">
        <v>1884</v>
      </c>
      <c r="N368" s="1491">
        <v>6.1989266308299998E-2</v>
      </c>
      <c r="O368" s="1491">
        <v>7.8129195029399999E-6</v>
      </c>
      <c r="P368" s="1492" t="s">
        <v>1885</v>
      </c>
      <c r="Q368" s="1493" t="s">
        <v>635</v>
      </c>
      <c r="R368" s="1494"/>
      <c r="S368" s="1493">
        <v>10.85</v>
      </c>
      <c r="T368" s="1493" t="s">
        <v>1199</v>
      </c>
      <c r="U368" s="1493">
        <v>2.29</v>
      </c>
      <c r="V368" s="1495" t="s">
        <v>1883</v>
      </c>
      <c r="W368" s="1496">
        <v>1250</v>
      </c>
      <c r="X368" s="1497" t="s">
        <v>1883</v>
      </c>
      <c r="Y368" s="1498">
        <v>4.8908872363389998E-2</v>
      </c>
      <c r="Z368" s="1498">
        <v>0.45847192844727003</v>
      </c>
      <c r="AA368" s="1498">
        <v>1.10033262827345</v>
      </c>
      <c r="AB368" s="1498">
        <v>1.1900000000000001E-2</v>
      </c>
      <c r="AC368" s="1499" t="s">
        <v>1199</v>
      </c>
      <c r="AD368" s="1500" t="s">
        <v>635</v>
      </c>
      <c r="AE368" s="1501"/>
      <c r="AF368" s="1502" t="s">
        <v>635</v>
      </c>
      <c r="AG368" s="1501"/>
      <c r="AH368" s="1502" t="s">
        <v>635</v>
      </c>
      <c r="AI368" s="1501"/>
      <c r="AJ368" s="1502">
        <v>3.0000000000000001E-3</v>
      </c>
      <c r="AK368" s="1503" t="s">
        <v>1893</v>
      </c>
      <c r="AL368" s="1503" t="s">
        <v>1127</v>
      </c>
      <c r="AM368" s="1501"/>
      <c r="AN368" s="1504">
        <v>1</v>
      </c>
      <c r="AO368" s="1504" t="s">
        <v>635</v>
      </c>
      <c r="AP368" s="1506">
        <v>209</v>
      </c>
    </row>
    <row r="369" spans="1:42" ht="30">
      <c r="A369" s="1507" t="s">
        <v>2556</v>
      </c>
      <c r="B369" s="1508" t="s">
        <v>2557</v>
      </c>
      <c r="C369" s="1509">
        <v>100.21</v>
      </c>
      <c r="D369" s="1510" t="s">
        <v>1883</v>
      </c>
      <c r="E369" s="1511">
        <v>81.766148814390803</v>
      </c>
      <c r="F369" s="1511">
        <v>2</v>
      </c>
      <c r="G369" s="1512" t="s">
        <v>1199</v>
      </c>
      <c r="H369" s="1511">
        <v>46</v>
      </c>
      <c r="I369" s="1512" t="s">
        <v>1883</v>
      </c>
      <c r="J369" s="1513">
        <v>-90.6</v>
      </c>
      <c r="K369" s="1514" t="s">
        <v>1883</v>
      </c>
      <c r="L369" s="1515">
        <v>0.67949999999999999</v>
      </c>
      <c r="M369" s="1516" t="s">
        <v>1884</v>
      </c>
      <c r="N369" s="1517">
        <v>6.4921176930249999E-2</v>
      </c>
      <c r="O369" s="1517">
        <v>7.5864536868500001E-6</v>
      </c>
      <c r="P369" s="1518" t="s">
        <v>1885</v>
      </c>
      <c r="Q369" s="1519" t="s">
        <v>635</v>
      </c>
      <c r="R369" s="1520"/>
      <c r="S369" s="1519">
        <v>239.7</v>
      </c>
      <c r="T369" s="1519" t="s">
        <v>1199</v>
      </c>
      <c r="U369" s="1519">
        <v>4.66</v>
      </c>
      <c r="V369" s="1521" t="s">
        <v>1883</v>
      </c>
      <c r="W369" s="1522">
        <v>3.4</v>
      </c>
      <c r="X369" s="1523" t="s">
        <v>1883</v>
      </c>
      <c r="Y369" s="1524">
        <v>2.0675521318814001</v>
      </c>
      <c r="Z369" s="1524">
        <v>0.38284656039234</v>
      </c>
      <c r="AA369" s="1524">
        <v>1.56599986194773</v>
      </c>
      <c r="AB369" s="1524">
        <v>0.53700000000000003</v>
      </c>
      <c r="AC369" s="1525" t="s">
        <v>1199</v>
      </c>
      <c r="AD369" s="1526" t="s">
        <v>635</v>
      </c>
      <c r="AE369" s="1527"/>
      <c r="AF369" s="1528" t="s">
        <v>635</v>
      </c>
      <c r="AG369" s="1527"/>
      <c r="AH369" s="1528">
        <v>2.9999999999999997E-4</v>
      </c>
      <c r="AI369" s="1529" t="s">
        <v>1893</v>
      </c>
      <c r="AJ369" s="1528">
        <v>0.4</v>
      </c>
      <c r="AK369" s="1529" t="s">
        <v>1909</v>
      </c>
      <c r="AL369" s="1529" t="s">
        <v>1127</v>
      </c>
      <c r="AM369" s="1527"/>
      <c r="AN369" s="1530">
        <v>1</v>
      </c>
      <c r="AO369" s="1530" t="s">
        <v>635</v>
      </c>
      <c r="AP369" s="1532">
        <v>57.9</v>
      </c>
    </row>
    <row r="370" spans="1:42" ht="30">
      <c r="A370" s="1481" t="s">
        <v>2558</v>
      </c>
      <c r="B370" s="1482" t="s">
        <v>2559</v>
      </c>
      <c r="C370" s="1483">
        <v>551.49</v>
      </c>
      <c r="D370" s="1484" t="s">
        <v>1883</v>
      </c>
      <c r="E370" s="1485">
        <v>1.1488143908400001E-3</v>
      </c>
      <c r="F370" s="1485">
        <v>2.8099999999999999E-5</v>
      </c>
      <c r="G370" s="1486" t="s">
        <v>1883</v>
      </c>
      <c r="H370" s="1485">
        <v>1.63E-8</v>
      </c>
      <c r="I370" s="1486" t="s">
        <v>1883</v>
      </c>
      <c r="J370" s="1487">
        <v>326</v>
      </c>
      <c r="K370" s="1488" t="s">
        <v>1883</v>
      </c>
      <c r="L370" s="1489">
        <v>2.956</v>
      </c>
      <c r="M370" s="1490" t="s">
        <v>2050</v>
      </c>
      <c r="N370" s="1491">
        <v>2.4756835792630001E-2</v>
      </c>
      <c r="O370" s="1491">
        <v>6.5882769047300003E-6</v>
      </c>
      <c r="P370" s="1492" t="s">
        <v>1885</v>
      </c>
      <c r="Q370" s="1493" t="s">
        <v>635</v>
      </c>
      <c r="R370" s="1494"/>
      <c r="S370" s="1493">
        <v>2807</v>
      </c>
      <c r="T370" s="1493" t="s">
        <v>1199</v>
      </c>
      <c r="U370" s="1493">
        <v>6.07</v>
      </c>
      <c r="V370" s="1495" t="s">
        <v>1883</v>
      </c>
      <c r="W370" s="1496">
        <v>1.6000000000000001E-4</v>
      </c>
      <c r="X370" s="1497" t="s">
        <v>1883</v>
      </c>
      <c r="Y370" s="1498">
        <v>0.12283846515122999</v>
      </c>
      <c r="Z370" s="1498">
        <v>128.88214325897201</v>
      </c>
      <c r="AA370" s="1498">
        <v>309.31714382153399</v>
      </c>
      <c r="AB370" s="1498">
        <v>1.3599999999999999E-2</v>
      </c>
      <c r="AC370" s="1499" t="s">
        <v>1199</v>
      </c>
      <c r="AD370" s="1500" t="s">
        <v>635</v>
      </c>
      <c r="AE370" s="1501"/>
      <c r="AF370" s="1502" t="s">
        <v>635</v>
      </c>
      <c r="AG370" s="1501"/>
      <c r="AH370" s="1502">
        <v>2E-3</v>
      </c>
      <c r="AI370" s="1503" t="s">
        <v>1119</v>
      </c>
      <c r="AJ370" s="1502" t="s">
        <v>635</v>
      </c>
      <c r="AK370" s="1501"/>
      <c r="AL370" s="1503" t="s">
        <v>1127</v>
      </c>
      <c r="AM370" s="1501"/>
      <c r="AN370" s="1504">
        <v>1</v>
      </c>
      <c r="AO370" s="1504" t="s">
        <v>635</v>
      </c>
      <c r="AP370" s="1506" t="s">
        <v>635</v>
      </c>
    </row>
    <row r="371" spans="1:42" ht="45">
      <c r="A371" s="1481" t="s">
        <v>2560</v>
      </c>
      <c r="B371" s="1482" t="s">
        <v>2561</v>
      </c>
      <c r="C371" s="1483">
        <v>643.58356000000003</v>
      </c>
      <c r="D371" s="1484" t="s">
        <v>1890</v>
      </c>
      <c r="E371" s="1485" t="s">
        <v>635</v>
      </c>
      <c r="F371" s="1485" t="s">
        <v>635</v>
      </c>
      <c r="G371" s="1536"/>
      <c r="H371" s="1485">
        <v>5.8000000000000004E-6</v>
      </c>
      <c r="I371" s="1486" t="s">
        <v>2258</v>
      </c>
      <c r="J371" s="1487" t="s">
        <v>635</v>
      </c>
      <c r="K371" s="1542"/>
      <c r="L371" s="1489" t="s">
        <v>635</v>
      </c>
      <c r="M371" s="1533"/>
      <c r="N371" s="1491">
        <v>2.5488853811400002E-2</v>
      </c>
      <c r="O371" s="1491">
        <v>2.97817134007E-6</v>
      </c>
      <c r="P371" s="1492" t="s">
        <v>1885</v>
      </c>
      <c r="Q371" s="1493" t="s">
        <v>635</v>
      </c>
      <c r="R371" s="1494"/>
      <c r="S371" s="1493" t="s">
        <v>635</v>
      </c>
      <c r="T371" s="1494"/>
      <c r="U371" s="1493" t="s">
        <v>635</v>
      </c>
      <c r="V371" s="1481"/>
      <c r="W371" s="1496">
        <v>8.9999999999999998E-4</v>
      </c>
      <c r="X371" s="1497" t="s">
        <v>2258</v>
      </c>
      <c r="Y371" s="1498" t="s">
        <v>635</v>
      </c>
      <c r="Z371" s="1498">
        <v>422.58753794750498</v>
      </c>
      <c r="AA371" s="1498">
        <v>1014.2100910740101</v>
      </c>
      <c r="AB371" s="1498" t="s">
        <v>635</v>
      </c>
      <c r="AC371" s="1547"/>
      <c r="AD371" s="1500" t="s">
        <v>635</v>
      </c>
      <c r="AE371" s="1501"/>
      <c r="AF371" s="1502" t="s">
        <v>635</v>
      </c>
      <c r="AG371" s="1501"/>
      <c r="AH371" s="1502">
        <v>2.0000000000000001E-4</v>
      </c>
      <c r="AI371" s="1503" t="s">
        <v>1119</v>
      </c>
      <c r="AJ371" s="1502" t="s">
        <v>635</v>
      </c>
      <c r="AK371" s="1501"/>
      <c r="AL371" s="1501"/>
      <c r="AM371" s="1501"/>
      <c r="AN371" s="1504">
        <v>1</v>
      </c>
      <c r="AO371" s="1505">
        <v>0.1</v>
      </c>
      <c r="AP371" s="1506" t="s">
        <v>635</v>
      </c>
    </row>
    <row r="372" spans="1:42" ht="30">
      <c r="A372" s="1507" t="s">
        <v>204</v>
      </c>
      <c r="B372" s="1508" t="s">
        <v>203</v>
      </c>
      <c r="C372" s="1509">
        <v>284.77999999999997</v>
      </c>
      <c r="D372" s="1510" t="s">
        <v>1883</v>
      </c>
      <c r="E372" s="1511">
        <v>6.9501226492230006E-2</v>
      </c>
      <c r="F372" s="1511">
        <v>1.6999999999999999E-3</v>
      </c>
      <c r="G372" s="1512" t="s">
        <v>1883</v>
      </c>
      <c r="H372" s="1511">
        <v>1.8E-5</v>
      </c>
      <c r="I372" s="1512" t="s">
        <v>1883</v>
      </c>
      <c r="J372" s="1513">
        <v>231.8</v>
      </c>
      <c r="K372" s="1514" t="s">
        <v>1883</v>
      </c>
      <c r="L372" s="1515">
        <v>2.044</v>
      </c>
      <c r="M372" s="1516" t="s">
        <v>1884</v>
      </c>
      <c r="N372" s="1517">
        <v>2.8974507367290001E-2</v>
      </c>
      <c r="O372" s="1517">
        <v>7.8497281212200001E-6</v>
      </c>
      <c r="P372" s="1518" t="s">
        <v>1885</v>
      </c>
      <c r="Q372" s="1519" t="s">
        <v>635</v>
      </c>
      <c r="R372" s="1520"/>
      <c r="S372" s="1519">
        <v>6195</v>
      </c>
      <c r="T372" s="1519" t="s">
        <v>1199</v>
      </c>
      <c r="U372" s="1519">
        <v>5.73</v>
      </c>
      <c r="V372" s="1521" t="s">
        <v>1883</v>
      </c>
      <c r="W372" s="1522">
        <v>6.1999999999999998E-3</v>
      </c>
      <c r="X372" s="1523" t="s">
        <v>1883</v>
      </c>
      <c r="Y372" s="1524">
        <v>1.6485993014692</v>
      </c>
      <c r="Z372" s="1524">
        <v>4.1363449507906704</v>
      </c>
      <c r="AA372" s="1524">
        <v>16.572823901394202</v>
      </c>
      <c r="AB372" s="1524">
        <v>0.254</v>
      </c>
      <c r="AC372" s="1525" t="s">
        <v>1199</v>
      </c>
      <c r="AD372" s="1526">
        <v>1.6</v>
      </c>
      <c r="AE372" s="1529" t="s">
        <v>1119</v>
      </c>
      <c r="AF372" s="1528">
        <v>4.6000000000000001E-4</v>
      </c>
      <c r="AG372" s="1529" t="s">
        <v>1119</v>
      </c>
      <c r="AH372" s="1528">
        <v>1.0000000000000001E-5</v>
      </c>
      <c r="AI372" s="1529" t="s">
        <v>1909</v>
      </c>
      <c r="AJ372" s="1528" t="s">
        <v>635</v>
      </c>
      <c r="AK372" s="1527"/>
      <c r="AL372" s="1529" t="s">
        <v>1127</v>
      </c>
      <c r="AM372" s="1527"/>
      <c r="AN372" s="1530">
        <v>1</v>
      </c>
      <c r="AO372" s="1530" t="s">
        <v>635</v>
      </c>
      <c r="AP372" s="1532" t="s">
        <v>635</v>
      </c>
    </row>
    <row r="373" spans="1:42" ht="30">
      <c r="A373" s="1481" t="s">
        <v>206</v>
      </c>
      <c r="B373" s="1482" t="s">
        <v>205</v>
      </c>
      <c r="C373" s="1483">
        <v>260.76</v>
      </c>
      <c r="D373" s="1484" t="s">
        <v>1883</v>
      </c>
      <c r="E373" s="1485">
        <v>0.42109566639411</v>
      </c>
      <c r="F373" s="1485">
        <v>1.03E-2</v>
      </c>
      <c r="G373" s="1486" t="s">
        <v>1883</v>
      </c>
      <c r="H373" s="1485">
        <v>0.22</v>
      </c>
      <c r="I373" s="1486" t="s">
        <v>1883</v>
      </c>
      <c r="J373" s="1487">
        <v>-21</v>
      </c>
      <c r="K373" s="1488" t="s">
        <v>1883</v>
      </c>
      <c r="L373" s="1489">
        <v>1.556</v>
      </c>
      <c r="M373" s="1490" t="s">
        <v>1884</v>
      </c>
      <c r="N373" s="1491">
        <v>2.674452464823E-2</v>
      </c>
      <c r="O373" s="1491">
        <v>7.0264011970200003E-6</v>
      </c>
      <c r="P373" s="1492" t="s">
        <v>1885</v>
      </c>
      <c r="Q373" s="1493" t="s">
        <v>635</v>
      </c>
      <c r="R373" s="1494"/>
      <c r="S373" s="1493">
        <v>845.2</v>
      </c>
      <c r="T373" s="1493" t="s">
        <v>1199</v>
      </c>
      <c r="U373" s="1493">
        <v>4.78</v>
      </c>
      <c r="V373" s="1495" t="s">
        <v>1883</v>
      </c>
      <c r="W373" s="1496">
        <v>3.2</v>
      </c>
      <c r="X373" s="1497" t="s">
        <v>1883</v>
      </c>
      <c r="Y373" s="1498">
        <v>0.50307432956283005</v>
      </c>
      <c r="Z373" s="1498">
        <v>3.0346230315459599</v>
      </c>
      <c r="AA373" s="1498">
        <v>7.28309527571031</v>
      </c>
      <c r="AB373" s="1498">
        <v>8.1000000000000003E-2</v>
      </c>
      <c r="AC373" s="1499" t="s">
        <v>1199</v>
      </c>
      <c r="AD373" s="1500">
        <v>7.8E-2</v>
      </c>
      <c r="AE373" s="1503" t="s">
        <v>1119</v>
      </c>
      <c r="AF373" s="1502">
        <v>2.1999999999999999E-5</v>
      </c>
      <c r="AG373" s="1503" t="s">
        <v>1119</v>
      </c>
      <c r="AH373" s="1502">
        <v>1E-3</v>
      </c>
      <c r="AI373" s="1503" t="s">
        <v>1909</v>
      </c>
      <c r="AJ373" s="1502" t="s">
        <v>635</v>
      </c>
      <c r="AK373" s="1501"/>
      <c r="AL373" s="1503" t="s">
        <v>1127</v>
      </c>
      <c r="AM373" s="1501"/>
      <c r="AN373" s="1504">
        <v>1</v>
      </c>
      <c r="AO373" s="1504" t="s">
        <v>635</v>
      </c>
      <c r="AP373" s="1506">
        <v>16.8</v>
      </c>
    </row>
    <row r="374" spans="1:42" ht="30">
      <c r="A374" s="1481" t="s">
        <v>2562</v>
      </c>
      <c r="B374" s="1482" t="s">
        <v>2563</v>
      </c>
      <c r="C374" s="1483">
        <v>290.83</v>
      </c>
      <c r="D374" s="1484" t="s">
        <v>1883</v>
      </c>
      <c r="E374" s="1485">
        <v>2.7391659853E-4</v>
      </c>
      <c r="F374" s="1485">
        <v>6.7000000000000002E-6</v>
      </c>
      <c r="G374" s="1486" t="s">
        <v>1883</v>
      </c>
      <c r="H374" s="1485">
        <v>3.5200000000000002E-5</v>
      </c>
      <c r="I374" s="1486" t="s">
        <v>1199</v>
      </c>
      <c r="J374" s="1487">
        <v>159.5</v>
      </c>
      <c r="K374" s="1488" t="s">
        <v>1883</v>
      </c>
      <c r="L374" s="1489" t="s">
        <v>635</v>
      </c>
      <c r="M374" s="1533"/>
      <c r="N374" s="1491">
        <v>4.3284007679819998E-2</v>
      </c>
      <c r="O374" s="1491">
        <v>5.0573945815400002E-6</v>
      </c>
      <c r="P374" s="1492" t="s">
        <v>1885</v>
      </c>
      <c r="Q374" s="1493" t="s">
        <v>635</v>
      </c>
      <c r="R374" s="1494"/>
      <c r="S374" s="1493">
        <v>2807</v>
      </c>
      <c r="T374" s="1493" t="s">
        <v>1199</v>
      </c>
      <c r="U374" s="1493">
        <v>3.8</v>
      </c>
      <c r="V374" s="1495" t="s">
        <v>1883</v>
      </c>
      <c r="W374" s="1496">
        <v>2</v>
      </c>
      <c r="X374" s="1497" t="s">
        <v>1883</v>
      </c>
      <c r="Y374" s="1498">
        <v>0.13511808269875999</v>
      </c>
      <c r="Z374" s="1498">
        <v>4.4719480484289003</v>
      </c>
      <c r="AA374" s="1498">
        <v>10.7326753162294</v>
      </c>
      <c r="AB374" s="1498">
        <v>2.06E-2</v>
      </c>
      <c r="AC374" s="1499" t="s">
        <v>1199</v>
      </c>
      <c r="AD374" s="1500">
        <v>6.3</v>
      </c>
      <c r="AE374" s="1503" t="s">
        <v>1119</v>
      </c>
      <c r="AF374" s="1502">
        <v>1.8E-3</v>
      </c>
      <c r="AG374" s="1503" t="s">
        <v>1119</v>
      </c>
      <c r="AH374" s="1502">
        <v>8.9999999999999998E-4</v>
      </c>
      <c r="AI374" s="1503" t="s">
        <v>1960</v>
      </c>
      <c r="AJ374" s="1502" t="s">
        <v>635</v>
      </c>
      <c r="AK374" s="1501"/>
      <c r="AL374" s="1501"/>
      <c r="AM374" s="1501"/>
      <c r="AN374" s="1504">
        <v>1</v>
      </c>
      <c r="AO374" s="1505">
        <v>0.1</v>
      </c>
      <c r="AP374" s="1506" t="s">
        <v>635</v>
      </c>
    </row>
    <row r="375" spans="1:42" ht="30">
      <c r="A375" s="1507" t="s">
        <v>2564</v>
      </c>
      <c r="B375" s="1508" t="s">
        <v>2565</v>
      </c>
      <c r="C375" s="1509">
        <v>290.83</v>
      </c>
      <c r="D375" s="1510" t="s">
        <v>1883</v>
      </c>
      <c r="E375" s="1511">
        <v>1.7988552739999998E-5</v>
      </c>
      <c r="F375" s="1511">
        <v>4.4000000000000002E-7</v>
      </c>
      <c r="G375" s="1512" t="s">
        <v>1883</v>
      </c>
      <c r="H375" s="1511">
        <v>3.5999999999999999E-7</v>
      </c>
      <c r="I375" s="1512" t="s">
        <v>1883</v>
      </c>
      <c r="J375" s="1513">
        <v>112.5</v>
      </c>
      <c r="K375" s="1514" t="s">
        <v>1883</v>
      </c>
      <c r="L375" s="1515">
        <v>1.89</v>
      </c>
      <c r="M375" s="1516" t="s">
        <v>1884</v>
      </c>
      <c r="N375" s="1517">
        <v>2.7667217305949999E-2</v>
      </c>
      <c r="O375" s="1517">
        <v>7.3954623781499997E-6</v>
      </c>
      <c r="P375" s="1518" t="s">
        <v>1885</v>
      </c>
      <c r="Q375" s="1519" t="s">
        <v>635</v>
      </c>
      <c r="R375" s="1520"/>
      <c r="S375" s="1519">
        <v>2807</v>
      </c>
      <c r="T375" s="1519" t="s">
        <v>1199</v>
      </c>
      <c r="U375" s="1519">
        <v>3.78</v>
      </c>
      <c r="V375" s="1521" t="s">
        <v>1883</v>
      </c>
      <c r="W375" s="1522">
        <v>0.24</v>
      </c>
      <c r="X375" s="1523" t="s">
        <v>1883</v>
      </c>
      <c r="Y375" s="1524">
        <v>0.13511808269875999</v>
      </c>
      <c r="Z375" s="1524">
        <v>4.4719480484289003</v>
      </c>
      <c r="AA375" s="1524">
        <v>10.7326753162294</v>
      </c>
      <c r="AB375" s="1524">
        <v>2.06E-2</v>
      </c>
      <c r="AC375" s="1525" t="s">
        <v>1199</v>
      </c>
      <c r="AD375" s="1526">
        <v>1.8</v>
      </c>
      <c r="AE375" s="1529" t="s">
        <v>1119</v>
      </c>
      <c r="AF375" s="1528">
        <v>5.2999999999999998E-4</v>
      </c>
      <c r="AG375" s="1529" t="s">
        <v>1119</v>
      </c>
      <c r="AH375" s="1528" t="s">
        <v>635</v>
      </c>
      <c r="AI375" s="1527"/>
      <c r="AJ375" s="1528" t="s">
        <v>635</v>
      </c>
      <c r="AK375" s="1527"/>
      <c r="AL375" s="1527"/>
      <c r="AM375" s="1527"/>
      <c r="AN375" s="1530">
        <v>1</v>
      </c>
      <c r="AO375" s="1531">
        <v>0.1</v>
      </c>
      <c r="AP375" s="1532" t="s">
        <v>635</v>
      </c>
    </row>
    <row r="376" spans="1:42" ht="30">
      <c r="A376" s="1481" t="s">
        <v>2566</v>
      </c>
      <c r="B376" s="1482" t="s">
        <v>2567</v>
      </c>
      <c r="C376" s="1483">
        <v>290.83</v>
      </c>
      <c r="D376" s="1484" t="s">
        <v>1883</v>
      </c>
      <c r="E376" s="1485">
        <v>2.1013900245E-4</v>
      </c>
      <c r="F376" s="1485">
        <v>5.1399999999999999E-6</v>
      </c>
      <c r="G376" s="1486" t="s">
        <v>1199</v>
      </c>
      <c r="H376" s="1485">
        <v>3.5200000000000002E-5</v>
      </c>
      <c r="I376" s="1486" t="s">
        <v>1883</v>
      </c>
      <c r="J376" s="1487">
        <v>141.5</v>
      </c>
      <c r="K376" s="1488" t="s">
        <v>1883</v>
      </c>
      <c r="L376" s="1489" t="s">
        <v>635</v>
      </c>
      <c r="M376" s="1533"/>
      <c r="N376" s="1491">
        <v>4.3284007679819998E-2</v>
      </c>
      <c r="O376" s="1491">
        <v>5.0573945815400002E-6</v>
      </c>
      <c r="P376" s="1492" t="s">
        <v>1885</v>
      </c>
      <c r="Q376" s="1493" t="s">
        <v>635</v>
      </c>
      <c r="R376" s="1494"/>
      <c r="S376" s="1493">
        <v>2807</v>
      </c>
      <c r="T376" s="1493" t="s">
        <v>1199</v>
      </c>
      <c r="U376" s="1493">
        <v>4.1399999999999997</v>
      </c>
      <c r="V376" s="1495" t="s">
        <v>1883</v>
      </c>
      <c r="W376" s="1496">
        <v>31.4</v>
      </c>
      <c r="X376" s="1497" t="s">
        <v>1883</v>
      </c>
      <c r="Y376" s="1498">
        <v>0.13511808269875999</v>
      </c>
      <c r="Z376" s="1498">
        <v>4.4719480484289003</v>
      </c>
      <c r="AA376" s="1498">
        <v>10.7326753162294</v>
      </c>
      <c r="AB376" s="1498">
        <v>2.06E-2</v>
      </c>
      <c r="AC376" s="1499" t="s">
        <v>1199</v>
      </c>
      <c r="AD376" s="1500" t="s">
        <v>635</v>
      </c>
      <c r="AE376" s="1501"/>
      <c r="AF376" s="1502" t="s">
        <v>635</v>
      </c>
      <c r="AG376" s="1501"/>
      <c r="AH376" s="1502">
        <v>5.9999999999999995E-8</v>
      </c>
      <c r="AI376" s="1503" t="s">
        <v>1893</v>
      </c>
      <c r="AJ376" s="1502" t="s">
        <v>635</v>
      </c>
      <c r="AK376" s="1501"/>
      <c r="AL376" s="1501"/>
      <c r="AM376" s="1501"/>
      <c r="AN376" s="1504">
        <v>1</v>
      </c>
      <c r="AO376" s="1505">
        <v>0.1</v>
      </c>
      <c r="AP376" s="1506" t="s">
        <v>635</v>
      </c>
    </row>
    <row r="377" spans="1:42" ht="30">
      <c r="A377" s="1481" t="s">
        <v>208</v>
      </c>
      <c r="B377" s="1482" t="s">
        <v>2568</v>
      </c>
      <c r="C377" s="1483">
        <v>290.83</v>
      </c>
      <c r="D377" s="1484" t="s">
        <v>1883</v>
      </c>
      <c r="E377" s="1485">
        <v>2.1013900245E-4</v>
      </c>
      <c r="F377" s="1485">
        <v>5.1399999999999999E-6</v>
      </c>
      <c r="G377" s="1486" t="s">
        <v>1883</v>
      </c>
      <c r="H377" s="1485">
        <v>4.1999999999999998E-5</v>
      </c>
      <c r="I377" s="1486" t="s">
        <v>1883</v>
      </c>
      <c r="J377" s="1487">
        <v>112.5</v>
      </c>
      <c r="K377" s="1488" t="s">
        <v>1883</v>
      </c>
      <c r="L377" s="1489" t="s">
        <v>635</v>
      </c>
      <c r="M377" s="1533"/>
      <c r="N377" s="1491">
        <v>4.3284007679819998E-2</v>
      </c>
      <c r="O377" s="1491">
        <v>5.0573945815400002E-6</v>
      </c>
      <c r="P377" s="1492" t="s">
        <v>1885</v>
      </c>
      <c r="Q377" s="1493" t="s">
        <v>635</v>
      </c>
      <c r="R377" s="1494"/>
      <c r="S377" s="1493">
        <v>2807</v>
      </c>
      <c r="T377" s="1493" t="s">
        <v>1199</v>
      </c>
      <c r="U377" s="1493">
        <v>3.72</v>
      </c>
      <c r="V377" s="1495" t="s">
        <v>1883</v>
      </c>
      <c r="W377" s="1496">
        <v>7.3</v>
      </c>
      <c r="X377" s="1497" t="s">
        <v>1883</v>
      </c>
      <c r="Y377" s="1498">
        <v>0.13511808269875999</v>
      </c>
      <c r="Z377" s="1498">
        <v>4.4719480484289003</v>
      </c>
      <c r="AA377" s="1498">
        <v>10.7326753162294</v>
      </c>
      <c r="AB377" s="1498">
        <v>2.06E-2</v>
      </c>
      <c r="AC377" s="1499" t="s">
        <v>1199</v>
      </c>
      <c r="AD377" s="1500">
        <v>1.1000000000000001</v>
      </c>
      <c r="AE377" s="1503" t="s">
        <v>1900</v>
      </c>
      <c r="AF377" s="1502">
        <v>3.1E-4</v>
      </c>
      <c r="AG377" s="1503" t="s">
        <v>1900</v>
      </c>
      <c r="AH377" s="1502">
        <v>7.9999999999999996E-7</v>
      </c>
      <c r="AI377" s="1503" t="s">
        <v>1960</v>
      </c>
      <c r="AJ377" s="1502" t="s">
        <v>635</v>
      </c>
      <c r="AK377" s="1501"/>
      <c r="AL377" s="1501"/>
      <c r="AM377" s="1501"/>
      <c r="AN377" s="1504">
        <v>1</v>
      </c>
      <c r="AO377" s="1539">
        <v>0.04</v>
      </c>
      <c r="AP377" s="1506" t="s">
        <v>635</v>
      </c>
    </row>
    <row r="378" spans="1:42" ht="30">
      <c r="A378" s="1507" t="s">
        <v>2569</v>
      </c>
      <c r="B378" s="1508" t="s">
        <v>2570</v>
      </c>
      <c r="C378" s="1509">
        <v>290.83</v>
      </c>
      <c r="D378" s="1510" t="s">
        <v>1883</v>
      </c>
      <c r="E378" s="1511">
        <v>2.1013900245E-4</v>
      </c>
      <c r="F378" s="1511">
        <v>5.1399999999999999E-6</v>
      </c>
      <c r="G378" s="1512" t="s">
        <v>1199</v>
      </c>
      <c r="H378" s="1511">
        <v>3.5200000000000002E-5</v>
      </c>
      <c r="I378" s="1512" t="s">
        <v>1199</v>
      </c>
      <c r="J378" s="1513">
        <v>112.5</v>
      </c>
      <c r="K378" s="1514" t="s">
        <v>1199</v>
      </c>
      <c r="L378" s="1515" t="s">
        <v>635</v>
      </c>
      <c r="M378" s="1538"/>
      <c r="N378" s="1517">
        <v>4.3284007679819998E-2</v>
      </c>
      <c r="O378" s="1517">
        <v>5.0573945815400002E-6</v>
      </c>
      <c r="P378" s="1518" t="s">
        <v>1885</v>
      </c>
      <c r="Q378" s="1519" t="s">
        <v>635</v>
      </c>
      <c r="R378" s="1520"/>
      <c r="S378" s="1519">
        <v>2807</v>
      </c>
      <c r="T378" s="1519" t="s">
        <v>1199</v>
      </c>
      <c r="U378" s="1519">
        <v>4.1399999999999997</v>
      </c>
      <c r="V378" s="1521" t="s">
        <v>1199</v>
      </c>
      <c r="W378" s="1522">
        <v>8</v>
      </c>
      <c r="X378" s="1523" t="s">
        <v>1883</v>
      </c>
      <c r="Y378" s="1524">
        <v>0.13511808269875999</v>
      </c>
      <c r="Z378" s="1524">
        <v>4.4719480484289003</v>
      </c>
      <c r="AA378" s="1524">
        <v>10.7326753162294</v>
      </c>
      <c r="AB378" s="1524">
        <v>2.06E-2</v>
      </c>
      <c r="AC378" s="1525" t="s">
        <v>1199</v>
      </c>
      <c r="AD378" s="1526">
        <v>1.8</v>
      </c>
      <c r="AE378" s="1529" t="s">
        <v>1119</v>
      </c>
      <c r="AF378" s="1528">
        <v>5.1000000000000004E-4</v>
      </c>
      <c r="AG378" s="1529" t="s">
        <v>1119</v>
      </c>
      <c r="AH378" s="1528" t="s">
        <v>635</v>
      </c>
      <c r="AI378" s="1527"/>
      <c r="AJ378" s="1528" t="s">
        <v>635</v>
      </c>
      <c r="AK378" s="1527"/>
      <c r="AL378" s="1527"/>
      <c r="AM378" s="1527"/>
      <c r="AN378" s="1530">
        <v>1</v>
      </c>
      <c r="AO378" s="1531">
        <v>0.1</v>
      </c>
      <c r="AP378" s="1532" t="s">
        <v>635</v>
      </c>
    </row>
    <row r="379" spans="1:42" ht="30">
      <c r="A379" s="1481" t="s">
        <v>2571</v>
      </c>
      <c r="B379" s="1482" t="s">
        <v>2572</v>
      </c>
      <c r="C379" s="1483">
        <v>272.77</v>
      </c>
      <c r="D379" s="1484" t="s">
        <v>1883</v>
      </c>
      <c r="E379" s="1485">
        <v>1.1038430089942799</v>
      </c>
      <c r="F379" s="1485">
        <v>2.7E-2</v>
      </c>
      <c r="G379" s="1486" t="s">
        <v>1883</v>
      </c>
      <c r="H379" s="1485">
        <v>0.06</v>
      </c>
      <c r="I379" s="1486" t="s">
        <v>1883</v>
      </c>
      <c r="J379" s="1487">
        <v>-9</v>
      </c>
      <c r="K379" s="1488" t="s">
        <v>1883</v>
      </c>
      <c r="L379" s="1489">
        <v>1.7019</v>
      </c>
      <c r="M379" s="1490" t="s">
        <v>1884</v>
      </c>
      <c r="N379" s="1491">
        <v>2.7238182724500001E-2</v>
      </c>
      <c r="O379" s="1491">
        <v>7.2169589045999997E-6</v>
      </c>
      <c r="P379" s="1492" t="s">
        <v>1885</v>
      </c>
      <c r="Q379" s="1493" t="s">
        <v>635</v>
      </c>
      <c r="R379" s="1494"/>
      <c r="S379" s="1493">
        <v>1404</v>
      </c>
      <c r="T379" s="1493" t="s">
        <v>1199</v>
      </c>
      <c r="U379" s="1493">
        <v>5.04</v>
      </c>
      <c r="V379" s="1495" t="s">
        <v>1883</v>
      </c>
      <c r="W379" s="1496">
        <v>1.8</v>
      </c>
      <c r="X379" s="1497" t="s">
        <v>1883</v>
      </c>
      <c r="Y379" s="1498">
        <v>0.65427779078521997</v>
      </c>
      <c r="Z379" s="1498">
        <v>3.54291513503897</v>
      </c>
      <c r="AA379" s="1498">
        <v>13.931294722020301</v>
      </c>
      <c r="AB379" s="1498">
        <v>0.10299999999999999</v>
      </c>
      <c r="AC379" s="1499" t="s">
        <v>1199</v>
      </c>
      <c r="AD379" s="1500" t="s">
        <v>635</v>
      </c>
      <c r="AE379" s="1501"/>
      <c r="AF379" s="1502" t="s">
        <v>635</v>
      </c>
      <c r="AG379" s="1501"/>
      <c r="AH379" s="1502">
        <v>6.0000000000000001E-3</v>
      </c>
      <c r="AI379" s="1503" t="s">
        <v>1119</v>
      </c>
      <c r="AJ379" s="1502">
        <v>2.0000000000000001E-4</v>
      </c>
      <c r="AK379" s="1503" t="s">
        <v>1119</v>
      </c>
      <c r="AL379" s="1503" t="s">
        <v>1127</v>
      </c>
      <c r="AM379" s="1501"/>
      <c r="AN379" s="1504">
        <v>1</v>
      </c>
      <c r="AO379" s="1504" t="s">
        <v>635</v>
      </c>
      <c r="AP379" s="1506">
        <v>15.7</v>
      </c>
    </row>
    <row r="380" spans="1:42" ht="30">
      <c r="A380" s="1481" t="s">
        <v>210</v>
      </c>
      <c r="B380" s="1482" t="s">
        <v>209</v>
      </c>
      <c r="C380" s="1483">
        <v>236.74</v>
      </c>
      <c r="D380" s="1484" t="s">
        <v>1883</v>
      </c>
      <c r="E380" s="1485">
        <v>0.15903515944398999</v>
      </c>
      <c r="F380" s="1485">
        <v>3.8899999999999998E-3</v>
      </c>
      <c r="G380" s="1486" t="s">
        <v>1883</v>
      </c>
      <c r="H380" s="1485">
        <v>0.21</v>
      </c>
      <c r="I380" s="1486" t="s">
        <v>1883</v>
      </c>
      <c r="J380" s="1487">
        <v>187</v>
      </c>
      <c r="K380" s="1488" t="s">
        <v>1883</v>
      </c>
      <c r="L380" s="1489">
        <v>2.0910000000000002</v>
      </c>
      <c r="M380" s="1490" t="s">
        <v>1884</v>
      </c>
      <c r="N380" s="1491">
        <v>3.2093777507060002E-2</v>
      </c>
      <c r="O380" s="1491">
        <v>8.89039803366E-6</v>
      </c>
      <c r="P380" s="1492" t="s">
        <v>1885</v>
      </c>
      <c r="Q380" s="1493" t="s">
        <v>635</v>
      </c>
      <c r="R380" s="1494"/>
      <c r="S380" s="1493">
        <v>196.8</v>
      </c>
      <c r="T380" s="1493" t="s">
        <v>1199</v>
      </c>
      <c r="U380" s="1493">
        <v>4.1399999999999997</v>
      </c>
      <c r="V380" s="1495" t="s">
        <v>1883</v>
      </c>
      <c r="W380" s="1496">
        <v>50</v>
      </c>
      <c r="X380" s="1497" t="s">
        <v>1883</v>
      </c>
      <c r="Y380" s="1498">
        <v>0.2455899385142</v>
      </c>
      <c r="Z380" s="1498">
        <v>2.2263464612227</v>
      </c>
      <c r="AA380" s="1498">
        <v>5.3432315069344902</v>
      </c>
      <c r="AB380" s="1498">
        <v>4.1500000000000002E-2</v>
      </c>
      <c r="AC380" s="1499" t="s">
        <v>1199</v>
      </c>
      <c r="AD380" s="1500">
        <v>0.04</v>
      </c>
      <c r="AE380" s="1503" t="s">
        <v>1119</v>
      </c>
      <c r="AF380" s="1502">
        <v>1.1E-5</v>
      </c>
      <c r="AG380" s="1503" t="s">
        <v>1900</v>
      </c>
      <c r="AH380" s="1502">
        <v>6.9999999999999999E-4</v>
      </c>
      <c r="AI380" s="1503" t="s">
        <v>1119</v>
      </c>
      <c r="AJ380" s="1502">
        <v>0.03</v>
      </c>
      <c r="AK380" s="1503" t="s">
        <v>1119</v>
      </c>
      <c r="AL380" s="1503" t="s">
        <v>1127</v>
      </c>
      <c r="AM380" s="1501"/>
      <c r="AN380" s="1504">
        <v>1</v>
      </c>
      <c r="AO380" s="1504" t="s">
        <v>635</v>
      </c>
      <c r="AP380" s="1506" t="s">
        <v>635</v>
      </c>
    </row>
    <row r="381" spans="1:42" ht="30">
      <c r="A381" s="1507" t="s">
        <v>2573</v>
      </c>
      <c r="B381" s="1508" t="s">
        <v>2574</v>
      </c>
      <c r="C381" s="1509">
        <v>406.91</v>
      </c>
      <c r="D381" s="1510" t="s">
        <v>1883</v>
      </c>
      <c r="E381" s="1511">
        <v>2.2403924775E-11</v>
      </c>
      <c r="F381" s="1511">
        <v>5.4799999999999999E-13</v>
      </c>
      <c r="G381" s="1512" t="s">
        <v>1883</v>
      </c>
      <c r="H381" s="1511">
        <v>1.0300000000000001E-10</v>
      </c>
      <c r="I381" s="1512" t="s">
        <v>1883</v>
      </c>
      <c r="J381" s="1513">
        <v>166.5</v>
      </c>
      <c r="K381" s="1514" t="s">
        <v>1883</v>
      </c>
      <c r="L381" s="1515" t="s">
        <v>635</v>
      </c>
      <c r="M381" s="1538"/>
      <c r="N381" s="1517">
        <v>3.4600950218259999E-2</v>
      </c>
      <c r="O381" s="1517">
        <v>4.0428478676099998E-6</v>
      </c>
      <c r="P381" s="1518" t="s">
        <v>1885</v>
      </c>
      <c r="Q381" s="1519" t="s">
        <v>635</v>
      </c>
      <c r="R381" s="1520"/>
      <c r="S381" s="1519">
        <v>668600</v>
      </c>
      <c r="T381" s="1519" t="s">
        <v>1199</v>
      </c>
      <c r="U381" s="1519">
        <v>7.54</v>
      </c>
      <c r="V381" s="1521" t="s">
        <v>1883</v>
      </c>
      <c r="W381" s="1522">
        <v>140</v>
      </c>
      <c r="X381" s="1523" t="s">
        <v>1883</v>
      </c>
      <c r="Y381" s="1524">
        <v>6.4860771616398196</v>
      </c>
      <c r="Z381" s="1524">
        <v>19.977666073084698</v>
      </c>
      <c r="AA381" s="1524">
        <v>88.826751936589901</v>
      </c>
      <c r="AB381" s="1524">
        <v>0.83599999999999997</v>
      </c>
      <c r="AC381" s="1525" t="s">
        <v>1199</v>
      </c>
      <c r="AD381" s="1526" t="s">
        <v>635</v>
      </c>
      <c r="AE381" s="1527"/>
      <c r="AF381" s="1528" t="s">
        <v>635</v>
      </c>
      <c r="AG381" s="1527"/>
      <c r="AH381" s="1528">
        <v>2.9999999999999997E-4</v>
      </c>
      <c r="AI381" s="1529" t="s">
        <v>1119</v>
      </c>
      <c r="AJ381" s="1528" t="s">
        <v>635</v>
      </c>
      <c r="AK381" s="1527"/>
      <c r="AL381" s="1527"/>
      <c r="AM381" s="1527"/>
      <c r="AN381" s="1530">
        <v>1</v>
      </c>
      <c r="AO381" s="1531">
        <v>0.1</v>
      </c>
      <c r="AP381" s="1532" t="s">
        <v>635</v>
      </c>
    </row>
    <row r="382" spans="1:42" ht="30">
      <c r="A382" s="1481" t="s">
        <v>2575</v>
      </c>
      <c r="B382" s="1482" t="s">
        <v>2576</v>
      </c>
      <c r="C382" s="1483">
        <v>222.12</v>
      </c>
      <c r="D382" s="1484" t="s">
        <v>1883</v>
      </c>
      <c r="E382" s="1485">
        <v>8.2174979558000002E-10</v>
      </c>
      <c r="F382" s="1485">
        <v>2.01E-11</v>
      </c>
      <c r="G382" s="1486" t="s">
        <v>1199</v>
      </c>
      <c r="H382" s="1485">
        <v>4.1000000000000003E-9</v>
      </c>
      <c r="I382" s="1486" t="s">
        <v>1199</v>
      </c>
      <c r="J382" s="1487">
        <v>205.5</v>
      </c>
      <c r="K382" s="1488" t="s">
        <v>1883</v>
      </c>
      <c r="L382" s="1489">
        <v>1.82</v>
      </c>
      <c r="M382" s="1490" t="s">
        <v>1884</v>
      </c>
      <c r="N382" s="1491">
        <v>3.1154050632899999E-2</v>
      </c>
      <c r="O382" s="1491">
        <v>8.4988860314999992E-6</v>
      </c>
      <c r="P382" s="1492" t="s">
        <v>1885</v>
      </c>
      <c r="Q382" s="1493" t="s">
        <v>635</v>
      </c>
      <c r="R382" s="1494"/>
      <c r="S382" s="1493">
        <v>89.07</v>
      </c>
      <c r="T382" s="1493" t="s">
        <v>1199</v>
      </c>
      <c r="U382" s="1493">
        <v>0.87</v>
      </c>
      <c r="V382" s="1495" t="s">
        <v>1883</v>
      </c>
      <c r="W382" s="1496">
        <v>59.7</v>
      </c>
      <c r="X382" s="1497" t="s">
        <v>1883</v>
      </c>
      <c r="Y382" s="1498">
        <v>1.9260154287899999E-3</v>
      </c>
      <c r="Z382" s="1498">
        <v>1.8438294597037499</v>
      </c>
      <c r="AA382" s="1498">
        <v>4.4251907032890001</v>
      </c>
      <c r="AB382" s="1498">
        <v>3.3599999999999998E-4</v>
      </c>
      <c r="AC382" s="1499" t="s">
        <v>1199</v>
      </c>
      <c r="AD382" s="1500">
        <v>0.08</v>
      </c>
      <c r="AE382" s="1503" t="s">
        <v>1119</v>
      </c>
      <c r="AF382" s="1502" t="s">
        <v>635</v>
      </c>
      <c r="AG382" s="1501"/>
      <c r="AH382" s="1502">
        <v>4.0000000000000001E-3</v>
      </c>
      <c r="AI382" s="1503" t="s">
        <v>1119</v>
      </c>
      <c r="AJ382" s="1502" t="s">
        <v>635</v>
      </c>
      <c r="AK382" s="1501"/>
      <c r="AL382" s="1501"/>
      <c r="AM382" s="1501"/>
      <c r="AN382" s="1504">
        <v>1</v>
      </c>
      <c r="AO382" s="1545">
        <v>1.4999999999999999E-2</v>
      </c>
      <c r="AP382" s="1506" t="s">
        <v>635</v>
      </c>
    </row>
    <row r="383" spans="1:42" ht="30">
      <c r="A383" s="1481" t="s">
        <v>2577</v>
      </c>
      <c r="B383" s="1482" t="s">
        <v>2578</v>
      </c>
      <c r="C383" s="1483">
        <v>168.2</v>
      </c>
      <c r="D383" s="1484" t="s">
        <v>1883</v>
      </c>
      <c r="E383" s="1485">
        <v>1.9623875715499999E-3</v>
      </c>
      <c r="F383" s="1485">
        <v>4.8000000000000001E-5</v>
      </c>
      <c r="G383" s="1486" t="s">
        <v>1883</v>
      </c>
      <c r="H383" s="1485">
        <v>0.03</v>
      </c>
      <c r="I383" s="1486" t="s">
        <v>1883</v>
      </c>
      <c r="J383" s="1487">
        <v>-67</v>
      </c>
      <c r="K383" s="1488" t="s">
        <v>1883</v>
      </c>
      <c r="L383" s="1489">
        <v>1.0528</v>
      </c>
      <c r="M383" s="1490" t="s">
        <v>1884</v>
      </c>
      <c r="N383" s="1491">
        <v>4.0425453426679997E-2</v>
      </c>
      <c r="O383" s="1491">
        <v>7.2307559303799996E-6</v>
      </c>
      <c r="P383" s="1492" t="s">
        <v>1885</v>
      </c>
      <c r="Q383" s="1493" t="s">
        <v>635</v>
      </c>
      <c r="R383" s="1494"/>
      <c r="S383" s="1493">
        <v>4818</v>
      </c>
      <c r="T383" s="1493" t="s">
        <v>1199</v>
      </c>
      <c r="U383" s="1493">
        <v>3.2</v>
      </c>
      <c r="V383" s="1495" t="s">
        <v>1883</v>
      </c>
      <c r="W383" s="1496">
        <v>117</v>
      </c>
      <c r="X383" s="1497" t="s">
        <v>1883</v>
      </c>
      <c r="Y383" s="1498">
        <v>0.11821919391812</v>
      </c>
      <c r="Z383" s="1498">
        <v>0.91995958704036995</v>
      </c>
      <c r="AA383" s="1498">
        <v>2.2079030088968801</v>
      </c>
      <c r="AB383" s="1498">
        <v>2.3699999999999999E-2</v>
      </c>
      <c r="AC383" s="1499" t="s">
        <v>1199</v>
      </c>
      <c r="AD383" s="1500" t="s">
        <v>635</v>
      </c>
      <c r="AE383" s="1501"/>
      <c r="AF383" s="1502" t="s">
        <v>635</v>
      </c>
      <c r="AG383" s="1501"/>
      <c r="AH383" s="1502" t="s">
        <v>635</v>
      </c>
      <c r="AI383" s="1501"/>
      <c r="AJ383" s="1502">
        <v>1.0000000000000001E-5</v>
      </c>
      <c r="AK383" s="1503" t="s">
        <v>1119</v>
      </c>
      <c r="AL383" s="1503" t="s">
        <v>1127</v>
      </c>
      <c r="AM383" s="1501"/>
      <c r="AN383" s="1504">
        <v>1</v>
      </c>
      <c r="AO383" s="1504" t="s">
        <v>635</v>
      </c>
      <c r="AP383" s="1506">
        <v>3390</v>
      </c>
    </row>
    <row r="384" spans="1:42" ht="30">
      <c r="A384" s="1507" t="s">
        <v>2579</v>
      </c>
      <c r="B384" s="1508" t="s">
        <v>2580</v>
      </c>
      <c r="C384" s="1509">
        <v>478.6</v>
      </c>
      <c r="D384" s="1510" t="s">
        <v>1199</v>
      </c>
      <c r="E384" s="1511">
        <v>1.2199999999999999E-14</v>
      </c>
      <c r="F384" s="1511">
        <v>2.9800000000000001E-16</v>
      </c>
      <c r="G384" s="1512" t="s">
        <v>1199</v>
      </c>
      <c r="H384" s="1511">
        <v>2.5199999999999999E-15</v>
      </c>
      <c r="I384" s="1512" t="s">
        <v>1199</v>
      </c>
      <c r="J384" s="1513">
        <v>287.02</v>
      </c>
      <c r="K384" s="1514" t="s">
        <v>1199</v>
      </c>
      <c r="L384" s="1515">
        <v>1.1633</v>
      </c>
      <c r="M384" s="1516" t="s">
        <v>2006</v>
      </c>
      <c r="N384" s="1517">
        <v>1.6947636358999998E-2</v>
      </c>
      <c r="O384" s="1517">
        <v>4.0992385460299997E-6</v>
      </c>
      <c r="P384" s="1518" t="s">
        <v>1885</v>
      </c>
      <c r="Q384" s="1519" t="s">
        <v>635</v>
      </c>
      <c r="R384" s="1520"/>
      <c r="S384" s="1519">
        <v>4393000</v>
      </c>
      <c r="T384" s="1519" t="s">
        <v>1199</v>
      </c>
      <c r="U384" s="1519">
        <v>7.5795000000000003</v>
      </c>
      <c r="V384" s="1521" t="s">
        <v>1199</v>
      </c>
      <c r="W384" s="1522">
        <v>6.8920999999999996E-7</v>
      </c>
      <c r="X384" s="1523" t="s">
        <v>1199</v>
      </c>
      <c r="Y384" s="1524">
        <v>2.9617995489309101</v>
      </c>
      <c r="Z384" s="1524">
        <v>50.351075278402597</v>
      </c>
      <c r="AA384" s="1524">
        <v>212.510556981658</v>
      </c>
      <c r="AB384" s="1524">
        <v>0.35199999999999998</v>
      </c>
      <c r="AC384" s="1525" t="s">
        <v>1199</v>
      </c>
      <c r="AD384" s="1526" t="s">
        <v>635</v>
      </c>
      <c r="AE384" s="1527"/>
      <c r="AF384" s="1528" t="s">
        <v>635</v>
      </c>
      <c r="AG384" s="1527"/>
      <c r="AH384" s="1528" t="s">
        <v>635</v>
      </c>
      <c r="AI384" s="1527"/>
      <c r="AJ384" s="1528">
        <v>4.0000000000000002E-4</v>
      </c>
      <c r="AK384" s="1529" t="s">
        <v>1900</v>
      </c>
      <c r="AL384" s="1527"/>
      <c r="AM384" s="1527"/>
      <c r="AN384" s="1530">
        <v>1</v>
      </c>
      <c r="AO384" s="1531">
        <v>0.1</v>
      </c>
      <c r="AP384" s="1532" t="s">
        <v>635</v>
      </c>
    </row>
    <row r="385" spans="1:42" ht="45">
      <c r="A385" s="1481" t="s">
        <v>2581</v>
      </c>
      <c r="B385" s="1482" t="s">
        <v>2582</v>
      </c>
      <c r="C385" s="1483">
        <v>504.59</v>
      </c>
      <c r="D385" s="1484" t="s">
        <v>1199</v>
      </c>
      <c r="E385" s="1485">
        <v>5.2599999999999997E-16</v>
      </c>
      <c r="F385" s="1485">
        <v>1.2900000000000001E-17</v>
      </c>
      <c r="G385" s="1486" t="s">
        <v>1199</v>
      </c>
      <c r="H385" s="1485">
        <v>9.7499999999999994E-17</v>
      </c>
      <c r="I385" s="1486" t="s">
        <v>1199</v>
      </c>
      <c r="J385" s="1487">
        <v>307.27</v>
      </c>
      <c r="K385" s="1488" t="s">
        <v>1199</v>
      </c>
      <c r="L385" s="1489" t="s">
        <v>635</v>
      </c>
      <c r="M385" s="1533"/>
      <c r="N385" s="1491">
        <v>2.9977437626709999E-2</v>
      </c>
      <c r="O385" s="1491">
        <v>3.5026269227000001E-6</v>
      </c>
      <c r="P385" s="1492" t="s">
        <v>1885</v>
      </c>
      <c r="Q385" s="1493" t="s">
        <v>635</v>
      </c>
      <c r="R385" s="1494"/>
      <c r="S385" s="1493">
        <v>13110000</v>
      </c>
      <c r="T385" s="1493" t="s">
        <v>1199</v>
      </c>
      <c r="U385" s="1493">
        <v>9.8140000000000001</v>
      </c>
      <c r="V385" s="1495" t="s">
        <v>1199</v>
      </c>
      <c r="W385" s="1496">
        <v>5.0459000000000005E-7</v>
      </c>
      <c r="X385" s="1497" t="s">
        <v>1199</v>
      </c>
      <c r="Y385" s="1498">
        <v>66.352484888567503</v>
      </c>
      <c r="Z385" s="1498">
        <v>70.396772700219799</v>
      </c>
      <c r="AA385" s="1498">
        <v>329.62586865766099</v>
      </c>
      <c r="AB385" s="1498">
        <v>7.68</v>
      </c>
      <c r="AC385" s="1499" t="s">
        <v>1199</v>
      </c>
      <c r="AD385" s="1500" t="s">
        <v>635</v>
      </c>
      <c r="AE385" s="1501"/>
      <c r="AF385" s="1502" t="s">
        <v>635</v>
      </c>
      <c r="AG385" s="1501"/>
      <c r="AH385" s="1502" t="s">
        <v>635</v>
      </c>
      <c r="AI385" s="1501"/>
      <c r="AJ385" s="1502">
        <v>4.0000000000000002E-4</v>
      </c>
      <c r="AK385" s="1503" t="s">
        <v>1900</v>
      </c>
      <c r="AL385" s="1501"/>
      <c r="AM385" s="1501"/>
      <c r="AN385" s="1504">
        <v>1</v>
      </c>
      <c r="AO385" s="1505">
        <v>0.1</v>
      </c>
      <c r="AP385" s="1506" t="s">
        <v>635</v>
      </c>
    </row>
    <row r="386" spans="1:42" ht="30">
      <c r="A386" s="1481" t="s">
        <v>2583</v>
      </c>
      <c r="B386" s="1482" t="s">
        <v>2584</v>
      </c>
      <c r="C386" s="1483">
        <v>179.2</v>
      </c>
      <c r="D386" s="1484" t="s">
        <v>1883</v>
      </c>
      <c r="E386" s="1485">
        <v>8.1766148814400002E-7</v>
      </c>
      <c r="F386" s="1485">
        <v>2E-8</v>
      </c>
      <c r="G386" s="1486" t="s">
        <v>1883</v>
      </c>
      <c r="H386" s="1485">
        <v>4.5999999999999999E-2</v>
      </c>
      <c r="I386" s="1486" t="s">
        <v>1883</v>
      </c>
      <c r="J386" s="1487">
        <v>7.2</v>
      </c>
      <c r="K386" s="1488" t="s">
        <v>1883</v>
      </c>
      <c r="L386" s="1489">
        <v>1.03</v>
      </c>
      <c r="M386" s="1490" t="s">
        <v>1884</v>
      </c>
      <c r="N386" s="1491">
        <v>3.483682704827E-2</v>
      </c>
      <c r="O386" s="1491">
        <v>6.8702304219299998E-6</v>
      </c>
      <c r="P386" s="1492" t="s">
        <v>1885</v>
      </c>
      <c r="Q386" s="1493" t="s">
        <v>635</v>
      </c>
      <c r="R386" s="1494"/>
      <c r="S386" s="1493">
        <v>10</v>
      </c>
      <c r="T386" s="1493" t="s">
        <v>1199</v>
      </c>
      <c r="U386" s="1493">
        <v>0.28000000000000003</v>
      </c>
      <c r="V386" s="1495" t="s">
        <v>1883</v>
      </c>
      <c r="W386" s="1496">
        <v>1000000</v>
      </c>
      <c r="X386" s="1497" t="s">
        <v>1883</v>
      </c>
      <c r="Y386" s="1498">
        <v>1.22023646947E-3</v>
      </c>
      <c r="Z386" s="1498">
        <v>1.06015349547732</v>
      </c>
      <c r="AA386" s="1498">
        <v>2.5443683891455602</v>
      </c>
      <c r="AB386" s="1498">
        <v>2.3699999999999999E-4</v>
      </c>
      <c r="AC386" s="1499" t="s">
        <v>1199</v>
      </c>
      <c r="AD386" s="1500" t="s">
        <v>635</v>
      </c>
      <c r="AE386" s="1501"/>
      <c r="AF386" s="1502" t="s">
        <v>635</v>
      </c>
      <c r="AG386" s="1501"/>
      <c r="AH386" s="1502">
        <v>4.0000000000000002E-4</v>
      </c>
      <c r="AI386" s="1503" t="s">
        <v>1909</v>
      </c>
      <c r="AJ386" s="1502" t="s">
        <v>635</v>
      </c>
      <c r="AK386" s="1501"/>
      <c r="AL386" s="1501"/>
      <c r="AM386" s="1501"/>
      <c r="AN386" s="1504">
        <v>1</v>
      </c>
      <c r="AO386" s="1505">
        <v>0.1</v>
      </c>
      <c r="AP386" s="1506" t="s">
        <v>635</v>
      </c>
    </row>
    <row r="387" spans="1:42" ht="30">
      <c r="A387" s="1507" t="s">
        <v>2585</v>
      </c>
      <c r="B387" s="1508" t="s">
        <v>2586</v>
      </c>
      <c r="C387" s="1509">
        <v>86.177999999999997</v>
      </c>
      <c r="D387" s="1510" t="s">
        <v>1883</v>
      </c>
      <c r="E387" s="1511">
        <v>73.589533932951795</v>
      </c>
      <c r="F387" s="1511">
        <v>1.8</v>
      </c>
      <c r="G387" s="1512" t="s">
        <v>1199</v>
      </c>
      <c r="H387" s="1511">
        <v>151.30000000000001</v>
      </c>
      <c r="I387" s="1512" t="s">
        <v>1883</v>
      </c>
      <c r="J387" s="1513">
        <v>-95.3</v>
      </c>
      <c r="K387" s="1514" t="s">
        <v>1883</v>
      </c>
      <c r="L387" s="1515">
        <v>0.66059999999999997</v>
      </c>
      <c r="M387" s="1516" t="s">
        <v>1884</v>
      </c>
      <c r="N387" s="1517">
        <v>7.3107790633359995E-2</v>
      </c>
      <c r="O387" s="1517">
        <v>8.1657685595900006E-6</v>
      </c>
      <c r="P387" s="1518" t="s">
        <v>1885</v>
      </c>
      <c r="Q387" s="1519" t="s">
        <v>635</v>
      </c>
      <c r="R387" s="1520"/>
      <c r="S387" s="1519">
        <v>131.5</v>
      </c>
      <c r="T387" s="1519" t="s">
        <v>1199</v>
      </c>
      <c r="U387" s="1519">
        <v>3.9</v>
      </c>
      <c r="V387" s="1521" t="s">
        <v>1883</v>
      </c>
      <c r="W387" s="1522">
        <v>9.5</v>
      </c>
      <c r="X387" s="1523" t="s">
        <v>1883</v>
      </c>
      <c r="Y387" s="1524">
        <v>0.71766359267313995</v>
      </c>
      <c r="Z387" s="1524">
        <v>0.31948137846739</v>
      </c>
      <c r="AA387" s="1524">
        <v>1.2376933948698701</v>
      </c>
      <c r="AB387" s="1524">
        <v>0.20100000000000001</v>
      </c>
      <c r="AC387" s="1525" t="s">
        <v>1199</v>
      </c>
      <c r="AD387" s="1526" t="s">
        <v>635</v>
      </c>
      <c r="AE387" s="1527"/>
      <c r="AF387" s="1528">
        <v>1.9999999999999999E-7</v>
      </c>
      <c r="AG387" s="1529" t="s">
        <v>1893</v>
      </c>
      <c r="AH387" s="1528" t="s">
        <v>635</v>
      </c>
      <c r="AI387" s="1527"/>
      <c r="AJ387" s="1528">
        <v>0.6</v>
      </c>
      <c r="AK387" s="1529" t="s">
        <v>1909</v>
      </c>
      <c r="AL387" s="1529" t="s">
        <v>1127</v>
      </c>
      <c r="AM387" s="1527"/>
      <c r="AN387" s="1530">
        <v>1</v>
      </c>
      <c r="AO387" s="1530" t="s">
        <v>635</v>
      </c>
      <c r="AP387" s="1532">
        <v>141</v>
      </c>
    </row>
    <row r="388" spans="1:42" ht="30">
      <c r="A388" s="1481" t="s">
        <v>2587</v>
      </c>
      <c r="B388" s="1482" t="s">
        <v>2588</v>
      </c>
      <c r="C388" s="1483">
        <v>86.177999999999997</v>
      </c>
      <c r="D388" s="1484" t="s">
        <v>1883</v>
      </c>
      <c r="E388" s="1485">
        <v>73.589533932951795</v>
      </c>
      <c r="F388" s="1485">
        <v>1.8</v>
      </c>
      <c r="G388" s="1486" t="s">
        <v>1199</v>
      </c>
      <c r="H388" s="1485">
        <v>151.30000000000001</v>
      </c>
      <c r="I388" s="1486" t="s">
        <v>1883</v>
      </c>
      <c r="J388" s="1487">
        <v>-95.3</v>
      </c>
      <c r="K388" s="1488" t="s">
        <v>1883</v>
      </c>
      <c r="L388" s="1489">
        <v>0.66059999999999997</v>
      </c>
      <c r="M388" s="1490" t="s">
        <v>1884</v>
      </c>
      <c r="N388" s="1491">
        <v>7.3107790633359995E-2</v>
      </c>
      <c r="O388" s="1491">
        <v>8.1657685595900006E-6</v>
      </c>
      <c r="P388" s="1492" t="s">
        <v>1885</v>
      </c>
      <c r="Q388" s="1493" t="s">
        <v>635</v>
      </c>
      <c r="R388" s="1494"/>
      <c r="S388" s="1493">
        <v>131.5</v>
      </c>
      <c r="T388" s="1493" t="s">
        <v>1199</v>
      </c>
      <c r="U388" s="1493">
        <v>3.9</v>
      </c>
      <c r="V388" s="1495" t="s">
        <v>1883</v>
      </c>
      <c r="W388" s="1496">
        <v>9.5</v>
      </c>
      <c r="X388" s="1497" t="s">
        <v>1883</v>
      </c>
      <c r="Y388" s="1498">
        <v>0.71766359267313995</v>
      </c>
      <c r="Z388" s="1498">
        <v>0.31948137846739</v>
      </c>
      <c r="AA388" s="1498">
        <v>1.2376933948698701</v>
      </c>
      <c r="AB388" s="1498">
        <v>0.20100000000000001</v>
      </c>
      <c r="AC388" s="1499" t="s">
        <v>1199</v>
      </c>
      <c r="AD388" s="1500" t="s">
        <v>635</v>
      </c>
      <c r="AE388" s="1501"/>
      <c r="AF388" s="1502" t="s">
        <v>635</v>
      </c>
      <c r="AG388" s="1501"/>
      <c r="AH388" s="1502" t="s">
        <v>635</v>
      </c>
      <c r="AI388" s="1501"/>
      <c r="AJ388" s="1502">
        <v>0.7</v>
      </c>
      <c r="AK388" s="1503" t="s">
        <v>1119</v>
      </c>
      <c r="AL388" s="1503" t="s">
        <v>1127</v>
      </c>
      <c r="AM388" s="1501"/>
      <c r="AN388" s="1504">
        <v>1</v>
      </c>
      <c r="AO388" s="1504" t="s">
        <v>635</v>
      </c>
      <c r="AP388" s="1506">
        <v>141</v>
      </c>
    </row>
    <row r="389" spans="1:42" ht="30">
      <c r="A389" s="1481" t="s">
        <v>2589</v>
      </c>
      <c r="B389" s="1482" t="s">
        <v>2590</v>
      </c>
      <c r="C389" s="1483">
        <v>146.13999999999999</v>
      </c>
      <c r="D389" s="1484" t="s">
        <v>1883</v>
      </c>
      <c r="E389" s="1485">
        <v>1.9255928046E-10</v>
      </c>
      <c r="F389" s="1485">
        <v>4.7099999999999999E-12</v>
      </c>
      <c r="G389" s="1486" t="s">
        <v>1199</v>
      </c>
      <c r="H389" s="1485">
        <v>3.1800000000000002E-7</v>
      </c>
      <c r="I389" s="1486" t="s">
        <v>1199</v>
      </c>
      <c r="J389" s="1487">
        <v>153.19999999999999</v>
      </c>
      <c r="K389" s="1488" t="s">
        <v>1883</v>
      </c>
      <c r="L389" s="1489">
        <v>1.36</v>
      </c>
      <c r="M389" s="1490" t="s">
        <v>1884</v>
      </c>
      <c r="N389" s="1491">
        <v>5.7681867550990001E-2</v>
      </c>
      <c r="O389" s="1491">
        <v>9.1734702059500005E-6</v>
      </c>
      <c r="P389" s="1492" t="s">
        <v>1885</v>
      </c>
      <c r="Q389" s="1493" t="s">
        <v>635</v>
      </c>
      <c r="R389" s="1494"/>
      <c r="S389" s="1493">
        <v>24.34</v>
      </c>
      <c r="T389" s="1493" t="s">
        <v>1199</v>
      </c>
      <c r="U389" s="1493">
        <v>0.08</v>
      </c>
      <c r="V389" s="1495" t="s">
        <v>1883</v>
      </c>
      <c r="W389" s="1496">
        <v>30800</v>
      </c>
      <c r="X389" s="1497" t="s">
        <v>1883</v>
      </c>
      <c r="Y389" s="1498">
        <v>1.24608020675E-3</v>
      </c>
      <c r="Z389" s="1498">
        <v>0.69220184035379995</v>
      </c>
      <c r="AA389" s="1498">
        <v>1.6612844168491301</v>
      </c>
      <c r="AB389" s="1498">
        <v>2.6800000000000001E-4</v>
      </c>
      <c r="AC389" s="1499" t="s">
        <v>1199</v>
      </c>
      <c r="AD389" s="1500" t="s">
        <v>635</v>
      </c>
      <c r="AE389" s="1501"/>
      <c r="AF389" s="1502" t="s">
        <v>635</v>
      </c>
      <c r="AG389" s="1501"/>
      <c r="AH389" s="1502">
        <v>2</v>
      </c>
      <c r="AI389" s="1503" t="s">
        <v>1909</v>
      </c>
      <c r="AJ389" s="1502" t="s">
        <v>635</v>
      </c>
      <c r="AK389" s="1501"/>
      <c r="AL389" s="1501"/>
      <c r="AM389" s="1501"/>
      <c r="AN389" s="1504">
        <v>1</v>
      </c>
      <c r="AO389" s="1505">
        <v>0.1</v>
      </c>
      <c r="AP389" s="1506" t="s">
        <v>635</v>
      </c>
    </row>
    <row r="390" spans="1:42" ht="30">
      <c r="A390" s="1507" t="s">
        <v>2591</v>
      </c>
      <c r="B390" s="1508" t="s">
        <v>2592</v>
      </c>
      <c r="C390" s="1509">
        <v>130.22999999999999</v>
      </c>
      <c r="D390" s="1510" t="s">
        <v>1883</v>
      </c>
      <c r="E390" s="1511">
        <v>1.0834009999999999E-3</v>
      </c>
      <c r="F390" s="1511">
        <v>2.65E-5</v>
      </c>
      <c r="G390" s="1512" t="s">
        <v>1199</v>
      </c>
      <c r="H390" s="1511">
        <v>0.13600000000000001</v>
      </c>
      <c r="I390" s="1512" t="s">
        <v>1883</v>
      </c>
      <c r="J390" s="1513">
        <v>-70</v>
      </c>
      <c r="K390" s="1514" t="s">
        <v>1883</v>
      </c>
      <c r="L390" s="1515">
        <v>0.83189999999999997</v>
      </c>
      <c r="M390" s="1516" t="s">
        <v>1884</v>
      </c>
      <c r="N390" s="1517">
        <v>5.3987808256729997E-2</v>
      </c>
      <c r="O390" s="1517">
        <v>7.3196079775400002E-6</v>
      </c>
      <c r="P390" s="1518" t="s">
        <v>1885</v>
      </c>
      <c r="Q390" s="1519" t="s">
        <v>635</v>
      </c>
      <c r="R390" s="1520"/>
      <c r="S390" s="1519">
        <v>35.28</v>
      </c>
      <c r="T390" s="1519" t="s">
        <v>1199</v>
      </c>
      <c r="U390" s="1519">
        <v>2.73</v>
      </c>
      <c r="V390" s="1521" t="s">
        <v>1883</v>
      </c>
      <c r="W390" s="1522">
        <v>880</v>
      </c>
      <c r="X390" s="1523" t="s">
        <v>1883</v>
      </c>
      <c r="Y390" s="1524">
        <v>8.3394185868599993E-2</v>
      </c>
      <c r="Z390" s="1524">
        <v>0.56381516065880999</v>
      </c>
      <c r="AA390" s="1524">
        <v>1.3531563855811399</v>
      </c>
      <c r="AB390" s="1524">
        <v>1.9E-2</v>
      </c>
      <c r="AC390" s="1525" t="s">
        <v>1199</v>
      </c>
      <c r="AD390" s="1526">
        <v>9.4999999999999998E-3</v>
      </c>
      <c r="AE390" s="1529" t="s">
        <v>1909</v>
      </c>
      <c r="AF390" s="1528" t="s">
        <v>635</v>
      </c>
      <c r="AG390" s="1527"/>
      <c r="AH390" s="1528">
        <v>7.0000000000000007E-2</v>
      </c>
      <c r="AI390" s="1529" t="s">
        <v>1909</v>
      </c>
      <c r="AJ390" s="1528">
        <v>4.0000000000000002E-4</v>
      </c>
      <c r="AK390" s="1529" t="s">
        <v>1909</v>
      </c>
      <c r="AL390" s="1529" t="s">
        <v>1127</v>
      </c>
      <c r="AM390" s="1527"/>
      <c r="AN390" s="1530">
        <v>1</v>
      </c>
      <c r="AO390" s="1530" t="s">
        <v>635</v>
      </c>
      <c r="AP390" s="1532">
        <v>274</v>
      </c>
    </row>
    <row r="391" spans="1:42" ht="30">
      <c r="A391" s="1481" t="s">
        <v>2593</v>
      </c>
      <c r="B391" s="1482" t="s">
        <v>2594</v>
      </c>
      <c r="C391" s="1483">
        <v>100.16</v>
      </c>
      <c r="D391" s="1484" t="s">
        <v>1883</v>
      </c>
      <c r="E391" s="1485">
        <v>3.8103025347500001E-3</v>
      </c>
      <c r="F391" s="1485">
        <v>9.3200000000000002E-5</v>
      </c>
      <c r="G391" s="1486" t="s">
        <v>1199</v>
      </c>
      <c r="H391" s="1485">
        <v>11.6</v>
      </c>
      <c r="I391" s="1486" t="s">
        <v>1883</v>
      </c>
      <c r="J391" s="1487">
        <v>-55.5</v>
      </c>
      <c r="K391" s="1488" t="s">
        <v>1883</v>
      </c>
      <c r="L391" s="1489">
        <v>0.81130000000000002</v>
      </c>
      <c r="M391" s="1490" t="s">
        <v>1884</v>
      </c>
      <c r="N391" s="1491">
        <v>7.0356352958099999E-2</v>
      </c>
      <c r="O391" s="1491">
        <v>8.4404201890599996E-6</v>
      </c>
      <c r="P391" s="1492" t="s">
        <v>1885</v>
      </c>
      <c r="Q391" s="1493" t="s">
        <v>635</v>
      </c>
      <c r="R391" s="1494"/>
      <c r="S391" s="1493">
        <v>14.98</v>
      </c>
      <c r="T391" s="1493" t="s">
        <v>1199</v>
      </c>
      <c r="U391" s="1493">
        <v>1.38</v>
      </c>
      <c r="V391" s="1495" t="s">
        <v>1883</v>
      </c>
      <c r="W391" s="1496">
        <v>17200</v>
      </c>
      <c r="X391" s="1497" t="s">
        <v>1883</v>
      </c>
      <c r="Y391" s="1498">
        <v>1.366476486503E-2</v>
      </c>
      <c r="Z391" s="1498">
        <v>0.38259980964473</v>
      </c>
      <c r="AA391" s="1498">
        <v>0.91823954314735001</v>
      </c>
      <c r="AB391" s="1498">
        <v>3.5500000000000002E-3</v>
      </c>
      <c r="AC391" s="1499" t="s">
        <v>1199</v>
      </c>
      <c r="AD391" s="1500" t="s">
        <v>635</v>
      </c>
      <c r="AE391" s="1501"/>
      <c r="AF391" s="1502" t="s">
        <v>635</v>
      </c>
      <c r="AG391" s="1501"/>
      <c r="AH391" s="1502">
        <v>5.0000000000000001E-3</v>
      </c>
      <c r="AI391" s="1503" t="s">
        <v>1119</v>
      </c>
      <c r="AJ391" s="1502">
        <v>0.03</v>
      </c>
      <c r="AK391" s="1503" t="s">
        <v>1119</v>
      </c>
      <c r="AL391" s="1503" t="s">
        <v>1127</v>
      </c>
      <c r="AM391" s="1501"/>
      <c r="AN391" s="1504">
        <v>1</v>
      </c>
      <c r="AO391" s="1504" t="s">
        <v>635</v>
      </c>
      <c r="AP391" s="1506">
        <v>3280</v>
      </c>
    </row>
    <row r="392" spans="1:42" ht="30">
      <c r="A392" s="1481" t="s">
        <v>2595</v>
      </c>
      <c r="B392" s="1482" t="s">
        <v>2596</v>
      </c>
      <c r="C392" s="1483">
        <v>252.32</v>
      </c>
      <c r="D392" s="1484" t="s">
        <v>1883</v>
      </c>
      <c r="E392" s="1485">
        <v>9.2395748159999995E-11</v>
      </c>
      <c r="F392" s="1485">
        <v>2.2600000000000001E-12</v>
      </c>
      <c r="G392" s="1486" t="s">
        <v>1199</v>
      </c>
      <c r="H392" s="1485">
        <v>2.2499999999999999E-7</v>
      </c>
      <c r="I392" s="1486" t="s">
        <v>1199</v>
      </c>
      <c r="J392" s="1487">
        <v>116</v>
      </c>
      <c r="K392" s="1488" t="s">
        <v>1883</v>
      </c>
      <c r="L392" s="1489">
        <v>1.25</v>
      </c>
      <c r="M392" s="1490" t="s">
        <v>1884</v>
      </c>
      <c r="N392" s="1491">
        <v>2.4566287263399999E-2</v>
      </c>
      <c r="O392" s="1491">
        <v>6.2841533404400002E-6</v>
      </c>
      <c r="P392" s="1492" t="s">
        <v>1885</v>
      </c>
      <c r="Q392" s="1493" t="s">
        <v>635</v>
      </c>
      <c r="R392" s="1494"/>
      <c r="S392" s="1493">
        <v>129.4</v>
      </c>
      <c r="T392" s="1493" t="s">
        <v>1199</v>
      </c>
      <c r="U392" s="1493">
        <v>1.85</v>
      </c>
      <c r="V392" s="1495" t="s">
        <v>1883</v>
      </c>
      <c r="W392" s="1496">
        <v>33000</v>
      </c>
      <c r="X392" s="1497" t="s">
        <v>1883</v>
      </c>
      <c r="Y392" s="1498">
        <v>6.2316443829799999E-3</v>
      </c>
      <c r="Z392" s="1498">
        <v>2.72170311040471</v>
      </c>
      <c r="AA392" s="1498">
        <v>6.5320874649713101</v>
      </c>
      <c r="AB392" s="1498">
        <v>1.0200000000000001E-3</v>
      </c>
      <c r="AC392" s="1499" t="s">
        <v>1199</v>
      </c>
      <c r="AD392" s="1500" t="s">
        <v>635</v>
      </c>
      <c r="AE392" s="1501"/>
      <c r="AF392" s="1502" t="s">
        <v>635</v>
      </c>
      <c r="AG392" s="1501"/>
      <c r="AH392" s="1502">
        <v>3.3000000000000002E-2</v>
      </c>
      <c r="AI392" s="1503" t="s">
        <v>1119</v>
      </c>
      <c r="AJ392" s="1502" t="s">
        <v>635</v>
      </c>
      <c r="AK392" s="1501"/>
      <c r="AL392" s="1501"/>
      <c r="AM392" s="1501"/>
      <c r="AN392" s="1504">
        <v>1</v>
      </c>
      <c r="AO392" s="1505">
        <v>0.1</v>
      </c>
      <c r="AP392" s="1506" t="s">
        <v>635</v>
      </c>
    </row>
    <row r="393" spans="1:42" ht="30">
      <c r="A393" s="1507" t="s">
        <v>2597</v>
      </c>
      <c r="B393" s="1508" t="s">
        <v>2598</v>
      </c>
      <c r="C393" s="1509">
        <v>352.89</v>
      </c>
      <c r="D393" s="1510" t="s">
        <v>1883</v>
      </c>
      <c r="E393" s="1511">
        <v>9.6892886345100009E-7</v>
      </c>
      <c r="F393" s="1511">
        <v>2.37E-8</v>
      </c>
      <c r="G393" s="1512" t="s">
        <v>1199</v>
      </c>
      <c r="H393" s="1511">
        <v>2.55E-8</v>
      </c>
      <c r="I393" s="1512" t="s">
        <v>1883</v>
      </c>
      <c r="J393" s="1513">
        <v>108.25</v>
      </c>
      <c r="K393" s="1514" t="s">
        <v>1883</v>
      </c>
      <c r="L393" s="1515" t="s">
        <v>635</v>
      </c>
      <c r="M393" s="1538"/>
      <c r="N393" s="1517">
        <v>3.8047608699349998E-2</v>
      </c>
      <c r="O393" s="1517">
        <v>4.4455627006599997E-6</v>
      </c>
      <c r="P393" s="1518" t="s">
        <v>1885</v>
      </c>
      <c r="Q393" s="1519" t="s">
        <v>635</v>
      </c>
      <c r="R393" s="1520"/>
      <c r="S393" s="1519">
        <v>2120</v>
      </c>
      <c r="T393" s="1519" t="s">
        <v>1199</v>
      </c>
      <c r="U393" s="1519">
        <v>5.57</v>
      </c>
      <c r="V393" s="1521" t="s">
        <v>1883</v>
      </c>
      <c r="W393" s="1522">
        <v>0.5</v>
      </c>
      <c r="X393" s="1523" t="s">
        <v>1883</v>
      </c>
      <c r="Y393" s="1524">
        <v>0.59824167624403002</v>
      </c>
      <c r="Z393" s="1524">
        <v>9.9548048248833503</v>
      </c>
      <c r="AA393" s="1524">
        <v>23.891531579719999</v>
      </c>
      <c r="AB393" s="1524">
        <v>8.2799999999999999E-2</v>
      </c>
      <c r="AC393" s="1525" t="s">
        <v>1199</v>
      </c>
      <c r="AD393" s="1526" t="s">
        <v>635</v>
      </c>
      <c r="AE393" s="1527"/>
      <c r="AF393" s="1528" t="s">
        <v>635</v>
      </c>
      <c r="AG393" s="1527"/>
      <c r="AH393" s="1528">
        <v>2.5000000000000001E-2</v>
      </c>
      <c r="AI393" s="1529" t="s">
        <v>1119</v>
      </c>
      <c r="AJ393" s="1528" t="s">
        <v>635</v>
      </c>
      <c r="AK393" s="1527"/>
      <c r="AL393" s="1527"/>
      <c r="AM393" s="1527"/>
      <c r="AN393" s="1530">
        <v>1</v>
      </c>
      <c r="AO393" s="1531">
        <v>0.1</v>
      </c>
      <c r="AP393" s="1532" t="s">
        <v>635</v>
      </c>
    </row>
    <row r="394" spans="1:42" ht="30">
      <c r="A394" s="1481" t="s">
        <v>2599</v>
      </c>
      <c r="B394" s="1482" t="s">
        <v>2600</v>
      </c>
      <c r="C394" s="1483">
        <v>494.49</v>
      </c>
      <c r="D394" s="1484" t="s">
        <v>1883</v>
      </c>
      <c r="E394" s="1485">
        <v>8.9942763699999995E-5</v>
      </c>
      <c r="F394" s="1485">
        <v>2.2000000000000001E-6</v>
      </c>
      <c r="G394" s="1486" t="s">
        <v>1199</v>
      </c>
      <c r="H394" s="1485">
        <v>2.03E-8</v>
      </c>
      <c r="I394" s="1486" t="s">
        <v>1883</v>
      </c>
      <c r="J394" s="1487">
        <v>190</v>
      </c>
      <c r="K394" s="1488" t="s">
        <v>1883</v>
      </c>
      <c r="L394" s="1489" t="s">
        <v>635</v>
      </c>
      <c r="M394" s="1533"/>
      <c r="N394" s="1491">
        <v>3.0384254987960001E-2</v>
      </c>
      <c r="O394" s="1491">
        <v>3.55016031965E-6</v>
      </c>
      <c r="P394" s="1492" t="s">
        <v>1885</v>
      </c>
      <c r="Q394" s="1493" t="s">
        <v>635</v>
      </c>
      <c r="R394" s="1494"/>
      <c r="S394" s="1493">
        <v>179700000</v>
      </c>
      <c r="T394" s="1493" t="s">
        <v>1199</v>
      </c>
      <c r="U394" s="1493">
        <v>2.31</v>
      </c>
      <c r="V394" s="1495" t="s">
        <v>1883</v>
      </c>
      <c r="W394" s="1496">
        <v>6.0000000000000001E-3</v>
      </c>
      <c r="X394" s="1497" t="s">
        <v>1883</v>
      </c>
      <c r="Y394" s="1498">
        <v>7.7145739466000002E-4</v>
      </c>
      <c r="Z394" s="1498">
        <v>61.800608267231198</v>
      </c>
      <c r="AA394" s="1498">
        <v>148.32145984135499</v>
      </c>
      <c r="AB394" s="1498">
        <v>9.0199999999999997E-5</v>
      </c>
      <c r="AC394" s="1499" t="s">
        <v>1199</v>
      </c>
      <c r="AD394" s="1500" t="s">
        <v>635</v>
      </c>
      <c r="AE394" s="1501"/>
      <c r="AF394" s="1502" t="s">
        <v>635</v>
      </c>
      <c r="AG394" s="1501"/>
      <c r="AH394" s="1502">
        <v>1.7000000000000001E-2</v>
      </c>
      <c r="AI394" s="1503" t="s">
        <v>1116</v>
      </c>
      <c r="AJ394" s="1502" t="s">
        <v>635</v>
      </c>
      <c r="AK394" s="1501"/>
      <c r="AL394" s="1501"/>
      <c r="AM394" s="1501"/>
      <c r="AN394" s="1504">
        <v>1</v>
      </c>
      <c r="AO394" s="1505">
        <v>0.1</v>
      </c>
      <c r="AP394" s="1506" t="s">
        <v>635</v>
      </c>
    </row>
    <row r="395" spans="1:42" ht="30">
      <c r="A395" s="1481" t="s">
        <v>2601</v>
      </c>
      <c r="B395" s="1482" t="s">
        <v>2602</v>
      </c>
      <c r="C395" s="1483">
        <v>32.045000000000002</v>
      </c>
      <c r="D395" s="1484" t="s">
        <v>1883</v>
      </c>
      <c r="E395" s="1485">
        <v>2.4828E-5</v>
      </c>
      <c r="F395" s="1485">
        <v>6.0729999999999999E-7</v>
      </c>
      <c r="G395" s="1486" t="s">
        <v>1883</v>
      </c>
      <c r="H395" s="1485">
        <v>14.38</v>
      </c>
      <c r="I395" s="1486" t="s">
        <v>1883</v>
      </c>
      <c r="J395" s="1487">
        <v>2</v>
      </c>
      <c r="K395" s="1488" t="s">
        <v>1883</v>
      </c>
      <c r="L395" s="1489">
        <v>1.0036</v>
      </c>
      <c r="M395" s="1490" t="s">
        <v>1884</v>
      </c>
      <c r="N395" s="1491">
        <v>0.17332088683301</v>
      </c>
      <c r="O395" s="1491">
        <v>1.8999929849999999E-5</v>
      </c>
      <c r="P395" s="1492" t="s">
        <v>1885</v>
      </c>
      <c r="Q395" s="1493" t="s">
        <v>635</v>
      </c>
      <c r="R395" s="1494"/>
      <c r="S395" s="1493">
        <v>2</v>
      </c>
      <c r="T395" s="1493" t="s">
        <v>1890</v>
      </c>
      <c r="U395" s="1493">
        <v>-2.0699999999999998</v>
      </c>
      <c r="V395" s="1495" t="s">
        <v>1883</v>
      </c>
      <c r="W395" s="1496">
        <v>1000000</v>
      </c>
      <c r="X395" s="1497" t="s">
        <v>1883</v>
      </c>
      <c r="Y395" s="1498">
        <v>9.4966872320000005E-5</v>
      </c>
      <c r="Z395" s="1498">
        <v>0.15896472007248</v>
      </c>
      <c r="AA395" s="1498">
        <v>0.38151532817396</v>
      </c>
      <c r="AB395" s="1498">
        <v>4.3617959509999997E-5</v>
      </c>
      <c r="AC395" s="1499" t="s">
        <v>1203</v>
      </c>
      <c r="AD395" s="1500">
        <v>3</v>
      </c>
      <c r="AE395" s="1503" t="s">
        <v>1119</v>
      </c>
      <c r="AF395" s="1502">
        <v>4.8999999999999998E-3</v>
      </c>
      <c r="AG395" s="1503" t="s">
        <v>1119</v>
      </c>
      <c r="AH395" s="1502" t="s">
        <v>635</v>
      </c>
      <c r="AI395" s="1501"/>
      <c r="AJ395" s="1502">
        <v>3.0000000000000001E-5</v>
      </c>
      <c r="AK395" s="1503" t="s">
        <v>1909</v>
      </c>
      <c r="AL395" s="1503" t="s">
        <v>1127</v>
      </c>
      <c r="AM395" s="1501"/>
      <c r="AN395" s="1504">
        <v>1</v>
      </c>
      <c r="AO395" s="1504" t="s">
        <v>635</v>
      </c>
      <c r="AP395" s="1506">
        <v>112000</v>
      </c>
    </row>
    <row r="396" spans="1:42" ht="30">
      <c r="A396" s="1507" t="s">
        <v>2603</v>
      </c>
      <c r="B396" s="1508" t="s">
        <v>2604</v>
      </c>
      <c r="C396" s="1509">
        <v>128.1</v>
      </c>
      <c r="D396" s="1510" t="s">
        <v>1199</v>
      </c>
      <c r="E396" s="1511" t="s">
        <v>635</v>
      </c>
      <c r="F396" s="1511" t="s">
        <v>635</v>
      </c>
      <c r="G396" s="1534"/>
      <c r="H396" s="1511" t="s">
        <v>635</v>
      </c>
      <c r="I396" s="1534"/>
      <c r="J396" s="1513">
        <v>254</v>
      </c>
      <c r="K396" s="1514" t="s">
        <v>1884</v>
      </c>
      <c r="L396" s="1515">
        <v>1.3779999999999999</v>
      </c>
      <c r="M396" s="1516" t="s">
        <v>1884</v>
      </c>
      <c r="N396" s="1517">
        <v>6.8953124921350001E-2</v>
      </c>
      <c r="O396" s="1517">
        <v>1.000672176E-5</v>
      </c>
      <c r="P396" s="1518" t="s">
        <v>1885</v>
      </c>
      <c r="Q396" s="1519" t="s">
        <v>635</v>
      </c>
      <c r="R396" s="1520"/>
      <c r="S396" s="1519" t="s">
        <v>635</v>
      </c>
      <c r="T396" s="1520"/>
      <c r="U396" s="1519" t="s">
        <v>635</v>
      </c>
      <c r="V396" s="1507"/>
      <c r="W396" s="1522">
        <v>30550</v>
      </c>
      <c r="X396" s="1523" t="s">
        <v>1949</v>
      </c>
      <c r="Y396" s="1524">
        <v>4.3531257898200004E-3</v>
      </c>
      <c r="Z396" s="1524">
        <v>0.54854056513194005</v>
      </c>
      <c r="AA396" s="1524">
        <v>1.31649735631665</v>
      </c>
      <c r="AB396" s="1524">
        <v>1E-3</v>
      </c>
      <c r="AC396" s="1525" t="s">
        <v>1203</v>
      </c>
      <c r="AD396" s="1526">
        <v>3</v>
      </c>
      <c r="AE396" s="1529" t="s">
        <v>1119</v>
      </c>
      <c r="AF396" s="1528">
        <v>4.8999999999999998E-3</v>
      </c>
      <c r="AG396" s="1529" t="s">
        <v>1119</v>
      </c>
      <c r="AH396" s="1528" t="s">
        <v>635</v>
      </c>
      <c r="AI396" s="1527"/>
      <c r="AJ396" s="1528" t="s">
        <v>635</v>
      </c>
      <c r="AK396" s="1527"/>
      <c r="AL396" s="1527"/>
      <c r="AM396" s="1527"/>
      <c r="AN396" s="1530">
        <v>1</v>
      </c>
      <c r="AO396" s="1530" t="s">
        <v>635</v>
      </c>
      <c r="AP396" s="1532" t="s">
        <v>635</v>
      </c>
    </row>
    <row r="397" spans="1:42" ht="30">
      <c r="A397" s="1481" t="s">
        <v>2605</v>
      </c>
      <c r="B397" s="1482" t="s">
        <v>2606</v>
      </c>
      <c r="C397" s="1483">
        <v>35.450000000000003</v>
      </c>
      <c r="D397" s="1484" t="s">
        <v>1199</v>
      </c>
      <c r="E397" s="1485">
        <v>2E-8</v>
      </c>
      <c r="F397" s="1485">
        <v>4.8999999999999996E-10</v>
      </c>
      <c r="G397" s="1486" t="s">
        <v>2607</v>
      </c>
      <c r="H397" s="1485">
        <v>35424</v>
      </c>
      <c r="I397" s="1486" t="s">
        <v>2607</v>
      </c>
      <c r="J397" s="1487">
        <v>-114.17</v>
      </c>
      <c r="K397" s="1488" t="s">
        <v>1884</v>
      </c>
      <c r="L397" s="1489">
        <v>1.49</v>
      </c>
      <c r="M397" s="1490" t="s">
        <v>1884</v>
      </c>
      <c r="N397" s="1491">
        <v>0.1879912254345</v>
      </c>
      <c r="O397" s="1491">
        <v>2.266803053E-5</v>
      </c>
      <c r="P397" s="1492" t="s">
        <v>1885</v>
      </c>
      <c r="Q397" s="1493" t="s">
        <v>635</v>
      </c>
      <c r="R397" s="1494"/>
      <c r="S397" s="1493" t="s">
        <v>635</v>
      </c>
      <c r="T397" s="1494"/>
      <c r="U397" s="1493" t="s">
        <v>635</v>
      </c>
      <c r="V397" s="1481"/>
      <c r="W397" s="1496">
        <v>673000</v>
      </c>
      <c r="X397" s="1497" t="s">
        <v>2607</v>
      </c>
      <c r="Y397" s="1498">
        <v>2.2899962533199998E-3</v>
      </c>
      <c r="Z397" s="1498">
        <v>0.16609966235179999</v>
      </c>
      <c r="AA397" s="1498">
        <v>0.39863918964431999</v>
      </c>
      <c r="AB397" s="1498">
        <v>1E-3</v>
      </c>
      <c r="AC397" s="1499" t="s">
        <v>1203</v>
      </c>
      <c r="AD397" s="1500" t="s">
        <v>635</v>
      </c>
      <c r="AE397" s="1501"/>
      <c r="AF397" s="1502" t="s">
        <v>635</v>
      </c>
      <c r="AG397" s="1501"/>
      <c r="AH397" s="1502" t="s">
        <v>635</v>
      </c>
      <c r="AI397" s="1501"/>
      <c r="AJ397" s="1502">
        <v>0.02</v>
      </c>
      <c r="AK397" s="1503" t="s">
        <v>1119</v>
      </c>
      <c r="AL397" s="1503" t="s">
        <v>1127</v>
      </c>
      <c r="AM397" s="1501"/>
      <c r="AN397" s="1504">
        <v>1</v>
      </c>
      <c r="AO397" s="1504" t="s">
        <v>635</v>
      </c>
      <c r="AP397" s="1506" t="s">
        <v>635</v>
      </c>
    </row>
    <row r="398" spans="1:42" ht="30">
      <c r="A398" s="1481" t="s">
        <v>2608</v>
      </c>
      <c r="B398" s="1482" t="s">
        <v>2609</v>
      </c>
      <c r="C398" s="1483">
        <v>20.006</v>
      </c>
      <c r="D398" s="1484" t="s">
        <v>1883</v>
      </c>
      <c r="E398" s="1485">
        <v>4.2518397383500004E-3</v>
      </c>
      <c r="F398" s="1485">
        <v>1.0399999999999999E-4</v>
      </c>
      <c r="G398" s="1486" t="s">
        <v>1883</v>
      </c>
      <c r="H398" s="1485">
        <v>917.2</v>
      </c>
      <c r="I398" s="1486" t="s">
        <v>1883</v>
      </c>
      <c r="J398" s="1487">
        <v>-83.55</v>
      </c>
      <c r="K398" s="1488" t="s">
        <v>1883</v>
      </c>
      <c r="L398" s="1489">
        <v>0.81799999999999995</v>
      </c>
      <c r="M398" s="1490" t="s">
        <v>1884</v>
      </c>
      <c r="N398" s="1491">
        <v>0.21909962798401</v>
      </c>
      <c r="O398" s="1491">
        <v>2.2296032820000001E-5</v>
      </c>
      <c r="P398" s="1492" t="s">
        <v>1885</v>
      </c>
      <c r="Q398" s="1493" t="s">
        <v>635</v>
      </c>
      <c r="R398" s="1494"/>
      <c r="S398" s="1493" t="s">
        <v>635</v>
      </c>
      <c r="T398" s="1494"/>
      <c r="U398" s="1493">
        <v>0.23</v>
      </c>
      <c r="V398" s="1495" t="s">
        <v>1883</v>
      </c>
      <c r="W398" s="1496">
        <v>1000000</v>
      </c>
      <c r="X398" s="1497" t="s">
        <v>1883</v>
      </c>
      <c r="Y398" s="1498">
        <v>1.7203102788800001E-3</v>
      </c>
      <c r="Z398" s="1498">
        <v>0.13610759170264</v>
      </c>
      <c r="AA398" s="1498">
        <v>0.32665822008633</v>
      </c>
      <c r="AB398" s="1498">
        <v>1E-3</v>
      </c>
      <c r="AC398" s="1499" t="s">
        <v>1203</v>
      </c>
      <c r="AD398" s="1500" t="s">
        <v>635</v>
      </c>
      <c r="AE398" s="1501"/>
      <c r="AF398" s="1502" t="s">
        <v>635</v>
      </c>
      <c r="AG398" s="1501"/>
      <c r="AH398" s="1502">
        <v>0.04</v>
      </c>
      <c r="AI398" s="1503" t="s">
        <v>1900</v>
      </c>
      <c r="AJ398" s="1502">
        <v>1.4E-2</v>
      </c>
      <c r="AK398" s="1503" t="s">
        <v>1900</v>
      </c>
      <c r="AL398" s="1503" t="s">
        <v>1127</v>
      </c>
      <c r="AM398" s="1501"/>
      <c r="AN398" s="1504">
        <v>1</v>
      </c>
      <c r="AO398" s="1504" t="s">
        <v>635</v>
      </c>
      <c r="AP398" s="1506" t="s">
        <v>635</v>
      </c>
    </row>
    <row r="399" spans="1:42" ht="30">
      <c r="A399" s="1507" t="s">
        <v>2610</v>
      </c>
      <c r="B399" s="1508" t="s">
        <v>2611</v>
      </c>
      <c r="C399" s="1509">
        <v>34.08</v>
      </c>
      <c r="D399" s="1510" t="s">
        <v>1883</v>
      </c>
      <c r="E399" s="1511">
        <v>0.34995900000000002</v>
      </c>
      <c r="F399" s="1511">
        <v>8.5599999999999999E-3</v>
      </c>
      <c r="G399" s="1512" t="s">
        <v>1883</v>
      </c>
      <c r="H399" s="1511">
        <v>15640</v>
      </c>
      <c r="I399" s="1512" t="s">
        <v>1883</v>
      </c>
      <c r="J399" s="1513">
        <v>-85.49</v>
      </c>
      <c r="K399" s="1514" t="s">
        <v>1883</v>
      </c>
      <c r="L399" s="1515">
        <v>1.393</v>
      </c>
      <c r="M399" s="1516" t="s">
        <v>1884</v>
      </c>
      <c r="N399" s="1517">
        <v>0.18807034899700001</v>
      </c>
      <c r="O399" s="1517">
        <v>2.2291674339999998E-5</v>
      </c>
      <c r="P399" s="1518" t="s">
        <v>1885</v>
      </c>
      <c r="Q399" s="1519" t="s">
        <v>635</v>
      </c>
      <c r="R399" s="1520"/>
      <c r="S399" s="1519" t="s">
        <v>635</v>
      </c>
      <c r="T399" s="1520"/>
      <c r="U399" s="1519">
        <v>0.23</v>
      </c>
      <c r="V399" s="1521" t="s">
        <v>2612</v>
      </c>
      <c r="W399" s="1522">
        <v>3740</v>
      </c>
      <c r="X399" s="1523" t="s">
        <v>1883</v>
      </c>
      <c r="Y399" s="1524">
        <v>2.2453106952800002E-3</v>
      </c>
      <c r="Z399" s="1524">
        <v>0.16319120513652</v>
      </c>
      <c r="AA399" s="1524">
        <v>0.39165889232764001</v>
      </c>
      <c r="AB399" s="1524">
        <v>1E-3</v>
      </c>
      <c r="AC399" s="1525" t="s">
        <v>1203</v>
      </c>
      <c r="AD399" s="1526" t="s">
        <v>635</v>
      </c>
      <c r="AE399" s="1527"/>
      <c r="AF399" s="1528" t="s">
        <v>635</v>
      </c>
      <c r="AG399" s="1527"/>
      <c r="AH399" s="1528" t="s">
        <v>635</v>
      </c>
      <c r="AI399" s="1527"/>
      <c r="AJ399" s="1528">
        <v>2E-3</v>
      </c>
      <c r="AK399" s="1529" t="s">
        <v>1119</v>
      </c>
      <c r="AL399" s="1529" t="s">
        <v>1127</v>
      </c>
      <c r="AM399" s="1527"/>
      <c r="AN399" s="1530">
        <v>1</v>
      </c>
      <c r="AO399" s="1530" t="s">
        <v>635</v>
      </c>
      <c r="AP399" s="1532" t="s">
        <v>635</v>
      </c>
    </row>
    <row r="400" spans="1:42" ht="30">
      <c r="A400" s="1481" t="s">
        <v>2613</v>
      </c>
      <c r="B400" s="1482" t="s">
        <v>2614</v>
      </c>
      <c r="C400" s="1483">
        <v>110.11</v>
      </c>
      <c r="D400" s="1484" t="s">
        <v>1883</v>
      </c>
      <c r="E400" s="1485">
        <v>1.9337694194599999E-9</v>
      </c>
      <c r="F400" s="1485">
        <v>4.7300000000000001E-11</v>
      </c>
      <c r="G400" s="1486" t="s">
        <v>1199</v>
      </c>
      <c r="H400" s="1485">
        <v>2.4000000000000001E-5</v>
      </c>
      <c r="I400" s="1486" t="s">
        <v>1199</v>
      </c>
      <c r="J400" s="1487">
        <v>170</v>
      </c>
      <c r="K400" s="1488" t="s">
        <v>1883</v>
      </c>
      <c r="L400" s="1489">
        <v>1.33</v>
      </c>
      <c r="M400" s="1490" t="s">
        <v>1884</v>
      </c>
      <c r="N400" s="1491">
        <v>7.9842511667470001E-2</v>
      </c>
      <c r="O400" s="1491">
        <v>1.0727207919999999E-5</v>
      </c>
      <c r="P400" s="1492" t="s">
        <v>1885</v>
      </c>
      <c r="Q400" s="1493" t="s">
        <v>635</v>
      </c>
      <c r="R400" s="1494"/>
      <c r="S400" s="1493">
        <v>240.5</v>
      </c>
      <c r="T400" s="1493" t="s">
        <v>1199</v>
      </c>
      <c r="U400" s="1493">
        <v>0.59</v>
      </c>
      <c r="V400" s="1495" t="s">
        <v>1883</v>
      </c>
      <c r="W400" s="1496">
        <v>72000</v>
      </c>
      <c r="X400" s="1497" t="s">
        <v>1883</v>
      </c>
      <c r="Y400" s="1498">
        <v>3.7574197544999999E-3</v>
      </c>
      <c r="Z400" s="1498">
        <v>0.43497545354175998</v>
      </c>
      <c r="AA400" s="1498">
        <v>1.04394108850022</v>
      </c>
      <c r="AB400" s="1498">
        <v>9.3099999999999997E-4</v>
      </c>
      <c r="AC400" s="1499" t="s">
        <v>1199</v>
      </c>
      <c r="AD400" s="1500">
        <v>0.06</v>
      </c>
      <c r="AE400" s="1503" t="s">
        <v>1909</v>
      </c>
      <c r="AF400" s="1502" t="s">
        <v>635</v>
      </c>
      <c r="AG400" s="1501"/>
      <c r="AH400" s="1502">
        <v>0.04</v>
      </c>
      <c r="AI400" s="1503" t="s">
        <v>1909</v>
      </c>
      <c r="AJ400" s="1502" t="s">
        <v>635</v>
      </c>
      <c r="AK400" s="1501"/>
      <c r="AL400" s="1501"/>
      <c r="AM400" s="1501"/>
      <c r="AN400" s="1504">
        <v>1</v>
      </c>
      <c r="AO400" s="1505">
        <v>0.1</v>
      </c>
      <c r="AP400" s="1506" t="s">
        <v>635</v>
      </c>
    </row>
    <row r="401" spans="1:42" ht="30">
      <c r="A401" s="1481" t="s">
        <v>2615</v>
      </c>
      <c r="B401" s="1482" t="s">
        <v>2616</v>
      </c>
      <c r="C401" s="1483">
        <v>297.19</v>
      </c>
      <c r="D401" s="1484" t="s">
        <v>1883</v>
      </c>
      <c r="E401" s="1485">
        <v>1.05887162715E-7</v>
      </c>
      <c r="F401" s="1485">
        <v>2.5899999999999999E-9</v>
      </c>
      <c r="G401" s="1486" t="s">
        <v>1199</v>
      </c>
      <c r="H401" s="1485">
        <v>1.19E-6</v>
      </c>
      <c r="I401" s="1486" t="s">
        <v>1883</v>
      </c>
      <c r="J401" s="1487">
        <v>52.7</v>
      </c>
      <c r="K401" s="1488" t="s">
        <v>1883</v>
      </c>
      <c r="L401" s="1489">
        <v>1.2430000000000001</v>
      </c>
      <c r="M401" s="1490" t="s">
        <v>1884</v>
      </c>
      <c r="N401" s="1491">
        <v>2.2493203038949999E-2</v>
      </c>
      <c r="O401" s="1491">
        <v>5.6771965942199996E-6</v>
      </c>
      <c r="P401" s="1492" t="s">
        <v>1885</v>
      </c>
      <c r="Q401" s="1493" t="s">
        <v>635</v>
      </c>
      <c r="R401" s="1494"/>
      <c r="S401" s="1493">
        <v>8495</v>
      </c>
      <c r="T401" s="1493" t="s">
        <v>1199</v>
      </c>
      <c r="U401" s="1493">
        <v>3.82</v>
      </c>
      <c r="V401" s="1495" t="s">
        <v>1883</v>
      </c>
      <c r="W401" s="1496">
        <v>180</v>
      </c>
      <c r="X401" s="1497" t="s">
        <v>1883</v>
      </c>
      <c r="Y401" s="1498">
        <v>7.6913351692920004E-2</v>
      </c>
      <c r="Z401" s="1498">
        <v>4.8541450497610201</v>
      </c>
      <c r="AA401" s="1498">
        <v>11.649948119426501</v>
      </c>
      <c r="AB401" s="1498">
        <v>1.1599999999999999E-2</v>
      </c>
      <c r="AC401" s="1499" t="s">
        <v>1199</v>
      </c>
      <c r="AD401" s="1500">
        <v>6.1100000000000002E-2</v>
      </c>
      <c r="AE401" s="1503" t="s">
        <v>1116</v>
      </c>
      <c r="AF401" s="1502" t="s">
        <v>635</v>
      </c>
      <c r="AG401" s="1501"/>
      <c r="AH401" s="1502">
        <v>0.108</v>
      </c>
      <c r="AI401" s="1503" t="s">
        <v>1116</v>
      </c>
      <c r="AJ401" s="1502" t="s">
        <v>635</v>
      </c>
      <c r="AK401" s="1501"/>
      <c r="AL401" s="1501"/>
      <c r="AM401" s="1501"/>
      <c r="AN401" s="1504">
        <v>1</v>
      </c>
      <c r="AO401" s="1505">
        <v>0.1</v>
      </c>
      <c r="AP401" s="1506" t="s">
        <v>635</v>
      </c>
    </row>
    <row r="402" spans="1:42" ht="30">
      <c r="A402" s="1507" t="s">
        <v>2617</v>
      </c>
      <c r="B402" s="1508" t="s">
        <v>2618</v>
      </c>
      <c r="C402" s="1509">
        <v>311.33999999999997</v>
      </c>
      <c r="D402" s="1510" t="s">
        <v>1883</v>
      </c>
      <c r="E402" s="1511">
        <v>2.8250204414999999E-16</v>
      </c>
      <c r="F402" s="1511">
        <v>6.9100000000000002E-18</v>
      </c>
      <c r="G402" s="1512" t="s">
        <v>1883</v>
      </c>
      <c r="H402" s="1511">
        <v>1.03E-13</v>
      </c>
      <c r="I402" s="1512" t="s">
        <v>1883</v>
      </c>
      <c r="J402" s="1513">
        <v>221</v>
      </c>
      <c r="K402" s="1514" t="s">
        <v>1883</v>
      </c>
      <c r="L402" s="1515" t="s">
        <v>635</v>
      </c>
      <c r="M402" s="1538"/>
      <c r="N402" s="1517">
        <v>4.1361567293099998E-2</v>
      </c>
      <c r="O402" s="1517">
        <v>4.8327725995100002E-6</v>
      </c>
      <c r="P402" s="1518" t="s">
        <v>1885</v>
      </c>
      <c r="Q402" s="1519" t="s">
        <v>635</v>
      </c>
      <c r="R402" s="1520"/>
      <c r="S402" s="1519">
        <v>2386</v>
      </c>
      <c r="T402" s="1519" t="s">
        <v>1199</v>
      </c>
      <c r="U402" s="1519">
        <v>1.86</v>
      </c>
      <c r="V402" s="1521" t="s">
        <v>1883</v>
      </c>
      <c r="W402" s="1522">
        <v>90</v>
      </c>
      <c r="X402" s="1523" t="s">
        <v>1883</v>
      </c>
      <c r="Y402" s="1524">
        <v>3.27786636071E-3</v>
      </c>
      <c r="Z402" s="1524">
        <v>5.8257621503152297</v>
      </c>
      <c r="AA402" s="1524">
        <v>13.9818291607566</v>
      </c>
      <c r="AB402" s="1524">
        <v>4.8299999999999998E-4</v>
      </c>
      <c r="AC402" s="1525" t="s">
        <v>1199</v>
      </c>
      <c r="AD402" s="1526" t="s">
        <v>635</v>
      </c>
      <c r="AE402" s="1527"/>
      <c r="AF402" s="1528" t="s">
        <v>635</v>
      </c>
      <c r="AG402" s="1527"/>
      <c r="AH402" s="1528">
        <v>0.25</v>
      </c>
      <c r="AI402" s="1529" t="s">
        <v>1119</v>
      </c>
      <c r="AJ402" s="1528" t="s">
        <v>635</v>
      </c>
      <c r="AK402" s="1527"/>
      <c r="AL402" s="1527"/>
      <c r="AM402" s="1527"/>
      <c r="AN402" s="1530">
        <v>1</v>
      </c>
      <c r="AO402" s="1531">
        <v>0.1</v>
      </c>
      <c r="AP402" s="1532" t="s">
        <v>635</v>
      </c>
    </row>
    <row r="403" spans="1:42" ht="30">
      <c r="A403" s="1481" t="s">
        <v>2619</v>
      </c>
      <c r="B403" s="1482" t="s">
        <v>2620</v>
      </c>
      <c r="C403" s="1483">
        <v>289.33999999999997</v>
      </c>
      <c r="D403" s="1484" t="s">
        <v>1883</v>
      </c>
      <c r="E403" s="1485">
        <v>4.2518397383000001E-15</v>
      </c>
      <c r="F403" s="1485">
        <v>1.04E-16</v>
      </c>
      <c r="G403" s="1486" t="s">
        <v>1883</v>
      </c>
      <c r="H403" s="1485">
        <v>2.15E-11</v>
      </c>
      <c r="I403" s="1486" t="s">
        <v>1883</v>
      </c>
      <c r="J403" s="1487">
        <v>171</v>
      </c>
      <c r="K403" s="1488" t="s">
        <v>1883</v>
      </c>
      <c r="L403" s="1489" t="s">
        <v>635</v>
      </c>
      <c r="M403" s="1533"/>
      <c r="N403" s="1491">
        <v>4.3432478786170001E-2</v>
      </c>
      <c r="O403" s="1491">
        <v>5.07474225817E-6</v>
      </c>
      <c r="P403" s="1492" t="s">
        <v>1885</v>
      </c>
      <c r="Q403" s="1493" t="s">
        <v>635</v>
      </c>
      <c r="R403" s="1494"/>
      <c r="S403" s="1493">
        <v>339.1</v>
      </c>
      <c r="T403" s="1493" t="s">
        <v>1199</v>
      </c>
      <c r="U403" s="1493">
        <v>1.49</v>
      </c>
      <c r="V403" s="1495" t="s">
        <v>1883</v>
      </c>
      <c r="W403" s="1496">
        <v>1400</v>
      </c>
      <c r="X403" s="1497" t="s">
        <v>1883</v>
      </c>
      <c r="Y403" s="1498">
        <v>1.30846131235E-2</v>
      </c>
      <c r="Z403" s="1498">
        <v>4.3868496447658201</v>
      </c>
      <c r="AA403" s="1498">
        <v>10.528439147438</v>
      </c>
      <c r="AB403" s="1498">
        <v>2E-3</v>
      </c>
      <c r="AC403" s="1499" t="s">
        <v>1199</v>
      </c>
      <c r="AD403" s="1500" t="s">
        <v>635</v>
      </c>
      <c r="AE403" s="1501"/>
      <c r="AF403" s="1502" t="s">
        <v>635</v>
      </c>
      <c r="AG403" s="1501"/>
      <c r="AH403" s="1502">
        <v>2.5</v>
      </c>
      <c r="AI403" s="1503" t="s">
        <v>1116</v>
      </c>
      <c r="AJ403" s="1502" t="s">
        <v>635</v>
      </c>
      <c r="AK403" s="1501"/>
      <c r="AL403" s="1501"/>
      <c r="AM403" s="1501"/>
      <c r="AN403" s="1504">
        <v>1</v>
      </c>
      <c r="AO403" s="1505">
        <v>0.1</v>
      </c>
      <c r="AP403" s="1506" t="s">
        <v>635</v>
      </c>
    </row>
    <row r="404" spans="1:42" ht="30">
      <c r="A404" s="1481" t="s">
        <v>2621</v>
      </c>
      <c r="B404" s="1482" t="s">
        <v>2622</v>
      </c>
      <c r="C404" s="1483">
        <v>253.81</v>
      </c>
      <c r="D404" s="1484" t="s">
        <v>1883</v>
      </c>
      <c r="E404" s="1485" t="s">
        <v>635</v>
      </c>
      <c r="F404" s="1485" t="s">
        <v>635</v>
      </c>
      <c r="G404" s="1536"/>
      <c r="H404" s="1485">
        <v>0.23300000000000001</v>
      </c>
      <c r="I404" s="1486" t="s">
        <v>1883</v>
      </c>
      <c r="J404" s="1487">
        <v>113.6</v>
      </c>
      <c r="K404" s="1488" t="s">
        <v>1883</v>
      </c>
      <c r="L404" s="1489">
        <v>4.9329999999999998</v>
      </c>
      <c r="M404" s="1490" t="s">
        <v>1884</v>
      </c>
      <c r="N404" s="1491">
        <v>4.461200962945E-2</v>
      </c>
      <c r="O404" s="1491">
        <v>1.4270303289999999E-5</v>
      </c>
      <c r="P404" s="1492" t="s">
        <v>1885</v>
      </c>
      <c r="Q404" s="1493">
        <v>60</v>
      </c>
      <c r="R404" s="1493" t="s">
        <v>1930</v>
      </c>
      <c r="S404" s="1493" t="s">
        <v>635</v>
      </c>
      <c r="T404" s="1494"/>
      <c r="U404" s="1493">
        <v>2.4900000000000002</v>
      </c>
      <c r="V404" s="1495" t="s">
        <v>1883</v>
      </c>
      <c r="W404" s="1496">
        <v>330</v>
      </c>
      <c r="X404" s="1497" t="s">
        <v>1883</v>
      </c>
      <c r="Y404" s="1498">
        <v>6.1274675020099997E-3</v>
      </c>
      <c r="Z404" s="1498">
        <v>2.7745001307486001</v>
      </c>
      <c r="AA404" s="1498">
        <v>6.6588003137966396</v>
      </c>
      <c r="AB404" s="1498">
        <v>1E-3</v>
      </c>
      <c r="AC404" s="1499" t="s">
        <v>1203</v>
      </c>
      <c r="AD404" s="1500" t="s">
        <v>635</v>
      </c>
      <c r="AE404" s="1501"/>
      <c r="AF404" s="1502" t="s">
        <v>635</v>
      </c>
      <c r="AG404" s="1501"/>
      <c r="AH404" s="1502">
        <v>0.01</v>
      </c>
      <c r="AI404" s="1503" t="s">
        <v>1960</v>
      </c>
      <c r="AJ404" s="1502" t="s">
        <v>635</v>
      </c>
      <c r="AK404" s="1501"/>
      <c r="AL404" s="1501"/>
      <c r="AM404" s="1501"/>
      <c r="AN404" s="1504">
        <v>1</v>
      </c>
      <c r="AO404" s="1504" t="s">
        <v>635</v>
      </c>
      <c r="AP404" s="1506" t="s">
        <v>635</v>
      </c>
    </row>
    <row r="405" spans="1:42" ht="30">
      <c r="A405" s="1507" t="s">
        <v>2623</v>
      </c>
      <c r="B405" s="1508" t="s">
        <v>2624</v>
      </c>
      <c r="C405" s="1509">
        <v>330.17</v>
      </c>
      <c r="D405" s="1510" t="s">
        <v>1883</v>
      </c>
      <c r="E405" s="1511">
        <v>1.2755519214999999E-7</v>
      </c>
      <c r="F405" s="1511">
        <v>3.12E-9</v>
      </c>
      <c r="G405" s="1512" t="s">
        <v>1883</v>
      </c>
      <c r="H405" s="1511">
        <v>3.7499999999999997E-9</v>
      </c>
      <c r="I405" s="1512" t="s">
        <v>1883</v>
      </c>
      <c r="J405" s="1513">
        <v>136</v>
      </c>
      <c r="K405" s="1514" t="s">
        <v>1883</v>
      </c>
      <c r="L405" s="1515" t="s">
        <v>635</v>
      </c>
      <c r="M405" s="1538"/>
      <c r="N405" s="1517">
        <v>3.9773626806819999E-2</v>
      </c>
      <c r="O405" s="1517">
        <v>4.6472342900600002E-6</v>
      </c>
      <c r="P405" s="1518" t="s">
        <v>1885</v>
      </c>
      <c r="Q405" s="1519" t="s">
        <v>635</v>
      </c>
      <c r="R405" s="1520"/>
      <c r="S405" s="1519">
        <v>52.52</v>
      </c>
      <c r="T405" s="1519" t="s">
        <v>1199</v>
      </c>
      <c r="U405" s="1519">
        <v>3</v>
      </c>
      <c r="V405" s="1521" t="s">
        <v>1883</v>
      </c>
      <c r="W405" s="1522">
        <v>13.9</v>
      </c>
      <c r="X405" s="1523" t="s">
        <v>1883</v>
      </c>
      <c r="Y405" s="1524">
        <v>1.5165446131290001E-2</v>
      </c>
      <c r="Z405" s="1524">
        <v>7.4267832561756002</v>
      </c>
      <c r="AA405" s="1524">
        <v>17.824279814821399</v>
      </c>
      <c r="AB405" s="1524">
        <v>2.1700000000000001E-3</v>
      </c>
      <c r="AC405" s="1525" t="s">
        <v>1199</v>
      </c>
      <c r="AD405" s="1526" t="s">
        <v>635</v>
      </c>
      <c r="AE405" s="1527"/>
      <c r="AF405" s="1528" t="s">
        <v>635</v>
      </c>
      <c r="AG405" s="1527"/>
      <c r="AH405" s="1528">
        <v>0.04</v>
      </c>
      <c r="AI405" s="1529" t="s">
        <v>1119</v>
      </c>
      <c r="AJ405" s="1528" t="s">
        <v>635</v>
      </c>
      <c r="AK405" s="1527"/>
      <c r="AL405" s="1527"/>
      <c r="AM405" s="1527"/>
      <c r="AN405" s="1530">
        <v>1</v>
      </c>
      <c r="AO405" s="1531">
        <v>0.1</v>
      </c>
      <c r="AP405" s="1532" t="s">
        <v>635</v>
      </c>
    </row>
    <row r="406" spans="1:42" ht="30">
      <c r="A406" s="1481" t="s">
        <v>2625</v>
      </c>
      <c r="B406" s="1482" t="s">
        <v>2626</v>
      </c>
      <c r="C406" s="1483">
        <v>55.847000000000001</v>
      </c>
      <c r="D406" s="1484" t="s">
        <v>1883</v>
      </c>
      <c r="E406" s="1485" t="s">
        <v>635</v>
      </c>
      <c r="F406" s="1485" t="s">
        <v>635</v>
      </c>
      <c r="G406" s="1536"/>
      <c r="H406" s="1485">
        <v>0</v>
      </c>
      <c r="I406" s="1486" t="s">
        <v>1929</v>
      </c>
      <c r="J406" s="1487">
        <v>1538</v>
      </c>
      <c r="K406" s="1488" t="s">
        <v>1884</v>
      </c>
      <c r="L406" s="1489">
        <v>7.87</v>
      </c>
      <c r="M406" s="1490" t="s">
        <v>1884</v>
      </c>
      <c r="N406" s="1491">
        <v>0.24765200921781999</v>
      </c>
      <c r="O406" s="1491">
        <v>4.6844294410000001E-5</v>
      </c>
      <c r="P406" s="1492" t="s">
        <v>1885</v>
      </c>
      <c r="Q406" s="1493">
        <v>25</v>
      </c>
      <c r="R406" s="1493" t="s">
        <v>1930</v>
      </c>
      <c r="S406" s="1493" t="s">
        <v>635</v>
      </c>
      <c r="T406" s="1494"/>
      <c r="U406" s="1493" t="s">
        <v>635</v>
      </c>
      <c r="V406" s="1481"/>
      <c r="W406" s="1496" t="s">
        <v>635</v>
      </c>
      <c r="X406" s="1537"/>
      <c r="Y406" s="1498">
        <v>2.8742634765399999E-3</v>
      </c>
      <c r="Z406" s="1498">
        <v>0.21606874510213001</v>
      </c>
      <c r="AA406" s="1498">
        <v>0.51856498824511998</v>
      </c>
      <c r="AB406" s="1498">
        <v>1E-3</v>
      </c>
      <c r="AC406" s="1499" t="s">
        <v>1203</v>
      </c>
      <c r="AD406" s="1500" t="s">
        <v>635</v>
      </c>
      <c r="AE406" s="1501"/>
      <c r="AF406" s="1502" t="s">
        <v>635</v>
      </c>
      <c r="AG406" s="1501"/>
      <c r="AH406" s="1502">
        <v>0.7</v>
      </c>
      <c r="AI406" s="1503" t="s">
        <v>1909</v>
      </c>
      <c r="AJ406" s="1502" t="s">
        <v>635</v>
      </c>
      <c r="AK406" s="1501"/>
      <c r="AL406" s="1501"/>
      <c r="AM406" s="1501"/>
      <c r="AN406" s="1504">
        <v>1</v>
      </c>
      <c r="AO406" s="1504" t="s">
        <v>635</v>
      </c>
      <c r="AP406" s="1506" t="s">
        <v>635</v>
      </c>
    </row>
    <row r="407" spans="1:42" ht="30">
      <c r="A407" s="1481" t="s">
        <v>2627</v>
      </c>
      <c r="B407" s="1482" t="s">
        <v>2628</v>
      </c>
      <c r="C407" s="1483">
        <v>74.123999999999995</v>
      </c>
      <c r="D407" s="1484" t="s">
        <v>1883</v>
      </c>
      <c r="E407" s="1485">
        <v>3.9983646770000002E-4</v>
      </c>
      <c r="F407" s="1485">
        <v>9.7799999999999995E-6</v>
      </c>
      <c r="G407" s="1486" t="s">
        <v>1883</v>
      </c>
      <c r="H407" s="1485">
        <v>10.45</v>
      </c>
      <c r="I407" s="1486" t="s">
        <v>1883</v>
      </c>
      <c r="J407" s="1487">
        <v>-108</v>
      </c>
      <c r="K407" s="1488" t="s">
        <v>1883</v>
      </c>
      <c r="L407" s="1489">
        <v>0.80179999999999996</v>
      </c>
      <c r="M407" s="1490" t="s">
        <v>1884</v>
      </c>
      <c r="N407" s="1491">
        <v>8.9667746126829997E-2</v>
      </c>
      <c r="O407" s="1491">
        <v>1.004005505E-5</v>
      </c>
      <c r="P407" s="1492" t="s">
        <v>1885</v>
      </c>
      <c r="Q407" s="1493" t="s">
        <v>635</v>
      </c>
      <c r="R407" s="1494"/>
      <c r="S407" s="1493">
        <v>2.919</v>
      </c>
      <c r="T407" s="1493" t="s">
        <v>1199</v>
      </c>
      <c r="U407" s="1493">
        <v>0.76</v>
      </c>
      <c r="V407" s="1495" t="s">
        <v>1883</v>
      </c>
      <c r="W407" s="1496">
        <v>85000</v>
      </c>
      <c r="X407" s="1497" t="s">
        <v>1883</v>
      </c>
      <c r="Y407" s="1498">
        <v>6.3578064767100002E-3</v>
      </c>
      <c r="Z407" s="1498">
        <v>0.27349106952802998</v>
      </c>
      <c r="AA407" s="1498">
        <v>0.65637856686726004</v>
      </c>
      <c r="AB407" s="1498">
        <v>1.92E-3</v>
      </c>
      <c r="AC407" s="1499" t="s">
        <v>1199</v>
      </c>
      <c r="AD407" s="1500" t="s">
        <v>635</v>
      </c>
      <c r="AE407" s="1501"/>
      <c r="AF407" s="1502" t="s">
        <v>635</v>
      </c>
      <c r="AG407" s="1501"/>
      <c r="AH407" s="1502">
        <v>0.3</v>
      </c>
      <c r="AI407" s="1503" t="s">
        <v>1119</v>
      </c>
      <c r="AJ407" s="1502">
        <v>0.4</v>
      </c>
      <c r="AK407" s="1503" t="s">
        <v>1893</v>
      </c>
      <c r="AL407" s="1503" t="s">
        <v>1127</v>
      </c>
      <c r="AM407" s="1501"/>
      <c r="AN407" s="1504">
        <v>1</v>
      </c>
      <c r="AO407" s="1504" t="s">
        <v>635</v>
      </c>
      <c r="AP407" s="1506">
        <v>10000</v>
      </c>
    </row>
    <row r="408" spans="1:42" ht="30">
      <c r="A408" s="1507" t="s">
        <v>2629</v>
      </c>
      <c r="B408" s="1508" t="s">
        <v>2630</v>
      </c>
      <c r="C408" s="1509">
        <v>138.21</v>
      </c>
      <c r="D408" s="1510" t="s">
        <v>1883</v>
      </c>
      <c r="E408" s="1511">
        <v>2.7146361406E-4</v>
      </c>
      <c r="F408" s="1511">
        <v>6.64E-6</v>
      </c>
      <c r="G408" s="1512" t="s">
        <v>1199</v>
      </c>
      <c r="H408" s="1511">
        <v>0.438</v>
      </c>
      <c r="I408" s="1512" t="s">
        <v>1883</v>
      </c>
      <c r="J408" s="1513">
        <v>-8.1</v>
      </c>
      <c r="K408" s="1514" t="s">
        <v>1883</v>
      </c>
      <c r="L408" s="1515">
        <v>0.92549999999999999</v>
      </c>
      <c r="M408" s="1516" t="s">
        <v>1884</v>
      </c>
      <c r="N408" s="1517">
        <v>5.2504777514610003E-2</v>
      </c>
      <c r="O408" s="1517">
        <v>7.5296353640500002E-6</v>
      </c>
      <c r="P408" s="1518" t="s">
        <v>1885</v>
      </c>
      <c r="Q408" s="1519" t="s">
        <v>635</v>
      </c>
      <c r="R408" s="1520"/>
      <c r="S408" s="1519">
        <v>65.150000000000006</v>
      </c>
      <c r="T408" s="1519" t="s">
        <v>1199</v>
      </c>
      <c r="U408" s="1519">
        <v>1.7</v>
      </c>
      <c r="V408" s="1521" t="s">
        <v>1883</v>
      </c>
      <c r="W408" s="1522">
        <v>12000</v>
      </c>
      <c r="X408" s="1523" t="s">
        <v>1883</v>
      </c>
      <c r="Y408" s="1524">
        <v>1.6006620468310001E-2</v>
      </c>
      <c r="Z408" s="1524">
        <v>0.62492046840691995</v>
      </c>
      <c r="AA408" s="1524">
        <v>1.4998091241766001</v>
      </c>
      <c r="AB408" s="1524">
        <v>3.5400000000000002E-3</v>
      </c>
      <c r="AC408" s="1525" t="s">
        <v>1199</v>
      </c>
      <c r="AD408" s="1526">
        <v>9.5E-4</v>
      </c>
      <c r="AE408" s="1529" t="s">
        <v>1119</v>
      </c>
      <c r="AF408" s="1528" t="s">
        <v>635</v>
      </c>
      <c r="AG408" s="1527"/>
      <c r="AH408" s="1528">
        <v>0.2</v>
      </c>
      <c r="AI408" s="1529" t="s">
        <v>1119</v>
      </c>
      <c r="AJ408" s="1528">
        <v>2</v>
      </c>
      <c r="AK408" s="1529" t="s">
        <v>1900</v>
      </c>
      <c r="AL408" s="1527"/>
      <c r="AM408" s="1527"/>
      <c r="AN408" s="1530">
        <v>1</v>
      </c>
      <c r="AO408" s="1531">
        <v>0.1</v>
      </c>
      <c r="AP408" s="1532" t="s">
        <v>635</v>
      </c>
    </row>
    <row r="409" spans="1:42" ht="30">
      <c r="A409" s="1481" t="s">
        <v>2631</v>
      </c>
      <c r="B409" s="1482" t="s">
        <v>2632</v>
      </c>
      <c r="C409" s="1483">
        <v>309.37</v>
      </c>
      <c r="D409" s="1484" t="s">
        <v>1883</v>
      </c>
      <c r="E409" s="1485">
        <v>4.5380212591999997E-3</v>
      </c>
      <c r="F409" s="1485">
        <v>1.11E-4</v>
      </c>
      <c r="G409" s="1486" t="s">
        <v>1199</v>
      </c>
      <c r="H409" s="1485">
        <v>3.0000000000000001E-5</v>
      </c>
      <c r="I409" s="1486" t="s">
        <v>1883</v>
      </c>
      <c r="J409" s="1487">
        <v>152.04</v>
      </c>
      <c r="K409" s="1488" t="s">
        <v>1199</v>
      </c>
      <c r="L409" s="1489">
        <v>1.157</v>
      </c>
      <c r="M409" s="1490" t="s">
        <v>1989</v>
      </c>
      <c r="N409" s="1491">
        <v>2.1279010908080001E-2</v>
      </c>
      <c r="O409" s="1491">
        <v>5.3086594775499996E-6</v>
      </c>
      <c r="P409" s="1492" t="s">
        <v>1885</v>
      </c>
      <c r="Q409" s="1493" t="s">
        <v>635</v>
      </c>
      <c r="R409" s="1494"/>
      <c r="S409" s="1493">
        <v>11430</v>
      </c>
      <c r="T409" s="1493" t="s">
        <v>1199</v>
      </c>
      <c r="U409" s="1493">
        <v>5.8</v>
      </c>
      <c r="V409" s="1495" t="s">
        <v>1883</v>
      </c>
      <c r="W409" s="1496">
        <v>0.11</v>
      </c>
      <c r="X409" s="1497" t="s">
        <v>1883</v>
      </c>
      <c r="Y409" s="1498">
        <v>1.4003483891327699</v>
      </c>
      <c r="Z409" s="1498">
        <v>5.6796392216619704</v>
      </c>
      <c r="AA409" s="1498">
        <v>22.431119805956801</v>
      </c>
      <c r="AB409" s="1498">
        <v>0.20699999999999999</v>
      </c>
      <c r="AC409" s="1499" t="s">
        <v>1199</v>
      </c>
      <c r="AD409" s="1500" t="s">
        <v>635</v>
      </c>
      <c r="AE409" s="1501"/>
      <c r="AF409" s="1502" t="s">
        <v>635</v>
      </c>
      <c r="AG409" s="1501"/>
      <c r="AH409" s="1502">
        <v>1.4999999999999999E-2</v>
      </c>
      <c r="AI409" s="1503" t="s">
        <v>1119</v>
      </c>
      <c r="AJ409" s="1502" t="s">
        <v>635</v>
      </c>
      <c r="AK409" s="1501"/>
      <c r="AL409" s="1503" t="s">
        <v>1127</v>
      </c>
      <c r="AM409" s="1501"/>
      <c r="AN409" s="1504">
        <v>1</v>
      </c>
      <c r="AO409" s="1504" t="s">
        <v>635</v>
      </c>
      <c r="AP409" s="1506" t="s">
        <v>635</v>
      </c>
    </row>
    <row r="410" spans="1:42" ht="30">
      <c r="A410" s="1481" t="s">
        <v>2633</v>
      </c>
      <c r="B410" s="1482" t="s">
        <v>2634</v>
      </c>
      <c r="C410" s="1483">
        <v>60.097000000000001</v>
      </c>
      <c r="D410" s="1484" t="s">
        <v>1883</v>
      </c>
      <c r="E410" s="1485">
        <v>3.3115290270000001E-4</v>
      </c>
      <c r="F410" s="1485">
        <v>8.1000000000000004E-6</v>
      </c>
      <c r="G410" s="1486" t="s">
        <v>1883</v>
      </c>
      <c r="H410" s="1485">
        <v>45.42</v>
      </c>
      <c r="I410" s="1486" t="s">
        <v>1883</v>
      </c>
      <c r="J410" s="1487">
        <v>-89.5</v>
      </c>
      <c r="K410" s="1488" t="s">
        <v>1883</v>
      </c>
      <c r="L410" s="1489">
        <v>0.78090000000000004</v>
      </c>
      <c r="M410" s="1490" t="s">
        <v>1884</v>
      </c>
      <c r="N410" s="1491">
        <v>0.10322609319999999</v>
      </c>
      <c r="O410" s="1491">
        <v>1.120772199E-5</v>
      </c>
      <c r="P410" s="1492" t="s">
        <v>1885</v>
      </c>
      <c r="Q410" s="1493" t="s">
        <v>635</v>
      </c>
      <c r="R410" s="1494"/>
      <c r="S410" s="1493">
        <v>1.53</v>
      </c>
      <c r="T410" s="1493" t="s">
        <v>1199</v>
      </c>
      <c r="U410" s="1493">
        <v>0.05</v>
      </c>
      <c r="V410" s="1495" t="s">
        <v>1883</v>
      </c>
      <c r="W410" s="1496">
        <v>1000000</v>
      </c>
      <c r="X410" s="1497" t="s">
        <v>1883</v>
      </c>
      <c r="Y410" s="1498">
        <v>2.3197043956999998E-3</v>
      </c>
      <c r="Z410" s="1498">
        <v>0.22824010036138001</v>
      </c>
      <c r="AA410" s="1498">
        <v>0.54777624086732002</v>
      </c>
      <c r="AB410" s="1498">
        <v>7.7800000000000005E-4</v>
      </c>
      <c r="AC410" s="1499" t="s">
        <v>1199</v>
      </c>
      <c r="AD410" s="1500" t="s">
        <v>635</v>
      </c>
      <c r="AE410" s="1501"/>
      <c r="AF410" s="1502" t="s">
        <v>635</v>
      </c>
      <c r="AG410" s="1501"/>
      <c r="AH410" s="1502">
        <v>2</v>
      </c>
      <c r="AI410" s="1503" t="s">
        <v>1909</v>
      </c>
      <c r="AJ410" s="1502">
        <v>0.2</v>
      </c>
      <c r="AK410" s="1503" t="s">
        <v>1909</v>
      </c>
      <c r="AL410" s="1503" t="s">
        <v>1127</v>
      </c>
      <c r="AM410" s="1501"/>
      <c r="AN410" s="1504">
        <v>1</v>
      </c>
      <c r="AO410" s="1504" t="s">
        <v>635</v>
      </c>
      <c r="AP410" s="1506">
        <v>109000</v>
      </c>
    </row>
    <row r="411" spans="1:42" ht="30">
      <c r="A411" s="1507" t="s">
        <v>2635</v>
      </c>
      <c r="B411" s="1508" t="s">
        <v>2636</v>
      </c>
      <c r="C411" s="1509">
        <v>138.1</v>
      </c>
      <c r="D411" s="1510" t="s">
        <v>1883</v>
      </c>
      <c r="E411" s="1511">
        <v>2.8127555192200002E-7</v>
      </c>
      <c r="F411" s="1511">
        <v>6.8800000000000002E-9</v>
      </c>
      <c r="G411" s="1512" t="s">
        <v>1883</v>
      </c>
      <c r="H411" s="1511">
        <v>1.1900000000000001E-2</v>
      </c>
      <c r="I411" s="1512" t="s">
        <v>1883</v>
      </c>
      <c r="J411" s="1513">
        <v>-8.1199999999999992</v>
      </c>
      <c r="K411" s="1514" t="s">
        <v>1199</v>
      </c>
      <c r="L411" s="1515" t="s">
        <v>635</v>
      </c>
      <c r="M411" s="1538"/>
      <c r="N411" s="1517">
        <v>7.1114443398499996E-2</v>
      </c>
      <c r="O411" s="1517">
        <v>8.3091612812999992E-6</v>
      </c>
      <c r="P411" s="1518" t="s">
        <v>1885</v>
      </c>
      <c r="Q411" s="1519" t="s">
        <v>635</v>
      </c>
      <c r="R411" s="1520"/>
      <c r="S411" s="1519">
        <v>7.7069999999999999</v>
      </c>
      <c r="T411" s="1519" t="s">
        <v>1199</v>
      </c>
      <c r="U411" s="1519">
        <v>0.27</v>
      </c>
      <c r="V411" s="1521" t="s">
        <v>1883</v>
      </c>
      <c r="W411" s="1522">
        <v>50420</v>
      </c>
      <c r="X411" s="1523" t="s">
        <v>1883</v>
      </c>
      <c r="Y411" s="1524">
        <v>1.7898584123E-3</v>
      </c>
      <c r="Z411" s="1524">
        <v>0.62403471427509005</v>
      </c>
      <c r="AA411" s="1524">
        <v>1.4976833142602299</v>
      </c>
      <c r="AB411" s="1524">
        <v>3.9599999999999998E-4</v>
      </c>
      <c r="AC411" s="1525" t="s">
        <v>1199</v>
      </c>
      <c r="AD411" s="1526" t="s">
        <v>635</v>
      </c>
      <c r="AE411" s="1527"/>
      <c r="AF411" s="1528" t="s">
        <v>635</v>
      </c>
      <c r="AG411" s="1527"/>
      <c r="AH411" s="1528">
        <v>0.1</v>
      </c>
      <c r="AI411" s="1529" t="s">
        <v>1119</v>
      </c>
      <c r="AJ411" s="1528" t="s">
        <v>635</v>
      </c>
      <c r="AK411" s="1527"/>
      <c r="AL411" s="1527"/>
      <c r="AM411" s="1527"/>
      <c r="AN411" s="1530">
        <v>1</v>
      </c>
      <c r="AO411" s="1531">
        <v>0.1</v>
      </c>
      <c r="AP411" s="1532" t="s">
        <v>635</v>
      </c>
    </row>
    <row r="412" spans="1:42" ht="30">
      <c r="A412" s="1481" t="s">
        <v>2637</v>
      </c>
      <c r="B412" s="1482" t="s">
        <v>2638</v>
      </c>
      <c r="C412" s="1483">
        <v>134.22</v>
      </c>
      <c r="D412" s="1484" t="s">
        <v>1883</v>
      </c>
      <c r="E412" s="1485">
        <v>0.44971381847914998</v>
      </c>
      <c r="F412" s="1485">
        <v>1.0999999999999999E-2</v>
      </c>
      <c r="G412" s="1486" t="s">
        <v>1199</v>
      </c>
      <c r="H412" s="1485">
        <v>1.46</v>
      </c>
      <c r="I412" s="1486" t="s">
        <v>1883</v>
      </c>
      <c r="J412" s="1487">
        <v>-68.900000000000006</v>
      </c>
      <c r="K412" s="1488" t="s">
        <v>1883</v>
      </c>
      <c r="L412" s="1489">
        <v>0.85729999999999995</v>
      </c>
      <c r="M412" s="1490" t="s">
        <v>1884</v>
      </c>
      <c r="N412" s="1491">
        <v>5.2694402818720003E-2</v>
      </c>
      <c r="O412" s="1491">
        <v>7.31915804472E-6</v>
      </c>
      <c r="P412" s="1492" t="s">
        <v>1885</v>
      </c>
      <c r="Q412" s="1493" t="s">
        <v>635</v>
      </c>
      <c r="R412" s="1494"/>
      <c r="S412" s="1493">
        <v>1120</v>
      </c>
      <c r="T412" s="1493" t="s">
        <v>1199</v>
      </c>
      <c r="U412" s="1493">
        <v>4.0999999999999996</v>
      </c>
      <c r="V412" s="1495" t="s">
        <v>1883</v>
      </c>
      <c r="W412" s="1496">
        <v>23.4</v>
      </c>
      <c r="X412" s="1497" t="s">
        <v>1883</v>
      </c>
      <c r="Y412" s="1498">
        <v>0.65501704887698997</v>
      </c>
      <c r="Z412" s="1498">
        <v>0.59358203670076004</v>
      </c>
      <c r="AA412" s="1498">
        <v>2.3334529885581801</v>
      </c>
      <c r="AB412" s="1498">
        <v>0.14699999999999999</v>
      </c>
      <c r="AC412" s="1499" t="s">
        <v>1199</v>
      </c>
      <c r="AD412" s="1500" t="s">
        <v>635</v>
      </c>
      <c r="AE412" s="1501"/>
      <c r="AF412" s="1502" t="s">
        <v>635</v>
      </c>
      <c r="AG412" s="1501"/>
      <c r="AH412" s="1502">
        <v>4.0000000000000001E-3</v>
      </c>
      <c r="AI412" s="1503" t="s">
        <v>1893</v>
      </c>
      <c r="AJ412" s="1502">
        <v>0.04</v>
      </c>
      <c r="AK412" s="1503" t="s">
        <v>1893</v>
      </c>
      <c r="AL412" s="1503" t="s">
        <v>1127</v>
      </c>
      <c r="AM412" s="1501"/>
      <c r="AN412" s="1504">
        <v>1</v>
      </c>
      <c r="AO412" s="1504" t="s">
        <v>635</v>
      </c>
      <c r="AP412" s="1506">
        <v>162</v>
      </c>
    </row>
    <row r="413" spans="1:42" ht="30">
      <c r="A413" s="1481" t="s">
        <v>2639</v>
      </c>
      <c r="B413" s="1482" t="s">
        <v>2640</v>
      </c>
      <c r="C413" s="1483">
        <v>332.4</v>
      </c>
      <c r="D413" s="1484" t="s">
        <v>1883</v>
      </c>
      <c r="E413" s="1485">
        <v>5.19215044971E-8</v>
      </c>
      <c r="F413" s="1485">
        <v>1.27E-9</v>
      </c>
      <c r="G413" s="1486" t="s">
        <v>1199</v>
      </c>
      <c r="H413" s="1485">
        <v>4.1299999999999996E-9</v>
      </c>
      <c r="I413" s="1486" t="s">
        <v>1883</v>
      </c>
      <c r="J413" s="1487">
        <v>177.5</v>
      </c>
      <c r="K413" s="1488" t="s">
        <v>1883</v>
      </c>
      <c r="L413" s="1489" t="s">
        <v>635</v>
      </c>
      <c r="M413" s="1533"/>
      <c r="N413" s="1491">
        <v>3.9595538845609998E-2</v>
      </c>
      <c r="O413" s="1491">
        <v>4.6264261177500003E-6</v>
      </c>
      <c r="P413" s="1492" t="s">
        <v>1885</v>
      </c>
      <c r="Q413" s="1493" t="s">
        <v>635</v>
      </c>
      <c r="R413" s="1494"/>
      <c r="S413" s="1493">
        <v>1262</v>
      </c>
      <c r="T413" s="1493" t="s">
        <v>1199</v>
      </c>
      <c r="U413" s="1493">
        <v>3.94</v>
      </c>
      <c r="V413" s="1495" t="s">
        <v>1883</v>
      </c>
      <c r="W413" s="1496">
        <v>1.42</v>
      </c>
      <c r="X413" s="1497" t="s">
        <v>1883</v>
      </c>
      <c r="Y413" s="1498">
        <v>6.2198624340270001E-2</v>
      </c>
      <c r="Z413" s="1498">
        <v>7.6434380436989002</v>
      </c>
      <c r="AA413" s="1498">
        <v>18.3442513048773</v>
      </c>
      <c r="AB413" s="1498">
        <v>8.8699999999999994E-3</v>
      </c>
      <c r="AC413" s="1499" t="s">
        <v>1199</v>
      </c>
      <c r="AD413" s="1500" t="s">
        <v>635</v>
      </c>
      <c r="AE413" s="1501"/>
      <c r="AF413" s="1502" t="s">
        <v>635</v>
      </c>
      <c r="AG413" s="1501"/>
      <c r="AH413" s="1502">
        <v>0.05</v>
      </c>
      <c r="AI413" s="1503" t="s">
        <v>1119</v>
      </c>
      <c r="AJ413" s="1502" t="s">
        <v>635</v>
      </c>
      <c r="AK413" s="1501"/>
      <c r="AL413" s="1501"/>
      <c r="AM413" s="1501"/>
      <c r="AN413" s="1504">
        <v>1</v>
      </c>
      <c r="AO413" s="1505">
        <v>0.1</v>
      </c>
      <c r="AP413" s="1506" t="s">
        <v>635</v>
      </c>
    </row>
    <row r="414" spans="1:42" ht="30">
      <c r="A414" s="1507" t="s">
        <v>2641</v>
      </c>
      <c r="B414" s="1508" t="s">
        <v>2642</v>
      </c>
      <c r="C414" s="1509" t="s">
        <v>635</v>
      </c>
      <c r="D414" s="1548"/>
      <c r="E414" s="1511">
        <v>0.40899999999999997</v>
      </c>
      <c r="F414" s="1511">
        <v>0.01</v>
      </c>
      <c r="G414" s="1512" t="s">
        <v>2643</v>
      </c>
      <c r="H414" s="1511">
        <v>10.5</v>
      </c>
      <c r="I414" s="1512" t="s">
        <v>2643</v>
      </c>
      <c r="J414" s="1513">
        <v>-55</v>
      </c>
      <c r="K414" s="1514" t="s">
        <v>2643</v>
      </c>
      <c r="L414" s="1515">
        <v>0.77900000000000003</v>
      </c>
      <c r="M414" s="1516" t="s">
        <v>2347</v>
      </c>
      <c r="N414" s="1517" t="s">
        <v>635</v>
      </c>
      <c r="O414" s="1517" t="s">
        <v>635</v>
      </c>
      <c r="P414" s="1549"/>
      <c r="Q414" s="1519" t="s">
        <v>635</v>
      </c>
      <c r="R414" s="1520"/>
      <c r="S414" s="1519" t="s">
        <v>635</v>
      </c>
      <c r="T414" s="1520"/>
      <c r="U414" s="1519">
        <v>8</v>
      </c>
      <c r="V414" s="1521" t="s">
        <v>2643</v>
      </c>
      <c r="W414" s="1522">
        <v>10.4</v>
      </c>
      <c r="X414" s="1523" t="s">
        <v>2643</v>
      </c>
      <c r="Y414" s="1524" t="s">
        <v>635</v>
      </c>
      <c r="Z414" s="1524" t="s">
        <v>635</v>
      </c>
      <c r="AA414" s="1524" t="s">
        <v>635</v>
      </c>
      <c r="AB414" s="1524" t="s">
        <v>635</v>
      </c>
      <c r="AC414" s="1550"/>
      <c r="AD414" s="1526" t="s">
        <v>635</v>
      </c>
      <c r="AE414" s="1527"/>
      <c r="AF414" s="1528" t="s">
        <v>635</v>
      </c>
      <c r="AG414" s="1527"/>
      <c r="AH414" s="1528" t="s">
        <v>635</v>
      </c>
      <c r="AI414" s="1527"/>
      <c r="AJ414" s="1528">
        <v>0.3</v>
      </c>
      <c r="AK414" s="1529" t="s">
        <v>1960</v>
      </c>
      <c r="AL414" s="1529" t="s">
        <v>1127</v>
      </c>
      <c r="AM414" s="1527"/>
      <c r="AN414" s="1530">
        <v>1</v>
      </c>
      <c r="AO414" s="1530" t="s">
        <v>635</v>
      </c>
      <c r="AP414" s="1532" t="s">
        <v>635</v>
      </c>
    </row>
    <row r="415" spans="1:42" ht="30">
      <c r="A415" s="1481" t="s">
        <v>2644</v>
      </c>
      <c r="B415" s="1482" t="s">
        <v>2645</v>
      </c>
      <c r="C415" s="1483">
        <v>461.78</v>
      </c>
      <c r="D415" s="1484" t="s">
        <v>1883</v>
      </c>
      <c r="E415" s="1485">
        <v>1.9296811119999999E-5</v>
      </c>
      <c r="F415" s="1485">
        <v>4.7199999999999999E-7</v>
      </c>
      <c r="G415" s="1486" t="s">
        <v>1199</v>
      </c>
      <c r="H415" s="1485">
        <v>7.0000000000000005E-8</v>
      </c>
      <c r="I415" s="1486" t="s">
        <v>1883</v>
      </c>
      <c r="J415" s="1487">
        <v>45</v>
      </c>
      <c r="K415" s="1488" t="s">
        <v>1883</v>
      </c>
      <c r="L415" s="1489" t="s">
        <v>635</v>
      </c>
      <c r="M415" s="1533"/>
      <c r="N415" s="1491">
        <v>3.1802665499969997E-2</v>
      </c>
      <c r="O415" s="1491">
        <v>3.7158903899999999E-6</v>
      </c>
      <c r="P415" s="1492" t="s">
        <v>1885</v>
      </c>
      <c r="Q415" s="1493" t="s">
        <v>635</v>
      </c>
      <c r="R415" s="1494"/>
      <c r="S415" s="1493">
        <v>23030</v>
      </c>
      <c r="T415" s="1493" t="s">
        <v>1199</v>
      </c>
      <c r="U415" s="1493">
        <v>4.8099999999999996</v>
      </c>
      <c r="V415" s="1495" t="s">
        <v>1883</v>
      </c>
      <c r="W415" s="1496">
        <v>0.1</v>
      </c>
      <c r="X415" s="1497" t="s">
        <v>1883</v>
      </c>
      <c r="Y415" s="1498">
        <v>5.2152312573889997E-2</v>
      </c>
      <c r="Z415" s="1498">
        <v>40.533746737697101</v>
      </c>
      <c r="AA415" s="1498">
        <v>97.280992170472999</v>
      </c>
      <c r="AB415" s="1498">
        <v>6.3099999999999996E-3</v>
      </c>
      <c r="AC415" s="1499" t="s">
        <v>1199</v>
      </c>
      <c r="AD415" s="1500" t="s">
        <v>635</v>
      </c>
      <c r="AE415" s="1501"/>
      <c r="AF415" s="1502" t="s">
        <v>635</v>
      </c>
      <c r="AG415" s="1501"/>
      <c r="AH415" s="1502">
        <v>8.0000000000000002E-3</v>
      </c>
      <c r="AI415" s="1503" t="s">
        <v>1116</v>
      </c>
      <c r="AJ415" s="1502" t="s">
        <v>635</v>
      </c>
      <c r="AK415" s="1501"/>
      <c r="AL415" s="1501"/>
      <c r="AM415" s="1501"/>
      <c r="AN415" s="1504">
        <v>1</v>
      </c>
      <c r="AO415" s="1505">
        <v>0.1</v>
      </c>
      <c r="AP415" s="1506" t="s">
        <v>635</v>
      </c>
    </row>
    <row r="416" spans="1:42" ht="30">
      <c r="A416" s="1481" t="s">
        <v>2646</v>
      </c>
      <c r="B416" s="1482" t="s">
        <v>2647</v>
      </c>
      <c r="C416" s="1483">
        <v>71.078999999999994</v>
      </c>
      <c r="D416" s="1484" t="s">
        <v>1883</v>
      </c>
      <c r="E416" s="1485">
        <v>4.0065412919000002E-4</v>
      </c>
      <c r="F416" s="1485">
        <v>9.7999999999999993E-6</v>
      </c>
      <c r="G416" s="1486" t="s">
        <v>1883</v>
      </c>
      <c r="H416" s="1485">
        <v>0.11890000000000001</v>
      </c>
      <c r="I416" s="1486" t="s">
        <v>1883</v>
      </c>
      <c r="J416" s="1487">
        <v>-40</v>
      </c>
      <c r="K416" s="1488" t="s">
        <v>1883</v>
      </c>
      <c r="L416" s="1489">
        <v>0.98770000000000002</v>
      </c>
      <c r="M416" s="1490" t="s">
        <v>1884</v>
      </c>
      <c r="N416" s="1491">
        <v>0.10109056427792</v>
      </c>
      <c r="O416" s="1491">
        <v>1.1668150399999999E-5</v>
      </c>
      <c r="P416" s="1492" t="s">
        <v>1885</v>
      </c>
      <c r="Q416" s="1493" t="s">
        <v>635</v>
      </c>
      <c r="R416" s="1494"/>
      <c r="S416" s="1493">
        <v>1</v>
      </c>
      <c r="T416" s="1493" t="s">
        <v>1199</v>
      </c>
      <c r="U416" s="1493">
        <v>-0.94</v>
      </c>
      <c r="V416" s="1495" t="s">
        <v>1883</v>
      </c>
      <c r="W416" s="1496">
        <v>465600</v>
      </c>
      <c r="X416" s="1497" t="s">
        <v>1883</v>
      </c>
      <c r="Y416" s="1498">
        <v>4.7990914080999999E-4</v>
      </c>
      <c r="Z416" s="1498">
        <v>0.26296088313131</v>
      </c>
      <c r="AA416" s="1498">
        <v>0.63110611951515005</v>
      </c>
      <c r="AB416" s="1498">
        <v>1.4799999999999999E-4</v>
      </c>
      <c r="AC416" s="1499" t="s">
        <v>1199</v>
      </c>
      <c r="AD416" s="1500" t="s">
        <v>635</v>
      </c>
      <c r="AE416" s="1501"/>
      <c r="AF416" s="1502" t="s">
        <v>635</v>
      </c>
      <c r="AG416" s="1501"/>
      <c r="AH416" s="1502">
        <v>2.0000000000000001E-4</v>
      </c>
      <c r="AI416" s="1503" t="s">
        <v>1893</v>
      </c>
      <c r="AJ416" s="1502" t="s">
        <v>635</v>
      </c>
      <c r="AK416" s="1501"/>
      <c r="AL416" s="1501"/>
      <c r="AM416" s="1501"/>
      <c r="AN416" s="1504">
        <v>1</v>
      </c>
      <c r="AO416" s="1505">
        <v>0.1</v>
      </c>
      <c r="AP416" s="1506" t="s">
        <v>635</v>
      </c>
    </row>
    <row r="417" spans="1:42" ht="30">
      <c r="A417" s="1507" t="s">
        <v>2648</v>
      </c>
      <c r="B417" s="1508" t="s">
        <v>2649</v>
      </c>
      <c r="C417" s="1509">
        <v>138.91</v>
      </c>
      <c r="D417" s="1510" t="s">
        <v>1199</v>
      </c>
      <c r="E417" s="1511" t="s">
        <v>635</v>
      </c>
      <c r="F417" s="1511" t="s">
        <v>635</v>
      </c>
      <c r="G417" s="1534"/>
      <c r="H417" s="1511" t="s">
        <v>635</v>
      </c>
      <c r="I417" s="1534"/>
      <c r="J417" s="1513">
        <v>920</v>
      </c>
      <c r="K417" s="1514" t="s">
        <v>1884</v>
      </c>
      <c r="L417" s="1515">
        <v>6.15</v>
      </c>
      <c r="M417" s="1516" t="s">
        <v>1884</v>
      </c>
      <c r="N417" s="1517">
        <v>0.11287914182257</v>
      </c>
      <c r="O417" s="1517">
        <v>2.3386042479999999E-5</v>
      </c>
      <c r="P417" s="1518" t="s">
        <v>1885</v>
      </c>
      <c r="Q417" s="1519" t="s">
        <v>635</v>
      </c>
      <c r="R417" s="1520"/>
      <c r="S417" s="1519" t="s">
        <v>635</v>
      </c>
      <c r="T417" s="1520"/>
      <c r="U417" s="1519" t="s">
        <v>635</v>
      </c>
      <c r="V417" s="1507"/>
      <c r="W417" s="1522" t="s">
        <v>635</v>
      </c>
      <c r="X417" s="1535"/>
      <c r="Y417" s="1524">
        <v>4.53308025167E-3</v>
      </c>
      <c r="Z417" s="1524">
        <v>0.63058661726125997</v>
      </c>
      <c r="AA417" s="1524">
        <v>1.51340788142702</v>
      </c>
      <c r="AB417" s="1524">
        <v>1E-3</v>
      </c>
      <c r="AC417" s="1525" t="s">
        <v>1203</v>
      </c>
      <c r="AD417" s="1526" t="s">
        <v>635</v>
      </c>
      <c r="AE417" s="1527"/>
      <c r="AF417" s="1528" t="s">
        <v>635</v>
      </c>
      <c r="AG417" s="1527"/>
      <c r="AH417" s="1528">
        <v>5.0000000000000002E-5</v>
      </c>
      <c r="AI417" s="1529" t="s">
        <v>1909</v>
      </c>
      <c r="AJ417" s="1528" t="s">
        <v>635</v>
      </c>
      <c r="AK417" s="1527"/>
      <c r="AL417" s="1527"/>
      <c r="AM417" s="1527"/>
      <c r="AN417" s="1530">
        <v>1</v>
      </c>
      <c r="AO417" s="1530" t="s">
        <v>635</v>
      </c>
      <c r="AP417" s="1532" t="s">
        <v>635</v>
      </c>
    </row>
    <row r="418" spans="1:42" ht="30">
      <c r="A418" s="1481" t="s">
        <v>2650</v>
      </c>
      <c r="B418" s="1482" t="s">
        <v>2651</v>
      </c>
      <c r="C418" s="1483">
        <v>334.05</v>
      </c>
      <c r="D418" s="1484" t="s">
        <v>1247</v>
      </c>
      <c r="E418" s="1485" t="s">
        <v>635</v>
      </c>
      <c r="F418" s="1485" t="s">
        <v>635</v>
      </c>
      <c r="G418" s="1536"/>
      <c r="H418" s="1485" t="s">
        <v>635</v>
      </c>
      <c r="I418" s="1536"/>
      <c r="J418" s="1487" t="s">
        <v>635</v>
      </c>
      <c r="K418" s="1542"/>
      <c r="L418" s="1489" t="s">
        <v>635</v>
      </c>
      <c r="M418" s="1533"/>
      <c r="N418" s="1491">
        <v>3.946504632193E-2</v>
      </c>
      <c r="O418" s="1491">
        <v>4.6111790965600001E-6</v>
      </c>
      <c r="P418" s="1492" t="s">
        <v>1885</v>
      </c>
      <c r="Q418" s="1493" t="s">
        <v>635</v>
      </c>
      <c r="R418" s="1494"/>
      <c r="S418" s="1493" t="s">
        <v>635</v>
      </c>
      <c r="T418" s="1494"/>
      <c r="U418" s="1493" t="s">
        <v>635</v>
      </c>
      <c r="V418" s="1481"/>
      <c r="W418" s="1496" t="s">
        <v>635</v>
      </c>
      <c r="X418" s="1537"/>
      <c r="Y418" s="1498" t="s">
        <v>635</v>
      </c>
      <c r="Z418" s="1498">
        <v>7.8078012485189099</v>
      </c>
      <c r="AA418" s="1498">
        <v>18.7387229964454</v>
      </c>
      <c r="AB418" s="1498" t="s">
        <v>635</v>
      </c>
      <c r="AC418" s="1547"/>
      <c r="AD418" s="1500" t="s">
        <v>635</v>
      </c>
      <c r="AE418" s="1501"/>
      <c r="AF418" s="1502" t="s">
        <v>635</v>
      </c>
      <c r="AG418" s="1501"/>
      <c r="AH418" s="1502">
        <v>2.0800000000000001E-5</v>
      </c>
      <c r="AI418" s="1503" t="s">
        <v>1909</v>
      </c>
      <c r="AJ418" s="1502" t="s">
        <v>635</v>
      </c>
      <c r="AK418" s="1501"/>
      <c r="AL418" s="1501"/>
      <c r="AM418" s="1501"/>
      <c r="AN418" s="1504">
        <v>1</v>
      </c>
      <c r="AO418" s="1505">
        <v>0.1</v>
      </c>
      <c r="AP418" s="1506" t="s">
        <v>635</v>
      </c>
    </row>
    <row r="419" spans="1:42" ht="30">
      <c r="A419" s="1481" t="s">
        <v>2652</v>
      </c>
      <c r="B419" s="1482" t="s">
        <v>2653</v>
      </c>
      <c r="C419" s="1483">
        <v>371.37099999999998</v>
      </c>
      <c r="D419" s="1484" t="s">
        <v>1884</v>
      </c>
      <c r="E419" s="1485" t="s">
        <v>635</v>
      </c>
      <c r="F419" s="1485" t="s">
        <v>635</v>
      </c>
      <c r="G419" s="1536"/>
      <c r="H419" s="1485" t="s">
        <v>635</v>
      </c>
      <c r="I419" s="1536"/>
      <c r="J419" s="1487">
        <v>91</v>
      </c>
      <c r="K419" s="1488" t="s">
        <v>1884</v>
      </c>
      <c r="L419" s="1489" t="s">
        <v>635</v>
      </c>
      <c r="M419" s="1533"/>
      <c r="N419" s="1491">
        <v>3.6774626982279998E-2</v>
      </c>
      <c r="O419" s="1491">
        <v>4.2968248368800003E-6</v>
      </c>
      <c r="P419" s="1492" t="s">
        <v>1885</v>
      </c>
      <c r="Q419" s="1493" t="s">
        <v>635</v>
      </c>
      <c r="R419" s="1494"/>
      <c r="S419" s="1493" t="s">
        <v>635</v>
      </c>
      <c r="T419" s="1494"/>
      <c r="U419" s="1493" t="s">
        <v>635</v>
      </c>
      <c r="V419" s="1481"/>
      <c r="W419" s="1496">
        <v>957000</v>
      </c>
      <c r="X419" s="1497" t="s">
        <v>1884</v>
      </c>
      <c r="Y419" s="1498">
        <v>7.4119186761300001E-3</v>
      </c>
      <c r="Z419" s="1498">
        <v>12.6335775221907</v>
      </c>
      <c r="AA419" s="1498">
        <v>30.320586053257699</v>
      </c>
      <c r="AB419" s="1498">
        <v>1E-3</v>
      </c>
      <c r="AC419" s="1499" t="s">
        <v>1203</v>
      </c>
      <c r="AD419" s="1500" t="s">
        <v>635</v>
      </c>
      <c r="AE419" s="1501"/>
      <c r="AF419" s="1502" t="s">
        <v>635</v>
      </c>
      <c r="AG419" s="1501"/>
      <c r="AH419" s="1502">
        <v>1.8700000000000001E-5</v>
      </c>
      <c r="AI419" s="1503" t="s">
        <v>1909</v>
      </c>
      <c r="AJ419" s="1502" t="s">
        <v>635</v>
      </c>
      <c r="AK419" s="1501"/>
      <c r="AL419" s="1501"/>
      <c r="AM419" s="1501"/>
      <c r="AN419" s="1504">
        <v>1</v>
      </c>
      <c r="AO419" s="1504" t="s">
        <v>635</v>
      </c>
      <c r="AP419" s="1506" t="s">
        <v>635</v>
      </c>
    </row>
    <row r="420" spans="1:42" ht="30">
      <c r="A420" s="1507" t="s">
        <v>2654</v>
      </c>
      <c r="B420" s="1508" t="s">
        <v>2655</v>
      </c>
      <c r="C420" s="1509">
        <v>245.26</v>
      </c>
      <c r="D420" s="1510" t="s">
        <v>1199</v>
      </c>
      <c r="E420" s="1511" t="s">
        <v>635</v>
      </c>
      <c r="F420" s="1511" t="s">
        <v>635</v>
      </c>
      <c r="G420" s="1534"/>
      <c r="H420" s="1511" t="s">
        <v>635</v>
      </c>
      <c r="I420" s="1534"/>
      <c r="J420" s="1513">
        <v>858</v>
      </c>
      <c r="K420" s="1514" t="s">
        <v>1884</v>
      </c>
      <c r="L420" s="1515">
        <v>3.84</v>
      </c>
      <c r="M420" s="1516" t="s">
        <v>1884</v>
      </c>
      <c r="N420" s="1517">
        <v>4.0923354276460003E-2</v>
      </c>
      <c r="O420" s="1517">
        <v>1.2534138E-5</v>
      </c>
      <c r="P420" s="1518" t="s">
        <v>1885</v>
      </c>
      <c r="Q420" s="1519" t="s">
        <v>635</v>
      </c>
      <c r="R420" s="1520"/>
      <c r="S420" s="1519" t="s">
        <v>635</v>
      </c>
      <c r="T420" s="1520"/>
      <c r="U420" s="1519" t="s">
        <v>635</v>
      </c>
      <c r="V420" s="1507"/>
      <c r="W420" s="1522">
        <v>957000</v>
      </c>
      <c r="X420" s="1523" t="s">
        <v>1884</v>
      </c>
      <c r="Y420" s="1524">
        <v>6.0233765521300001E-3</v>
      </c>
      <c r="Z420" s="1524">
        <v>2.48487616089366</v>
      </c>
      <c r="AA420" s="1524">
        <v>5.96370278614478</v>
      </c>
      <c r="AB420" s="1524">
        <v>1E-3</v>
      </c>
      <c r="AC420" s="1525" t="s">
        <v>1203</v>
      </c>
      <c r="AD420" s="1526" t="s">
        <v>635</v>
      </c>
      <c r="AE420" s="1527"/>
      <c r="AF420" s="1528" t="s">
        <v>635</v>
      </c>
      <c r="AG420" s="1527"/>
      <c r="AH420" s="1528">
        <v>2.83E-5</v>
      </c>
      <c r="AI420" s="1529" t="s">
        <v>1909</v>
      </c>
      <c r="AJ420" s="1528" t="s">
        <v>635</v>
      </c>
      <c r="AK420" s="1527"/>
      <c r="AL420" s="1527"/>
      <c r="AM420" s="1527"/>
      <c r="AN420" s="1530">
        <v>1</v>
      </c>
      <c r="AO420" s="1530" t="s">
        <v>635</v>
      </c>
      <c r="AP420" s="1532" t="s">
        <v>635</v>
      </c>
    </row>
    <row r="421" spans="1:42" ht="30">
      <c r="A421" s="1481" t="s">
        <v>2656</v>
      </c>
      <c r="B421" s="1482" t="s">
        <v>2657</v>
      </c>
      <c r="C421" s="1483">
        <v>433.01100000000002</v>
      </c>
      <c r="D421" s="1484" t="s">
        <v>1884</v>
      </c>
      <c r="E421" s="1485" t="s">
        <v>635</v>
      </c>
      <c r="F421" s="1485" t="s">
        <v>635</v>
      </c>
      <c r="G421" s="1536"/>
      <c r="H421" s="1485" t="s">
        <v>635</v>
      </c>
      <c r="I421" s="1536"/>
      <c r="J421" s="1487">
        <v>40</v>
      </c>
      <c r="K421" s="1488" t="s">
        <v>1884</v>
      </c>
      <c r="L421" s="1489" t="s">
        <v>635</v>
      </c>
      <c r="M421" s="1533"/>
      <c r="N421" s="1491">
        <v>3.319614464172E-2</v>
      </c>
      <c r="O421" s="1491">
        <v>3.87870742656E-6</v>
      </c>
      <c r="P421" s="1492" t="s">
        <v>1885</v>
      </c>
      <c r="Q421" s="1493" t="s">
        <v>635</v>
      </c>
      <c r="R421" s="1494"/>
      <c r="S421" s="1493" t="s">
        <v>635</v>
      </c>
      <c r="T421" s="1494"/>
      <c r="U421" s="1493" t="s">
        <v>635</v>
      </c>
      <c r="V421" s="1481"/>
      <c r="W421" s="1496">
        <v>2000000</v>
      </c>
      <c r="X421" s="1497" t="s">
        <v>1884</v>
      </c>
      <c r="Y421" s="1498">
        <v>8.0034293685099997E-3</v>
      </c>
      <c r="Z421" s="1498">
        <v>27.9711517637854</v>
      </c>
      <c r="AA421" s="1498">
        <v>67.130764233085003</v>
      </c>
      <c r="AB421" s="1498">
        <v>1E-3</v>
      </c>
      <c r="AC421" s="1499" t="s">
        <v>1203</v>
      </c>
      <c r="AD421" s="1500" t="s">
        <v>635</v>
      </c>
      <c r="AE421" s="1501"/>
      <c r="AF421" s="1502" t="s">
        <v>635</v>
      </c>
      <c r="AG421" s="1501"/>
      <c r="AH421" s="1502">
        <v>1.5999999999999999E-5</v>
      </c>
      <c r="AI421" s="1503" t="s">
        <v>1909</v>
      </c>
      <c r="AJ421" s="1502" t="s">
        <v>635</v>
      </c>
      <c r="AK421" s="1501"/>
      <c r="AL421" s="1501"/>
      <c r="AM421" s="1501"/>
      <c r="AN421" s="1504">
        <v>1</v>
      </c>
      <c r="AO421" s="1504" t="s">
        <v>635</v>
      </c>
      <c r="AP421" s="1506" t="s">
        <v>635</v>
      </c>
    </row>
    <row r="422" spans="1:42" ht="15">
      <c r="A422" s="1481"/>
      <c r="B422" s="1482" t="s">
        <v>2658</v>
      </c>
      <c r="C422" s="1483" t="s">
        <v>635</v>
      </c>
      <c r="D422" s="1543"/>
      <c r="E422" s="1485" t="s">
        <v>635</v>
      </c>
      <c r="F422" s="1485" t="s">
        <v>635</v>
      </c>
      <c r="G422" s="1536"/>
      <c r="H422" s="1485" t="s">
        <v>635</v>
      </c>
      <c r="I422" s="1536"/>
      <c r="J422" s="1487" t="s">
        <v>635</v>
      </c>
      <c r="K422" s="1542"/>
      <c r="L422" s="1489" t="s">
        <v>635</v>
      </c>
      <c r="M422" s="1533"/>
      <c r="N422" s="1491" t="s">
        <v>635</v>
      </c>
      <c r="O422" s="1491" t="s">
        <v>635</v>
      </c>
      <c r="P422" s="1544"/>
      <c r="Q422" s="1493" t="s">
        <v>635</v>
      </c>
      <c r="R422" s="1494"/>
      <c r="S422" s="1493" t="s">
        <v>635</v>
      </c>
      <c r="T422" s="1494"/>
      <c r="U422" s="1493" t="s">
        <v>635</v>
      </c>
      <c r="V422" s="1481"/>
      <c r="W422" s="1496" t="s">
        <v>635</v>
      </c>
      <c r="X422" s="1537"/>
      <c r="Y422" s="1498" t="s">
        <v>635</v>
      </c>
      <c r="Z422" s="1498" t="s">
        <v>635</v>
      </c>
      <c r="AA422" s="1498" t="s">
        <v>635</v>
      </c>
      <c r="AB422" s="1498" t="s">
        <v>635</v>
      </c>
      <c r="AC422" s="1547"/>
      <c r="AD422" s="1500" t="s">
        <v>635</v>
      </c>
      <c r="AE422" s="1501"/>
      <c r="AF422" s="1502" t="s">
        <v>635</v>
      </c>
      <c r="AG422" s="1501"/>
      <c r="AH422" s="1502" t="s">
        <v>635</v>
      </c>
      <c r="AI422" s="1501"/>
      <c r="AJ422" s="1502" t="s">
        <v>635</v>
      </c>
      <c r="AK422" s="1501"/>
      <c r="AL422" s="1501"/>
      <c r="AM422" s="1501"/>
      <c r="AN422" s="1504" t="s">
        <v>635</v>
      </c>
      <c r="AO422" s="1504" t="s">
        <v>635</v>
      </c>
      <c r="AP422" s="1506" t="s">
        <v>635</v>
      </c>
    </row>
    <row r="423" spans="1:42" ht="30">
      <c r="A423" s="1507" t="s">
        <v>2659</v>
      </c>
      <c r="B423" s="1508" t="s">
        <v>2660</v>
      </c>
      <c r="C423" s="1509">
        <v>811.51</v>
      </c>
      <c r="D423" s="1510" t="s">
        <v>1883</v>
      </c>
      <c r="E423" s="1511" t="s">
        <v>635</v>
      </c>
      <c r="F423" s="1511" t="s">
        <v>635</v>
      </c>
      <c r="G423" s="1534"/>
      <c r="H423" s="1511" t="s">
        <v>635</v>
      </c>
      <c r="I423" s="1534"/>
      <c r="J423" s="1513">
        <v>1014</v>
      </c>
      <c r="K423" s="1514" t="s">
        <v>1883</v>
      </c>
      <c r="L423" s="1515">
        <v>7.01</v>
      </c>
      <c r="M423" s="1516" t="s">
        <v>1884</v>
      </c>
      <c r="N423" s="1517">
        <v>3.051021758591E-2</v>
      </c>
      <c r="O423" s="1517">
        <v>8.7725581730199996E-6</v>
      </c>
      <c r="P423" s="1518" t="s">
        <v>1885</v>
      </c>
      <c r="Q423" s="1519" t="s">
        <v>635</v>
      </c>
      <c r="R423" s="1520"/>
      <c r="S423" s="1519" t="s">
        <v>635</v>
      </c>
      <c r="T423" s="1520"/>
      <c r="U423" s="1519" t="s">
        <v>635</v>
      </c>
      <c r="V423" s="1507"/>
      <c r="W423" s="1522">
        <v>0</v>
      </c>
      <c r="X423" s="1523" t="s">
        <v>1884</v>
      </c>
      <c r="Y423" s="1524">
        <v>1.0956544071379999E-2</v>
      </c>
      <c r="Z423" s="1524">
        <v>3683.8738478729001</v>
      </c>
      <c r="AA423" s="1524">
        <v>8841.2972348949606</v>
      </c>
      <c r="AB423" s="1524">
        <v>1E-3</v>
      </c>
      <c r="AC423" s="1525" t="s">
        <v>1203</v>
      </c>
      <c r="AD423" s="1526">
        <v>8.5000000000000006E-3</v>
      </c>
      <c r="AE423" s="1529" t="s">
        <v>1900</v>
      </c>
      <c r="AF423" s="1528">
        <v>1.2E-5</v>
      </c>
      <c r="AG423" s="1529" t="s">
        <v>1900</v>
      </c>
      <c r="AH423" s="1528" t="s">
        <v>635</v>
      </c>
      <c r="AI423" s="1527"/>
      <c r="AJ423" s="1528" t="s">
        <v>635</v>
      </c>
      <c r="AK423" s="1527"/>
      <c r="AL423" s="1527"/>
      <c r="AM423" s="1527"/>
      <c r="AN423" s="1530">
        <v>1</v>
      </c>
      <c r="AO423" s="1530" t="s">
        <v>635</v>
      </c>
      <c r="AP423" s="1532" t="s">
        <v>635</v>
      </c>
    </row>
    <row r="424" spans="1:42" ht="30">
      <c r="A424" s="1481" t="s">
        <v>2661</v>
      </c>
      <c r="B424" s="1482" t="s">
        <v>2662</v>
      </c>
      <c r="C424" s="1483">
        <v>327.3</v>
      </c>
      <c r="D424" s="1484" t="s">
        <v>1883</v>
      </c>
      <c r="E424" s="1485" t="s">
        <v>635</v>
      </c>
      <c r="F424" s="1485" t="s">
        <v>635</v>
      </c>
      <c r="G424" s="1536"/>
      <c r="H424" s="1485">
        <v>7.2199999999999999E-4</v>
      </c>
      <c r="I424" s="1486" t="s">
        <v>1883</v>
      </c>
      <c r="J424" s="1487">
        <v>327.39999999999998</v>
      </c>
      <c r="K424" s="1488" t="s">
        <v>1883</v>
      </c>
      <c r="L424" s="1489">
        <v>3.25</v>
      </c>
      <c r="M424" s="1490" t="s">
        <v>1884</v>
      </c>
      <c r="N424" s="1491">
        <v>3.3267868497239998E-2</v>
      </c>
      <c r="O424" s="1491">
        <v>9.5374919622899995E-6</v>
      </c>
      <c r="P424" s="1492" t="s">
        <v>1885</v>
      </c>
      <c r="Q424" s="1493" t="s">
        <v>635</v>
      </c>
      <c r="R424" s="1494"/>
      <c r="S424" s="1493">
        <v>1</v>
      </c>
      <c r="T424" s="1493" t="s">
        <v>1199</v>
      </c>
      <c r="U424" s="1493">
        <v>-0.08</v>
      </c>
      <c r="V424" s="1495" t="s">
        <v>1883</v>
      </c>
      <c r="W424" s="1496">
        <v>1600</v>
      </c>
      <c r="X424" s="1497" t="s">
        <v>1883</v>
      </c>
      <c r="Y424" s="1498">
        <v>1.4473147549999999E-4</v>
      </c>
      <c r="Z424" s="1498">
        <v>7.1569626309929602</v>
      </c>
      <c r="AA424" s="1498">
        <v>17.176710314383101</v>
      </c>
      <c r="AB424" s="1498">
        <v>2.0800000000000001E-5</v>
      </c>
      <c r="AC424" s="1499" t="s">
        <v>1199</v>
      </c>
      <c r="AD424" s="1500">
        <v>0.21</v>
      </c>
      <c r="AE424" s="1503" t="s">
        <v>1900</v>
      </c>
      <c r="AF424" s="1502">
        <v>8.0000000000000007E-5</v>
      </c>
      <c r="AG424" s="1503" t="s">
        <v>1900</v>
      </c>
      <c r="AH424" s="1502" t="s">
        <v>635</v>
      </c>
      <c r="AI424" s="1501"/>
      <c r="AJ424" s="1502" t="s">
        <v>635</v>
      </c>
      <c r="AK424" s="1501"/>
      <c r="AL424" s="1501"/>
      <c r="AM424" s="1501"/>
      <c r="AN424" s="1504">
        <v>1</v>
      </c>
      <c r="AO424" s="1505">
        <v>0.1</v>
      </c>
      <c r="AP424" s="1506" t="s">
        <v>635</v>
      </c>
    </row>
    <row r="425" spans="1:42" ht="30">
      <c r="A425" s="1481" t="s">
        <v>212</v>
      </c>
      <c r="B425" s="1482" t="s">
        <v>2663</v>
      </c>
      <c r="C425" s="1483">
        <v>207.2</v>
      </c>
      <c r="D425" s="1484" t="s">
        <v>1199</v>
      </c>
      <c r="E425" s="1485" t="s">
        <v>635</v>
      </c>
      <c r="F425" s="1485" t="s">
        <v>635</v>
      </c>
      <c r="G425" s="1536"/>
      <c r="H425" s="1485">
        <v>0</v>
      </c>
      <c r="I425" s="1486" t="s">
        <v>1929</v>
      </c>
      <c r="J425" s="1487">
        <v>327.46199999999999</v>
      </c>
      <c r="K425" s="1488" t="s">
        <v>1884</v>
      </c>
      <c r="L425" s="1489">
        <v>11.3</v>
      </c>
      <c r="M425" s="1490" t="s">
        <v>1884</v>
      </c>
      <c r="N425" s="1491">
        <v>6.6375585418489993E-2</v>
      </c>
      <c r="O425" s="1491">
        <v>2.6502386730000001E-5</v>
      </c>
      <c r="P425" s="1492" t="s">
        <v>1885</v>
      </c>
      <c r="Q425" s="1493">
        <v>900</v>
      </c>
      <c r="R425" s="1493" t="s">
        <v>1930</v>
      </c>
      <c r="S425" s="1493" t="s">
        <v>635</v>
      </c>
      <c r="T425" s="1494"/>
      <c r="U425" s="1493" t="s">
        <v>635</v>
      </c>
      <c r="V425" s="1481"/>
      <c r="W425" s="1496" t="s">
        <v>635</v>
      </c>
      <c r="X425" s="1537"/>
      <c r="Y425" s="1498">
        <v>5.5363243739999998E-4</v>
      </c>
      <c r="Z425" s="1498">
        <v>1.52113846901482</v>
      </c>
      <c r="AA425" s="1498">
        <v>3.6507323256355702</v>
      </c>
      <c r="AB425" s="1498">
        <v>1E-4</v>
      </c>
      <c r="AC425" s="1499" t="s">
        <v>1203</v>
      </c>
      <c r="AD425" s="1500" t="s">
        <v>635</v>
      </c>
      <c r="AE425" s="1501"/>
      <c r="AF425" s="1502" t="s">
        <v>635</v>
      </c>
      <c r="AG425" s="1501"/>
      <c r="AH425" s="1502" t="s">
        <v>635</v>
      </c>
      <c r="AI425" s="1501"/>
      <c r="AJ425" s="1502" t="s">
        <v>635</v>
      </c>
      <c r="AK425" s="1501"/>
      <c r="AL425" s="1501"/>
      <c r="AM425" s="1501"/>
      <c r="AN425" s="1504">
        <v>1</v>
      </c>
      <c r="AO425" s="1504" t="s">
        <v>635</v>
      </c>
      <c r="AP425" s="1506" t="s">
        <v>635</v>
      </c>
    </row>
    <row r="426" spans="1:42" ht="60">
      <c r="A426" s="1507" t="s">
        <v>212</v>
      </c>
      <c r="B426" s="1508" t="s">
        <v>2664</v>
      </c>
      <c r="C426" s="1509">
        <v>207.2</v>
      </c>
      <c r="D426" s="1510" t="s">
        <v>1199</v>
      </c>
      <c r="E426" s="1511" t="s">
        <v>635</v>
      </c>
      <c r="F426" s="1511" t="s">
        <v>635</v>
      </c>
      <c r="G426" s="1534"/>
      <c r="H426" s="1511">
        <v>0</v>
      </c>
      <c r="I426" s="1512" t="s">
        <v>1929</v>
      </c>
      <c r="J426" s="1513">
        <v>327.46199999999999</v>
      </c>
      <c r="K426" s="1514" t="s">
        <v>1884</v>
      </c>
      <c r="L426" s="1515">
        <v>11.3</v>
      </c>
      <c r="M426" s="1516" t="s">
        <v>1884</v>
      </c>
      <c r="N426" s="1517">
        <v>6.6375585418489993E-2</v>
      </c>
      <c r="O426" s="1517">
        <v>2.6502386730000001E-5</v>
      </c>
      <c r="P426" s="1518" t="s">
        <v>1885</v>
      </c>
      <c r="Q426" s="1519">
        <v>900</v>
      </c>
      <c r="R426" s="1519" t="s">
        <v>1930</v>
      </c>
      <c r="S426" s="1519" t="s">
        <v>635</v>
      </c>
      <c r="T426" s="1520"/>
      <c r="U426" s="1519" t="s">
        <v>635</v>
      </c>
      <c r="V426" s="1507"/>
      <c r="W426" s="1522" t="s">
        <v>635</v>
      </c>
      <c r="X426" s="1535"/>
      <c r="Y426" s="1524">
        <v>5.5363243739999998E-4</v>
      </c>
      <c r="Z426" s="1524">
        <v>1.52113846901482</v>
      </c>
      <c r="AA426" s="1524">
        <v>3.6507323256355702</v>
      </c>
      <c r="AB426" s="1524">
        <v>1E-4</v>
      </c>
      <c r="AC426" s="1525" t="s">
        <v>1203</v>
      </c>
      <c r="AD426" s="1526" t="s">
        <v>635</v>
      </c>
      <c r="AE426" s="1527"/>
      <c r="AF426" s="1528" t="s">
        <v>635</v>
      </c>
      <c r="AG426" s="1527"/>
      <c r="AH426" s="1528" t="s">
        <v>635</v>
      </c>
      <c r="AI426" s="1527"/>
      <c r="AJ426" s="1528" t="s">
        <v>635</v>
      </c>
      <c r="AK426" s="1527"/>
      <c r="AL426" s="1527"/>
      <c r="AM426" s="1527"/>
      <c r="AN426" s="1530">
        <v>1</v>
      </c>
      <c r="AO426" s="1530" t="s">
        <v>635</v>
      </c>
      <c r="AP426" s="1532" t="s">
        <v>635</v>
      </c>
    </row>
    <row r="427" spans="1:42" ht="30">
      <c r="A427" s="1481" t="s">
        <v>2665</v>
      </c>
      <c r="B427" s="1482" t="s">
        <v>2666</v>
      </c>
      <c r="C427" s="1483">
        <v>805.67</v>
      </c>
      <c r="D427" s="1484" t="s">
        <v>1883</v>
      </c>
      <c r="E427" s="1485" t="s">
        <v>635</v>
      </c>
      <c r="F427" s="1485" t="s">
        <v>635</v>
      </c>
      <c r="G427" s="1536"/>
      <c r="H427" s="1485">
        <v>2.98E-10</v>
      </c>
      <c r="I427" s="1486" t="s">
        <v>1883</v>
      </c>
      <c r="J427" s="1487">
        <v>156.72999999999999</v>
      </c>
      <c r="K427" s="1488" t="s">
        <v>1199</v>
      </c>
      <c r="L427" s="1489" t="s">
        <v>635</v>
      </c>
      <c r="M427" s="1533"/>
      <c r="N427" s="1491">
        <v>2.1943983730600001E-2</v>
      </c>
      <c r="O427" s="1491">
        <v>2.56398125694E-6</v>
      </c>
      <c r="P427" s="1492" t="s">
        <v>1885</v>
      </c>
      <c r="Q427" s="1493" t="s">
        <v>635</v>
      </c>
      <c r="R427" s="1494"/>
      <c r="S427" s="1493">
        <v>10.37</v>
      </c>
      <c r="T427" s="1493" t="s">
        <v>1199</v>
      </c>
      <c r="U427" s="1493">
        <v>-4</v>
      </c>
      <c r="V427" s="1495" t="s">
        <v>1883</v>
      </c>
      <c r="W427" s="1496">
        <v>62500</v>
      </c>
      <c r="X427" s="1497" t="s">
        <v>1883</v>
      </c>
      <c r="Y427" s="1498">
        <v>1.12445601773E-9</v>
      </c>
      <c r="Z427" s="1498">
        <v>3416.65202546398</v>
      </c>
      <c r="AA427" s="1498">
        <v>8199.9648611135508</v>
      </c>
      <c r="AB427" s="1498">
        <v>1.0300000000000001E-10</v>
      </c>
      <c r="AC427" s="1499" t="s">
        <v>1199</v>
      </c>
      <c r="AD427" s="1500">
        <v>3.7999999999999999E-2</v>
      </c>
      <c r="AE427" s="1503" t="s">
        <v>1900</v>
      </c>
      <c r="AF427" s="1502">
        <v>1.1E-5</v>
      </c>
      <c r="AG427" s="1503" t="s">
        <v>1900</v>
      </c>
      <c r="AH427" s="1502" t="s">
        <v>635</v>
      </c>
      <c r="AI427" s="1501"/>
      <c r="AJ427" s="1502" t="s">
        <v>635</v>
      </c>
      <c r="AK427" s="1501"/>
      <c r="AL427" s="1501"/>
      <c r="AM427" s="1501"/>
      <c r="AN427" s="1504">
        <v>1</v>
      </c>
      <c r="AO427" s="1505">
        <v>0.1</v>
      </c>
      <c r="AP427" s="1506" t="s">
        <v>635</v>
      </c>
    </row>
    <row r="428" spans="1:42" ht="30">
      <c r="A428" s="1481" t="s">
        <v>2667</v>
      </c>
      <c r="B428" s="1482" t="s">
        <v>2668</v>
      </c>
      <c r="C428" s="1483">
        <v>323.44</v>
      </c>
      <c r="D428" s="1484" t="s">
        <v>1883</v>
      </c>
      <c r="E428" s="1485">
        <v>23.221586263287001</v>
      </c>
      <c r="F428" s="1485">
        <v>0.56799999999999995</v>
      </c>
      <c r="G428" s="1486" t="s">
        <v>1883</v>
      </c>
      <c r="H428" s="1485">
        <v>0.26</v>
      </c>
      <c r="I428" s="1486" t="s">
        <v>1883</v>
      </c>
      <c r="J428" s="1487">
        <v>-134</v>
      </c>
      <c r="K428" s="1488" t="s">
        <v>1883</v>
      </c>
      <c r="L428" s="1489">
        <v>1.653</v>
      </c>
      <c r="M428" s="1490" t="s">
        <v>1884</v>
      </c>
      <c r="N428" s="1491">
        <v>2.4640050180560001E-2</v>
      </c>
      <c r="O428" s="1491">
        <v>6.4026424058199998E-6</v>
      </c>
      <c r="P428" s="1492" t="s">
        <v>1885</v>
      </c>
      <c r="Q428" s="1493" t="s">
        <v>635</v>
      </c>
      <c r="R428" s="1494"/>
      <c r="S428" s="1493">
        <v>647.9</v>
      </c>
      <c r="T428" s="1493" t="s">
        <v>1199</v>
      </c>
      <c r="U428" s="1493">
        <v>4.1500000000000004</v>
      </c>
      <c r="V428" s="1495" t="s">
        <v>1883</v>
      </c>
      <c r="W428" s="1496">
        <v>0.28999999999999998</v>
      </c>
      <c r="X428" s="1497" t="s">
        <v>1883</v>
      </c>
      <c r="Y428" s="1498">
        <v>9.4764152586219993E-2</v>
      </c>
      <c r="Z428" s="1498">
        <v>6.8094611997363597</v>
      </c>
      <c r="AA428" s="1498">
        <v>16.342706879367299</v>
      </c>
      <c r="AB428" s="1498">
        <v>1.37E-2</v>
      </c>
      <c r="AC428" s="1499" t="s">
        <v>1199</v>
      </c>
      <c r="AD428" s="1500" t="s">
        <v>635</v>
      </c>
      <c r="AE428" s="1501"/>
      <c r="AF428" s="1502" t="s">
        <v>635</v>
      </c>
      <c r="AG428" s="1501"/>
      <c r="AH428" s="1502">
        <v>9.9999999999999995E-8</v>
      </c>
      <c r="AI428" s="1503" t="s">
        <v>1119</v>
      </c>
      <c r="AJ428" s="1502" t="s">
        <v>635</v>
      </c>
      <c r="AK428" s="1501"/>
      <c r="AL428" s="1503" t="s">
        <v>1127</v>
      </c>
      <c r="AM428" s="1501"/>
      <c r="AN428" s="1504">
        <v>1</v>
      </c>
      <c r="AO428" s="1504" t="s">
        <v>635</v>
      </c>
      <c r="AP428" s="1506">
        <v>2.4300000000000002</v>
      </c>
    </row>
    <row r="429" spans="1:42" ht="30">
      <c r="A429" s="1507" t="s">
        <v>2669</v>
      </c>
      <c r="B429" s="1508" t="s">
        <v>2670</v>
      </c>
      <c r="C429" s="1509">
        <v>207.32</v>
      </c>
      <c r="D429" s="1510" t="s">
        <v>1883</v>
      </c>
      <c r="E429" s="1511">
        <v>8.9099999999999995E-3</v>
      </c>
      <c r="F429" s="1511">
        <v>2.1800000000000001E-4</v>
      </c>
      <c r="G429" s="1512" t="s">
        <v>1199</v>
      </c>
      <c r="H429" s="1511">
        <v>0.57999999999999996</v>
      </c>
      <c r="I429" s="1512" t="s">
        <v>1883</v>
      </c>
      <c r="J429" s="1513">
        <v>0.1</v>
      </c>
      <c r="K429" s="1514" t="s">
        <v>1883</v>
      </c>
      <c r="L429" s="1515">
        <v>1.8879999999999999</v>
      </c>
      <c r="M429" s="1516" t="s">
        <v>1884</v>
      </c>
      <c r="N429" s="1517">
        <v>3.278409258211E-2</v>
      </c>
      <c r="O429" s="1517">
        <v>9.0549956379099995E-6</v>
      </c>
      <c r="P429" s="1518" t="s">
        <v>1885</v>
      </c>
      <c r="Q429" s="1519" t="s">
        <v>635</v>
      </c>
      <c r="R429" s="1520"/>
      <c r="S429" s="1519">
        <v>110.6</v>
      </c>
      <c r="T429" s="1519" t="s">
        <v>1199</v>
      </c>
      <c r="U429" s="1519">
        <v>2.56</v>
      </c>
      <c r="V429" s="1521" t="s">
        <v>1883</v>
      </c>
      <c r="W429" s="1522">
        <v>500</v>
      </c>
      <c r="X429" s="1523" t="s">
        <v>1883</v>
      </c>
      <c r="Y429" s="1524">
        <v>2.990480755318E-2</v>
      </c>
      <c r="Z429" s="1524">
        <v>1.5234940050619199</v>
      </c>
      <c r="AA429" s="1524">
        <v>3.6563856121486098</v>
      </c>
      <c r="AB429" s="1524">
        <v>5.4000000000000003E-3</v>
      </c>
      <c r="AC429" s="1525" t="s">
        <v>1199</v>
      </c>
      <c r="AD429" s="1526" t="s">
        <v>635</v>
      </c>
      <c r="AE429" s="1527"/>
      <c r="AF429" s="1528" t="s">
        <v>635</v>
      </c>
      <c r="AG429" s="1527"/>
      <c r="AH429" s="1528">
        <v>5.0000000000000004E-6</v>
      </c>
      <c r="AI429" s="1529" t="s">
        <v>1909</v>
      </c>
      <c r="AJ429" s="1528" t="s">
        <v>635</v>
      </c>
      <c r="AK429" s="1527"/>
      <c r="AL429" s="1529" t="s">
        <v>1127</v>
      </c>
      <c r="AM429" s="1527"/>
      <c r="AN429" s="1530">
        <v>1</v>
      </c>
      <c r="AO429" s="1530" t="s">
        <v>635</v>
      </c>
      <c r="AP429" s="1532">
        <v>383</v>
      </c>
    </row>
    <row r="430" spans="1:42" ht="30">
      <c r="A430" s="1481" t="s">
        <v>2671</v>
      </c>
      <c r="B430" s="1482" t="s">
        <v>2672</v>
      </c>
      <c r="C430" s="1483">
        <v>249.1</v>
      </c>
      <c r="D430" s="1484" t="s">
        <v>1883</v>
      </c>
      <c r="E430" s="1485">
        <v>2.5551921504500001E-7</v>
      </c>
      <c r="F430" s="1485">
        <v>6.2499999999999997E-9</v>
      </c>
      <c r="G430" s="1486" t="s">
        <v>1199</v>
      </c>
      <c r="H430" s="1485">
        <v>1.4300000000000001E-6</v>
      </c>
      <c r="I430" s="1486" t="s">
        <v>1883</v>
      </c>
      <c r="J430" s="1487">
        <v>93</v>
      </c>
      <c r="K430" s="1488" t="s">
        <v>1883</v>
      </c>
      <c r="L430" s="1489" t="s">
        <v>635</v>
      </c>
      <c r="M430" s="1533"/>
      <c r="N430" s="1491">
        <v>4.7992250516890003E-2</v>
      </c>
      <c r="O430" s="1491">
        <v>5.6075155867099996E-6</v>
      </c>
      <c r="P430" s="1492" t="s">
        <v>1885</v>
      </c>
      <c r="Q430" s="1493" t="s">
        <v>635</v>
      </c>
      <c r="R430" s="1494"/>
      <c r="S430" s="1493">
        <v>339.8</v>
      </c>
      <c r="T430" s="1493" t="s">
        <v>1199</v>
      </c>
      <c r="U430" s="1493">
        <v>3.2</v>
      </c>
      <c r="V430" s="1495" t="s">
        <v>1883</v>
      </c>
      <c r="W430" s="1496">
        <v>75</v>
      </c>
      <c r="X430" s="1497" t="s">
        <v>1883</v>
      </c>
      <c r="Y430" s="1498">
        <v>5.0930211140390001E-2</v>
      </c>
      <c r="Z430" s="1498">
        <v>2.6110112894116799</v>
      </c>
      <c r="AA430" s="1498">
        <v>6.2664270945880398</v>
      </c>
      <c r="AB430" s="1498">
        <v>8.3899999999999999E-3</v>
      </c>
      <c r="AC430" s="1499" t="s">
        <v>1199</v>
      </c>
      <c r="AD430" s="1500" t="s">
        <v>635</v>
      </c>
      <c r="AE430" s="1501"/>
      <c r="AF430" s="1502" t="s">
        <v>635</v>
      </c>
      <c r="AG430" s="1501"/>
      <c r="AH430" s="1502">
        <v>7.7000000000000002E-3</v>
      </c>
      <c r="AI430" s="1503" t="s">
        <v>1116</v>
      </c>
      <c r="AJ430" s="1502" t="s">
        <v>635</v>
      </c>
      <c r="AK430" s="1501"/>
      <c r="AL430" s="1501"/>
      <c r="AM430" s="1501"/>
      <c r="AN430" s="1504">
        <v>1</v>
      </c>
      <c r="AO430" s="1505">
        <v>0.1</v>
      </c>
      <c r="AP430" s="1506" t="s">
        <v>635</v>
      </c>
    </row>
    <row r="431" spans="1:42" ht="30">
      <c r="A431" s="1481" t="s">
        <v>2673</v>
      </c>
      <c r="B431" s="1482" t="s">
        <v>2674</v>
      </c>
      <c r="C431" s="1483">
        <v>6.94</v>
      </c>
      <c r="D431" s="1484" t="s">
        <v>1199</v>
      </c>
      <c r="E431" s="1485" t="s">
        <v>635</v>
      </c>
      <c r="F431" s="1485" t="s">
        <v>635</v>
      </c>
      <c r="G431" s="1536"/>
      <c r="H431" s="1485" t="s">
        <v>635</v>
      </c>
      <c r="I431" s="1536"/>
      <c r="J431" s="1487">
        <v>180.5</v>
      </c>
      <c r="K431" s="1488" t="s">
        <v>1884</v>
      </c>
      <c r="L431" s="1489">
        <v>0.53400000000000003</v>
      </c>
      <c r="M431" s="1490" t="s">
        <v>1884</v>
      </c>
      <c r="N431" s="1491">
        <v>0.39868886397677</v>
      </c>
      <c r="O431" s="1491">
        <v>3.258223288E-5</v>
      </c>
      <c r="P431" s="1492" t="s">
        <v>1885</v>
      </c>
      <c r="Q431" s="1493">
        <v>300</v>
      </c>
      <c r="R431" s="1493" t="s">
        <v>1930</v>
      </c>
      <c r="S431" s="1493" t="s">
        <v>635</v>
      </c>
      <c r="T431" s="1494"/>
      <c r="U431" s="1493" t="s">
        <v>635</v>
      </c>
      <c r="V431" s="1481"/>
      <c r="W431" s="1496" t="s">
        <v>635</v>
      </c>
      <c r="X431" s="1537"/>
      <c r="Y431" s="1498">
        <v>1.01322614402E-3</v>
      </c>
      <c r="Z431" s="1498">
        <v>0.11500394800006999</v>
      </c>
      <c r="AA431" s="1498">
        <v>0.27600947520017999</v>
      </c>
      <c r="AB431" s="1498">
        <v>1E-3</v>
      </c>
      <c r="AC431" s="1499" t="s">
        <v>1203</v>
      </c>
      <c r="AD431" s="1500" t="s">
        <v>635</v>
      </c>
      <c r="AE431" s="1501"/>
      <c r="AF431" s="1502" t="s">
        <v>635</v>
      </c>
      <c r="AG431" s="1501"/>
      <c r="AH431" s="1502">
        <v>2E-3</v>
      </c>
      <c r="AI431" s="1503" t="s">
        <v>1909</v>
      </c>
      <c r="AJ431" s="1502" t="s">
        <v>635</v>
      </c>
      <c r="AK431" s="1501"/>
      <c r="AL431" s="1501"/>
      <c r="AM431" s="1501"/>
      <c r="AN431" s="1504">
        <v>1</v>
      </c>
      <c r="AO431" s="1504" t="s">
        <v>635</v>
      </c>
      <c r="AP431" s="1506" t="s">
        <v>635</v>
      </c>
    </row>
    <row r="432" spans="1:42" ht="30">
      <c r="A432" s="1507" t="s">
        <v>2675</v>
      </c>
      <c r="B432" s="1508" t="s">
        <v>2676</v>
      </c>
      <c r="C432" s="1509">
        <v>200.62</v>
      </c>
      <c r="D432" s="1510" t="s">
        <v>1883</v>
      </c>
      <c r="E432" s="1511">
        <v>5.4374488961600001E-8</v>
      </c>
      <c r="F432" s="1511">
        <v>1.33E-9</v>
      </c>
      <c r="G432" s="1512" t="s">
        <v>1199</v>
      </c>
      <c r="H432" s="1511">
        <v>5.9000000000000003E-6</v>
      </c>
      <c r="I432" s="1512" t="s">
        <v>1883</v>
      </c>
      <c r="J432" s="1513">
        <v>120</v>
      </c>
      <c r="K432" s="1514" t="s">
        <v>1883</v>
      </c>
      <c r="L432" s="1515">
        <v>1.56</v>
      </c>
      <c r="M432" s="1516" t="s">
        <v>1890</v>
      </c>
      <c r="N432" s="1517">
        <v>3.062313615228E-2</v>
      </c>
      <c r="O432" s="1517">
        <v>8.2361072801999997E-6</v>
      </c>
      <c r="P432" s="1518" t="s">
        <v>1885</v>
      </c>
      <c r="Q432" s="1519" t="s">
        <v>635</v>
      </c>
      <c r="R432" s="1520"/>
      <c r="S432" s="1519">
        <v>29.63</v>
      </c>
      <c r="T432" s="1519" t="s">
        <v>1199</v>
      </c>
      <c r="U432" s="1519">
        <v>3.25</v>
      </c>
      <c r="V432" s="1521" t="s">
        <v>1883</v>
      </c>
      <c r="W432" s="1522">
        <v>630</v>
      </c>
      <c r="X432" s="1523" t="s">
        <v>1883</v>
      </c>
      <c r="Y432" s="1524">
        <v>9.2066253317919997E-2</v>
      </c>
      <c r="Z432" s="1524">
        <v>1.3974000344223301</v>
      </c>
      <c r="AA432" s="1524">
        <v>3.3537600826135998</v>
      </c>
      <c r="AB432" s="1524">
        <v>1.6899999999999998E-2</v>
      </c>
      <c r="AC432" s="1525" t="s">
        <v>1199</v>
      </c>
      <c r="AD432" s="1526" t="s">
        <v>635</v>
      </c>
      <c r="AE432" s="1527"/>
      <c r="AF432" s="1528" t="s">
        <v>635</v>
      </c>
      <c r="AG432" s="1527"/>
      <c r="AH432" s="1528">
        <v>5.0000000000000001E-4</v>
      </c>
      <c r="AI432" s="1529" t="s">
        <v>1119</v>
      </c>
      <c r="AJ432" s="1528" t="s">
        <v>635</v>
      </c>
      <c r="AK432" s="1527"/>
      <c r="AL432" s="1527"/>
      <c r="AM432" s="1527"/>
      <c r="AN432" s="1530">
        <v>1</v>
      </c>
      <c r="AO432" s="1531">
        <v>0.1</v>
      </c>
      <c r="AP432" s="1532" t="s">
        <v>635</v>
      </c>
    </row>
    <row r="433" spans="1:42" ht="30">
      <c r="A433" s="1481" t="s">
        <v>2677</v>
      </c>
      <c r="B433" s="1482" t="s">
        <v>2678</v>
      </c>
      <c r="C433" s="1483">
        <v>228.68</v>
      </c>
      <c r="D433" s="1484" t="s">
        <v>1883</v>
      </c>
      <c r="E433" s="1485">
        <v>1.10793131644E-7</v>
      </c>
      <c r="F433" s="1485">
        <v>2.7099999999999999E-9</v>
      </c>
      <c r="G433" s="1486" t="s">
        <v>1199</v>
      </c>
      <c r="H433" s="1485">
        <v>4.3300000000000003E-7</v>
      </c>
      <c r="I433" s="1486" t="s">
        <v>1883</v>
      </c>
      <c r="J433" s="1487">
        <v>100</v>
      </c>
      <c r="K433" s="1488" t="s">
        <v>1883</v>
      </c>
      <c r="L433" s="1489" t="s">
        <v>635</v>
      </c>
      <c r="M433" s="1533"/>
      <c r="N433" s="1491">
        <v>5.080831729983E-2</v>
      </c>
      <c r="O433" s="1491">
        <v>5.93655075819E-6</v>
      </c>
      <c r="P433" s="1492" t="s">
        <v>1885</v>
      </c>
      <c r="Q433" s="1493" t="s">
        <v>635</v>
      </c>
      <c r="R433" s="1494"/>
      <c r="S433" s="1493">
        <v>98.4</v>
      </c>
      <c r="T433" s="1493" t="s">
        <v>1199</v>
      </c>
      <c r="U433" s="1493">
        <v>2.79</v>
      </c>
      <c r="V433" s="1495" t="s">
        <v>1883</v>
      </c>
      <c r="W433" s="1496">
        <v>48</v>
      </c>
      <c r="X433" s="1497" t="s">
        <v>1883</v>
      </c>
      <c r="Y433" s="1498">
        <v>0.10062058708027</v>
      </c>
      <c r="Z433" s="1498">
        <v>2.00658124927882</v>
      </c>
      <c r="AA433" s="1498">
        <v>4.8157949982691797</v>
      </c>
      <c r="AB433" s="1498">
        <v>1.7299999999999999E-2</v>
      </c>
      <c r="AC433" s="1499" t="s">
        <v>1199</v>
      </c>
      <c r="AD433" s="1500" t="s">
        <v>635</v>
      </c>
      <c r="AE433" s="1501"/>
      <c r="AF433" s="1502" t="s">
        <v>635</v>
      </c>
      <c r="AG433" s="1501"/>
      <c r="AH433" s="1502">
        <v>4.3999999999999997E-2</v>
      </c>
      <c r="AI433" s="1503" t="s">
        <v>1116</v>
      </c>
      <c r="AJ433" s="1502" t="s">
        <v>635</v>
      </c>
      <c r="AK433" s="1501"/>
      <c r="AL433" s="1501"/>
      <c r="AM433" s="1501"/>
      <c r="AN433" s="1504">
        <v>1</v>
      </c>
      <c r="AO433" s="1505">
        <v>0.1</v>
      </c>
      <c r="AP433" s="1506" t="s">
        <v>635</v>
      </c>
    </row>
    <row r="434" spans="1:42" ht="30">
      <c r="A434" s="1481" t="s">
        <v>2679</v>
      </c>
      <c r="B434" s="1482" t="s">
        <v>2680</v>
      </c>
      <c r="C434" s="1483">
        <v>214.65</v>
      </c>
      <c r="D434" s="1484" t="s">
        <v>1883</v>
      </c>
      <c r="E434" s="1485">
        <v>7.4407195421100005E-7</v>
      </c>
      <c r="F434" s="1485">
        <v>1.8200000000000001E-8</v>
      </c>
      <c r="G434" s="1486" t="s">
        <v>1883</v>
      </c>
      <c r="H434" s="1485">
        <v>7.5000000000000002E-7</v>
      </c>
      <c r="I434" s="1486" t="s">
        <v>1883</v>
      </c>
      <c r="J434" s="1487">
        <v>94.5</v>
      </c>
      <c r="K434" s="1488" t="s">
        <v>1883</v>
      </c>
      <c r="L434" s="1489">
        <v>1.28</v>
      </c>
      <c r="M434" s="1490" t="s">
        <v>1890</v>
      </c>
      <c r="N434" s="1491">
        <v>2.7025805603780002E-2</v>
      </c>
      <c r="O434" s="1491">
        <v>7.0235910646900004E-6</v>
      </c>
      <c r="P434" s="1492" t="s">
        <v>1885</v>
      </c>
      <c r="Q434" s="1493" t="s">
        <v>635</v>
      </c>
      <c r="R434" s="1494"/>
      <c r="S434" s="1493">
        <v>48.51</v>
      </c>
      <c r="T434" s="1493" t="s">
        <v>1199</v>
      </c>
      <c r="U434" s="1493">
        <v>3.13</v>
      </c>
      <c r="V434" s="1495" t="s">
        <v>1883</v>
      </c>
      <c r="W434" s="1496">
        <v>620</v>
      </c>
      <c r="X434" s="1497" t="s">
        <v>1883</v>
      </c>
      <c r="Y434" s="1498">
        <v>7.3818190318470006E-2</v>
      </c>
      <c r="Z434" s="1498">
        <v>1.6745138717889001</v>
      </c>
      <c r="AA434" s="1498">
        <v>4.0188332922933503</v>
      </c>
      <c r="AB434" s="1498">
        <v>1.3100000000000001E-2</v>
      </c>
      <c r="AC434" s="1499" t="s">
        <v>1199</v>
      </c>
      <c r="AD434" s="1500" t="s">
        <v>635</v>
      </c>
      <c r="AE434" s="1501"/>
      <c r="AF434" s="1502" t="s">
        <v>635</v>
      </c>
      <c r="AG434" s="1501"/>
      <c r="AH434" s="1502">
        <v>1E-3</v>
      </c>
      <c r="AI434" s="1503" t="s">
        <v>1119</v>
      </c>
      <c r="AJ434" s="1502" t="s">
        <v>635</v>
      </c>
      <c r="AK434" s="1501"/>
      <c r="AL434" s="1501"/>
      <c r="AM434" s="1501"/>
      <c r="AN434" s="1504">
        <v>1</v>
      </c>
      <c r="AO434" s="1505">
        <v>0.1</v>
      </c>
      <c r="AP434" s="1506" t="s">
        <v>635</v>
      </c>
    </row>
    <row r="435" spans="1:42" ht="30">
      <c r="A435" s="1507" t="s">
        <v>2681</v>
      </c>
      <c r="B435" s="1508" t="s">
        <v>2682</v>
      </c>
      <c r="C435" s="1509">
        <v>330.36</v>
      </c>
      <c r="D435" s="1510" t="s">
        <v>1883</v>
      </c>
      <c r="E435" s="1511">
        <v>1.99918233851E-7</v>
      </c>
      <c r="F435" s="1511">
        <v>4.8900000000000003E-9</v>
      </c>
      <c r="G435" s="1512" t="s">
        <v>1883</v>
      </c>
      <c r="H435" s="1511">
        <v>3.3799999999999998E-6</v>
      </c>
      <c r="I435" s="1512" t="s">
        <v>1883</v>
      </c>
      <c r="J435" s="1513">
        <v>2.8</v>
      </c>
      <c r="K435" s="1514" t="s">
        <v>1883</v>
      </c>
      <c r="L435" s="1515">
        <v>1.2076</v>
      </c>
      <c r="M435" s="1516" t="s">
        <v>1884</v>
      </c>
      <c r="N435" s="1517">
        <v>2.098733839134E-2</v>
      </c>
      <c r="O435" s="1517">
        <v>5.2364041659900004E-6</v>
      </c>
      <c r="P435" s="1518" t="s">
        <v>1885</v>
      </c>
      <c r="Q435" s="1519" t="s">
        <v>635</v>
      </c>
      <c r="R435" s="1520"/>
      <c r="S435" s="1519">
        <v>31.27</v>
      </c>
      <c r="T435" s="1519" t="s">
        <v>1199</v>
      </c>
      <c r="U435" s="1519">
        <v>2.36</v>
      </c>
      <c r="V435" s="1521" t="s">
        <v>1883</v>
      </c>
      <c r="W435" s="1522">
        <v>143</v>
      </c>
      <c r="X435" s="1523" t="s">
        <v>1883</v>
      </c>
      <c r="Y435" s="1524">
        <v>5.6764446827800002E-3</v>
      </c>
      <c r="Z435" s="1524">
        <v>7.4450008147632403</v>
      </c>
      <c r="AA435" s="1524">
        <v>17.868001955431801</v>
      </c>
      <c r="AB435" s="1524">
        <v>8.12E-4</v>
      </c>
      <c r="AC435" s="1525" t="s">
        <v>1199</v>
      </c>
      <c r="AD435" s="1526" t="s">
        <v>635</v>
      </c>
      <c r="AE435" s="1527"/>
      <c r="AF435" s="1528" t="s">
        <v>635</v>
      </c>
      <c r="AG435" s="1527"/>
      <c r="AH435" s="1528">
        <v>0.02</v>
      </c>
      <c r="AI435" s="1529" t="s">
        <v>1119</v>
      </c>
      <c r="AJ435" s="1528" t="s">
        <v>635</v>
      </c>
      <c r="AK435" s="1527"/>
      <c r="AL435" s="1527"/>
      <c r="AM435" s="1527"/>
      <c r="AN435" s="1530">
        <v>1</v>
      </c>
      <c r="AO435" s="1531">
        <v>0.1</v>
      </c>
      <c r="AP435" s="1532" t="s">
        <v>635</v>
      </c>
    </row>
    <row r="436" spans="1:42" ht="30">
      <c r="A436" s="1481" t="s">
        <v>2683</v>
      </c>
      <c r="B436" s="1482" t="s">
        <v>2684</v>
      </c>
      <c r="C436" s="1483">
        <v>98.058999999999997</v>
      </c>
      <c r="D436" s="1484" t="s">
        <v>1883</v>
      </c>
      <c r="E436" s="1485">
        <v>1.6067048241999999E-4</v>
      </c>
      <c r="F436" s="1485">
        <v>3.9299999999999996E-6</v>
      </c>
      <c r="G436" s="1486" t="s">
        <v>1883</v>
      </c>
      <c r="H436" s="1485">
        <v>0.25</v>
      </c>
      <c r="I436" s="1486" t="s">
        <v>1199</v>
      </c>
      <c r="J436" s="1487">
        <v>52.8</v>
      </c>
      <c r="K436" s="1488" t="s">
        <v>1883</v>
      </c>
      <c r="L436" s="1489">
        <v>1.3140000000000001</v>
      </c>
      <c r="M436" s="1490" t="s">
        <v>1884</v>
      </c>
      <c r="N436" s="1491">
        <v>8.8395484906870006E-2</v>
      </c>
      <c r="O436" s="1491">
        <v>1.141659289E-5</v>
      </c>
      <c r="P436" s="1492" t="s">
        <v>1885</v>
      </c>
      <c r="Q436" s="1493" t="s">
        <v>635</v>
      </c>
      <c r="R436" s="1494"/>
      <c r="S436" s="1493">
        <v>1</v>
      </c>
      <c r="T436" s="1493" t="s">
        <v>1199</v>
      </c>
      <c r="U436" s="1493">
        <v>1.62</v>
      </c>
      <c r="V436" s="1495" t="s">
        <v>1883</v>
      </c>
      <c r="W436" s="1496">
        <v>163000</v>
      </c>
      <c r="X436" s="1497" t="s">
        <v>1949</v>
      </c>
      <c r="Y436" s="1498">
        <v>1.9995381077220001E-2</v>
      </c>
      <c r="Z436" s="1498">
        <v>0.37237382823888998</v>
      </c>
      <c r="AA436" s="1498">
        <v>0.89369718777332996</v>
      </c>
      <c r="AB436" s="1498">
        <v>5.2500000000000003E-3</v>
      </c>
      <c r="AC436" s="1499" t="s">
        <v>1199</v>
      </c>
      <c r="AD436" s="1500" t="s">
        <v>635</v>
      </c>
      <c r="AE436" s="1501"/>
      <c r="AF436" s="1502" t="s">
        <v>635</v>
      </c>
      <c r="AG436" s="1501"/>
      <c r="AH436" s="1502">
        <v>0.1</v>
      </c>
      <c r="AI436" s="1503" t="s">
        <v>1119</v>
      </c>
      <c r="AJ436" s="1502">
        <v>6.9999999999999999E-4</v>
      </c>
      <c r="AK436" s="1503" t="s">
        <v>1900</v>
      </c>
      <c r="AL436" s="1501"/>
      <c r="AM436" s="1501"/>
      <c r="AN436" s="1504">
        <v>1</v>
      </c>
      <c r="AO436" s="1505">
        <v>0.1</v>
      </c>
      <c r="AP436" s="1506" t="s">
        <v>635</v>
      </c>
    </row>
    <row r="437" spans="1:42" ht="30">
      <c r="A437" s="1481" t="s">
        <v>2685</v>
      </c>
      <c r="B437" s="1482" t="s">
        <v>2686</v>
      </c>
      <c r="C437" s="1483">
        <v>112.09</v>
      </c>
      <c r="D437" s="1484" t="s">
        <v>1883</v>
      </c>
      <c r="E437" s="1485">
        <v>1.08340147179E-9</v>
      </c>
      <c r="F437" s="1485">
        <v>2.6499999999999999E-11</v>
      </c>
      <c r="G437" s="1486" t="s">
        <v>1883</v>
      </c>
      <c r="H437" s="1485">
        <v>2.7700000000000002E-6</v>
      </c>
      <c r="I437" s="1486" t="s">
        <v>1883</v>
      </c>
      <c r="J437" s="1487">
        <v>306</v>
      </c>
      <c r="K437" s="1488" t="s">
        <v>1883</v>
      </c>
      <c r="L437" s="1489" t="s">
        <v>635</v>
      </c>
      <c r="M437" s="1533"/>
      <c r="N437" s="1491">
        <v>8.1728906482080005E-2</v>
      </c>
      <c r="O437" s="1491">
        <v>9.5493774942200002E-6</v>
      </c>
      <c r="P437" s="1492" t="s">
        <v>1885</v>
      </c>
      <c r="Q437" s="1493" t="s">
        <v>635</v>
      </c>
      <c r="R437" s="1494"/>
      <c r="S437" s="1493">
        <v>3.3029999999999999</v>
      </c>
      <c r="T437" s="1493" t="s">
        <v>1199</v>
      </c>
      <c r="U437" s="1493">
        <v>-0.84</v>
      </c>
      <c r="V437" s="1495" t="s">
        <v>1883</v>
      </c>
      <c r="W437" s="1496">
        <v>4507</v>
      </c>
      <c r="X437" s="1497" t="s">
        <v>1883</v>
      </c>
      <c r="Y437" s="1498">
        <v>4.1534621617000001E-4</v>
      </c>
      <c r="Z437" s="1498">
        <v>0.44622381984907999</v>
      </c>
      <c r="AA437" s="1498">
        <v>1.0709371676377899</v>
      </c>
      <c r="AB437" s="1498">
        <v>1.02E-4</v>
      </c>
      <c r="AC437" s="1499" t="s">
        <v>1199</v>
      </c>
      <c r="AD437" s="1500" t="s">
        <v>635</v>
      </c>
      <c r="AE437" s="1501"/>
      <c r="AF437" s="1502" t="s">
        <v>635</v>
      </c>
      <c r="AG437" s="1501"/>
      <c r="AH437" s="1502">
        <v>0.5</v>
      </c>
      <c r="AI437" s="1503" t="s">
        <v>1119</v>
      </c>
      <c r="AJ437" s="1502" t="s">
        <v>635</v>
      </c>
      <c r="AK437" s="1501"/>
      <c r="AL437" s="1501"/>
      <c r="AM437" s="1501"/>
      <c r="AN437" s="1504">
        <v>1</v>
      </c>
      <c r="AO437" s="1505">
        <v>0.1</v>
      </c>
      <c r="AP437" s="1506" t="s">
        <v>635</v>
      </c>
    </row>
    <row r="438" spans="1:42" ht="30">
      <c r="A438" s="1507" t="s">
        <v>2687</v>
      </c>
      <c r="B438" s="1508" t="s">
        <v>2688</v>
      </c>
      <c r="C438" s="1509">
        <v>66.063000000000002</v>
      </c>
      <c r="D438" s="1510" t="s">
        <v>1883</v>
      </c>
      <c r="E438" s="1511">
        <v>5.3556827473400003E-6</v>
      </c>
      <c r="F438" s="1511">
        <v>1.31E-7</v>
      </c>
      <c r="G438" s="1512" t="s">
        <v>1199</v>
      </c>
      <c r="H438" s="1511">
        <v>0.2</v>
      </c>
      <c r="I438" s="1512" t="s">
        <v>1199</v>
      </c>
      <c r="J438" s="1513">
        <v>32</v>
      </c>
      <c r="K438" s="1514" t="s">
        <v>1883</v>
      </c>
      <c r="L438" s="1515">
        <v>1.1910000000000001</v>
      </c>
      <c r="M438" s="1516" t="s">
        <v>1884</v>
      </c>
      <c r="N438" s="1517">
        <v>0.11506942062846</v>
      </c>
      <c r="O438" s="1517">
        <v>1.3640926019999999E-5</v>
      </c>
      <c r="P438" s="1518" t="s">
        <v>1885</v>
      </c>
      <c r="Q438" s="1519" t="s">
        <v>635</v>
      </c>
      <c r="R438" s="1520"/>
      <c r="S438" s="1519">
        <v>3.3340000000000001</v>
      </c>
      <c r="T438" s="1519" t="s">
        <v>1199</v>
      </c>
      <c r="U438" s="1519">
        <v>-0.6</v>
      </c>
      <c r="V438" s="1521" t="s">
        <v>1883</v>
      </c>
      <c r="W438" s="1522">
        <v>133000</v>
      </c>
      <c r="X438" s="1523" t="s">
        <v>1883</v>
      </c>
      <c r="Y438" s="1524">
        <v>8.3154821277999999E-4</v>
      </c>
      <c r="Z438" s="1524">
        <v>0.24649127407020999</v>
      </c>
      <c r="AA438" s="1524">
        <v>0.59157905776849995</v>
      </c>
      <c r="AB438" s="1524">
        <v>2.6600000000000001E-4</v>
      </c>
      <c r="AC438" s="1525" t="s">
        <v>1199</v>
      </c>
      <c r="AD438" s="1526" t="s">
        <v>635</v>
      </c>
      <c r="AE438" s="1527"/>
      <c r="AF438" s="1528" t="s">
        <v>635</v>
      </c>
      <c r="AG438" s="1527"/>
      <c r="AH438" s="1528">
        <v>1E-4</v>
      </c>
      <c r="AI438" s="1529" t="s">
        <v>1909</v>
      </c>
      <c r="AJ438" s="1528" t="s">
        <v>635</v>
      </c>
      <c r="AK438" s="1527"/>
      <c r="AL438" s="1527"/>
      <c r="AM438" s="1527"/>
      <c r="AN438" s="1530">
        <v>1</v>
      </c>
      <c r="AO438" s="1531">
        <v>0.1</v>
      </c>
      <c r="AP438" s="1532" t="s">
        <v>635</v>
      </c>
    </row>
    <row r="439" spans="1:42" ht="30">
      <c r="A439" s="1481" t="s">
        <v>2689</v>
      </c>
      <c r="B439" s="1482" t="s">
        <v>2690</v>
      </c>
      <c r="C439" s="1483">
        <v>541.03</v>
      </c>
      <c r="D439" s="1484" t="s">
        <v>1883</v>
      </c>
      <c r="E439" s="1485">
        <v>6.2142273099000002E-10</v>
      </c>
      <c r="F439" s="1485">
        <v>1.52E-11</v>
      </c>
      <c r="G439" s="1486" t="s">
        <v>1883</v>
      </c>
      <c r="H439" s="1485">
        <v>1.3200000000000001E-10</v>
      </c>
      <c r="I439" s="1486" t="s">
        <v>1883</v>
      </c>
      <c r="J439" s="1487">
        <v>172</v>
      </c>
      <c r="K439" s="1488" t="s">
        <v>2612</v>
      </c>
      <c r="L439" s="1489">
        <v>1.92</v>
      </c>
      <c r="M439" s="1490" t="s">
        <v>1890</v>
      </c>
      <c r="N439" s="1491">
        <v>2.0356633602679999E-2</v>
      </c>
      <c r="O439" s="1491">
        <v>5.1442219763399998E-6</v>
      </c>
      <c r="P439" s="1492" t="s">
        <v>1885</v>
      </c>
      <c r="Q439" s="1493" t="s">
        <v>635</v>
      </c>
      <c r="R439" s="1494"/>
      <c r="S439" s="1493">
        <v>607.6</v>
      </c>
      <c r="T439" s="1493" t="s">
        <v>1199</v>
      </c>
      <c r="U439" s="1493">
        <v>1.33</v>
      </c>
      <c r="V439" s="1495" t="s">
        <v>1883</v>
      </c>
      <c r="W439" s="1496">
        <v>6.2</v>
      </c>
      <c r="X439" s="1497" t="s">
        <v>1883</v>
      </c>
      <c r="Y439" s="1498">
        <v>6.8974999140000003E-3</v>
      </c>
      <c r="Z439" s="1498">
        <v>112.62031808179201</v>
      </c>
      <c r="AA439" s="1498">
        <v>270.28876339630102</v>
      </c>
      <c r="AB439" s="1498">
        <v>7.7099999999999998E-4</v>
      </c>
      <c r="AC439" s="1499" t="s">
        <v>1199</v>
      </c>
      <c r="AD439" s="1500" t="s">
        <v>635</v>
      </c>
      <c r="AE439" s="1501"/>
      <c r="AF439" s="1502" t="s">
        <v>635</v>
      </c>
      <c r="AG439" s="1501"/>
      <c r="AH439" s="1502">
        <v>0.03</v>
      </c>
      <c r="AI439" s="1503" t="s">
        <v>1073</v>
      </c>
      <c r="AJ439" s="1502" t="s">
        <v>635</v>
      </c>
      <c r="AK439" s="1501"/>
      <c r="AL439" s="1501"/>
      <c r="AM439" s="1501"/>
      <c r="AN439" s="1504">
        <v>1</v>
      </c>
      <c r="AO439" s="1505">
        <v>0.1</v>
      </c>
      <c r="AP439" s="1506" t="s">
        <v>635</v>
      </c>
    </row>
    <row r="440" spans="1:42" ht="30">
      <c r="A440" s="1481" t="s">
        <v>2691</v>
      </c>
      <c r="B440" s="1482" t="s">
        <v>2692</v>
      </c>
      <c r="C440" s="1483">
        <v>295.37</v>
      </c>
      <c r="D440" s="1484" t="s">
        <v>1883</v>
      </c>
      <c r="E440" s="1485">
        <v>1.9869174161900001E-7</v>
      </c>
      <c r="F440" s="1485">
        <v>4.8600000000000002E-9</v>
      </c>
      <c r="G440" s="1486" t="s">
        <v>1883</v>
      </c>
      <c r="H440" s="1485">
        <v>7.4999999999999997E-8</v>
      </c>
      <c r="I440" s="1486" t="s">
        <v>1883</v>
      </c>
      <c r="J440" s="1487">
        <v>200</v>
      </c>
      <c r="K440" s="1488" t="s">
        <v>1199</v>
      </c>
      <c r="L440" s="1489" t="s">
        <v>635</v>
      </c>
      <c r="M440" s="1533"/>
      <c r="N440" s="1491">
        <v>4.2839330891069997E-2</v>
      </c>
      <c r="O440" s="1491">
        <v>5.0054376093800001E-6</v>
      </c>
      <c r="P440" s="1492" t="s">
        <v>1885</v>
      </c>
      <c r="Q440" s="1493" t="s">
        <v>635</v>
      </c>
      <c r="R440" s="1494"/>
      <c r="S440" s="1493">
        <v>607.6</v>
      </c>
      <c r="T440" s="1493" t="s">
        <v>1199</v>
      </c>
      <c r="U440" s="1493">
        <v>0.62</v>
      </c>
      <c r="V440" s="1495" t="s">
        <v>1883</v>
      </c>
      <c r="W440" s="1496">
        <v>6</v>
      </c>
      <c r="X440" s="1497" t="s">
        <v>1883</v>
      </c>
      <c r="Y440" s="1498">
        <v>5.0964083850800002E-3</v>
      </c>
      <c r="Z440" s="1498">
        <v>4.7415545312161296</v>
      </c>
      <c r="AA440" s="1498">
        <v>11.3797308749187</v>
      </c>
      <c r="AB440" s="1498">
        <v>7.7099999999999998E-4</v>
      </c>
      <c r="AC440" s="1499" t="s">
        <v>1199</v>
      </c>
      <c r="AD440" s="1500" t="s">
        <v>635</v>
      </c>
      <c r="AE440" s="1501"/>
      <c r="AF440" s="1502" t="s">
        <v>635</v>
      </c>
      <c r="AG440" s="1501"/>
      <c r="AH440" s="1502">
        <v>5.0000000000000001E-3</v>
      </c>
      <c r="AI440" s="1503" t="s">
        <v>1119</v>
      </c>
      <c r="AJ440" s="1502" t="s">
        <v>635</v>
      </c>
      <c r="AK440" s="1501"/>
      <c r="AL440" s="1501"/>
      <c r="AM440" s="1501"/>
      <c r="AN440" s="1504">
        <v>1</v>
      </c>
      <c r="AO440" s="1505">
        <v>0.1</v>
      </c>
      <c r="AP440" s="1506" t="s">
        <v>635</v>
      </c>
    </row>
    <row r="441" spans="1:42" ht="30">
      <c r="A441" s="1507" t="s">
        <v>2693</v>
      </c>
      <c r="B441" s="1508" t="s">
        <v>2694</v>
      </c>
      <c r="C441" s="1509">
        <v>54.938000000000002</v>
      </c>
      <c r="D441" s="1510" t="s">
        <v>1883</v>
      </c>
      <c r="E441" s="1511" t="s">
        <v>635</v>
      </c>
      <c r="F441" s="1511" t="s">
        <v>635</v>
      </c>
      <c r="G441" s="1534"/>
      <c r="H441" s="1511">
        <v>0</v>
      </c>
      <c r="I441" s="1512" t="s">
        <v>1929</v>
      </c>
      <c r="J441" s="1513">
        <v>1244</v>
      </c>
      <c r="K441" s="1514" t="s">
        <v>1883</v>
      </c>
      <c r="L441" s="1515">
        <v>7.3</v>
      </c>
      <c r="M441" s="1516" t="s">
        <v>1884</v>
      </c>
      <c r="N441" s="1517">
        <v>0.24447887676967001</v>
      </c>
      <c r="O441" s="1517">
        <v>4.522116855E-5</v>
      </c>
      <c r="P441" s="1518" t="s">
        <v>1885</v>
      </c>
      <c r="Q441" s="1519">
        <v>65</v>
      </c>
      <c r="R441" s="1519" t="s">
        <v>1930</v>
      </c>
      <c r="S441" s="1519" t="s">
        <v>635</v>
      </c>
      <c r="T441" s="1520"/>
      <c r="U441" s="1519" t="s">
        <v>635</v>
      </c>
      <c r="V441" s="1507"/>
      <c r="W441" s="1522" t="s">
        <v>635</v>
      </c>
      <c r="X441" s="1535"/>
      <c r="Y441" s="1524">
        <v>2.8507758728000001E-3</v>
      </c>
      <c r="Z441" s="1524">
        <v>0.21355097057962999</v>
      </c>
      <c r="AA441" s="1524">
        <v>0.51252232939109998</v>
      </c>
      <c r="AB441" s="1524">
        <v>1E-3</v>
      </c>
      <c r="AC441" s="1525" t="s">
        <v>1203</v>
      </c>
      <c r="AD441" s="1526" t="s">
        <v>635</v>
      </c>
      <c r="AE441" s="1527"/>
      <c r="AF441" s="1528" t="s">
        <v>635</v>
      </c>
      <c r="AG441" s="1527"/>
      <c r="AH441" s="1528">
        <v>0.14000000000000001</v>
      </c>
      <c r="AI441" s="1529" t="s">
        <v>1119</v>
      </c>
      <c r="AJ441" s="1528">
        <v>5.0000000000000002E-5</v>
      </c>
      <c r="AK441" s="1529" t="s">
        <v>1119</v>
      </c>
      <c r="AL441" s="1527"/>
      <c r="AM441" s="1527"/>
      <c r="AN441" s="1530">
        <v>1</v>
      </c>
      <c r="AO441" s="1530" t="s">
        <v>635</v>
      </c>
      <c r="AP441" s="1532" t="s">
        <v>635</v>
      </c>
    </row>
    <row r="442" spans="1:42" ht="30">
      <c r="A442" s="1481" t="s">
        <v>2693</v>
      </c>
      <c r="B442" s="1482" t="s">
        <v>2695</v>
      </c>
      <c r="C442" s="1483">
        <v>54.938000000000002</v>
      </c>
      <c r="D442" s="1484" t="s">
        <v>1883</v>
      </c>
      <c r="E442" s="1485" t="s">
        <v>635</v>
      </c>
      <c r="F442" s="1485" t="s">
        <v>635</v>
      </c>
      <c r="G442" s="1536"/>
      <c r="H442" s="1485">
        <v>0</v>
      </c>
      <c r="I442" s="1486" t="s">
        <v>1929</v>
      </c>
      <c r="J442" s="1487">
        <v>1244</v>
      </c>
      <c r="K442" s="1488" t="s">
        <v>1883</v>
      </c>
      <c r="L442" s="1489">
        <v>7.3</v>
      </c>
      <c r="M442" s="1490" t="s">
        <v>1884</v>
      </c>
      <c r="N442" s="1491">
        <v>0.24447887676967001</v>
      </c>
      <c r="O442" s="1491">
        <v>4.522116855E-5</v>
      </c>
      <c r="P442" s="1492" t="s">
        <v>1885</v>
      </c>
      <c r="Q442" s="1493">
        <v>65</v>
      </c>
      <c r="R442" s="1493" t="s">
        <v>1930</v>
      </c>
      <c r="S442" s="1493" t="s">
        <v>635</v>
      </c>
      <c r="T442" s="1494"/>
      <c r="U442" s="1493" t="s">
        <v>635</v>
      </c>
      <c r="V442" s="1481"/>
      <c r="W442" s="1496" t="s">
        <v>635</v>
      </c>
      <c r="X442" s="1537"/>
      <c r="Y442" s="1498">
        <v>2.8507758728000001E-3</v>
      </c>
      <c r="Z442" s="1498">
        <v>0.21355097057962999</v>
      </c>
      <c r="AA442" s="1498">
        <v>0.51252232939109998</v>
      </c>
      <c r="AB442" s="1498">
        <v>1E-3</v>
      </c>
      <c r="AC442" s="1499" t="s">
        <v>1203</v>
      </c>
      <c r="AD442" s="1500" t="s">
        <v>635</v>
      </c>
      <c r="AE442" s="1501"/>
      <c r="AF442" s="1502" t="s">
        <v>635</v>
      </c>
      <c r="AG442" s="1501"/>
      <c r="AH442" s="1502">
        <v>2.4E-2</v>
      </c>
      <c r="AI442" s="1503" t="s">
        <v>2111</v>
      </c>
      <c r="AJ442" s="1502">
        <v>5.0000000000000002E-5</v>
      </c>
      <c r="AK442" s="1503" t="s">
        <v>1119</v>
      </c>
      <c r="AL442" s="1501"/>
      <c r="AM442" s="1501"/>
      <c r="AN442" s="1539">
        <v>0.04</v>
      </c>
      <c r="AO442" s="1504" t="s">
        <v>635</v>
      </c>
      <c r="AP442" s="1506" t="s">
        <v>635</v>
      </c>
    </row>
    <row r="443" spans="1:42" ht="30">
      <c r="A443" s="1481" t="s">
        <v>2696</v>
      </c>
      <c r="B443" s="1482" t="s">
        <v>2697</v>
      </c>
      <c r="C443" s="1483">
        <v>269.32</v>
      </c>
      <c r="D443" s="1484" t="s">
        <v>1883</v>
      </c>
      <c r="E443" s="1485">
        <v>4.86508585446E-9</v>
      </c>
      <c r="F443" s="1485">
        <v>1.19E-10</v>
      </c>
      <c r="G443" s="1486" t="s">
        <v>1883</v>
      </c>
      <c r="H443" s="1485">
        <v>3.18E-5</v>
      </c>
      <c r="I443" s="1486" t="s">
        <v>1883</v>
      </c>
      <c r="J443" s="1487">
        <v>83.56</v>
      </c>
      <c r="K443" s="1488" t="s">
        <v>1199</v>
      </c>
      <c r="L443" s="1489" t="s">
        <v>635</v>
      </c>
      <c r="M443" s="1533"/>
      <c r="N443" s="1491">
        <v>4.5559036452220002E-2</v>
      </c>
      <c r="O443" s="1491">
        <v>5.3232137328400004E-6</v>
      </c>
      <c r="P443" s="1492" t="s">
        <v>1885</v>
      </c>
      <c r="Q443" s="1493" t="s">
        <v>635</v>
      </c>
      <c r="R443" s="1494"/>
      <c r="S443" s="1493">
        <v>636.29999999999995</v>
      </c>
      <c r="T443" s="1493" t="s">
        <v>1199</v>
      </c>
      <c r="U443" s="1493">
        <v>1.04</v>
      </c>
      <c r="V443" s="1495" t="s">
        <v>1883</v>
      </c>
      <c r="W443" s="1496">
        <v>57</v>
      </c>
      <c r="X443" s="1497" t="s">
        <v>1883</v>
      </c>
      <c r="Y443" s="1498">
        <v>1.4959232114100001E-3</v>
      </c>
      <c r="Z443" s="1498">
        <v>3.3887595119474798</v>
      </c>
      <c r="AA443" s="1498">
        <v>8.1330228286739601</v>
      </c>
      <c r="AB443" s="1498">
        <v>2.3699999999999999E-4</v>
      </c>
      <c r="AC443" s="1499" t="s">
        <v>1199</v>
      </c>
      <c r="AD443" s="1500" t="s">
        <v>635</v>
      </c>
      <c r="AE443" s="1501"/>
      <c r="AF443" s="1502" t="s">
        <v>635</v>
      </c>
      <c r="AG443" s="1501"/>
      <c r="AH443" s="1502">
        <v>9.0000000000000006E-5</v>
      </c>
      <c r="AI443" s="1503" t="s">
        <v>1073</v>
      </c>
      <c r="AJ443" s="1502" t="s">
        <v>635</v>
      </c>
      <c r="AK443" s="1501"/>
      <c r="AL443" s="1501"/>
      <c r="AM443" s="1501"/>
      <c r="AN443" s="1504">
        <v>1</v>
      </c>
      <c r="AO443" s="1505">
        <v>0.1</v>
      </c>
      <c r="AP443" s="1506" t="s">
        <v>635</v>
      </c>
    </row>
    <row r="444" spans="1:42" ht="30">
      <c r="A444" s="1507" t="s">
        <v>2698</v>
      </c>
      <c r="B444" s="1508" t="s">
        <v>2699</v>
      </c>
      <c r="C444" s="1509">
        <v>149.66999999999999</v>
      </c>
      <c r="D444" s="1510" t="s">
        <v>1883</v>
      </c>
      <c r="E444" s="1511">
        <v>1.762060507E-10</v>
      </c>
      <c r="F444" s="1511">
        <v>4.31E-12</v>
      </c>
      <c r="G444" s="1512" t="s">
        <v>1883</v>
      </c>
      <c r="H444" s="1511">
        <v>3.7099999999999997E-7</v>
      </c>
      <c r="I444" s="1512" t="s">
        <v>1883</v>
      </c>
      <c r="J444" s="1513">
        <v>223</v>
      </c>
      <c r="K444" s="1514" t="s">
        <v>1883</v>
      </c>
      <c r="L444" s="1515" t="s">
        <v>635</v>
      </c>
      <c r="M444" s="1538"/>
      <c r="N444" s="1517">
        <v>6.7400599876749998E-2</v>
      </c>
      <c r="O444" s="1517">
        <v>7.8752279855999998E-6</v>
      </c>
      <c r="P444" s="1518" t="s">
        <v>1885</v>
      </c>
      <c r="Q444" s="1519" t="s">
        <v>635</v>
      </c>
      <c r="R444" s="1520"/>
      <c r="S444" s="1519">
        <v>66.16</v>
      </c>
      <c r="T444" s="1519" t="s">
        <v>1199</v>
      </c>
      <c r="U444" s="1519">
        <v>-2.82</v>
      </c>
      <c r="V444" s="1521" t="s">
        <v>1883</v>
      </c>
      <c r="W444" s="1522">
        <v>500000</v>
      </c>
      <c r="X444" s="1523" t="s">
        <v>1883</v>
      </c>
      <c r="Y444" s="1524">
        <v>1.4257279379999999E-5</v>
      </c>
      <c r="Z444" s="1524">
        <v>0.72443721049270005</v>
      </c>
      <c r="AA444" s="1524">
        <v>1.7386493051824901</v>
      </c>
      <c r="AB444" s="1524">
        <v>3.0299999999999998E-6</v>
      </c>
      <c r="AC444" s="1525" t="s">
        <v>1199</v>
      </c>
      <c r="AD444" s="1526" t="s">
        <v>635</v>
      </c>
      <c r="AE444" s="1527"/>
      <c r="AF444" s="1528" t="s">
        <v>635</v>
      </c>
      <c r="AG444" s="1527"/>
      <c r="AH444" s="1528">
        <v>0.03</v>
      </c>
      <c r="AI444" s="1529" t="s">
        <v>1119</v>
      </c>
      <c r="AJ444" s="1528" t="s">
        <v>635</v>
      </c>
      <c r="AK444" s="1527"/>
      <c r="AL444" s="1527"/>
      <c r="AM444" s="1527"/>
      <c r="AN444" s="1530">
        <v>1</v>
      </c>
      <c r="AO444" s="1531">
        <v>0.1</v>
      </c>
      <c r="AP444" s="1532" t="s">
        <v>635</v>
      </c>
    </row>
    <row r="445" spans="1:42" ht="30">
      <c r="A445" s="1481" t="s">
        <v>2700</v>
      </c>
      <c r="B445" s="1482" t="s">
        <v>2701</v>
      </c>
      <c r="C445" s="1483">
        <v>167.25</v>
      </c>
      <c r="D445" s="1484" t="s">
        <v>1883</v>
      </c>
      <c r="E445" s="1485">
        <v>1.4839999999999999E-6</v>
      </c>
      <c r="F445" s="1485">
        <v>3.6300000000000001E-8</v>
      </c>
      <c r="G445" s="1486" t="s">
        <v>1883</v>
      </c>
      <c r="H445" s="1485">
        <v>4.64E-4</v>
      </c>
      <c r="I445" s="1486" t="s">
        <v>1883</v>
      </c>
      <c r="J445" s="1487">
        <v>181</v>
      </c>
      <c r="K445" s="1488" t="s">
        <v>1883</v>
      </c>
      <c r="L445" s="1489">
        <v>1.42</v>
      </c>
      <c r="M445" s="1490" t="s">
        <v>1884</v>
      </c>
      <c r="N445" s="1491">
        <v>4.6799107816179998E-2</v>
      </c>
      <c r="O445" s="1491">
        <v>8.6821063694500006E-6</v>
      </c>
      <c r="P445" s="1492" t="s">
        <v>1885</v>
      </c>
      <c r="Q445" s="1493" t="s">
        <v>635</v>
      </c>
      <c r="R445" s="1494"/>
      <c r="S445" s="1493">
        <v>1360</v>
      </c>
      <c r="T445" s="1493" t="s">
        <v>1199</v>
      </c>
      <c r="U445" s="1493">
        <v>2.42</v>
      </c>
      <c r="V445" s="1495" t="s">
        <v>1883</v>
      </c>
      <c r="W445" s="1496">
        <v>120</v>
      </c>
      <c r="X445" s="1497" t="s">
        <v>1883</v>
      </c>
      <c r="Y445" s="1498">
        <v>3.6410009840260001E-2</v>
      </c>
      <c r="Z445" s="1498">
        <v>0.90875905156381998</v>
      </c>
      <c r="AA445" s="1498">
        <v>2.1810217237531702</v>
      </c>
      <c r="AB445" s="1498">
        <v>7.3200000000000001E-3</v>
      </c>
      <c r="AC445" s="1499" t="s">
        <v>1199</v>
      </c>
      <c r="AD445" s="1500">
        <v>1.0999999999999999E-2</v>
      </c>
      <c r="AE445" s="1503" t="s">
        <v>1909</v>
      </c>
      <c r="AF445" s="1502" t="s">
        <v>635</v>
      </c>
      <c r="AG445" s="1501"/>
      <c r="AH445" s="1502">
        <v>4.0000000000000001E-3</v>
      </c>
      <c r="AI445" s="1503" t="s">
        <v>1909</v>
      </c>
      <c r="AJ445" s="1502" t="s">
        <v>635</v>
      </c>
      <c r="AK445" s="1501"/>
      <c r="AL445" s="1501"/>
      <c r="AM445" s="1501"/>
      <c r="AN445" s="1504">
        <v>1</v>
      </c>
      <c r="AO445" s="1505">
        <v>0.1</v>
      </c>
      <c r="AP445" s="1506" t="s">
        <v>635</v>
      </c>
    </row>
    <row r="446" spans="1:42" ht="15">
      <c r="A446" s="1481"/>
      <c r="B446" s="1482" t="s">
        <v>2702</v>
      </c>
      <c r="C446" s="1483" t="s">
        <v>635</v>
      </c>
      <c r="D446" s="1543"/>
      <c r="E446" s="1485" t="s">
        <v>635</v>
      </c>
      <c r="F446" s="1485" t="s">
        <v>635</v>
      </c>
      <c r="G446" s="1536"/>
      <c r="H446" s="1485" t="s">
        <v>635</v>
      </c>
      <c r="I446" s="1536"/>
      <c r="J446" s="1487" t="s">
        <v>635</v>
      </c>
      <c r="K446" s="1542"/>
      <c r="L446" s="1489" t="s">
        <v>635</v>
      </c>
      <c r="M446" s="1533"/>
      <c r="N446" s="1491" t="s">
        <v>635</v>
      </c>
      <c r="O446" s="1491" t="s">
        <v>635</v>
      </c>
      <c r="P446" s="1544"/>
      <c r="Q446" s="1493" t="s">
        <v>635</v>
      </c>
      <c r="R446" s="1494"/>
      <c r="S446" s="1493" t="s">
        <v>635</v>
      </c>
      <c r="T446" s="1494"/>
      <c r="U446" s="1493" t="s">
        <v>635</v>
      </c>
      <c r="V446" s="1481"/>
      <c r="W446" s="1496" t="s">
        <v>635</v>
      </c>
      <c r="X446" s="1537"/>
      <c r="Y446" s="1498" t="s">
        <v>635</v>
      </c>
      <c r="Z446" s="1498" t="s">
        <v>635</v>
      </c>
      <c r="AA446" s="1498" t="s">
        <v>635</v>
      </c>
      <c r="AB446" s="1498" t="s">
        <v>635</v>
      </c>
      <c r="AC446" s="1547"/>
      <c r="AD446" s="1500" t="s">
        <v>635</v>
      </c>
      <c r="AE446" s="1501"/>
      <c r="AF446" s="1502" t="s">
        <v>635</v>
      </c>
      <c r="AG446" s="1501"/>
      <c r="AH446" s="1502" t="s">
        <v>635</v>
      </c>
      <c r="AI446" s="1501"/>
      <c r="AJ446" s="1502" t="s">
        <v>635</v>
      </c>
      <c r="AK446" s="1501"/>
      <c r="AL446" s="1501"/>
      <c r="AM446" s="1501"/>
      <c r="AN446" s="1504" t="s">
        <v>635</v>
      </c>
      <c r="AO446" s="1504" t="s">
        <v>635</v>
      </c>
      <c r="AP446" s="1506" t="s">
        <v>635</v>
      </c>
    </row>
    <row r="447" spans="1:42" ht="30">
      <c r="A447" s="1507" t="s">
        <v>2703</v>
      </c>
      <c r="B447" s="1508" t="s">
        <v>2704</v>
      </c>
      <c r="C447" s="1509">
        <v>271.5</v>
      </c>
      <c r="D447" s="1510" t="s">
        <v>1883</v>
      </c>
      <c r="E447" s="1511" t="s">
        <v>635</v>
      </c>
      <c r="F447" s="1511" t="s">
        <v>635</v>
      </c>
      <c r="G447" s="1534"/>
      <c r="H447" s="1511" t="s">
        <v>635</v>
      </c>
      <c r="I447" s="1534"/>
      <c r="J447" s="1513">
        <v>277</v>
      </c>
      <c r="K447" s="1514" t="s">
        <v>1883</v>
      </c>
      <c r="L447" s="1515">
        <v>5.6</v>
      </c>
      <c r="M447" s="1516" t="s">
        <v>1884</v>
      </c>
      <c r="N447" s="1517">
        <v>4.5531275672739999E-2</v>
      </c>
      <c r="O447" s="1517">
        <v>1.478845102E-5</v>
      </c>
      <c r="P447" s="1518" t="s">
        <v>1885</v>
      </c>
      <c r="Q447" s="1519" t="s">
        <v>635</v>
      </c>
      <c r="R447" s="1520"/>
      <c r="S447" s="1519" t="s">
        <v>635</v>
      </c>
      <c r="T447" s="1520"/>
      <c r="U447" s="1519">
        <v>-0.22</v>
      </c>
      <c r="V447" s="1521" t="s">
        <v>1883</v>
      </c>
      <c r="W447" s="1522">
        <v>69000</v>
      </c>
      <c r="X447" s="1523" t="s">
        <v>1883</v>
      </c>
      <c r="Y447" s="1524">
        <v>6.3374065589600001E-3</v>
      </c>
      <c r="Z447" s="1524">
        <v>3.4853688835921401</v>
      </c>
      <c r="AA447" s="1524">
        <v>8.3648853206211395</v>
      </c>
      <c r="AB447" s="1524">
        <v>1E-3</v>
      </c>
      <c r="AC447" s="1525" t="s">
        <v>1203</v>
      </c>
      <c r="AD447" s="1526" t="s">
        <v>635</v>
      </c>
      <c r="AE447" s="1527"/>
      <c r="AF447" s="1528" t="s">
        <v>635</v>
      </c>
      <c r="AG447" s="1527"/>
      <c r="AH447" s="1528">
        <v>2.9999999999999997E-4</v>
      </c>
      <c r="AI447" s="1529" t="s">
        <v>1119</v>
      </c>
      <c r="AJ447" s="1528">
        <v>2.9999999999999997E-4</v>
      </c>
      <c r="AK447" s="1529" t="s">
        <v>2111</v>
      </c>
      <c r="AL447" s="1527"/>
      <c r="AM447" s="1527"/>
      <c r="AN447" s="1541">
        <v>7.0000000000000007E-2</v>
      </c>
      <c r="AO447" s="1530" t="s">
        <v>635</v>
      </c>
      <c r="AP447" s="1532" t="s">
        <v>635</v>
      </c>
    </row>
    <row r="448" spans="1:42" ht="45">
      <c r="A448" s="1481" t="s">
        <v>214</v>
      </c>
      <c r="B448" s="1482" t="s">
        <v>2705</v>
      </c>
      <c r="C448" s="1483">
        <v>200.59</v>
      </c>
      <c r="D448" s="1484" t="s">
        <v>1883</v>
      </c>
      <c r="E448" s="1485">
        <v>0.35199999999999998</v>
      </c>
      <c r="F448" s="1485">
        <v>8.6219999999999995E-3</v>
      </c>
      <c r="G448" s="1486" t="s">
        <v>2706</v>
      </c>
      <c r="H448" s="1485">
        <v>1.9580000000000001E-3</v>
      </c>
      <c r="I448" s="1486" t="s">
        <v>1883</v>
      </c>
      <c r="J448" s="1487">
        <v>-38.799999999999997</v>
      </c>
      <c r="K448" s="1488" t="s">
        <v>1883</v>
      </c>
      <c r="L448" s="1489">
        <v>13.5336</v>
      </c>
      <c r="M448" s="1490" t="s">
        <v>1884</v>
      </c>
      <c r="N448" s="1491">
        <v>7.1497446729660005E-2</v>
      </c>
      <c r="O448" s="1491">
        <v>3.0111625910000001E-5</v>
      </c>
      <c r="P448" s="1492" t="s">
        <v>1885</v>
      </c>
      <c r="Q448" s="1493">
        <v>52</v>
      </c>
      <c r="R448" s="1493" t="s">
        <v>1959</v>
      </c>
      <c r="S448" s="1493" t="s">
        <v>635</v>
      </c>
      <c r="T448" s="1494"/>
      <c r="U448" s="1493">
        <v>0.62</v>
      </c>
      <c r="V448" s="1495" t="s">
        <v>1883</v>
      </c>
      <c r="W448" s="1496">
        <v>0.06</v>
      </c>
      <c r="X448" s="1497" t="s">
        <v>1883</v>
      </c>
      <c r="Y448" s="1498">
        <v>5.4472999663199998E-3</v>
      </c>
      <c r="Z448" s="1498">
        <v>1.3968595767048499</v>
      </c>
      <c r="AA448" s="1498">
        <v>3.35246298409163</v>
      </c>
      <c r="AB448" s="1498">
        <v>1E-3</v>
      </c>
      <c r="AC448" s="1499" t="s">
        <v>1203</v>
      </c>
      <c r="AD448" s="1500" t="s">
        <v>635</v>
      </c>
      <c r="AE448" s="1501"/>
      <c r="AF448" s="1502" t="s">
        <v>635</v>
      </c>
      <c r="AG448" s="1501"/>
      <c r="AH448" s="1502" t="s">
        <v>635</v>
      </c>
      <c r="AI448" s="1501"/>
      <c r="AJ448" s="1502">
        <v>2.9999999999999997E-4</v>
      </c>
      <c r="AK448" s="1503" t="s">
        <v>1119</v>
      </c>
      <c r="AL448" s="1503" t="s">
        <v>1127</v>
      </c>
      <c r="AM448" s="1501"/>
      <c r="AN448" s="1504">
        <v>1</v>
      </c>
      <c r="AO448" s="1504" t="s">
        <v>635</v>
      </c>
      <c r="AP448" s="1506">
        <v>3.13</v>
      </c>
    </row>
    <row r="449" spans="1:42" ht="30">
      <c r="A449" s="1481" t="s">
        <v>224</v>
      </c>
      <c r="B449" s="1482" t="s">
        <v>2707</v>
      </c>
      <c r="C449" s="1483">
        <v>216.6326</v>
      </c>
      <c r="D449" s="1484" t="s">
        <v>2708</v>
      </c>
      <c r="E449" s="1485" t="s">
        <v>635</v>
      </c>
      <c r="F449" s="1485" t="s">
        <v>635</v>
      </c>
      <c r="G449" s="1536"/>
      <c r="H449" s="1485" t="s">
        <v>635</v>
      </c>
      <c r="I449" s="1536"/>
      <c r="J449" s="1487" t="s">
        <v>635</v>
      </c>
      <c r="K449" s="1542"/>
      <c r="L449" s="1489" t="s">
        <v>635</v>
      </c>
      <c r="M449" s="1533"/>
      <c r="N449" s="1491">
        <v>5.2674981637709999E-2</v>
      </c>
      <c r="O449" s="1491">
        <v>6.1546557492500001E-6</v>
      </c>
      <c r="P449" s="1492" t="s">
        <v>1885</v>
      </c>
      <c r="Q449" s="1493">
        <v>7000</v>
      </c>
      <c r="R449" s="1493" t="s">
        <v>2709</v>
      </c>
      <c r="S449" s="1493" t="s">
        <v>635</v>
      </c>
      <c r="T449" s="1494"/>
      <c r="U449" s="1493" t="s">
        <v>635</v>
      </c>
      <c r="V449" s="1481"/>
      <c r="W449" s="1496" t="s">
        <v>635</v>
      </c>
      <c r="X449" s="1537"/>
      <c r="Y449" s="1498">
        <v>5.6609400812500004E-3</v>
      </c>
      <c r="Z449" s="1498">
        <v>1.71787401155715</v>
      </c>
      <c r="AA449" s="1498">
        <v>4.1228976277371698</v>
      </c>
      <c r="AB449" s="1498">
        <v>1E-3</v>
      </c>
      <c r="AC449" s="1499" t="s">
        <v>1203</v>
      </c>
      <c r="AD449" s="1500" t="s">
        <v>635</v>
      </c>
      <c r="AE449" s="1501"/>
      <c r="AF449" s="1502" t="s">
        <v>635</v>
      </c>
      <c r="AG449" s="1501"/>
      <c r="AH449" s="1502">
        <v>1E-4</v>
      </c>
      <c r="AI449" s="1503" t="s">
        <v>1119</v>
      </c>
      <c r="AJ449" s="1502" t="s">
        <v>635</v>
      </c>
      <c r="AK449" s="1501"/>
      <c r="AL449" s="1501"/>
      <c r="AM449" s="1501"/>
      <c r="AN449" s="1504">
        <v>1</v>
      </c>
      <c r="AO449" s="1504" t="s">
        <v>635</v>
      </c>
      <c r="AP449" s="1506" t="s">
        <v>635</v>
      </c>
    </row>
    <row r="450" spans="1:42" ht="30">
      <c r="A450" s="1507" t="s">
        <v>2710</v>
      </c>
      <c r="B450" s="1508" t="s">
        <v>2711</v>
      </c>
      <c r="C450" s="1509">
        <v>336.74</v>
      </c>
      <c r="D450" s="1510" t="s">
        <v>1883</v>
      </c>
      <c r="E450" s="1511">
        <v>2.3139820114500001E-8</v>
      </c>
      <c r="F450" s="1511">
        <v>5.6600000000000001E-10</v>
      </c>
      <c r="G450" s="1512" t="s">
        <v>1199</v>
      </c>
      <c r="H450" s="1511">
        <v>6.0000000000000002E-6</v>
      </c>
      <c r="I450" s="1512" t="s">
        <v>1883</v>
      </c>
      <c r="J450" s="1513">
        <v>153</v>
      </c>
      <c r="K450" s="1514" t="s">
        <v>1883</v>
      </c>
      <c r="L450" s="1515" t="s">
        <v>635</v>
      </c>
      <c r="M450" s="1538"/>
      <c r="N450" s="1517">
        <v>3.9254591528379998E-2</v>
      </c>
      <c r="O450" s="1517">
        <v>4.5865891154200003E-6</v>
      </c>
      <c r="P450" s="1518" t="s">
        <v>1885</v>
      </c>
      <c r="Q450" s="1519" t="s">
        <v>635</v>
      </c>
      <c r="R450" s="1520"/>
      <c r="S450" s="1519">
        <v>56.44</v>
      </c>
      <c r="T450" s="1519" t="s">
        <v>1199</v>
      </c>
      <c r="U450" s="1519">
        <v>0.71</v>
      </c>
      <c r="V450" s="1521" t="s">
        <v>1883</v>
      </c>
      <c r="W450" s="1522">
        <v>4370</v>
      </c>
      <c r="X450" s="1523" t="s">
        <v>1883</v>
      </c>
      <c r="Y450" s="1524">
        <v>4.2276675473E-4</v>
      </c>
      <c r="Z450" s="1524">
        <v>8.0833754238503808</v>
      </c>
      <c r="AA450" s="1524">
        <v>19.4001010172409</v>
      </c>
      <c r="AB450" s="1524">
        <v>5.9899999999999999E-5</v>
      </c>
      <c r="AC450" s="1525" t="s">
        <v>1199</v>
      </c>
      <c r="AD450" s="1526" t="s">
        <v>635</v>
      </c>
      <c r="AE450" s="1527"/>
      <c r="AF450" s="1528" t="s">
        <v>635</v>
      </c>
      <c r="AG450" s="1527"/>
      <c r="AH450" s="1528">
        <v>8.0000000000000007E-5</v>
      </c>
      <c r="AI450" s="1529" t="s">
        <v>1119</v>
      </c>
      <c r="AJ450" s="1528" t="s">
        <v>635</v>
      </c>
      <c r="AK450" s="1527"/>
      <c r="AL450" s="1527"/>
      <c r="AM450" s="1527"/>
      <c r="AN450" s="1530">
        <v>1</v>
      </c>
      <c r="AO450" s="1531">
        <v>0.1</v>
      </c>
      <c r="AP450" s="1532" t="s">
        <v>635</v>
      </c>
    </row>
    <row r="451" spans="1:42" ht="30">
      <c r="A451" s="1481" t="s">
        <v>2712</v>
      </c>
      <c r="B451" s="1482" t="s">
        <v>2713</v>
      </c>
      <c r="C451" s="1483">
        <v>298.51</v>
      </c>
      <c r="D451" s="1484" t="s">
        <v>1883</v>
      </c>
      <c r="E451" s="1485">
        <v>9.2804578903999996E-4</v>
      </c>
      <c r="F451" s="1485">
        <v>2.27E-5</v>
      </c>
      <c r="G451" s="1486" t="s">
        <v>1883</v>
      </c>
      <c r="H451" s="1485">
        <v>2.0000000000000002E-5</v>
      </c>
      <c r="I451" s="1486" t="s">
        <v>1883</v>
      </c>
      <c r="J451" s="1487">
        <v>100</v>
      </c>
      <c r="K451" s="1488" t="s">
        <v>1883</v>
      </c>
      <c r="L451" s="1489">
        <v>1.02</v>
      </c>
      <c r="M451" s="1490" t="s">
        <v>1884</v>
      </c>
      <c r="N451" s="1491">
        <v>2.0400012739600001E-2</v>
      </c>
      <c r="O451" s="1491">
        <v>5.0287094543200002E-6</v>
      </c>
      <c r="P451" s="1492" t="s">
        <v>1885</v>
      </c>
      <c r="Q451" s="1493" t="s">
        <v>635</v>
      </c>
      <c r="R451" s="1494"/>
      <c r="S451" s="1493">
        <v>48970</v>
      </c>
      <c r="T451" s="1493" t="s">
        <v>1199</v>
      </c>
      <c r="U451" s="1493">
        <v>7.67</v>
      </c>
      <c r="V451" s="1495" t="s">
        <v>1883</v>
      </c>
      <c r="W451" s="1496">
        <v>3.5000000000000001E-3</v>
      </c>
      <c r="X451" s="1497" t="s">
        <v>1883</v>
      </c>
      <c r="Y451" s="1498">
        <v>27.577455404689399</v>
      </c>
      <c r="Z451" s="1498">
        <v>4.9374731803625904</v>
      </c>
      <c r="AA451" s="1498">
        <v>22.919006385322401</v>
      </c>
      <c r="AB451" s="1498">
        <v>4.1500000000000004</v>
      </c>
      <c r="AC451" s="1499" t="s">
        <v>1199</v>
      </c>
      <c r="AD451" s="1500" t="s">
        <v>635</v>
      </c>
      <c r="AE451" s="1501"/>
      <c r="AF451" s="1502" t="s">
        <v>635</v>
      </c>
      <c r="AG451" s="1501"/>
      <c r="AH451" s="1502">
        <v>3.0000000000000001E-5</v>
      </c>
      <c r="AI451" s="1503" t="s">
        <v>1119</v>
      </c>
      <c r="AJ451" s="1502" t="s">
        <v>635</v>
      </c>
      <c r="AK451" s="1501"/>
      <c r="AL451" s="1503" t="s">
        <v>1127</v>
      </c>
      <c r="AM451" s="1501"/>
      <c r="AN451" s="1504">
        <v>1</v>
      </c>
      <c r="AO451" s="1504" t="s">
        <v>635</v>
      </c>
      <c r="AP451" s="1506" t="s">
        <v>635</v>
      </c>
    </row>
    <row r="452" spans="1:42" ht="30">
      <c r="A452" s="1481" t="s">
        <v>2714</v>
      </c>
      <c r="B452" s="1482" t="s">
        <v>2715</v>
      </c>
      <c r="C452" s="1483">
        <v>279.33999999999997</v>
      </c>
      <c r="D452" s="1484" t="s">
        <v>1883</v>
      </c>
      <c r="E452" s="1485">
        <v>1.20605069501E-7</v>
      </c>
      <c r="F452" s="1485">
        <v>2.9499999999999999E-9</v>
      </c>
      <c r="G452" s="1486" t="s">
        <v>1199</v>
      </c>
      <c r="H452" s="1485">
        <v>5.6200000000000004E-6</v>
      </c>
      <c r="I452" s="1486" t="s">
        <v>1883</v>
      </c>
      <c r="J452" s="1487">
        <v>71</v>
      </c>
      <c r="K452" s="1488" t="s">
        <v>1883</v>
      </c>
      <c r="L452" s="1489" t="s">
        <v>635</v>
      </c>
      <c r="M452" s="1533"/>
      <c r="N452" s="1491">
        <v>4.446294059421E-2</v>
      </c>
      <c r="O452" s="1491">
        <v>5.1951435852200003E-6</v>
      </c>
      <c r="P452" s="1492" t="s">
        <v>1885</v>
      </c>
      <c r="Q452" s="1493" t="s">
        <v>635</v>
      </c>
      <c r="R452" s="1494"/>
      <c r="S452" s="1493">
        <v>38.57</v>
      </c>
      <c r="T452" s="1493" t="s">
        <v>1199</v>
      </c>
      <c r="U452" s="1493">
        <v>1.65</v>
      </c>
      <c r="V452" s="1495" t="s">
        <v>1883</v>
      </c>
      <c r="W452" s="1496">
        <v>8400</v>
      </c>
      <c r="X452" s="1497" t="s">
        <v>1883</v>
      </c>
      <c r="Y452" s="1498">
        <v>3.72838893138E-3</v>
      </c>
      <c r="Z452" s="1498">
        <v>3.8561396157007199</v>
      </c>
      <c r="AA452" s="1498">
        <v>9.2547350776817296</v>
      </c>
      <c r="AB452" s="1498">
        <v>5.8E-4</v>
      </c>
      <c r="AC452" s="1499" t="s">
        <v>1199</v>
      </c>
      <c r="AD452" s="1500" t="s">
        <v>635</v>
      </c>
      <c r="AE452" s="1501"/>
      <c r="AF452" s="1502" t="s">
        <v>635</v>
      </c>
      <c r="AG452" s="1501"/>
      <c r="AH452" s="1502">
        <v>0.06</v>
      </c>
      <c r="AI452" s="1503" t="s">
        <v>1119</v>
      </c>
      <c r="AJ452" s="1502" t="s">
        <v>635</v>
      </c>
      <c r="AK452" s="1501"/>
      <c r="AL452" s="1501"/>
      <c r="AM452" s="1501"/>
      <c r="AN452" s="1504">
        <v>1</v>
      </c>
      <c r="AO452" s="1505">
        <v>0.1</v>
      </c>
      <c r="AP452" s="1506" t="s">
        <v>635</v>
      </c>
    </row>
    <row r="453" spans="1:42" ht="30">
      <c r="A453" s="1507" t="s">
        <v>2716</v>
      </c>
      <c r="B453" s="1508" t="s">
        <v>2717</v>
      </c>
      <c r="C453" s="1509">
        <v>67.090999999999994</v>
      </c>
      <c r="D453" s="1510" t="s">
        <v>1883</v>
      </c>
      <c r="E453" s="1511">
        <v>1.009811937858E-2</v>
      </c>
      <c r="F453" s="1511">
        <v>2.4699999999999999E-4</v>
      </c>
      <c r="G453" s="1512" t="s">
        <v>1199</v>
      </c>
      <c r="H453" s="1511">
        <v>71.2</v>
      </c>
      <c r="I453" s="1512" t="s">
        <v>1883</v>
      </c>
      <c r="J453" s="1513">
        <v>-35.799999999999997</v>
      </c>
      <c r="K453" s="1514" t="s">
        <v>1883</v>
      </c>
      <c r="L453" s="1515">
        <v>0.80010000000000003</v>
      </c>
      <c r="M453" s="1516" t="s">
        <v>1884</v>
      </c>
      <c r="N453" s="1517">
        <v>9.6429871013529997E-2</v>
      </c>
      <c r="O453" s="1517">
        <v>1.064534583E-5</v>
      </c>
      <c r="P453" s="1518" t="s">
        <v>1885</v>
      </c>
      <c r="Q453" s="1519" t="s">
        <v>635</v>
      </c>
      <c r="R453" s="1520"/>
      <c r="S453" s="1519">
        <v>13.05</v>
      </c>
      <c r="T453" s="1519" t="s">
        <v>1199</v>
      </c>
      <c r="U453" s="1519">
        <v>0.68</v>
      </c>
      <c r="V453" s="1521" t="s">
        <v>1883</v>
      </c>
      <c r="W453" s="1522">
        <v>25400</v>
      </c>
      <c r="X453" s="1523" t="s">
        <v>1883</v>
      </c>
      <c r="Y453" s="1524">
        <v>5.85965071055E-3</v>
      </c>
      <c r="Z453" s="1524">
        <v>0.24978039589539</v>
      </c>
      <c r="AA453" s="1524">
        <v>0.59947295014893998</v>
      </c>
      <c r="AB453" s="1524">
        <v>1.8600000000000001E-3</v>
      </c>
      <c r="AC453" s="1525" t="s">
        <v>1199</v>
      </c>
      <c r="AD453" s="1526" t="s">
        <v>635</v>
      </c>
      <c r="AE453" s="1527"/>
      <c r="AF453" s="1528" t="s">
        <v>635</v>
      </c>
      <c r="AG453" s="1527"/>
      <c r="AH453" s="1528">
        <v>1E-4</v>
      </c>
      <c r="AI453" s="1529" t="s">
        <v>1119</v>
      </c>
      <c r="AJ453" s="1528">
        <v>0.03</v>
      </c>
      <c r="AK453" s="1529" t="s">
        <v>1909</v>
      </c>
      <c r="AL453" s="1529" t="s">
        <v>1127</v>
      </c>
      <c r="AM453" s="1527"/>
      <c r="AN453" s="1530">
        <v>1</v>
      </c>
      <c r="AO453" s="1530" t="s">
        <v>635</v>
      </c>
      <c r="AP453" s="1532">
        <v>4580</v>
      </c>
    </row>
    <row r="454" spans="1:42" ht="30">
      <c r="A454" s="1481" t="s">
        <v>2718</v>
      </c>
      <c r="B454" s="1482" t="s">
        <v>2719</v>
      </c>
      <c r="C454" s="1483">
        <v>141.13</v>
      </c>
      <c r="D454" s="1484" t="s">
        <v>1883</v>
      </c>
      <c r="E454" s="1485">
        <v>3.5494685200300002E-8</v>
      </c>
      <c r="F454" s="1485">
        <v>8.6819999999999996E-10</v>
      </c>
      <c r="G454" s="1486" t="s">
        <v>1883</v>
      </c>
      <c r="H454" s="1485">
        <v>3.5299999999999997E-5</v>
      </c>
      <c r="I454" s="1486" t="s">
        <v>1883</v>
      </c>
      <c r="J454" s="1487">
        <v>46</v>
      </c>
      <c r="K454" s="1488" t="s">
        <v>1883</v>
      </c>
      <c r="L454" s="1489">
        <v>1.31</v>
      </c>
      <c r="M454" s="1490" t="s">
        <v>1884</v>
      </c>
      <c r="N454" s="1491">
        <v>5.9623261085080002E-2</v>
      </c>
      <c r="O454" s="1491">
        <v>9.1593139210599993E-6</v>
      </c>
      <c r="P454" s="1492" t="s">
        <v>1885</v>
      </c>
      <c r="Q454" s="1493" t="s">
        <v>635</v>
      </c>
      <c r="R454" s="1494"/>
      <c r="S454" s="1493">
        <v>5.407</v>
      </c>
      <c r="T454" s="1493" t="s">
        <v>1199</v>
      </c>
      <c r="U454" s="1493">
        <v>-0.8</v>
      </c>
      <c r="V454" s="1495" t="s">
        <v>1883</v>
      </c>
      <c r="W454" s="1496">
        <v>1000000</v>
      </c>
      <c r="X454" s="1497" t="s">
        <v>1883</v>
      </c>
      <c r="Y454" s="1498">
        <v>3.3994547004E-4</v>
      </c>
      <c r="Z454" s="1498">
        <v>0.64889846918437999</v>
      </c>
      <c r="AA454" s="1498">
        <v>1.5573563260425101</v>
      </c>
      <c r="AB454" s="1498">
        <v>7.4400000000000006E-5</v>
      </c>
      <c r="AC454" s="1499" t="s">
        <v>1199</v>
      </c>
      <c r="AD454" s="1500" t="s">
        <v>635</v>
      </c>
      <c r="AE454" s="1501"/>
      <c r="AF454" s="1502" t="s">
        <v>635</v>
      </c>
      <c r="AG454" s="1501"/>
      <c r="AH454" s="1502">
        <v>5.0000000000000002E-5</v>
      </c>
      <c r="AI454" s="1503" t="s">
        <v>1119</v>
      </c>
      <c r="AJ454" s="1502" t="s">
        <v>635</v>
      </c>
      <c r="AK454" s="1501"/>
      <c r="AL454" s="1501"/>
      <c r="AM454" s="1501"/>
      <c r="AN454" s="1504">
        <v>1</v>
      </c>
      <c r="AO454" s="1505">
        <v>0.1</v>
      </c>
      <c r="AP454" s="1506" t="s">
        <v>635</v>
      </c>
    </row>
    <row r="455" spans="1:42" ht="30">
      <c r="A455" s="1481" t="s">
        <v>2720</v>
      </c>
      <c r="B455" s="1482" t="s">
        <v>2721</v>
      </c>
      <c r="C455" s="1483">
        <v>32.042000000000002</v>
      </c>
      <c r="D455" s="1484" t="s">
        <v>1883</v>
      </c>
      <c r="E455" s="1485">
        <v>1.8601798854999999E-4</v>
      </c>
      <c r="F455" s="1485">
        <v>4.5499999999999996E-6</v>
      </c>
      <c r="G455" s="1486" t="s">
        <v>1883</v>
      </c>
      <c r="H455" s="1485">
        <v>127</v>
      </c>
      <c r="I455" s="1486" t="s">
        <v>1883</v>
      </c>
      <c r="J455" s="1487">
        <v>-97.6</v>
      </c>
      <c r="K455" s="1488" t="s">
        <v>1883</v>
      </c>
      <c r="L455" s="1489">
        <v>0.79139999999999999</v>
      </c>
      <c r="M455" s="1490" t="s">
        <v>1884</v>
      </c>
      <c r="N455" s="1491">
        <v>0.15827406993500001</v>
      </c>
      <c r="O455" s="1491">
        <v>1.647698057E-5</v>
      </c>
      <c r="P455" s="1492" t="s">
        <v>1885</v>
      </c>
      <c r="Q455" s="1493" t="s">
        <v>635</v>
      </c>
      <c r="R455" s="1494"/>
      <c r="S455" s="1493">
        <v>1</v>
      </c>
      <c r="T455" s="1493" t="s">
        <v>1199</v>
      </c>
      <c r="U455" s="1493">
        <v>-0.77</v>
      </c>
      <c r="V455" s="1495" t="s">
        <v>1883</v>
      </c>
      <c r="W455" s="1496">
        <v>1000000</v>
      </c>
      <c r="X455" s="1497" t="s">
        <v>1883</v>
      </c>
      <c r="Y455" s="1498">
        <v>6.9450782474999998E-4</v>
      </c>
      <c r="Z455" s="1498">
        <v>0.15895857089087001</v>
      </c>
      <c r="AA455" s="1498">
        <v>0.38150057013809002</v>
      </c>
      <c r="AB455" s="1498">
        <v>3.19E-4</v>
      </c>
      <c r="AC455" s="1499" t="s">
        <v>1199</v>
      </c>
      <c r="AD455" s="1500" t="s">
        <v>635</v>
      </c>
      <c r="AE455" s="1501"/>
      <c r="AF455" s="1502" t="s">
        <v>635</v>
      </c>
      <c r="AG455" s="1501"/>
      <c r="AH455" s="1502">
        <v>2</v>
      </c>
      <c r="AI455" s="1503" t="s">
        <v>1119</v>
      </c>
      <c r="AJ455" s="1502">
        <v>20</v>
      </c>
      <c r="AK455" s="1503" t="s">
        <v>1119</v>
      </c>
      <c r="AL455" s="1503" t="s">
        <v>1127</v>
      </c>
      <c r="AM455" s="1501"/>
      <c r="AN455" s="1504">
        <v>1</v>
      </c>
      <c r="AO455" s="1504" t="s">
        <v>635</v>
      </c>
      <c r="AP455" s="1506">
        <v>106000</v>
      </c>
    </row>
    <row r="456" spans="1:42" ht="30">
      <c r="A456" s="1507" t="s">
        <v>2722</v>
      </c>
      <c r="B456" s="1508" t="s">
        <v>2723</v>
      </c>
      <c r="C456" s="1509">
        <v>302.33</v>
      </c>
      <c r="D456" s="1510" t="s">
        <v>1883</v>
      </c>
      <c r="E456" s="1511">
        <v>2.9313164350000001E-7</v>
      </c>
      <c r="F456" s="1511">
        <v>7.1699999999999998E-9</v>
      </c>
      <c r="G456" s="1512" t="s">
        <v>1199</v>
      </c>
      <c r="H456" s="1511">
        <v>3.3699999999999999E-6</v>
      </c>
      <c r="I456" s="1512" t="s">
        <v>1883</v>
      </c>
      <c r="J456" s="1513">
        <v>39</v>
      </c>
      <c r="K456" s="1514" t="s">
        <v>1883</v>
      </c>
      <c r="L456" s="1515" t="s">
        <v>635</v>
      </c>
      <c r="M456" s="1538"/>
      <c r="N456" s="1517">
        <v>4.2179306823169997E-2</v>
      </c>
      <c r="O456" s="1517">
        <v>4.9283190077600002E-6</v>
      </c>
      <c r="P456" s="1518" t="s">
        <v>1885</v>
      </c>
      <c r="Q456" s="1519" t="s">
        <v>635</v>
      </c>
      <c r="R456" s="1520"/>
      <c r="S456" s="1519">
        <v>21.24</v>
      </c>
      <c r="T456" s="1519" t="s">
        <v>1199</v>
      </c>
      <c r="U456" s="1519">
        <v>2.2000000000000002</v>
      </c>
      <c r="V456" s="1521" t="s">
        <v>1883</v>
      </c>
      <c r="W456" s="1522">
        <v>187</v>
      </c>
      <c r="X456" s="1523" t="s">
        <v>1883</v>
      </c>
      <c r="Y456" s="1524">
        <v>6.1057364114200001E-3</v>
      </c>
      <c r="Z456" s="1524">
        <v>5.1867671261861501</v>
      </c>
      <c r="AA456" s="1524">
        <v>12.448241102846699</v>
      </c>
      <c r="AB456" s="1524">
        <v>9.1299999999999997E-4</v>
      </c>
      <c r="AC456" s="1525" t="s">
        <v>1199</v>
      </c>
      <c r="AD456" s="1526" t="s">
        <v>635</v>
      </c>
      <c r="AE456" s="1527"/>
      <c r="AF456" s="1528" t="s">
        <v>635</v>
      </c>
      <c r="AG456" s="1527"/>
      <c r="AH456" s="1528">
        <v>1.5E-3</v>
      </c>
      <c r="AI456" s="1529" t="s">
        <v>1116</v>
      </c>
      <c r="AJ456" s="1528" t="s">
        <v>635</v>
      </c>
      <c r="AK456" s="1527"/>
      <c r="AL456" s="1527"/>
      <c r="AM456" s="1527"/>
      <c r="AN456" s="1530">
        <v>1</v>
      </c>
      <c r="AO456" s="1531">
        <v>0.1</v>
      </c>
      <c r="AP456" s="1532" t="s">
        <v>635</v>
      </c>
    </row>
    <row r="457" spans="1:42" ht="30">
      <c r="A457" s="1481" t="s">
        <v>2724</v>
      </c>
      <c r="B457" s="1482" t="s">
        <v>2725</v>
      </c>
      <c r="C457" s="1483">
        <v>162.21</v>
      </c>
      <c r="D457" s="1484" t="s">
        <v>1883</v>
      </c>
      <c r="E457" s="1485">
        <v>8.0539656581999999E-10</v>
      </c>
      <c r="F457" s="1485">
        <v>1.97E-11</v>
      </c>
      <c r="G457" s="1486" t="s">
        <v>1199</v>
      </c>
      <c r="H457" s="1485">
        <v>5.4E-6</v>
      </c>
      <c r="I457" s="1486" t="s">
        <v>1883</v>
      </c>
      <c r="J457" s="1487">
        <v>78</v>
      </c>
      <c r="K457" s="1488" t="s">
        <v>1883</v>
      </c>
      <c r="L457" s="1489">
        <v>1.2946</v>
      </c>
      <c r="M457" s="1490" t="s">
        <v>1884</v>
      </c>
      <c r="N457" s="1491">
        <v>4.7590031094619997E-2</v>
      </c>
      <c r="O457" s="1491">
        <v>8.3657822942599993E-6</v>
      </c>
      <c r="P457" s="1492" t="s">
        <v>1885</v>
      </c>
      <c r="Q457" s="1493" t="s">
        <v>635</v>
      </c>
      <c r="R457" s="1494"/>
      <c r="S457" s="1493">
        <v>10</v>
      </c>
      <c r="T457" s="1493" t="s">
        <v>1199</v>
      </c>
      <c r="U457" s="1493">
        <v>0.6</v>
      </c>
      <c r="V457" s="1495" t="s">
        <v>1883</v>
      </c>
      <c r="W457" s="1496">
        <v>58000</v>
      </c>
      <c r="X457" s="1497" t="s">
        <v>1883</v>
      </c>
      <c r="Y457" s="1498">
        <v>2.3610897857399998E-3</v>
      </c>
      <c r="Z457" s="1498">
        <v>0.85157862048375998</v>
      </c>
      <c r="AA457" s="1498">
        <v>2.04378868916104</v>
      </c>
      <c r="AB457" s="1498">
        <v>4.8200000000000001E-4</v>
      </c>
      <c r="AC457" s="1499" t="s">
        <v>1199</v>
      </c>
      <c r="AD457" s="1500" t="s">
        <v>635</v>
      </c>
      <c r="AE457" s="1501"/>
      <c r="AF457" s="1502" t="s">
        <v>635</v>
      </c>
      <c r="AG457" s="1501"/>
      <c r="AH457" s="1502">
        <v>2.5000000000000001E-2</v>
      </c>
      <c r="AI457" s="1503" t="s">
        <v>1119</v>
      </c>
      <c r="AJ457" s="1502" t="s">
        <v>635</v>
      </c>
      <c r="AK457" s="1501"/>
      <c r="AL457" s="1501"/>
      <c r="AM457" s="1501"/>
      <c r="AN457" s="1504">
        <v>1</v>
      </c>
      <c r="AO457" s="1505">
        <v>0.1</v>
      </c>
      <c r="AP457" s="1506" t="s">
        <v>635</v>
      </c>
    </row>
    <row r="458" spans="1:42" ht="30">
      <c r="A458" s="1481" t="s">
        <v>2726</v>
      </c>
      <c r="B458" s="1482" t="s">
        <v>2727</v>
      </c>
      <c r="C458" s="1483">
        <v>168.15</v>
      </c>
      <c r="D458" s="1484" t="s">
        <v>1883</v>
      </c>
      <c r="E458" s="1485">
        <v>5.1103843009000003E-7</v>
      </c>
      <c r="F458" s="1485">
        <v>1.2499999999999999E-8</v>
      </c>
      <c r="G458" s="1486" t="s">
        <v>1883</v>
      </c>
      <c r="H458" s="1485">
        <v>3.19E-4</v>
      </c>
      <c r="I458" s="1486" t="s">
        <v>1883</v>
      </c>
      <c r="J458" s="1487">
        <v>118</v>
      </c>
      <c r="K458" s="1488" t="s">
        <v>1883</v>
      </c>
      <c r="L458" s="1489">
        <v>1.2068000000000001</v>
      </c>
      <c r="M458" s="1490" t="s">
        <v>1884</v>
      </c>
      <c r="N458" s="1491">
        <v>4.3046343097539998E-2</v>
      </c>
      <c r="O458" s="1491">
        <v>7.8493705120499999E-6</v>
      </c>
      <c r="P458" s="1492" t="s">
        <v>1885</v>
      </c>
      <c r="Q458" s="1493" t="s">
        <v>635</v>
      </c>
      <c r="R458" s="1494"/>
      <c r="S458" s="1493">
        <v>71.31</v>
      </c>
      <c r="T458" s="1493" t="s">
        <v>1199</v>
      </c>
      <c r="U458" s="1493">
        <v>1.47</v>
      </c>
      <c r="V458" s="1495" t="s">
        <v>1883</v>
      </c>
      <c r="W458" s="1496">
        <v>115</v>
      </c>
      <c r="X458" s="1497" t="s">
        <v>1883</v>
      </c>
      <c r="Y458" s="1498">
        <v>8.4287232129200002E-3</v>
      </c>
      <c r="Z458" s="1498">
        <v>0.91936665833377995</v>
      </c>
      <c r="AA458" s="1498">
        <v>2.2064799800010699</v>
      </c>
      <c r="AB458" s="1498">
        <v>1.6900000000000001E-3</v>
      </c>
      <c r="AC458" s="1499" t="s">
        <v>1199</v>
      </c>
      <c r="AD458" s="1500">
        <v>4.9000000000000002E-2</v>
      </c>
      <c r="AE458" s="1503" t="s">
        <v>1900</v>
      </c>
      <c r="AF458" s="1502" t="s">
        <v>635</v>
      </c>
      <c r="AG458" s="1501"/>
      <c r="AH458" s="1502" t="s">
        <v>635</v>
      </c>
      <c r="AI458" s="1501"/>
      <c r="AJ458" s="1502" t="s">
        <v>635</v>
      </c>
      <c r="AK458" s="1501"/>
      <c r="AL458" s="1501"/>
      <c r="AM458" s="1501"/>
      <c r="AN458" s="1504">
        <v>1</v>
      </c>
      <c r="AO458" s="1505">
        <v>0.1</v>
      </c>
      <c r="AP458" s="1506" t="s">
        <v>635</v>
      </c>
    </row>
    <row r="459" spans="1:42" ht="30">
      <c r="A459" s="1507" t="s">
        <v>216</v>
      </c>
      <c r="B459" s="1508" t="s">
        <v>215</v>
      </c>
      <c r="C459" s="1509">
        <v>345.66</v>
      </c>
      <c r="D459" s="1510" t="s">
        <v>1883</v>
      </c>
      <c r="E459" s="1511">
        <v>8.2992641046599993E-6</v>
      </c>
      <c r="F459" s="1511">
        <v>2.03E-7</v>
      </c>
      <c r="G459" s="1512" t="s">
        <v>1883</v>
      </c>
      <c r="H459" s="1511">
        <v>2.5799999999999999E-6</v>
      </c>
      <c r="I459" s="1512" t="s">
        <v>1883</v>
      </c>
      <c r="J459" s="1513">
        <v>87</v>
      </c>
      <c r="K459" s="1514" t="s">
        <v>1883</v>
      </c>
      <c r="L459" s="1515">
        <v>1.41</v>
      </c>
      <c r="M459" s="1516" t="s">
        <v>1884</v>
      </c>
      <c r="N459" s="1517">
        <v>2.208485798774E-2</v>
      </c>
      <c r="O459" s="1517">
        <v>5.5926000699000002E-6</v>
      </c>
      <c r="P459" s="1518" t="s">
        <v>1885</v>
      </c>
      <c r="Q459" s="1519" t="s">
        <v>635</v>
      </c>
      <c r="R459" s="1520"/>
      <c r="S459" s="1519">
        <v>26890</v>
      </c>
      <c r="T459" s="1519" t="s">
        <v>1199</v>
      </c>
      <c r="U459" s="1519">
        <v>5.08</v>
      </c>
      <c r="V459" s="1521" t="s">
        <v>1883</v>
      </c>
      <c r="W459" s="1522">
        <v>0.1</v>
      </c>
      <c r="X459" s="1523" t="s">
        <v>1883</v>
      </c>
      <c r="Y459" s="1524">
        <v>0.30605183225013999</v>
      </c>
      <c r="Z459" s="1524">
        <v>9.0686940341139906</v>
      </c>
      <c r="AA459" s="1524">
        <v>21.764865681873601</v>
      </c>
      <c r="AB459" s="1524">
        <v>4.2799999999999998E-2</v>
      </c>
      <c r="AC459" s="1525" t="s">
        <v>1199</v>
      </c>
      <c r="AD459" s="1526" t="s">
        <v>635</v>
      </c>
      <c r="AE459" s="1527"/>
      <c r="AF459" s="1528" t="s">
        <v>635</v>
      </c>
      <c r="AG459" s="1527"/>
      <c r="AH459" s="1528">
        <v>5.0000000000000001E-3</v>
      </c>
      <c r="AI459" s="1529" t="s">
        <v>1119</v>
      </c>
      <c r="AJ459" s="1528" t="s">
        <v>635</v>
      </c>
      <c r="AK459" s="1527"/>
      <c r="AL459" s="1527"/>
      <c r="AM459" s="1527"/>
      <c r="AN459" s="1530">
        <v>1</v>
      </c>
      <c r="AO459" s="1531">
        <v>0.1</v>
      </c>
      <c r="AP459" s="1532" t="s">
        <v>635</v>
      </c>
    </row>
    <row r="460" spans="1:42" ht="30">
      <c r="A460" s="1481" t="s">
        <v>2728</v>
      </c>
      <c r="B460" s="1482" t="s">
        <v>2729</v>
      </c>
      <c r="C460" s="1483">
        <v>118.13</v>
      </c>
      <c r="D460" s="1484" t="s">
        <v>1883</v>
      </c>
      <c r="E460" s="1485">
        <v>1.271463614E-5</v>
      </c>
      <c r="F460" s="1485">
        <v>3.1100000000000002E-7</v>
      </c>
      <c r="G460" s="1486" t="s">
        <v>1199</v>
      </c>
      <c r="H460" s="1485">
        <v>7</v>
      </c>
      <c r="I460" s="1486" t="s">
        <v>1883</v>
      </c>
      <c r="J460" s="1487">
        <v>-65.099999999999994</v>
      </c>
      <c r="K460" s="1488" t="s">
        <v>1883</v>
      </c>
      <c r="L460" s="1489">
        <v>1.0074000000000001</v>
      </c>
      <c r="M460" s="1490" t="s">
        <v>1884</v>
      </c>
      <c r="N460" s="1491">
        <v>6.5834739605950002E-2</v>
      </c>
      <c r="O460" s="1491">
        <v>8.7051611881699999E-6</v>
      </c>
      <c r="P460" s="1492" t="s">
        <v>1885</v>
      </c>
      <c r="Q460" s="1493" t="s">
        <v>635</v>
      </c>
      <c r="R460" s="1494"/>
      <c r="S460" s="1493">
        <v>2.492</v>
      </c>
      <c r="T460" s="1493" t="s">
        <v>1199</v>
      </c>
      <c r="U460" s="1493">
        <v>0.1</v>
      </c>
      <c r="V460" s="1495" t="s">
        <v>1883</v>
      </c>
      <c r="W460" s="1496">
        <v>1000000</v>
      </c>
      <c r="X460" s="1497" t="s">
        <v>1883</v>
      </c>
      <c r="Y460" s="1498">
        <v>1.6553961466600001E-3</v>
      </c>
      <c r="Z460" s="1498">
        <v>0.48236606779801999</v>
      </c>
      <c r="AA460" s="1498">
        <v>1.1576785627152399</v>
      </c>
      <c r="AB460" s="1498">
        <v>3.9599999999999998E-4</v>
      </c>
      <c r="AC460" s="1499" t="s">
        <v>1199</v>
      </c>
      <c r="AD460" s="1500" t="s">
        <v>635</v>
      </c>
      <c r="AE460" s="1501"/>
      <c r="AF460" s="1502" t="s">
        <v>635</v>
      </c>
      <c r="AG460" s="1501"/>
      <c r="AH460" s="1502">
        <v>8.0000000000000002E-3</v>
      </c>
      <c r="AI460" s="1503" t="s">
        <v>1909</v>
      </c>
      <c r="AJ460" s="1502">
        <v>1E-3</v>
      </c>
      <c r="AK460" s="1503" t="s">
        <v>1909</v>
      </c>
      <c r="AL460" s="1503" t="s">
        <v>1127</v>
      </c>
      <c r="AM460" s="1501"/>
      <c r="AN460" s="1504">
        <v>1</v>
      </c>
      <c r="AO460" s="1504" t="s">
        <v>635</v>
      </c>
      <c r="AP460" s="1506">
        <v>115000</v>
      </c>
    </row>
    <row r="461" spans="1:42" ht="30">
      <c r="A461" s="1481" t="s">
        <v>2730</v>
      </c>
      <c r="B461" s="1482" t="s">
        <v>2731</v>
      </c>
      <c r="C461" s="1483">
        <v>76.096000000000004</v>
      </c>
      <c r="D461" s="1484" t="s">
        <v>1883</v>
      </c>
      <c r="E461" s="1485">
        <v>1.349141455E-5</v>
      </c>
      <c r="F461" s="1485">
        <v>3.3000000000000002E-7</v>
      </c>
      <c r="G461" s="1486" t="s">
        <v>1883</v>
      </c>
      <c r="H461" s="1485">
        <v>9.5</v>
      </c>
      <c r="I461" s="1486" t="s">
        <v>1883</v>
      </c>
      <c r="J461" s="1487">
        <v>-85.1</v>
      </c>
      <c r="K461" s="1488" t="s">
        <v>1883</v>
      </c>
      <c r="L461" s="1489">
        <v>0.9647</v>
      </c>
      <c r="M461" s="1490" t="s">
        <v>1884</v>
      </c>
      <c r="N461" s="1491">
        <v>9.5155698439489997E-2</v>
      </c>
      <c r="O461" s="1491">
        <v>1.1043075500000001E-5</v>
      </c>
      <c r="P461" s="1492" t="s">
        <v>1885</v>
      </c>
      <c r="Q461" s="1493" t="s">
        <v>635</v>
      </c>
      <c r="R461" s="1494"/>
      <c r="S461" s="1493">
        <v>1</v>
      </c>
      <c r="T461" s="1493" t="s">
        <v>1199</v>
      </c>
      <c r="U461" s="1493">
        <v>-0.77</v>
      </c>
      <c r="V461" s="1495" t="s">
        <v>1883</v>
      </c>
      <c r="W461" s="1496">
        <v>1000000</v>
      </c>
      <c r="X461" s="1497" t="s">
        <v>1883</v>
      </c>
      <c r="Y461" s="1498">
        <v>6.0392091648999997E-4</v>
      </c>
      <c r="Z461" s="1498">
        <v>0.28053454612762002</v>
      </c>
      <c r="AA461" s="1498">
        <v>0.67328291070627999</v>
      </c>
      <c r="AB461" s="1498">
        <v>1.8000000000000001E-4</v>
      </c>
      <c r="AC461" s="1499" t="s">
        <v>1199</v>
      </c>
      <c r="AD461" s="1500" t="s">
        <v>635</v>
      </c>
      <c r="AE461" s="1501"/>
      <c r="AF461" s="1502" t="s">
        <v>635</v>
      </c>
      <c r="AG461" s="1501"/>
      <c r="AH461" s="1502">
        <v>5.0000000000000001E-3</v>
      </c>
      <c r="AI461" s="1503" t="s">
        <v>1909</v>
      </c>
      <c r="AJ461" s="1502">
        <v>7.0000000000000001E-3</v>
      </c>
      <c r="AK461" s="1503" t="s">
        <v>1909</v>
      </c>
      <c r="AL461" s="1503" t="s">
        <v>1127</v>
      </c>
      <c r="AM461" s="1501"/>
      <c r="AN461" s="1504">
        <v>1</v>
      </c>
      <c r="AO461" s="1504" t="s">
        <v>635</v>
      </c>
      <c r="AP461" s="1506">
        <v>106000</v>
      </c>
    </row>
    <row r="462" spans="1:42" ht="30">
      <c r="A462" s="1507" t="s">
        <v>2732</v>
      </c>
      <c r="B462" s="1508" t="s">
        <v>2733</v>
      </c>
      <c r="C462" s="1509">
        <v>74.08</v>
      </c>
      <c r="D462" s="1510" t="s">
        <v>1883</v>
      </c>
      <c r="E462" s="1511">
        <v>4.7015535568300003E-3</v>
      </c>
      <c r="F462" s="1511">
        <v>1.15E-4</v>
      </c>
      <c r="G462" s="1512" t="s">
        <v>1883</v>
      </c>
      <c r="H462" s="1511">
        <v>216.2</v>
      </c>
      <c r="I462" s="1512" t="s">
        <v>1883</v>
      </c>
      <c r="J462" s="1513">
        <v>-98</v>
      </c>
      <c r="K462" s="1514" t="s">
        <v>1883</v>
      </c>
      <c r="L462" s="1515">
        <v>0.93420000000000003</v>
      </c>
      <c r="M462" s="1516" t="s">
        <v>1884</v>
      </c>
      <c r="N462" s="1517">
        <v>9.5776335687030006E-2</v>
      </c>
      <c r="O462" s="1517">
        <v>1.100816943E-5</v>
      </c>
      <c r="P462" s="1518" t="s">
        <v>1885</v>
      </c>
      <c r="Q462" s="1519" t="s">
        <v>635</v>
      </c>
      <c r="R462" s="1520"/>
      <c r="S462" s="1519">
        <v>3.0640000000000001</v>
      </c>
      <c r="T462" s="1519" t="s">
        <v>1199</v>
      </c>
      <c r="U462" s="1519">
        <v>0.18</v>
      </c>
      <c r="V462" s="1521" t="s">
        <v>1883</v>
      </c>
      <c r="W462" s="1522">
        <v>243000</v>
      </c>
      <c r="X462" s="1523" t="s">
        <v>1883</v>
      </c>
      <c r="Y462" s="1524">
        <v>2.6218166699600001E-3</v>
      </c>
      <c r="Z462" s="1524">
        <v>0.27333594647357001</v>
      </c>
      <c r="AA462" s="1524">
        <v>0.65600627153657998</v>
      </c>
      <c r="AB462" s="1524">
        <v>7.9199999999999995E-4</v>
      </c>
      <c r="AC462" s="1525" t="s">
        <v>1199</v>
      </c>
      <c r="AD462" s="1526" t="s">
        <v>635</v>
      </c>
      <c r="AE462" s="1527"/>
      <c r="AF462" s="1528" t="s">
        <v>635</v>
      </c>
      <c r="AG462" s="1527"/>
      <c r="AH462" s="1528">
        <v>1</v>
      </c>
      <c r="AI462" s="1529" t="s">
        <v>1893</v>
      </c>
      <c r="AJ462" s="1528" t="s">
        <v>635</v>
      </c>
      <c r="AK462" s="1527"/>
      <c r="AL462" s="1529" t="s">
        <v>1127</v>
      </c>
      <c r="AM462" s="1527"/>
      <c r="AN462" s="1530">
        <v>1</v>
      </c>
      <c r="AO462" s="1530" t="s">
        <v>635</v>
      </c>
      <c r="AP462" s="1532">
        <v>29000</v>
      </c>
    </row>
    <row r="463" spans="1:42" ht="30">
      <c r="A463" s="1481" t="s">
        <v>2734</v>
      </c>
      <c r="B463" s="1482" t="s">
        <v>2735</v>
      </c>
      <c r="C463" s="1483">
        <v>86.090999999999994</v>
      </c>
      <c r="D463" s="1484" t="s">
        <v>1883</v>
      </c>
      <c r="E463" s="1485">
        <v>8.1357318070300003E-3</v>
      </c>
      <c r="F463" s="1485">
        <v>1.9900000000000001E-4</v>
      </c>
      <c r="G463" s="1486" t="s">
        <v>1199</v>
      </c>
      <c r="H463" s="1485">
        <v>86.56</v>
      </c>
      <c r="I463" s="1486" t="s">
        <v>1883</v>
      </c>
      <c r="J463" s="1487">
        <v>-76.5</v>
      </c>
      <c r="K463" s="1488" t="s">
        <v>1883</v>
      </c>
      <c r="L463" s="1489">
        <v>0.95350000000000001</v>
      </c>
      <c r="M463" s="1490" t="s">
        <v>1884</v>
      </c>
      <c r="N463" s="1491">
        <v>8.5997237679010005E-2</v>
      </c>
      <c r="O463" s="1491">
        <v>1.018332345E-5</v>
      </c>
      <c r="P463" s="1492" t="s">
        <v>1885</v>
      </c>
      <c r="Q463" s="1493" t="s">
        <v>635</v>
      </c>
      <c r="R463" s="1494"/>
      <c r="S463" s="1493">
        <v>5.8440000000000003</v>
      </c>
      <c r="T463" s="1493" t="s">
        <v>1199</v>
      </c>
      <c r="U463" s="1493">
        <v>0.8</v>
      </c>
      <c r="V463" s="1495" t="s">
        <v>1883</v>
      </c>
      <c r="W463" s="1496">
        <v>49400</v>
      </c>
      <c r="X463" s="1497" t="s">
        <v>1883</v>
      </c>
      <c r="Y463" s="1498">
        <v>6.24516010828E-3</v>
      </c>
      <c r="Z463" s="1498">
        <v>0.31912317899590997</v>
      </c>
      <c r="AA463" s="1498">
        <v>0.76589562959018997</v>
      </c>
      <c r="AB463" s="1498">
        <v>1.75E-3</v>
      </c>
      <c r="AC463" s="1499" t="s">
        <v>1199</v>
      </c>
      <c r="AD463" s="1500" t="s">
        <v>635</v>
      </c>
      <c r="AE463" s="1501"/>
      <c r="AF463" s="1502" t="s">
        <v>635</v>
      </c>
      <c r="AG463" s="1501"/>
      <c r="AH463" s="1502" t="s">
        <v>635</v>
      </c>
      <c r="AI463" s="1501"/>
      <c r="AJ463" s="1502">
        <v>0.02</v>
      </c>
      <c r="AK463" s="1503" t="s">
        <v>1909</v>
      </c>
      <c r="AL463" s="1503" t="s">
        <v>1127</v>
      </c>
      <c r="AM463" s="1501"/>
      <c r="AN463" s="1504">
        <v>1</v>
      </c>
      <c r="AO463" s="1504" t="s">
        <v>635</v>
      </c>
      <c r="AP463" s="1506">
        <v>6750</v>
      </c>
    </row>
    <row r="464" spans="1:42" ht="30">
      <c r="A464" s="1481" t="s">
        <v>220</v>
      </c>
      <c r="B464" s="1482" t="s">
        <v>2736</v>
      </c>
      <c r="C464" s="1483">
        <v>72.108000000000004</v>
      </c>
      <c r="D464" s="1484" t="s">
        <v>1883</v>
      </c>
      <c r="E464" s="1485">
        <v>2.3262469337699998E-3</v>
      </c>
      <c r="F464" s="1485">
        <v>5.6900000000000001E-5</v>
      </c>
      <c r="G464" s="1486" t="s">
        <v>1883</v>
      </c>
      <c r="H464" s="1485">
        <v>90.6</v>
      </c>
      <c r="I464" s="1486" t="s">
        <v>1883</v>
      </c>
      <c r="J464" s="1487">
        <v>-86.6</v>
      </c>
      <c r="K464" s="1488" t="s">
        <v>1883</v>
      </c>
      <c r="L464" s="1489">
        <v>0.79990000000000006</v>
      </c>
      <c r="M464" s="1490" t="s">
        <v>1884</v>
      </c>
      <c r="N464" s="1491">
        <v>9.1446171641679994E-2</v>
      </c>
      <c r="O464" s="1491">
        <v>1.019302571E-5</v>
      </c>
      <c r="P464" s="1492" t="s">
        <v>1885</v>
      </c>
      <c r="Q464" s="1493" t="s">
        <v>635</v>
      </c>
      <c r="R464" s="1494"/>
      <c r="S464" s="1493">
        <v>4.51</v>
      </c>
      <c r="T464" s="1493" t="s">
        <v>1199</v>
      </c>
      <c r="U464" s="1493">
        <v>0.28999999999999998</v>
      </c>
      <c r="V464" s="1495" t="s">
        <v>1883</v>
      </c>
      <c r="W464" s="1496">
        <v>223000</v>
      </c>
      <c r="X464" s="1497" t="s">
        <v>1883</v>
      </c>
      <c r="Y464" s="1498">
        <v>3.1419078917099999E-3</v>
      </c>
      <c r="Z464" s="1498">
        <v>0.26647320757247001</v>
      </c>
      <c r="AA464" s="1498">
        <v>0.63953569817392997</v>
      </c>
      <c r="AB464" s="1498">
        <v>9.6199999999999996E-4</v>
      </c>
      <c r="AC464" s="1499" t="s">
        <v>1199</v>
      </c>
      <c r="AD464" s="1500" t="s">
        <v>635</v>
      </c>
      <c r="AE464" s="1501"/>
      <c r="AF464" s="1502" t="s">
        <v>635</v>
      </c>
      <c r="AG464" s="1501"/>
      <c r="AH464" s="1502">
        <v>0.6</v>
      </c>
      <c r="AI464" s="1503" t="s">
        <v>1119</v>
      </c>
      <c r="AJ464" s="1502">
        <v>5</v>
      </c>
      <c r="AK464" s="1503" t="s">
        <v>1119</v>
      </c>
      <c r="AL464" s="1503" t="s">
        <v>1127</v>
      </c>
      <c r="AM464" s="1501"/>
      <c r="AN464" s="1504">
        <v>1</v>
      </c>
      <c r="AO464" s="1504" t="s">
        <v>635</v>
      </c>
      <c r="AP464" s="1506">
        <v>28400</v>
      </c>
    </row>
    <row r="465" spans="1:42" ht="30">
      <c r="A465" s="1507" t="s">
        <v>2737</v>
      </c>
      <c r="B465" s="1508" t="s">
        <v>2738</v>
      </c>
      <c r="C465" s="1509">
        <v>46.072000000000003</v>
      </c>
      <c r="D465" s="1510" t="s">
        <v>1883</v>
      </c>
      <c r="E465" s="1511">
        <v>1.2391659852999999E-4</v>
      </c>
      <c r="F465" s="1511">
        <v>3.0309999999999999E-6</v>
      </c>
      <c r="G465" s="1512" t="s">
        <v>1883</v>
      </c>
      <c r="H465" s="1511">
        <v>50</v>
      </c>
      <c r="I465" s="1512" t="s">
        <v>1883</v>
      </c>
      <c r="J465" s="1513">
        <v>-52.4</v>
      </c>
      <c r="K465" s="1514" t="s">
        <v>1883</v>
      </c>
      <c r="L465" s="1515">
        <v>0.86599999999999999</v>
      </c>
      <c r="M465" s="1516" t="s">
        <v>1905</v>
      </c>
      <c r="N465" s="1517">
        <v>0.12908942647905999</v>
      </c>
      <c r="O465" s="1517">
        <v>1.398686127E-5</v>
      </c>
      <c r="P465" s="1518" t="s">
        <v>1885</v>
      </c>
      <c r="Q465" s="1519" t="s">
        <v>635</v>
      </c>
      <c r="R465" s="1520"/>
      <c r="S465" s="1519">
        <v>13.31</v>
      </c>
      <c r="T465" s="1519" t="s">
        <v>1199</v>
      </c>
      <c r="U465" s="1519">
        <v>-1.05</v>
      </c>
      <c r="V465" s="1521" t="s">
        <v>1883</v>
      </c>
      <c r="W465" s="1522">
        <v>1000000</v>
      </c>
      <c r="X465" s="1523" t="s">
        <v>1883</v>
      </c>
      <c r="Y465" s="1524">
        <v>4.5163884482000001E-4</v>
      </c>
      <c r="Z465" s="1524">
        <v>0.19048112597659</v>
      </c>
      <c r="AA465" s="1524">
        <v>0.45715470234382999</v>
      </c>
      <c r="AB465" s="1524">
        <v>1.73E-4</v>
      </c>
      <c r="AC465" s="1525" t="s">
        <v>1199</v>
      </c>
      <c r="AD465" s="1526" t="s">
        <v>635</v>
      </c>
      <c r="AE465" s="1527"/>
      <c r="AF465" s="1528">
        <v>1E-3</v>
      </c>
      <c r="AG465" s="1529" t="s">
        <v>1893</v>
      </c>
      <c r="AH465" s="1528">
        <v>1E-3</v>
      </c>
      <c r="AI465" s="1529" t="s">
        <v>1909</v>
      </c>
      <c r="AJ465" s="1528">
        <v>2.0000000000000002E-5</v>
      </c>
      <c r="AK465" s="1529" t="s">
        <v>1893</v>
      </c>
      <c r="AL465" s="1529" t="s">
        <v>1127</v>
      </c>
      <c r="AM465" s="1527"/>
      <c r="AN465" s="1530">
        <v>1</v>
      </c>
      <c r="AO465" s="1530" t="s">
        <v>635</v>
      </c>
      <c r="AP465" s="1532">
        <v>180000</v>
      </c>
    </row>
    <row r="466" spans="1:42" ht="30">
      <c r="A466" s="1481" t="s">
        <v>222</v>
      </c>
      <c r="B466" s="1482" t="s">
        <v>2739</v>
      </c>
      <c r="C466" s="1483">
        <v>100.16</v>
      </c>
      <c r="D466" s="1484" t="s">
        <v>1883</v>
      </c>
      <c r="E466" s="1485">
        <v>5.6418642681899996E-3</v>
      </c>
      <c r="F466" s="1485">
        <v>1.3799999999999999E-4</v>
      </c>
      <c r="G466" s="1486" t="s">
        <v>1199</v>
      </c>
      <c r="H466" s="1485">
        <v>19.86</v>
      </c>
      <c r="I466" s="1486" t="s">
        <v>1883</v>
      </c>
      <c r="J466" s="1487">
        <v>-84</v>
      </c>
      <c r="K466" s="1488" t="s">
        <v>1883</v>
      </c>
      <c r="L466" s="1489">
        <v>0.79649999999999999</v>
      </c>
      <c r="M466" s="1490" t="s">
        <v>1884</v>
      </c>
      <c r="N466" s="1491">
        <v>6.9779655947430005E-2</v>
      </c>
      <c r="O466" s="1491">
        <v>8.3476964852300003E-6</v>
      </c>
      <c r="P466" s="1492" t="s">
        <v>1885</v>
      </c>
      <c r="Q466" s="1493" t="s">
        <v>635</v>
      </c>
      <c r="R466" s="1494"/>
      <c r="S466" s="1493">
        <v>12.6</v>
      </c>
      <c r="T466" s="1493" t="s">
        <v>1199</v>
      </c>
      <c r="U466" s="1493">
        <v>1.31</v>
      </c>
      <c r="V466" s="1495" t="s">
        <v>1883</v>
      </c>
      <c r="W466" s="1496">
        <v>19000</v>
      </c>
      <c r="X466" s="1497" t="s">
        <v>1883</v>
      </c>
      <c r="Y466" s="1498">
        <v>1.227904223083E-2</v>
      </c>
      <c r="Z466" s="1498">
        <v>0.38259980964473</v>
      </c>
      <c r="AA466" s="1498">
        <v>0.91823954314735001</v>
      </c>
      <c r="AB466" s="1498">
        <v>3.1900000000000001E-3</v>
      </c>
      <c r="AC466" s="1499" t="s">
        <v>1199</v>
      </c>
      <c r="AD466" s="1500" t="s">
        <v>635</v>
      </c>
      <c r="AE466" s="1501"/>
      <c r="AF466" s="1502" t="s">
        <v>635</v>
      </c>
      <c r="AG466" s="1501"/>
      <c r="AH466" s="1502" t="s">
        <v>635</v>
      </c>
      <c r="AI466" s="1501"/>
      <c r="AJ466" s="1502">
        <v>3</v>
      </c>
      <c r="AK466" s="1503" t="s">
        <v>1119</v>
      </c>
      <c r="AL466" s="1503" t="s">
        <v>1127</v>
      </c>
      <c r="AM466" s="1501"/>
      <c r="AN466" s="1504">
        <v>1</v>
      </c>
      <c r="AO466" s="1504" t="s">
        <v>635</v>
      </c>
      <c r="AP466" s="1506">
        <v>3360</v>
      </c>
    </row>
    <row r="467" spans="1:42" ht="30">
      <c r="A467" s="1481" t="s">
        <v>2740</v>
      </c>
      <c r="B467" s="1482" t="s">
        <v>2741</v>
      </c>
      <c r="C467" s="1483">
        <v>57.052</v>
      </c>
      <c r="D467" s="1484" t="s">
        <v>1883</v>
      </c>
      <c r="E467" s="1485">
        <v>3.7857726901059999E-2</v>
      </c>
      <c r="F467" s="1485">
        <v>9.2599999999999996E-4</v>
      </c>
      <c r="G467" s="1486" t="s">
        <v>1883</v>
      </c>
      <c r="H467" s="1485">
        <v>348</v>
      </c>
      <c r="I467" s="1486" t="s">
        <v>1883</v>
      </c>
      <c r="J467" s="1487">
        <v>-45</v>
      </c>
      <c r="K467" s="1488" t="s">
        <v>1883</v>
      </c>
      <c r="L467" s="1489">
        <v>0.95879999999999999</v>
      </c>
      <c r="M467" s="1490" t="s">
        <v>1884</v>
      </c>
      <c r="N467" s="1491">
        <v>0.11654940800983001</v>
      </c>
      <c r="O467" s="1491">
        <v>1.307814243E-5</v>
      </c>
      <c r="P467" s="1492" t="s">
        <v>1885</v>
      </c>
      <c r="Q467" s="1493" t="s">
        <v>635</v>
      </c>
      <c r="R467" s="1494"/>
      <c r="S467" s="1493">
        <v>39.6</v>
      </c>
      <c r="T467" s="1493" t="s">
        <v>1199</v>
      </c>
      <c r="U467" s="1493">
        <v>0.79</v>
      </c>
      <c r="V467" s="1495" t="s">
        <v>1883</v>
      </c>
      <c r="W467" s="1496">
        <v>29200</v>
      </c>
      <c r="X467" s="1497" t="s">
        <v>1883</v>
      </c>
      <c r="Y467" s="1498">
        <v>7.2627667637799997E-3</v>
      </c>
      <c r="Z467" s="1498">
        <v>0.2194522053703</v>
      </c>
      <c r="AA467" s="1498">
        <v>0.52668529288873001</v>
      </c>
      <c r="AB467" s="1498">
        <v>2.5000000000000001E-3</v>
      </c>
      <c r="AC467" s="1499" t="s">
        <v>1199</v>
      </c>
      <c r="AD467" s="1500" t="s">
        <v>635</v>
      </c>
      <c r="AE467" s="1501"/>
      <c r="AF467" s="1502" t="s">
        <v>635</v>
      </c>
      <c r="AG467" s="1501"/>
      <c r="AH467" s="1502" t="s">
        <v>635</v>
      </c>
      <c r="AI467" s="1501"/>
      <c r="AJ467" s="1502">
        <v>1E-3</v>
      </c>
      <c r="AK467" s="1503" t="s">
        <v>1900</v>
      </c>
      <c r="AL467" s="1503" t="s">
        <v>1127</v>
      </c>
      <c r="AM467" s="1501"/>
      <c r="AN467" s="1504">
        <v>1</v>
      </c>
      <c r="AO467" s="1504" t="s">
        <v>635</v>
      </c>
      <c r="AP467" s="1506">
        <v>10100</v>
      </c>
    </row>
    <row r="468" spans="1:42" ht="30">
      <c r="A468" s="1507" t="s">
        <v>2742</v>
      </c>
      <c r="B468" s="1508" t="s">
        <v>2743</v>
      </c>
      <c r="C468" s="1509">
        <v>100.12</v>
      </c>
      <c r="D468" s="1510" t="s">
        <v>1883</v>
      </c>
      <c r="E468" s="1511">
        <v>1.30417007359E-2</v>
      </c>
      <c r="F468" s="1511">
        <v>3.19E-4</v>
      </c>
      <c r="G468" s="1512" t="s">
        <v>1199</v>
      </c>
      <c r="H468" s="1511">
        <v>38.5</v>
      </c>
      <c r="I468" s="1512" t="s">
        <v>1883</v>
      </c>
      <c r="J468" s="1513">
        <v>-47.55</v>
      </c>
      <c r="K468" s="1514" t="s">
        <v>1883</v>
      </c>
      <c r="L468" s="1515">
        <v>0.93769999999999998</v>
      </c>
      <c r="M468" s="1516" t="s">
        <v>1884</v>
      </c>
      <c r="N468" s="1517">
        <v>7.5044667464600007E-2</v>
      </c>
      <c r="O468" s="1517">
        <v>9.2086849834600006E-6</v>
      </c>
      <c r="P468" s="1518" t="s">
        <v>1885</v>
      </c>
      <c r="Q468" s="1519" t="s">
        <v>635</v>
      </c>
      <c r="R468" s="1520"/>
      <c r="S468" s="1519">
        <v>9.14</v>
      </c>
      <c r="T468" s="1519" t="s">
        <v>1199</v>
      </c>
      <c r="U468" s="1519">
        <v>1.38</v>
      </c>
      <c r="V468" s="1521" t="s">
        <v>1883</v>
      </c>
      <c r="W468" s="1522">
        <v>15000</v>
      </c>
      <c r="X468" s="1523" t="s">
        <v>1883</v>
      </c>
      <c r="Y468" s="1524">
        <v>1.366203600532E-2</v>
      </c>
      <c r="Z468" s="1524">
        <v>0.38240252355663001</v>
      </c>
      <c r="AA468" s="1524">
        <v>0.91776605653590004</v>
      </c>
      <c r="AB468" s="1524">
        <v>3.5500000000000002E-3</v>
      </c>
      <c r="AC468" s="1525" t="s">
        <v>1199</v>
      </c>
      <c r="AD468" s="1526" t="s">
        <v>635</v>
      </c>
      <c r="AE468" s="1527"/>
      <c r="AF468" s="1528" t="s">
        <v>635</v>
      </c>
      <c r="AG468" s="1527"/>
      <c r="AH468" s="1528">
        <v>1.4</v>
      </c>
      <c r="AI468" s="1529" t="s">
        <v>1119</v>
      </c>
      <c r="AJ468" s="1528">
        <v>0.7</v>
      </c>
      <c r="AK468" s="1529" t="s">
        <v>1119</v>
      </c>
      <c r="AL468" s="1529" t="s">
        <v>1127</v>
      </c>
      <c r="AM468" s="1527"/>
      <c r="AN468" s="1530">
        <v>1</v>
      </c>
      <c r="AO468" s="1530" t="s">
        <v>635</v>
      </c>
      <c r="AP468" s="1532">
        <v>2360</v>
      </c>
    </row>
    <row r="469" spans="1:42" ht="30">
      <c r="A469" s="1481" t="s">
        <v>2744</v>
      </c>
      <c r="B469" s="1482" t="s">
        <v>2745</v>
      </c>
      <c r="C469" s="1483">
        <v>263.20999999999998</v>
      </c>
      <c r="D469" s="1484" t="s">
        <v>1883</v>
      </c>
      <c r="E469" s="1485">
        <v>4.0883074407200002E-6</v>
      </c>
      <c r="F469" s="1485">
        <v>9.9999999999999995E-8</v>
      </c>
      <c r="G469" s="1486" t="s">
        <v>1883</v>
      </c>
      <c r="H469" s="1485">
        <v>3.4999999999999999E-6</v>
      </c>
      <c r="I469" s="1486" t="s">
        <v>1883</v>
      </c>
      <c r="J469" s="1487">
        <v>35.5</v>
      </c>
      <c r="K469" s="1488" t="s">
        <v>1883</v>
      </c>
      <c r="L469" s="1489">
        <v>1.3580000000000001</v>
      </c>
      <c r="M469" s="1490" t="s">
        <v>1884</v>
      </c>
      <c r="N469" s="1491">
        <v>2.4984641392469999E-2</v>
      </c>
      <c r="O469" s="1491">
        <v>6.4391746170800004E-6</v>
      </c>
      <c r="P469" s="1492" t="s">
        <v>1885</v>
      </c>
      <c r="Q469" s="1493" t="s">
        <v>635</v>
      </c>
      <c r="R469" s="1494"/>
      <c r="S469" s="1493">
        <v>729.3</v>
      </c>
      <c r="T469" s="1493" t="s">
        <v>1199</v>
      </c>
      <c r="U469" s="1493">
        <v>2.86</v>
      </c>
      <c r="V469" s="1495" t="s">
        <v>1883</v>
      </c>
      <c r="W469" s="1496">
        <v>37.700000000000003</v>
      </c>
      <c r="X469" s="1497" t="s">
        <v>1883</v>
      </c>
      <c r="Y469" s="1498">
        <v>2.5957996841050001E-2</v>
      </c>
      <c r="Z469" s="1498">
        <v>3.1320216079792198</v>
      </c>
      <c r="AA469" s="1498">
        <v>7.5168518591501297</v>
      </c>
      <c r="AB469" s="1498">
        <v>4.1599999999999996E-3</v>
      </c>
      <c r="AC469" s="1499" t="s">
        <v>1199</v>
      </c>
      <c r="AD469" s="1500" t="s">
        <v>635</v>
      </c>
      <c r="AE469" s="1501"/>
      <c r="AF469" s="1502" t="s">
        <v>635</v>
      </c>
      <c r="AG469" s="1501"/>
      <c r="AH469" s="1502">
        <v>2.5000000000000001E-4</v>
      </c>
      <c r="AI469" s="1503" t="s">
        <v>1119</v>
      </c>
      <c r="AJ469" s="1502" t="s">
        <v>635</v>
      </c>
      <c r="AK469" s="1501"/>
      <c r="AL469" s="1501"/>
      <c r="AM469" s="1501"/>
      <c r="AN469" s="1504">
        <v>1</v>
      </c>
      <c r="AO469" s="1505">
        <v>0.1</v>
      </c>
      <c r="AP469" s="1506" t="s">
        <v>635</v>
      </c>
    </row>
    <row r="470" spans="1:42" ht="30">
      <c r="A470" s="1481" t="s">
        <v>2746</v>
      </c>
      <c r="B470" s="1482" t="s">
        <v>2747</v>
      </c>
      <c r="C470" s="1483">
        <v>96.022999999999996</v>
      </c>
      <c r="D470" s="1484" t="s">
        <v>1883</v>
      </c>
      <c r="E470" s="1485">
        <v>4.9877350777000001E-10</v>
      </c>
      <c r="F470" s="1485">
        <v>1.2200000000000001E-11</v>
      </c>
      <c r="G470" s="1486" t="s">
        <v>1883</v>
      </c>
      <c r="H470" s="1485">
        <v>3.2699999999999998E-4</v>
      </c>
      <c r="I470" s="1486" t="s">
        <v>1199</v>
      </c>
      <c r="J470" s="1487">
        <v>108.5</v>
      </c>
      <c r="K470" s="1488" t="s">
        <v>1883</v>
      </c>
      <c r="L470" s="1489" t="s">
        <v>635</v>
      </c>
      <c r="M470" s="1533"/>
      <c r="N470" s="1491">
        <v>9.0608739217449996E-2</v>
      </c>
      <c r="O470" s="1491">
        <v>1.058691585E-5</v>
      </c>
      <c r="P470" s="1492" t="s">
        <v>1885</v>
      </c>
      <c r="Q470" s="1493" t="s">
        <v>635</v>
      </c>
      <c r="R470" s="1494"/>
      <c r="S470" s="1493">
        <v>1.407</v>
      </c>
      <c r="T470" s="1493" t="s">
        <v>1199</v>
      </c>
      <c r="U470" s="1493">
        <v>-0.7</v>
      </c>
      <c r="V470" s="1495" t="s">
        <v>1883</v>
      </c>
      <c r="W470" s="1496">
        <v>20000</v>
      </c>
      <c r="X470" s="1497" t="s">
        <v>1883</v>
      </c>
      <c r="Y470" s="1498">
        <v>3.7085948049000002E-4</v>
      </c>
      <c r="Z470" s="1498">
        <v>0.36272505031253999</v>
      </c>
      <c r="AA470" s="1498">
        <v>0.87054012075009002</v>
      </c>
      <c r="AB470" s="1498">
        <v>9.8400000000000007E-5</v>
      </c>
      <c r="AC470" s="1499" t="s">
        <v>1199</v>
      </c>
      <c r="AD470" s="1500" t="s">
        <v>635</v>
      </c>
      <c r="AE470" s="1501"/>
      <c r="AF470" s="1502" t="s">
        <v>635</v>
      </c>
      <c r="AG470" s="1501"/>
      <c r="AH470" s="1502">
        <v>0.06</v>
      </c>
      <c r="AI470" s="1503" t="s">
        <v>1893</v>
      </c>
      <c r="AJ470" s="1502" t="s">
        <v>635</v>
      </c>
      <c r="AK470" s="1501"/>
      <c r="AL470" s="1501"/>
      <c r="AM470" s="1501"/>
      <c r="AN470" s="1504">
        <v>1</v>
      </c>
      <c r="AO470" s="1505">
        <v>0.1</v>
      </c>
      <c r="AP470" s="1506" t="s">
        <v>635</v>
      </c>
    </row>
    <row r="471" spans="1:42" ht="30">
      <c r="A471" s="1507" t="s">
        <v>2748</v>
      </c>
      <c r="B471" s="1508" t="s">
        <v>2749</v>
      </c>
      <c r="C471" s="1509">
        <v>354.54</v>
      </c>
      <c r="D471" s="1510" t="s">
        <v>1883</v>
      </c>
      <c r="E471" s="1511">
        <v>0.10711365494685</v>
      </c>
      <c r="F471" s="1511">
        <v>2.6199999999999999E-3</v>
      </c>
      <c r="G471" s="1512" t="s">
        <v>1883</v>
      </c>
      <c r="H471" s="1511">
        <v>1.5</v>
      </c>
      <c r="I471" s="1512" t="s">
        <v>1883</v>
      </c>
      <c r="J471" s="1513">
        <v>-86.3</v>
      </c>
      <c r="K471" s="1514" t="s">
        <v>1199</v>
      </c>
      <c r="L471" s="1515">
        <v>0.89</v>
      </c>
      <c r="M471" s="1516" t="s">
        <v>2607</v>
      </c>
      <c r="N471" s="1517">
        <v>1.7396965404569999E-2</v>
      </c>
      <c r="O471" s="1517">
        <v>4.1793296817399997E-6</v>
      </c>
      <c r="P471" s="1518" t="s">
        <v>1885</v>
      </c>
      <c r="Q471" s="1519" t="s">
        <v>635</v>
      </c>
      <c r="R471" s="1520"/>
      <c r="S471" s="1519">
        <v>715.8</v>
      </c>
      <c r="T471" s="1519" t="s">
        <v>1199</v>
      </c>
      <c r="U471" s="1519">
        <v>3.44</v>
      </c>
      <c r="V471" s="1521" t="s">
        <v>1883</v>
      </c>
      <c r="W471" s="1522">
        <v>89</v>
      </c>
      <c r="X471" s="1523" t="s">
        <v>1883</v>
      </c>
      <c r="Y471" s="1524">
        <v>0.47797282733293001</v>
      </c>
      <c r="Z471" s="1524">
        <v>10.1688712718174</v>
      </c>
      <c r="AA471" s="1524">
        <v>24.4052910523619</v>
      </c>
      <c r="AB471" s="1524">
        <v>6.6000000000000003E-2</v>
      </c>
      <c r="AC471" s="1525" t="s">
        <v>1199</v>
      </c>
      <c r="AD471" s="1526" t="s">
        <v>635</v>
      </c>
      <c r="AE471" s="1527"/>
      <c r="AF471" s="1528" t="s">
        <v>635</v>
      </c>
      <c r="AG471" s="1527"/>
      <c r="AH471" s="1528">
        <v>6.0000000000000001E-3</v>
      </c>
      <c r="AI471" s="1529" t="s">
        <v>1073</v>
      </c>
      <c r="AJ471" s="1528">
        <v>0.04</v>
      </c>
      <c r="AK471" s="1529" t="s">
        <v>1073</v>
      </c>
      <c r="AL471" s="1529" t="s">
        <v>1127</v>
      </c>
      <c r="AM471" s="1527"/>
      <c r="AN471" s="1530">
        <v>1</v>
      </c>
      <c r="AO471" s="1530" t="s">
        <v>635</v>
      </c>
      <c r="AP471" s="1532">
        <v>393</v>
      </c>
    </row>
    <row r="472" spans="1:42" ht="30">
      <c r="A472" s="1481" t="s">
        <v>2750</v>
      </c>
      <c r="B472" s="1482" t="s">
        <v>2751</v>
      </c>
      <c r="C472" s="1483">
        <v>110.13</v>
      </c>
      <c r="D472" s="1484" t="s">
        <v>1883</v>
      </c>
      <c r="E472" s="1485">
        <v>1.6475878986000001E-4</v>
      </c>
      <c r="F472" s="1485">
        <v>4.0300000000000004E-6</v>
      </c>
      <c r="G472" s="1486" t="s">
        <v>1883</v>
      </c>
      <c r="H472" s="1485">
        <v>0.31</v>
      </c>
      <c r="I472" s="1486" t="s">
        <v>1883</v>
      </c>
      <c r="J472" s="1487">
        <v>20</v>
      </c>
      <c r="K472" s="1488" t="s">
        <v>1883</v>
      </c>
      <c r="L472" s="1489">
        <v>1.2943</v>
      </c>
      <c r="M472" s="1490" t="s">
        <v>1884</v>
      </c>
      <c r="N472" s="1491">
        <v>7.8905600937119999E-2</v>
      </c>
      <c r="O472" s="1491">
        <v>1.0552354160000001E-5</v>
      </c>
      <c r="P472" s="1492" t="s">
        <v>1885</v>
      </c>
      <c r="Q472" s="1493" t="s">
        <v>635</v>
      </c>
      <c r="R472" s="1494"/>
      <c r="S472" s="1493">
        <v>4.3319999999999999</v>
      </c>
      <c r="T472" s="1493" t="s">
        <v>1199</v>
      </c>
      <c r="U472" s="1493">
        <v>-0.66</v>
      </c>
      <c r="V472" s="1495" t="s">
        <v>1883</v>
      </c>
      <c r="W472" s="1496">
        <v>200000</v>
      </c>
      <c r="X472" s="1497" t="s">
        <v>1905</v>
      </c>
      <c r="Y472" s="1498">
        <v>5.5700431302999997E-4</v>
      </c>
      <c r="Z472" s="1498">
        <v>0.43508764362292002</v>
      </c>
      <c r="AA472" s="1498">
        <v>1.044210344695</v>
      </c>
      <c r="AB472" s="1498">
        <v>1.3799999999999999E-4</v>
      </c>
      <c r="AC472" s="1499" t="s">
        <v>1199</v>
      </c>
      <c r="AD472" s="1500">
        <v>9.9000000000000005E-2</v>
      </c>
      <c r="AE472" s="1503" t="s">
        <v>1900</v>
      </c>
      <c r="AF472" s="1502">
        <v>2.8E-5</v>
      </c>
      <c r="AG472" s="1503" t="s">
        <v>1900</v>
      </c>
      <c r="AH472" s="1502" t="s">
        <v>635</v>
      </c>
      <c r="AI472" s="1501"/>
      <c r="AJ472" s="1502" t="s">
        <v>635</v>
      </c>
      <c r="AK472" s="1501"/>
      <c r="AL472" s="1501"/>
      <c r="AM472" s="1501"/>
      <c r="AN472" s="1504">
        <v>1</v>
      </c>
      <c r="AO472" s="1505">
        <v>0.1</v>
      </c>
      <c r="AP472" s="1506" t="s">
        <v>635</v>
      </c>
    </row>
    <row r="473" spans="1:42" ht="30">
      <c r="A473" s="1481" t="s">
        <v>228</v>
      </c>
      <c r="B473" s="1482" t="s">
        <v>2752</v>
      </c>
      <c r="C473" s="1483">
        <v>88.150999999999996</v>
      </c>
      <c r="D473" s="1484" t="s">
        <v>1883</v>
      </c>
      <c r="E473" s="1485">
        <v>2.399836467702E-2</v>
      </c>
      <c r="F473" s="1485">
        <v>5.8699999999999996E-4</v>
      </c>
      <c r="G473" s="1486" t="s">
        <v>1883</v>
      </c>
      <c r="H473" s="1485">
        <v>250</v>
      </c>
      <c r="I473" s="1486" t="s">
        <v>1883</v>
      </c>
      <c r="J473" s="1487">
        <v>-108.6</v>
      </c>
      <c r="K473" s="1488" t="s">
        <v>1883</v>
      </c>
      <c r="L473" s="1489">
        <v>0.73529999999999995</v>
      </c>
      <c r="M473" s="1490" t="s">
        <v>1884</v>
      </c>
      <c r="N473" s="1491">
        <v>7.5267202926059998E-2</v>
      </c>
      <c r="O473" s="1491">
        <v>8.5904153988199992E-6</v>
      </c>
      <c r="P473" s="1492" t="s">
        <v>1885</v>
      </c>
      <c r="Q473" s="1493" t="s">
        <v>635</v>
      </c>
      <c r="R473" s="1494"/>
      <c r="S473" s="1493">
        <v>11.56</v>
      </c>
      <c r="T473" s="1493" t="s">
        <v>1199</v>
      </c>
      <c r="U473" s="1493">
        <v>0.94</v>
      </c>
      <c r="V473" s="1495" t="s">
        <v>1883</v>
      </c>
      <c r="W473" s="1496">
        <v>51000</v>
      </c>
      <c r="X473" s="1497" t="s">
        <v>1883</v>
      </c>
      <c r="Y473" s="1498">
        <v>7.6194343068800002E-3</v>
      </c>
      <c r="Z473" s="1498">
        <v>0.32771351306433</v>
      </c>
      <c r="AA473" s="1498">
        <v>0.78651243135438997</v>
      </c>
      <c r="AB473" s="1498">
        <v>2.1099999999999999E-3</v>
      </c>
      <c r="AC473" s="1499" t="s">
        <v>1199</v>
      </c>
      <c r="AD473" s="1500">
        <v>1.8E-3</v>
      </c>
      <c r="AE473" s="1503" t="s">
        <v>1900</v>
      </c>
      <c r="AF473" s="1502">
        <v>2.6E-7</v>
      </c>
      <c r="AG473" s="1503" t="s">
        <v>1900</v>
      </c>
      <c r="AH473" s="1502" t="s">
        <v>635</v>
      </c>
      <c r="AI473" s="1501"/>
      <c r="AJ473" s="1502">
        <v>3</v>
      </c>
      <c r="AK473" s="1503" t="s">
        <v>1119</v>
      </c>
      <c r="AL473" s="1503" t="s">
        <v>1127</v>
      </c>
      <c r="AM473" s="1501"/>
      <c r="AN473" s="1504">
        <v>1</v>
      </c>
      <c r="AO473" s="1504" t="s">
        <v>635</v>
      </c>
      <c r="AP473" s="1506">
        <v>8870</v>
      </c>
    </row>
    <row r="474" spans="1:42" ht="45">
      <c r="A474" s="1507" t="s">
        <v>2753</v>
      </c>
      <c r="B474" s="1508" t="s">
        <v>2754</v>
      </c>
      <c r="C474" s="1509">
        <v>195.09</v>
      </c>
      <c r="D474" s="1510" t="s">
        <v>1883</v>
      </c>
      <c r="E474" s="1511">
        <v>2.6083401471999999E-16</v>
      </c>
      <c r="F474" s="1511">
        <v>6.3799999999999999E-18</v>
      </c>
      <c r="G474" s="1512" t="s">
        <v>1883</v>
      </c>
      <c r="H474" s="1511">
        <v>4.1200000000000002E-12</v>
      </c>
      <c r="I474" s="1512" t="s">
        <v>1883</v>
      </c>
      <c r="J474" s="1513">
        <v>240.01</v>
      </c>
      <c r="K474" s="1514" t="s">
        <v>1199</v>
      </c>
      <c r="L474" s="1515" t="s">
        <v>635</v>
      </c>
      <c r="M474" s="1538"/>
      <c r="N474" s="1517">
        <v>5.6484626556840001E-2</v>
      </c>
      <c r="O474" s="1517">
        <v>6.5997826818999997E-6</v>
      </c>
      <c r="P474" s="1518" t="s">
        <v>1885</v>
      </c>
      <c r="Q474" s="1519" t="s">
        <v>635</v>
      </c>
      <c r="R474" s="1520"/>
      <c r="S474" s="1519">
        <v>201.5</v>
      </c>
      <c r="T474" s="1519" t="s">
        <v>1199</v>
      </c>
      <c r="U474" s="1519">
        <v>-2.06</v>
      </c>
      <c r="V474" s="1521" t="s">
        <v>1883</v>
      </c>
      <c r="W474" s="1522">
        <v>1000000</v>
      </c>
      <c r="X474" s="1523" t="s">
        <v>1883</v>
      </c>
      <c r="Y474" s="1524">
        <v>2.8955623540000001E-5</v>
      </c>
      <c r="Z474" s="1524">
        <v>1.30122605157616</v>
      </c>
      <c r="AA474" s="1524">
        <v>3.1229425237827702</v>
      </c>
      <c r="AB474" s="1524">
        <v>5.3900000000000001E-6</v>
      </c>
      <c r="AC474" s="1525" t="s">
        <v>1199</v>
      </c>
      <c r="AD474" s="1526" t="s">
        <v>635</v>
      </c>
      <c r="AE474" s="1527"/>
      <c r="AF474" s="1528" t="s">
        <v>635</v>
      </c>
      <c r="AG474" s="1527"/>
      <c r="AH474" s="1528">
        <v>2.9999999999999997E-4</v>
      </c>
      <c r="AI474" s="1529" t="s">
        <v>1893</v>
      </c>
      <c r="AJ474" s="1528" t="s">
        <v>635</v>
      </c>
      <c r="AK474" s="1527"/>
      <c r="AL474" s="1527"/>
      <c r="AM474" s="1527"/>
      <c r="AN474" s="1530">
        <v>1</v>
      </c>
      <c r="AO474" s="1531">
        <v>0.1</v>
      </c>
      <c r="AP474" s="1532" t="s">
        <v>635</v>
      </c>
    </row>
    <row r="475" spans="1:42" ht="30">
      <c r="A475" s="1481" t="s">
        <v>2755</v>
      </c>
      <c r="B475" s="1482" t="s">
        <v>2756</v>
      </c>
      <c r="C475" s="1483">
        <v>102.18</v>
      </c>
      <c r="D475" s="1484" t="s">
        <v>1883</v>
      </c>
      <c r="E475" s="1485">
        <v>1.8192968111199999E-3</v>
      </c>
      <c r="F475" s="1485">
        <v>4.4499999999999997E-5</v>
      </c>
      <c r="G475" s="1486" t="s">
        <v>1883</v>
      </c>
      <c r="H475" s="1485">
        <v>5.3</v>
      </c>
      <c r="I475" s="1486" t="s">
        <v>1883</v>
      </c>
      <c r="J475" s="1487">
        <v>-90</v>
      </c>
      <c r="K475" s="1488" t="s">
        <v>1883</v>
      </c>
      <c r="L475" s="1489">
        <v>0.8075</v>
      </c>
      <c r="M475" s="1490" t="s">
        <v>1884</v>
      </c>
      <c r="N475" s="1491">
        <v>6.8927299787979998E-2</v>
      </c>
      <c r="O475" s="1491">
        <v>8.3164456022899992E-6</v>
      </c>
      <c r="P475" s="1492" t="s">
        <v>1885</v>
      </c>
      <c r="Q475" s="1493" t="s">
        <v>635</v>
      </c>
      <c r="R475" s="1494"/>
      <c r="S475" s="1493">
        <v>8.1549999999999994</v>
      </c>
      <c r="T475" s="1493" t="s">
        <v>1199</v>
      </c>
      <c r="U475" s="1493">
        <v>1.43</v>
      </c>
      <c r="V475" s="1495" t="s">
        <v>1883</v>
      </c>
      <c r="W475" s="1496">
        <v>16400</v>
      </c>
      <c r="X475" s="1497" t="s">
        <v>1883</v>
      </c>
      <c r="Y475" s="1498">
        <v>2.114990889233E-2</v>
      </c>
      <c r="Z475" s="1498">
        <v>0.39269624598786002</v>
      </c>
      <c r="AA475" s="1498">
        <v>0.94247099037086002</v>
      </c>
      <c r="AB475" s="1498">
        <v>5.4400000000000004E-3</v>
      </c>
      <c r="AC475" s="1499" t="s">
        <v>1199</v>
      </c>
      <c r="AD475" s="1500" t="s">
        <v>635</v>
      </c>
      <c r="AE475" s="1501"/>
      <c r="AF475" s="1502" t="s">
        <v>635</v>
      </c>
      <c r="AG475" s="1501"/>
      <c r="AH475" s="1502" t="s">
        <v>635</v>
      </c>
      <c r="AI475" s="1501"/>
      <c r="AJ475" s="1502">
        <v>3</v>
      </c>
      <c r="AK475" s="1503" t="s">
        <v>1893</v>
      </c>
      <c r="AL475" s="1503" t="s">
        <v>1127</v>
      </c>
      <c r="AM475" s="1501"/>
      <c r="AN475" s="1504">
        <v>1</v>
      </c>
      <c r="AO475" s="1504" t="s">
        <v>635</v>
      </c>
      <c r="AP475" s="1506">
        <v>2450</v>
      </c>
    </row>
    <row r="476" spans="1:42" ht="30">
      <c r="A476" s="1481" t="s">
        <v>2757</v>
      </c>
      <c r="B476" s="1482" t="s">
        <v>2758</v>
      </c>
      <c r="C476" s="1483">
        <v>152.15</v>
      </c>
      <c r="D476" s="1484" t="s">
        <v>1883</v>
      </c>
      <c r="E476" s="1485">
        <v>3.3892068683599999E-7</v>
      </c>
      <c r="F476" s="1485">
        <v>8.2900000000000001E-9</v>
      </c>
      <c r="G476" s="1486" t="s">
        <v>1883</v>
      </c>
      <c r="H476" s="1485">
        <v>9.7499999999999996E-4</v>
      </c>
      <c r="I476" s="1486" t="s">
        <v>1883</v>
      </c>
      <c r="J476" s="1487">
        <v>105.5</v>
      </c>
      <c r="K476" s="1488" t="s">
        <v>1883</v>
      </c>
      <c r="L476" s="1489" t="s">
        <v>635</v>
      </c>
      <c r="M476" s="1533"/>
      <c r="N476" s="1491">
        <v>6.6666189093659997E-2</v>
      </c>
      <c r="O476" s="1491">
        <v>7.78941788358E-6</v>
      </c>
      <c r="P476" s="1492" t="s">
        <v>1885</v>
      </c>
      <c r="Q476" s="1493" t="s">
        <v>635</v>
      </c>
      <c r="R476" s="1494"/>
      <c r="S476" s="1493">
        <v>178.6</v>
      </c>
      <c r="T476" s="1493" t="s">
        <v>1199</v>
      </c>
      <c r="U476" s="1493">
        <v>1.87</v>
      </c>
      <c r="V476" s="1495" t="s">
        <v>1883</v>
      </c>
      <c r="W476" s="1496">
        <v>10000</v>
      </c>
      <c r="X476" s="1497" t="s">
        <v>1883</v>
      </c>
      <c r="Y476" s="1498">
        <v>1.821771294891E-2</v>
      </c>
      <c r="Z476" s="1498">
        <v>0.74797787135728</v>
      </c>
      <c r="AA476" s="1498">
        <v>1.7951468912574799</v>
      </c>
      <c r="AB476" s="1498">
        <v>3.8400000000000001E-3</v>
      </c>
      <c r="AC476" s="1499" t="s">
        <v>1199</v>
      </c>
      <c r="AD476" s="1500">
        <v>8.9999999999999993E-3</v>
      </c>
      <c r="AE476" s="1503" t="s">
        <v>1909</v>
      </c>
      <c r="AF476" s="1502" t="s">
        <v>635</v>
      </c>
      <c r="AG476" s="1501"/>
      <c r="AH476" s="1502">
        <v>0.02</v>
      </c>
      <c r="AI476" s="1503" t="s">
        <v>1893</v>
      </c>
      <c r="AJ476" s="1502" t="s">
        <v>635</v>
      </c>
      <c r="AK476" s="1501"/>
      <c r="AL476" s="1501"/>
      <c r="AM476" s="1501"/>
      <c r="AN476" s="1504">
        <v>1</v>
      </c>
      <c r="AO476" s="1505">
        <v>0.1</v>
      </c>
      <c r="AP476" s="1506" t="s">
        <v>635</v>
      </c>
    </row>
    <row r="477" spans="1:42" ht="30">
      <c r="A477" s="1507" t="s">
        <v>2759</v>
      </c>
      <c r="B477" s="1508" t="s">
        <v>2760</v>
      </c>
      <c r="C477" s="1509">
        <v>147.09</v>
      </c>
      <c r="D477" s="1510" t="s">
        <v>1883</v>
      </c>
      <c r="E477" s="1511">
        <v>4.9877350777E-11</v>
      </c>
      <c r="F477" s="1511">
        <v>1.2200000000000001E-12</v>
      </c>
      <c r="G477" s="1512" t="s">
        <v>1883</v>
      </c>
      <c r="H477" s="1511">
        <v>1.2E-4</v>
      </c>
      <c r="I477" s="1512" t="s">
        <v>1883</v>
      </c>
      <c r="J477" s="1513">
        <v>118</v>
      </c>
      <c r="K477" s="1514" t="s">
        <v>1199</v>
      </c>
      <c r="L477" s="1515" t="s">
        <v>635</v>
      </c>
      <c r="M477" s="1538"/>
      <c r="N477" s="1517">
        <v>6.8186463922020005E-2</v>
      </c>
      <c r="O477" s="1517">
        <v>7.9670499950999993E-6</v>
      </c>
      <c r="P477" s="1518" t="s">
        <v>1885</v>
      </c>
      <c r="Q477" s="1519" t="s">
        <v>635</v>
      </c>
      <c r="R477" s="1520"/>
      <c r="S477" s="1519">
        <v>72.02</v>
      </c>
      <c r="T477" s="1519" t="s">
        <v>1199</v>
      </c>
      <c r="U477" s="1519">
        <v>-0.92</v>
      </c>
      <c r="V477" s="1521" t="s">
        <v>1883</v>
      </c>
      <c r="W477" s="1522">
        <v>267000</v>
      </c>
      <c r="X477" s="1523" t="s">
        <v>1883</v>
      </c>
      <c r="Y477" s="1524">
        <v>2.6681746570000002E-4</v>
      </c>
      <c r="Z477" s="1524">
        <v>0.70073328909862997</v>
      </c>
      <c r="AA477" s="1524">
        <v>1.68175989383671</v>
      </c>
      <c r="AB477" s="1524">
        <v>5.7200000000000001E-5</v>
      </c>
      <c r="AC477" s="1525" t="s">
        <v>1199</v>
      </c>
      <c r="AD477" s="1526">
        <v>8.3000000000000007</v>
      </c>
      <c r="AE477" s="1529" t="s">
        <v>1900</v>
      </c>
      <c r="AF477" s="1528">
        <v>2.3999999999999998E-3</v>
      </c>
      <c r="AG477" s="1529" t="s">
        <v>1900</v>
      </c>
      <c r="AH477" s="1528" t="s">
        <v>635</v>
      </c>
      <c r="AI477" s="1527"/>
      <c r="AJ477" s="1528" t="s">
        <v>635</v>
      </c>
      <c r="AK477" s="1527"/>
      <c r="AL477" s="1527"/>
      <c r="AM477" s="1527"/>
      <c r="AN477" s="1530">
        <v>1</v>
      </c>
      <c r="AO477" s="1531">
        <v>0.1</v>
      </c>
      <c r="AP477" s="1532" t="s">
        <v>635</v>
      </c>
    </row>
    <row r="478" spans="1:42" ht="30">
      <c r="A478" s="1481" t="s">
        <v>2761</v>
      </c>
      <c r="B478" s="1482" t="s">
        <v>2762</v>
      </c>
      <c r="C478" s="1483">
        <v>143.62</v>
      </c>
      <c r="D478" s="1484" t="s">
        <v>1883</v>
      </c>
      <c r="E478" s="1485">
        <v>8.5854456260000005E-5</v>
      </c>
      <c r="F478" s="1485">
        <v>2.0999999999999998E-6</v>
      </c>
      <c r="G478" s="1486" t="s">
        <v>1883</v>
      </c>
      <c r="H478" s="1485">
        <v>0.29299999999999998</v>
      </c>
      <c r="I478" s="1486" t="s">
        <v>1883</v>
      </c>
      <c r="J478" s="1487">
        <v>215</v>
      </c>
      <c r="K478" s="1488" t="s">
        <v>1883</v>
      </c>
      <c r="L478" s="1489" t="s">
        <v>635</v>
      </c>
      <c r="M478" s="1533"/>
      <c r="N478" s="1491">
        <v>6.9280389293189998E-2</v>
      </c>
      <c r="O478" s="1491">
        <v>8.0948665384699997E-6</v>
      </c>
      <c r="P478" s="1492" t="s">
        <v>1885</v>
      </c>
      <c r="Q478" s="1493" t="s">
        <v>635</v>
      </c>
      <c r="R478" s="1494"/>
      <c r="S478" s="1493">
        <v>115</v>
      </c>
      <c r="T478" s="1493" t="s">
        <v>1199</v>
      </c>
      <c r="U478" s="1493">
        <v>1.62</v>
      </c>
      <c r="V478" s="1495" t="s">
        <v>1883</v>
      </c>
      <c r="W478" s="1496">
        <v>8292</v>
      </c>
      <c r="X478" s="1497" t="s">
        <v>1883</v>
      </c>
      <c r="Y478" s="1498">
        <v>4.8397553909999998E-5</v>
      </c>
      <c r="Z478" s="1498">
        <v>0.67007088752721999</v>
      </c>
      <c r="AA478" s="1498">
        <v>1.6081701300653299</v>
      </c>
      <c r="AB478" s="1498">
        <v>1.0499999999999999E-5</v>
      </c>
      <c r="AC478" s="1499" t="s">
        <v>1199</v>
      </c>
      <c r="AD478" s="1500">
        <v>0.13</v>
      </c>
      <c r="AE478" s="1503" t="s">
        <v>1900</v>
      </c>
      <c r="AF478" s="1502">
        <v>3.6999999999999998E-5</v>
      </c>
      <c r="AG478" s="1503" t="s">
        <v>1900</v>
      </c>
      <c r="AH478" s="1502" t="s">
        <v>635</v>
      </c>
      <c r="AI478" s="1501"/>
      <c r="AJ478" s="1502" t="s">
        <v>635</v>
      </c>
      <c r="AK478" s="1501"/>
      <c r="AL478" s="1501"/>
      <c r="AM478" s="1501"/>
      <c r="AN478" s="1504">
        <v>1</v>
      </c>
      <c r="AO478" s="1505">
        <v>0.1</v>
      </c>
      <c r="AP478" s="1506" t="s">
        <v>635</v>
      </c>
    </row>
    <row r="479" spans="1:42" ht="30">
      <c r="A479" s="1481" t="s">
        <v>2763</v>
      </c>
      <c r="B479" s="1482" t="s">
        <v>2764</v>
      </c>
      <c r="C479" s="1483">
        <v>139.97</v>
      </c>
      <c r="D479" s="1484" t="s">
        <v>1883</v>
      </c>
      <c r="E479" s="1485" t="s">
        <v>635</v>
      </c>
      <c r="F479" s="1485" t="s">
        <v>635</v>
      </c>
      <c r="G479" s="1536"/>
      <c r="H479" s="1485">
        <v>1.6199999999999999E-3</v>
      </c>
      <c r="I479" s="1486" t="s">
        <v>1883</v>
      </c>
      <c r="J479" s="1487">
        <v>160.5</v>
      </c>
      <c r="K479" s="1488" t="s">
        <v>1883</v>
      </c>
      <c r="L479" s="1489" t="s">
        <v>635</v>
      </c>
      <c r="M479" s="1533"/>
      <c r="N479" s="1491">
        <v>7.0479631689270003E-2</v>
      </c>
      <c r="O479" s="1491">
        <v>8.2349885447499993E-6</v>
      </c>
      <c r="P479" s="1492" t="s">
        <v>1885</v>
      </c>
      <c r="Q479" s="1493" t="s">
        <v>635</v>
      </c>
      <c r="R479" s="1494"/>
      <c r="S479" s="1493">
        <v>43.89</v>
      </c>
      <c r="T479" s="1493" t="s">
        <v>1199</v>
      </c>
      <c r="U479" s="1493">
        <v>-1.18</v>
      </c>
      <c r="V479" s="1495" t="s">
        <v>1883</v>
      </c>
      <c r="W479" s="1496">
        <v>256000</v>
      </c>
      <c r="X479" s="1497" t="s">
        <v>1883</v>
      </c>
      <c r="Y479" s="1498">
        <v>1.9065937116999999E-4</v>
      </c>
      <c r="Z479" s="1498">
        <v>0.63926473845943999</v>
      </c>
      <c r="AA479" s="1498">
        <v>1.53423537230266</v>
      </c>
      <c r="AB479" s="1498">
        <v>4.1900000000000002E-5</v>
      </c>
      <c r="AC479" s="1499" t="s">
        <v>1199</v>
      </c>
      <c r="AD479" s="1500" t="s">
        <v>635</v>
      </c>
      <c r="AE479" s="1501"/>
      <c r="AF479" s="1502" t="s">
        <v>635</v>
      </c>
      <c r="AG479" s="1501"/>
      <c r="AH479" s="1502">
        <v>0.01</v>
      </c>
      <c r="AI479" s="1503" t="s">
        <v>1960</v>
      </c>
      <c r="AJ479" s="1502" t="s">
        <v>635</v>
      </c>
      <c r="AK479" s="1501"/>
      <c r="AL479" s="1501"/>
      <c r="AM479" s="1501"/>
      <c r="AN479" s="1504">
        <v>1</v>
      </c>
      <c r="AO479" s="1505">
        <v>0.1</v>
      </c>
      <c r="AP479" s="1506" t="s">
        <v>635</v>
      </c>
    </row>
    <row r="480" spans="1:42" ht="45">
      <c r="A480" s="1507" t="s">
        <v>2765</v>
      </c>
      <c r="B480" s="1508" t="s">
        <v>2766</v>
      </c>
      <c r="C480" s="1509">
        <v>158.62863999999999</v>
      </c>
      <c r="D480" s="1510" t="s">
        <v>1890</v>
      </c>
      <c r="E480" s="1511" t="s">
        <v>635</v>
      </c>
      <c r="F480" s="1511" t="s">
        <v>635</v>
      </c>
      <c r="G480" s="1534"/>
      <c r="H480" s="1511" t="s">
        <v>635</v>
      </c>
      <c r="I480" s="1534"/>
      <c r="J480" s="1513" t="s">
        <v>635</v>
      </c>
      <c r="K480" s="1540"/>
      <c r="L480" s="1515" t="s">
        <v>635</v>
      </c>
      <c r="M480" s="1538"/>
      <c r="N480" s="1517">
        <v>6.4838436486839998E-2</v>
      </c>
      <c r="O480" s="1517">
        <v>7.5758594210899996E-6</v>
      </c>
      <c r="P480" s="1518" t="s">
        <v>1885</v>
      </c>
      <c r="Q480" s="1519" t="s">
        <v>635</v>
      </c>
      <c r="R480" s="1520"/>
      <c r="S480" s="1519" t="s">
        <v>635</v>
      </c>
      <c r="T480" s="1520"/>
      <c r="U480" s="1519" t="s">
        <v>635</v>
      </c>
      <c r="V480" s="1507"/>
      <c r="W480" s="1522" t="s">
        <v>635</v>
      </c>
      <c r="X480" s="1535"/>
      <c r="Y480" s="1524" t="s">
        <v>635</v>
      </c>
      <c r="Z480" s="1524">
        <v>0.81314713022142004</v>
      </c>
      <c r="AA480" s="1524">
        <v>1.9515531125314001</v>
      </c>
      <c r="AB480" s="1524" t="s">
        <v>635</v>
      </c>
      <c r="AC480" s="1550"/>
      <c r="AD480" s="1526" t="s">
        <v>635</v>
      </c>
      <c r="AE480" s="1527"/>
      <c r="AF480" s="1528" t="s">
        <v>635</v>
      </c>
      <c r="AG480" s="1527"/>
      <c r="AH480" s="1528">
        <v>2.0000000000000001E-4</v>
      </c>
      <c r="AI480" s="1529" t="s">
        <v>1893</v>
      </c>
      <c r="AJ480" s="1528" t="s">
        <v>635</v>
      </c>
      <c r="AK480" s="1527"/>
      <c r="AL480" s="1527"/>
      <c r="AM480" s="1527"/>
      <c r="AN480" s="1530">
        <v>1</v>
      </c>
      <c r="AO480" s="1531">
        <v>0.1</v>
      </c>
      <c r="AP480" s="1532" t="s">
        <v>635</v>
      </c>
    </row>
    <row r="481" spans="1:42" ht="30">
      <c r="A481" s="1481" t="s">
        <v>2767</v>
      </c>
      <c r="B481" s="1482" t="s">
        <v>2768</v>
      </c>
      <c r="C481" s="1483">
        <v>220.25</v>
      </c>
      <c r="D481" s="1484" t="s">
        <v>2769</v>
      </c>
      <c r="E481" s="1485" t="s">
        <v>635</v>
      </c>
      <c r="F481" s="1485" t="s">
        <v>635</v>
      </c>
      <c r="G481" s="1536"/>
      <c r="H481" s="1485" t="s">
        <v>635</v>
      </c>
      <c r="I481" s="1536"/>
      <c r="J481" s="1487" t="s">
        <v>635</v>
      </c>
      <c r="K481" s="1542"/>
      <c r="L481" s="1489" t="s">
        <v>635</v>
      </c>
      <c r="M481" s="1533"/>
      <c r="N481" s="1491">
        <v>5.2096633051700002E-2</v>
      </c>
      <c r="O481" s="1491">
        <v>6.0870802828800003E-6</v>
      </c>
      <c r="P481" s="1492" t="s">
        <v>1885</v>
      </c>
      <c r="Q481" s="1493" t="s">
        <v>635</v>
      </c>
      <c r="R481" s="1494"/>
      <c r="S481" s="1493" t="s">
        <v>635</v>
      </c>
      <c r="T481" s="1494"/>
      <c r="U481" s="1493" t="s">
        <v>635</v>
      </c>
      <c r="V481" s="1481"/>
      <c r="W481" s="1496" t="s">
        <v>635</v>
      </c>
      <c r="X481" s="1537"/>
      <c r="Y481" s="1498" t="s">
        <v>635</v>
      </c>
      <c r="Z481" s="1498">
        <v>1.79990154443851</v>
      </c>
      <c r="AA481" s="1498">
        <v>4.3197637066524202</v>
      </c>
      <c r="AB481" s="1498" t="s">
        <v>635</v>
      </c>
      <c r="AC481" s="1547"/>
      <c r="AD481" s="1500">
        <v>0.1</v>
      </c>
      <c r="AE481" s="1503" t="s">
        <v>1893</v>
      </c>
      <c r="AF481" s="1502" t="s">
        <v>635</v>
      </c>
      <c r="AG481" s="1501"/>
      <c r="AH481" s="1502">
        <v>2.9999999999999997E-4</v>
      </c>
      <c r="AI481" s="1503" t="s">
        <v>1893</v>
      </c>
      <c r="AJ481" s="1502" t="s">
        <v>635</v>
      </c>
      <c r="AK481" s="1501"/>
      <c r="AL481" s="1501"/>
      <c r="AM481" s="1501"/>
      <c r="AN481" s="1504">
        <v>1</v>
      </c>
      <c r="AO481" s="1505">
        <v>0.1</v>
      </c>
      <c r="AP481" s="1506" t="s">
        <v>635</v>
      </c>
    </row>
    <row r="482" spans="1:42" ht="30">
      <c r="A482" s="1481" t="s">
        <v>2770</v>
      </c>
      <c r="B482" s="1482" t="s">
        <v>2771</v>
      </c>
      <c r="C482" s="1483">
        <v>268.36</v>
      </c>
      <c r="D482" s="1484" t="s">
        <v>1883</v>
      </c>
      <c r="E482" s="1485">
        <v>2.1422730988999999E-4</v>
      </c>
      <c r="F482" s="1485">
        <v>5.2399999999999998E-6</v>
      </c>
      <c r="G482" s="1486" t="s">
        <v>1199</v>
      </c>
      <c r="H482" s="1485">
        <v>4.3000000000000001E-8</v>
      </c>
      <c r="I482" s="1486" t="s">
        <v>1199</v>
      </c>
      <c r="J482" s="1487">
        <v>180</v>
      </c>
      <c r="K482" s="1488" t="s">
        <v>1883</v>
      </c>
      <c r="L482" s="1489">
        <v>1.28</v>
      </c>
      <c r="M482" s="1490" t="s">
        <v>1884</v>
      </c>
      <c r="N482" s="1491">
        <v>2.405620615055E-2</v>
      </c>
      <c r="O482" s="1491">
        <v>6.1428100117500001E-6</v>
      </c>
      <c r="P482" s="1492" t="s">
        <v>1885</v>
      </c>
      <c r="Q482" s="1493" t="s">
        <v>635</v>
      </c>
      <c r="R482" s="1494"/>
      <c r="S482" s="1493">
        <v>961600</v>
      </c>
      <c r="T482" s="1493" t="s">
        <v>1199</v>
      </c>
      <c r="U482" s="1493">
        <v>6.42</v>
      </c>
      <c r="V482" s="1495" t="s">
        <v>1883</v>
      </c>
      <c r="W482" s="1496">
        <v>2.8999999999999998E-3</v>
      </c>
      <c r="X482" s="1497" t="s">
        <v>1883</v>
      </c>
      <c r="Y482" s="1498">
        <v>5.6894894171974997</v>
      </c>
      <c r="Z482" s="1498">
        <v>3.34706964863806</v>
      </c>
      <c r="AA482" s="1498">
        <v>14.7783887000507</v>
      </c>
      <c r="AB482" s="1498">
        <v>0.90300000000000002</v>
      </c>
      <c r="AC482" s="1499" t="s">
        <v>1199</v>
      </c>
      <c r="AD482" s="1500">
        <v>22</v>
      </c>
      <c r="AE482" s="1503" t="s">
        <v>1900</v>
      </c>
      <c r="AF482" s="1502">
        <v>6.3E-3</v>
      </c>
      <c r="AG482" s="1503" t="s">
        <v>1900</v>
      </c>
      <c r="AH482" s="1502" t="s">
        <v>635</v>
      </c>
      <c r="AI482" s="1501"/>
      <c r="AJ482" s="1502" t="s">
        <v>635</v>
      </c>
      <c r="AK482" s="1501"/>
      <c r="AL482" s="1501"/>
      <c r="AM482" s="1503" t="s">
        <v>1906</v>
      </c>
      <c r="AN482" s="1504">
        <v>1</v>
      </c>
      <c r="AO482" s="1505">
        <v>0.1</v>
      </c>
      <c r="AP482" s="1506" t="s">
        <v>635</v>
      </c>
    </row>
    <row r="483" spans="1:42" ht="30">
      <c r="A483" s="1507" t="s">
        <v>2772</v>
      </c>
      <c r="B483" s="1508" t="s">
        <v>2773</v>
      </c>
      <c r="C483" s="1509">
        <v>98.19</v>
      </c>
      <c r="D483" s="1510" t="s">
        <v>1883</v>
      </c>
      <c r="E483" s="1511">
        <v>17.579721995094001</v>
      </c>
      <c r="F483" s="1511">
        <v>0.43</v>
      </c>
      <c r="G483" s="1512" t="s">
        <v>1883</v>
      </c>
      <c r="H483" s="1511">
        <v>46</v>
      </c>
      <c r="I483" s="1512" t="s">
        <v>1883</v>
      </c>
      <c r="J483" s="1513">
        <v>-126.6</v>
      </c>
      <c r="K483" s="1514" t="s">
        <v>1883</v>
      </c>
      <c r="L483" s="1515">
        <v>0.76939999999999997</v>
      </c>
      <c r="M483" s="1516" t="s">
        <v>1884</v>
      </c>
      <c r="N483" s="1517">
        <v>6.9957191639720001E-2</v>
      </c>
      <c r="O483" s="1517">
        <v>8.2741373281500002E-6</v>
      </c>
      <c r="P483" s="1518" t="s">
        <v>1885</v>
      </c>
      <c r="Q483" s="1519" t="s">
        <v>635</v>
      </c>
      <c r="R483" s="1520"/>
      <c r="S483" s="1519">
        <v>233.9</v>
      </c>
      <c r="T483" s="1519" t="s">
        <v>1199</v>
      </c>
      <c r="U483" s="1519">
        <v>3.61</v>
      </c>
      <c r="V483" s="1521" t="s">
        <v>1883</v>
      </c>
      <c r="W483" s="1522">
        <v>14</v>
      </c>
      <c r="X483" s="1523" t="s">
        <v>1883</v>
      </c>
      <c r="Y483" s="1524">
        <v>0.41923059280165997</v>
      </c>
      <c r="Z483" s="1524">
        <v>0.37300336488008001</v>
      </c>
      <c r="AA483" s="1524">
        <v>0.89520807571219996</v>
      </c>
      <c r="AB483" s="1524">
        <v>0.11</v>
      </c>
      <c r="AC483" s="1525" t="s">
        <v>1199</v>
      </c>
      <c r="AD483" s="1526" t="s">
        <v>635</v>
      </c>
      <c r="AE483" s="1527"/>
      <c r="AF483" s="1528" t="s">
        <v>635</v>
      </c>
      <c r="AG483" s="1527"/>
      <c r="AH483" s="1528" t="s">
        <v>635</v>
      </c>
      <c r="AI483" s="1527"/>
      <c r="AJ483" s="1528">
        <v>9.5000000000000001E-2</v>
      </c>
      <c r="AK483" s="1529" t="s">
        <v>1893</v>
      </c>
      <c r="AL483" s="1529" t="s">
        <v>1127</v>
      </c>
      <c r="AM483" s="1527"/>
      <c r="AN483" s="1530">
        <v>1</v>
      </c>
      <c r="AO483" s="1530" t="s">
        <v>635</v>
      </c>
      <c r="AP483" s="1532">
        <v>67.599999999999994</v>
      </c>
    </row>
    <row r="484" spans="1:42" ht="30">
      <c r="A484" s="1481" t="s">
        <v>218</v>
      </c>
      <c r="B484" s="1482" t="s">
        <v>2774</v>
      </c>
      <c r="C484" s="1483">
        <v>84.933000000000007</v>
      </c>
      <c r="D484" s="1484" t="s">
        <v>1883</v>
      </c>
      <c r="E484" s="1485">
        <v>0.13286999182338999</v>
      </c>
      <c r="F484" s="1485">
        <v>3.2499999999999999E-3</v>
      </c>
      <c r="G484" s="1486" t="s">
        <v>1883</v>
      </c>
      <c r="H484" s="1485">
        <v>435</v>
      </c>
      <c r="I484" s="1486" t="s">
        <v>1883</v>
      </c>
      <c r="J484" s="1487">
        <v>-95.1</v>
      </c>
      <c r="K484" s="1488" t="s">
        <v>1883</v>
      </c>
      <c r="L484" s="1489">
        <v>1.3266</v>
      </c>
      <c r="M484" s="1490" t="s">
        <v>1884</v>
      </c>
      <c r="N484" s="1491">
        <v>9.9936173679349996E-2</v>
      </c>
      <c r="O484" s="1491">
        <v>1.251612491E-5</v>
      </c>
      <c r="P484" s="1492" t="s">
        <v>1885</v>
      </c>
      <c r="Q484" s="1493" t="s">
        <v>635</v>
      </c>
      <c r="R484" s="1494"/>
      <c r="S484" s="1493">
        <v>21.73</v>
      </c>
      <c r="T484" s="1493" t="s">
        <v>1199</v>
      </c>
      <c r="U484" s="1493">
        <v>1.25</v>
      </c>
      <c r="V484" s="1495" t="s">
        <v>1883</v>
      </c>
      <c r="W484" s="1496">
        <v>13000</v>
      </c>
      <c r="X484" s="1497" t="s">
        <v>1883</v>
      </c>
      <c r="Y484" s="1498">
        <v>1.254781613522E-2</v>
      </c>
      <c r="Z484" s="1498">
        <v>0.31439349353999002</v>
      </c>
      <c r="AA484" s="1498">
        <v>0.75454438449597006</v>
      </c>
      <c r="AB484" s="1498">
        <v>3.5400000000000002E-3</v>
      </c>
      <c r="AC484" s="1499" t="s">
        <v>1199</v>
      </c>
      <c r="AD484" s="1500">
        <v>2E-3</v>
      </c>
      <c r="AE484" s="1503" t="s">
        <v>1119</v>
      </c>
      <c r="AF484" s="1502">
        <v>1E-8</v>
      </c>
      <c r="AG484" s="1503" t="s">
        <v>1119</v>
      </c>
      <c r="AH484" s="1502">
        <v>6.0000000000000001E-3</v>
      </c>
      <c r="AI484" s="1503" t="s">
        <v>1119</v>
      </c>
      <c r="AJ484" s="1502">
        <v>0.6</v>
      </c>
      <c r="AK484" s="1503" t="s">
        <v>1119</v>
      </c>
      <c r="AL484" s="1503" t="s">
        <v>1127</v>
      </c>
      <c r="AM484" s="1503" t="s">
        <v>1906</v>
      </c>
      <c r="AN484" s="1504">
        <v>1</v>
      </c>
      <c r="AO484" s="1504" t="s">
        <v>635</v>
      </c>
      <c r="AP484" s="1506">
        <v>3320</v>
      </c>
    </row>
    <row r="485" spans="1:42" ht="30">
      <c r="A485" s="1481" t="s">
        <v>2775</v>
      </c>
      <c r="B485" s="1482" t="s">
        <v>2776</v>
      </c>
      <c r="C485" s="1483">
        <v>267.16000000000003</v>
      </c>
      <c r="D485" s="1484" t="s">
        <v>1883</v>
      </c>
      <c r="E485" s="1485">
        <v>1.6598528209299999E-9</v>
      </c>
      <c r="F485" s="1485">
        <v>4.0600000000000001E-11</v>
      </c>
      <c r="G485" s="1486" t="s">
        <v>1883</v>
      </c>
      <c r="H485" s="1485">
        <v>2.8599999999999999E-7</v>
      </c>
      <c r="I485" s="1486" t="s">
        <v>1883</v>
      </c>
      <c r="J485" s="1487">
        <v>110</v>
      </c>
      <c r="K485" s="1488" t="s">
        <v>1883</v>
      </c>
      <c r="L485" s="1489" t="s">
        <v>635</v>
      </c>
      <c r="M485" s="1533"/>
      <c r="N485" s="1491">
        <v>4.580427123828E-2</v>
      </c>
      <c r="O485" s="1491">
        <v>5.35186748153E-6</v>
      </c>
      <c r="P485" s="1492" t="s">
        <v>1885</v>
      </c>
      <c r="Q485" s="1493" t="s">
        <v>635</v>
      </c>
      <c r="R485" s="1494"/>
      <c r="S485" s="1493">
        <v>5698</v>
      </c>
      <c r="T485" s="1493" t="s">
        <v>1199</v>
      </c>
      <c r="U485" s="1493">
        <v>3.91</v>
      </c>
      <c r="V485" s="1495" t="s">
        <v>1883</v>
      </c>
      <c r="W485" s="1496">
        <v>13.9</v>
      </c>
      <c r="X485" s="1497" t="s">
        <v>1883</v>
      </c>
      <c r="Y485" s="1498">
        <v>0.12384503367864</v>
      </c>
      <c r="Z485" s="1498">
        <v>3.2956778232233801</v>
      </c>
      <c r="AA485" s="1498">
        <v>7.9096267757361201</v>
      </c>
      <c r="AB485" s="1498">
        <v>1.9699999999999999E-2</v>
      </c>
      <c r="AC485" s="1499" t="s">
        <v>1199</v>
      </c>
      <c r="AD485" s="1500">
        <v>0.1</v>
      </c>
      <c r="AE485" s="1503" t="s">
        <v>1909</v>
      </c>
      <c r="AF485" s="1502">
        <v>4.2999999999999999E-4</v>
      </c>
      <c r="AG485" s="1503" t="s">
        <v>1900</v>
      </c>
      <c r="AH485" s="1502">
        <v>2E-3</v>
      </c>
      <c r="AI485" s="1503" t="s">
        <v>1909</v>
      </c>
      <c r="AJ485" s="1502" t="s">
        <v>635</v>
      </c>
      <c r="AK485" s="1501"/>
      <c r="AL485" s="1501"/>
      <c r="AM485" s="1503" t="s">
        <v>1906</v>
      </c>
      <c r="AN485" s="1504">
        <v>1</v>
      </c>
      <c r="AO485" s="1505">
        <v>0.1</v>
      </c>
      <c r="AP485" s="1506" t="s">
        <v>635</v>
      </c>
    </row>
    <row r="486" spans="1:42" ht="30">
      <c r="A486" s="1507" t="s">
        <v>2777</v>
      </c>
      <c r="B486" s="1508" t="s">
        <v>2778</v>
      </c>
      <c r="C486" s="1509">
        <v>254.38</v>
      </c>
      <c r="D486" s="1510" t="s">
        <v>1883</v>
      </c>
      <c r="E486" s="1511">
        <v>4.3744889615699997E-8</v>
      </c>
      <c r="F486" s="1511">
        <v>1.07E-9</v>
      </c>
      <c r="G486" s="1512" t="s">
        <v>1883</v>
      </c>
      <c r="H486" s="1511">
        <v>1.7499999999999998E-5</v>
      </c>
      <c r="I486" s="1512" t="s">
        <v>1883</v>
      </c>
      <c r="J486" s="1513">
        <v>91.5</v>
      </c>
      <c r="K486" s="1514" t="s">
        <v>1883</v>
      </c>
      <c r="L486" s="1515" t="s">
        <v>635</v>
      </c>
      <c r="M486" s="1538"/>
      <c r="N486" s="1517">
        <v>4.7325835768939999E-2</v>
      </c>
      <c r="O486" s="1517">
        <v>5.5296502845800001E-6</v>
      </c>
      <c r="P486" s="1518" t="s">
        <v>1885</v>
      </c>
      <c r="Q486" s="1519" t="s">
        <v>635</v>
      </c>
      <c r="R486" s="1520"/>
      <c r="S486" s="1519">
        <v>2667</v>
      </c>
      <c r="T486" s="1519" t="s">
        <v>1199</v>
      </c>
      <c r="U486" s="1519">
        <v>4.37</v>
      </c>
      <c r="V486" s="1521" t="s">
        <v>1883</v>
      </c>
      <c r="W486" s="1522">
        <v>4.1399999999999997</v>
      </c>
      <c r="X486" s="1523" t="s">
        <v>1883</v>
      </c>
      <c r="Y486" s="1524">
        <v>0.28831417261414</v>
      </c>
      <c r="Z486" s="1524">
        <v>2.7949674186476501</v>
      </c>
      <c r="AA486" s="1524">
        <v>6.7079218047543598</v>
      </c>
      <c r="AB486" s="1524">
        <v>4.7E-2</v>
      </c>
      <c r="AC486" s="1525" t="s">
        <v>1199</v>
      </c>
      <c r="AD486" s="1526">
        <v>4.5999999999999999E-2</v>
      </c>
      <c r="AE486" s="1529" t="s">
        <v>1119</v>
      </c>
      <c r="AF486" s="1528">
        <v>1.2999999999999999E-5</v>
      </c>
      <c r="AG486" s="1529" t="s">
        <v>1900</v>
      </c>
      <c r="AH486" s="1528" t="s">
        <v>635</v>
      </c>
      <c r="AI486" s="1527"/>
      <c r="AJ486" s="1528" t="s">
        <v>635</v>
      </c>
      <c r="AK486" s="1527"/>
      <c r="AL486" s="1527"/>
      <c r="AM486" s="1527"/>
      <c r="AN486" s="1530">
        <v>1</v>
      </c>
      <c r="AO486" s="1531">
        <v>0.1</v>
      </c>
      <c r="AP486" s="1532" t="s">
        <v>635</v>
      </c>
    </row>
    <row r="487" spans="1:42" ht="30">
      <c r="A487" s="1481" t="s">
        <v>2779</v>
      </c>
      <c r="B487" s="1482" t="s">
        <v>2780</v>
      </c>
      <c r="C487" s="1483">
        <v>198.27</v>
      </c>
      <c r="D487" s="1484" t="s">
        <v>1883</v>
      </c>
      <c r="E487" s="1485">
        <v>2.1668029435799999E-9</v>
      </c>
      <c r="F487" s="1485">
        <v>5.2999999999999998E-11</v>
      </c>
      <c r="G487" s="1486" t="s">
        <v>1883</v>
      </c>
      <c r="H487" s="1485">
        <v>2.03E-7</v>
      </c>
      <c r="I487" s="1486" t="s">
        <v>1883</v>
      </c>
      <c r="J487" s="1487">
        <v>92.5</v>
      </c>
      <c r="K487" s="1488" t="s">
        <v>1883</v>
      </c>
      <c r="L487" s="1489" t="s">
        <v>635</v>
      </c>
      <c r="M487" s="1533"/>
      <c r="N487" s="1491">
        <v>5.5879039170220003E-2</v>
      </c>
      <c r="O487" s="1491">
        <v>6.52902457673E-6</v>
      </c>
      <c r="P487" s="1492" t="s">
        <v>1885</v>
      </c>
      <c r="Q487" s="1493" t="s">
        <v>635</v>
      </c>
      <c r="R487" s="1494"/>
      <c r="S487" s="1493">
        <v>2126</v>
      </c>
      <c r="T487" s="1493" t="s">
        <v>1199</v>
      </c>
      <c r="U487" s="1493">
        <v>1.59</v>
      </c>
      <c r="V487" s="1495" t="s">
        <v>1883</v>
      </c>
      <c r="W487" s="1496">
        <v>1000</v>
      </c>
      <c r="X487" s="1497" t="s">
        <v>1883</v>
      </c>
      <c r="Y487" s="1498">
        <v>7.4736755768000001E-3</v>
      </c>
      <c r="Z487" s="1498">
        <v>1.3556911145575701</v>
      </c>
      <c r="AA487" s="1498">
        <v>3.25365867493817</v>
      </c>
      <c r="AB487" s="1498">
        <v>1.3799999999999999E-3</v>
      </c>
      <c r="AC487" s="1499" t="s">
        <v>1199</v>
      </c>
      <c r="AD487" s="1500">
        <v>1.6</v>
      </c>
      <c r="AE487" s="1503" t="s">
        <v>1900</v>
      </c>
      <c r="AF487" s="1502">
        <v>4.6000000000000001E-4</v>
      </c>
      <c r="AG487" s="1503" t="s">
        <v>1900</v>
      </c>
      <c r="AH487" s="1502" t="s">
        <v>635</v>
      </c>
      <c r="AI487" s="1501"/>
      <c r="AJ487" s="1502">
        <v>0.02</v>
      </c>
      <c r="AK487" s="1503" t="s">
        <v>1900</v>
      </c>
      <c r="AL487" s="1501"/>
      <c r="AM487" s="1501"/>
      <c r="AN487" s="1504">
        <v>1</v>
      </c>
      <c r="AO487" s="1505">
        <v>0.1</v>
      </c>
      <c r="AP487" s="1506" t="s">
        <v>635</v>
      </c>
    </row>
    <row r="488" spans="1:42" ht="30">
      <c r="A488" s="1481" t="s">
        <v>2781</v>
      </c>
      <c r="B488" s="1482" t="s">
        <v>2782</v>
      </c>
      <c r="C488" s="1483">
        <v>250.26</v>
      </c>
      <c r="D488" s="1484" t="s">
        <v>1883</v>
      </c>
      <c r="E488" s="1485">
        <v>3.659035159E-5</v>
      </c>
      <c r="F488" s="1485">
        <v>8.9500000000000001E-7</v>
      </c>
      <c r="G488" s="1486" t="s">
        <v>1883</v>
      </c>
      <c r="H488" s="1485">
        <v>5.0000000000000004E-6</v>
      </c>
      <c r="I488" s="1486" t="s">
        <v>1883</v>
      </c>
      <c r="J488" s="1487">
        <v>38</v>
      </c>
      <c r="K488" s="1488" t="s">
        <v>1883</v>
      </c>
      <c r="L488" s="1489">
        <v>1.1970000000000001</v>
      </c>
      <c r="M488" s="1490" t="s">
        <v>1884</v>
      </c>
      <c r="N488" s="1491">
        <v>2.4173738549760002E-2</v>
      </c>
      <c r="O488" s="1491">
        <v>6.15309184459E-6</v>
      </c>
      <c r="P488" s="1492" t="s">
        <v>1885</v>
      </c>
      <c r="Q488" s="1493" t="s">
        <v>635</v>
      </c>
      <c r="R488" s="1494"/>
      <c r="S488" s="1493">
        <v>284900</v>
      </c>
      <c r="T488" s="1493" t="s">
        <v>1199</v>
      </c>
      <c r="U488" s="1493">
        <v>5.22</v>
      </c>
      <c r="V488" s="1495" t="s">
        <v>1883</v>
      </c>
      <c r="W488" s="1496">
        <v>0.82879999999999998</v>
      </c>
      <c r="X488" s="1497" t="s">
        <v>1883</v>
      </c>
      <c r="Y488" s="1498">
        <v>1.10128810138334</v>
      </c>
      <c r="Z488" s="1498">
        <v>2.6503592749467102</v>
      </c>
      <c r="AA488" s="1498">
        <v>10.279842990599301</v>
      </c>
      <c r="AB488" s="1498">
        <v>0.18099999999999999</v>
      </c>
      <c r="AC488" s="1499" t="s">
        <v>1199</v>
      </c>
      <c r="AD488" s="1500" t="s">
        <v>635</v>
      </c>
      <c r="AE488" s="1501"/>
      <c r="AF488" s="1502" t="s">
        <v>635</v>
      </c>
      <c r="AG488" s="1501"/>
      <c r="AH488" s="1502" t="s">
        <v>635</v>
      </c>
      <c r="AI488" s="1501"/>
      <c r="AJ488" s="1502">
        <v>5.9999999999999995E-4</v>
      </c>
      <c r="AK488" s="1503" t="s">
        <v>1119</v>
      </c>
      <c r="AL488" s="1501"/>
      <c r="AM488" s="1501"/>
      <c r="AN488" s="1504">
        <v>1</v>
      </c>
      <c r="AO488" s="1505">
        <v>0.1</v>
      </c>
      <c r="AP488" s="1506" t="s">
        <v>635</v>
      </c>
    </row>
    <row r="489" spans="1:42" ht="30">
      <c r="A489" s="1507" t="s">
        <v>2783</v>
      </c>
      <c r="B489" s="1508" t="s">
        <v>2784</v>
      </c>
      <c r="C489" s="1509">
        <v>118.18</v>
      </c>
      <c r="D489" s="1510" t="s">
        <v>1883</v>
      </c>
      <c r="E489" s="1511">
        <v>0.10425183973835001</v>
      </c>
      <c r="F489" s="1511">
        <v>2.5500000000000002E-3</v>
      </c>
      <c r="G489" s="1512" t="s">
        <v>1199</v>
      </c>
      <c r="H489" s="1511">
        <v>1.9</v>
      </c>
      <c r="I489" s="1512" t="s">
        <v>1199</v>
      </c>
      <c r="J489" s="1513">
        <v>-23.2</v>
      </c>
      <c r="K489" s="1514" t="s">
        <v>1883</v>
      </c>
      <c r="L489" s="1515">
        <v>0.91059999999999997</v>
      </c>
      <c r="M489" s="1516" t="s">
        <v>1884</v>
      </c>
      <c r="N489" s="1517">
        <v>6.2902043562859999E-2</v>
      </c>
      <c r="O489" s="1517">
        <v>8.1910950917400005E-6</v>
      </c>
      <c r="P489" s="1518" t="s">
        <v>1885</v>
      </c>
      <c r="Q489" s="1519" t="s">
        <v>635</v>
      </c>
      <c r="R489" s="1520"/>
      <c r="S489" s="1519">
        <v>697.8</v>
      </c>
      <c r="T489" s="1519" t="s">
        <v>1199</v>
      </c>
      <c r="U489" s="1519">
        <v>3.48</v>
      </c>
      <c r="V489" s="1521" t="s">
        <v>1883</v>
      </c>
      <c r="W489" s="1522">
        <v>116</v>
      </c>
      <c r="X489" s="1523" t="s">
        <v>1883</v>
      </c>
      <c r="Y489" s="1524">
        <v>0.29226433428435</v>
      </c>
      <c r="Z489" s="1524">
        <v>0.48267716096861002</v>
      </c>
      <c r="AA489" s="1524">
        <v>1.15842518632467</v>
      </c>
      <c r="AB489" s="1524">
        <v>6.9900000000000004E-2</v>
      </c>
      <c r="AC489" s="1525" t="s">
        <v>1199</v>
      </c>
      <c r="AD489" s="1526" t="s">
        <v>635</v>
      </c>
      <c r="AE489" s="1527"/>
      <c r="AF489" s="1528" t="s">
        <v>635</v>
      </c>
      <c r="AG489" s="1527"/>
      <c r="AH489" s="1528">
        <v>7.0000000000000007E-2</v>
      </c>
      <c r="AI489" s="1529" t="s">
        <v>1073</v>
      </c>
      <c r="AJ489" s="1528" t="s">
        <v>635</v>
      </c>
      <c r="AK489" s="1527"/>
      <c r="AL489" s="1529" t="s">
        <v>1127</v>
      </c>
      <c r="AM489" s="1527"/>
      <c r="AN489" s="1530">
        <v>1</v>
      </c>
      <c r="AO489" s="1530" t="s">
        <v>635</v>
      </c>
      <c r="AP489" s="1532">
        <v>500</v>
      </c>
    </row>
    <row r="490" spans="1:42" ht="30">
      <c r="A490" s="1481" t="s">
        <v>2785</v>
      </c>
      <c r="B490" s="1482" t="s">
        <v>2786</v>
      </c>
      <c r="C490" s="1483">
        <v>283.8</v>
      </c>
      <c r="D490" s="1484" t="s">
        <v>1883</v>
      </c>
      <c r="E490" s="1485">
        <v>3.6794766966499998E-7</v>
      </c>
      <c r="F490" s="1485">
        <v>8.9999999999999995E-9</v>
      </c>
      <c r="G490" s="1486" t="s">
        <v>1883</v>
      </c>
      <c r="H490" s="1485">
        <v>3.1350000000000003E-5</v>
      </c>
      <c r="I490" s="1486" t="s">
        <v>1883</v>
      </c>
      <c r="J490" s="1487">
        <v>-62.1</v>
      </c>
      <c r="K490" s="1488" t="s">
        <v>1883</v>
      </c>
      <c r="L490" s="1489">
        <v>1.1200000000000001</v>
      </c>
      <c r="M490" s="1490" t="s">
        <v>1884</v>
      </c>
      <c r="N490" s="1491">
        <v>2.1922311362829999E-2</v>
      </c>
      <c r="O490" s="1491">
        <v>5.4827084266799996E-6</v>
      </c>
      <c r="P490" s="1492" t="s">
        <v>1885</v>
      </c>
      <c r="Q490" s="1493" t="s">
        <v>635</v>
      </c>
      <c r="R490" s="1494"/>
      <c r="S490" s="1493">
        <v>488.5</v>
      </c>
      <c r="T490" s="1493" t="s">
        <v>1199</v>
      </c>
      <c r="U490" s="1493">
        <v>3.13</v>
      </c>
      <c r="V490" s="1495" t="s">
        <v>1883</v>
      </c>
      <c r="W490" s="1496">
        <v>530</v>
      </c>
      <c r="X490" s="1497" t="s">
        <v>1883</v>
      </c>
      <c r="Y490" s="1498">
        <v>2.1965067680860002E-2</v>
      </c>
      <c r="Z490" s="1498">
        <v>4.0844045339620703</v>
      </c>
      <c r="AA490" s="1498">
        <v>9.8025708815089807</v>
      </c>
      <c r="AB490" s="1498">
        <v>3.3899999999999998E-3</v>
      </c>
      <c r="AC490" s="1499" t="s">
        <v>1199</v>
      </c>
      <c r="AD490" s="1500" t="s">
        <v>635</v>
      </c>
      <c r="AE490" s="1501"/>
      <c r="AF490" s="1502" t="s">
        <v>635</v>
      </c>
      <c r="AG490" s="1501"/>
      <c r="AH490" s="1502">
        <v>0.15</v>
      </c>
      <c r="AI490" s="1503" t="s">
        <v>1119</v>
      </c>
      <c r="AJ490" s="1502" t="s">
        <v>635</v>
      </c>
      <c r="AK490" s="1501"/>
      <c r="AL490" s="1501"/>
      <c r="AM490" s="1501"/>
      <c r="AN490" s="1504">
        <v>1</v>
      </c>
      <c r="AO490" s="1505">
        <v>0.1</v>
      </c>
      <c r="AP490" s="1506" t="s">
        <v>635</v>
      </c>
    </row>
    <row r="491" spans="1:42" ht="30">
      <c r="A491" s="1481" t="s">
        <v>2787</v>
      </c>
      <c r="B491" s="1482" t="s">
        <v>2788</v>
      </c>
      <c r="C491" s="1483">
        <v>214.29</v>
      </c>
      <c r="D491" s="1484" t="s">
        <v>1883</v>
      </c>
      <c r="E491" s="1485">
        <v>4.7833197056400002E-9</v>
      </c>
      <c r="F491" s="1485">
        <v>1.1700000000000001E-10</v>
      </c>
      <c r="G491" s="1486" t="s">
        <v>1199</v>
      </c>
      <c r="H491" s="1485">
        <v>4.3500000000000002E-7</v>
      </c>
      <c r="I491" s="1486" t="s">
        <v>1883</v>
      </c>
      <c r="J491" s="1487">
        <v>126</v>
      </c>
      <c r="K491" s="1488" t="s">
        <v>1883</v>
      </c>
      <c r="L491" s="1489">
        <v>1.31</v>
      </c>
      <c r="M491" s="1490" t="s">
        <v>1884</v>
      </c>
      <c r="N491" s="1491">
        <v>2.7339731310980001E-2</v>
      </c>
      <c r="O491" s="1491">
        <v>7.12907865079E-6</v>
      </c>
      <c r="P491" s="1492" t="s">
        <v>1885</v>
      </c>
      <c r="Q491" s="1493" t="s">
        <v>635</v>
      </c>
      <c r="R491" s="1494"/>
      <c r="S491" s="1493">
        <v>53.13</v>
      </c>
      <c r="T491" s="1493" t="s">
        <v>1199</v>
      </c>
      <c r="U491" s="1493">
        <v>1.7</v>
      </c>
      <c r="V491" s="1495" t="s">
        <v>1883</v>
      </c>
      <c r="W491" s="1496">
        <v>1050</v>
      </c>
      <c r="X491" s="1497" t="s">
        <v>1883</v>
      </c>
      <c r="Y491" s="1498">
        <v>7.4319287198599997E-3</v>
      </c>
      <c r="Z491" s="1498">
        <v>1.6667587726153399</v>
      </c>
      <c r="AA491" s="1498">
        <v>4.0002210542768202</v>
      </c>
      <c r="AB491" s="1498">
        <v>1.32E-3</v>
      </c>
      <c r="AC491" s="1499" t="s">
        <v>1199</v>
      </c>
      <c r="AD491" s="1500" t="s">
        <v>635</v>
      </c>
      <c r="AE491" s="1501"/>
      <c r="AF491" s="1502" t="s">
        <v>635</v>
      </c>
      <c r="AG491" s="1501"/>
      <c r="AH491" s="1502">
        <v>2.5000000000000001E-2</v>
      </c>
      <c r="AI491" s="1503" t="s">
        <v>1119</v>
      </c>
      <c r="AJ491" s="1502" t="s">
        <v>635</v>
      </c>
      <c r="AK491" s="1501"/>
      <c r="AL491" s="1501"/>
      <c r="AM491" s="1501"/>
      <c r="AN491" s="1504">
        <v>1</v>
      </c>
      <c r="AO491" s="1505">
        <v>0.1</v>
      </c>
      <c r="AP491" s="1506" t="s">
        <v>635</v>
      </c>
    </row>
    <row r="492" spans="1:42" ht="30">
      <c r="A492" s="1507" t="s">
        <v>2789</v>
      </c>
      <c r="B492" s="1508" t="s">
        <v>2790</v>
      </c>
      <c r="C492" s="1509">
        <v>381.37</v>
      </c>
      <c r="D492" s="1510" t="s">
        <v>1883</v>
      </c>
      <c r="E492" s="1511">
        <v>5.3965658217E-15</v>
      </c>
      <c r="F492" s="1511">
        <v>1.32E-16</v>
      </c>
      <c r="G492" s="1512" t="s">
        <v>1199</v>
      </c>
      <c r="H492" s="1511">
        <v>2.4999999999999998E-12</v>
      </c>
      <c r="I492" s="1512" t="s">
        <v>1883</v>
      </c>
      <c r="J492" s="1513">
        <v>162</v>
      </c>
      <c r="K492" s="1514" t="s">
        <v>1883</v>
      </c>
      <c r="L492" s="1515" t="s">
        <v>635</v>
      </c>
      <c r="M492" s="1538"/>
      <c r="N492" s="1517">
        <v>3.6128997948279999E-2</v>
      </c>
      <c r="O492" s="1517">
        <v>4.22138818133E-6</v>
      </c>
      <c r="P492" s="1518" t="s">
        <v>1885</v>
      </c>
      <c r="Q492" s="1519" t="s">
        <v>635</v>
      </c>
      <c r="R492" s="1520"/>
      <c r="S492" s="1519">
        <v>92.5</v>
      </c>
      <c r="T492" s="1519" t="s">
        <v>1199</v>
      </c>
      <c r="U492" s="1519">
        <v>2.2000000000000002</v>
      </c>
      <c r="V492" s="1521" t="s">
        <v>1883</v>
      </c>
      <c r="W492" s="1522">
        <v>9500</v>
      </c>
      <c r="X492" s="1523" t="s">
        <v>1883</v>
      </c>
      <c r="Y492" s="1524">
        <v>2.4711312531100001E-3</v>
      </c>
      <c r="Z492" s="1524">
        <v>14.372117184687299</v>
      </c>
      <c r="AA492" s="1524">
        <v>34.493081243249499</v>
      </c>
      <c r="AB492" s="1524">
        <v>3.2899999999999997E-4</v>
      </c>
      <c r="AC492" s="1525" t="s">
        <v>1199</v>
      </c>
      <c r="AD492" s="1526" t="s">
        <v>635</v>
      </c>
      <c r="AE492" s="1527"/>
      <c r="AF492" s="1528" t="s">
        <v>635</v>
      </c>
      <c r="AG492" s="1527"/>
      <c r="AH492" s="1528">
        <v>0.25</v>
      </c>
      <c r="AI492" s="1529" t="s">
        <v>1119</v>
      </c>
      <c r="AJ492" s="1528" t="s">
        <v>635</v>
      </c>
      <c r="AK492" s="1527"/>
      <c r="AL492" s="1527"/>
      <c r="AM492" s="1527"/>
      <c r="AN492" s="1530">
        <v>1</v>
      </c>
      <c r="AO492" s="1531">
        <v>0.1</v>
      </c>
      <c r="AP492" s="1532" t="s">
        <v>635</v>
      </c>
    </row>
    <row r="493" spans="1:42" ht="30">
      <c r="A493" s="1481" t="s">
        <v>2791</v>
      </c>
      <c r="B493" s="1482" t="s">
        <v>2792</v>
      </c>
      <c r="C493" s="1483">
        <v>128.26</v>
      </c>
      <c r="D493" s="1484" t="s">
        <v>1883</v>
      </c>
      <c r="E493" s="1485">
        <v>139.00245298446401</v>
      </c>
      <c r="F493" s="1485">
        <v>3.4</v>
      </c>
      <c r="G493" s="1486" t="s">
        <v>1199</v>
      </c>
      <c r="H493" s="1485">
        <v>4.45</v>
      </c>
      <c r="I493" s="1486" t="s">
        <v>1883</v>
      </c>
      <c r="J493" s="1487">
        <v>-53.5</v>
      </c>
      <c r="K493" s="1488" t="s">
        <v>1883</v>
      </c>
      <c r="L493" s="1489">
        <v>0.71919999999999995</v>
      </c>
      <c r="M493" s="1490" t="s">
        <v>1884</v>
      </c>
      <c r="N493" s="1491">
        <v>5.1431994696579997E-2</v>
      </c>
      <c r="O493" s="1491">
        <v>6.7690362122699998E-6</v>
      </c>
      <c r="P493" s="1492" t="s">
        <v>1885</v>
      </c>
      <c r="Q493" s="1493" t="s">
        <v>635</v>
      </c>
      <c r="R493" s="1494"/>
      <c r="S493" s="1493">
        <v>796</v>
      </c>
      <c r="T493" s="1493" t="s">
        <v>1199</v>
      </c>
      <c r="U493" s="1493">
        <v>5.65</v>
      </c>
      <c r="V493" s="1495" t="s">
        <v>1883</v>
      </c>
      <c r="W493" s="1496">
        <v>0.22</v>
      </c>
      <c r="X493" s="1497" t="s">
        <v>1883</v>
      </c>
      <c r="Y493" s="1498">
        <v>7.4049339860175696</v>
      </c>
      <c r="Z493" s="1498">
        <v>0.54967343630260002</v>
      </c>
      <c r="AA493" s="1498">
        <v>2.4597368290978299</v>
      </c>
      <c r="AB493" s="1498">
        <v>1.7</v>
      </c>
      <c r="AC493" s="1499" t="s">
        <v>1199</v>
      </c>
      <c r="AD493" s="1500" t="s">
        <v>635</v>
      </c>
      <c r="AE493" s="1501"/>
      <c r="AF493" s="1502">
        <v>4.5000000000000001E-6</v>
      </c>
      <c r="AG493" s="1503" t="s">
        <v>1893</v>
      </c>
      <c r="AH493" s="1502">
        <v>0.01</v>
      </c>
      <c r="AI493" s="1503" t="s">
        <v>1893</v>
      </c>
      <c r="AJ493" s="1502">
        <v>0.1</v>
      </c>
      <c r="AK493" s="1503" t="s">
        <v>1909</v>
      </c>
      <c r="AL493" s="1503" t="s">
        <v>1127</v>
      </c>
      <c r="AM493" s="1501"/>
      <c r="AN493" s="1504">
        <v>1</v>
      </c>
      <c r="AO493" s="1504" t="s">
        <v>635</v>
      </c>
      <c r="AP493" s="1506">
        <v>6.86</v>
      </c>
    </row>
    <row r="494" spans="1:42" ht="30">
      <c r="A494" s="1481" t="s">
        <v>2793</v>
      </c>
      <c r="B494" s="1482" t="s">
        <v>2794</v>
      </c>
      <c r="C494" s="1483">
        <v>170.34</v>
      </c>
      <c r="D494" s="1484" t="s">
        <v>1199</v>
      </c>
      <c r="E494" s="1485">
        <v>334.423548650859</v>
      </c>
      <c r="F494" s="1485">
        <v>8.18</v>
      </c>
      <c r="G494" s="1486" t="s">
        <v>1199</v>
      </c>
      <c r="H494" s="1485">
        <v>0.13500000000000001</v>
      </c>
      <c r="I494" s="1486" t="s">
        <v>1199</v>
      </c>
      <c r="J494" s="1487">
        <v>-9.6</v>
      </c>
      <c r="K494" s="1488" t="s">
        <v>1199</v>
      </c>
      <c r="L494" s="1489">
        <v>0.877</v>
      </c>
      <c r="M494" s="1490" t="s">
        <v>1989</v>
      </c>
      <c r="N494" s="1491">
        <v>3.6194044102260001E-2</v>
      </c>
      <c r="O494" s="1491">
        <v>6.4310449015000002E-6</v>
      </c>
      <c r="P494" s="1492" t="s">
        <v>1885</v>
      </c>
      <c r="Q494" s="1493" t="s">
        <v>635</v>
      </c>
      <c r="R494" s="1494"/>
      <c r="S494" s="1493">
        <v>4818</v>
      </c>
      <c r="T494" s="1493" t="s">
        <v>1199</v>
      </c>
      <c r="U494" s="1493">
        <v>6.1</v>
      </c>
      <c r="V494" s="1495" t="s">
        <v>1199</v>
      </c>
      <c r="W494" s="1496">
        <v>3.7000000000000002E-3</v>
      </c>
      <c r="X494" s="1497" t="s">
        <v>1199</v>
      </c>
      <c r="Y494" s="1498">
        <v>9.8387753603645205</v>
      </c>
      <c r="Z494" s="1498">
        <v>0.94569860762913005</v>
      </c>
      <c r="AA494" s="1498">
        <v>4.2817373398877798</v>
      </c>
      <c r="AB494" s="1498">
        <v>1.96</v>
      </c>
      <c r="AC494" s="1499" t="s">
        <v>1199</v>
      </c>
      <c r="AD494" s="1500" t="s">
        <v>635</v>
      </c>
      <c r="AE494" s="1501"/>
      <c r="AF494" s="1502" t="s">
        <v>635</v>
      </c>
      <c r="AG494" s="1501"/>
      <c r="AH494" s="1502">
        <v>3</v>
      </c>
      <c r="AI494" s="1503" t="s">
        <v>1909</v>
      </c>
      <c r="AJ494" s="1502" t="s">
        <v>635</v>
      </c>
      <c r="AK494" s="1501"/>
      <c r="AL494" s="1503" t="s">
        <v>1127</v>
      </c>
      <c r="AM494" s="1501"/>
      <c r="AN494" s="1504">
        <v>1</v>
      </c>
      <c r="AO494" s="1504" t="s">
        <v>635</v>
      </c>
      <c r="AP494" s="1506">
        <v>0.34200000000000003</v>
      </c>
    </row>
    <row r="495" spans="1:42" ht="30">
      <c r="A495" s="1507" t="s">
        <v>2795</v>
      </c>
      <c r="B495" s="1508" t="s">
        <v>2796</v>
      </c>
      <c r="C495" s="1509">
        <v>545.54999999999995</v>
      </c>
      <c r="D495" s="1510" t="s">
        <v>1883</v>
      </c>
      <c r="E495" s="1511">
        <v>3.3156173344240002E-2</v>
      </c>
      <c r="F495" s="1511">
        <v>8.1099999999999998E-4</v>
      </c>
      <c r="G495" s="1512" t="s">
        <v>1883</v>
      </c>
      <c r="H495" s="1511">
        <v>7.9999999999999996E-7</v>
      </c>
      <c r="I495" s="1512" t="s">
        <v>1883</v>
      </c>
      <c r="J495" s="1513">
        <v>485</v>
      </c>
      <c r="K495" s="1514" t="s">
        <v>1884</v>
      </c>
      <c r="L495" s="1515">
        <v>2.25</v>
      </c>
      <c r="M495" s="1516" t="s">
        <v>1989</v>
      </c>
      <c r="N495" s="1517">
        <v>2.1880174002640002E-2</v>
      </c>
      <c r="O495" s="1517">
        <v>5.6296389961500001E-6</v>
      </c>
      <c r="P495" s="1518" t="s">
        <v>1885</v>
      </c>
      <c r="Q495" s="1519" t="s">
        <v>635</v>
      </c>
      <c r="R495" s="1520"/>
      <c r="S495" s="1519">
        <v>356600</v>
      </c>
      <c r="T495" s="1519" t="s">
        <v>1199</v>
      </c>
      <c r="U495" s="1519">
        <v>6.89</v>
      </c>
      <c r="V495" s="1521" t="s">
        <v>1883</v>
      </c>
      <c r="W495" s="1522">
        <v>8.5000000000000006E-2</v>
      </c>
      <c r="X495" s="1523" t="s">
        <v>1883</v>
      </c>
      <c r="Y495" s="1524">
        <v>0.4635468494735</v>
      </c>
      <c r="Z495" s="1524">
        <v>119.379223475842</v>
      </c>
      <c r="AA495" s="1524">
        <v>286.51013634202099</v>
      </c>
      <c r="AB495" s="1524">
        <v>5.16E-2</v>
      </c>
      <c r="AC495" s="1525" t="s">
        <v>1199</v>
      </c>
      <c r="AD495" s="1526">
        <v>18</v>
      </c>
      <c r="AE495" s="1529" t="s">
        <v>1900</v>
      </c>
      <c r="AF495" s="1528">
        <v>5.1000000000000004E-3</v>
      </c>
      <c r="AG495" s="1529" t="s">
        <v>1900</v>
      </c>
      <c r="AH495" s="1528">
        <v>2.0000000000000001E-4</v>
      </c>
      <c r="AI495" s="1529" t="s">
        <v>1119</v>
      </c>
      <c r="AJ495" s="1528" t="s">
        <v>635</v>
      </c>
      <c r="AK495" s="1527"/>
      <c r="AL495" s="1529" t="s">
        <v>1127</v>
      </c>
      <c r="AM495" s="1527"/>
      <c r="AN495" s="1530">
        <v>1</v>
      </c>
      <c r="AO495" s="1530" t="s">
        <v>635</v>
      </c>
      <c r="AP495" s="1532" t="s">
        <v>635</v>
      </c>
    </row>
    <row r="496" spans="1:42" ht="30">
      <c r="A496" s="1481" t="s">
        <v>2797</v>
      </c>
      <c r="B496" s="1482" t="s">
        <v>2798</v>
      </c>
      <c r="C496" s="1483">
        <v>187.31</v>
      </c>
      <c r="D496" s="1484" t="s">
        <v>1883</v>
      </c>
      <c r="E496" s="1485">
        <v>1.6762060506999999E-4</v>
      </c>
      <c r="F496" s="1485">
        <v>4.0999999999999997E-6</v>
      </c>
      <c r="G496" s="1486" t="s">
        <v>1883</v>
      </c>
      <c r="H496" s="1485">
        <v>5.5999999999999999E-3</v>
      </c>
      <c r="I496" s="1486" t="s">
        <v>1883</v>
      </c>
      <c r="J496" s="1487">
        <v>69.58</v>
      </c>
      <c r="K496" s="1488" t="s">
        <v>1199</v>
      </c>
      <c r="L496" s="1489">
        <v>1.0629999999999999</v>
      </c>
      <c r="M496" s="1490" t="s">
        <v>1884</v>
      </c>
      <c r="N496" s="1491">
        <v>3.1556139141310002E-2</v>
      </c>
      <c r="O496" s="1491">
        <v>6.8179710363600002E-6</v>
      </c>
      <c r="P496" s="1492" t="s">
        <v>1885</v>
      </c>
      <c r="Q496" s="1493" t="s">
        <v>635</v>
      </c>
      <c r="R496" s="1494"/>
      <c r="S496" s="1493">
        <v>181.9</v>
      </c>
      <c r="T496" s="1493" t="s">
        <v>1199</v>
      </c>
      <c r="U496" s="1493">
        <v>3.21</v>
      </c>
      <c r="V496" s="1495" t="s">
        <v>1883</v>
      </c>
      <c r="W496" s="1496">
        <v>970</v>
      </c>
      <c r="X496" s="1497" t="s">
        <v>1883</v>
      </c>
      <c r="Y496" s="1498">
        <v>9.9487596309929996E-2</v>
      </c>
      <c r="Z496" s="1498">
        <v>1.17702245855103</v>
      </c>
      <c r="AA496" s="1498">
        <v>2.82485390052247</v>
      </c>
      <c r="AB496" s="1498">
        <v>1.89E-2</v>
      </c>
      <c r="AC496" s="1499" t="s">
        <v>1199</v>
      </c>
      <c r="AD496" s="1500" t="s">
        <v>635</v>
      </c>
      <c r="AE496" s="1501"/>
      <c r="AF496" s="1502" t="s">
        <v>635</v>
      </c>
      <c r="AG496" s="1501"/>
      <c r="AH496" s="1502">
        <v>2E-3</v>
      </c>
      <c r="AI496" s="1503" t="s">
        <v>1119</v>
      </c>
      <c r="AJ496" s="1502" t="s">
        <v>635</v>
      </c>
      <c r="AK496" s="1501"/>
      <c r="AL496" s="1501"/>
      <c r="AM496" s="1501"/>
      <c r="AN496" s="1504">
        <v>1</v>
      </c>
      <c r="AO496" s="1505">
        <v>0.1</v>
      </c>
      <c r="AP496" s="1506" t="s">
        <v>635</v>
      </c>
    </row>
    <row r="497" spans="1:42" ht="30">
      <c r="A497" s="1481" t="s">
        <v>230</v>
      </c>
      <c r="B497" s="1482" t="s">
        <v>229</v>
      </c>
      <c r="C497" s="1483">
        <v>95.94</v>
      </c>
      <c r="D497" s="1484" t="s">
        <v>1883</v>
      </c>
      <c r="E497" s="1485" t="s">
        <v>635</v>
      </c>
      <c r="F497" s="1485" t="s">
        <v>635</v>
      </c>
      <c r="G497" s="1536"/>
      <c r="H497" s="1485">
        <v>0</v>
      </c>
      <c r="I497" s="1486" t="s">
        <v>1929</v>
      </c>
      <c r="J497" s="1487">
        <v>2622</v>
      </c>
      <c r="K497" s="1488" t="s">
        <v>1883</v>
      </c>
      <c r="L497" s="1489">
        <v>10.199999999999999</v>
      </c>
      <c r="M497" s="1490" t="s">
        <v>1884</v>
      </c>
      <c r="N497" s="1491">
        <v>0.19032577117832999</v>
      </c>
      <c r="O497" s="1491">
        <v>3.9557792329999998E-5</v>
      </c>
      <c r="P497" s="1492" t="s">
        <v>1885</v>
      </c>
      <c r="Q497" s="1493">
        <v>20</v>
      </c>
      <c r="R497" s="1493" t="s">
        <v>1930</v>
      </c>
      <c r="S497" s="1493" t="s">
        <v>635</v>
      </c>
      <c r="T497" s="1494"/>
      <c r="U497" s="1493" t="s">
        <v>635</v>
      </c>
      <c r="V497" s="1481"/>
      <c r="W497" s="1496" t="s">
        <v>635</v>
      </c>
      <c r="X497" s="1537"/>
      <c r="Y497" s="1498">
        <v>3.7672679347599998E-3</v>
      </c>
      <c r="Z497" s="1498">
        <v>0.36233705455365001</v>
      </c>
      <c r="AA497" s="1498">
        <v>0.86960893092876002</v>
      </c>
      <c r="AB497" s="1498">
        <v>1E-3</v>
      </c>
      <c r="AC497" s="1499" t="s">
        <v>1203</v>
      </c>
      <c r="AD497" s="1500" t="s">
        <v>635</v>
      </c>
      <c r="AE497" s="1501"/>
      <c r="AF497" s="1502" t="s">
        <v>635</v>
      </c>
      <c r="AG497" s="1501"/>
      <c r="AH497" s="1502">
        <v>5.0000000000000001E-3</v>
      </c>
      <c r="AI497" s="1503" t="s">
        <v>1119</v>
      </c>
      <c r="AJ497" s="1502">
        <v>2E-3</v>
      </c>
      <c r="AK497" s="1503" t="s">
        <v>1960</v>
      </c>
      <c r="AL497" s="1501"/>
      <c r="AM497" s="1501"/>
      <c r="AN497" s="1504">
        <v>1</v>
      </c>
      <c r="AO497" s="1504" t="s">
        <v>635</v>
      </c>
      <c r="AP497" s="1506" t="s">
        <v>635</v>
      </c>
    </row>
    <row r="498" spans="1:42" ht="30">
      <c r="A498" s="1507" t="s">
        <v>2799</v>
      </c>
      <c r="B498" s="1508" t="s">
        <v>2800</v>
      </c>
      <c r="C498" s="1509">
        <v>51.48</v>
      </c>
      <c r="D498" s="1510" t="s">
        <v>1199</v>
      </c>
      <c r="E498" s="1511" t="s">
        <v>635</v>
      </c>
      <c r="F498" s="1511" t="s">
        <v>635</v>
      </c>
      <c r="G498" s="1534"/>
      <c r="H498" s="1511" t="s">
        <v>635</v>
      </c>
      <c r="I498" s="1534"/>
      <c r="J498" s="1513">
        <v>-66</v>
      </c>
      <c r="K498" s="1514" t="s">
        <v>1884</v>
      </c>
      <c r="L498" s="1515" t="s">
        <v>635</v>
      </c>
      <c r="M498" s="1538"/>
      <c r="N498" s="1517">
        <v>0.13729706143094</v>
      </c>
      <c r="O498" s="1517">
        <v>1.6042077699999998E-5</v>
      </c>
      <c r="P498" s="1518" t="s">
        <v>1885</v>
      </c>
      <c r="Q498" s="1519" t="s">
        <v>635</v>
      </c>
      <c r="R498" s="1520"/>
      <c r="S498" s="1519" t="s">
        <v>635</v>
      </c>
      <c r="T498" s="1520"/>
      <c r="U498" s="1519" t="s">
        <v>635</v>
      </c>
      <c r="V498" s="1507"/>
      <c r="W498" s="1522" t="s">
        <v>635</v>
      </c>
      <c r="X498" s="1535"/>
      <c r="Y498" s="1524">
        <v>2.75959863302E-3</v>
      </c>
      <c r="Z498" s="1524">
        <v>0.20423809434984</v>
      </c>
      <c r="AA498" s="1524">
        <v>0.49017142643961997</v>
      </c>
      <c r="AB498" s="1524">
        <v>1E-3</v>
      </c>
      <c r="AC498" s="1525" t="s">
        <v>1203</v>
      </c>
      <c r="AD498" s="1526" t="s">
        <v>635</v>
      </c>
      <c r="AE498" s="1527"/>
      <c r="AF498" s="1528" t="s">
        <v>635</v>
      </c>
      <c r="AG498" s="1527"/>
      <c r="AH498" s="1528">
        <v>0.1</v>
      </c>
      <c r="AI498" s="1529" t="s">
        <v>1119</v>
      </c>
      <c r="AJ498" s="1528" t="s">
        <v>635</v>
      </c>
      <c r="AK498" s="1527"/>
      <c r="AL498" s="1527"/>
      <c r="AM498" s="1527"/>
      <c r="AN498" s="1530">
        <v>1</v>
      </c>
      <c r="AO498" s="1530" t="s">
        <v>635</v>
      </c>
      <c r="AP498" s="1532" t="s">
        <v>635</v>
      </c>
    </row>
    <row r="499" spans="1:42" ht="30">
      <c r="A499" s="1481" t="s">
        <v>2801</v>
      </c>
      <c r="B499" s="1482" t="s">
        <v>2802</v>
      </c>
      <c r="C499" s="1483">
        <v>107.16</v>
      </c>
      <c r="D499" s="1484" t="s">
        <v>1883</v>
      </c>
      <c r="E499" s="1485">
        <v>3.6304170074000002E-4</v>
      </c>
      <c r="F499" s="1485">
        <v>8.8799999999999997E-6</v>
      </c>
      <c r="G499" s="1486" t="s">
        <v>1883</v>
      </c>
      <c r="H499" s="1485">
        <v>0.45300000000000001</v>
      </c>
      <c r="I499" s="1486" t="s">
        <v>1883</v>
      </c>
      <c r="J499" s="1487">
        <v>-57</v>
      </c>
      <c r="K499" s="1488" t="s">
        <v>1883</v>
      </c>
      <c r="L499" s="1489">
        <v>0.98909999999999998</v>
      </c>
      <c r="M499" s="1490" t="s">
        <v>1884</v>
      </c>
      <c r="N499" s="1491">
        <v>7.2099916225960001E-2</v>
      </c>
      <c r="O499" s="1491">
        <v>9.1284337861400002E-6</v>
      </c>
      <c r="P499" s="1492" t="s">
        <v>1885</v>
      </c>
      <c r="Q499" s="1493" t="s">
        <v>635</v>
      </c>
      <c r="R499" s="1494"/>
      <c r="S499" s="1493">
        <v>82.08</v>
      </c>
      <c r="T499" s="1493" t="s">
        <v>1199</v>
      </c>
      <c r="U499" s="1493">
        <v>1.66</v>
      </c>
      <c r="V499" s="1495" t="s">
        <v>1883</v>
      </c>
      <c r="W499" s="1496">
        <v>5620</v>
      </c>
      <c r="X499" s="1497" t="s">
        <v>1883</v>
      </c>
      <c r="Y499" s="1498">
        <v>1.9827700365280001E-2</v>
      </c>
      <c r="Z499" s="1498">
        <v>0.41874029012976999</v>
      </c>
      <c r="AA499" s="1498">
        <v>1.0049766963114399</v>
      </c>
      <c r="AB499" s="1498">
        <v>4.9800000000000001E-3</v>
      </c>
      <c r="AC499" s="1499" t="s">
        <v>1199</v>
      </c>
      <c r="AD499" s="1500" t="s">
        <v>635</v>
      </c>
      <c r="AE499" s="1501"/>
      <c r="AF499" s="1502" t="s">
        <v>635</v>
      </c>
      <c r="AG499" s="1501"/>
      <c r="AH499" s="1502">
        <v>2E-3</v>
      </c>
      <c r="AI499" s="1503" t="s">
        <v>1909</v>
      </c>
      <c r="AJ499" s="1502" t="s">
        <v>635</v>
      </c>
      <c r="AK499" s="1501"/>
      <c r="AL499" s="1501"/>
      <c r="AM499" s="1501"/>
      <c r="AN499" s="1504">
        <v>1</v>
      </c>
      <c r="AO499" s="1505">
        <v>0.1</v>
      </c>
      <c r="AP499" s="1506" t="s">
        <v>635</v>
      </c>
    </row>
    <row r="500" spans="1:42" ht="30">
      <c r="A500" s="1481" t="s">
        <v>2803</v>
      </c>
      <c r="B500" s="1482" t="s">
        <v>2804</v>
      </c>
      <c r="C500" s="1483">
        <v>274.76</v>
      </c>
      <c r="D500" s="1484" t="s">
        <v>1883</v>
      </c>
      <c r="E500" s="1485">
        <v>1.74979558463E-7</v>
      </c>
      <c r="F500" s="1485">
        <v>4.2800000000000001E-9</v>
      </c>
      <c r="G500" s="1486" t="s">
        <v>1199</v>
      </c>
      <c r="H500" s="1485">
        <v>1.5999999999999999E-6</v>
      </c>
      <c r="I500" s="1486" t="s">
        <v>1883</v>
      </c>
      <c r="J500" s="1487">
        <v>65.5</v>
      </c>
      <c r="K500" s="1488" t="s">
        <v>1883</v>
      </c>
      <c r="L500" s="1489" t="s">
        <v>635</v>
      </c>
      <c r="M500" s="1533"/>
      <c r="N500" s="1491">
        <v>4.4955682548880001E-2</v>
      </c>
      <c r="O500" s="1491">
        <v>5.2527165925500003E-6</v>
      </c>
      <c r="P500" s="1492" t="s">
        <v>1885</v>
      </c>
      <c r="Q500" s="1493" t="s">
        <v>635</v>
      </c>
      <c r="R500" s="1494"/>
      <c r="S500" s="1493">
        <v>6075</v>
      </c>
      <c r="T500" s="1493" t="s">
        <v>1199</v>
      </c>
      <c r="U500" s="1493">
        <v>2.94</v>
      </c>
      <c r="V500" s="1495" t="s">
        <v>1883</v>
      </c>
      <c r="W500" s="1496">
        <v>142</v>
      </c>
      <c r="X500" s="1497" t="s">
        <v>1883</v>
      </c>
      <c r="Y500" s="1498">
        <v>2.1484898521919999E-2</v>
      </c>
      <c r="Z500" s="1498">
        <v>3.6350027990728502</v>
      </c>
      <c r="AA500" s="1498">
        <v>8.7240067177748397</v>
      </c>
      <c r="AB500" s="1498">
        <v>3.3700000000000002E-3</v>
      </c>
      <c r="AC500" s="1499" t="s">
        <v>1199</v>
      </c>
      <c r="AD500" s="1500" t="s">
        <v>635</v>
      </c>
      <c r="AE500" s="1501"/>
      <c r="AF500" s="1502" t="s">
        <v>635</v>
      </c>
      <c r="AG500" s="1501"/>
      <c r="AH500" s="1502">
        <v>2.5000000000000001E-2</v>
      </c>
      <c r="AI500" s="1503" t="s">
        <v>1119</v>
      </c>
      <c r="AJ500" s="1502" t="s">
        <v>635</v>
      </c>
      <c r="AK500" s="1501"/>
      <c r="AL500" s="1501"/>
      <c r="AM500" s="1501"/>
      <c r="AN500" s="1504">
        <v>1</v>
      </c>
      <c r="AO500" s="1505">
        <v>0.1</v>
      </c>
      <c r="AP500" s="1506" t="s">
        <v>635</v>
      </c>
    </row>
    <row r="501" spans="1:42" ht="30">
      <c r="A501" s="1507" t="s">
        <v>2805</v>
      </c>
      <c r="B501" s="1508" t="s">
        <v>2806</v>
      </c>
      <c r="C501" s="1509">
        <v>260.33999999999997</v>
      </c>
      <c r="D501" s="1510" t="s">
        <v>1883</v>
      </c>
      <c r="E501" s="1511">
        <v>8.3810302534799997E-9</v>
      </c>
      <c r="F501" s="1511">
        <v>2.0499999999999999E-10</v>
      </c>
      <c r="G501" s="1512" t="s">
        <v>1883</v>
      </c>
      <c r="H501" s="1511">
        <v>6.3499999999999998E-9</v>
      </c>
      <c r="I501" s="1512" t="s">
        <v>1199</v>
      </c>
      <c r="J501" s="1513">
        <v>144</v>
      </c>
      <c r="K501" s="1514" t="s">
        <v>1883</v>
      </c>
      <c r="L501" s="1515" t="s">
        <v>635</v>
      </c>
      <c r="M501" s="1538"/>
      <c r="N501" s="1517">
        <v>4.6600760114210001E-2</v>
      </c>
      <c r="O501" s="1517">
        <v>5.44493091861E-6</v>
      </c>
      <c r="P501" s="1518" t="s">
        <v>1885</v>
      </c>
      <c r="Q501" s="1519" t="s">
        <v>635</v>
      </c>
      <c r="R501" s="1520"/>
      <c r="S501" s="1519">
        <v>51890</v>
      </c>
      <c r="T501" s="1519" t="s">
        <v>1199</v>
      </c>
      <c r="U501" s="1519">
        <v>4.04</v>
      </c>
      <c r="V501" s="1521" t="s">
        <v>1883</v>
      </c>
      <c r="W501" s="1522">
        <v>7.3529999999999998</v>
      </c>
      <c r="X501" s="1523" t="s">
        <v>1883</v>
      </c>
      <c r="Y501" s="1524">
        <v>0.16259170812282001</v>
      </c>
      <c r="Z501" s="1524">
        <v>3.0182329057644601</v>
      </c>
      <c r="AA501" s="1524">
        <v>7.2437589738347103</v>
      </c>
      <c r="AB501" s="1524">
        <v>2.6200000000000001E-2</v>
      </c>
      <c r="AC501" s="1525" t="s">
        <v>1199</v>
      </c>
      <c r="AD501" s="1526" t="s">
        <v>635</v>
      </c>
      <c r="AE501" s="1527"/>
      <c r="AF501" s="1528" t="s">
        <v>635</v>
      </c>
      <c r="AG501" s="1527"/>
      <c r="AH501" s="1528">
        <v>2.9999999999999997E-4</v>
      </c>
      <c r="AI501" s="1529" t="s">
        <v>1893</v>
      </c>
      <c r="AJ501" s="1528" t="s">
        <v>635</v>
      </c>
      <c r="AK501" s="1527"/>
      <c r="AL501" s="1527"/>
      <c r="AM501" s="1527"/>
      <c r="AN501" s="1530">
        <v>1</v>
      </c>
      <c r="AO501" s="1531">
        <v>0.1</v>
      </c>
      <c r="AP501" s="1532" t="s">
        <v>635</v>
      </c>
    </row>
    <row r="502" spans="1:42" ht="30">
      <c r="A502" s="1481" t="s">
        <v>2807</v>
      </c>
      <c r="B502" s="1482" t="s">
        <v>2808</v>
      </c>
      <c r="C502" s="1483">
        <v>380.79</v>
      </c>
      <c r="D502" s="1484" t="s">
        <v>1883</v>
      </c>
      <c r="E502" s="1485">
        <v>2.6614881439099999E-3</v>
      </c>
      <c r="F502" s="1485">
        <v>6.5099999999999997E-5</v>
      </c>
      <c r="G502" s="1486" t="s">
        <v>1199</v>
      </c>
      <c r="H502" s="1485">
        <v>2.0000000000000001E-4</v>
      </c>
      <c r="I502" s="1486" t="s">
        <v>1883</v>
      </c>
      <c r="J502" s="1487">
        <v>27</v>
      </c>
      <c r="K502" s="1488" t="s">
        <v>1883</v>
      </c>
      <c r="L502" s="1489">
        <v>1.96</v>
      </c>
      <c r="M502" s="1490" t="s">
        <v>1884</v>
      </c>
      <c r="N502" s="1491">
        <v>2.4566668350260001E-2</v>
      </c>
      <c r="O502" s="1491">
        <v>6.4300462023900002E-6</v>
      </c>
      <c r="P502" s="1492" t="s">
        <v>1885</v>
      </c>
      <c r="Q502" s="1493" t="s">
        <v>635</v>
      </c>
      <c r="R502" s="1494"/>
      <c r="S502" s="1493">
        <v>126.7</v>
      </c>
      <c r="T502" s="1493" t="s">
        <v>1199</v>
      </c>
      <c r="U502" s="1493">
        <v>1.38</v>
      </c>
      <c r="V502" s="1495" t="s">
        <v>1883</v>
      </c>
      <c r="W502" s="1496">
        <v>1.5</v>
      </c>
      <c r="X502" s="1497" t="s">
        <v>1883</v>
      </c>
      <c r="Y502" s="1498">
        <v>7.0850254353999997E-4</v>
      </c>
      <c r="Z502" s="1498">
        <v>14.2650319800319</v>
      </c>
      <c r="AA502" s="1498">
        <v>34.236076752076499</v>
      </c>
      <c r="AB502" s="1498">
        <v>9.4400000000000004E-5</v>
      </c>
      <c r="AC502" s="1499" t="s">
        <v>1199</v>
      </c>
      <c r="AD502" s="1500" t="s">
        <v>635</v>
      </c>
      <c r="AE502" s="1501"/>
      <c r="AF502" s="1502" t="s">
        <v>635</v>
      </c>
      <c r="AG502" s="1501"/>
      <c r="AH502" s="1502">
        <v>2E-3</v>
      </c>
      <c r="AI502" s="1503" t="s">
        <v>1119</v>
      </c>
      <c r="AJ502" s="1502" t="s">
        <v>635</v>
      </c>
      <c r="AK502" s="1501"/>
      <c r="AL502" s="1503" t="s">
        <v>1127</v>
      </c>
      <c r="AM502" s="1501"/>
      <c r="AN502" s="1504">
        <v>1</v>
      </c>
      <c r="AO502" s="1504" t="s">
        <v>635</v>
      </c>
      <c r="AP502" s="1506" t="s">
        <v>635</v>
      </c>
    </row>
    <row r="503" spans="1:42" ht="30">
      <c r="A503" s="1481" t="s">
        <v>2809</v>
      </c>
      <c r="B503" s="1482" t="s">
        <v>2810</v>
      </c>
      <c r="C503" s="1483" t="s">
        <v>635</v>
      </c>
      <c r="D503" s="1543"/>
      <c r="E503" s="1485">
        <v>1.7988552739170001E-2</v>
      </c>
      <c r="F503" s="1485">
        <v>4.4000000000000002E-4</v>
      </c>
      <c r="G503" s="1486" t="s">
        <v>1199</v>
      </c>
      <c r="H503" s="1485">
        <v>8.5000000000000006E-2</v>
      </c>
      <c r="I503" s="1486" t="s">
        <v>1199</v>
      </c>
      <c r="J503" s="1487" t="s">
        <v>635</v>
      </c>
      <c r="K503" s="1542"/>
      <c r="L503" s="1489" t="s">
        <v>635</v>
      </c>
      <c r="M503" s="1533"/>
      <c r="N503" s="1491" t="s">
        <v>635</v>
      </c>
      <c r="O503" s="1491" t="s">
        <v>635</v>
      </c>
      <c r="P503" s="1544"/>
      <c r="Q503" s="1493" t="s">
        <v>635</v>
      </c>
      <c r="R503" s="1494"/>
      <c r="S503" s="1493" t="s">
        <v>635</v>
      </c>
      <c r="T503" s="1494"/>
      <c r="U503" s="1493" t="s">
        <v>635</v>
      </c>
      <c r="V503" s="1481"/>
      <c r="W503" s="1496">
        <v>31</v>
      </c>
      <c r="X503" s="1497" t="s">
        <v>1199</v>
      </c>
      <c r="Y503" s="1498" t="s">
        <v>635</v>
      </c>
      <c r="Z503" s="1498" t="s">
        <v>635</v>
      </c>
      <c r="AA503" s="1498" t="s">
        <v>635</v>
      </c>
      <c r="AB503" s="1498" t="s">
        <v>635</v>
      </c>
      <c r="AC503" s="1547"/>
      <c r="AD503" s="1500" t="s">
        <v>635</v>
      </c>
      <c r="AE503" s="1501"/>
      <c r="AF503" s="1502" t="s">
        <v>635</v>
      </c>
      <c r="AG503" s="1501"/>
      <c r="AH503" s="1502">
        <v>0.03</v>
      </c>
      <c r="AI503" s="1503" t="s">
        <v>1893</v>
      </c>
      <c r="AJ503" s="1502">
        <v>0.1</v>
      </c>
      <c r="AK503" s="1503" t="s">
        <v>1909</v>
      </c>
      <c r="AL503" s="1503" t="s">
        <v>1127</v>
      </c>
      <c r="AM503" s="1501"/>
      <c r="AN503" s="1504">
        <v>1</v>
      </c>
      <c r="AO503" s="1504" t="s">
        <v>635</v>
      </c>
      <c r="AP503" s="1506" t="s">
        <v>635</v>
      </c>
    </row>
    <row r="504" spans="1:42" ht="30">
      <c r="A504" s="1507" t="s">
        <v>2811</v>
      </c>
      <c r="B504" s="1508" t="s">
        <v>2812</v>
      </c>
      <c r="C504" s="1509">
        <v>143.19</v>
      </c>
      <c r="D504" s="1510" t="s">
        <v>1883</v>
      </c>
      <c r="E504" s="1511">
        <v>3.3115290269800002E-6</v>
      </c>
      <c r="F504" s="1511">
        <v>8.0999999999999997E-8</v>
      </c>
      <c r="G504" s="1512" t="s">
        <v>1883</v>
      </c>
      <c r="H504" s="1511">
        <v>2.5599999999999999E-4</v>
      </c>
      <c r="I504" s="1512" t="s">
        <v>1883</v>
      </c>
      <c r="J504" s="1513">
        <v>113</v>
      </c>
      <c r="K504" s="1514" t="s">
        <v>1883</v>
      </c>
      <c r="L504" s="1515">
        <v>1.6414</v>
      </c>
      <c r="M504" s="1516" t="s">
        <v>1884</v>
      </c>
      <c r="N504" s="1517">
        <v>6.4451187870329996E-2</v>
      </c>
      <c r="O504" s="1517">
        <v>1.0395677920000001E-5</v>
      </c>
      <c r="P504" s="1518" t="s">
        <v>1885</v>
      </c>
      <c r="Q504" s="1519" t="s">
        <v>635</v>
      </c>
      <c r="R504" s="1520"/>
      <c r="S504" s="1519">
        <v>2478</v>
      </c>
      <c r="T504" s="1519" t="s">
        <v>1199</v>
      </c>
      <c r="U504" s="1519">
        <v>2.2799999999999998</v>
      </c>
      <c r="V504" s="1521" t="s">
        <v>1883</v>
      </c>
      <c r="W504" s="1522">
        <v>189</v>
      </c>
      <c r="X504" s="1523" t="s">
        <v>1883</v>
      </c>
      <c r="Y504" s="1524">
        <v>3.7141251311239999E-2</v>
      </c>
      <c r="Z504" s="1524">
        <v>0.66636587673627001</v>
      </c>
      <c r="AA504" s="1524">
        <v>1.5992781041670501</v>
      </c>
      <c r="AB504" s="1524">
        <v>8.0700000000000008E-3</v>
      </c>
      <c r="AC504" s="1525" t="s">
        <v>1199</v>
      </c>
      <c r="AD504" s="1526">
        <v>1.8</v>
      </c>
      <c r="AE504" s="1529" t="s">
        <v>1900</v>
      </c>
      <c r="AF504" s="1528">
        <v>0</v>
      </c>
      <c r="AG504" s="1529" t="s">
        <v>1900</v>
      </c>
      <c r="AH504" s="1528" t="s">
        <v>635</v>
      </c>
      <c r="AI504" s="1527"/>
      <c r="AJ504" s="1528" t="s">
        <v>635</v>
      </c>
      <c r="AK504" s="1527"/>
      <c r="AL504" s="1527"/>
      <c r="AM504" s="1527"/>
      <c r="AN504" s="1530">
        <v>1</v>
      </c>
      <c r="AO504" s="1531">
        <v>0.1</v>
      </c>
      <c r="AP504" s="1532" t="s">
        <v>635</v>
      </c>
    </row>
    <row r="505" spans="1:42" ht="30">
      <c r="A505" s="1481" t="s">
        <v>2813</v>
      </c>
      <c r="B505" s="1482" t="s">
        <v>2814</v>
      </c>
      <c r="C505" s="1483">
        <v>271.36</v>
      </c>
      <c r="D505" s="1484" t="s">
        <v>1883</v>
      </c>
      <c r="E505" s="1485">
        <v>3.4382665576500001E-8</v>
      </c>
      <c r="F505" s="1485">
        <v>8.4099999999999999E-10</v>
      </c>
      <c r="G505" s="1486" t="s">
        <v>1199</v>
      </c>
      <c r="H505" s="1485">
        <v>1.72E-7</v>
      </c>
      <c r="I505" s="1486" t="s">
        <v>1883</v>
      </c>
      <c r="J505" s="1487">
        <v>75</v>
      </c>
      <c r="K505" s="1488" t="s">
        <v>1883</v>
      </c>
      <c r="L505" s="1489" t="s">
        <v>635</v>
      </c>
      <c r="M505" s="1533"/>
      <c r="N505" s="1491">
        <v>4.5330416968389999E-2</v>
      </c>
      <c r="O505" s="1491">
        <v>5.2965013510399998E-6</v>
      </c>
      <c r="P505" s="1492" t="s">
        <v>1885</v>
      </c>
      <c r="Q505" s="1493" t="s">
        <v>635</v>
      </c>
      <c r="R505" s="1494"/>
      <c r="S505" s="1493">
        <v>3218</v>
      </c>
      <c r="T505" s="1493" t="s">
        <v>1199</v>
      </c>
      <c r="U505" s="1493">
        <v>3.36</v>
      </c>
      <c r="V505" s="1495" t="s">
        <v>1883</v>
      </c>
      <c r="W505" s="1496">
        <v>73</v>
      </c>
      <c r="X505" s="1497" t="s">
        <v>1883</v>
      </c>
      <c r="Y505" s="1498">
        <v>5.0939610051409998E-2</v>
      </c>
      <c r="Z505" s="1498">
        <v>3.4790826782991502</v>
      </c>
      <c r="AA505" s="1498">
        <v>8.3497984279179693</v>
      </c>
      <c r="AB505" s="1498">
        <v>8.0400000000000003E-3</v>
      </c>
      <c r="AC505" s="1499" t="s">
        <v>1199</v>
      </c>
      <c r="AD505" s="1500" t="s">
        <v>635</v>
      </c>
      <c r="AE505" s="1501"/>
      <c r="AF505" s="1502" t="s">
        <v>635</v>
      </c>
      <c r="AG505" s="1501"/>
      <c r="AH505" s="1502">
        <v>0.12</v>
      </c>
      <c r="AI505" s="1503" t="s">
        <v>1116</v>
      </c>
      <c r="AJ505" s="1502" t="s">
        <v>635</v>
      </c>
      <c r="AK505" s="1501"/>
      <c r="AL505" s="1501"/>
      <c r="AM505" s="1501"/>
      <c r="AN505" s="1504">
        <v>1</v>
      </c>
      <c r="AO505" s="1505">
        <v>0.1</v>
      </c>
      <c r="AP505" s="1506" t="s">
        <v>635</v>
      </c>
    </row>
    <row r="506" spans="1:42" ht="30">
      <c r="A506" s="1481" t="s">
        <v>2815</v>
      </c>
      <c r="B506" s="1482" t="s">
        <v>2816</v>
      </c>
      <c r="C506" s="1483">
        <v>176.8</v>
      </c>
      <c r="D506" s="1484" t="s">
        <v>1883</v>
      </c>
      <c r="E506" s="1485" t="s">
        <v>635</v>
      </c>
      <c r="F506" s="1485" t="s">
        <v>635</v>
      </c>
      <c r="G506" s="1536"/>
      <c r="H506" s="1485">
        <v>1.7900000000000001E-5</v>
      </c>
      <c r="I506" s="1486" t="s">
        <v>1883</v>
      </c>
      <c r="J506" s="1487" t="s">
        <v>635</v>
      </c>
      <c r="K506" s="1542"/>
      <c r="L506" s="1489">
        <v>1.798</v>
      </c>
      <c r="M506" s="1490" t="s">
        <v>1949</v>
      </c>
      <c r="N506" s="1491">
        <v>4.6175668618460002E-2</v>
      </c>
      <c r="O506" s="1491">
        <v>9.6751170445400008E-6</v>
      </c>
      <c r="P506" s="1492" t="s">
        <v>1885</v>
      </c>
      <c r="Q506" s="1493" t="s">
        <v>635</v>
      </c>
      <c r="R506" s="1494"/>
      <c r="S506" s="1493">
        <v>1</v>
      </c>
      <c r="T506" s="1493" t="s">
        <v>1199</v>
      </c>
      <c r="U506" s="1493">
        <v>-1.38</v>
      </c>
      <c r="V506" s="1495" t="s">
        <v>1883</v>
      </c>
      <c r="W506" s="1496">
        <v>166000</v>
      </c>
      <c r="X506" s="1497" t="s">
        <v>1883</v>
      </c>
      <c r="Y506" s="1498">
        <v>9.9213212519999998E-5</v>
      </c>
      <c r="Z506" s="1498">
        <v>1.0278476555334899</v>
      </c>
      <c r="AA506" s="1498">
        <v>2.4668343732803901</v>
      </c>
      <c r="AB506" s="1498">
        <v>1.9400000000000001E-5</v>
      </c>
      <c r="AC506" s="1499" t="s">
        <v>1199</v>
      </c>
      <c r="AD506" s="1500" t="s">
        <v>635</v>
      </c>
      <c r="AE506" s="1501"/>
      <c r="AF506" s="1502">
        <v>2.5999999999999998E-4</v>
      </c>
      <c r="AG506" s="1503" t="s">
        <v>1900</v>
      </c>
      <c r="AH506" s="1502">
        <v>1.0999999999999999E-2</v>
      </c>
      <c r="AI506" s="1503" t="s">
        <v>1900</v>
      </c>
      <c r="AJ506" s="1502">
        <v>1.4E-5</v>
      </c>
      <c r="AK506" s="1503" t="s">
        <v>1900</v>
      </c>
      <c r="AL506" s="1501"/>
      <c r="AM506" s="1501"/>
      <c r="AN506" s="1504">
        <v>1</v>
      </c>
      <c r="AO506" s="1505">
        <v>0.1</v>
      </c>
      <c r="AP506" s="1506" t="s">
        <v>635</v>
      </c>
    </row>
    <row r="507" spans="1:42" ht="30">
      <c r="A507" s="1507" t="s">
        <v>2817</v>
      </c>
      <c r="B507" s="1508" t="s">
        <v>2818</v>
      </c>
      <c r="C507" s="1509">
        <v>118.72</v>
      </c>
      <c r="D507" s="1510" t="s">
        <v>1883</v>
      </c>
      <c r="E507" s="1511" t="s">
        <v>635</v>
      </c>
      <c r="F507" s="1511" t="s">
        <v>635</v>
      </c>
      <c r="G507" s="1534"/>
      <c r="H507" s="1511">
        <v>3.5599999999999998E-6</v>
      </c>
      <c r="I507" s="1512" t="s">
        <v>1883</v>
      </c>
      <c r="J507" s="1513" t="s">
        <v>635</v>
      </c>
      <c r="K507" s="1540"/>
      <c r="L507" s="1515" t="s">
        <v>635</v>
      </c>
      <c r="M507" s="1538"/>
      <c r="N507" s="1517">
        <v>7.8657053860990006E-2</v>
      </c>
      <c r="O507" s="1517">
        <v>9.1904557669199999E-6</v>
      </c>
      <c r="P507" s="1518" t="s">
        <v>1885</v>
      </c>
      <c r="Q507" s="1519" t="s">
        <v>635</v>
      </c>
      <c r="R507" s="1520"/>
      <c r="S507" s="1519" t="s">
        <v>635</v>
      </c>
      <c r="T507" s="1520"/>
      <c r="U507" s="1519">
        <v>-2.12</v>
      </c>
      <c r="V507" s="1521" t="s">
        <v>1883</v>
      </c>
      <c r="W507" s="1522">
        <v>93</v>
      </c>
      <c r="X507" s="1523" t="s">
        <v>1949</v>
      </c>
      <c r="Y507" s="1524">
        <v>5.5317497790000002E-5</v>
      </c>
      <c r="Z507" s="1524">
        <v>0.48604977857200998</v>
      </c>
      <c r="AA507" s="1524">
        <v>1.16651946857282</v>
      </c>
      <c r="AB507" s="1524">
        <v>1.3200000000000001E-5</v>
      </c>
      <c r="AC507" s="1525" t="s">
        <v>1199</v>
      </c>
      <c r="AD507" s="1526" t="s">
        <v>635</v>
      </c>
      <c r="AE507" s="1527"/>
      <c r="AF507" s="1528">
        <v>2.5999999999999998E-4</v>
      </c>
      <c r="AG507" s="1529" t="s">
        <v>1900</v>
      </c>
      <c r="AH507" s="1528">
        <v>1.0999999999999999E-2</v>
      </c>
      <c r="AI507" s="1529" t="s">
        <v>1900</v>
      </c>
      <c r="AJ507" s="1528">
        <v>1.4E-5</v>
      </c>
      <c r="AK507" s="1529" t="s">
        <v>1900</v>
      </c>
      <c r="AL507" s="1527"/>
      <c r="AM507" s="1527"/>
      <c r="AN507" s="1530">
        <v>1</v>
      </c>
      <c r="AO507" s="1531">
        <v>0.1</v>
      </c>
      <c r="AP507" s="1532" t="s">
        <v>635</v>
      </c>
    </row>
    <row r="508" spans="1:42" ht="45">
      <c r="A508" s="1481" t="s">
        <v>2819</v>
      </c>
      <c r="B508" s="1482" t="s">
        <v>2820</v>
      </c>
      <c r="C508" s="1483">
        <v>170.73400000000001</v>
      </c>
      <c r="D508" s="1484" t="s">
        <v>1884</v>
      </c>
      <c r="E508" s="1485">
        <v>20.440000000000001</v>
      </c>
      <c r="F508" s="1485">
        <v>0.5</v>
      </c>
      <c r="G508" s="1486" t="s">
        <v>2821</v>
      </c>
      <c r="H508" s="1485">
        <v>315</v>
      </c>
      <c r="I508" s="1486" t="s">
        <v>1929</v>
      </c>
      <c r="J508" s="1487">
        <v>-19.3</v>
      </c>
      <c r="K508" s="1488" t="s">
        <v>1884</v>
      </c>
      <c r="L508" s="1489">
        <v>1.31</v>
      </c>
      <c r="M508" s="1490" t="s">
        <v>1884</v>
      </c>
      <c r="N508" s="1491">
        <v>4.330191357088E-2</v>
      </c>
      <c r="O508" s="1491">
        <v>8.17038534329E-6</v>
      </c>
      <c r="P508" s="1492" t="s">
        <v>1885</v>
      </c>
      <c r="Q508" s="1493" t="s">
        <v>635</v>
      </c>
      <c r="R508" s="1494"/>
      <c r="S508" s="1493" t="s">
        <v>635</v>
      </c>
      <c r="T508" s="1494"/>
      <c r="U508" s="1493" t="s">
        <v>635</v>
      </c>
      <c r="V508" s="1481"/>
      <c r="W508" s="1496">
        <v>180</v>
      </c>
      <c r="X508" s="1497" t="s">
        <v>1949</v>
      </c>
      <c r="Y508" s="1498" t="s">
        <v>635</v>
      </c>
      <c r="Z508" s="1498">
        <v>0.95051538256343004</v>
      </c>
      <c r="AA508" s="1498">
        <v>2.2812369181522301</v>
      </c>
      <c r="AB508" s="1498" t="s">
        <v>635</v>
      </c>
      <c r="AC508" s="1547"/>
      <c r="AD508" s="1500" t="s">
        <v>635</v>
      </c>
      <c r="AE508" s="1501"/>
      <c r="AF508" s="1502">
        <v>2.5999999999999998E-4</v>
      </c>
      <c r="AG508" s="1503" t="s">
        <v>1900</v>
      </c>
      <c r="AH508" s="1502">
        <v>1.0999999999999999E-2</v>
      </c>
      <c r="AI508" s="1503" t="s">
        <v>1900</v>
      </c>
      <c r="AJ508" s="1502">
        <v>1.4E-5</v>
      </c>
      <c r="AK508" s="1503" t="s">
        <v>1900</v>
      </c>
      <c r="AL508" s="1503" t="s">
        <v>1127</v>
      </c>
      <c r="AM508" s="1501"/>
      <c r="AN508" s="1504">
        <v>1</v>
      </c>
      <c r="AO508" s="1504" t="s">
        <v>635</v>
      </c>
      <c r="AP508" s="1506" t="s">
        <v>635</v>
      </c>
    </row>
    <row r="509" spans="1:42" ht="30">
      <c r="A509" s="1481" t="s">
        <v>2822</v>
      </c>
      <c r="B509" s="1482" t="s">
        <v>2823</v>
      </c>
      <c r="C509" s="1483">
        <v>92.708100000000002</v>
      </c>
      <c r="D509" s="1484" t="s">
        <v>2824</v>
      </c>
      <c r="E509" s="1485" t="s">
        <v>635</v>
      </c>
      <c r="F509" s="1485" t="s">
        <v>635</v>
      </c>
      <c r="G509" s="1536"/>
      <c r="H509" s="1485" t="s">
        <v>635</v>
      </c>
      <c r="I509" s="1536"/>
      <c r="J509" s="1487" t="s">
        <v>635</v>
      </c>
      <c r="K509" s="1542"/>
      <c r="L509" s="1489" t="s">
        <v>635</v>
      </c>
      <c r="M509" s="1533"/>
      <c r="N509" s="1491">
        <v>9.2755957715839998E-2</v>
      </c>
      <c r="O509" s="1491">
        <v>1.0837801379999999E-5</v>
      </c>
      <c r="P509" s="1492" t="s">
        <v>1885</v>
      </c>
      <c r="Q509" s="1493" t="s">
        <v>635</v>
      </c>
      <c r="R509" s="1494"/>
      <c r="S509" s="1493" t="s">
        <v>635</v>
      </c>
      <c r="T509" s="1494"/>
      <c r="U509" s="1493" t="s">
        <v>635</v>
      </c>
      <c r="V509" s="1481"/>
      <c r="W509" s="1496" t="s">
        <v>635</v>
      </c>
      <c r="X509" s="1537"/>
      <c r="Y509" s="1498">
        <v>3.7032709833800001E-3</v>
      </c>
      <c r="Z509" s="1498">
        <v>0.34754745258727998</v>
      </c>
      <c r="AA509" s="1498">
        <v>0.83411388620946003</v>
      </c>
      <c r="AB509" s="1498">
        <v>1E-3</v>
      </c>
      <c r="AC509" s="1499" t="s">
        <v>1203</v>
      </c>
      <c r="AD509" s="1500" t="s">
        <v>635</v>
      </c>
      <c r="AE509" s="1501"/>
      <c r="AF509" s="1502">
        <v>2.5999999999999998E-4</v>
      </c>
      <c r="AG509" s="1503" t="s">
        <v>1900</v>
      </c>
      <c r="AH509" s="1502">
        <v>1.0999999999999999E-2</v>
      </c>
      <c r="AI509" s="1503" t="s">
        <v>1900</v>
      </c>
      <c r="AJ509" s="1502">
        <v>1.4E-5</v>
      </c>
      <c r="AK509" s="1503" t="s">
        <v>1900</v>
      </c>
      <c r="AL509" s="1501"/>
      <c r="AM509" s="1501"/>
      <c r="AN509" s="1539">
        <v>0.04</v>
      </c>
      <c r="AO509" s="1504" t="s">
        <v>635</v>
      </c>
      <c r="AP509" s="1506" t="s">
        <v>635</v>
      </c>
    </row>
    <row r="510" spans="1:42" ht="30">
      <c r="A510" s="1507" t="s">
        <v>2825</v>
      </c>
      <c r="B510" s="1508" t="s">
        <v>2826</v>
      </c>
      <c r="C510" s="1509">
        <v>74.69</v>
      </c>
      <c r="D510" s="1510" t="s">
        <v>1199</v>
      </c>
      <c r="E510" s="1511" t="s">
        <v>635</v>
      </c>
      <c r="F510" s="1511" t="s">
        <v>635</v>
      </c>
      <c r="G510" s="1534"/>
      <c r="H510" s="1511" t="s">
        <v>635</v>
      </c>
      <c r="I510" s="1534"/>
      <c r="J510" s="1513">
        <v>1957</v>
      </c>
      <c r="K510" s="1514" t="s">
        <v>1884</v>
      </c>
      <c r="L510" s="1515">
        <v>6.72</v>
      </c>
      <c r="M510" s="1516" t="s">
        <v>1884</v>
      </c>
      <c r="N510" s="1517">
        <v>0.19833326460945</v>
      </c>
      <c r="O510" s="1517">
        <v>3.5787870709999999E-5</v>
      </c>
      <c r="P510" s="1518" t="s">
        <v>1885</v>
      </c>
      <c r="Q510" s="1519" t="s">
        <v>635</v>
      </c>
      <c r="R510" s="1520"/>
      <c r="S510" s="1519" t="s">
        <v>635</v>
      </c>
      <c r="T510" s="1520"/>
      <c r="U510" s="1519" t="s">
        <v>635</v>
      </c>
      <c r="V510" s="1507"/>
      <c r="W510" s="1522" t="s">
        <v>635</v>
      </c>
      <c r="X510" s="1535"/>
      <c r="Y510" s="1524">
        <v>3.3239760179699998E-3</v>
      </c>
      <c r="Z510" s="1524">
        <v>0.27549438368625001</v>
      </c>
      <c r="AA510" s="1524">
        <v>0.66118652084699003</v>
      </c>
      <c r="AB510" s="1524">
        <v>1E-3</v>
      </c>
      <c r="AC510" s="1525" t="s">
        <v>1203</v>
      </c>
      <c r="AD510" s="1526" t="s">
        <v>635</v>
      </c>
      <c r="AE510" s="1527"/>
      <c r="AF510" s="1528">
        <v>2.5999999999999998E-4</v>
      </c>
      <c r="AG510" s="1529" t="s">
        <v>1900</v>
      </c>
      <c r="AH510" s="1528">
        <v>1.0999999999999999E-2</v>
      </c>
      <c r="AI510" s="1529" t="s">
        <v>1900</v>
      </c>
      <c r="AJ510" s="1528">
        <v>2.0000000000000002E-5</v>
      </c>
      <c r="AK510" s="1529" t="s">
        <v>1900</v>
      </c>
      <c r="AL510" s="1527"/>
      <c r="AM510" s="1527"/>
      <c r="AN510" s="1541">
        <v>0.04</v>
      </c>
      <c r="AO510" s="1530" t="s">
        <v>635</v>
      </c>
      <c r="AP510" s="1532" t="s">
        <v>635</v>
      </c>
    </row>
    <row r="511" spans="1:42" ht="30">
      <c r="A511" s="1481" t="s">
        <v>2827</v>
      </c>
      <c r="B511" s="1482" t="s">
        <v>2828</v>
      </c>
      <c r="C511" s="1483" t="s">
        <v>635</v>
      </c>
      <c r="D511" s="1543"/>
      <c r="E511" s="1485" t="s">
        <v>635</v>
      </c>
      <c r="F511" s="1485" t="s">
        <v>635</v>
      </c>
      <c r="G511" s="1536"/>
      <c r="H511" s="1485" t="s">
        <v>635</v>
      </c>
      <c r="I511" s="1536"/>
      <c r="J511" s="1487" t="s">
        <v>635</v>
      </c>
      <c r="K511" s="1542"/>
      <c r="L511" s="1489" t="s">
        <v>635</v>
      </c>
      <c r="M511" s="1533"/>
      <c r="N511" s="1491" t="s">
        <v>635</v>
      </c>
      <c r="O511" s="1491" t="s">
        <v>635</v>
      </c>
      <c r="P511" s="1544"/>
      <c r="Q511" s="1493">
        <v>150</v>
      </c>
      <c r="R511" s="1493" t="s">
        <v>1930</v>
      </c>
      <c r="S511" s="1493" t="s">
        <v>635</v>
      </c>
      <c r="T511" s="1494"/>
      <c r="U511" s="1493" t="s">
        <v>635</v>
      </c>
      <c r="V511" s="1481"/>
      <c r="W511" s="1496" t="s">
        <v>635</v>
      </c>
      <c r="X511" s="1537"/>
      <c r="Y511" s="1498" t="s">
        <v>635</v>
      </c>
      <c r="Z511" s="1498" t="s">
        <v>635</v>
      </c>
      <c r="AA511" s="1498" t="s">
        <v>635</v>
      </c>
      <c r="AB511" s="1498">
        <v>2.0000000000000001E-4</v>
      </c>
      <c r="AC511" s="1499" t="s">
        <v>1203</v>
      </c>
      <c r="AD511" s="1500" t="s">
        <v>635</v>
      </c>
      <c r="AE511" s="1501"/>
      <c r="AF511" s="1502">
        <v>2.4000000000000001E-4</v>
      </c>
      <c r="AG511" s="1503" t="s">
        <v>1119</v>
      </c>
      <c r="AH511" s="1502">
        <v>1.0999999999999999E-2</v>
      </c>
      <c r="AI511" s="1503" t="s">
        <v>1900</v>
      </c>
      <c r="AJ511" s="1502">
        <v>1.4E-5</v>
      </c>
      <c r="AK511" s="1503" t="s">
        <v>1900</v>
      </c>
      <c r="AL511" s="1501"/>
      <c r="AM511" s="1501"/>
      <c r="AN511" s="1539">
        <v>0.04</v>
      </c>
      <c r="AO511" s="1504" t="s">
        <v>635</v>
      </c>
      <c r="AP511" s="1506" t="s">
        <v>635</v>
      </c>
    </row>
    <row r="512" spans="1:42" ht="30">
      <c r="A512" s="1481" t="s">
        <v>232</v>
      </c>
      <c r="B512" s="1482" t="s">
        <v>2829</v>
      </c>
      <c r="C512" s="1483">
        <v>58.71</v>
      </c>
      <c r="D512" s="1484" t="s">
        <v>1883</v>
      </c>
      <c r="E512" s="1485" t="s">
        <v>635</v>
      </c>
      <c r="F512" s="1485" t="s">
        <v>635</v>
      </c>
      <c r="G512" s="1536"/>
      <c r="H512" s="1485">
        <v>0</v>
      </c>
      <c r="I512" s="1486" t="s">
        <v>1929</v>
      </c>
      <c r="J512" s="1487">
        <v>1455</v>
      </c>
      <c r="K512" s="1488" t="s">
        <v>1884</v>
      </c>
      <c r="L512" s="1489">
        <v>8.9</v>
      </c>
      <c r="M512" s="1490" t="s">
        <v>1884</v>
      </c>
      <c r="N512" s="1491">
        <v>0.24954089593928999</v>
      </c>
      <c r="O512" s="1491">
        <v>4.8941641030000001E-5</v>
      </c>
      <c r="P512" s="1492" t="s">
        <v>1885</v>
      </c>
      <c r="Q512" s="1493">
        <v>65</v>
      </c>
      <c r="R512" s="1493" t="s">
        <v>1959</v>
      </c>
      <c r="S512" s="1493" t="s">
        <v>635</v>
      </c>
      <c r="T512" s="1494"/>
      <c r="U512" s="1493" t="s">
        <v>635</v>
      </c>
      <c r="V512" s="1481"/>
      <c r="W512" s="1496" t="s">
        <v>635</v>
      </c>
      <c r="X512" s="1537"/>
      <c r="Y512" s="1498">
        <v>5.8940346936999996E-4</v>
      </c>
      <c r="Z512" s="1498">
        <v>0.22419439440901001</v>
      </c>
      <c r="AA512" s="1498">
        <v>0.53806654658162001</v>
      </c>
      <c r="AB512" s="1498">
        <v>2.0000000000000001E-4</v>
      </c>
      <c r="AC512" s="1499" t="s">
        <v>1203</v>
      </c>
      <c r="AD512" s="1500" t="s">
        <v>635</v>
      </c>
      <c r="AE512" s="1501"/>
      <c r="AF512" s="1502">
        <v>2.5999999999999998E-4</v>
      </c>
      <c r="AG512" s="1503" t="s">
        <v>1900</v>
      </c>
      <c r="AH512" s="1502">
        <v>0.02</v>
      </c>
      <c r="AI512" s="1503" t="s">
        <v>1119</v>
      </c>
      <c r="AJ512" s="1502">
        <v>1.0000000000000001E-5</v>
      </c>
      <c r="AK512" s="1503" t="s">
        <v>1912</v>
      </c>
      <c r="AL512" s="1501"/>
      <c r="AM512" s="1501"/>
      <c r="AN512" s="1539">
        <v>0.04</v>
      </c>
      <c r="AO512" s="1504" t="s">
        <v>635</v>
      </c>
      <c r="AP512" s="1506" t="s">
        <v>635</v>
      </c>
    </row>
    <row r="513" spans="1:42" ht="30">
      <c r="A513" s="1507" t="s">
        <v>2830</v>
      </c>
      <c r="B513" s="1508" t="s">
        <v>2831</v>
      </c>
      <c r="C513" s="1509">
        <v>240.21</v>
      </c>
      <c r="D513" s="1510" t="s">
        <v>1884</v>
      </c>
      <c r="E513" s="1511" t="s">
        <v>635</v>
      </c>
      <c r="F513" s="1511" t="s">
        <v>635</v>
      </c>
      <c r="G513" s="1534"/>
      <c r="H513" s="1511" t="s">
        <v>635</v>
      </c>
      <c r="I513" s="1534"/>
      <c r="J513" s="1513">
        <v>789</v>
      </c>
      <c r="K513" s="1514" t="s">
        <v>1884</v>
      </c>
      <c r="L513" s="1515">
        <v>5.87</v>
      </c>
      <c r="M513" s="1516" t="s">
        <v>1884</v>
      </c>
      <c r="N513" s="1517">
        <v>4.8986390048509999E-2</v>
      </c>
      <c r="O513" s="1517">
        <v>1.637193389E-5</v>
      </c>
      <c r="P513" s="1518" t="s">
        <v>1885</v>
      </c>
      <c r="Q513" s="1519" t="s">
        <v>635</v>
      </c>
      <c r="R513" s="1520"/>
      <c r="S513" s="1519" t="s">
        <v>635</v>
      </c>
      <c r="T513" s="1520"/>
      <c r="U513" s="1519" t="s">
        <v>635</v>
      </c>
      <c r="V513" s="1507"/>
      <c r="W513" s="1522" t="s">
        <v>635</v>
      </c>
      <c r="X513" s="1535"/>
      <c r="Y513" s="1524">
        <v>1.19220843259E-3</v>
      </c>
      <c r="Z513" s="1524">
        <v>2.3282239349374798</v>
      </c>
      <c r="AA513" s="1524">
        <v>5.5877374438499503</v>
      </c>
      <c r="AB513" s="1524">
        <v>2.0000000000000001E-4</v>
      </c>
      <c r="AC513" s="1525" t="s">
        <v>1203</v>
      </c>
      <c r="AD513" s="1526">
        <v>1.7</v>
      </c>
      <c r="AE513" s="1529" t="s">
        <v>1900</v>
      </c>
      <c r="AF513" s="1528">
        <v>4.8000000000000001E-4</v>
      </c>
      <c r="AG513" s="1529" t="s">
        <v>1119</v>
      </c>
      <c r="AH513" s="1528">
        <v>1.0999999999999999E-2</v>
      </c>
      <c r="AI513" s="1529" t="s">
        <v>1900</v>
      </c>
      <c r="AJ513" s="1528">
        <v>1.4E-5</v>
      </c>
      <c r="AK513" s="1529" t="s">
        <v>1900</v>
      </c>
      <c r="AL513" s="1527"/>
      <c r="AM513" s="1527"/>
      <c r="AN513" s="1541">
        <v>0.04</v>
      </c>
      <c r="AO513" s="1530" t="s">
        <v>635</v>
      </c>
      <c r="AP513" s="1532" t="s">
        <v>635</v>
      </c>
    </row>
    <row r="514" spans="1:42" ht="30">
      <c r="A514" s="1481" t="s">
        <v>2832</v>
      </c>
      <c r="B514" s="1482" t="s">
        <v>2833</v>
      </c>
      <c r="C514" s="1483">
        <v>188.87899999999999</v>
      </c>
      <c r="D514" s="1484" t="s">
        <v>1884</v>
      </c>
      <c r="E514" s="1485" t="s">
        <v>635</v>
      </c>
      <c r="F514" s="1485" t="s">
        <v>635</v>
      </c>
      <c r="G514" s="1536"/>
      <c r="H514" s="1485" t="s">
        <v>635</v>
      </c>
      <c r="I514" s="1536"/>
      <c r="J514" s="1487">
        <v>173</v>
      </c>
      <c r="K514" s="1488" t="s">
        <v>1884</v>
      </c>
      <c r="L514" s="1489" t="s">
        <v>635</v>
      </c>
      <c r="M514" s="1533"/>
      <c r="N514" s="1491">
        <v>5.7716211709710002E-2</v>
      </c>
      <c r="O514" s="1491">
        <v>6.7436836839799999E-6</v>
      </c>
      <c r="P514" s="1492" t="s">
        <v>1885</v>
      </c>
      <c r="Q514" s="1493" t="s">
        <v>635</v>
      </c>
      <c r="R514" s="1494"/>
      <c r="S514" s="1493" t="s">
        <v>635</v>
      </c>
      <c r="T514" s="1494"/>
      <c r="U514" s="1493" t="s">
        <v>635</v>
      </c>
      <c r="V514" s="1481"/>
      <c r="W514" s="1496" t="s">
        <v>635</v>
      </c>
      <c r="X514" s="1537"/>
      <c r="Y514" s="1498" t="s">
        <v>635</v>
      </c>
      <c r="Z514" s="1498">
        <v>1.20107782713082</v>
      </c>
      <c r="AA514" s="1498">
        <v>2.8825867851139599</v>
      </c>
      <c r="AB514" s="1498" t="s">
        <v>635</v>
      </c>
      <c r="AC514" s="1547"/>
      <c r="AD514" s="1500">
        <v>0.91</v>
      </c>
      <c r="AE514" s="1503" t="s">
        <v>1900</v>
      </c>
      <c r="AF514" s="1502">
        <v>2.5999999999999998E-4</v>
      </c>
      <c r="AG514" s="1503" t="s">
        <v>1900</v>
      </c>
      <c r="AH514" s="1502">
        <v>1.0999999999999999E-2</v>
      </c>
      <c r="AI514" s="1503" t="s">
        <v>1900</v>
      </c>
      <c r="AJ514" s="1502">
        <v>1.4E-5</v>
      </c>
      <c r="AK514" s="1503" t="s">
        <v>1900</v>
      </c>
      <c r="AL514" s="1501"/>
      <c r="AM514" s="1501"/>
      <c r="AN514" s="1504">
        <v>1</v>
      </c>
      <c r="AO514" s="1505">
        <v>0.1</v>
      </c>
      <c r="AP514" s="1506" t="s">
        <v>635</v>
      </c>
    </row>
    <row r="515" spans="1:42" ht="30">
      <c r="A515" s="1481" t="s">
        <v>2834</v>
      </c>
      <c r="B515" s="1482" t="s">
        <v>2835</v>
      </c>
      <c r="C515" s="1483">
        <v>62</v>
      </c>
      <c r="D515" s="1484" t="s">
        <v>1199</v>
      </c>
      <c r="E515" s="1485" t="s">
        <v>635</v>
      </c>
      <c r="F515" s="1485" t="s">
        <v>635</v>
      </c>
      <c r="G515" s="1536"/>
      <c r="H515" s="1485" t="s">
        <v>635</v>
      </c>
      <c r="I515" s="1536"/>
      <c r="J515" s="1487" t="s">
        <v>635</v>
      </c>
      <c r="K515" s="1542"/>
      <c r="L515" s="1489" t="s">
        <v>635</v>
      </c>
      <c r="M515" s="1533"/>
      <c r="N515" s="1491">
        <v>0.12129022674827</v>
      </c>
      <c r="O515" s="1491">
        <v>1.417180544E-5</v>
      </c>
      <c r="P515" s="1492" t="s">
        <v>1885</v>
      </c>
      <c r="Q515" s="1493" t="s">
        <v>635</v>
      </c>
      <c r="R515" s="1494"/>
      <c r="S515" s="1493" t="s">
        <v>635</v>
      </c>
      <c r="T515" s="1494"/>
      <c r="U515" s="1493" t="s">
        <v>635</v>
      </c>
      <c r="V515" s="1481"/>
      <c r="W515" s="1496" t="s">
        <v>635</v>
      </c>
      <c r="X515" s="1537"/>
      <c r="Y515" s="1498">
        <v>3.0284645669300001E-3</v>
      </c>
      <c r="Z515" s="1498">
        <v>0.23390997882020001</v>
      </c>
      <c r="AA515" s="1498">
        <v>0.56138394916847001</v>
      </c>
      <c r="AB515" s="1498">
        <v>1E-3</v>
      </c>
      <c r="AC515" s="1499" t="s">
        <v>1203</v>
      </c>
      <c r="AD515" s="1500" t="s">
        <v>635</v>
      </c>
      <c r="AE515" s="1501"/>
      <c r="AF515" s="1502" t="s">
        <v>635</v>
      </c>
      <c r="AG515" s="1501"/>
      <c r="AH515" s="1502">
        <v>1.6</v>
      </c>
      <c r="AI515" s="1503" t="s">
        <v>1119</v>
      </c>
      <c r="AJ515" s="1502" t="s">
        <v>635</v>
      </c>
      <c r="AK515" s="1501"/>
      <c r="AL515" s="1501"/>
      <c r="AM515" s="1501"/>
      <c r="AN515" s="1504">
        <v>1</v>
      </c>
      <c r="AO515" s="1504" t="s">
        <v>635</v>
      </c>
      <c r="AP515" s="1506" t="s">
        <v>635</v>
      </c>
    </row>
    <row r="516" spans="1:42" ht="30">
      <c r="A516" s="1507" t="s">
        <v>2836</v>
      </c>
      <c r="B516" s="1508" t="s">
        <v>2837</v>
      </c>
      <c r="C516" s="1509" t="s">
        <v>635</v>
      </c>
      <c r="D516" s="1548"/>
      <c r="E516" s="1511" t="s">
        <v>635</v>
      </c>
      <c r="F516" s="1511" t="s">
        <v>635</v>
      </c>
      <c r="G516" s="1534"/>
      <c r="H516" s="1511" t="s">
        <v>635</v>
      </c>
      <c r="I516" s="1534"/>
      <c r="J516" s="1513" t="s">
        <v>635</v>
      </c>
      <c r="K516" s="1540"/>
      <c r="L516" s="1515" t="s">
        <v>635</v>
      </c>
      <c r="M516" s="1538"/>
      <c r="N516" s="1517" t="s">
        <v>635</v>
      </c>
      <c r="O516" s="1517" t="s">
        <v>635</v>
      </c>
      <c r="P516" s="1549"/>
      <c r="Q516" s="1519" t="s">
        <v>635</v>
      </c>
      <c r="R516" s="1520"/>
      <c r="S516" s="1519" t="s">
        <v>635</v>
      </c>
      <c r="T516" s="1520"/>
      <c r="U516" s="1519" t="s">
        <v>635</v>
      </c>
      <c r="V516" s="1507"/>
      <c r="W516" s="1522" t="s">
        <v>635</v>
      </c>
      <c r="X516" s="1535"/>
      <c r="Y516" s="1524" t="s">
        <v>635</v>
      </c>
      <c r="Z516" s="1524" t="s">
        <v>635</v>
      </c>
      <c r="AA516" s="1524" t="s">
        <v>635</v>
      </c>
      <c r="AB516" s="1524">
        <v>1E-3</v>
      </c>
      <c r="AC516" s="1525" t="s">
        <v>1203</v>
      </c>
      <c r="AD516" s="1526" t="s">
        <v>635</v>
      </c>
      <c r="AE516" s="1527"/>
      <c r="AF516" s="1528" t="s">
        <v>635</v>
      </c>
      <c r="AG516" s="1527"/>
      <c r="AH516" s="1528" t="s">
        <v>635</v>
      </c>
      <c r="AI516" s="1527"/>
      <c r="AJ516" s="1528" t="s">
        <v>635</v>
      </c>
      <c r="AK516" s="1527"/>
      <c r="AL516" s="1527"/>
      <c r="AM516" s="1527"/>
      <c r="AN516" s="1530">
        <v>1</v>
      </c>
      <c r="AO516" s="1530" t="s">
        <v>635</v>
      </c>
      <c r="AP516" s="1532" t="s">
        <v>635</v>
      </c>
    </row>
    <row r="517" spans="1:42" ht="30">
      <c r="A517" s="1481" t="s">
        <v>2838</v>
      </c>
      <c r="B517" s="1482" t="s">
        <v>2839</v>
      </c>
      <c r="C517" s="1483">
        <v>47.01</v>
      </c>
      <c r="D517" s="1484" t="s">
        <v>1199</v>
      </c>
      <c r="E517" s="1485" t="s">
        <v>635</v>
      </c>
      <c r="F517" s="1485" t="s">
        <v>635</v>
      </c>
      <c r="G517" s="1536"/>
      <c r="H517" s="1485" t="s">
        <v>635</v>
      </c>
      <c r="I517" s="1536"/>
      <c r="J517" s="1487" t="s">
        <v>635</v>
      </c>
      <c r="K517" s="1542"/>
      <c r="L517" s="1489" t="s">
        <v>635</v>
      </c>
      <c r="M517" s="1533"/>
      <c r="N517" s="1491">
        <v>0.14586802411170999</v>
      </c>
      <c r="O517" s="1491">
        <v>1.704352703E-5</v>
      </c>
      <c r="P517" s="1492" t="s">
        <v>1885</v>
      </c>
      <c r="Q517" s="1493" t="s">
        <v>635</v>
      </c>
      <c r="R517" s="1494"/>
      <c r="S517" s="1493" t="s">
        <v>635</v>
      </c>
      <c r="T517" s="1494"/>
      <c r="U517" s="1493" t="s">
        <v>635</v>
      </c>
      <c r="V517" s="1481"/>
      <c r="W517" s="1496" t="s">
        <v>635</v>
      </c>
      <c r="X517" s="1537"/>
      <c r="Y517" s="1498">
        <v>2.6370707255999998E-3</v>
      </c>
      <c r="Z517" s="1498">
        <v>0.19279898784509</v>
      </c>
      <c r="AA517" s="1498">
        <v>0.46271757082821002</v>
      </c>
      <c r="AB517" s="1498">
        <v>1E-3</v>
      </c>
      <c r="AC517" s="1499" t="s">
        <v>1203</v>
      </c>
      <c r="AD517" s="1500" t="s">
        <v>635</v>
      </c>
      <c r="AE517" s="1501"/>
      <c r="AF517" s="1502" t="s">
        <v>635</v>
      </c>
      <c r="AG517" s="1501"/>
      <c r="AH517" s="1502">
        <v>0.1</v>
      </c>
      <c r="AI517" s="1503" t="s">
        <v>1119</v>
      </c>
      <c r="AJ517" s="1502" t="s">
        <v>635</v>
      </c>
      <c r="AK517" s="1501"/>
      <c r="AL517" s="1501"/>
      <c r="AM517" s="1501"/>
      <c r="AN517" s="1504">
        <v>1</v>
      </c>
      <c r="AO517" s="1504" t="s">
        <v>635</v>
      </c>
      <c r="AP517" s="1506" t="s">
        <v>635</v>
      </c>
    </row>
    <row r="518" spans="1:42" ht="30">
      <c r="A518" s="1481" t="s">
        <v>2840</v>
      </c>
      <c r="B518" s="1482" t="s">
        <v>2841</v>
      </c>
      <c r="C518" s="1483">
        <v>138.13</v>
      </c>
      <c r="D518" s="1484" t="s">
        <v>1883</v>
      </c>
      <c r="E518" s="1485">
        <v>2.4121013900200001E-6</v>
      </c>
      <c r="F518" s="1485">
        <v>5.8999999999999999E-8</v>
      </c>
      <c r="G518" s="1486" t="s">
        <v>1883</v>
      </c>
      <c r="H518" s="1485">
        <v>2.7699999999999999E-3</v>
      </c>
      <c r="I518" s="1486" t="s">
        <v>1883</v>
      </c>
      <c r="J518" s="1487">
        <v>71</v>
      </c>
      <c r="K518" s="1488" t="s">
        <v>1883</v>
      </c>
      <c r="L518" s="1489">
        <v>0.90149999999999997</v>
      </c>
      <c r="M518" s="1490" t="s">
        <v>1884</v>
      </c>
      <c r="N518" s="1491">
        <v>5.1919344592810002E-2</v>
      </c>
      <c r="O518" s="1491">
        <v>7.4144408199100002E-6</v>
      </c>
      <c r="P518" s="1492" t="s">
        <v>1885</v>
      </c>
      <c r="Q518" s="1493" t="s">
        <v>635</v>
      </c>
      <c r="R518" s="1494"/>
      <c r="S518" s="1493">
        <v>111.3</v>
      </c>
      <c r="T518" s="1493" t="s">
        <v>1199</v>
      </c>
      <c r="U518" s="1493">
        <v>1.85</v>
      </c>
      <c r="V518" s="1495" t="s">
        <v>1883</v>
      </c>
      <c r="W518" s="1496">
        <v>1470</v>
      </c>
      <c r="X518" s="1497" t="s">
        <v>1883</v>
      </c>
      <c r="Y518" s="1498">
        <v>2.016069579726E-2</v>
      </c>
      <c r="Z518" s="1498">
        <v>0.62427615900078004</v>
      </c>
      <c r="AA518" s="1498">
        <v>1.4982627816018601</v>
      </c>
      <c r="AB518" s="1498">
        <v>4.4600000000000004E-3</v>
      </c>
      <c r="AC518" s="1499" t="s">
        <v>1199</v>
      </c>
      <c r="AD518" s="1500" t="s">
        <v>635</v>
      </c>
      <c r="AE518" s="1501"/>
      <c r="AF518" s="1502" t="s">
        <v>635</v>
      </c>
      <c r="AG518" s="1501"/>
      <c r="AH518" s="1502">
        <v>0.01</v>
      </c>
      <c r="AI518" s="1503" t="s">
        <v>1893</v>
      </c>
      <c r="AJ518" s="1502">
        <v>5.0000000000000002E-5</v>
      </c>
      <c r="AK518" s="1503" t="s">
        <v>1893</v>
      </c>
      <c r="AL518" s="1501"/>
      <c r="AM518" s="1501"/>
      <c r="AN518" s="1504">
        <v>1</v>
      </c>
      <c r="AO518" s="1505">
        <v>0.1</v>
      </c>
      <c r="AP518" s="1506" t="s">
        <v>635</v>
      </c>
    </row>
    <row r="519" spans="1:42" ht="30">
      <c r="A519" s="1507" t="s">
        <v>2842</v>
      </c>
      <c r="B519" s="1508" t="s">
        <v>2843</v>
      </c>
      <c r="C519" s="1509">
        <v>138.13</v>
      </c>
      <c r="D519" s="1510" t="s">
        <v>1883</v>
      </c>
      <c r="E519" s="1511">
        <v>5.1512673753100002E-8</v>
      </c>
      <c r="F519" s="1511">
        <v>1.26E-9</v>
      </c>
      <c r="G519" s="1512" t="s">
        <v>1883</v>
      </c>
      <c r="H519" s="1511">
        <v>3.1999999999999999E-6</v>
      </c>
      <c r="I519" s="1512" t="s">
        <v>1199</v>
      </c>
      <c r="J519" s="1513">
        <v>146</v>
      </c>
      <c r="K519" s="1514" t="s">
        <v>1883</v>
      </c>
      <c r="L519" s="1515">
        <v>1.4239999999999999</v>
      </c>
      <c r="M519" s="1516" t="s">
        <v>1884</v>
      </c>
      <c r="N519" s="1517">
        <v>6.3660111817450002E-2</v>
      </c>
      <c r="O519" s="1517">
        <v>9.7544987644300002E-6</v>
      </c>
      <c r="P519" s="1518" t="s">
        <v>1885</v>
      </c>
      <c r="Q519" s="1519" t="s">
        <v>635</v>
      </c>
      <c r="R519" s="1520"/>
      <c r="S519" s="1519">
        <v>109.1</v>
      </c>
      <c r="T519" s="1519" t="s">
        <v>1199</v>
      </c>
      <c r="U519" s="1519">
        <v>1.39</v>
      </c>
      <c r="V519" s="1521" t="s">
        <v>1883</v>
      </c>
      <c r="W519" s="1522">
        <v>728</v>
      </c>
      <c r="X519" s="1523" t="s">
        <v>1883</v>
      </c>
      <c r="Y519" s="1524">
        <v>9.9899411910200006E-3</v>
      </c>
      <c r="Z519" s="1524">
        <v>0.62427615900078004</v>
      </c>
      <c r="AA519" s="1524">
        <v>1.4982627816018601</v>
      </c>
      <c r="AB519" s="1524">
        <v>2.2100000000000002E-3</v>
      </c>
      <c r="AC519" s="1525" t="s">
        <v>1199</v>
      </c>
      <c r="AD519" s="1526">
        <v>0.02</v>
      </c>
      <c r="AE519" s="1529" t="s">
        <v>1909</v>
      </c>
      <c r="AF519" s="1528" t="s">
        <v>635</v>
      </c>
      <c r="AG519" s="1527"/>
      <c r="AH519" s="1528">
        <v>4.0000000000000001E-3</v>
      </c>
      <c r="AI519" s="1529" t="s">
        <v>1909</v>
      </c>
      <c r="AJ519" s="1528">
        <v>6.0000000000000001E-3</v>
      </c>
      <c r="AK519" s="1529" t="s">
        <v>1909</v>
      </c>
      <c r="AL519" s="1527"/>
      <c r="AM519" s="1527"/>
      <c r="AN519" s="1530">
        <v>1</v>
      </c>
      <c r="AO519" s="1531">
        <v>0.1</v>
      </c>
      <c r="AP519" s="1532" t="s">
        <v>635</v>
      </c>
    </row>
    <row r="520" spans="1:42" ht="30">
      <c r="A520" s="1481" t="s">
        <v>2844</v>
      </c>
      <c r="B520" s="1482" t="s">
        <v>2845</v>
      </c>
      <c r="C520" s="1483">
        <v>123.11</v>
      </c>
      <c r="D520" s="1484" t="s">
        <v>1883</v>
      </c>
      <c r="E520" s="1485">
        <v>9.8119378577000006E-4</v>
      </c>
      <c r="F520" s="1485">
        <v>2.4000000000000001E-5</v>
      </c>
      <c r="G520" s="1486" t="s">
        <v>1883</v>
      </c>
      <c r="H520" s="1485">
        <v>0.245</v>
      </c>
      <c r="I520" s="1486" t="s">
        <v>1883</v>
      </c>
      <c r="J520" s="1487">
        <v>5.7</v>
      </c>
      <c r="K520" s="1488" t="s">
        <v>1883</v>
      </c>
      <c r="L520" s="1489">
        <v>1.2037</v>
      </c>
      <c r="M520" s="1490" t="s">
        <v>1884</v>
      </c>
      <c r="N520" s="1491">
        <v>6.8054005688140004E-2</v>
      </c>
      <c r="O520" s="1491">
        <v>9.4494543019000005E-6</v>
      </c>
      <c r="P520" s="1492" t="s">
        <v>1885</v>
      </c>
      <c r="Q520" s="1493" t="s">
        <v>635</v>
      </c>
      <c r="R520" s="1494"/>
      <c r="S520" s="1493">
        <v>226.4</v>
      </c>
      <c r="T520" s="1493" t="s">
        <v>1199</v>
      </c>
      <c r="U520" s="1493">
        <v>1.85</v>
      </c>
      <c r="V520" s="1495" t="s">
        <v>1883</v>
      </c>
      <c r="W520" s="1496">
        <v>2090</v>
      </c>
      <c r="X520" s="1497" t="s">
        <v>1883</v>
      </c>
      <c r="Y520" s="1498">
        <v>2.308716372459E-2</v>
      </c>
      <c r="Z520" s="1498">
        <v>0.51435711250659999</v>
      </c>
      <c r="AA520" s="1498">
        <v>1.2344570700158399</v>
      </c>
      <c r="AB520" s="1498">
        <v>5.4099999999999999E-3</v>
      </c>
      <c r="AC520" s="1499" t="s">
        <v>1199</v>
      </c>
      <c r="AD520" s="1500" t="s">
        <v>635</v>
      </c>
      <c r="AE520" s="1501"/>
      <c r="AF520" s="1502">
        <v>4.0000000000000003E-5</v>
      </c>
      <c r="AG520" s="1503" t="s">
        <v>1119</v>
      </c>
      <c r="AH520" s="1502">
        <v>2E-3</v>
      </c>
      <c r="AI520" s="1503" t="s">
        <v>1119</v>
      </c>
      <c r="AJ520" s="1502">
        <v>8.9999999999999993E-3</v>
      </c>
      <c r="AK520" s="1503" t="s">
        <v>1119</v>
      </c>
      <c r="AL520" s="1503" t="s">
        <v>1127</v>
      </c>
      <c r="AM520" s="1501"/>
      <c r="AN520" s="1504">
        <v>1</v>
      </c>
      <c r="AO520" s="1504" t="s">
        <v>635</v>
      </c>
      <c r="AP520" s="1506">
        <v>3050</v>
      </c>
    </row>
    <row r="521" spans="1:42" ht="30">
      <c r="A521" s="1481" t="s">
        <v>2846</v>
      </c>
      <c r="B521" s="1482" t="s">
        <v>2847</v>
      </c>
      <c r="C521" s="1483">
        <v>387.3</v>
      </c>
      <c r="D521" s="1484" t="s">
        <v>1883</v>
      </c>
      <c r="E521" s="1485">
        <v>1.3450531479999999E-21</v>
      </c>
      <c r="F521" s="1485">
        <v>3.2900000000000002E-23</v>
      </c>
      <c r="G521" s="1486" t="s">
        <v>1883</v>
      </c>
      <c r="H521" s="1485">
        <v>1.41E-17</v>
      </c>
      <c r="I521" s="1486" t="s">
        <v>1883</v>
      </c>
      <c r="J521" s="1487">
        <v>261.99</v>
      </c>
      <c r="K521" s="1488" t="s">
        <v>1199</v>
      </c>
      <c r="L521" s="1489" t="s">
        <v>635</v>
      </c>
      <c r="M521" s="1533"/>
      <c r="N521" s="1491">
        <v>3.575926658788E-2</v>
      </c>
      <c r="O521" s="1491">
        <v>4.1781879907899996E-6</v>
      </c>
      <c r="P521" s="1492" t="s">
        <v>1885</v>
      </c>
      <c r="Q521" s="1493" t="s">
        <v>635</v>
      </c>
      <c r="R521" s="1494"/>
      <c r="S521" s="1493">
        <v>10</v>
      </c>
      <c r="T521" s="1493" t="s">
        <v>1199</v>
      </c>
      <c r="U521" s="1493">
        <v>-4.5599999999999996</v>
      </c>
      <c r="V521" s="1495" t="s">
        <v>1883</v>
      </c>
      <c r="W521" s="1496">
        <v>1000000</v>
      </c>
      <c r="X521" s="1497" t="s">
        <v>1883</v>
      </c>
      <c r="Y521" s="1498">
        <v>7.4632384146000005E-8</v>
      </c>
      <c r="Z521" s="1498">
        <v>15.5141772732446</v>
      </c>
      <c r="AA521" s="1498">
        <v>37.234025455787098</v>
      </c>
      <c r="AB521" s="1498">
        <v>9.8600000000000003E-9</v>
      </c>
      <c r="AC521" s="1499" t="s">
        <v>1199</v>
      </c>
      <c r="AD521" s="1500" t="s">
        <v>635</v>
      </c>
      <c r="AE521" s="1501"/>
      <c r="AF521" s="1502" t="s">
        <v>635</v>
      </c>
      <c r="AG521" s="1501"/>
      <c r="AH521" s="1502">
        <v>3000</v>
      </c>
      <c r="AI521" s="1503" t="s">
        <v>1909</v>
      </c>
      <c r="AJ521" s="1502" t="s">
        <v>635</v>
      </c>
      <c r="AK521" s="1501"/>
      <c r="AL521" s="1501"/>
      <c r="AM521" s="1501"/>
      <c r="AN521" s="1504">
        <v>1</v>
      </c>
      <c r="AO521" s="1505">
        <v>0.1</v>
      </c>
      <c r="AP521" s="1506" t="s">
        <v>635</v>
      </c>
    </row>
    <row r="522" spans="1:42" ht="30">
      <c r="A522" s="1507" t="s">
        <v>2848</v>
      </c>
      <c r="B522" s="1508" t="s">
        <v>2849</v>
      </c>
      <c r="C522" s="1509">
        <v>238.16</v>
      </c>
      <c r="D522" s="1510" t="s">
        <v>1883</v>
      </c>
      <c r="E522" s="1511">
        <v>5.4374488962000003E-11</v>
      </c>
      <c r="F522" s="1511">
        <v>1.33E-12</v>
      </c>
      <c r="G522" s="1512" t="s">
        <v>1883</v>
      </c>
      <c r="H522" s="1511">
        <v>2.7800000000000002E-10</v>
      </c>
      <c r="I522" s="1512" t="s">
        <v>1883</v>
      </c>
      <c r="J522" s="1513">
        <v>263</v>
      </c>
      <c r="K522" s="1514" t="s">
        <v>1883</v>
      </c>
      <c r="L522" s="1515" t="s">
        <v>635</v>
      </c>
      <c r="M522" s="1538"/>
      <c r="N522" s="1517">
        <v>4.9450921226519999E-2</v>
      </c>
      <c r="O522" s="1517">
        <v>5.7779497433100004E-6</v>
      </c>
      <c r="P522" s="1518" t="s">
        <v>1885</v>
      </c>
      <c r="Q522" s="1519" t="s">
        <v>635</v>
      </c>
      <c r="R522" s="1520"/>
      <c r="S522" s="1519">
        <v>116.8</v>
      </c>
      <c r="T522" s="1519" t="s">
        <v>1199</v>
      </c>
      <c r="U522" s="1519">
        <v>-0.47</v>
      </c>
      <c r="V522" s="1521" t="s">
        <v>1883</v>
      </c>
      <c r="W522" s="1522">
        <v>79.5</v>
      </c>
      <c r="X522" s="1523" t="s">
        <v>1883</v>
      </c>
      <c r="Y522" s="1524">
        <v>2.0893140574999999E-4</v>
      </c>
      <c r="Z522" s="1524">
        <v>2.2674867064841</v>
      </c>
      <c r="AA522" s="1524">
        <v>5.4419680955618404</v>
      </c>
      <c r="AB522" s="1524">
        <v>3.5200000000000002E-5</v>
      </c>
      <c r="AC522" s="1525" t="s">
        <v>1199</v>
      </c>
      <c r="AD522" s="1526" t="s">
        <v>635</v>
      </c>
      <c r="AE522" s="1527"/>
      <c r="AF522" s="1528" t="s">
        <v>635</v>
      </c>
      <c r="AG522" s="1527"/>
      <c r="AH522" s="1528">
        <v>7.0000000000000007E-2</v>
      </c>
      <c r="AI522" s="1529" t="s">
        <v>1073</v>
      </c>
      <c r="AJ522" s="1528" t="s">
        <v>635</v>
      </c>
      <c r="AK522" s="1527"/>
      <c r="AL522" s="1527"/>
      <c r="AM522" s="1527"/>
      <c r="AN522" s="1530">
        <v>1</v>
      </c>
      <c r="AO522" s="1531">
        <v>0.1</v>
      </c>
      <c r="AP522" s="1532" t="s">
        <v>635</v>
      </c>
    </row>
    <row r="523" spans="1:42" ht="30">
      <c r="A523" s="1481" t="s">
        <v>2850</v>
      </c>
      <c r="B523" s="1482" t="s">
        <v>2851</v>
      </c>
      <c r="C523" s="1483">
        <v>198.14</v>
      </c>
      <c r="D523" s="1484" t="s">
        <v>1883</v>
      </c>
      <c r="E523" s="1485">
        <v>1.2673753065999999E-11</v>
      </c>
      <c r="F523" s="1485">
        <v>3.0999999999999999E-13</v>
      </c>
      <c r="G523" s="1486" t="s">
        <v>1883</v>
      </c>
      <c r="H523" s="1485">
        <v>4.3100000000000002E-6</v>
      </c>
      <c r="I523" s="1486" t="s">
        <v>1883</v>
      </c>
      <c r="J523" s="1487">
        <v>238</v>
      </c>
      <c r="K523" s="1488" t="s">
        <v>1199</v>
      </c>
      <c r="L523" s="1489" t="s">
        <v>635</v>
      </c>
      <c r="M523" s="1533"/>
      <c r="N523" s="1491">
        <v>5.5903478055090002E-2</v>
      </c>
      <c r="O523" s="1491">
        <v>6.53188006749E-6</v>
      </c>
      <c r="P523" s="1492" t="s">
        <v>1885</v>
      </c>
      <c r="Q523" s="1493" t="s">
        <v>635</v>
      </c>
      <c r="R523" s="1494"/>
      <c r="S523" s="1493">
        <v>349.7</v>
      </c>
      <c r="T523" s="1493" t="s">
        <v>1199</v>
      </c>
      <c r="U523" s="1493">
        <v>0.23</v>
      </c>
      <c r="V523" s="1495" t="s">
        <v>1883</v>
      </c>
      <c r="W523" s="1496">
        <v>210</v>
      </c>
      <c r="X523" s="1497" t="s">
        <v>1883</v>
      </c>
      <c r="Y523" s="1498">
        <v>9.3119616401000005E-4</v>
      </c>
      <c r="Z523" s="1498">
        <v>1.35342049764434</v>
      </c>
      <c r="AA523" s="1498">
        <v>3.2482091943464102</v>
      </c>
      <c r="AB523" s="1498">
        <v>1.7200000000000001E-4</v>
      </c>
      <c r="AC523" s="1499" t="s">
        <v>1199</v>
      </c>
      <c r="AD523" s="1500">
        <v>1.3</v>
      </c>
      <c r="AE523" s="1503" t="s">
        <v>1900</v>
      </c>
      <c r="AF523" s="1502">
        <v>3.6999999999999999E-4</v>
      </c>
      <c r="AG523" s="1503" t="s">
        <v>1900</v>
      </c>
      <c r="AH523" s="1502" t="s">
        <v>635</v>
      </c>
      <c r="AI523" s="1501"/>
      <c r="AJ523" s="1502" t="s">
        <v>635</v>
      </c>
      <c r="AK523" s="1501"/>
      <c r="AL523" s="1501"/>
      <c r="AM523" s="1501"/>
      <c r="AN523" s="1504">
        <v>1</v>
      </c>
      <c r="AO523" s="1505">
        <v>0.1</v>
      </c>
      <c r="AP523" s="1506" t="s">
        <v>635</v>
      </c>
    </row>
    <row r="524" spans="1:42" ht="30">
      <c r="A524" s="1481" t="s">
        <v>2852</v>
      </c>
      <c r="B524" s="1482" t="s">
        <v>2853</v>
      </c>
      <c r="C524" s="1483">
        <v>227.09</v>
      </c>
      <c r="D524" s="1484" t="s">
        <v>1883</v>
      </c>
      <c r="E524" s="1485">
        <v>3.5404742436600001E-6</v>
      </c>
      <c r="F524" s="1485">
        <v>8.6599999999999995E-8</v>
      </c>
      <c r="G524" s="1486" t="s">
        <v>1199</v>
      </c>
      <c r="H524" s="1485">
        <v>4.0000000000000002E-4</v>
      </c>
      <c r="I524" s="1486" t="s">
        <v>1199</v>
      </c>
      <c r="J524" s="1487">
        <v>13.5</v>
      </c>
      <c r="K524" s="1488" t="s">
        <v>1883</v>
      </c>
      <c r="L524" s="1489">
        <v>1.5931</v>
      </c>
      <c r="M524" s="1490" t="s">
        <v>1884</v>
      </c>
      <c r="N524" s="1491">
        <v>2.901499958769E-2</v>
      </c>
      <c r="O524" s="1491">
        <v>7.7428133100700005E-6</v>
      </c>
      <c r="P524" s="1492" t="s">
        <v>1885</v>
      </c>
      <c r="Q524" s="1493" t="s">
        <v>635</v>
      </c>
      <c r="R524" s="1494"/>
      <c r="S524" s="1493">
        <v>115.8</v>
      </c>
      <c r="T524" s="1493" t="s">
        <v>1199</v>
      </c>
      <c r="U524" s="1493">
        <v>1.62</v>
      </c>
      <c r="V524" s="1495" t="s">
        <v>1883</v>
      </c>
      <c r="W524" s="1496">
        <v>1380</v>
      </c>
      <c r="X524" s="1497" t="s">
        <v>1883</v>
      </c>
      <c r="Y524" s="1498">
        <v>5.7611879224799996E-3</v>
      </c>
      <c r="Z524" s="1498">
        <v>1.9658607404698401</v>
      </c>
      <c r="AA524" s="1498">
        <v>4.7180657771276104</v>
      </c>
      <c r="AB524" s="1498">
        <v>9.9400000000000009E-4</v>
      </c>
      <c r="AC524" s="1499" t="s">
        <v>1199</v>
      </c>
      <c r="AD524" s="1500">
        <v>1.7000000000000001E-2</v>
      </c>
      <c r="AE524" s="1503" t="s">
        <v>1909</v>
      </c>
      <c r="AF524" s="1502" t="s">
        <v>635</v>
      </c>
      <c r="AG524" s="1501"/>
      <c r="AH524" s="1502">
        <v>1E-4</v>
      </c>
      <c r="AI524" s="1503" t="s">
        <v>1909</v>
      </c>
      <c r="AJ524" s="1502" t="s">
        <v>635</v>
      </c>
      <c r="AK524" s="1501"/>
      <c r="AL524" s="1501"/>
      <c r="AM524" s="1501"/>
      <c r="AN524" s="1504">
        <v>1</v>
      </c>
      <c r="AO524" s="1505">
        <v>0.1</v>
      </c>
      <c r="AP524" s="1506" t="s">
        <v>635</v>
      </c>
    </row>
    <row r="525" spans="1:42" ht="30">
      <c r="A525" s="1507" t="s">
        <v>2854</v>
      </c>
      <c r="B525" s="1508" t="s">
        <v>2855</v>
      </c>
      <c r="C525" s="1509">
        <v>104.07</v>
      </c>
      <c r="D525" s="1510" t="s">
        <v>1883</v>
      </c>
      <c r="E525" s="1511">
        <v>1.8192968111000001E-14</v>
      </c>
      <c r="F525" s="1511">
        <v>4.4500000000000003E-16</v>
      </c>
      <c r="G525" s="1512" t="s">
        <v>1883</v>
      </c>
      <c r="H525" s="1511">
        <v>1.43E-11</v>
      </c>
      <c r="I525" s="1512" t="s">
        <v>1883</v>
      </c>
      <c r="J525" s="1513">
        <v>239</v>
      </c>
      <c r="K525" s="1514" t="s">
        <v>1199</v>
      </c>
      <c r="L525" s="1515">
        <v>2</v>
      </c>
      <c r="M525" s="1516" t="s">
        <v>1989</v>
      </c>
      <c r="N525" s="1517">
        <v>9.9693736350210005E-2</v>
      </c>
      <c r="O525" s="1517">
        <v>1.417406553E-5</v>
      </c>
      <c r="P525" s="1518" t="s">
        <v>1885</v>
      </c>
      <c r="Q525" s="1519" t="s">
        <v>635</v>
      </c>
      <c r="R525" s="1520"/>
      <c r="S525" s="1519">
        <v>20.65</v>
      </c>
      <c r="T525" s="1519" t="s">
        <v>1199</v>
      </c>
      <c r="U525" s="1519">
        <v>-0.89</v>
      </c>
      <c r="V525" s="1521" t="s">
        <v>1883</v>
      </c>
      <c r="W525" s="1522">
        <v>4400</v>
      </c>
      <c r="X525" s="1523" t="s">
        <v>1883</v>
      </c>
      <c r="Y525" s="1524">
        <v>4.1198246178000001E-4</v>
      </c>
      <c r="Z525" s="1524">
        <v>0.40238404269610001</v>
      </c>
      <c r="AA525" s="1524">
        <v>0.96572170247065003</v>
      </c>
      <c r="AB525" s="1524">
        <v>1.05E-4</v>
      </c>
      <c r="AC525" s="1525" t="s">
        <v>1199</v>
      </c>
      <c r="AD525" s="1526" t="s">
        <v>635</v>
      </c>
      <c r="AE525" s="1527"/>
      <c r="AF525" s="1528" t="s">
        <v>635</v>
      </c>
      <c r="AG525" s="1527"/>
      <c r="AH525" s="1528">
        <v>0.1</v>
      </c>
      <c r="AI525" s="1529" t="s">
        <v>1119</v>
      </c>
      <c r="AJ525" s="1528" t="s">
        <v>635</v>
      </c>
      <c r="AK525" s="1527"/>
      <c r="AL525" s="1527"/>
      <c r="AM525" s="1527"/>
      <c r="AN525" s="1530">
        <v>1</v>
      </c>
      <c r="AO525" s="1531">
        <v>0.1</v>
      </c>
      <c r="AP525" s="1532" t="s">
        <v>635</v>
      </c>
    </row>
    <row r="526" spans="1:42" ht="30">
      <c r="A526" s="1481" t="s">
        <v>2856</v>
      </c>
      <c r="B526" s="1482" t="s">
        <v>2857</v>
      </c>
      <c r="C526" s="1483">
        <v>61.040999999999997</v>
      </c>
      <c r="D526" s="1484" t="s">
        <v>1883</v>
      </c>
      <c r="E526" s="1485">
        <v>1.16925592805E-3</v>
      </c>
      <c r="F526" s="1485">
        <v>2.8600000000000001E-5</v>
      </c>
      <c r="G526" s="1486" t="s">
        <v>1883</v>
      </c>
      <c r="H526" s="1485">
        <v>35.840000000000003</v>
      </c>
      <c r="I526" s="1486" t="s">
        <v>1883</v>
      </c>
      <c r="J526" s="1487">
        <v>-28.5</v>
      </c>
      <c r="K526" s="1488" t="s">
        <v>1883</v>
      </c>
      <c r="L526" s="1489">
        <v>1.1371</v>
      </c>
      <c r="M526" s="1490" t="s">
        <v>1884</v>
      </c>
      <c r="N526" s="1491">
        <v>0.11928374653942</v>
      </c>
      <c r="O526" s="1491">
        <v>1.3911628880000001E-5</v>
      </c>
      <c r="P526" s="1492" t="s">
        <v>1885</v>
      </c>
      <c r="Q526" s="1493" t="s">
        <v>635</v>
      </c>
      <c r="R526" s="1494"/>
      <c r="S526" s="1493">
        <v>10.32</v>
      </c>
      <c r="T526" s="1493" t="s">
        <v>1199</v>
      </c>
      <c r="U526" s="1493">
        <v>-0.35</v>
      </c>
      <c r="V526" s="1495" t="s">
        <v>1883</v>
      </c>
      <c r="W526" s="1496">
        <v>111000</v>
      </c>
      <c r="X526" s="1497" t="s">
        <v>1883</v>
      </c>
      <c r="Y526" s="1498">
        <v>1.2530647901000001E-3</v>
      </c>
      <c r="Z526" s="1498">
        <v>0.23103530456516999</v>
      </c>
      <c r="AA526" s="1498">
        <v>0.55448473095641004</v>
      </c>
      <c r="AB526" s="1498">
        <v>4.17E-4</v>
      </c>
      <c r="AC526" s="1499" t="s">
        <v>1199</v>
      </c>
      <c r="AD526" s="1500" t="s">
        <v>635</v>
      </c>
      <c r="AE526" s="1501"/>
      <c r="AF526" s="1502">
        <v>8.8000000000000004E-6</v>
      </c>
      <c r="AG526" s="1503" t="s">
        <v>1909</v>
      </c>
      <c r="AH526" s="1502" t="s">
        <v>635</v>
      </c>
      <c r="AI526" s="1501"/>
      <c r="AJ526" s="1502">
        <v>5.0000000000000001E-3</v>
      </c>
      <c r="AK526" s="1503" t="s">
        <v>1909</v>
      </c>
      <c r="AL526" s="1503" t="s">
        <v>1127</v>
      </c>
      <c r="AM526" s="1501"/>
      <c r="AN526" s="1504">
        <v>1</v>
      </c>
      <c r="AO526" s="1504" t="s">
        <v>635</v>
      </c>
      <c r="AP526" s="1506">
        <v>18000</v>
      </c>
    </row>
    <row r="527" spans="1:42" ht="30">
      <c r="A527" s="1481" t="s">
        <v>2858</v>
      </c>
      <c r="B527" s="1482" t="s">
        <v>2859</v>
      </c>
      <c r="C527" s="1483">
        <v>89.094999999999999</v>
      </c>
      <c r="D527" s="1484" t="s">
        <v>1883</v>
      </c>
      <c r="E527" s="1485">
        <v>4.86508585446E-3</v>
      </c>
      <c r="F527" s="1485">
        <v>1.1900000000000001E-4</v>
      </c>
      <c r="G527" s="1486" t="s">
        <v>1199</v>
      </c>
      <c r="H527" s="1485">
        <v>17.21</v>
      </c>
      <c r="I527" s="1486" t="s">
        <v>1883</v>
      </c>
      <c r="J527" s="1487">
        <v>-91.3</v>
      </c>
      <c r="K527" s="1488" t="s">
        <v>1883</v>
      </c>
      <c r="L527" s="1489">
        <v>0.98209999999999997</v>
      </c>
      <c r="M527" s="1490" t="s">
        <v>1884</v>
      </c>
      <c r="N527" s="1491">
        <v>8.4693369062779994E-2</v>
      </c>
      <c r="O527" s="1491">
        <v>1.015437502E-5</v>
      </c>
      <c r="P527" s="1492" t="s">
        <v>1885</v>
      </c>
      <c r="Q527" s="1493" t="s">
        <v>635</v>
      </c>
      <c r="R527" s="1494"/>
      <c r="S527" s="1493">
        <v>30.8</v>
      </c>
      <c r="T527" s="1493" t="s">
        <v>1199</v>
      </c>
      <c r="U527" s="1493">
        <v>0.93</v>
      </c>
      <c r="V527" s="1495" t="s">
        <v>1883</v>
      </c>
      <c r="W527" s="1496">
        <v>17000</v>
      </c>
      <c r="X527" s="1497" t="s">
        <v>1883</v>
      </c>
      <c r="Y527" s="1498">
        <v>7.4786040172800002E-3</v>
      </c>
      <c r="Z527" s="1498">
        <v>0.33172694535737002</v>
      </c>
      <c r="AA527" s="1498">
        <v>0.79614466885767998</v>
      </c>
      <c r="AB527" s="1498">
        <v>2.0600000000000002E-3</v>
      </c>
      <c r="AC527" s="1499" t="s">
        <v>1199</v>
      </c>
      <c r="AD527" s="1500" t="s">
        <v>635</v>
      </c>
      <c r="AE527" s="1501"/>
      <c r="AF527" s="1502">
        <v>5.8E-4</v>
      </c>
      <c r="AG527" s="1503" t="s">
        <v>1893</v>
      </c>
      <c r="AH527" s="1502" t="s">
        <v>635</v>
      </c>
      <c r="AI527" s="1501"/>
      <c r="AJ527" s="1502">
        <v>0.02</v>
      </c>
      <c r="AK527" s="1503" t="s">
        <v>1119</v>
      </c>
      <c r="AL527" s="1503" t="s">
        <v>1127</v>
      </c>
      <c r="AM527" s="1501"/>
      <c r="AN527" s="1504">
        <v>1</v>
      </c>
      <c r="AO527" s="1504" t="s">
        <v>635</v>
      </c>
      <c r="AP527" s="1506">
        <v>4860</v>
      </c>
    </row>
    <row r="528" spans="1:42" ht="30">
      <c r="A528" s="1507" t="s">
        <v>2860</v>
      </c>
      <c r="B528" s="1508" t="s">
        <v>2861</v>
      </c>
      <c r="C528" s="1509">
        <v>117.11</v>
      </c>
      <c r="D528" s="1510" t="s">
        <v>1883</v>
      </c>
      <c r="E528" s="1511">
        <v>5.3965658217500004E-9</v>
      </c>
      <c r="F528" s="1511">
        <v>1.3200000000000001E-10</v>
      </c>
      <c r="G528" s="1512" t="s">
        <v>1883</v>
      </c>
      <c r="H528" s="1511">
        <v>1.83E-2</v>
      </c>
      <c r="I528" s="1512" t="s">
        <v>1883</v>
      </c>
      <c r="J528" s="1513">
        <v>99</v>
      </c>
      <c r="K528" s="1514" t="s">
        <v>1199</v>
      </c>
      <c r="L528" s="1515" t="s">
        <v>635</v>
      </c>
      <c r="M528" s="1538"/>
      <c r="N528" s="1517">
        <v>7.9376317522609999E-2</v>
      </c>
      <c r="O528" s="1517">
        <v>9.2744960473800006E-6</v>
      </c>
      <c r="P528" s="1518" t="s">
        <v>1885</v>
      </c>
      <c r="Q528" s="1519" t="s">
        <v>635</v>
      </c>
      <c r="R528" s="1520"/>
      <c r="S528" s="1519">
        <v>20.98</v>
      </c>
      <c r="T528" s="1519" t="s">
        <v>1199</v>
      </c>
      <c r="U528" s="1519">
        <v>0.23</v>
      </c>
      <c r="V528" s="1521" t="s">
        <v>1883</v>
      </c>
      <c r="W528" s="1522">
        <v>13000</v>
      </c>
      <c r="X528" s="1523" t="s">
        <v>1883</v>
      </c>
      <c r="Y528" s="1524">
        <v>2.0394812761399999E-3</v>
      </c>
      <c r="Z528" s="1524">
        <v>0.47606335137630001</v>
      </c>
      <c r="AA528" s="1524">
        <v>1.14255204330311</v>
      </c>
      <c r="AB528" s="1524">
        <v>4.8999999999999998E-4</v>
      </c>
      <c r="AC528" s="1525" t="s">
        <v>1199</v>
      </c>
      <c r="AD528" s="1526">
        <v>27</v>
      </c>
      <c r="AE528" s="1529" t="s">
        <v>1900</v>
      </c>
      <c r="AF528" s="1528">
        <v>7.7000000000000002E-3</v>
      </c>
      <c r="AG528" s="1529" t="s">
        <v>1900</v>
      </c>
      <c r="AH528" s="1528" t="s">
        <v>635</v>
      </c>
      <c r="AI528" s="1527"/>
      <c r="AJ528" s="1528" t="s">
        <v>635</v>
      </c>
      <c r="AK528" s="1527"/>
      <c r="AL528" s="1527"/>
      <c r="AM528" s="1529" t="s">
        <v>1906</v>
      </c>
      <c r="AN528" s="1530">
        <v>1</v>
      </c>
      <c r="AO528" s="1531">
        <v>0.1</v>
      </c>
      <c r="AP528" s="1532" t="s">
        <v>635</v>
      </c>
    </row>
    <row r="529" spans="1:42" ht="30">
      <c r="A529" s="1481" t="s">
        <v>2862</v>
      </c>
      <c r="B529" s="1482" t="s">
        <v>2863</v>
      </c>
      <c r="C529" s="1483">
        <v>103.08</v>
      </c>
      <c r="D529" s="1484" t="s">
        <v>1883</v>
      </c>
      <c r="E529" s="1485">
        <v>4.0515126737499996E-9</v>
      </c>
      <c r="F529" s="1485">
        <v>9.9099999999999999E-11</v>
      </c>
      <c r="G529" s="1486" t="s">
        <v>1883</v>
      </c>
      <c r="H529" s="1485">
        <v>2.93E-2</v>
      </c>
      <c r="I529" s="1486" t="s">
        <v>1883</v>
      </c>
      <c r="J529" s="1487">
        <v>123.5</v>
      </c>
      <c r="K529" s="1488" t="s">
        <v>1199</v>
      </c>
      <c r="L529" s="1489" t="s">
        <v>635</v>
      </c>
      <c r="M529" s="1533"/>
      <c r="N529" s="1491">
        <v>8.6424589956760001E-2</v>
      </c>
      <c r="O529" s="1491">
        <v>1.009803104E-5</v>
      </c>
      <c r="P529" s="1492" t="s">
        <v>1885</v>
      </c>
      <c r="Q529" s="1493" t="s">
        <v>635</v>
      </c>
      <c r="R529" s="1494"/>
      <c r="S529" s="1493">
        <v>11</v>
      </c>
      <c r="T529" s="1493" t="s">
        <v>1199</v>
      </c>
      <c r="U529" s="1493">
        <v>-0.03</v>
      </c>
      <c r="V529" s="1495" t="s">
        <v>1883</v>
      </c>
      <c r="W529" s="1496">
        <v>14400</v>
      </c>
      <c r="X529" s="1497" t="s">
        <v>1883</v>
      </c>
      <c r="Y529" s="1498">
        <v>1.54244949473E-3</v>
      </c>
      <c r="Z529" s="1498">
        <v>0.39728004336551997</v>
      </c>
      <c r="AA529" s="1498">
        <v>0.95347210407724003</v>
      </c>
      <c r="AB529" s="1498">
        <v>3.9500000000000001E-4</v>
      </c>
      <c r="AC529" s="1499" t="s">
        <v>1199</v>
      </c>
      <c r="AD529" s="1500">
        <v>120</v>
      </c>
      <c r="AE529" s="1503" t="s">
        <v>1900</v>
      </c>
      <c r="AF529" s="1502">
        <v>3.4000000000000002E-2</v>
      </c>
      <c r="AG529" s="1503" t="s">
        <v>1900</v>
      </c>
      <c r="AH529" s="1502" t="s">
        <v>635</v>
      </c>
      <c r="AI529" s="1501"/>
      <c r="AJ529" s="1502" t="s">
        <v>635</v>
      </c>
      <c r="AK529" s="1501"/>
      <c r="AL529" s="1501"/>
      <c r="AM529" s="1503" t="s">
        <v>1906</v>
      </c>
      <c r="AN529" s="1504">
        <v>1</v>
      </c>
      <c r="AO529" s="1505">
        <v>0.1</v>
      </c>
      <c r="AP529" s="1506" t="s">
        <v>635</v>
      </c>
    </row>
    <row r="530" spans="1:42" ht="30">
      <c r="A530" s="1481" t="s">
        <v>2864</v>
      </c>
      <c r="B530" s="1482" t="s">
        <v>2865</v>
      </c>
      <c r="C530" s="1483">
        <v>158.25</v>
      </c>
      <c r="D530" s="1484" t="s">
        <v>1883</v>
      </c>
      <c r="E530" s="1485">
        <v>5.3965658217000004E-4</v>
      </c>
      <c r="F530" s="1485">
        <v>1.3200000000000001E-5</v>
      </c>
      <c r="G530" s="1486" t="s">
        <v>1883</v>
      </c>
      <c r="H530" s="1485">
        <v>4.6899999999999997E-2</v>
      </c>
      <c r="I530" s="1486" t="s">
        <v>1199</v>
      </c>
      <c r="J530" s="1487">
        <v>28.17</v>
      </c>
      <c r="K530" s="1488" t="s">
        <v>1199</v>
      </c>
      <c r="L530" s="1489">
        <v>0.90090000000000003</v>
      </c>
      <c r="M530" s="1490" t="s">
        <v>1890</v>
      </c>
      <c r="N530" s="1491">
        <v>4.2166252340190002E-2</v>
      </c>
      <c r="O530" s="1491">
        <v>6.8307987849499997E-6</v>
      </c>
      <c r="P530" s="1492" t="s">
        <v>1885</v>
      </c>
      <c r="Q530" s="1493" t="s">
        <v>635</v>
      </c>
      <c r="R530" s="1494"/>
      <c r="S530" s="1493">
        <v>914.6</v>
      </c>
      <c r="T530" s="1493" t="s">
        <v>1199</v>
      </c>
      <c r="U530" s="1493">
        <v>2.63</v>
      </c>
      <c r="V530" s="1495" t="s">
        <v>1883</v>
      </c>
      <c r="W530" s="1496">
        <v>1270</v>
      </c>
      <c r="X530" s="1497" t="s">
        <v>1883</v>
      </c>
      <c r="Y530" s="1498">
        <v>5.4673509833509999E-2</v>
      </c>
      <c r="Z530" s="1498">
        <v>0.80918672540379999</v>
      </c>
      <c r="AA530" s="1498">
        <v>1.9420481409691199</v>
      </c>
      <c r="AB530" s="1498">
        <v>1.1299999999999999E-2</v>
      </c>
      <c r="AC530" s="1499" t="s">
        <v>1199</v>
      </c>
      <c r="AD530" s="1500">
        <v>5.4</v>
      </c>
      <c r="AE530" s="1503" t="s">
        <v>1119</v>
      </c>
      <c r="AF530" s="1502">
        <v>1.6000000000000001E-3</v>
      </c>
      <c r="AG530" s="1503" t="s">
        <v>1119</v>
      </c>
      <c r="AH530" s="1502" t="s">
        <v>635</v>
      </c>
      <c r="AI530" s="1501"/>
      <c r="AJ530" s="1502" t="s">
        <v>635</v>
      </c>
      <c r="AK530" s="1501"/>
      <c r="AL530" s="1503" t="s">
        <v>1127</v>
      </c>
      <c r="AM530" s="1501"/>
      <c r="AN530" s="1504">
        <v>1</v>
      </c>
      <c r="AO530" s="1504" t="s">
        <v>635</v>
      </c>
      <c r="AP530" s="1506" t="s">
        <v>635</v>
      </c>
    </row>
    <row r="531" spans="1:42" ht="30">
      <c r="A531" s="1507" t="s">
        <v>2866</v>
      </c>
      <c r="B531" s="1508" t="s">
        <v>2867</v>
      </c>
      <c r="C531" s="1509">
        <v>134.13999999999999</v>
      </c>
      <c r="D531" s="1510" t="s">
        <v>1883</v>
      </c>
      <c r="E531" s="1511">
        <v>1.9828291087E-10</v>
      </c>
      <c r="F531" s="1511">
        <v>4.8499999999999997E-12</v>
      </c>
      <c r="G531" s="1512" t="s">
        <v>1883</v>
      </c>
      <c r="H531" s="1511">
        <v>5.0000000000000001E-4</v>
      </c>
      <c r="I531" s="1512" t="s">
        <v>1883</v>
      </c>
      <c r="J531" s="1513">
        <v>81.52</v>
      </c>
      <c r="K531" s="1514" t="s">
        <v>1199</v>
      </c>
      <c r="L531" s="1515" t="s">
        <v>635</v>
      </c>
      <c r="M531" s="1538"/>
      <c r="N531" s="1517">
        <v>7.2507244284920003E-2</v>
      </c>
      <c r="O531" s="1517">
        <v>8.4718990690800006E-6</v>
      </c>
      <c r="P531" s="1518" t="s">
        <v>1885</v>
      </c>
      <c r="Q531" s="1519" t="s">
        <v>635</v>
      </c>
      <c r="R531" s="1520"/>
      <c r="S531" s="1519">
        <v>1</v>
      </c>
      <c r="T531" s="1519" t="s">
        <v>1199</v>
      </c>
      <c r="U531" s="1519">
        <v>-1.28</v>
      </c>
      <c r="V531" s="1521" t="s">
        <v>1883</v>
      </c>
      <c r="W531" s="1522">
        <v>1000000</v>
      </c>
      <c r="X531" s="1523" t="s">
        <v>1883</v>
      </c>
      <c r="Y531" s="1524">
        <v>1.7417369306E-4</v>
      </c>
      <c r="Z531" s="1524">
        <v>0.59297003804030002</v>
      </c>
      <c r="AA531" s="1524">
        <v>1.4231280912967099</v>
      </c>
      <c r="AB531" s="1524">
        <v>3.9100000000000002E-5</v>
      </c>
      <c r="AC531" s="1525" t="s">
        <v>1199</v>
      </c>
      <c r="AD531" s="1526">
        <v>2.8</v>
      </c>
      <c r="AE531" s="1529" t="s">
        <v>1119</v>
      </c>
      <c r="AF531" s="1528">
        <v>8.0000000000000004E-4</v>
      </c>
      <c r="AG531" s="1529" t="s">
        <v>1900</v>
      </c>
      <c r="AH531" s="1528" t="s">
        <v>635</v>
      </c>
      <c r="AI531" s="1527"/>
      <c r="AJ531" s="1528" t="s">
        <v>635</v>
      </c>
      <c r="AK531" s="1527"/>
      <c r="AL531" s="1527"/>
      <c r="AM531" s="1527"/>
      <c r="AN531" s="1530">
        <v>1</v>
      </c>
      <c r="AO531" s="1531">
        <v>0.1</v>
      </c>
      <c r="AP531" s="1532" t="s">
        <v>635</v>
      </c>
    </row>
    <row r="532" spans="1:42" ht="30">
      <c r="A532" s="1481" t="s">
        <v>2868</v>
      </c>
      <c r="B532" s="1482" t="s">
        <v>2869</v>
      </c>
      <c r="C532" s="1483">
        <v>102.14</v>
      </c>
      <c r="D532" s="1484" t="s">
        <v>1883</v>
      </c>
      <c r="E532" s="1485">
        <v>1.4840556009999999E-4</v>
      </c>
      <c r="F532" s="1485">
        <v>3.63E-6</v>
      </c>
      <c r="G532" s="1486" t="s">
        <v>1883</v>
      </c>
      <c r="H532" s="1485">
        <v>0.86</v>
      </c>
      <c r="I532" s="1486" t="s">
        <v>1883</v>
      </c>
      <c r="J532" s="1487">
        <v>-15.6</v>
      </c>
      <c r="K532" s="1488" t="s">
        <v>1199</v>
      </c>
      <c r="L532" s="1489">
        <v>0.94220000000000004</v>
      </c>
      <c r="M532" s="1490" t="s">
        <v>1884</v>
      </c>
      <c r="N532" s="1491">
        <v>7.3841021349120003E-2</v>
      </c>
      <c r="O532" s="1491">
        <v>9.1251522530999997E-6</v>
      </c>
      <c r="P532" s="1492" t="s">
        <v>1885</v>
      </c>
      <c r="Q532" s="1493" t="s">
        <v>635</v>
      </c>
      <c r="R532" s="1494"/>
      <c r="S532" s="1493">
        <v>82.92</v>
      </c>
      <c r="T532" s="1493" t="s">
        <v>1199</v>
      </c>
      <c r="U532" s="1493">
        <v>0.48</v>
      </c>
      <c r="V532" s="1495" t="s">
        <v>1883</v>
      </c>
      <c r="W532" s="1496">
        <v>106000</v>
      </c>
      <c r="X532" s="1497" t="s">
        <v>1883</v>
      </c>
      <c r="Y532" s="1498">
        <v>3.3895423440000001E-3</v>
      </c>
      <c r="Z532" s="1498">
        <v>0.39249375371203998</v>
      </c>
      <c r="AA532" s="1498">
        <v>0.94198500890889003</v>
      </c>
      <c r="AB532" s="1498">
        <v>8.7200000000000005E-4</v>
      </c>
      <c r="AC532" s="1499" t="s">
        <v>1199</v>
      </c>
      <c r="AD532" s="1500">
        <v>150</v>
      </c>
      <c r="AE532" s="1503" t="s">
        <v>1119</v>
      </c>
      <c r="AF532" s="1502">
        <v>4.2999999999999997E-2</v>
      </c>
      <c r="AG532" s="1503" t="s">
        <v>1119</v>
      </c>
      <c r="AH532" s="1502" t="s">
        <v>635</v>
      </c>
      <c r="AI532" s="1501"/>
      <c r="AJ532" s="1502" t="s">
        <v>635</v>
      </c>
      <c r="AK532" s="1501"/>
      <c r="AL532" s="1501"/>
      <c r="AM532" s="1503" t="s">
        <v>1906</v>
      </c>
      <c r="AN532" s="1504">
        <v>1</v>
      </c>
      <c r="AO532" s="1505">
        <v>0.1</v>
      </c>
      <c r="AP532" s="1506" t="s">
        <v>635</v>
      </c>
    </row>
    <row r="533" spans="1:42" ht="30">
      <c r="A533" s="1481" t="s">
        <v>2870</v>
      </c>
      <c r="B533" s="1482" t="s">
        <v>2871</v>
      </c>
      <c r="C533" s="1483">
        <v>74.082999999999998</v>
      </c>
      <c r="D533" s="1484" t="s">
        <v>1883</v>
      </c>
      <c r="E533" s="1485">
        <v>7.440719542E-5</v>
      </c>
      <c r="F533" s="1485">
        <v>1.8199999999999999E-6</v>
      </c>
      <c r="G533" s="1486" t="s">
        <v>1883</v>
      </c>
      <c r="H533" s="1485">
        <v>2.7</v>
      </c>
      <c r="I533" s="1486" t="s">
        <v>1883</v>
      </c>
      <c r="J533" s="1487">
        <v>-39.07</v>
      </c>
      <c r="K533" s="1488" t="s">
        <v>1199</v>
      </c>
      <c r="L533" s="1489">
        <v>1.0047999999999999</v>
      </c>
      <c r="M533" s="1490" t="s">
        <v>1884</v>
      </c>
      <c r="N533" s="1491">
        <v>9.8767426778219994E-2</v>
      </c>
      <c r="O533" s="1491">
        <v>1.1499750310000001E-5</v>
      </c>
      <c r="P533" s="1492" t="s">
        <v>1885</v>
      </c>
      <c r="Q533" s="1493" t="s">
        <v>635</v>
      </c>
      <c r="R533" s="1494"/>
      <c r="S533" s="1493">
        <v>22.79</v>
      </c>
      <c r="T533" s="1493" t="s">
        <v>1199</v>
      </c>
      <c r="U533" s="1493">
        <v>-0.56999999999999995</v>
      </c>
      <c r="V533" s="1495" t="s">
        <v>1883</v>
      </c>
      <c r="W533" s="1496">
        <v>1000000</v>
      </c>
      <c r="X533" s="1497" t="s">
        <v>1883</v>
      </c>
      <c r="Y533" s="1498">
        <v>8.3092084468999999E-4</v>
      </c>
      <c r="Z533" s="1498">
        <v>0.27334652024992001</v>
      </c>
      <c r="AA533" s="1498">
        <v>0.65603164859981</v>
      </c>
      <c r="AB533" s="1498">
        <v>2.5099999999999998E-4</v>
      </c>
      <c r="AC533" s="1499" t="s">
        <v>1199</v>
      </c>
      <c r="AD533" s="1500">
        <v>51</v>
      </c>
      <c r="AE533" s="1503" t="s">
        <v>1119</v>
      </c>
      <c r="AF533" s="1502">
        <v>1.4E-2</v>
      </c>
      <c r="AG533" s="1503" t="s">
        <v>1119</v>
      </c>
      <c r="AH533" s="1502">
        <v>7.9999999999999996E-6</v>
      </c>
      <c r="AI533" s="1503" t="s">
        <v>1909</v>
      </c>
      <c r="AJ533" s="1502">
        <v>4.0000000000000003E-5</v>
      </c>
      <c r="AK533" s="1503" t="s">
        <v>1893</v>
      </c>
      <c r="AL533" s="1503" t="s">
        <v>1127</v>
      </c>
      <c r="AM533" s="1503" t="s">
        <v>1906</v>
      </c>
      <c r="AN533" s="1504">
        <v>1</v>
      </c>
      <c r="AO533" s="1504" t="s">
        <v>635</v>
      </c>
      <c r="AP533" s="1506">
        <v>237000</v>
      </c>
    </row>
    <row r="534" spans="1:42" ht="30">
      <c r="A534" s="1507" t="s">
        <v>2872</v>
      </c>
      <c r="B534" s="1508" t="s">
        <v>2873</v>
      </c>
      <c r="C534" s="1509">
        <v>198.23</v>
      </c>
      <c r="D534" s="1510" t="s">
        <v>1883</v>
      </c>
      <c r="E534" s="1511">
        <v>4.946852003E-5</v>
      </c>
      <c r="F534" s="1511">
        <v>1.2100000000000001E-6</v>
      </c>
      <c r="G534" s="1512" t="s">
        <v>1883</v>
      </c>
      <c r="H534" s="1511">
        <v>0.1</v>
      </c>
      <c r="I534" s="1512" t="s">
        <v>1883</v>
      </c>
      <c r="J534" s="1513">
        <v>66.5</v>
      </c>
      <c r="K534" s="1514" t="s">
        <v>1883</v>
      </c>
      <c r="L534" s="1515" t="s">
        <v>635</v>
      </c>
      <c r="M534" s="1538"/>
      <c r="N534" s="1517">
        <v>5.5886555982009999E-2</v>
      </c>
      <c r="O534" s="1517">
        <v>6.5299028568500002E-6</v>
      </c>
      <c r="P534" s="1518" t="s">
        <v>1885</v>
      </c>
      <c r="Q534" s="1519" t="s">
        <v>635</v>
      </c>
      <c r="R534" s="1520"/>
      <c r="S534" s="1519">
        <v>2632</v>
      </c>
      <c r="T534" s="1519" t="s">
        <v>1199</v>
      </c>
      <c r="U534" s="1519">
        <v>3.13</v>
      </c>
      <c r="V534" s="1521" t="s">
        <v>1883</v>
      </c>
      <c r="W534" s="1522">
        <v>35</v>
      </c>
      <c r="X534" s="1523" t="s">
        <v>1883</v>
      </c>
      <c r="Y534" s="1524">
        <v>7.8519828931950003E-2</v>
      </c>
      <c r="Z534" s="1524">
        <v>1.35499205776265</v>
      </c>
      <c r="AA534" s="1524">
        <v>3.25198093863037</v>
      </c>
      <c r="AB534" s="1524">
        <v>1.4500000000000001E-2</v>
      </c>
      <c r="AC534" s="1525" t="s">
        <v>1199</v>
      </c>
      <c r="AD534" s="1526">
        <v>4.8999999999999998E-3</v>
      </c>
      <c r="AE534" s="1529" t="s">
        <v>1119</v>
      </c>
      <c r="AF534" s="1528">
        <v>2.6000000000000001E-6</v>
      </c>
      <c r="AG534" s="1529" t="s">
        <v>1900</v>
      </c>
      <c r="AH534" s="1528" t="s">
        <v>635</v>
      </c>
      <c r="AI534" s="1527"/>
      <c r="AJ534" s="1528" t="s">
        <v>635</v>
      </c>
      <c r="AK534" s="1527"/>
      <c r="AL534" s="1527"/>
      <c r="AM534" s="1527"/>
      <c r="AN534" s="1530">
        <v>1</v>
      </c>
      <c r="AO534" s="1531">
        <v>0.1</v>
      </c>
      <c r="AP534" s="1532" t="s">
        <v>635</v>
      </c>
    </row>
    <row r="535" spans="1:42" ht="30">
      <c r="A535" s="1481" t="s">
        <v>2874</v>
      </c>
      <c r="B535" s="1482" t="s">
        <v>2875</v>
      </c>
      <c r="C535" s="1483">
        <v>130.19</v>
      </c>
      <c r="D535" s="1484" t="s">
        <v>1883</v>
      </c>
      <c r="E535" s="1485">
        <v>2.1995094031000001E-4</v>
      </c>
      <c r="F535" s="1485">
        <v>5.3800000000000002E-6</v>
      </c>
      <c r="G535" s="1486" t="s">
        <v>1883</v>
      </c>
      <c r="H535" s="1485">
        <v>8.5999999999999993E-2</v>
      </c>
      <c r="I535" s="1486" t="s">
        <v>1883</v>
      </c>
      <c r="J535" s="1487">
        <v>6.81</v>
      </c>
      <c r="K535" s="1488" t="s">
        <v>1199</v>
      </c>
      <c r="L535" s="1489">
        <v>0.9163</v>
      </c>
      <c r="M535" s="1490" t="s">
        <v>1884</v>
      </c>
      <c r="N535" s="1491">
        <v>5.6439915177989998E-2</v>
      </c>
      <c r="O535" s="1491">
        <v>7.7579648454100007E-6</v>
      </c>
      <c r="P535" s="1492" t="s">
        <v>1885</v>
      </c>
      <c r="Q535" s="1493" t="s">
        <v>635</v>
      </c>
      <c r="R535" s="1494"/>
      <c r="S535" s="1493">
        <v>275.39999999999998</v>
      </c>
      <c r="T535" s="1493" t="s">
        <v>1199</v>
      </c>
      <c r="U535" s="1493">
        <v>1.36</v>
      </c>
      <c r="V535" s="1495" t="s">
        <v>1883</v>
      </c>
      <c r="W535" s="1496">
        <v>13000</v>
      </c>
      <c r="X535" s="1497" t="s">
        <v>1883</v>
      </c>
      <c r="Y535" s="1498">
        <v>1.0225189998379999E-2</v>
      </c>
      <c r="Z535" s="1498">
        <v>0.56352443158719001</v>
      </c>
      <c r="AA535" s="1498">
        <v>1.3524586358092601</v>
      </c>
      <c r="AB535" s="1498">
        <v>2.33E-3</v>
      </c>
      <c r="AC535" s="1499" t="s">
        <v>1199</v>
      </c>
      <c r="AD535" s="1500">
        <v>7</v>
      </c>
      <c r="AE535" s="1503" t="s">
        <v>1119</v>
      </c>
      <c r="AF535" s="1502">
        <v>2E-3</v>
      </c>
      <c r="AG535" s="1503" t="s">
        <v>1900</v>
      </c>
      <c r="AH535" s="1502" t="s">
        <v>635</v>
      </c>
      <c r="AI535" s="1501"/>
      <c r="AJ535" s="1502" t="s">
        <v>635</v>
      </c>
      <c r="AK535" s="1501"/>
      <c r="AL535" s="1501"/>
      <c r="AM535" s="1501"/>
      <c r="AN535" s="1504">
        <v>1</v>
      </c>
      <c r="AO535" s="1505">
        <v>0.1</v>
      </c>
      <c r="AP535" s="1506" t="s">
        <v>635</v>
      </c>
    </row>
    <row r="536" spans="1:42" ht="30">
      <c r="A536" s="1481" t="s">
        <v>2876</v>
      </c>
      <c r="B536" s="1482" t="s">
        <v>2877</v>
      </c>
      <c r="C536" s="1483">
        <v>88.11</v>
      </c>
      <c r="D536" s="1484" t="s">
        <v>1883</v>
      </c>
      <c r="E536" s="1485">
        <v>5.8871627150000002E-5</v>
      </c>
      <c r="F536" s="1485">
        <v>1.44E-6</v>
      </c>
      <c r="G536" s="1486" t="s">
        <v>1883</v>
      </c>
      <c r="H536" s="1485">
        <v>1.1000000000000001</v>
      </c>
      <c r="I536" s="1486" t="s">
        <v>1883</v>
      </c>
      <c r="J536" s="1487">
        <v>-27.21</v>
      </c>
      <c r="K536" s="1488" t="s">
        <v>1199</v>
      </c>
      <c r="L536" s="1489">
        <v>0.94479999999999997</v>
      </c>
      <c r="M536" s="1490" t="s">
        <v>1890</v>
      </c>
      <c r="N536" s="1491">
        <v>8.4054666237610001E-2</v>
      </c>
      <c r="O536" s="1491">
        <v>9.9875871421399993E-6</v>
      </c>
      <c r="P536" s="1492" t="s">
        <v>1885</v>
      </c>
      <c r="Q536" s="1493" t="s">
        <v>635</v>
      </c>
      <c r="R536" s="1494"/>
      <c r="S536" s="1493">
        <v>43.47</v>
      </c>
      <c r="T536" s="1493" t="s">
        <v>1199</v>
      </c>
      <c r="U536" s="1493">
        <v>0.04</v>
      </c>
      <c r="V536" s="1495" t="s">
        <v>1883</v>
      </c>
      <c r="W536" s="1496">
        <v>300000</v>
      </c>
      <c r="X536" s="1497" t="s">
        <v>1883</v>
      </c>
      <c r="Y536" s="1498">
        <v>1.9242720052E-3</v>
      </c>
      <c r="Z536" s="1498">
        <v>0.32754030539133</v>
      </c>
      <c r="AA536" s="1498">
        <v>0.78609673293919002</v>
      </c>
      <c r="AB536" s="1498">
        <v>5.3300000000000005E-4</v>
      </c>
      <c r="AC536" s="1499" t="s">
        <v>1199</v>
      </c>
      <c r="AD536" s="1500">
        <v>22</v>
      </c>
      <c r="AE536" s="1503" t="s">
        <v>1119</v>
      </c>
      <c r="AF536" s="1502">
        <v>6.3E-3</v>
      </c>
      <c r="AG536" s="1503" t="s">
        <v>1900</v>
      </c>
      <c r="AH536" s="1502" t="s">
        <v>635</v>
      </c>
      <c r="AI536" s="1501"/>
      <c r="AJ536" s="1502" t="s">
        <v>635</v>
      </c>
      <c r="AK536" s="1501"/>
      <c r="AL536" s="1503" t="s">
        <v>1127</v>
      </c>
      <c r="AM536" s="1501"/>
      <c r="AN536" s="1504">
        <v>1</v>
      </c>
      <c r="AO536" s="1504" t="s">
        <v>635</v>
      </c>
      <c r="AP536" s="1506">
        <v>108000</v>
      </c>
    </row>
    <row r="537" spans="1:42" ht="30">
      <c r="A537" s="1507" t="s">
        <v>2878</v>
      </c>
      <c r="B537" s="1508" t="s">
        <v>2879</v>
      </c>
      <c r="C537" s="1509">
        <v>116.12</v>
      </c>
      <c r="D537" s="1510" t="s">
        <v>1883</v>
      </c>
      <c r="E537" s="1511">
        <v>1.0016353229800001E-6</v>
      </c>
      <c r="F537" s="1511">
        <v>2.4500000000000001E-8</v>
      </c>
      <c r="G537" s="1512" t="s">
        <v>1883</v>
      </c>
      <c r="H537" s="1511">
        <v>3.5999999999999997E-2</v>
      </c>
      <c r="I537" s="1512" t="s">
        <v>1883</v>
      </c>
      <c r="J537" s="1513">
        <v>29</v>
      </c>
      <c r="K537" s="1514" t="s">
        <v>1883</v>
      </c>
      <c r="L537" s="1515" t="s">
        <v>635</v>
      </c>
      <c r="M537" s="1538"/>
      <c r="N537" s="1517">
        <v>7.9826836031990006E-2</v>
      </c>
      <c r="O537" s="1517">
        <v>9.3271355784699992E-6</v>
      </c>
      <c r="P537" s="1518" t="s">
        <v>1885</v>
      </c>
      <c r="Q537" s="1519" t="s">
        <v>635</v>
      </c>
      <c r="R537" s="1520"/>
      <c r="S537" s="1519">
        <v>22.51</v>
      </c>
      <c r="T537" s="1519" t="s">
        <v>1199</v>
      </c>
      <c r="U537" s="1519">
        <v>-0.44</v>
      </c>
      <c r="V537" s="1521" t="s">
        <v>1883</v>
      </c>
      <c r="W537" s="1522">
        <v>1000000</v>
      </c>
      <c r="X537" s="1523" t="s">
        <v>1883</v>
      </c>
      <c r="Y537" s="1524">
        <v>7.3773462620000004E-4</v>
      </c>
      <c r="Z537" s="1524">
        <v>0.47002477437293999</v>
      </c>
      <c r="AA537" s="1524">
        <v>1.1280594584950601</v>
      </c>
      <c r="AB537" s="1524">
        <v>1.7799999999999999E-4</v>
      </c>
      <c r="AC537" s="1525" t="s">
        <v>1199</v>
      </c>
      <c r="AD537" s="1526">
        <v>6.7</v>
      </c>
      <c r="AE537" s="1529" t="s">
        <v>1900</v>
      </c>
      <c r="AF537" s="1528">
        <v>1.9E-3</v>
      </c>
      <c r="AG537" s="1529" t="s">
        <v>1900</v>
      </c>
      <c r="AH537" s="1528" t="s">
        <v>635</v>
      </c>
      <c r="AI537" s="1527"/>
      <c r="AJ537" s="1528" t="s">
        <v>635</v>
      </c>
      <c r="AK537" s="1527"/>
      <c r="AL537" s="1527"/>
      <c r="AM537" s="1527"/>
      <c r="AN537" s="1530">
        <v>1</v>
      </c>
      <c r="AO537" s="1531">
        <v>0.1</v>
      </c>
      <c r="AP537" s="1532" t="s">
        <v>635</v>
      </c>
    </row>
    <row r="538" spans="1:42" ht="30">
      <c r="A538" s="1481" t="s">
        <v>2880</v>
      </c>
      <c r="B538" s="1482" t="s">
        <v>2881</v>
      </c>
      <c r="C538" s="1483">
        <v>114.15</v>
      </c>
      <c r="D538" s="1484" t="s">
        <v>1883</v>
      </c>
      <c r="E538" s="1485">
        <v>3.4505314800000001E-5</v>
      </c>
      <c r="F538" s="1485">
        <v>8.4399999999999999E-7</v>
      </c>
      <c r="G538" s="1486" t="s">
        <v>1883</v>
      </c>
      <c r="H538" s="1485">
        <v>9.1999999999999998E-2</v>
      </c>
      <c r="I538" s="1486" t="s">
        <v>1883</v>
      </c>
      <c r="J538" s="1487">
        <v>6.83</v>
      </c>
      <c r="K538" s="1488" t="s">
        <v>1199</v>
      </c>
      <c r="L538" s="1489">
        <v>1.0630999999999999</v>
      </c>
      <c r="M538" s="1490" t="s">
        <v>1884</v>
      </c>
      <c r="N538" s="1491">
        <v>6.989003466042E-2</v>
      </c>
      <c r="O538" s="1491">
        <v>9.1776331277100004E-6</v>
      </c>
      <c r="P538" s="1492" t="s">
        <v>1885</v>
      </c>
      <c r="Q538" s="1493" t="s">
        <v>635</v>
      </c>
      <c r="R538" s="1494"/>
      <c r="S538" s="1493">
        <v>167.5</v>
      </c>
      <c r="T538" s="1493" t="s">
        <v>1199</v>
      </c>
      <c r="U538" s="1493">
        <v>0.36</v>
      </c>
      <c r="V538" s="1495" t="s">
        <v>1883</v>
      </c>
      <c r="W538" s="1496">
        <v>76500</v>
      </c>
      <c r="X538" s="1497" t="s">
        <v>1883</v>
      </c>
      <c r="Y538" s="1498">
        <v>2.55596554204E-3</v>
      </c>
      <c r="Z538" s="1498">
        <v>0.45823551919930999</v>
      </c>
      <c r="AA538" s="1498">
        <v>1.09976524607834</v>
      </c>
      <c r="AB538" s="1498">
        <v>6.2200000000000005E-4</v>
      </c>
      <c r="AC538" s="1499" t="s">
        <v>1199</v>
      </c>
      <c r="AD538" s="1500">
        <v>9.4</v>
      </c>
      <c r="AE538" s="1503" t="s">
        <v>1900</v>
      </c>
      <c r="AF538" s="1502">
        <v>2.7000000000000001E-3</v>
      </c>
      <c r="AG538" s="1503" t="s">
        <v>1900</v>
      </c>
      <c r="AH538" s="1502" t="s">
        <v>635</v>
      </c>
      <c r="AI538" s="1501"/>
      <c r="AJ538" s="1502" t="s">
        <v>635</v>
      </c>
      <c r="AK538" s="1501"/>
      <c r="AL538" s="1501"/>
      <c r="AM538" s="1501"/>
      <c r="AN538" s="1504">
        <v>1</v>
      </c>
      <c r="AO538" s="1505">
        <v>0.1</v>
      </c>
      <c r="AP538" s="1506" t="s">
        <v>635</v>
      </c>
    </row>
    <row r="539" spans="1:42" ht="30">
      <c r="A539" s="1481" t="s">
        <v>2882</v>
      </c>
      <c r="B539" s="1482" t="s">
        <v>2883</v>
      </c>
      <c r="C539" s="1483">
        <v>100.12</v>
      </c>
      <c r="D539" s="1484" t="s">
        <v>1883</v>
      </c>
      <c r="E539" s="1485">
        <v>1.9991823385100002E-6</v>
      </c>
      <c r="F539" s="1485">
        <v>4.8900000000000001E-8</v>
      </c>
      <c r="G539" s="1486" t="s">
        <v>1883</v>
      </c>
      <c r="H539" s="1485">
        <v>0.06</v>
      </c>
      <c r="I539" s="1486" t="s">
        <v>1883</v>
      </c>
      <c r="J539" s="1487">
        <v>-3.09</v>
      </c>
      <c r="K539" s="1488" t="s">
        <v>1199</v>
      </c>
      <c r="L539" s="1489">
        <v>1.085</v>
      </c>
      <c r="M539" s="1490" t="s">
        <v>1884</v>
      </c>
      <c r="N539" s="1491">
        <v>7.9971167221800005E-2</v>
      </c>
      <c r="O539" s="1491">
        <v>1.005118137E-5</v>
      </c>
      <c r="P539" s="1492" t="s">
        <v>1885</v>
      </c>
      <c r="Q539" s="1493" t="s">
        <v>635</v>
      </c>
      <c r="R539" s="1494"/>
      <c r="S539" s="1493">
        <v>91.91</v>
      </c>
      <c r="T539" s="1493" t="s">
        <v>1199</v>
      </c>
      <c r="U539" s="1493">
        <v>-0.19</v>
      </c>
      <c r="V539" s="1495" t="s">
        <v>1883</v>
      </c>
      <c r="W539" s="1496">
        <v>1000000</v>
      </c>
      <c r="X539" s="1497" t="s">
        <v>1883</v>
      </c>
      <c r="Y539" s="1498">
        <v>1.2353559317499999E-3</v>
      </c>
      <c r="Z539" s="1498">
        <v>0.38240252355663001</v>
      </c>
      <c r="AA539" s="1498">
        <v>0.91776605653590004</v>
      </c>
      <c r="AB539" s="1498">
        <v>3.21E-4</v>
      </c>
      <c r="AC539" s="1499" t="s">
        <v>1199</v>
      </c>
      <c r="AD539" s="1500">
        <v>2.1</v>
      </c>
      <c r="AE539" s="1503" t="s">
        <v>1119</v>
      </c>
      <c r="AF539" s="1502">
        <v>6.0999999999999997E-4</v>
      </c>
      <c r="AG539" s="1503" t="s">
        <v>1119</v>
      </c>
      <c r="AH539" s="1502" t="s">
        <v>635</v>
      </c>
      <c r="AI539" s="1501"/>
      <c r="AJ539" s="1502" t="s">
        <v>635</v>
      </c>
      <c r="AK539" s="1501"/>
      <c r="AL539" s="1501"/>
      <c r="AM539" s="1501"/>
      <c r="AN539" s="1504">
        <v>1</v>
      </c>
      <c r="AO539" s="1505">
        <v>0.1</v>
      </c>
      <c r="AP539" s="1506" t="s">
        <v>635</v>
      </c>
    </row>
    <row r="540" spans="1:42" ht="30">
      <c r="A540" s="1507" t="s">
        <v>2884</v>
      </c>
      <c r="B540" s="1508" t="s">
        <v>2885</v>
      </c>
      <c r="C540" s="1509">
        <v>137.13999999999999</v>
      </c>
      <c r="D540" s="1510" t="s">
        <v>1883</v>
      </c>
      <c r="E540" s="1511">
        <v>3.8021259198999999E-4</v>
      </c>
      <c r="F540" s="1511">
        <v>9.3000000000000007E-6</v>
      </c>
      <c r="G540" s="1512" t="s">
        <v>1883</v>
      </c>
      <c r="H540" s="1511">
        <v>0.20499999999999999</v>
      </c>
      <c r="I540" s="1512" t="s">
        <v>1199</v>
      </c>
      <c r="J540" s="1513">
        <v>15.5</v>
      </c>
      <c r="K540" s="1514" t="s">
        <v>1883</v>
      </c>
      <c r="L540" s="1515">
        <v>1.1580999999999999</v>
      </c>
      <c r="M540" s="1516" t="s">
        <v>1884</v>
      </c>
      <c r="N540" s="1517">
        <v>5.8686007152479999E-2</v>
      </c>
      <c r="O540" s="1517">
        <v>8.6540803161600003E-6</v>
      </c>
      <c r="P540" s="1518" t="s">
        <v>1885</v>
      </c>
      <c r="Q540" s="1519" t="s">
        <v>635</v>
      </c>
      <c r="R540" s="1520"/>
      <c r="S540" s="1519">
        <v>363.2</v>
      </c>
      <c r="T540" s="1519" t="s">
        <v>1199</v>
      </c>
      <c r="U540" s="1519">
        <v>2.4500000000000002</v>
      </c>
      <c r="V540" s="1521" t="s">
        <v>1883</v>
      </c>
      <c r="W540" s="1522">
        <v>500</v>
      </c>
      <c r="X540" s="1523" t="s">
        <v>1883</v>
      </c>
      <c r="Y540" s="1524">
        <v>5.0896412086840002E-2</v>
      </c>
      <c r="Z540" s="1524">
        <v>0.61635759176264004</v>
      </c>
      <c r="AA540" s="1524">
        <v>1.4792582202303399</v>
      </c>
      <c r="AB540" s="1524">
        <v>1.1299999999999999E-2</v>
      </c>
      <c r="AC540" s="1525" t="s">
        <v>1199</v>
      </c>
      <c r="AD540" s="1526" t="s">
        <v>635</v>
      </c>
      <c r="AE540" s="1527"/>
      <c r="AF540" s="1528" t="s">
        <v>635</v>
      </c>
      <c r="AG540" s="1527"/>
      <c r="AH540" s="1528">
        <v>1E-4</v>
      </c>
      <c r="AI540" s="1529" t="s">
        <v>1893</v>
      </c>
      <c r="AJ540" s="1528" t="s">
        <v>635</v>
      </c>
      <c r="AK540" s="1527"/>
      <c r="AL540" s="1527"/>
      <c r="AM540" s="1527"/>
      <c r="AN540" s="1530">
        <v>1</v>
      </c>
      <c r="AO540" s="1531">
        <v>0.1</v>
      </c>
      <c r="AP540" s="1532" t="s">
        <v>635</v>
      </c>
    </row>
    <row r="541" spans="1:42" ht="30">
      <c r="A541" s="1481" t="s">
        <v>2886</v>
      </c>
      <c r="B541" s="1482" t="s">
        <v>2887</v>
      </c>
      <c r="C541" s="1483">
        <v>137.13999999999999</v>
      </c>
      <c r="D541" s="1484" t="s">
        <v>1883</v>
      </c>
      <c r="E541" s="1485">
        <v>5.1103843008999997E-4</v>
      </c>
      <c r="F541" s="1485">
        <v>1.2500000000000001E-5</v>
      </c>
      <c r="G541" s="1486" t="s">
        <v>1883</v>
      </c>
      <c r="H541" s="1485">
        <v>0.188</v>
      </c>
      <c r="I541" s="1486" t="s">
        <v>1199</v>
      </c>
      <c r="J541" s="1487">
        <v>-10</v>
      </c>
      <c r="K541" s="1488" t="s">
        <v>1883</v>
      </c>
      <c r="L541" s="1489">
        <v>1.1611</v>
      </c>
      <c r="M541" s="1490" t="s">
        <v>1884</v>
      </c>
      <c r="N541" s="1491">
        <v>5.8753531680989998E-2</v>
      </c>
      <c r="O541" s="1491">
        <v>8.6675241326199996E-6</v>
      </c>
      <c r="P541" s="1492" t="s">
        <v>1885</v>
      </c>
      <c r="Q541" s="1493" t="s">
        <v>635</v>
      </c>
      <c r="R541" s="1494"/>
      <c r="S541" s="1493">
        <v>370.6</v>
      </c>
      <c r="T541" s="1493" t="s">
        <v>1199</v>
      </c>
      <c r="U541" s="1493">
        <v>2.2999999999999998</v>
      </c>
      <c r="V541" s="1495" t="s">
        <v>1883</v>
      </c>
      <c r="W541" s="1496">
        <v>650</v>
      </c>
      <c r="X541" s="1497" t="s">
        <v>1883</v>
      </c>
      <c r="Y541" s="1498">
        <v>4.0491924306260002E-2</v>
      </c>
      <c r="Z541" s="1498">
        <v>0.61635759176264004</v>
      </c>
      <c r="AA541" s="1498">
        <v>1.4792582202303399</v>
      </c>
      <c r="AB541" s="1498">
        <v>8.9899999999999997E-3</v>
      </c>
      <c r="AC541" s="1499" t="s">
        <v>1199</v>
      </c>
      <c r="AD541" s="1500">
        <v>0.22</v>
      </c>
      <c r="AE541" s="1503" t="s">
        <v>1909</v>
      </c>
      <c r="AF541" s="1502" t="s">
        <v>635</v>
      </c>
      <c r="AG541" s="1501"/>
      <c r="AH541" s="1502">
        <v>8.9999999999999998E-4</v>
      </c>
      <c r="AI541" s="1503" t="s">
        <v>1909</v>
      </c>
      <c r="AJ541" s="1502" t="s">
        <v>635</v>
      </c>
      <c r="AK541" s="1501"/>
      <c r="AL541" s="1503" t="s">
        <v>1127</v>
      </c>
      <c r="AM541" s="1501"/>
      <c r="AN541" s="1504">
        <v>1</v>
      </c>
      <c r="AO541" s="1504" t="s">
        <v>635</v>
      </c>
      <c r="AP541" s="1506">
        <v>1510</v>
      </c>
    </row>
    <row r="542" spans="1:42" ht="30">
      <c r="A542" s="1481" t="s">
        <v>2888</v>
      </c>
      <c r="B542" s="1482" t="s">
        <v>2889</v>
      </c>
      <c r="C542" s="1483">
        <v>137.13999999999999</v>
      </c>
      <c r="D542" s="1484" t="s">
        <v>1883</v>
      </c>
      <c r="E542" s="1485">
        <v>2.3017170891E-4</v>
      </c>
      <c r="F542" s="1485">
        <v>5.6300000000000003E-6</v>
      </c>
      <c r="G542" s="1486" t="s">
        <v>1883</v>
      </c>
      <c r="H542" s="1485">
        <v>1.5699999999999999E-2</v>
      </c>
      <c r="I542" s="1486" t="s">
        <v>1199</v>
      </c>
      <c r="J542" s="1487">
        <v>51.6</v>
      </c>
      <c r="K542" s="1488" t="s">
        <v>1883</v>
      </c>
      <c r="L542" s="1489">
        <v>1.1037999999999999</v>
      </c>
      <c r="M542" s="1490" t="s">
        <v>1884</v>
      </c>
      <c r="N542" s="1491">
        <v>5.7443176786500003E-2</v>
      </c>
      <c r="O542" s="1491">
        <v>8.4082868310900004E-6</v>
      </c>
      <c r="P542" s="1492" t="s">
        <v>1885</v>
      </c>
      <c r="Q542" s="1493" t="s">
        <v>635</v>
      </c>
      <c r="R542" s="1494"/>
      <c r="S542" s="1493">
        <v>363.2</v>
      </c>
      <c r="T542" s="1493" t="s">
        <v>1199</v>
      </c>
      <c r="U542" s="1493">
        <v>2.37</v>
      </c>
      <c r="V542" s="1495" t="s">
        <v>1883</v>
      </c>
      <c r="W542" s="1496">
        <v>442</v>
      </c>
      <c r="X542" s="1497" t="s">
        <v>1883</v>
      </c>
      <c r="Y542" s="1498">
        <v>4.504107264322E-2</v>
      </c>
      <c r="Z542" s="1498">
        <v>0.61635759176264004</v>
      </c>
      <c r="AA542" s="1498">
        <v>1.4792582202303399</v>
      </c>
      <c r="AB542" s="1498">
        <v>0.01</v>
      </c>
      <c r="AC542" s="1499" t="s">
        <v>1199</v>
      </c>
      <c r="AD542" s="1500">
        <v>1.6E-2</v>
      </c>
      <c r="AE542" s="1503" t="s">
        <v>1909</v>
      </c>
      <c r="AF542" s="1502" t="s">
        <v>635</v>
      </c>
      <c r="AG542" s="1501"/>
      <c r="AH542" s="1502">
        <v>4.0000000000000001E-3</v>
      </c>
      <c r="AI542" s="1503" t="s">
        <v>1909</v>
      </c>
      <c r="AJ542" s="1502" t="s">
        <v>635</v>
      </c>
      <c r="AK542" s="1501"/>
      <c r="AL542" s="1501"/>
      <c r="AM542" s="1501"/>
      <c r="AN542" s="1504">
        <v>1</v>
      </c>
      <c r="AO542" s="1505">
        <v>0.1</v>
      </c>
      <c r="AP542" s="1506" t="s">
        <v>635</v>
      </c>
    </row>
    <row r="543" spans="1:42" ht="30">
      <c r="A543" s="1507" t="s">
        <v>2890</v>
      </c>
      <c r="B543" s="1508" t="s">
        <v>2891</v>
      </c>
      <c r="C543" s="1509">
        <v>128.26</v>
      </c>
      <c r="D543" s="1510" t="s">
        <v>1883</v>
      </c>
      <c r="E543" s="1511">
        <v>139.00245298446401</v>
      </c>
      <c r="F543" s="1511">
        <v>3.4</v>
      </c>
      <c r="G543" s="1512" t="s">
        <v>1199</v>
      </c>
      <c r="H543" s="1511">
        <v>4.45</v>
      </c>
      <c r="I543" s="1512" t="s">
        <v>1883</v>
      </c>
      <c r="J543" s="1513">
        <v>-53.5</v>
      </c>
      <c r="K543" s="1514" t="s">
        <v>1883</v>
      </c>
      <c r="L543" s="1515">
        <v>0.71919999999999995</v>
      </c>
      <c r="M543" s="1516" t="s">
        <v>1884</v>
      </c>
      <c r="N543" s="1517">
        <v>5.1431994696579997E-2</v>
      </c>
      <c r="O543" s="1517">
        <v>6.7690362122699998E-6</v>
      </c>
      <c r="P543" s="1518" t="s">
        <v>1885</v>
      </c>
      <c r="Q543" s="1519" t="s">
        <v>635</v>
      </c>
      <c r="R543" s="1520"/>
      <c r="S543" s="1519">
        <v>796</v>
      </c>
      <c r="T543" s="1519" t="s">
        <v>1199</v>
      </c>
      <c r="U543" s="1519">
        <v>5.65</v>
      </c>
      <c r="V543" s="1521" t="s">
        <v>1883</v>
      </c>
      <c r="W543" s="1522">
        <v>0.22</v>
      </c>
      <c r="X543" s="1523" t="s">
        <v>1883</v>
      </c>
      <c r="Y543" s="1524">
        <v>7.4049339860175696</v>
      </c>
      <c r="Z543" s="1524">
        <v>0.54967343630260002</v>
      </c>
      <c r="AA543" s="1524">
        <v>2.4597368290978299</v>
      </c>
      <c r="AB543" s="1524">
        <v>1.7</v>
      </c>
      <c r="AC543" s="1525" t="s">
        <v>1199</v>
      </c>
      <c r="AD543" s="1526" t="s">
        <v>635</v>
      </c>
      <c r="AE543" s="1527"/>
      <c r="AF543" s="1528" t="s">
        <v>635</v>
      </c>
      <c r="AG543" s="1527"/>
      <c r="AH543" s="1528">
        <v>2.9999999999999997E-4</v>
      </c>
      <c r="AI543" s="1529" t="s">
        <v>1893</v>
      </c>
      <c r="AJ543" s="1528">
        <v>0.02</v>
      </c>
      <c r="AK543" s="1529" t="s">
        <v>1909</v>
      </c>
      <c r="AL543" s="1529" t="s">
        <v>1127</v>
      </c>
      <c r="AM543" s="1527"/>
      <c r="AN543" s="1530">
        <v>1</v>
      </c>
      <c r="AO543" s="1530" t="s">
        <v>635</v>
      </c>
      <c r="AP543" s="1532">
        <v>6.86</v>
      </c>
    </row>
    <row r="544" spans="1:42" ht="30">
      <c r="A544" s="1481" t="s">
        <v>2892</v>
      </c>
      <c r="B544" s="1482" t="s">
        <v>2893</v>
      </c>
      <c r="C544" s="1483">
        <v>303.67</v>
      </c>
      <c r="D544" s="1484" t="s">
        <v>1883</v>
      </c>
      <c r="E544" s="1485">
        <v>1.40228945217E-8</v>
      </c>
      <c r="F544" s="1485">
        <v>3.43E-10</v>
      </c>
      <c r="G544" s="1486" t="s">
        <v>1199</v>
      </c>
      <c r="H544" s="1485">
        <v>2.8900000000000001E-8</v>
      </c>
      <c r="I544" s="1486" t="s">
        <v>1883</v>
      </c>
      <c r="J544" s="1487">
        <v>184</v>
      </c>
      <c r="K544" s="1488" t="s">
        <v>1883</v>
      </c>
      <c r="L544" s="1489" t="s">
        <v>635</v>
      </c>
      <c r="M544" s="1533"/>
      <c r="N544" s="1491">
        <v>4.2055132729439997E-2</v>
      </c>
      <c r="O544" s="1491">
        <v>4.91381024523E-6</v>
      </c>
      <c r="P544" s="1492" t="s">
        <v>1885</v>
      </c>
      <c r="Q544" s="1493" t="s">
        <v>635</v>
      </c>
      <c r="R544" s="1494"/>
      <c r="S544" s="1493">
        <v>3118</v>
      </c>
      <c r="T544" s="1493" t="s">
        <v>1199</v>
      </c>
      <c r="U544" s="1493">
        <v>2.2999999999999998</v>
      </c>
      <c r="V544" s="1495" t="s">
        <v>1883</v>
      </c>
      <c r="W544" s="1496">
        <v>33.700000000000003</v>
      </c>
      <c r="X544" s="1497" t="s">
        <v>1883</v>
      </c>
      <c r="Y544" s="1498">
        <v>7.0374754983999997E-3</v>
      </c>
      <c r="Z544" s="1498">
        <v>5.27716592632125</v>
      </c>
      <c r="AA544" s="1498">
        <v>12.665198223171</v>
      </c>
      <c r="AB544" s="1498">
        <v>1.0499999999999999E-3</v>
      </c>
      <c r="AC544" s="1499" t="s">
        <v>1199</v>
      </c>
      <c r="AD544" s="1500" t="s">
        <v>635</v>
      </c>
      <c r="AE544" s="1501"/>
      <c r="AF544" s="1502" t="s">
        <v>635</v>
      </c>
      <c r="AG544" s="1501"/>
      <c r="AH544" s="1502">
        <v>1.5E-3</v>
      </c>
      <c r="AI544" s="1503" t="s">
        <v>1116</v>
      </c>
      <c r="AJ544" s="1502" t="s">
        <v>635</v>
      </c>
      <c r="AK544" s="1501"/>
      <c r="AL544" s="1501"/>
      <c r="AM544" s="1501"/>
      <c r="AN544" s="1504">
        <v>1</v>
      </c>
      <c r="AO544" s="1505">
        <v>0.1</v>
      </c>
      <c r="AP544" s="1506" t="s">
        <v>635</v>
      </c>
    </row>
    <row r="545" spans="1:42" ht="30">
      <c r="A545" s="1481" t="s">
        <v>2894</v>
      </c>
      <c r="B545" s="1482" t="s">
        <v>2895</v>
      </c>
      <c r="C545" s="1483">
        <v>801.38</v>
      </c>
      <c r="D545" s="1484" t="s">
        <v>1883</v>
      </c>
      <c r="E545" s="1485">
        <v>3.0580539656600002E-6</v>
      </c>
      <c r="F545" s="1485">
        <v>7.4799999999999995E-8</v>
      </c>
      <c r="G545" s="1486" t="s">
        <v>1883</v>
      </c>
      <c r="H545" s="1485">
        <v>1.2699999999999999E-2</v>
      </c>
      <c r="I545" s="1486" t="s">
        <v>1199</v>
      </c>
      <c r="J545" s="1487">
        <v>200</v>
      </c>
      <c r="K545" s="1488" t="s">
        <v>1883</v>
      </c>
      <c r="L545" s="1489" t="s">
        <v>635</v>
      </c>
      <c r="M545" s="1533"/>
      <c r="N545" s="1491">
        <v>2.2022228672210001E-2</v>
      </c>
      <c r="O545" s="1491">
        <v>2.5731235606499998E-6</v>
      </c>
      <c r="P545" s="1492" t="s">
        <v>1885</v>
      </c>
      <c r="Q545" s="1493" t="s">
        <v>635</v>
      </c>
      <c r="R545" s="1494"/>
      <c r="S545" s="1493">
        <v>98980</v>
      </c>
      <c r="T545" s="1493" t="s">
        <v>1199</v>
      </c>
      <c r="U545" s="1493">
        <v>8.7100000000000009</v>
      </c>
      <c r="V545" s="1495" t="s">
        <v>1883</v>
      </c>
      <c r="W545" s="1496">
        <v>1.11E-8</v>
      </c>
      <c r="X545" s="1497" t="s">
        <v>1883</v>
      </c>
      <c r="Y545" s="1498">
        <v>0.33317110428986002</v>
      </c>
      <c r="Z545" s="1498">
        <v>3232.78445874205</v>
      </c>
      <c r="AA545" s="1498">
        <v>7758.6827009809303</v>
      </c>
      <c r="AB545" s="1498">
        <v>3.0599999999999999E-2</v>
      </c>
      <c r="AC545" s="1499" t="s">
        <v>1199</v>
      </c>
      <c r="AD545" s="1500" t="s">
        <v>635</v>
      </c>
      <c r="AE545" s="1501"/>
      <c r="AF545" s="1502" t="s">
        <v>635</v>
      </c>
      <c r="AG545" s="1501"/>
      <c r="AH545" s="1502">
        <v>3.0000000000000001E-3</v>
      </c>
      <c r="AI545" s="1503" t="s">
        <v>1119</v>
      </c>
      <c r="AJ545" s="1502" t="s">
        <v>635</v>
      </c>
      <c r="AK545" s="1501"/>
      <c r="AL545" s="1501"/>
      <c r="AM545" s="1501"/>
      <c r="AN545" s="1504">
        <v>1</v>
      </c>
      <c r="AO545" s="1505">
        <v>0.1</v>
      </c>
      <c r="AP545" s="1506" t="s">
        <v>635</v>
      </c>
    </row>
    <row r="546" spans="1:42" ht="45">
      <c r="A546" s="1507" t="s">
        <v>2896</v>
      </c>
      <c r="B546" s="1508" t="s">
        <v>2897</v>
      </c>
      <c r="C546" s="1509">
        <v>296.16000000000003</v>
      </c>
      <c r="D546" s="1510" t="s">
        <v>1883</v>
      </c>
      <c r="E546" s="1511">
        <v>3.5445625511000003E-8</v>
      </c>
      <c r="F546" s="1511">
        <v>8.67E-10</v>
      </c>
      <c r="G546" s="1512" t="s">
        <v>1883</v>
      </c>
      <c r="H546" s="1511">
        <v>3.2999999999999998E-14</v>
      </c>
      <c r="I546" s="1512" t="s">
        <v>1883</v>
      </c>
      <c r="J546" s="1513">
        <v>286</v>
      </c>
      <c r="K546" s="1514" t="s">
        <v>1884</v>
      </c>
      <c r="L546" s="1515" t="s">
        <v>635</v>
      </c>
      <c r="M546" s="1538"/>
      <c r="N546" s="1517">
        <v>4.276311502756E-2</v>
      </c>
      <c r="O546" s="1517">
        <v>4.9965323874299999E-6</v>
      </c>
      <c r="P546" s="1518" t="s">
        <v>1885</v>
      </c>
      <c r="Q546" s="1519" t="s">
        <v>635</v>
      </c>
      <c r="R546" s="1520"/>
      <c r="S546" s="1519">
        <v>531.6</v>
      </c>
      <c r="T546" s="1519" t="s">
        <v>1199</v>
      </c>
      <c r="U546" s="1519">
        <v>0.16</v>
      </c>
      <c r="V546" s="1521" t="s">
        <v>1883</v>
      </c>
      <c r="W546" s="1522">
        <v>5</v>
      </c>
      <c r="X546" s="1523" t="s">
        <v>1883</v>
      </c>
      <c r="Y546" s="1524">
        <v>2.8858671991000001E-4</v>
      </c>
      <c r="Z546" s="1524">
        <v>4.7901018706865504</v>
      </c>
      <c r="AA546" s="1524">
        <v>11.496244489647699</v>
      </c>
      <c r="AB546" s="1524">
        <v>4.3600000000000003E-5</v>
      </c>
      <c r="AC546" s="1525" t="s">
        <v>1199</v>
      </c>
      <c r="AD546" s="1526" t="s">
        <v>635</v>
      </c>
      <c r="AE546" s="1527"/>
      <c r="AF546" s="1528" t="s">
        <v>635</v>
      </c>
      <c r="AG546" s="1527"/>
      <c r="AH546" s="1528">
        <v>0.05</v>
      </c>
      <c r="AI546" s="1529" t="s">
        <v>1119</v>
      </c>
      <c r="AJ546" s="1528" t="s">
        <v>635</v>
      </c>
      <c r="AK546" s="1527"/>
      <c r="AL546" s="1527"/>
      <c r="AM546" s="1527"/>
      <c r="AN546" s="1530">
        <v>1</v>
      </c>
      <c r="AO546" s="1546">
        <v>6.0000000000000001E-3</v>
      </c>
      <c r="AP546" s="1532" t="s">
        <v>635</v>
      </c>
    </row>
    <row r="547" spans="1:42" ht="30">
      <c r="A547" s="1481" t="s">
        <v>2898</v>
      </c>
      <c r="B547" s="1482" t="s">
        <v>2899</v>
      </c>
      <c r="C547" s="1483">
        <v>286.25</v>
      </c>
      <c r="D547" s="1484" t="s">
        <v>1883</v>
      </c>
      <c r="E547" s="1485">
        <v>1.5400654129199999E-8</v>
      </c>
      <c r="F547" s="1485">
        <v>3.767E-10</v>
      </c>
      <c r="G547" s="1486" t="s">
        <v>1883</v>
      </c>
      <c r="H547" s="1485">
        <v>1E-3</v>
      </c>
      <c r="I547" s="1486" t="s">
        <v>1883</v>
      </c>
      <c r="J547" s="1487">
        <v>17</v>
      </c>
      <c r="K547" s="1488" t="s">
        <v>1883</v>
      </c>
      <c r="L547" s="1489">
        <v>1.0900000000000001</v>
      </c>
      <c r="M547" s="1490" t="s">
        <v>1884</v>
      </c>
      <c r="N547" s="1491">
        <v>2.1539867510159998E-2</v>
      </c>
      <c r="O547" s="1491">
        <v>5.3663670350500003E-6</v>
      </c>
      <c r="P547" s="1492" t="s">
        <v>1885</v>
      </c>
      <c r="Q547" s="1493" t="s">
        <v>635</v>
      </c>
      <c r="R547" s="1494"/>
      <c r="S547" s="1493">
        <v>20.12</v>
      </c>
      <c r="T547" s="1493" t="s">
        <v>1199</v>
      </c>
      <c r="U547" s="1493">
        <v>-1.01</v>
      </c>
      <c r="V547" s="1495" t="s">
        <v>1883</v>
      </c>
      <c r="W547" s="1496">
        <v>1000000</v>
      </c>
      <c r="X547" s="1497" t="s">
        <v>1883</v>
      </c>
      <c r="Y547" s="1498">
        <v>5.4010412240000003E-5</v>
      </c>
      <c r="Z547" s="1498">
        <v>4.21549666074357</v>
      </c>
      <c r="AA547" s="1498">
        <v>10.117191985784601</v>
      </c>
      <c r="AB547" s="1498">
        <v>8.3000000000000002E-6</v>
      </c>
      <c r="AC547" s="1499" t="s">
        <v>1199</v>
      </c>
      <c r="AD547" s="1500" t="s">
        <v>635</v>
      </c>
      <c r="AE547" s="1501"/>
      <c r="AF547" s="1502" t="s">
        <v>635</v>
      </c>
      <c r="AG547" s="1501"/>
      <c r="AH547" s="1502">
        <v>2E-3</v>
      </c>
      <c r="AI547" s="1503" t="s">
        <v>1073</v>
      </c>
      <c r="AJ547" s="1502" t="s">
        <v>635</v>
      </c>
      <c r="AK547" s="1501"/>
      <c r="AL547" s="1501"/>
      <c r="AM547" s="1501"/>
      <c r="AN547" s="1504">
        <v>1</v>
      </c>
      <c r="AO547" s="1505">
        <v>0.1</v>
      </c>
      <c r="AP547" s="1506" t="s">
        <v>635</v>
      </c>
    </row>
    <row r="548" spans="1:42" ht="30">
      <c r="A548" s="1481" t="s">
        <v>2900</v>
      </c>
      <c r="B548" s="1482" t="s">
        <v>2901</v>
      </c>
      <c r="C548" s="1483">
        <v>346.36</v>
      </c>
      <c r="D548" s="1484" t="s">
        <v>1883</v>
      </c>
      <c r="E548" s="1485">
        <v>7.8086672117699997E-8</v>
      </c>
      <c r="F548" s="1485">
        <v>1.9099999999999998E-9</v>
      </c>
      <c r="G548" s="1486" t="s">
        <v>1883</v>
      </c>
      <c r="H548" s="1485">
        <v>9.7499999999999996E-9</v>
      </c>
      <c r="I548" s="1486" t="s">
        <v>1883</v>
      </c>
      <c r="J548" s="1487">
        <v>141</v>
      </c>
      <c r="K548" s="1488" t="s">
        <v>1883</v>
      </c>
      <c r="L548" s="1489" t="s">
        <v>635</v>
      </c>
      <c r="M548" s="1533"/>
      <c r="N548" s="1491">
        <v>3.8524331708590001E-2</v>
      </c>
      <c r="O548" s="1491">
        <v>4.5012640206899997E-6</v>
      </c>
      <c r="P548" s="1492" t="s">
        <v>1885</v>
      </c>
      <c r="Q548" s="1493" t="s">
        <v>635</v>
      </c>
      <c r="R548" s="1494"/>
      <c r="S548" s="1493">
        <v>825.4</v>
      </c>
      <c r="T548" s="1493" t="s">
        <v>1199</v>
      </c>
      <c r="U548" s="1493">
        <v>3.73</v>
      </c>
      <c r="V548" s="1495" t="s">
        <v>1883</v>
      </c>
      <c r="W548" s="1496">
        <v>2.5</v>
      </c>
      <c r="X548" s="1497" t="s">
        <v>1883</v>
      </c>
      <c r="Y548" s="1498">
        <v>3.8438355867219998E-2</v>
      </c>
      <c r="Z548" s="1498">
        <v>9.1509198098879203</v>
      </c>
      <c r="AA548" s="1498">
        <v>21.962207543731001</v>
      </c>
      <c r="AB548" s="1498">
        <v>5.3699999999999998E-3</v>
      </c>
      <c r="AC548" s="1499" t="s">
        <v>1199</v>
      </c>
      <c r="AD548" s="1500">
        <v>7.79E-3</v>
      </c>
      <c r="AE548" s="1503" t="s">
        <v>1116</v>
      </c>
      <c r="AF548" s="1502" t="s">
        <v>635</v>
      </c>
      <c r="AG548" s="1501"/>
      <c r="AH548" s="1502">
        <v>0.19</v>
      </c>
      <c r="AI548" s="1503" t="s">
        <v>1116</v>
      </c>
      <c r="AJ548" s="1502" t="s">
        <v>635</v>
      </c>
      <c r="AK548" s="1501"/>
      <c r="AL548" s="1501"/>
      <c r="AM548" s="1501"/>
      <c r="AN548" s="1504">
        <v>1</v>
      </c>
      <c r="AO548" s="1505">
        <v>0.1</v>
      </c>
      <c r="AP548" s="1506" t="s">
        <v>635</v>
      </c>
    </row>
    <row r="549" spans="1:42" ht="30">
      <c r="A549" s="1507" t="s">
        <v>2902</v>
      </c>
      <c r="B549" s="1508" t="s">
        <v>2903</v>
      </c>
      <c r="C549" s="1509">
        <v>345.23</v>
      </c>
      <c r="D549" s="1510" t="s">
        <v>1883</v>
      </c>
      <c r="E549" s="1511">
        <v>2.9721995094000002E-6</v>
      </c>
      <c r="F549" s="1511">
        <v>7.2699999999999996E-8</v>
      </c>
      <c r="G549" s="1512" t="s">
        <v>1199</v>
      </c>
      <c r="H549" s="1511">
        <v>1.12E-7</v>
      </c>
      <c r="I549" s="1512" t="s">
        <v>1883</v>
      </c>
      <c r="J549" s="1513">
        <v>90</v>
      </c>
      <c r="K549" s="1514" t="s">
        <v>1883</v>
      </c>
      <c r="L549" s="1515" t="s">
        <v>635</v>
      </c>
      <c r="M549" s="1538"/>
      <c r="N549" s="1517">
        <v>3.8608350635160001E-2</v>
      </c>
      <c r="O549" s="1517">
        <v>4.5110809689500003E-6</v>
      </c>
      <c r="P549" s="1518" t="s">
        <v>1885</v>
      </c>
      <c r="Q549" s="1519" t="s">
        <v>635</v>
      </c>
      <c r="R549" s="1520"/>
      <c r="S549" s="1519">
        <v>4996</v>
      </c>
      <c r="T549" s="1519" t="s">
        <v>1199</v>
      </c>
      <c r="U549" s="1519">
        <v>4.8</v>
      </c>
      <c r="V549" s="1521" t="s">
        <v>1883</v>
      </c>
      <c r="W549" s="1522">
        <v>0.7</v>
      </c>
      <c r="X549" s="1523" t="s">
        <v>1883</v>
      </c>
      <c r="Y549" s="1524">
        <v>0.20009624902966</v>
      </c>
      <c r="Z549" s="1524">
        <v>9.0185506688646804</v>
      </c>
      <c r="AA549" s="1524">
        <v>21.644521605275202</v>
      </c>
      <c r="AB549" s="1524">
        <v>2.8000000000000001E-2</v>
      </c>
      <c r="AC549" s="1525" t="s">
        <v>1199</v>
      </c>
      <c r="AD549" s="1526" t="s">
        <v>635</v>
      </c>
      <c r="AE549" s="1527"/>
      <c r="AF549" s="1528" t="s">
        <v>635</v>
      </c>
      <c r="AG549" s="1527"/>
      <c r="AH549" s="1528">
        <v>5.0000000000000001E-3</v>
      </c>
      <c r="AI549" s="1529" t="s">
        <v>1119</v>
      </c>
      <c r="AJ549" s="1528" t="s">
        <v>635</v>
      </c>
      <c r="AK549" s="1527"/>
      <c r="AL549" s="1527"/>
      <c r="AM549" s="1527"/>
      <c r="AN549" s="1530">
        <v>1</v>
      </c>
      <c r="AO549" s="1531">
        <v>0.1</v>
      </c>
      <c r="AP549" s="1532" t="s">
        <v>635</v>
      </c>
    </row>
    <row r="550" spans="1:42" ht="30">
      <c r="A550" s="1481" t="s">
        <v>2904</v>
      </c>
      <c r="B550" s="1482" t="s">
        <v>2905</v>
      </c>
      <c r="C550" s="1483">
        <v>219.26</v>
      </c>
      <c r="D550" s="1484" t="s">
        <v>1883</v>
      </c>
      <c r="E550" s="1485">
        <v>9.6892886345099993E-9</v>
      </c>
      <c r="F550" s="1485">
        <v>2.3700000000000001E-10</v>
      </c>
      <c r="G550" s="1486" t="s">
        <v>1199</v>
      </c>
      <c r="H550" s="1485">
        <v>2.3000000000000001E-4</v>
      </c>
      <c r="I550" s="1486" t="s">
        <v>1883</v>
      </c>
      <c r="J550" s="1487">
        <v>101</v>
      </c>
      <c r="K550" s="1488" t="s">
        <v>1883</v>
      </c>
      <c r="L550" s="1489">
        <v>0.97</v>
      </c>
      <c r="M550" s="1490" t="s">
        <v>1884</v>
      </c>
      <c r="N550" s="1491">
        <v>2.346960149344E-2</v>
      </c>
      <c r="O550" s="1491">
        <v>5.8716365638699998E-6</v>
      </c>
      <c r="P550" s="1492" t="s">
        <v>1885</v>
      </c>
      <c r="Q550" s="1493" t="s">
        <v>635</v>
      </c>
      <c r="R550" s="1494"/>
      <c r="S550" s="1493">
        <v>10</v>
      </c>
      <c r="T550" s="1493" t="s">
        <v>1199</v>
      </c>
      <c r="U550" s="1493">
        <v>-0.47</v>
      </c>
      <c r="V550" s="1495" t="s">
        <v>1883</v>
      </c>
      <c r="W550" s="1496">
        <v>280000</v>
      </c>
      <c r="X550" s="1497" t="s">
        <v>1883</v>
      </c>
      <c r="Y550" s="1498">
        <v>2.5571293555999997E-4</v>
      </c>
      <c r="Z550" s="1498">
        <v>1.7770708769587999</v>
      </c>
      <c r="AA550" s="1498">
        <v>4.2649701047011099</v>
      </c>
      <c r="AB550" s="1498">
        <v>4.49E-5</v>
      </c>
      <c r="AC550" s="1499" t="s">
        <v>1199</v>
      </c>
      <c r="AD550" s="1500" t="s">
        <v>635</v>
      </c>
      <c r="AE550" s="1501"/>
      <c r="AF550" s="1502" t="s">
        <v>635</v>
      </c>
      <c r="AG550" s="1501"/>
      <c r="AH550" s="1502">
        <v>2.5000000000000001E-2</v>
      </c>
      <c r="AI550" s="1503" t="s">
        <v>1119</v>
      </c>
      <c r="AJ550" s="1502" t="s">
        <v>635</v>
      </c>
      <c r="AK550" s="1501"/>
      <c r="AL550" s="1501"/>
      <c r="AM550" s="1501"/>
      <c r="AN550" s="1504">
        <v>1</v>
      </c>
      <c r="AO550" s="1505">
        <v>0.1</v>
      </c>
      <c r="AP550" s="1506" t="s">
        <v>635</v>
      </c>
    </row>
    <row r="551" spans="1:42" ht="30">
      <c r="A551" s="1481" t="s">
        <v>2906</v>
      </c>
      <c r="B551" s="1482" t="s">
        <v>2907</v>
      </c>
      <c r="C551" s="1483">
        <v>361.71</v>
      </c>
      <c r="D551" s="1484" t="s">
        <v>1883</v>
      </c>
      <c r="E551" s="1485">
        <v>3.352412101E-5</v>
      </c>
      <c r="F551" s="1485">
        <v>8.1999999999999998E-7</v>
      </c>
      <c r="G551" s="1486" t="s">
        <v>1199</v>
      </c>
      <c r="H551" s="1485">
        <v>1.9999999999999999E-7</v>
      </c>
      <c r="I551" s="1486" t="s">
        <v>1883</v>
      </c>
      <c r="J551" s="1487">
        <v>84</v>
      </c>
      <c r="K551" s="1488" t="s">
        <v>1883</v>
      </c>
      <c r="L551" s="1489">
        <v>1.35</v>
      </c>
      <c r="M551" s="1490" t="s">
        <v>1884</v>
      </c>
      <c r="N551" s="1491">
        <v>2.1124212942849999E-2</v>
      </c>
      <c r="O551" s="1491">
        <v>5.3021953350399998E-6</v>
      </c>
      <c r="P551" s="1492" t="s">
        <v>1885</v>
      </c>
      <c r="Q551" s="1493" t="s">
        <v>635</v>
      </c>
      <c r="R551" s="1494"/>
      <c r="S551" s="1493">
        <v>39900</v>
      </c>
      <c r="T551" s="1493" t="s">
        <v>1199</v>
      </c>
      <c r="U551" s="1493">
        <v>4.7300000000000004</v>
      </c>
      <c r="V551" s="1495" t="s">
        <v>1883</v>
      </c>
      <c r="W551" s="1496">
        <v>0.11600000000000001</v>
      </c>
      <c r="X551" s="1497" t="s">
        <v>1883</v>
      </c>
      <c r="Y551" s="1498">
        <v>0.14922345025667999</v>
      </c>
      <c r="Z551" s="1498">
        <v>11.153848714106999</v>
      </c>
      <c r="AA551" s="1498">
        <v>26.769236913856901</v>
      </c>
      <c r="AB551" s="1498">
        <v>2.0400000000000001E-2</v>
      </c>
      <c r="AC551" s="1499" t="s">
        <v>1199</v>
      </c>
      <c r="AD551" s="1500">
        <v>7.3200000000000001E-2</v>
      </c>
      <c r="AE551" s="1503" t="s">
        <v>1116</v>
      </c>
      <c r="AF551" s="1502" t="s">
        <v>635</v>
      </c>
      <c r="AG551" s="1501"/>
      <c r="AH551" s="1502">
        <v>0.04</v>
      </c>
      <c r="AI551" s="1503" t="s">
        <v>1116</v>
      </c>
      <c r="AJ551" s="1502" t="s">
        <v>635</v>
      </c>
      <c r="AK551" s="1501"/>
      <c r="AL551" s="1501"/>
      <c r="AM551" s="1501"/>
      <c r="AN551" s="1504">
        <v>1</v>
      </c>
      <c r="AO551" s="1505">
        <v>0.1</v>
      </c>
      <c r="AP551" s="1506" t="s">
        <v>635</v>
      </c>
    </row>
    <row r="552" spans="1:42" ht="30">
      <c r="A552" s="1507" t="s">
        <v>2908</v>
      </c>
      <c r="B552" s="1508" t="s">
        <v>2909</v>
      </c>
      <c r="C552" s="1509">
        <v>293.8</v>
      </c>
      <c r="D552" s="1510" t="s">
        <v>1883</v>
      </c>
      <c r="E552" s="1511">
        <v>3.38511856092E-9</v>
      </c>
      <c r="F552" s="1511">
        <v>8.2800000000000001E-11</v>
      </c>
      <c r="G552" s="1512" t="s">
        <v>1199</v>
      </c>
      <c r="H552" s="1511">
        <v>7.4999999999999993E-9</v>
      </c>
      <c r="I552" s="1512" t="s">
        <v>1883</v>
      </c>
      <c r="J552" s="1513">
        <v>165.5</v>
      </c>
      <c r="K552" s="1514" t="s">
        <v>1883</v>
      </c>
      <c r="L552" s="1515">
        <v>1.22</v>
      </c>
      <c r="M552" s="1516" t="s">
        <v>1884</v>
      </c>
      <c r="N552" s="1517">
        <v>2.2427541478410001E-2</v>
      </c>
      <c r="O552" s="1517">
        <v>5.6527085629799998E-6</v>
      </c>
      <c r="P552" s="1518" t="s">
        <v>1885</v>
      </c>
      <c r="Q552" s="1519" t="s">
        <v>635</v>
      </c>
      <c r="R552" s="1520"/>
      <c r="S552" s="1519">
        <v>922.9</v>
      </c>
      <c r="T552" s="1519" t="s">
        <v>1199</v>
      </c>
      <c r="U552" s="1519">
        <v>3.2</v>
      </c>
      <c r="V552" s="1521" t="s">
        <v>1883</v>
      </c>
      <c r="W552" s="1522">
        <v>26</v>
      </c>
      <c r="X552" s="1523" t="s">
        <v>1883</v>
      </c>
      <c r="Y552" s="1524">
        <v>3.1050847257109999E-2</v>
      </c>
      <c r="Z552" s="1524">
        <v>4.6465300441761999</v>
      </c>
      <c r="AA552" s="1524">
        <v>11.1516721060229</v>
      </c>
      <c r="AB552" s="1524">
        <v>4.7099999999999998E-3</v>
      </c>
      <c r="AC552" s="1525" t="s">
        <v>1199</v>
      </c>
      <c r="AD552" s="1526" t="s">
        <v>635</v>
      </c>
      <c r="AE552" s="1527"/>
      <c r="AF552" s="1528" t="s">
        <v>635</v>
      </c>
      <c r="AG552" s="1527"/>
      <c r="AH552" s="1528">
        <v>1.2999999999999999E-2</v>
      </c>
      <c r="AI552" s="1529" t="s">
        <v>1119</v>
      </c>
      <c r="AJ552" s="1528" t="s">
        <v>635</v>
      </c>
      <c r="AK552" s="1527"/>
      <c r="AL552" s="1527"/>
      <c r="AM552" s="1527"/>
      <c r="AN552" s="1530">
        <v>1</v>
      </c>
      <c r="AO552" s="1531">
        <v>0.1</v>
      </c>
      <c r="AP552" s="1532" t="s">
        <v>635</v>
      </c>
    </row>
    <row r="553" spans="1:42" ht="30">
      <c r="A553" s="1481" t="s">
        <v>2910</v>
      </c>
      <c r="B553" s="1482" t="s">
        <v>2911</v>
      </c>
      <c r="C553" s="1483">
        <v>257.16000000000003</v>
      </c>
      <c r="D553" s="1484" t="s">
        <v>1883</v>
      </c>
      <c r="E553" s="1485">
        <v>1.3164349959E-11</v>
      </c>
      <c r="F553" s="1485">
        <v>3.2199999999999999E-13</v>
      </c>
      <c r="G553" s="1486" t="s">
        <v>1883</v>
      </c>
      <c r="H553" s="1485">
        <v>7.4999999999999997E-8</v>
      </c>
      <c r="I553" s="1486" t="s">
        <v>1883</v>
      </c>
      <c r="J553" s="1487">
        <v>300</v>
      </c>
      <c r="K553" s="1488" t="s">
        <v>1199</v>
      </c>
      <c r="L553" s="1489" t="s">
        <v>635</v>
      </c>
      <c r="M553" s="1533"/>
      <c r="N553" s="1491">
        <v>4.6984144433049997E-2</v>
      </c>
      <c r="O553" s="1491">
        <v>5.4897263495500004E-6</v>
      </c>
      <c r="P553" s="1492" t="s">
        <v>1885</v>
      </c>
      <c r="Q553" s="1493" t="s">
        <v>635</v>
      </c>
      <c r="R553" s="1494"/>
      <c r="S553" s="1493">
        <v>6780</v>
      </c>
      <c r="T553" s="1493" t="s">
        <v>1199</v>
      </c>
      <c r="U553" s="1493">
        <v>-4.5</v>
      </c>
      <c r="V553" s="1495" t="s">
        <v>1883</v>
      </c>
      <c r="W553" s="1496">
        <v>620000</v>
      </c>
      <c r="X553" s="1497" t="s">
        <v>1883</v>
      </c>
      <c r="Y553" s="1498">
        <v>3.5588048497499997E-7</v>
      </c>
      <c r="Z553" s="1498">
        <v>2.89697501483354</v>
      </c>
      <c r="AA553" s="1498">
        <v>6.9527400356004998</v>
      </c>
      <c r="AB553" s="1498">
        <v>5.7700000000000001E-8</v>
      </c>
      <c r="AC553" s="1499" t="s">
        <v>1199</v>
      </c>
      <c r="AD553" s="1500" t="s">
        <v>635</v>
      </c>
      <c r="AE553" s="1501"/>
      <c r="AF553" s="1502" t="s">
        <v>635</v>
      </c>
      <c r="AG553" s="1501"/>
      <c r="AH553" s="1502">
        <v>4.4999999999999997E-3</v>
      </c>
      <c r="AI553" s="1503" t="s">
        <v>1119</v>
      </c>
      <c r="AJ553" s="1502" t="s">
        <v>635</v>
      </c>
      <c r="AK553" s="1501"/>
      <c r="AL553" s="1501"/>
      <c r="AM553" s="1501"/>
      <c r="AN553" s="1504">
        <v>1</v>
      </c>
      <c r="AO553" s="1505">
        <v>0.1</v>
      </c>
      <c r="AP553" s="1506" t="s">
        <v>635</v>
      </c>
    </row>
    <row r="554" spans="1:42" ht="30">
      <c r="A554" s="1481" t="s">
        <v>2912</v>
      </c>
      <c r="B554" s="1482" t="s">
        <v>2913</v>
      </c>
      <c r="C554" s="1483">
        <v>291.26</v>
      </c>
      <c r="D554" s="1484" t="s">
        <v>1883</v>
      </c>
      <c r="E554" s="1485">
        <v>1.2183156170000001E-5</v>
      </c>
      <c r="F554" s="1485">
        <v>2.9799999999999999E-7</v>
      </c>
      <c r="G554" s="1486" t="s">
        <v>1883</v>
      </c>
      <c r="H554" s="1485">
        <v>6.6800000000000004E-6</v>
      </c>
      <c r="I554" s="1486" t="s">
        <v>1883</v>
      </c>
      <c r="J554" s="1487">
        <v>6.1</v>
      </c>
      <c r="K554" s="1488" t="s">
        <v>1883</v>
      </c>
      <c r="L554" s="1489">
        <v>1.2681</v>
      </c>
      <c r="M554" s="1490" t="s">
        <v>1884</v>
      </c>
      <c r="N554" s="1491">
        <v>2.2948916377980001E-2</v>
      </c>
      <c r="O554" s="1491">
        <v>5.8156112230099997E-6</v>
      </c>
      <c r="P554" s="1492" t="s">
        <v>1885</v>
      </c>
      <c r="Q554" s="1493" t="s">
        <v>635</v>
      </c>
      <c r="R554" s="1494"/>
      <c r="S554" s="1493">
        <v>2422</v>
      </c>
      <c r="T554" s="1493" t="s">
        <v>1199</v>
      </c>
      <c r="U554" s="1493">
        <v>3.83</v>
      </c>
      <c r="V554" s="1495" t="s">
        <v>1883</v>
      </c>
      <c r="W554" s="1496">
        <v>11</v>
      </c>
      <c r="X554" s="1497" t="s">
        <v>1883</v>
      </c>
      <c r="Y554" s="1498">
        <v>8.4018910241129993E-2</v>
      </c>
      <c r="Z554" s="1498">
        <v>4.4968121904181899</v>
      </c>
      <c r="AA554" s="1498">
        <v>10.7923492570037</v>
      </c>
      <c r="AB554" s="1498">
        <v>1.2800000000000001E-2</v>
      </c>
      <c r="AC554" s="1499" t="s">
        <v>1199</v>
      </c>
      <c r="AD554" s="1500" t="s">
        <v>635</v>
      </c>
      <c r="AE554" s="1501"/>
      <c r="AF554" s="1502" t="s">
        <v>635</v>
      </c>
      <c r="AG554" s="1501"/>
      <c r="AH554" s="1502">
        <v>6.0000000000000001E-3</v>
      </c>
      <c r="AI554" s="1503" t="s">
        <v>1073</v>
      </c>
      <c r="AJ554" s="1502" t="s">
        <v>635</v>
      </c>
      <c r="AK554" s="1501"/>
      <c r="AL554" s="1501"/>
      <c r="AM554" s="1501"/>
      <c r="AN554" s="1504">
        <v>1</v>
      </c>
      <c r="AO554" s="1505">
        <v>0.1</v>
      </c>
      <c r="AP554" s="1506" t="s">
        <v>635</v>
      </c>
    </row>
    <row r="555" spans="1:42" ht="30">
      <c r="A555" s="1507" t="s">
        <v>2914</v>
      </c>
      <c r="B555" s="1508" t="s">
        <v>2915</v>
      </c>
      <c r="C555" s="1509">
        <v>203.35</v>
      </c>
      <c r="D555" s="1510" t="s">
        <v>1883</v>
      </c>
      <c r="E555" s="1511">
        <v>9.6892886345100009E-3</v>
      </c>
      <c r="F555" s="1511">
        <v>2.3699999999999999E-4</v>
      </c>
      <c r="G555" s="1512" t="s">
        <v>1199</v>
      </c>
      <c r="H555" s="1511">
        <v>8.8499999999999995E-2</v>
      </c>
      <c r="I555" s="1512" t="s">
        <v>1883</v>
      </c>
      <c r="J555" s="1513">
        <v>70.540000000000006</v>
      </c>
      <c r="K555" s="1514" t="s">
        <v>1199</v>
      </c>
      <c r="L555" s="1515">
        <v>0.94579999999999997</v>
      </c>
      <c r="M555" s="1516" t="s">
        <v>1884</v>
      </c>
      <c r="N555" s="1517">
        <v>2.414417699436E-2</v>
      </c>
      <c r="O555" s="1517">
        <v>6.0506892809300003E-6</v>
      </c>
      <c r="P555" s="1518" t="s">
        <v>1885</v>
      </c>
      <c r="Q555" s="1519" t="s">
        <v>635</v>
      </c>
      <c r="R555" s="1520"/>
      <c r="S555" s="1519">
        <v>299.10000000000002</v>
      </c>
      <c r="T555" s="1519" t="s">
        <v>1199</v>
      </c>
      <c r="U555" s="1519">
        <v>3.83</v>
      </c>
      <c r="V555" s="1521" t="s">
        <v>1883</v>
      </c>
      <c r="W555" s="1522">
        <v>100</v>
      </c>
      <c r="X555" s="1523" t="s">
        <v>1883</v>
      </c>
      <c r="Y555" s="1524">
        <v>0.21774051569368999</v>
      </c>
      <c r="Z555" s="1524">
        <v>1.44746726111346</v>
      </c>
      <c r="AA555" s="1524">
        <v>3.4739214266723</v>
      </c>
      <c r="AB555" s="1524">
        <v>3.9699999999999999E-2</v>
      </c>
      <c r="AC555" s="1525" t="s">
        <v>1199</v>
      </c>
      <c r="AD555" s="1526" t="s">
        <v>635</v>
      </c>
      <c r="AE555" s="1527"/>
      <c r="AF555" s="1528" t="s">
        <v>635</v>
      </c>
      <c r="AG555" s="1527"/>
      <c r="AH555" s="1528">
        <v>0.05</v>
      </c>
      <c r="AI555" s="1529" t="s">
        <v>1073</v>
      </c>
      <c r="AJ555" s="1528" t="s">
        <v>635</v>
      </c>
      <c r="AK555" s="1527"/>
      <c r="AL555" s="1529" t="s">
        <v>1127</v>
      </c>
      <c r="AM555" s="1527"/>
      <c r="AN555" s="1530">
        <v>1</v>
      </c>
      <c r="AO555" s="1530" t="s">
        <v>635</v>
      </c>
      <c r="AP555" s="1532" t="s">
        <v>635</v>
      </c>
    </row>
    <row r="556" spans="1:42" ht="30">
      <c r="A556" s="1481" t="s">
        <v>2916</v>
      </c>
      <c r="B556" s="1482" t="s">
        <v>2917</v>
      </c>
      <c r="C556" s="1483">
        <v>281.31</v>
      </c>
      <c r="D556" s="1484" t="s">
        <v>1883</v>
      </c>
      <c r="E556" s="1485">
        <v>3.4995911690000003E-5</v>
      </c>
      <c r="F556" s="1485">
        <v>8.5600000000000004E-7</v>
      </c>
      <c r="G556" s="1486" t="s">
        <v>1199</v>
      </c>
      <c r="H556" s="1485">
        <v>1.4600000000000001E-5</v>
      </c>
      <c r="I556" s="1486" t="s">
        <v>1883</v>
      </c>
      <c r="J556" s="1487">
        <v>56</v>
      </c>
      <c r="K556" s="1488" t="s">
        <v>1883</v>
      </c>
      <c r="L556" s="1489">
        <v>1.19</v>
      </c>
      <c r="M556" s="1490" t="s">
        <v>1884</v>
      </c>
      <c r="N556" s="1491">
        <v>2.2672723320820001E-2</v>
      </c>
      <c r="O556" s="1491">
        <v>5.7159555908999997E-6</v>
      </c>
      <c r="P556" s="1492" t="s">
        <v>1885</v>
      </c>
      <c r="Q556" s="1493" t="s">
        <v>635</v>
      </c>
      <c r="R556" s="1494"/>
      <c r="S556" s="1493">
        <v>5615</v>
      </c>
      <c r="T556" s="1493" t="s">
        <v>1199</v>
      </c>
      <c r="U556" s="1493">
        <v>5.2</v>
      </c>
      <c r="V556" s="1495" t="s">
        <v>1883</v>
      </c>
      <c r="W556" s="1496">
        <v>0.33</v>
      </c>
      <c r="X556" s="1497" t="s">
        <v>1883</v>
      </c>
      <c r="Y556" s="1498">
        <v>0.74185166841424</v>
      </c>
      <c r="Z556" s="1498">
        <v>3.95534845484547</v>
      </c>
      <c r="AA556" s="1498">
        <v>15.2768740601116</v>
      </c>
      <c r="AB556" s="1498">
        <v>0.115</v>
      </c>
      <c r="AC556" s="1499" t="s">
        <v>1199</v>
      </c>
      <c r="AD556" s="1500" t="s">
        <v>635</v>
      </c>
      <c r="AE556" s="1501"/>
      <c r="AF556" s="1502" t="s">
        <v>635</v>
      </c>
      <c r="AG556" s="1501"/>
      <c r="AH556" s="1502">
        <v>0.3</v>
      </c>
      <c r="AI556" s="1503" t="s">
        <v>1116</v>
      </c>
      <c r="AJ556" s="1502" t="s">
        <v>635</v>
      </c>
      <c r="AK556" s="1501"/>
      <c r="AL556" s="1501"/>
      <c r="AM556" s="1501"/>
      <c r="AN556" s="1504">
        <v>1</v>
      </c>
      <c r="AO556" s="1505">
        <v>0.1</v>
      </c>
      <c r="AP556" s="1506" t="s">
        <v>635</v>
      </c>
    </row>
    <row r="557" spans="1:42" ht="30">
      <c r="A557" s="1481" t="s">
        <v>2918</v>
      </c>
      <c r="B557" s="1482" t="s">
        <v>2919</v>
      </c>
      <c r="C557" s="1483">
        <v>564.69000000000005</v>
      </c>
      <c r="D557" s="1484" t="s">
        <v>1883</v>
      </c>
      <c r="E557" s="1485">
        <v>4.4153720359800001E-3</v>
      </c>
      <c r="F557" s="1485">
        <v>1.08E-4</v>
      </c>
      <c r="G557" s="1486" t="s">
        <v>1883</v>
      </c>
      <c r="H557" s="1485">
        <v>3.1E-8</v>
      </c>
      <c r="I557" s="1486" t="s">
        <v>1199</v>
      </c>
      <c r="J557" s="1487">
        <v>-5</v>
      </c>
      <c r="K557" s="1488" t="s">
        <v>1883</v>
      </c>
      <c r="L557" s="1489" t="s">
        <v>635</v>
      </c>
      <c r="M557" s="1533"/>
      <c r="N557" s="1491">
        <v>2.7810803486240002E-2</v>
      </c>
      <c r="O557" s="1491">
        <v>3.2494728283899999E-6</v>
      </c>
      <c r="P557" s="1492" t="s">
        <v>1885</v>
      </c>
      <c r="Q557" s="1493" t="s">
        <v>635</v>
      </c>
      <c r="R557" s="1494"/>
      <c r="S557" s="1493">
        <v>21660</v>
      </c>
      <c r="T557" s="1493" t="s">
        <v>1199</v>
      </c>
      <c r="U557" s="1493">
        <v>6.84</v>
      </c>
      <c r="V557" s="1495" t="s">
        <v>1883</v>
      </c>
      <c r="W557" s="1496">
        <v>2.3999999999999998E-3</v>
      </c>
      <c r="X557" s="1497" t="s">
        <v>1883</v>
      </c>
      <c r="Y557" s="1498">
        <v>0.34091062140968997</v>
      </c>
      <c r="Z557" s="1498">
        <v>152.796268967885</v>
      </c>
      <c r="AA557" s="1498">
        <v>366.711045522924</v>
      </c>
      <c r="AB557" s="1498">
        <v>3.73E-2</v>
      </c>
      <c r="AC557" s="1499" t="s">
        <v>1199</v>
      </c>
      <c r="AD557" s="1500" t="s">
        <v>635</v>
      </c>
      <c r="AE557" s="1501"/>
      <c r="AF557" s="1502" t="s">
        <v>635</v>
      </c>
      <c r="AG557" s="1501"/>
      <c r="AH557" s="1502">
        <v>2E-3</v>
      </c>
      <c r="AI557" s="1503" t="s">
        <v>1119</v>
      </c>
      <c r="AJ557" s="1502" t="s">
        <v>635</v>
      </c>
      <c r="AK557" s="1501"/>
      <c r="AL557" s="1503" t="s">
        <v>1127</v>
      </c>
      <c r="AM557" s="1501"/>
      <c r="AN557" s="1504">
        <v>1</v>
      </c>
      <c r="AO557" s="1504" t="s">
        <v>635</v>
      </c>
      <c r="AP557" s="1506">
        <v>0.312</v>
      </c>
    </row>
    <row r="558" spans="1:42" ht="45">
      <c r="A558" s="1507" t="s">
        <v>2920</v>
      </c>
      <c r="B558" s="1508" t="s">
        <v>2921</v>
      </c>
      <c r="C558" s="1509">
        <v>564.69000000000005</v>
      </c>
      <c r="D558" s="1510" t="s">
        <v>1883</v>
      </c>
      <c r="E558" s="1511">
        <v>4.8242027800000003E-5</v>
      </c>
      <c r="F558" s="1511">
        <v>1.1799999999999999E-6</v>
      </c>
      <c r="G558" s="1512" t="s">
        <v>1883</v>
      </c>
      <c r="H558" s="1511">
        <v>3.1E-8</v>
      </c>
      <c r="I558" s="1512" t="s">
        <v>1199</v>
      </c>
      <c r="J558" s="1513">
        <v>-5</v>
      </c>
      <c r="K558" s="1514" t="s">
        <v>1199</v>
      </c>
      <c r="L558" s="1515">
        <v>2.2799999999999998</v>
      </c>
      <c r="M558" s="1516" t="s">
        <v>2258</v>
      </c>
      <c r="N558" s="1517">
        <v>2.1640032048369999E-2</v>
      </c>
      <c r="O558" s="1517">
        <v>5.5583593619899997E-6</v>
      </c>
      <c r="P558" s="1518" t="s">
        <v>1885</v>
      </c>
      <c r="Q558" s="1519" t="s">
        <v>635</v>
      </c>
      <c r="R558" s="1520"/>
      <c r="S558" s="1519">
        <v>21660</v>
      </c>
      <c r="T558" s="1519" t="s">
        <v>1199</v>
      </c>
      <c r="U558" s="1519">
        <v>7.66</v>
      </c>
      <c r="V558" s="1521" t="s">
        <v>1883</v>
      </c>
      <c r="W558" s="1522">
        <v>7.8609999999999994E-5</v>
      </c>
      <c r="X558" s="1523" t="s">
        <v>1883</v>
      </c>
      <c r="Y558" s="1524">
        <v>0.34091062140968997</v>
      </c>
      <c r="Z558" s="1524">
        <v>152.796268967885</v>
      </c>
      <c r="AA558" s="1524">
        <v>366.711045522924</v>
      </c>
      <c r="AB558" s="1524">
        <v>3.73E-2</v>
      </c>
      <c r="AC558" s="1525" t="s">
        <v>1199</v>
      </c>
      <c r="AD558" s="1526" t="s">
        <v>635</v>
      </c>
      <c r="AE558" s="1527"/>
      <c r="AF558" s="1528" t="s">
        <v>635</v>
      </c>
      <c r="AG558" s="1527"/>
      <c r="AH558" s="1528">
        <v>1E-4</v>
      </c>
      <c r="AI558" s="1529" t="s">
        <v>1119</v>
      </c>
      <c r="AJ558" s="1528" t="s">
        <v>635</v>
      </c>
      <c r="AK558" s="1527"/>
      <c r="AL558" s="1527"/>
      <c r="AM558" s="1527"/>
      <c r="AN558" s="1530">
        <v>1</v>
      </c>
      <c r="AO558" s="1531">
        <v>0.1</v>
      </c>
      <c r="AP558" s="1532" t="s">
        <v>635</v>
      </c>
    </row>
    <row r="559" spans="1:42" ht="30">
      <c r="A559" s="1481" t="s">
        <v>2922</v>
      </c>
      <c r="B559" s="1482" t="s">
        <v>2923</v>
      </c>
      <c r="C559" s="1483">
        <v>250.34</v>
      </c>
      <c r="D559" s="1484" t="s">
        <v>1883</v>
      </c>
      <c r="E559" s="1485">
        <v>2.8740801308260001E-2</v>
      </c>
      <c r="F559" s="1485">
        <v>7.0299999999999996E-4</v>
      </c>
      <c r="G559" s="1486" t="s">
        <v>1883</v>
      </c>
      <c r="H559" s="1485">
        <v>1.01E-3</v>
      </c>
      <c r="I559" s="1486" t="s">
        <v>1199</v>
      </c>
      <c r="J559" s="1487">
        <v>86</v>
      </c>
      <c r="K559" s="1488" t="s">
        <v>1883</v>
      </c>
      <c r="L559" s="1489">
        <v>1.8342000000000001</v>
      </c>
      <c r="M559" s="1490" t="s">
        <v>1884</v>
      </c>
      <c r="N559" s="1491">
        <v>2.9433217290019999E-2</v>
      </c>
      <c r="O559" s="1491">
        <v>7.9473371280199994E-6</v>
      </c>
      <c r="P559" s="1492" t="s">
        <v>1885</v>
      </c>
      <c r="Q559" s="1493" t="s">
        <v>635</v>
      </c>
      <c r="R559" s="1494"/>
      <c r="S559" s="1493">
        <v>3708</v>
      </c>
      <c r="T559" s="1493" t="s">
        <v>1199</v>
      </c>
      <c r="U559" s="1493">
        <v>5.17</v>
      </c>
      <c r="V559" s="1495" t="s">
        <v>1883</v>
      </c>
      <c r="W559" s="1496">
        <v>0.83099999999999996</v>
      </c>
      <c r="X559" s="1497" t="s">
        <v>1883</v>
      </c>
      <c r="Y559" s="1498">
        <v>1.0223534283917599</v>
      </c>
      <c r="Z559" s="1498">
        <v>2.6530946852068702</v>
      </c>
      <c r="AA559" s="1498">
        <v>10.247658742406299</v>
      </c>
      <c r="AB559" s="1498">
        <v>0.16800000000000001</v>
      </c>
      <c r="AC559" s="1499" t="s">
        <v>1199</v>
      </c>
      <c r="AD559" s="1500" t="s">
        <v>635</v>
      </c>
      <c r="AE559" s="1501"/>
      <c r="AF559" s="1502" t="s">
        <v>635</v>
      </c>
      <c r="AG559" s="1501"/>
      <c r="AH559" s="1502">
        <v>8.0000000000000004E-4</v>
      </c>
      <c r="AI559" s="1503" t="s">
        <v>1119</v>
      </c>
      <c r="AJ559" s="1502" t="s">
        <v>635</v>
      </c>
      <c r="AK559" s="1501"/>
      <c r="AL559" s="1503" t="s">
        <v>1127</v>
      </c>
      <c r="AM559" s="1501"/>
      <c r="AN559" s="1504">
        <v>1</v>
      </c>
      <c r="AO559" s="1504" t="s">
        <v>635</v>
      </c>
      <c r="AP559" s="1506" t="s">
        <v>635</v>
      </c>
    </row>
    <row r="560" spans="1:42" ht="30">
      <c r="A560" s="1481" t="s">
        <v>2924</v>
      </c>
      <c r="B560" s="1482" t="s">
        <v>2925</v>
      </c>
      <c r="C560" s="1483">
        <v>202.3</v>
      </c>
      <c r="D560" s="1484" t="s">
        <v>1883</v>
      </c>
      <c r="E560" s="1485">
        <v>7.9313164349959997E-2</v>
      </c>
      <c r="F560" s="1485">
        <v>1.9400000000000001E-3</v>
      </c>
      <c r="G560" s="1486" t="s">
        <v>1199</v>
      </c>
      <c r="H560" s="1485">
        <v>3.5</v>
      </c>
      <c r="I560" s="1486" t="s">
        <v>1883</v>
      </c>
      <c r="J560" s="1487">
        <v>-28.78</v>
      </c>
      <c r="K560" s="1488" t="s">
        <v>1883</v>
      </c>
      <c r="L560" s="1489">
        <v>1.6796</v>
      </c>
      <c r="M560" s="1490" t="s">
        <v>1884</v>
      </c>
      <c r="N560" s="1491">
        <v>3.1516669035570002E-2</v>
      </c>
      <c r="O560" s="1491">
        <v>8.5663884011900001E-6</v>
      </c>
      <c r="P560" s="1492" t="s">
        <v>1885</v>
      </c>
      <c r="Q560" s="1493" t="s">
        <v>635</v>
      </c>
      <c r="R560" s="1494"/>
      <c r="S560" s="1493">
        <v>136.19999999999999</v>
      </c>
      <c r="T560" s="1493" t="s">
        <v>1199</v>
      </c>
      <c r="U560" s="1493">
        <v>3.22</v>
      </c>
      <c r="V560" s="1495" t="s">
        <v>1883</v>
      </c>
      <c r="W560" s="1496">
        <v>490</v>
      </c>
      <c r="X560" s="1497" t="s">
        <v>1883</v>
      </c>
      <c r="Y560" s="1498">
        <v>8.6433416587330003E-2</v>
      </c>
      <c r="Z560" s="1498">
        <v>1.42800178272608</v>
      </c>
      <c r="AA560" s="1498">
        <v>3.4272042785425798</v>
      </c>
      <c r="AB560" s="1498">
        <v>1.5800000000000002E-2</v>
      </c>
      <c r="AC560" s="1499" t="s">
        <v>1199</v>
      </c>
      <c r="AD560" s="1500">
        <v>0.09</v>
      </c>
      <c r="AE560" s="1503" t="s">
        <v>1909</v>
      </c>
      <c r="AF560" s="1502" t="s">
        <v>635</v>
      </c>
      <c r="AG560" s="1501"/>
      <c r="AH560" s="1502" t="s">
        <v>635</v>
      </c>
      <c r="AI560" s="1501"/>
      <c r="AJ560" s="1502" t="s">
        <v>635</v>
      </c>
      <c r="AK560" s="1501"/>
      <c r="AL560" s="1503" t="s">
        <v>1127</v>
      </c>
      <c r="AM560" s="1501"/>
      <c r="AN560" s="1504">
        <v>1</v>
      </c>
      <c r="AO560" s="1504" t="s">
        <v>635</v>
      </c>
      <c r="AP560" s="1506">
        <v>457</v>
      </c>
    </row>
    <row r="561" spans="1:42" ht="30">
      <c r="A561" s="1507" t="s">
        <v>2926</v>
      </c>
      <c r="B561" s="1508" t="s">
        <v>2927</v>
      </c>
      <c r="C561" s="1509">
        <v>295.33999999999997</v>
      </c>
      <c r="D561" s="1510" t="s">
        <v>1883</v>
      </c>
      <c r="E561" s="1511">
        <v>1.8070318887999999E-3</v>
      </c>
      <c r="F561" s="1511">
        <v>4.4199999999999997E-5</v>
      </c>
      <c r="G561" s="1512" t="s">
        <v>1199</v>
      </c>
      <c r="H561" s="1511">
        <v>5.0000000000000002E-5</v>
      </c>
      <c r="I561" s="1512" t="s">
        <v>1883</v>
      </c>
      <c r="J561" s="1513">
        <v>144</v>
      </c>
      <c r="K561" s="1514" t="s">
        <v>1883</v>
      </c>
      <c r="L561" s="1515">
        <v>1.718</v>
      </c>
      <c r="M561" s="1516" t="s">
        <v>1884</v>
      </c>
      <c r="N561" s="1517">
        <v>2.627423995484E-2</v>
      </c>
      <c r="O561" s="1517">
        <v>6.9197802827099996E-6</v>
      </c>
      <c r="P561" s="1518" t="s">
        <v>1885</v>
      </c>
      <c r="Q561" s="1519" t="s">
        <v>635</v>
      </c>
      <c r="R561" s="1520"/>
      <c r="S561" s="1519">
        <v>5996</v>
      </c>
      <c r="T561" s="1519" t="s">
        <v>1199</v>
      </c>
      <c r="U561" s="1519">
        <v>4.6399999999999997</v>
      </c>
      <c r="V561" s="1521" t="s">
        <v>1883</v>
      </c>
      <c r="W561" s="1522">
        <v>0.44</v>
      </c>
      <c r="X561" s="1523" t="s">
        <v>1883</v>
      </c>
      <c r="Y561" s="1524">
        <v>0.27628930189784001</v>
      </c>
      <c r="Z561" s="1524">
        <v>4.7397206900280899</v>
      </c>
      <c r="AA561" s="1524">
        <v>11.3753296560674</v>
      </c>
      <c r="AB561" s="1524">
        <v>4.1799999999999997E-2</v>
      </c>
      <c r="AC561" s="1525" t="s">
        <v>1199</v>
      </c>
      <c r="AD561" s="1526">
        <v>0.26</v>
      </c>
      <c r="AE561" s="1529" t="s">
        <v>1073</v>
      </c>
      <c r="AF561" s="1528" t="s">
        <v>635</v>
      </c>
      <c r="AG561" s="1527"/>
      <c r="AH561" s="1528">
        <v>3.0000000000000001E-3</v>
      </c>
      <c r="AI561" s="1529" t="s">
        <v>1119</v>
      </c>
      <c r="AJ561" s="1528" t="s">
        <v>635</v>
      </c>
      <c r="AK561" s="1527"/>
      <c r="AL561" s="1529" t="s">
        <v>1127</v>
      </c>
      <c r="AM561" s="1527"/>
      <c r="AN561" s="1530">
        <v>1</v>
      </c>
      <c r="AO561" s="1530" t="s">
        <v>635</v>
      </c>
      <c r="AP561" s="1532" t="s">
        <v>635</v>
      </c>
    </row>
    <row r="562" spans="1:42" ht="30">
      <c r="A562" s="1481" t="s">
        <v>260</v>
      </c>
      <c r="B562" s="1482" t="s">
        <v>259</v>
      </c>
      <c r="C562" s="1483">
        <v>266.33999999999997</v>
      </c>
      <c r="D562" s="1484" t="s">
        <v>1883</v>
      </c>
      <c r="E562" s="1485">
        <v>1.0016353229800001E-6</v>
      </c>
      <c r="F562" s="1485">
        <v>2.4500000000000001E-8</v>
      </c>
      <c r="G562" s="1486" t="s">
        <v>1883</v>
      </c>
      <c r="H562" s="1485">
        <v>1.1E-4</v>
      </c>
      <c r="I562" s="1486" t="s">
        <v>1883</v>
      </c>
      <c r="J562" s="1487">
        <v>174</v>
      </c>
      <c r="K562" s="1488" t="s">
        <v>1883</v>
      </c>
      <c r="L562" s="1489">
        <v>1.978</v>
      </c>
      <c r="M562" s="1490" t="s">
        <v>1884</v>
      </c>
      <c r="N562" s="1491">
        <v>2.9519689785330001E-2</v>
      </c>
      <c r="O562" s="1491">
        <v>8.0120879260399998E-6</v>
      </c>
      <c r="P562" s="1492" t="s">
        <v>1885</v>
      </c>
      <c r="Q562" s="1493" t="s">
        <v>635</v>
      </c>
      <c r="R562" s="1494"/>
      <c r="S562" s="1493">
        <v>592</v>
      </c>
      <c r="T562" s="1493" t="s">
        <v>1959</v>
      </c>
      <c r="U562" s="1493">
        <v>5.12</v>
      </c>
      <c r="V562" s="1495" t="s">
        <v>1883</v>
      </c>
      <c r="W562" s="1496">
        <v>14</v>
      </c>
      <c r="X562" s="1497" t="s">
        <v>1883</v>
      </c>
      <c r="Y562" s="1498">
        <v>0.79716563913217997</v>
      </c>
      <c r="Z562" s="1498">
        <v>3.2610146481414501</v>
      </c>
      <c r="AA562" s="1498">
        <v>12.5468979093956</v>
      </c>
      <c r="AB562" s="1498">
        <v>0.127</v>
      </c>
      <c r="AC562" s="1499" t="s">
        <v>1199</v>
      </c>
      <c r="AD562" s="1500">
        <v>0.4</v>
      </c>
      <c r="AE562" s="1503" t="s">
        <v>1119</v>
      </c>
      <c r="AF562" s="1502">
        <v>5.1000000000000003E-6</v>
      </c>
      <c r="AG562" s="1503" t="s">
        <v>1900</v>
      </c>
      <c r="AH562" s="1502">
        <v>5.0000000000000001E-3</v>
      </c>
      <c r="AI562" s="1503" t="s">
        <v>1119</v>
      </c>
      <c r="AJ562" s="1502" t="s">
        <v>635</v>
      </c>
      <c r="AK562" s="1501"/>
      <c r="AL562" s="1501"/>
      <c r="AM562" s="1501"/>
      <c r="AN562" s="1504">
        <v>1</v>
      </c>
      <c r="AO562" s="1539">
        <v>0.25</v>
      </c>
      <c r="AP562" s="1506" t="s">
        <v>635</v>
      </c>
    </row>
    <row r="563" spans="1:42" ht="30">
      <c r="A563" s="1481" t="s">
        <v>2928</v>
      </c>
      <c r="B563" s="1482" t="s">
        <v>2929</v>
      </c>
      <c r="C563" s="1483">
        <v>316.14</v>
      </c>
      <c r="D563" s="1484" t="s">
        <v>1883</v>
      </c>
      <c r="E563" s="1485">
        <v>5.39656582175E-8</v>
      </c>
      <c r="F563" s="1485">
        <v>1.32E-9</v>
      </c>
      <c r="G563" s="1486" t="s">
        <v>1883</v>
      </c>
      <c r="H563" s="1485">
        <v>5.45E-9</v>
      </c>
      <c r="I563" s="1486" t="s">
        <v>1199</v>
      </c>
      <c r="J563" s="1487">
        <v>140.5</v>
      </c>
      <c r="K563" s="1488" t="s">
        <v>1883</v>
      </c>
      <c r="L563" s="1489">
        <v>1.7729999999999999</v>
      </c>
      <c r="M563" s="1490" t="s">
        <v>1884</v>
      </c>
      <c r="N563" s="1491">
        <v>2.575597654184E-2</v>
      </c>
      <c r="O563" s="1491">
        <v>6.7696987567500001E-6</v>
      </c>
      <c r="P563" s="1492" t="s">
        <v>1885</v>
      </c>
      <c r="Q563" s="1493" t="s">
        <v>635</v>
      </c>
      <c r="R563" s="1494"/>
      <c r="S563" s="1493">
        <v>647.9</v>
      </c>
      <c r="T563" s="1493" t="s">
        <v>1199</v>
      </c>
      <c r="U563" s="1493">
        <v>2.38</v>
      </c>
      <c r="V563" s="1495" t="s">
        <v>1883</v>
      </c>
      <c r="W563" s="1496">
        <v>43</v>
      </c>
      <c r="X563" s="1497" t="s">
        <v>1883</v>
      </c>
      <c r="Y563" s="1498">
        <v>6.9069728724199999E-3</v>
      </c>
      <c r="Z563" s="1498">
        <v>6.1977313850137996</v>
      </c>
      <c r="AA563" s="1498">
        <v>14.8745553240331</v>
      </c>
      <c r="AB563" s="1498">
        <v>1.01E-3</v>
      </c>
      <c r="AC563" s="1499" t="s">
        <v>1199</v>
      </c>
      <c r="AD563" s="1500">
        <v>4.3E-3</v>
      </c>
      <c r="AE563" s="1503" t="s">
        <v>1893</v>
      </c>
      <c r="AF563" s="1502" t="s">
        <v>635</v>
      </c>
      <c r="AG563" s="1501"/>
      <c r="AH563" s="1502">
        <v>8.9999999999999993E-3</v>
      </c>
      <c r="AI563" s="1503" t="s">
        <v>1909</v>
      </c>
      <c r="AJ563" s="1502" t="s">
        <v>635</v>
      </c>
      <c r="AK563" s="1501"/>
      <c r="AL563" s="1501"/>
      <c r="AM563" s="1501"/>
      <c r="AN563" s="1504">
        <v>1</v>
      </c>
      <c r="AO563" s="1505">
        <v>0.1</v>
      </c>
      <c r="AP563" s="1506" t="s">
        <v>635</v>
      </c>
    </row>
    <row r="564" spans="1:42" ht="30">
      <c r="A564" s="1507" t="s">
        <v>2930</v>
      </c>
      <c r="B564" s="1508" t="s">
        <v>2931</v>
      </c>
      <c r="C564" s="1509">
        <v>165.17699999999999</v>
      </c>
      <c r="D564" s="1510" t="s">
        <v>2932</v>
      </c>
      <c r="E564" s="1511">
        <v>2.9765E-5</v>
      </c>
      <c r="F564" s="1511">
        <v>7.3399999999999998E-7</v>
      </c>
      <c r="G564" s="1512" t="s">
        <v>2932</v>
      </c>
      <c r="H564" s="1511">
        <v>0.14499999999999999</v>
      </c>
      <c r="I564" s="1512" t="s">
        <v>2932</v>
      </c>
      <c r="J564" s="1513">
        <v>21.7</v>
      </c>
      <c r="K564" s="1514" t="s">
        <v>1199</v>
      </c>
      <c r="L564" s="1515">
        <v>1.07</v>
      </c>
      <c r="M564" s="1516" t="s">
        <v>2932</v>
      </c>
      <c r="N564" s="1517">
        <v>4.220246139139E-2</v>
      </c>
      <c r="O564" s="1517">
        <v>7.3812904298399999E-6</v>
      </c>
      <c r="P564" s="1518" t="s">
        <v>1885</v>
      </c>
      <c r="Q564" s="1519" t="s">
        <v>635</v>
      </c>
      <c r="R564" s="1520"/>
      <c r="S564" s="1519">
        <v>3.12</v>
      </c>
      <c r="T564" s="1519" t="s">
        <v>1199</v>
      </c>
      <c r="U564" s="1519">
        <v>-0.77</v>
      </c>
      <c r="V564" s="1521" t="s">
        <v>1199</v>
      </c>
      <c r="W564" s="1522">
        <v>1.78</v>
      </c>
      <c r="X564" s="1523" t="s">
        <v>1199</v>
      </c>
      <c r="Y564" s="1524">
        <v>2.8201132265999999E-4</v>
      </c>
      <c r="Z564" s="1524">
        <v>0.88478947860305002</v>
      </c>
      <c r="AA564" s="1524">
        <v>2.1234947486473099</v>
      </c>
      <c r="AB564" s="1524">
        <v>5.7051242389999998E-5</v>
      </c>
      <c r="AC564" s="1525" t="s">
        <v>1203</v>
      </c>
      <c r="AD564" s="1526" t="s">
        <v>635</v>
      </c>
      <c r="AE564" s="1527"/>
      <c r="AF564" s="1528" t="s">
        <v>635</v>
      </c>
      <c r="AG564" s="1527"/>
      <c r="AH564" s="1528">
        <v>1E-4</v>
      </c>
      <c r="AI564" s="1529" t="s">
        <v>1893</v>
      </c>
      <c r="AJ564" s="1528" t="s">
        <v>635</v>
      </c>
      <c r="AK564" s="1527"/>
      <c r="AL564" s="1527"/>
      <c r="AM564" s="1527"/>
      <c r="AN564" s="1530">
        <v>1</v>
      </c>
      <c r="AO564" s="1531">
        <v>0.1</v>
      </c>
      <c r="AP564" s="1532" t="s">
        <v>635</v>
      </c>
    </row>
    <row r="565" spans="1:42" ht="30">
      <c r="A565" s="1481" t="s">
        <v>2933</v>
      </c>
      <c r="B565" s="1482" t="s">
        <v>2934</v>
      </c>
      <c r="C565" s="1483">
        <v>72.150999999999996</v>
      </c>
      <c r="D565" s="1484" t="s">
        <v>1883</v>
      </c>
      <c r="E565" s="1485">
        <v>51.103843008994303</v>
      </c>
      <c r="F565" s="1485">
        <v>1.25</v>
      </c>
      <c r="G565" s="1486" t="s">
        <v>1883</v>
      </c>
      <c r="H565" s="1485">
        <v>514</v>
      </c>
      <c r="I565" s="1486" t="s">
        <v>1883</v>
      </c>
      <c r="J565" s="1487">
        <v>-129.69999999999999</v>
      </c>
      <c r="K565" s="1488" t="s">
        <v>1883</v>
      </c>
      <c r="L565" s="1489">
        <v>0.62619999999999998</v>
      </c>
      <c r="M565" s="1490" t="s">
        <v>1884</v>
      </c>
      <c r="N565" s="1491">
        <v>8.212927659449E-2</v>
      </c>
      <c r="O565" s="1491">
        <v>8.7973971192200008E-6</v>
      </c>
      <c r="P565" s="1492" t="s">
        <v>1885</v>
      </c>
      <c r="Q565" s="1493" t="s">
        <v>635</v>
      </c>
      <c r="R565" s="1494"/>
      <c r="S565" s="1493">
        <v>72.17</v>
      </c>
      <c r="T565" s="1493" t="s">
        <v>1199</v>
      </c>
      <c r="U565" s="1493">
        <v>3.39</v>
      </c>
      <c r="V565" s="1495" t="s">
        <v>1883</v>
      </c>
      <c r="W565" s="1496">
        <v>38</v>
      </c>
      <c r="X565" s="1497" t="s">
        <v>1883</v>
      </c>
      <c r="Y565" s="1498">
        <v>0.35936892006691001</v>
      </c>
      <c r="Z565" s="1498">
        <v>0.26662099793909</v>
      </c>
      <c r="AA565" s="1498">
        <v>0.63989039505379997</v>
      </c>
      <c r="AB565" s="1498">
        <v>0.11</v>
      </c>
      <c r="AC565" s="1499" t="s">
        <v>1199</v>
      </c>
      <c r="AD565" s="1500" t="s">
        <v>635</v>
      </c>
      <c r="AE565" s="1501"/>
      <c r="AF565" s="1502" t="s">
        <v>635</v>
      </c>
      <c r="AG565" s="1501"/>
      <c r="AH565" s="1502" t="s">
        <v>635</v>
      </c>
      <c r="AI565" s="1501"/>
      <c r="AJ565" s="1502">
        <v>1</v>
      </c>
      <c r="AK565" s="1503" t="s">
        <v>1909</v>
      </c>
      <c r="AL565" s="1503" t="s">
        <v>1127</v>
      </c>
      <c r="AM565" s="1501"/>
      <c r="AN565" s="1504">
        <v>1</v>
      </c>
      <c r="AO565" s="1504" t="s">
        <v>635</v>
      </c>
      <c r="AP565" s="1506">
        <v>388</v>
      </c>
    </row>
    <row r="566" spans="1:42" ht="30">
      <c r="A566" s="1481"/>
      <c r="B566" s="1482" t="s">
        <v>2935</v>
      </c>
      <c r="C566" s="1483" t="s">
        <v>635</v>
      </c>
      <c r="D566" s="1543"/>
      <c r="E566" s="1485" t="s">
        <v>635</v>
      </c>
      <c r="F566" s="1485" t="s">
        <v>635</v>
      </c>
      <c r="G566" s="1536"/>
      <c r="H566" s="1485" t="s">
        <v>635</v>
      </c>
      <c r="I566" s="1536"/>
      <c r="J566" s="1487" t="s">
        <v>635</v>
      </c>
      <c r="K566" s="1542"/>
      <c r="L566" s="1489" t="s">
        <v>635</v>
      </c>
      <c r="M566" s="1533"/>
      <c r="N566" s="1491" t="s">
        <v>635</v>
      </c>
      <c r="O566" s="1491" t="s">
        <v>635</v>
      </c>
      <c r="P566" s="1544"/>
      <c r="Q566" s="1493" t="s">
        <v>635</v>
      </c>
      <c r="R566" s="1494"/>
      <c r="S566" s="1493" t="s">
        <v>635</v>
      </c>
      <c r="T566" s="1494"/>
      <c r="U566" s="1493" t="s">
        <v>635</v>
      </c>
      <c r="V566" s="1481"/>
      <c r="W566" s="1496" t="s">
        <v>635</v>
      </c>
      <c r="X566" s="1537"/>
      <c r="Y566" s="1498" t="s">
        <v>635</v>
      </c>
      <c r="Z566" s="1498" t="s">
        <v>635</v>
      </c>
      <c r="AA566" s="1498" t="s">
        <v>635</v>
      </c>
      <c r="AB566" s="1498" t="s">
        <v>635</v>
      </c>
      <c r="AC566" s="1547"/>
      <c r="AD566" s="1500" t="s">
        <v>635</v>
      </c>
      <c r="AE566" s="1501"/>
      <c r="AF566" s="1502" t="s">
        <v>635</v>
      </c>
      <c r="AG566" s="1501"/>
      <c r="AH566" s="1502" t="s">
        <v>635</v>
      </c>
      <c r="AI566" s="1501"/>
      <c r="AJ566" s="1502" t="s">
        <v>635</v>
      </c>
      <c r="AK566" s="1501"/>
      <c r="AL566" s="1501"/>
      <c r="AM566" s="1501"/>
      <c r="AN566" s="1504" t="s">
        <v>635</v>
      </c>
      <c r="AO566" s="1504" t="s">
        <v>635</v>
      </c>
      <c r="AP566" s="1506" t="s">
        <v>635</v>
      </c>
    </row>
    <row r="567" spans="1:42" ht="30">
      <c r="A567" s="1507" t="s">
        <v>2936</v>
      </c>
      <c r="B567" s="1508" t="s">
        <v>2937</v>
      </c>
      <c r="C567" s="1509">
        <v>347.08</v>
      </c>
      <c r="D567" s="1510" t="s">
        <v>2938</v>
      </c>
      <c r="E567" s="1511" t="s">
        <v>635</v>
      </c>
      <c r="F567" s="1511" t="s">
        <v>635</v>
      </c>
      <c r="G567" s="1534"/>
      <c r="H567" s="1511">
        <v>8.7757199999999994E-6</v>
      </c>
      <c r="I567" s="1512" t="s">
        <v>2939</v>
      </c>
      <c r="J567" s="1513">
        <v>43</v>
      </c>
      <c r="K567" s="1514" t="s">
        <v>2940</v>
      </c>
      <c r="L567" s="1515">
        <v>1.1180000000000001</v>
      </c>
      <c r="M567" s="1516" t="s">
        <v>2939</v>
      </c>
      <c r="N567" s="1517">
        <v>1.9696200185110001E-2</v>
      </c>
      <c r="O567" s="1517">
        <v>4.85376896452E-6</v>
      </c>
      <c r="P567" s="1518" t="s">
        <v>1885</v>
      </c>
      <c r="Q567" s="1519" t="s">
        <v>635</v>
      </c>
      <c r="R567" s="1520"/>
      <c r="S567" s="1519">
        <v>407</v>
      </c>
      <c r="T567" s="1519" t="s">
        <v>2940</v>
      </c>
      <c r="U567" s="1519">
        <v>5.12</v>
      </c>
      <c r="V567" s="1521" t="s">
        <v>2940</v>
      </c>
      <c r="W567" s="1522">
        <v>1000000</v>
      </c>
      <c r="X567" s="1523" t="s">
        <v>2939</v>
      </c>
      <c r="Y567" s="1524">
        <v>0.31997627806287998</v>
      </c>
      <c r="Z567" s="1524">
        <v>9.2362727570406609</v>
      </c>
      <c r="AA567" s="1524">
        <v>22.167054616897602</v>
      </c>
      <c r="AB567" s="1524">
        <v>4.4655641849740003E-2</v>
      </c>
      <c r="AC567" s="1525" t="s">
        <v>1203</v>
      </c>
      <c r="AD567" s="1526" t="s">
        <v>635</v>
      </c>
      <c r="AE567" s="1527"/>
      <c r="AF567" s="1528" t="s">
        <v>635</v>
      </c>
      <c r="AG567" s="1527"/>
      <c r="AH567" s="1528">
        <v>3.0000000000000001E-6</v>
      </c>
      <c r="AI567" s="1529" t="s">
        <v>2941</v>
      </c>
      <c r="AJ567" s="1528" t="s">
        <v>635</v>
      </c>
      <c r="AK567" s="1527"/>
      <c r="AL567" s="1527"/>
      <c r="AM567" s="1527"/>
      <c r="AN567" s="1530">
        <v>1</v>
      </c>
      <c r="AO567" s="1531">
        <v>0.1</v>
      </c>
      <c r="AP567" s="1532" t="s">
        <v>635</v>
      </c>
    </row>
    <row r="568" spans="1:42" ht="45">
      <c r="A568" s="1481" t="s">
        <v>2942</v>
      </c>
      <c r="B568" s="1482" t="s">
        <v>2943</v>
      </c>
      <c r="C568" s="1483">
        <v>231.07</v>
      </c>
      <c r="D568" s="1484" t="s">
        <v>2940</v>
      </c>
      <c r="E568" s="1485">
        <v>2.0500000000000002E-3</v>
      </c>
      <c r="F568" s="1485">
        <v>5.0099999999999998E-5</v>
      </c>
      <c r="G568" s="1486" t="s">
        <v>2940</v>
      </c>
      <c r="H568" s="1485">
        <v>33.9</v>
      </c>
      <c r="I568" s="1486" t="s">
        <v>2940</v>
      </c>
      <c r="J568" s="1487">
        <v>-14</v>
      </c>
      <c r="K568" s="1488" t="s">
        <v>2940</v>
      </c>
      <c r="L568" s="1489">
        <v>0.64100000000000001</v>
      </c>
      <c r="M568" s="1490" t="s">
        <v>2944</v>
      </c>
      <c r="N568" s="1491">
        <v>1.865432591775E-2</v>
      </c>
      <c r="O568" s="1491">
        <v>4.4375212999200003E-6</v>
      </c>
      <c r="P568" s="1492" t="s">
        <v>1885</v>
      </c>
      <c r="Q568" s="1493" t="s">
        <v>635</v>
      </c>
      <c r="R568" s="1494"/>
      <c r="S568" s="1493">
        <v>75.86</v>
      </c>
      <c r="T568" s="1551" t="s">
        <v>2945</v>
      </c>
      <c r="U568" s="1493">
        <v>2</v>
      </c>
      <c r="V568" s="1495" t="s">
        <v>2940</v>
      </c>
      <c r="W568" s="1496">
        <v>483</v>
      </c>
      <c r="X568" s="1497" t="s">
        <v>2940</v>
      </c>
      <c r="Y568" s="1498">
        <v>9.8693785751000004E-3</v>
      </c>
      <c r="Z568" s="1498">
        <v>2.0693823928705299</v>
      </c>
      <c r="AA568" s="1498">
        <v>4.9665177428892697</v>
      </c>
      <c r="AB568" s="1498">
        <v>1.68807358469E-3</v>
      </c>
      <c r="AC568" s="1499" t="s">
        <v>1203</v>
      </c>
      <c r="AD568" s="1500" t="s">
        <v>635</v>
      </c>
      <c r="AE568" s="1501"/>
      <c r="AF568" s="1502" t="s">
        <v>635</v>
      </c>
      <c r="AG568" s="1501"/>
      <c r="AH568" s="1502">
        <v>1E-3</v>
      </c>
      <c r="AI568" s="1503" t="s">
        <v>1119</v>
      </c>
      <c r="AJ568" s="1502" t="s">
        <v>635</v>
      </c>
      <c r="AK568" s="1501"/>
      <c r="AL568" s="1503" t="s">
        <v>1127</v>
      </c>
      <c r="AM568" s="1501"/>
      <c r="AN568" s="1504">
        <v>1</v>
      </c>
      <c r="AO568" s="1504" t="s">
        <v>635</v>
      </c>
      <c r="AP568" s="1506">
        <v>268</v>
      </c>
    </row>
    <row r="569" spans="1:42" ht="30">
      <c r="A569" s="1481" t="s">
        <v>2946</v>
      </c>
      <c r="B569" s="1482" t="s">
        <v>2947</v>
      </c>
      <c r="C569" s="1483">
        <v>531.11699999999996</v>
      </c>
      <c r="D569" s="1484" t="s">
        <v>2940</v>
      </c>
      <c r="E569" s="1485">
        <v>6.17E-9</v>
      </c>
      <c r="F569" s="1485">
        <v>1.51E-10</v>
      </c>
      <c r="G569" s="1486" t="s">
        <v>2940</v>
      </c>
      <c r="H569" s="1485">
        <v>2.3900000000000001E-2</v>
      </c>
      <c r="I569" s="1486" t="s">
        <v>2940</v>
      </c>
      <c r="J569" s="1487">
        <v>83</v>
      </c>
      <c r="K569" s="1488" t="s">
        <v>2940</v>
      </c>
      <c r="L569" s="1489">
        <v>1.76</v>
      </c>
      <c r="M569" s="1490" t="s">
        <v>2940</v>
      </c>
      <c r="N569" s="1491">
        <v>1.969872534001E-2</v>
      </c>
      <c r="O569" s="1491">
        <v>4.93702413973E-6</v>
      </c>
      <c r="P569" s="1492" t="s">
        <v>1885</v>
      </c>
      <c r="Q569" s="1493" t="s">
        <v>635</v>
      </c>
      <c r="R569" s="1494"/>
      <c r="S569" s="1493">
        <v>398</v>
      </c>
      <c r="T569" s="1493" t="s">
        <v>2940</v>
      </c>
      <c r="U569" s="1493">
        <v>7.11</v>
      </c>
      <c r="V569" s="1495" t="s">
        <v>2940</v>
      </c>
      <c r="W569" s="1496">
        <v>1.2099999999999999E-3</v>
      </c>
      <c r="X569" s="1497" t="s">
        <v>2940</v>
      </c>
      <c r="Y569" s="1498">
        <v>0.77134094877382997</v>
      </c>
      <c r="Z569" s="1498">
        <v>99.106913171435096</v>
      </c>
      <c r="AA569" s="1498">
        <v>381.83304865427101</v>
      </c>
      <c r="AB569" s="1498">
        <v>8.7021113156599994E-2</v>
      </c>
      <c r="AC569" s="1499" t="s">
        <v>1203</v>
      </c>
      <c r="AD569" s="1500" t="s">
        <v>635</v>
      </c>
      <c r="AE569" s="1501"/>
      <c r="AF569" s="1502" t="s">
        <v>635</v>
      </c>
      <c r="AG569" s="1501"/>
      <c r="AH569" s="1502">
        <v>2.0700000000000001E-9</v>
      </c>
      <c r="AI569" s="1503" t="s">
        <v>1119</v>
      </c>
      <c r="AJ569" s="1502" t="s">
        <v>635</v>
      </c>
      <c r="AK569" s="1501"/>
      <c r="AL569" s="1501"/>
      <c r="AM569" s="1501"/>
      <c r="AN569" s="1504">
        <v>1</v>
      </c>
      <c r="AO569" s="1505">
        <v>0.1</v>
      </c>
      <c r="AP569" s="1506" t="s">
        <v>635</v>
      </c>
    </row>
    <row r="570" spans="1:42" ht="45">
      <c r="A570" s="1507" t="s">
        <v>2948</v>
      </c>
      <c r="B570" s="1508" t="s">
        <v>2949</v>
      </c>
      <c r="C570" s="1509">
        <v>331.08499999999998</v>
      </c>
      <c r="D570" s="1510" t="s">
        <v>2940</v>
      </c>
      <c r="E570" s="1511">
        <v>9.6099999999999997E-9</v>
      </c>
      <c r="F570" s="1511">
        <v>2.3500000000000002E-10</v>
      </c>
      <c r="G570" s="1512" t="s">
        <v>2940</v>
      </c>
      <c r="H570" s="1511" t="s">
        <v>635</v>
      </c>
      <c r="I570" s="1534"/>
      <c r="J570" s="1513">
        <v>39.200000000000003</v>
      </c>
      <c r="K570" s="1514" t="s">
        <v>2940</v>
      </c>
      <c r="L570" s="1515">
        <v>1.762</v>
      </c>
      <c r="M570" s="1516" t="s">
        <v>2944</v>
      </c>
      <c r="N570" s="1517">
        <v>2.508691177334E-2</v>
      </c>
      <c r="O570" s="1517">
        <v>6.5601173890900002E-6</v>
      </c>
      <c r="P570" s="1518" t="s">
        <v>1885</v>
      </c>
      <c r="Q570" s="1519" t="s">
        <v>635</v>
      </c>
      <c r="R570" s="1520"/>
      <c r="S570" s="1519">
        <v>20.420000000000002</v>
      </c>
      <c r="T570" s="1552" t="s">
        <v>2945</v>
      </c>
      <c r="U570" s="1519">
        <v>3.97</v>
      </c>
      <c r="V570" s="1521" t="s">
        <v>2940</v>
      </c>
      <c r="W570" s="1522">
        <v>1109.1348</v>
      </c>
      <c r="X570" s="1523" t="s">
        <v>2940</v>
      </c>
      <c r="Y570" s="1524">
        <v>6.6123983165329997E-2</v>
      </c>
      <c r="Z570" s="1524">
        <v>7.5149267129217403</v>
      </c>
      <c r="AA570" s="1524">
        <v>18.0358241110122</v>
      </c>
      <c r="AB570" s="1524">
        <v>9.4484942258500001E-3</v>
      </c>
      <c r="AC570" s="1525" t="s">
        <v>1203</v>
      </c>
      <c r="AD570" s="1526" t="s">
        <v>635</v>
      </c>
      <c r="AE570" s="1527"/>
      <c r="AF570" s="1528" t="s">
        <v>635</v>
      </c>
      <c r="AG570" s="1527"/>
      <c r="AH570" s="1528">
        <v>5.0000000000000001E-4</v>
      </c>
      <c r="AI570" s="1529" t="s">
        <v>1119</v>
      </c>
      <c r="AJ570" s="1528" t="s">
        <v>635</v>
      </c>
      <c r="AK570" s="1527"/>
      <c r="AL570" s="1527"/>
      <c r="AM570" s="1527"/>
      <c r="AN570" s="1530">
        <v>1</v>
      </c>
      <c r="AO570" s="1531">
        <v>0.1</v>
      </c>
      <c r="AP570" s="1532" t="s">
        <v>635</v>
      </c>
    </row>
    <row r="571" spans="1:42" ht="60">
      <c r="A571" s="1481" t="s">
        <v>2950</v>
      </c>
      <c r="B571" s="1482" t="s">
        <v>2951</v>
      </c>
      <c r="C571" s="1483">
        <v>431.1</v>
      </c>
      <c r="D571" s="1484" t="s">
        <v>1884</v>
      </c>
      <c r="E571" s="1485">
        <v>1.4603399999999999E-4</v>
      </c>
      <c r="F571" s="1485">
        <v>3.5727000000000001E-6</v>
      </c>
      <c r="G571" s="1553" t="s">
        <v>2952</v>
      </c>
      <c r="H571" s="1485">
        <v>6.0754999999999997E-5</v>
      </c>
      <c r="I571" s="1486" t="s">
        <v>2347</v>
      </c>
      <c r="J571" s="1487">
        <v>105</v>
      </c>
      <c r="K571" s="1554" t="s">
        <v>2347</v>
      </c>
      <c r="L571" s="1489">
        <v>1.792</v>
      </c>
      <c r="M571" s="1490" t="s">
        <v>2944</v>
      </c>
      <c r="N571" s="1491">
        <v>2.211115160464E-2</v>
      </c>
      <c r="O571" s="1491">
        <v>5.6562391183800001E-6</v>
      </c>
      <c r="P571" s="1492" t="s">
        <v>1885</v>
      </c>
      <c r="Q571" s="1493">
        <v>15</v>
      </c>
      <c r="R571" s="1551" t="s">
        <v>2944</v>
      </c>
      <c r="S571" s="1493">
        <v>114.8</v>
      </c>
      <c r="T571" s="1551" t="s">
        <v>2953</v>
      </c>
      <c r="U571" s="1493">
        <v>0.69899999999999995</v>
      </c>
      <c r="V571" s="1495" t="s">
        <v>2954</v>
      </c>
      <c r="W571" s="1496">
        <v>20000</v>
      </c>
      <c r="X571" s="1497" t="s">
        <v>2954</v>
      </c>
      <c r="Y571" s="1498">
        <v>1.3885184247999999E-4</v>
      </c>
      <c r="Z571" s="1498">
        <v>27.290327633573401</v>
      </c>
      <c r="AA571" s="1498">
        <v>65.496786320576206</v>
      </c>
      <c r="AB571" s="1498">
        <v>1.7387453580000001E-5</v>
      </c>
      <c r="AC571" s="1499" t="s">
        <v>1203</v>
      </c>
      <c r="AD571" s="1500">
        <v>29300</v>
      </c>
      <c r="AE571" s="1503" t="s">
        <v>2941</v>
      </c>
      <c r="AF571" s="1502" t="s">
        <v>635</v>
      </c>
      <c r="AG571" s="1501"/>
      <c r="AH571" s="1502">
        <v>2.9999999999999997E-8</v>
      </c>
      <c r="AI571" s="1503" t="s">
        <v>2941</v>
      </c>
      <c r="AJ571" s="1502" t="s">
        <v>635</v>
      </c>
      <c r="AK571" s="1501"/>
      <c r="AL571" s="1501"/>
      <c r="AM571" s="1501"/>
      <c r="AN571" s="1504">
        <v>1</v>
      </c>
      <c r="AO571" s="1505">
        <v>0.1</v>
      </c>
      <c r="AP571" s="1506" t="s">
        <v>635</v>
      </c>
    </row>
    <row r="572" spans="1:42" ht="30">
      <c r="A572" s="1481" t="s">
        <v>2955</v>
      </c>
      <c r="B572" s="1482" t="s">
        <v>2956</v>
      </c>
      <c r="C572" s="1483">
        <v>281.14</v>
      </c>
      <c r="D572" s="1484" t="s">
        <v>2940</v>
      </c>
      <c r="E572" s="1485">
        <v>1.2899999999999999E-3</v>
      </c>
      <c r="F572" s="1485">
        <v>3.1600000000000002E-5</v>
      </c>
      <c r="G572" s="1486" t="s">
        <v>2940</v>
      </c>
      <c r="H572" s="1485">
        <v>0.27</v>
      </c>
      <c r="I572" s="1486" t="s">
        <v>2940</v>
      </c>
      <c r="J572" s="1487">
        <v>51.5</v>
      </c>
      <c r="K572" s="1488" t="s">
        <v>2940</v>
      </c>
      <c r="L572" s="1489">
        <v>1.94</v>
      </c>
      <c r="M572" s="1490" t="s">
        <v>2940</v>
      </c>
      <c r="N572" s="1491">
        <v>2.8479269868399999E-2</v>
      </c>
      <c r="O572" s="1491">
        <v>7.6665368097899999E-6</v>
      </c>
      <c r="P572" s="1492" t="s">
        <v>1885</v>
      </c>
      <c r="Q572" s="1493" t="s">
        <v>635</v>
      </c>
      <c r="R572" s="1494"/>
      <c r="S572" s="1493">
        <v>60.3</v>
      </c>
      <c r="T572" s="1493" t="s">
        <v>2940</v>
      </c>
      <c r="U572" s="1493">
        <v>1.96</v>
      </c>
      <c r="V572" s="1495" t="s">
        <v>2940</v>
      </c>
      <c r="W572" s="1496">
        <v>262585</v>
      </c>
      <c r="X572" s="1497" t="s">
        <v>2940</v>
      </c>
      <c r="Y572" s="1498">
        <v>5.36183024663E-3</v>
      </c>
      <c r="Z572" s="1498">
        <v>3.9466875857671999</v>
      </c>
      <c r="AA572" s="1498">
        <v>9.4720502058412901</v>
      </c>
      <c r="AB572" s="1498">
        <v>8.3142884589000002E-4</v>
      </c>
      <c r="AC572" s="1499" t="s">
        <v>1203</v>
      </c>
      <c r="AD572" s="1500" t="s">
        <v>635</v>
      </c>
      <c r="AE572" s="1501"/>
      <c r="AF572" s="1502" t="s">
        <v>635</v>
      </c>
      <c r="AG572" s="1501"/>
      <c r="AH572" s="1502">
        <v>2.9999999999999997E-4</v>
      </c>
      <c r="AI572" s="1503" t="s">
        <v>2957</v>
      </c>
      <c r="AJ572" s="1502" t="s">
        <v>635</v>
      </c>
      <c r="AK572" s="1501"/>
      <c r="AL572" s="1503" t="s">
        <v>1127</v>
      </c>
      <c r="AM572" s="1501"/>
      <c r="AN572" s="1504">
        <v>1</v>
      </c>
      <c r="AO572" s="1504" t="s">
        <v>635</v>
      </c>
      <c r="AP572" s="1506" t="s">
        <v>635</v>
      </c>
    </row>
    <row r="573" spans="1:42" ht="45">
      <c r="A573" s="1507" t="s">
        <v>300</v>
      </c>
      <c r="B573" s="1508" t="s">
        <v>2958</v>
      </c>
      <c r="C573" s="1509">
        <v>330.1</v>
      </c>
      <c r="D573" s="1510" t="s">
        <v>2954</v>
      </c>
      <c r="E573" s="1511">
        <v>1.022E-2</v>
      </c>
      <c r="F573" s="1511">
        <v>2.5000000000000001E-4</v>
      </c>
      <c r="G573" s="1512" t="s">
        <v>2938</v>
      </c>
      <c r="H573" s="1511">
        <v>2.2949999999999999</v>
      </c>
      <c r="I573" s="1512" t="s">
        <v>2954</v>
      </c>
      <c r="J573" s="1513">
        <v>-40</v>
      </c>
      <c r="K573" s="1514" t="s">
        <v>2938</v>
      </c>
      <c r="L573" s="1515">
        <v>1.75</v>
      </c>
      <c r="M573" s="1516" t="s">
        <v>2940</v>
      </c>
      <c r="N573" s="1517">
        <v>2.504486907312E-2</v>
      </c>
      <c r="O573" s="1517">
        <v>6.5449643628700004E-6</v>
      </c>
      <c r="P573" s="1518" t="s">
        <v>1885</v>
      </c>
      <c r="Q573" s="1519" t="s">
        <v>635</v>
      </c>
      <c r="R573" s="1520"/>
      <c r="S573" s="1519">
        <v>407</v>
      </c>
      <c r="T573" s="1519" t="s">
        <v>2940</v>
      </c>
      <c r="U573" s="1519">
        <v>5.41</v>
      </c>
      <c r="V573" s="1521" t="s">
        <v>2940</v>
      </c>
      <c r="W573" s="1522">
        <v>756000</v>
      </c>
      <c r="X573" s="1523" t="s">
        <v>2954</v>
      </c>
      <c r="Y573" s="1524">
        <v>0.60568134723914002</v>
      </c>
      <c r="Z573" s="1524">
        <v>7.4200827668435902</v>
      </c>
      <c r="AA573" s="1524">
        <v>29.9301819752346</v>
      </c>
      <c r="AB573" s="1524">
        <v>8.6675186538739998E-2</v>
      </c>
      <c r="AC573" s="1525" t="s">
        <v>1203</v>
      </c>
      <c r="AD573" s="1526" t="s">
        <v>635</v>
      </c>
      <c r="AE573" s="1527"/>
      <c r="AF573" s="1528" t="s">
        <v>635</v>
      </c>
      <c r="AG573" s="1527"/>
      <c r="AH573" s="1528">
        <v>3.0000000000000001E-6</v>
      </c>
      <c r="AI573" s="1529" t="s">
        <v>2941</v>
      </c>
      <c r="AJ573" s="1528" t="s">
        <v>635</v>
      </c>
      <c r="AK573" s="1527"/>
      <c r="AL573" s="1529" t="s">
        <v>1127</v>
      </c>
      <c r="AM573" s="1527"/>
      <c r="AN573" s="1530">
        <v>1</v>
      </c>
      <c r="AO573" s="1530" t="s">
        <v>635</v>
      </c>
      <c r="AP573" s="1532">
        <v>1920000</v>
      </c>
    </row>
    <row r="574" spans="1:42" ht="45">
      <c r="A574" s="1481" t="s">
        <v>2959</v>
      </c>
      <c r="B574" s="1482" t="s">
        <v>2960</v>
      </c>
      <c r="C574" s="1483">
        <v>287.08</v>
      </c>
      <c r="D574" s="1484" t="s">
        <v>2940</v>
      </c>
      <c r="E574" s="1485">
        <v>1.2899999999999999E-3</v>
      </c>
      <c r="F574" s="1485">
        <v>3.1600000000000002E-5</v>
      </c>
      <c r="G574" s="1486" t="s">
        <v>2940</v>
      </c>
      <c r="H574" s="1485">
        <v>2.9999999999999997E-8</v>
      </c>
      <c r="I574" s="1536"/>
      <c r="J574" s="1487">
        <v>236</v>
      </c>
      <c r="K574" s="1488" t="s">
        <v>2940</v>
      </c>
      <c r="L574" s="1489">
        <v>2.1983999999999999</v>
      </c>
      <c r="M574" s="1490" t="s">
        <v>2961</v>
      </c>
      <c r="N574" s="1491">
        <v>2.9822117958850002E-2</v>
      </c>
      <c r="O574" s="1491">
        <v>8.1608244976600006E-6</v>
      </c>
      <c r="P574" s="1492" t="s">
        <v>1885</v>
      </c>
      <c r="Q574" s="1493" t="s">
        <v>635</v>
      </c>
      <c r="R574" s="1494"/>
      <c r="S574" s="1493">
        <v>60.3</v>
      </c>
      <c r="T574" s="1493" t="s">
        <v>2940</v>
      </c>
      <c r="U574" s="1493">
        <v>-1.46</v>
      </c>
      <c r="V574" s="1495" t="s">
        <v>2961</v>
      </c>
      <c r="W574" s="1496">
        <v>548332</v>
      </c>
      <c r="X574" s="1497" t="s">
        <v>2940</v>
      </c>
      <c r="Y574" s="1498">
        <v>2.6769070209999999E-5</v>
      </c>
      <c r="Z574" s="1498">
        <v>4.2608549462561101</v>
      </c>
      <c r="AA574" s="1498">
        <v>10.2260518710147</v>
      </c>
      <c r="AB574" s="1498">
        <v>4.1077609876999998E-6</v>
      </c>
      <c r="AC574" s="1499" t="s">
        <v>1203</v>
      </c>
      <c r="AD574" s="1500" t="s">
        <v>635</v>
      </c>
      <c r="AE574" s="1501"/>
      <c r="AF574" s="1502" t="s">
        <v>635</v>
      </c>
      <c r="AG574" s="1501"/>
      <c r="AH574" s="1502">
        <v>2.9999999999999997E-4</v>
      </c>
      <c r="AI574" s="1503" t="s">
        <v>2957</v>
      </c>
      <c r="AJ574" s="1502" t="s">
        <v>635</v>
      </c>
      <c r="AK574" s="1501"/>
      <c r="AL574" s="1503" t="s">
        <v>1127</v>
      </c>
      <c r="AM574" s="1501"/>
      <c r="AN574" s="1504">
        <v>1</v>
      </c>
      <c r="AO574" s="1504" t="s">
        <v>635</v>
      </c>
      <c r="AP574" s="1506" t="s">
        <v>635</v>
      </c>
    </row>
    <row r="575" spans="1:42" ht="30">
      <c r="A575" s="1481" t="s">
        <v>2962</v>
      </c>
      <c r="B575" s="1482" t="s">
        <v>2963</v>
      </c>
      <c r="C575" s="1483">
        <v>329.04599999999999</v>
      </c>
      <c r="D575" s="1484" t="s">
        <v>2940</v>
      </c>
      <c r="E575" s="1485">
        <v>1.022E-2</v>
      </c>
      <c r="F575" s="1485">
        <v>2.5000000000000001E-4</v>
      </c>
      <c r="G575" s="1486" t="s">
        <v>2938</v>
      </c>
      <c r="H575" s="1485">
        <v>2.2949999999999999</v>
      </c>
      <c r="I575" s="1486" t="s">
        <v>2954</v>
      </c>
      <c r="J575" s="1487">
        <v>-40</v>
      </c>
      <c r="K575" s="1488" t="s">
        <v>2938</v>
      </c>
      <c r="L575" s="1489">
        <v>1.75</v>
      </c>
      <c r="M575" s="1490" t="s">
        <v>2940</v>
      </c>
      <c r="N575" s="1491">
        <v>2.508556970979E-2</v>
      </c>
      <c r="O575" s="1491">
        <v>6.5575352124999999E-6</v>
      </c>
      <c r="P575" s="1492" t="s">
        <v>1885</v>
      </c>
      <c r="Q575" s="1493" t="s">
        <v>635</v>
      </c>
      <c r="R575" s="1494"/>
      <c r="S575" s="1493">
        <v>407</v>
      </c>
      <c r="T575" s="1493" t="s">
        <v>2940</v>
      </c>
      <c r="U575" s="1493">
        <v>541</v>
      </c>
      <c r="V575" s="1495" t="s">
        <v>2940</v>
      </c>
      <c r="W575" s="1496">
        <v>756000</v>
      </c>
      <c r="X575" s="1497" t="s">
        <v>2954</v>
      </c>
      <c r="Y575" s="1498">
        <v>0.60471361239513999</v>
      </c>
      <c r="Z575" s="1498">
        <v>7.3199202523437803</v>
      </c>
      <c r="AA575" s="1498">
        <v>29.548455892735898</v>
      </c>
      <c r="AB575" s="1498">
        <v>8.6675186538739998E-2</v>
      </c>
      <c r="AC575" s="1499" t="s">
        <v>1203</v>
      </c>
      <c r="AD575" s="1500" t="s">
        <v>635</v>
      </c>
      <c r="AE575" s="1501"/>
      <c r="AF575" s="1502" t="s">
        <v>635</v>
      </c>
      <c r="AG575" s="1501"/>
      <c r="AH575" s="1502">
        <v>3.0000000000000001E-6</v>
      </c>
      <c r="AI575" s="1503" t="s">
        <v>2941</v>
      </c>
      <c r="AJ575" s="1502" t="s">
        <v>635</v>
      </c>
      <c r="AK575" s="1501"/>
      <c r="AL575" s="1503" t="s">
        <v>1127</v>
      </c>
      <c r="AM575" s="1501"/>
      <c r="AN575" s="1504">
        <v>1</v>
      </c>
      <c r="AO575" s="1504" t="s">
        <v>635</v>
      </c>
      <c r="AP575" s="1506">
        <v>1920000</v>
      </c>
    </row>
    <row r="576" spans="1:42" ht="45">
      <c r="A576" s="1507" t="s">
        <v>2964</v>
      </c>
      <c r="B576" s="1508" t="s">
        <v>2965</v>
      </c>
      <c r="C576" s="1509">
        <v>299.08999999999997</v>
      </c>
      <c r="D576" s="1510" t="s">
        <v>2940</v>
      </c>
      <c r="E576" s="1511">
        <v>1.20605069501E-8</v>
      </c>
      <c r="F576" s="1511">
        <v>2.9500000000000002E-10</v>
      </c>
      <c r="G576" s="1512" t="s">
        <v>2940</v>
      </c>
      <c r="H576" s="1511">
        <v>0.05</v>
      </c>
      <c r="I576" s="1512" t="s">
        <v>2944</v>
      </c>
      <c r="J576" s="1513">
        <v>-21</v>
      </c>
      <c r="K576" s="1514" t="s">
        <v>2944</v>
      </c>
      <c r="L576" s="1515">
        <v>1.8240000000000001</v>
      </c>
      <c r="M576" s="1516" t="s">
        <v>2944</v>
      </c>
      <c r="N576" s="1517">
        <v>2.6838124818589999E-2</v>
      </c>
      <c r="O576" s="1517">
        <v>7.1187794209599998E-6</v>
      </c>
      <c r="P576" s="1518" t="s">
        <v>1885</v>
      </c>
      <c r="Q576" s="1519">
        <v>0.3</v>
      </c>
      <c r="R576" s="1552" t="s">
        <v>2944</v>
      </c>
      <c r="S576" s="1519">
        <v>61.66</v>
      </c>
      <c r="T576" s="1552" t="s">
        <v>2945</v>
      </c>
      <c r="U576" s="1519">
        <v>-0.34</v>
      </c>
      <c r="V576" s="1521" t="s">
        <v>2944</v>
      </c>
      <c r="W576" s="1522">
        <v>256600</v>
      </c>
      <c r="X576" s="1523" t="s">
        <v>2944</v>
      </c>
      <c r="Y576" s="1524">
        <v>1.2985896178999999E-4</v>
      </c>
      <c r="Z576" s="1524">
        <v>4.9745379641457497</v>
      </c>
      <c r="AA576" s="1524">
        <v>11.938891113949801</v>
      </c>
      <c r="AB576" s="1524">
        <v>1.952289992E-5</v>
      </c>
      <c r="AC576" s="1525" t="s">
        <v>1203</v>
      </c>
      <c r="AD576" s="1526" t="s">
        <v>635</v>
      </c>
      <c r="AE576" s="1527"/>
      <c r="AF576" s="1528" t="s">
        <v>635</v>
      </c>
      <c r="AG576" s="1527"/>
      <c r="AH576" s="1528">
        <v>2.9999999999999997E-4</v>
      </c>
      <c r="AI576" s="1529" t="s">
        <v>1909</v>
      </c>
      <c r="AJ576" s="1528" t="s">
        <v>635</v>
      </c>
      <c r="AK576" s="1527"/>
      <c r="AL576" s="1527"/>
      <c r="AM576" s="1527"/>
      <c r="AN576" s="1530">
        <v>1</v>
      </c>
      <c r="AO576" s="1531">
        <v>0.1</v>
      </c>
      <c r="AP576" s="1532" t="s">
        <v>635</v>
      </c>
    </row>
    <row r="577" spans="1:42" ht="45">
      <c r="A577" s="1481" t="s">
        <v>294</v>
      </c>
      <c r="B577" s="1482" t="s">
        <v>2966</v>
      </c>
      <c r="C577" s="1483">
        <v>300.10000000000002</v>
      </c>
      <c r="D577" s="1484" t="s">
        <v>2954</v>
      </c>
      <c r="E577" s="1485">
        <v>1.20605069501E-8</v>
      </c>
      <c r="F577" s="1485">
        <v>2.9500000000000002E-10</v>
      </c>
      <c r="G577" s="1486" t="s">
        <v>2940</v>
      </c>
      <c r="H577" s="1485">
        <v>0.05</v>
      </c>
      <c r="I577" s="1486" t="s">
        <v>2954</v>
      </c>
      <c r="J577" s="1487">
        <v>-21</v>
      </c>
      <c r="K577" s="1488" t="s">
        <v>2954</v>
      </c>
      <c r="L577" s="1489">
        <v>1.8240000000000001</v>
      </c>
      <c r="M577" s="1490" t="s">
        <v>2954</v>
      </c>
      <c r="N577" s="1491">
        <v>2.6792467805000001E-2</v>
      </c>
      <c r="O577" s="1491">
        <v>7.1043945869699999E-6</v>
      </c>
      <c r="P577" s="1492" t="s">
        <v>1885</v>
      </c>
      <c r="Q577" s="1493">
        <v>0.3</v>
      </c>
      <c r="R577" s="1551" t="s">
        <v>2944</v>
      </c>
      <c r="S577" s="1493">
        <v>61.66</v>
      </c>
      <c r="T577" s="1551" t="s">
        <v>2945</v>
      </c>
      <c r="U577" s="1493">
        <v>-0.34</v>
      </c>
      <c r="V577" s="1495" t="s">
        <v>2954</v>
      </c>
      <c r="W577" s="1496">
        <v>256600</v>
      </c>
      <c r="X577" s="1497" t="s">
        <v>2954</v>
      </c>
      <c r="Y577" s="1498">
        <v>1.2839143703E-4</v>
      </c>
      <c r="Z577" s="1498">
        <v>5.0397471695603402</v>
      </c>
      <c r="AA577" s="1498">
        <v>12.0953932069448</v>
      </c>
      <c r="AB577" s="1498">
        <v>1.926976463E-5</v>
      </c>
      <c r="AC577" s="1499" t="s">
        <v>1203</v>
      </c>
      <c r="AD577" s="1500" t="s">
        <v>635</v>
      </c>
      <c r="AE577" s="1501"/>
      <c r="AF577" s="1502" t="s">
        <v>635</v>
      </c>
      <c r="AG577" s="1501"/>
      <c r="AH577" s="1502">
        <v>2.9999999999999997E-4</v>
      </c>
      <c r="AI577" s="1503" t="s">
        <v>1909</v>
      </c>
      <c r="AJ577" s="1502" t="s">
        <v>635</v>
      </c>
      <c r="AK577" s="1501"/>
      <c r="AL577" s="1501"/>
      <c r="AM577" s="1501"/>
      <c r="AN577" s="1504">
        <v>1</v>
      </c>
      <c r="AO577" s="1505">
        <v>0.1</v>
      </c>
      <c r="AP577" s="1506" t="s">
        <v>635</v>
      </c>
    </row>
    <row r="578" spans="1:42" ht="60">
      <c r="A578" s="1481" t="s">
        <v>2967</v>
      </c>
      <c r="B578" s="1482" t="s">
        <v>2968</v>
      </c>
      <c r="C578" s="1483">
        <v>213.03100000000001</v>
      </c>
      <c r="D578" s="1484" t="s">
        <v>2940</v>
      </c>
      <c r="E578" s="1485">
        <v>2.0500000000000002E-3</v>
      </c>
      <c r="F578" s="1485">
        <v>5.0099999999999998E-5</v>
      </c>
      <c r="G578" s="1486" t="s">
        <v>2940</v>
      </c>
      <c r="H578" s="1485">
        <v>15</v>
      </c>
      <c r="I578" s="1486" t="s">
        <v>2944</v>
      </c>
      <c r="J578" s="1487">
        <v>-19.95</v>
      </c>
      <c r="K578" s="1488" t="s">
        <v>2944</v>
      </c>
      <c r="L578" s="1489">
        <v>0.64100000000000001</v>
      </c>
      <c r="M578" s="1490" t="s">
        <v>2944</v>
      </c>
      <c r="N578" s="1491">
        <v>1.9511023194069999E-2</v>
      </c>
      <c r="O578" s="1491">
        <v>4.6593024808300001E-6</v>
      </c>
      <c r="P578" s="1492" t="s">
        <v>1885</v>
      </c>
      <c r="Q578" s="1493" t="s">
        <v>635</v>
      </c>
      <c r="R578" s="1494"/>
      <c r="S578" s="1493">
        <v>75.86</v>
      </c>
      <c r="T578" s="1551" t="s">
        <v>2945</v>
      </c>
      <c r="U578" s="1493">
        <v>2.4300000000000002</v>
      </c>
      <c r="V578" s="1555" t="s">
        <v>2969</v>
      </c>
      <c r="W578" s="1496">
        <v>4614</v>
      </c>
      <c r="X578" s="1556" t="s">
        <v>2969</v>
      </c>
      <c r="Y578" s="1498">
        <v>3.2847156466160002E-2</v>
      </c>
      <c r="Z578" s="1498">
        <v>1.6399188187825799</v>
      </c>
      <c r="AA578" s="1498">
        <v>3.9358051650782002</v>
      </c>
      <c r="AB578" s="1498">
        <v>5.8512644169999998E-3</v>
      </c>
      <c r="AC578" s="1499" t="s">
        <v>1203</v>
      </c>
      <c r="AD578" s="1500" t="s">
        <v>635</v>
      </c>
      <c r="AE578" s="1501"/>
      <c r="AF578" s="1502" t="s">
        <v>635</v>
      </c>
      <c r="AG578" s="1501"/>
      <c r="AH578" s="1502">
        <v>1E-3</v>
      </c>
      <c r="AI578" s="1503" t="s">
        <v>1119</v>
      </c>
      <c r="AJ578" s="1502" t="s">
        <v>635</v>
      </c>
      <c r="AK578" s="1501"/>
      <c r="AL578" s="1503" t="s">
        <v>1127</v>
      </c>
      <c r="AM578" s="1501"/>
      <c r="AN578" s="1504">
        <v>1</v>
      </c>
      <c r="AO578" s="1504" t="s">
        <v>635</v>
      </c>
      <c r="AP578" s="1506">
        <v>2560</v>
      </c>
    </row>
    <row r="579" spans="1:42" ht="45">
      <c r="A579" s="1507" t="s">
        <v>272</v>
      </c>
      <c r="B579" s="1508" t="s">
        <v>2970</v>
      </c>
      <c r="C579" s="1509">
        <v>214</v>
      </c>
      <c r="D579" s="1510" t="s">
        <v>2954</v>
      </c>
      <c r="E579" s="1511">
        <v>4.8650860000000002E-3</v>
      </c>
      <c r="F579" s="1511">
        <v>1.1900000000000001E-4</v>
      </c>
      <c r="G579" s="1512" t="s">
        <v>1883</v>
      </c>
      <c r="H579" s="1511">
        <v>15</v>
      </c>
      <c r="I579" s="1512" t="s">
        <v>2954</v>
      </c>
      <c r="J579" s="1513">
        <v>-19.95</v>
      </c>
      <c r="K579" s="1514" t="s">
        <v>2954</v>
      </c>
      <c r="L579" s="1515">
        <v>1.641</v>
      </c>
      <c r="M579" s="1516" t="s">
        <v>2954</v>
      </c>
      <c r="N579" s="1517">
        <v>3.031015778763E-2</v>
      </c>
      <c r="O579" s="1517">
        <v>8.1674908419499994E-6</v>
      </c>
      <c r="P579" s="1518" t="s">
        <v>1885</v>
      </c>
      <c r="Q579" s="1519" t="s">
        <v>635</v>
      </c>
      <c r="R579" s="1520"/>
      <c r="S579" s="1519">
        <v>75.86</v>
      </c>
      <c r="T579" s="1552" t="s">
        <v>2945</v>
      </c>
      <c r="U579" s="1519">
        <v>2.4300000000000002</v>
      </c>
      <c r="V579" s="1521" t="s">
        <v>1883</v>
      </c>
      <c r="W579" s="1522">
        <v>4614</v>
      </c>
      <c r="X579" s="1523" t="s">
        <v>1883</v>
      </c>
      <c r="Y579" s="1524">
        <v>2.2854202003729999E-2</v>
      </c>
      <c r="Z579" s="1524">
        <v>1.6605377365906999</v>
      </c>
      <c r="AA579" s="1524">
        <v>3.9852905678176702</v>
      </c>
      <c r="AB579" s="1524">
        <v>4.0619308244100004E-3</v>
      </c>
      <c r="AC579" s="1525" t="s">
        <v>1203</v>
      </c>
      <c r="AD579" s="1526" t="s">
        <v>635</v>
      </c>
      <c r="AE579" s="1527"/>
      <c r="AF579" s="1528" t="s">
        <v>635</v>
      </c>
      <c r="AG579" s="1527"/>
      <c r="AH579" s="1528">
        <v>1E-3</v>
      </c>
      <c r="AI579" s="1529" t="s">
        <v>1119</v>
      </c>
      <c r="AJ579" s="1528" t="s">
        <v>635</v>
      </c>
      <c r="AK579" s="1527"/>
      <c r="AL579" s="1529" t="s">
        <v>1127</v>
      </c>
      <c r="AM579" s="1527"/>
      <c r="AN579" s="1530">
        <v>1</v>
      </c>
      <c r="AO579" s="1530" t="s">
        <v>635</v>
      </c>
      <c r="AP579" s="1532">
        <v>2570</v>
      </c>
    </row>
    <row r="580" spans="1:42" ht="30">
      <c r="A580" s="1481" t="s">
        <v>2971</v>
      </c>
      <c r="B580" s="1482" t="s">
        <v>2972</v>
      </c>
      <c r="C580" s="1483">
        <v>513.07799999999997</v>
      </c>
      <c r="D580" s="1484" t="s">
        <v>2940</v>
      </c>
      <c r="E580" s="1485">
        <v>6.17E-9</v>
      </c>
      <c r="F580" s="1485">
        <v>1.51E-10</v>
      </c>
      <c r="G580" s="1486" t="s">
        <v>2940</v>
      </c>
      <c r="H580" s="1485">
        <v>2.3900000000000001E-2</v>
      </c>
      <c r="I580" s="1486" t="s">
        <v>2940</v>
      </c>
      <c r="J580" s="1487">
        <v>90</v>
      </c>
      <c r="K580" s="1488" t="s">
        <v>2940</v>
      </c>
      <c r="L580" s="1489">
        <v>1.76</v>
      </c>
      <c r="M580" s="1490" t="s">
        <v>2940</v>
      </c>
      <c r="N580" s="1491">
        <v>2.0051651640779999E-2</v>
      </c>
      <c r="O580" s="1491">
        <v>5.0404502940700002E-6</v>
      </c>
      <c r="P580" s="1492" t="s">
        <v>1885</v>
      </c>
      <c r="Q580" s="1493" t="s">
        <v>635</v>
      </c>
      <c r="R580" s="1494"/>
      <c r="S580" s="1493">
        <v>398</v>
      </c>
      <c r="T580" s="1493" t="s">
        <v>2940</v>
      </c>
      <c r="U580" s="1493">
        <v>7.02</v>
      </c>
      <c r="V580" s="1495" t="s">
        <v>2940</v>
      </c>
      <c r="W580" s="1496">
        <v>1.2099999999999999E-3</v>
      </c>
      <c r="X580" s="1497" t="s">
        <v>2940</v>
      </c>
      <c r="Y580" s="1498">
        <v>0.83399118095998004</v>
      </c>
      <c r="Z580" s="1498">
        <v>78.539032970044303</v>
      </c>
      <c r="AA580" s="1498">
        <v>301.90213931014699</v>
      </c>
      <c r="AB580" s="1498">
        <v>9.5728909046580005E-2</v>
      </c>
      <c r="AC580" s="1499" t="s">
        <v>1203</v>
      </c>
      <c r="AD580" s="1500" t="s">
        <v>635</v>
      </c>
      <c r="AE580" s="1501"/>
      <c r="AF580" s="1502" t="s">
        <v>635</v>
      </c>
      <c r="AG580" s="1501"/>
      <c r="AH580" s="1502">
        <v>2.0000000000000001E-9</v>
      </c>
      <c r="AI580" s="1503" t="s">
        <v>1119</v>
      </c>
      <c r="AJ580" s="1502" t="s">
        <v>635</v>
      </c>
      <c r="AK580" s="1501"/>
      <c r="AL580" s="1501"/>
      <c r="AM580" s="1501"/>
      <c r="AN580" s="1504">
        <v>1</v>
      </c>
      <c r="AO580" s="1505">
        <v>0.1</v>
      </c>
      <c r="AP580" s="1506" t="s">
        <v>635</v>
      </c>
    </row>
    <row r="581" spans="1:42" ht="45">
      <c r="A581" s="1481" t="s">
        <v>284</v>
      </c>
      <c r="B581" s="1482" t="s">
        <v>2973</v>
      </c>
      <c r="C581" s="1483">
        <v>514.1</v>
      </c>
      <c r="D581" s="1484" t="s">
        <v>2954</v>
      </c>
      <c r="E581" s="1485">
        <v>6.1730000000000001E-9</v>
      </c>
      <c r="F581" s="1485">
        <v>1.51E-10</v>
      </c>
      <c r="G581" s="1486" t="s">
        <v>2940</v>
      </c>
      <c r="H581" s="1485">
        <v>1.5299999999999999E-3</v>
      </c>
      <c r="I581" s="1486" t="s">
        <v>2954</v>
      </c>
      <c r="J581" s="1487">
        <v>77</v>
      </c>
      <c r="K581" s="1488" t="s">
        <v>2954</v>
      </c>
      <c r="L581" s="1489">
        <v>1.7070000000000001</v>
      </c>
      <c r="M581" s="1490" t="s">
        <v>2954</v>
      </c>
      <c r="N581" s="1491">
        <v>1.9734960432579999E-2</v>
      </c>
      <c r="O581" s="1491">
        <v>4.9429170447400003E-6</v>
      </c>
      <c r="P581" s="1492" t="s">
        <v>1885</v>
      </c>
      <c r="Q581" s="1493" t="s">
        <v>635</v>
      </c>
      <c r="R581" s="1494"/>
      <c r="S581" s="1493">
        <v>912</v>
      </c>
      <c r="T581" s="1551" t="s">
        <v>2945</v>
      </c>
      <c r="U581" s="1493">
        <v>4.1500000000000004</v>
      </c>
      <c r="V581" s="1495" t="s">
        <v>2954</v>
      </c>
      <c r="W581" s="1496">
        <v>2690</v>
      </c>
      <c r="X581" s="1497" t="s">
        <v>2954</v>
      </c>
      <c r="Y581" s="1498">
        <v>5.2585712913896296</v>
      </c>
      <c r="Z581" s="1498">
        <v>79.580882268599694</v>
      </c>
      <c r="AA581" s="1498">
        <v>349.78817584811202</v>
      </c>
      <c r="AB581" s="1498">
        <v>0.60299999999999998</v>
      </c>
      <c r="AC581" s="1499" t="s">
        <v>1199</v>
      </c>
      <c r="AD581" s="1500" t="s">
        <v>635</v>
      </c>
      <c r="AE581" s="1501"/>
      <c r="AF581" s="1502" t="s">
        <v>635</v>
      </c>
      <c r="AG581" s="1501"/>
      <c r="AH581" s="1502">
        <v>2.0000000000000001E-9</v>
      </c>
      <c r="AI581" s="1503" t="s">
        <v>1119</v>
      </c>
      <c r="AJ581" s="1502" t="s">
        <v>635</v>
      </c>
      <c r="AK581" s="1501"/>
      <c r="AL581" s="1501"/>
      <c r="AM581" s="1501"/>
      <c r="AN581" s="1504">
        <v>1</v>
      </c>
      <c r="AO581" s="1505">
        <v>0.1</v>
      </c>
      <c r="AP581" s="1506" t="s">
        <v>635</v>
      </c>
    </row>
    <row r="582" spans="1:42" ht="30">
      <c r="A582" s="1507" t="s">
        <v>288</v>
      </c>
      <c r="B582" s="1508" t="s">
        <v>2974</v>
      </c>
      <c r="C582" s="1509">
        <v>614.1</v>
      </c>
      <c r="D582" s="1510" t="s">
        <v>2954</v>
      </c>
      <c r="E582" s="1511">
        <v>1.39E-8</v>
      </c>
      <c r="F582" s="1511">
        <v>3.3900000000000002E-10</v>
      </c>
      <c r="G582" s="1512" t="s">
        <v>2940</v>
      </c>
      <c r="H582" s="1511">
        <v>2.0999999999999999E-5</v>
      </c>
      <c r="I582" s="1512" t="s">
        <v>2954</v>
      </c>
      <c r="J582" s="1513">
        <v>108</v>
      </c>
      <c r="K582" s="1514" t="s">
        <v>2954</v>
      </c>
      <c r="L582" s="1515">
        <v>1.82</v>
      </c>
      <c r="M582" s="1516" t="s">
        <v>1884</v>
      </c>
      <c r="N582" s="1517">
        <v>1.8582906855979998E-2</v>
      </c>
      <c r="O582" s="1517">
        <v>4.6171198278899998E-6</v>
      </c>
      <c r="P582" s="1518" t="s">
        <v>1885</v>
      </c>
      <c r="Q582" s="1519" t="s">
        <v>635</v>
      </c>
      <c r="R582" s="1520"/>
      <c r="S582" s="1519">
        <v>85100</v>
      </c>
      <c r="T582" s="1519" t="s">
        <v>2940</v>
      </c>
      <c r="U582" s="1519">
        <v>8.76</v>
      </c>
      <c r="V582" s="1521" t="s">
        <v>2940</v>
      </c>
      <c r="W582" s="1522">
        <v>82.9</v>
      </c>
      <c r="X582" s="1523" t="s">
        <v>1884</v>
      </c>
      <c r="Y582" s="1524">
        <v>30.404431245282499</v>
      </c>
      <c r="Z582" s="1524">
        <v>288.940719309717</v>
      </c>
      <c r="AA582" s="1524">
        <v>1343.04813834519</v>
      </c>
      <c r="AB582" s="1524">
        <v>3.19</v>
      </c>
      <c r="AC582" s="1525" t="s">
        <v>1199</v>
      </c>
      <c r="AD582" s="1526" t="s">
        <v>635</v>
      </c>
      <c r="AE582" s="1527"/>
      <c r="AF582" s="1528" t="s">
        <v>635</v>
      </c>
      <c r="AG582" s="1527"/>
      <c r="AH582" s="1528">
        <v>5.0000000000000002E-5</v>
      </c>
      <c r="AI582" s="1529" t="s">
        <v>2975</v>
      </c>
      <c r="AJ582" s="1528" t="s">
        <v>635</v>
      </c>
      <c r="AK582" s="1527"/>
      <c r="AL582" s="1527"/>
      <c r="AM582" s="1527"/>
      <c r="AN582" s="1530">
        <v>1</v>
      </c>
      <c r="AO582" s="1531">
        <v>0.1</v>
      </c>
      <c r="AP582" s="1532" t="s">
        <v>635</v>
      </c>
    </row>
    <row r="583" spans="1:42" ht="45">
      <c r="A583" s="1481" t="s">
        <v>2976</v>
      </c>
      <c r="B583" s="1482" t="s">
        <v>2977</v>
      </c>
      <c r="C583" s="1483">
        <v>399.1</v>
      </c>
      <c r="D583" s="1484" t="s">
        <v>2954</v>
      </c>
      <c r="E583" s="1485" t="s">
        <v>635</v>
      </c>
      <c r="F583" s="1485" t="s">
        <v>635</v>
      </c>
      <c r="G583" s="1536"/>
      <c r="H583" s="1485" t="s">
        <v>635</v>
      </c>
      <c r="I583" s="1536"/>
      <c r="J583" s="1487">
        <v>41</v>
      </c>
      <c r="K583" s="1488" t="s">
        <v>2954</v>
      </c>
      <c r="L583" s="1489">
        <v>1.841</v>
      </c>
      <c r="M583" s="1490" t="s">
        <v>2954</v>
      </c>
      <c r="N583" s="1491">
        <v>2.3292931741120002E-2</v>
      </c>
      <c r="O583" s="1491">
        <v>6.0208111879900003E-6</v>
      </c>
      <c r="P583" s="1492" t="s">
        <v>1885</v>
      </c>
      <c r="Q583" s="1493" t="s">
        <v>635</v>
      </c>
      <c r="R583" s="1494"/>
      <c r="S583" s="1493">
        <v>112.2</v>
      </c>
      <c r="T583" s="1551" t="s">
        <v>2945</v>
      </c>
      <c r="U583" s="1493">
        <v>2.2000000000000002</v>
      </c>
      <c r="V583" s="1495" t="s">
        <v>2954</v>
      </c>
      <c r="W583" s="1496">
        <v>243</v>
      </c>
      <c r="X583" s="1497" t="s">
        <v>2978</v>
      </c>
      <c r="Y583" s="1498">
        <v>1.9829585487499998E-3</v>
      </c>
      <c r="Z583" s="1498">
        <v>18.063784754339899</v>
      </c>
      <c r="AA583" s="1498">
        <v>43.353083410415699</v>
      </c>
      <c r="AB583" s="1498">
        <v>2.5807510932999999E-4</v>
      </c>
      <c r="AC583" s="1499" t="s">
        <v>1203</v>
      </c>
      <c r="AD583" s="1500" t="s">
        <v>635</v>
      </c>
      <c r="AE583" s="1501"/>
      <c r="AF583" s="1502" t="s">
        <v>635</v>
      </c>
      <c r="AG583" s="1501"/>
      <c r="AH583" s="1502">
        <v>2.0000000000000002E-5</v>
      </c>
      <c r="AI583" s="1503" t="s">
        <v>1960</v>
      </c>
      <c r="AJ583" s="1502" t="s">
        <v>635</v>
      </c>
      <c r="AK583" s="1501"/>
      <c r="AL583" s="1501"/>
      <c r="AM583" s="1501"/>
      <c r="AN583" s="1504">
        <v>1</v>
      </c>
      <c r="AO583" s="1505">
        <v>0.1</v>
      </c>
      <c r="AP583" s="1506" t="s">
        <v>635</v>
      </c>
    </row>
    <row r="584" spans="1:42" ht="45">
      <c r="A584" s="1481" t="s">
        <v>296</v>
      </c>
      <c r="B584" s="1482" t="s">
        <v>2979</v>
      </c>
      <c r="C584" s="1483">
        <v>400.1</v>
      </c>
      <c r="D584" s="1484" t="s">
        <v>2954</v>
      </c>
      <c r="E584" s="1485" t="s">
        <v>635</v>
      </c>
      <c r="F584" s="1485" t="s">
        <v>635</v>
      </c>
      <c r="G584" s="1536"/>
      <c r="H584" s="1485" t="s">
        <v>635</v>
      </c>
      <c r="I584" s="1536"/>
      <c r="J584" s="1487">
        <v>41</v>
      </c>
      <c r="K584" s="1488" t="s">
        <v>2954</v>
      </c>
      <c r="L584" s="1489">
        <v>1.841</v>
      </c>
      <c r="M584" s="1490" t="s">
        <v>2954</v>
      </c>
      <c r="N584" s="1491">
        <v>2.3263362763010002E-2</v>
      </c>
      <c r="O584" s="1491">
        <v>6.0117777098300001E-6</v>
      </c>
      <c r="P584" s="1492" t="s">
        <v>1885</v>
      </c>
      <c r="Q584" s="1493" t="s">
        <v>635</v>
      </c>
      <c r="R584" s="1494"/>
      <c r="S584" s="1493">
        <v>112.2</v>
      </c>
      <c r="T584" s="1551" t="s">
        <v>2945</v>
      </c>
      <c r="U584" s="1493">
        <v>2.2000000000000002</v>
      </c>
      <c r="V584" s="1495" t="s">
        <v>2954</v>
      </c>
      <c r="W584" s="1496">
        <v>243</v>
      </c>
      <c r="X584" s="1497" t="s">
        <v>1884</v>
      </c>
      <c r="Y584" s="1498">
        <v>1.9854412823499998E-3</v>
      </c>
      <c r="Z584" s="1498">
        <v>18.298215988570899</v>
      </c>
      <c r="AA584" s="1498">
        <v>43.915718372570097</v>
      </c>
      <c r="AB584" s="1498">
        <v>2.5807510932999999E-4</v>
      </c>
      <c r="AC584" s="1499" t="s">
        <v>1203</v>
      </c>
      <c r="AD584" s="1500" t="s">
        <v>635</v>
      </c>
      <c r="AE584" s="1501"/>
      <c r="AF584" s="1502" t="s">
        <v>635</v>
      </c>
      <c r="AG584" s="1501"/>
      <c r="AH584" s="1502">
        <v>2.0000000000000002E-5</v>
      </c>
      <c r="AI584" s="1503" t="s">
        <v>1960</v>
      </c>
      <c r="AJ584" s="1502" t="s">
        <v>635</v>
      </c>
      <c r="AK584" s="1501"/>
      <c r="AL584" s="1501"/>
      <c r="AM584" s="1501"/>
      <c r="AN584" s="1504">
        <v>1</v>
      </c>
      <c r="AO584" s="1505">
        <v>0.1</v>
      </c>
      <c r="AP584" s="1506" t="s">
        <v>635</v>
      </c>
    </row>
    <row r="585" spans="1:42" ht="45">
      <c r="A585" s="1507" t="s">
        <v>2980</v>
      </c>
      <c r="B585" s="1508" t="s">
        <v>2981</v>
      </c>
      <c r="C585" s="1509">
        <v>313.04700000000003</v>
      </c>
      <c r="D585" s="1510" t="s">
        <v>2940</v>
      </c>
      <c r="E585" s="1511">
        <v>9.6099999999999997E-9</v>
      </c>
      <c r="F585" s="1511">
        <v>2.3500000000000002E-10</v>
      </c>
      <c r="G585" s="1512" t="s">
        <v>2940</v>
      </c>
      <c r="H585" s="1511">
        <v>0.33</v>
      </c>
      <c r="I585" s="1512" t="s">
        <v>2944</v>
      </c>
      <c r="J585" s="1513">
        <v>12</v>
      </c>
      <c r="K585" s="1514" t="s">
        <v>2944</v>
      </c>
      <c r="L585" s="1515">
        <v>1.762</v>
      </c>
      <c r="M585" s="1516" t="s">
        <v>2944</v>
      </c>
      <c r="N585" s="1517">
        <v>2.5809993475560001E-2</v>
      </c>
      <c r="O585" s="1517">
        <v>6.78437095637E-6</v>
      </c>
      <c r="P585" s="1518" t="s">
        <v>1885</v>
      </c>
      <c r="Q585" s="1519" t="s">
        <v>635</v>
      </c>
      <c r="R585" s="1520"/>
      <c r="S585" s="1519">
        <v>20.420000000000002</v>
      </c>
      <c r="T585" s="1552" t="s">
        <v>2945</v>
      </c>
      <c r="U585" s="1519">
        <v>1.5</v>
      </c>
      <c r="V585" s="1521" t="s">
        <v>2944</v>
      </c>
      <c r="W585" s="1522">
        <v>250000</v>
      </c>
      <c r="X585" s="1523" t="s">
        <v>2944</v>
      </c>
      <c r="Y585" s="1524">
        <v>0.12270380507919</v>
      </c>
      <c r="Z585" s="1524">
        <v>5.9554138914222898</v>
      </c>
      <c r="AA585" s="1524">
        <v>14.292993339413499</v>
      </c>
      <c r="AB585" s="1524">
        <v>1.8031281992689999E-2</v>
      </c>
      <c r="AC585" s="1525" t="s">
        <v>1203</v>
      </c>
      <c r="AD585" s="1526" t="s">
        <v>635</v>
      </c>
      <c r="AE585" s="1527"/>
      <c r="AF585" s="1528" t="s">
        <v>635</v>
      </c>
      <c r="AG585" s="1527"/>
      <c r="AH585" s="1528">
        <v>5.0000000000000001E-4</v>
      </c>
      <c r="AI585" s="1529" t="s">
        <v>1119</v>
      </c>
      <c r="AJ585" s="1528" t="s">
        <v>635</v>
      </c>
      <c r="AK585" s="1527"/>
      <c r="AL585" s="1527"/>
      <c r="AM585" s="1527"/>
      <c r="AN585" s="1530">
        <v>1</v>
      </c>
      <c r="AO585" s="1531">
        <v>0.1</v>
      </c>
      <c r="AP585" s="1532" t="s">
        <v>635</v>
      </c>
    </row>
    <row r="586" spans="1:42" ht="45">
      <c r="A586" s="1481" t="s">
        <v>276</v>
      </c>
      <c r="B586" s="1482" t="s">
        <v>2982</v>
      </c>
      <c r="C586" s="1483">
        <v>314.10000000000002</v>
      </c>
      <c r="D586" s="1484" t="s">
        <v>2954</v>
      </c>
      <c r="E586" s="1485">
        <v>9.6099999999999997E-9</v>
      </c>
      <c r="F586" s="1485">
        <v>2.3500000000000002E-10</v>
      </c>
      <c r="G586" s="1486" t="s">
        <v>2940</v>
      </c>
      <c r="H586" s="1485">
        <v>0.33</v>
      </c>
      <c r="I586" s="1486" t="s">
        <v>2954</v>
      </c>
      <c r="J586" s="1487">
        <v>12</v>
      </c>
      <c r="K586" s="1488" t="s">
        <v>2954</v>
      </c>
      <c r="L586" s="1489">
        <v>1.762</v>
      </c>
      <c r="M586" s="1490" t="s">
        <v>2954</v>
      </c>
      <c r="N586" s="1491">
        <v>2.5766087591470001E-2</v>
      </c>
      <c r="O586" s="1491">
        <v>6.7707152924800003E-6</v>
      </c>
      <c r="P586" s="1492" t="s">
        <v>1885</v>
      </c>
      <c r="Q586" s="1493" t="s">
        <v>635</v>
      </c>
      <c r="R586" s="1494"/>
      <c r="S586" s="1493">
        <v>20.420000000000002</v>
      </c>
      <c r="T586" s="1551" t="s">
        <v>2945</v>
      </c>
      <c r="U586" s="1493">
        <v>1.5</v>
      </c>
      <c r="V586" s="1495" t="s">
        <v>2954</v>
      </c>
      <c r="W586" s="1496">
        <v>250000</v>
      </c>
      <c r="X586" s="1497" t="s">
        <v>2954</v>
      </c>
      <c r="Y586" s="1498">
        <v>1.83109547847E-3</v>
      </c>
      <c r="Z586" s="1498">
        <v>6.0368272689997298</v>
      </c>
      <c r="AA586" s="1498">
        <v>14.4883854455994</v>
      </c>
      <c r="AB586" s="1498">
        <v>2.6862743795000001E-4</v>
      </c>
      <c r="AC586" s="1499" t="s">
        <v>1203</v>
      </c>
      <c r="AD586" s="1500" t="s">
        <v>635</v>
      </c>
      <c r="AE586" s="1501"/>
      <c r="AF586" s="1502" t="s">
        <v>635</v>
      </c>
      <c r="AG586" s="1501"/>
      <c r="AH586" s="1502">
        <v>5.0000000000000001E-4</v>
      </c>
      <c r="AI586" s="1503" t="s">
        <v>1119</v>
      </c>
      <c r="AJ586" s="1502" t="s">
        <v>635</v>
      </c>
      <c r="AK586" s="1501"/>
      <c r="AL586" s="1501"/>
      <c r="AM586" s="1501"/>
      <c r="AN586" s="1504">
        <v>1</v>
      </c>
      <c r="AO586" s="1505">
        <v>0.1</v>
      </c>
      <c r="AP586" s="1506" t="s">
        <v>635</v>
      </c>
    </row>
    <row r="587" spans="1:42" ht="45">
      <c r="A587" s="1481" t="s">
        <v>2983</v>
      </c>
      <c r="B587" s="1482" t="s">
        <v>2984</v>
      </c>
      <c r="C587" s="1483">
        <v>463.07</v>
      </c>
      <c r="D587" s="1484" t="s">
        <v>2954</v>
      </c>
      <c r="E587" s="1485" t="s">
        <v>635</v>
      </c>
      <c r="F587" s="1485" t="s">
        <v>635</v>
      </c>
      <c r="G587" s="1536"/>
      <c r="H587" s="1485">
        <v>9.5300000000000003E-3</v>
      </c>
      <c r="I587" s="1486" t="s">
        <v>2954</v>
      </c>
      <c r="J587" s="1487">
        <v>68</v>
      </c>
      <c r="K587" s="1488" t="s">
        <v>2954</v>
      </c>
      <c r="L587" s="1489">
        <v>1.8</v>
      </c>
      <c r="M587" s="1490" t="s">
        <v>2954</v>
      </c>
      <c r="N587" s="1491">
        <v>2.1364012346660001E-2</v>
      </c>
      <c r="O587" s="1491">
        <v>5.4330948501200003E-6</v>
      </c>
      <c r="P587" s="1492" t="s">
        <v>1885</v>
      </c>
      <c r="Q587" s="1493">
        <v>4</v>
      </c>
      <c r="R587" s="1493" t="s">
        <v>2954</v>
      </c>
      <c r="S587" s="1493">
        <v>245.5</v>
      </c>
      <c r="T587" s="1551" t="s">
        <v>2953</v>
      </c>
      <c r="U587" s="1493">
        <v>2.57</v>
      </c>
      <c r="V587" s="1495" t="s">
        <v>2954</v>
      </c>
      <c r="W587" s="1496">
        <v>1299</v>
      </c>
      <c r="X587" s="1497" t="s">
        <v>2940</v>
      </c>
      <c r="Y587" s="1498">
        <v>1.64565366116E-3</v>
      </c>
      <c r="Z587" s="1498">
        <v>41.2136187798774</v>
      </c>
      <c r="AA587" s="1498">
        <v>98.912685071705695</v>
      </c>
      <c r="AB587" s="1498">
        <v>1.9883300000000001E-4</v>
      </c>
      <c r="AC587" s="1499" t="s">
        <v>1203</v>
      </c>
      <c r="AD587" s="1500" t="s">
        <v>635</v>
      </c>
      <c r="AE587" s="1501"/>
      <c r="AF587" s="1502" t="s">
        <v>635</v>
      </c>
      <c r="AG587" s="1501"/>
      <c r="AH587" s="1502">
        <v>3.0000000000000001E-6</v>
      </c>
      <c r="AI587" s="1503" t="s">
        <v>1960</v>
      </c>
      <c r="AJ587" s="1502" t="s">
        <v>635</v>
      </c>
      <c r="AK587" s="1501"/>
      <c r="AL587" s="1501"/>
      <c r="AM587" s="1501"/>
      <c r="AN587" s="1504">
        <v>1</v>
      </c>
      <c r="AO587" s="1505">
        <v>0.1</v>
      </c>
      <c r="AP587" s="1506" t="s">
        <v>635</v>
      </c>
    </row>
    <row r="588" spans="1:42" ht="45">
      <c r="A588" s="1507" t="s">
        <v>282</v>
      </c>
      <c r="B588" s="1508" t="s">
        <v>2985</v>
      </c>
      <c r="C588" s="1509">
        <v>464.1</v>
      </c>
      <c r="D588" s="1510" t="s">
        <v>2954</v>
      </c>
      <c r="E588" s="1511" t="s">
        <v>635</v>
      </c>
      <c r="F588" s="1511" t="s">
        <v>635</v>
      </c>
      <c r="G588" s="1534"/>
      <c r="H588" s="1511">
        <v>9.5300000000000003E-3</v>
      </c>
      <c r="I588" s="1512" t="s">
        <v>2954</v>
      </c>
      <c r="J588" s="1513">
        <v>68</v>
      </c>
      <c r="K588" s="1514" t="s">
        <v>2954</v>
      </c>
      <c r="L588" s="1515">
        <v>1.8</v>
      </c>
      <c r="M588" s="1516" t="s">
        <v>2954</v>
      </c>
      <c r="N588" s="1517">
        <v>2.1339777797830001E-2</v>
      </c>
      <c r="O588" s="1517">
        <v>5.4258568744099996E-6</v>
      </c>
      <c r="P588" s="1518" t="s">
        <v>1885</v>
      </c>
      <c r="Q588" s="1519">
        <v>4</v>
      </c>
      <c r="R588" s="1519" t="s">
        <v>2954</v>
      </c>
      <c r="S588" s="1519">
        <v>245.5</v>
      </c>
      <c r="T588" s="1552" t="s">
        <v>2953</v>
      </c>
      <c r="U588" s="1519">
        <v>2.57</v>
      </c>
      <c r="V588" s="1521" t="s">
        <v>2954</v>
      </c>
      <c r="W588" s="1522">
        <v>1299</v>
      </c>
      <c r="X588" s="1523" t="s">
        <v>2940</v>
      </c>
      <c r="Y588" s="1524">
        <v>1.64748079727E-3</v>
      </c>
      <c r="Z588" s="1524">
        <v>41.7646407078199</v>
      </c>
      <c r="AA588" s="1524">
        <v>100.235137698768</v>
      </c>
      <c r="AB588" s="1524">
        <v>1.9883275267E-4</v>
      </c>
      <c r="AC588" s="1525" t="s">
        <v>1203</v>
      </c>
      <c r="AD588" s="1526" t="s">
        <v>635</v>
      </c>
      <c r="AE588" s="1527"/>
      <c r="AF588" s="1528" t="s">
        <v>635</v>
      </c>
      <c r="AG588" s="1527"/>
      <c r="AH588" s="1528">
        <v>3.0000000000000001E-6</v>
      </c>
      <c r="AI588" s="1529" t="s">
        <v>1960</v>
      </c>
      <c r="AJ588" s="1528" t="s">
        <v>635</v>
      </c>
      <c r="AK588" s="1527"/>
      <c r="AL588" s="1527"/>
      <c r="AM588" s="1527"/>
      <c r="AN588" s="1530">
        <v>1</v>
      </c>
      <c r="AO588" s="1531">
        <v>0.1</v>
      </c>
      <c r="AP588" s="1532" t="s">
        <v>635</v>
      </c>
    </row>
    <row r="589" spans="1:42" ht="30">
      <c r="A589" s="1481" t="s">
        <v>292</v>
      </c>
      <c r="B589" s="1482" t="s">
        <v>2986</v>
      </c>
      <c r="C589" s="1483">
        <v>914.1</v>
      </c>
      <c r="D589" s="1484" t="s">
        <v>2954</v>
      </c>
      <c r="E589" s="1485">
        <v>5.6400000000000004E-9</v>
      </c>
      <c r="F589" s="1485">
        <v>1.3799999999999999E-10</v>
      </c>
      <c r="G589" s="1486" t="s">
        <v>2940</v>
      </c>
      <c r="H589" s="1485">
        <v>1.26E-5</v>
      </c>
      <c r="I589" s="1486" t="s">
        <v>1199</v>
      </c>
      <c r="J589" s="1487">
        <v>113</v>
      </c>
      <c r="K589" s="1488" t="s">
        <v>1884</v>
      </c>
      <c r="L589" s="1489">
        <v>1.99</v>
      </c>
      <c r="M589" s="1490" t="s">
        <v>1884</v>
      </c>
      <c r="N589" s="1491">
        <v>1.5810432933440002E-2</v>
      </c>
      <c r="O589" s="1491">
        <v>3.8369610628699997E-6</v>
      </c>
      <c r="P589" s="1492" t="s">
        <v>1885</v>
      </c>
      <c r="Q589" s="1493" t="s">
        <v>635</v>
      </c>
      <c r="R589" s="1494"/>
      <c r="S589" s="1493">
        <v>135000</v>
      </c>
      <c r="T589" s="1493" t="s">
        <v>2940</v>
      </c>
      <c r="U589" s="1493">
        <v>12.9</v>
      </c>
      <c r="V589" s="1495" t="s">
        <v>2940</v>
      </c>
      <c r="W589" s="1496">
        <v>4.7000000000000002E-3</v>
      </c>
      <c r="X589" s="1497" t="s">
        <v>2954</v>
      </c>
      <c r="Y589" s="1498">
        <v>5465.3926000049896</v>
      </c>
      <c r="Z589" s="1498">
        <v>13829.5723158979</v>
      </c>
      <c r="AA589" s="1498">
        <v>65165.207362626803</v>
      </c>
      <c r="AB589" s="1498">
        <v>470</v>
      </c>
      <c r="AC589" s="1499" t="s">
        <v>1199</v>
      </c>
      <c r="AD589" s="1500" t="s">
        <v>635</v>
      </c>
      <c r="AE589" s="1501"/>
      <c r="AF589" s="1502" t="s">
        <v>635</v>
      </c>
      <c r="AG589" s="1501"/>
      <c r="AH589" s="1502">
        <v>0.04</v>
      </c>
      <c r="AI589" s="1503" t="s">
        <v>2975</v>
      </c>
      <c r="AJ589" s="1502" t="s">
        <v>635</v>
      </c>
      <c r="AK589" s="1501"/>
      <c r="AL589" s="1501"/>
      <c r="AM589" s="1501"/>
      <c r="AN589" s="1504">
        <v>1</v>
      </c>
      <c r="AO589" s="1505">
        <v>0.1</v>
      </c>
      <c r="AP589" s="1506" t="s">
        <v>635</v>
      </c>
    </row>
    <row r="590" spans="1:42" ht="45">
      <c r="A590" s="1481" t="s">
        <v>2987</v>
      </c>
      <c r="B590" s="1482" t="s">
        <v>2988</v>
      </c>
      <c r="C590" s="1483">
        <v>499.13</v>
      </c>
      <c r="D590" s="1484" t="s">
        <v>2989</v>
      </c>
      <c r="E590" s="1485">
        <v>1.7743254289999999E-5</v>
      </c>
      <c r="F590" s="1485">
        <v>4.34E-7</v>
      </c>
      <c r="G590" s="1486" t="s">
        <v>2944</v>
      </c>
      <c r="H590" s="1485">
        <v>6.5300000000000004E-4</v>
      </c>
      <c r="I590" s="1486" t="s">
        <v>2944</v>
      </c>
      <c r="J590" s="1487">
        <v>185</v>
      </c>
      <c r="K590" s="1488" t="s">
        <v>2940</v>
      </c>
      <c r="L590" s="1489">
        <v>1.85</v>
      </c>
      <c r="M590" s="1490" t="s">
        <v>2978</v>
      </c>
      <c r="N590" s="1491">
        <v>2.0834424494820002E-2</v>
      </c>
      <c r="O590" s="1491">
        <v>5.2801541834199998E-6</v>
      </c>
      <c r="P590" s="1492" t="s">
        <v>1885</v>
      </c>
      <c r="Q590" s="1493">
        <v>7.42</v>
      </c>
      <c r="R590" s="1551" t="s">
        <v>2944</v>
      </c>
      <c r="S590" s="1493">
        <v>371.5</v>
      </c>
      <c r="T590" s="1551" t="s">
        <v>2953</v>
      </c>
      <c r="U590" s="1493">
        <v>-1.08</v>
      </c>
      <c r="V590" s="1495" t="s">
        <v>2944</v>
      </c>
      <c r="W590" s="1496">
        <v>680</v>
      </c>
      <c r="X590" s="1497" t="s">
        <v>2944</v>
      </c>
      <c r="Y590" s="1498">
        <v>4.0766115903399998E-6</v>
      </c>
      <c r="Z590" s="1498">
        <v>65.611013985887297</v>
      </c>
      <c r="AA590" s="1498">
        <v>157.46643356612901</v>
      </c>
      <c r="AB590" s="1498">
        <v>4.74423120778E-7</v>
      </c>
      <c r="AC590" s="1499" t="s">
        <v>1203</v>
      </c>
      <c r="AD590" s="1500">
        <v>39.5</v>
      </c>
      <c r="AE590" s="1503" t="s">
        <v>2941</v>
      </c>
      <c r="AF590" s="1502" t="s">
        <v>635</v>
      </c>
      <c r="AG590" s="1501"/>
      <c r="AH590" s="1502">
        <v>9.9999999999999995E-8</v>
      </c>
      <c r="AI590" s="1503" t="s">
        <v>2941</v>
      </c>
      <c r="AJ590" s="1502" t="s">
        <v>635</v>
      </c>
      <c r="AK590" s="1501"/>
      <c r="AL590" s="1501"/>
      <c r="AM590" s="1501"/>
      <c r="AN590" s="1504">
        <v>1</v>
      </c>
      <c r="AO590" s="1505">
        <v>0.1</v>
      </c>
      <c r="AP590" s="1506" t="s">
        <v>635</v>
      </c>
    </row>
    <row r="591" spans="1:42" ht="45">
      <c r="A591" s="1507" t="s">
        <v>298</v>
      </c>
      <c r="B591" s="1508" t="s">
        <v>2990</v>
      </c>
      <c r="C591" s="1509">
        <v>500.1</v>
      </c>
      <c r="D591" s="1510" t="s">
        <v>2954</v>
      </c>
      <c r="E591" s="1511">
        <v>1.7743254289999999E-5</v>
      </c>
      <c r="F591" s="1511">
        <v>4.34E-7</v>
      </c>
      <c r="G591" s="1512" t="s">
        <v>2954</v>
      </c>
      <c r="H591" s="1511">
        <v>6.5300000000000004E-4</v>
      </c>
      <c r="I591" s="1512" t="s">
        <v>2954</v>
      </c>
      <c r="J591" s="1513">
        <v>84</v>
      </c>
      <c r="K591" s="1514" t="s">
        <v>2940</v>
      </c>
      <c r="L591" s="1515">
        <v>1.85</v>
      </c>
      <c r="M591" s="1516" t="s">
        <v>1884</v>
      </c>
      <c r="N591" s="1517">
        <v>2.0813768112350001E-2</v>
      </c>
      <c r="O591" s="1517">
        <v>5.2740069270300003E-6</v>
      </c>
      <c r="P591" s="1518" t="s">
        <v>1885</v>
      </c>
      <c r="Q591" s="1519">
        <v>7.42</v>
      </c>
      <c r="R591" s="1519" t="s">
        <v>2954</v>
      </c>
      <c r="S591" s="1519">
        <v>371.5</v>
      </c>
      <c r="T591" s="1552" t="s">
        <v>2953</v>
      </c>
      <c r="U591" s="1519">
        <v>-1.08</v>
      </c>
      <c r="V591" s="1521" t="s">
        <v>2954</v>
      </c>
      <c r="W591" s="1522">
        <v>680</v>
      </c>
      <c r="X591" s="1523" t="s">
        <v>2954</v>
      </c>
      <c r="Y591" s="1524">
        <v>4.0297442039099998E-6</v>
      </c>
      <c r="Z591" s="1524">
        <v>66.436806668935006</v>
      </c>
      <c r="AA591" s="1524">
        <v>159.44833600544399</v>
      </c>
      <c r="AB591" s="1524">
        <v>4.6851381349800002E-7</v>
      </c>
      <c r="AC591" s="1525" t="s">
        <v>1203</v>
      </c>
      <c r="AD591" s="1526">
        <v>39.5</v>
      </c>
      <c r="AE591" s="1529" t="s">
        <v>2941</v>
      </c>
      <c r="AF591" s="1528" t="s">
        <v>635</v>
      </c>
      <c r="AG591" s="1527"/>
      <c r="AH591" s="1528">
        <v>9.9999999999999995E-8</v>
      </c>
      <c r="AI591" s="1529" t="s">
        <v>2941</v>
      </c>
      <c r="AJ591" s="1528" t="s">
        <v>635</v>
      </c>
      <c r="AK591" s="1527"/>
      <c r="AL591" s="1527"/>
      <c r="AM591" s="1527"/>
      <c r="AN591" s="1530">
        <v>1</v>
      </c>
      <c r="AO591" s="1531">
        <v>0.1</v>
      </c>
      <c r="AP591" s="1532" t="s">
        <v>635</v>
      </c>
    </row>
    <row r="592" spans="1:42" ht="45">
      <c r="A592" s="1481" t="s">
        <v>2991</v>
      </c>
      <c r="B592" s="1482" t="s">
        <v>2992</v>
      </c>
      <c r="C592" s="1483">
        <v>413.06299999999999</v>
      </c>
      <c r="D592" s="1484" t="s">
        <v>2954</v>
      </c>
      <c r="E592" s="1485">
        <v>1.4603399999999999E-4</v>
      </c>
      <c r="F592" s="1485">
        <v>3.5727000000000001E-6</v>
      </c>
      <c r="G592" s="1486" t="s">
        <v>2347</v>
      </c>
      <c r="H592" s="1485">
        <v>0.03</v>
      </c>
      <c r="I592" s="1486" t="s">
        <v>2954</v>
      </c>
      <c r="J592" s="1487">
        <v>53</v>
      </c>
      <c r="K592" s="1488" t="s">
        <v>2954</v>
      </c>
      <c r="L592" s="1489">
        <v>1.792</v>
      </c>
      <c r="M592" s="1490" t="s">
        <v>2954</v>
      </c>
      <c r="N592" s="1491">
        <v>2.2598008188120002E-2</v>
      </c>
      <c r="O592" s="1491">
        <v>5.8031633815E-6</v>
      </c>
      <c r="P592" s="1492" t="s">
        <v>1885</v>
      </c>
      <c r="Q592" s="1493">
        <v>15</v>
      </c>
      <c r="R592" s="1493" t="s">
        <v>2954</v>
      </c>
      <c r="S592" s="1493">
        <v>114.8</v>
      </c>
      <c r="T592" s="1551" t="s">
        <v>2953</v>
      </c>
      <c r="U592" s="1493">
        <v>0.69899999999999995</v>
      </c>
      <c r="V592" s="1495" t="s">
        <v>2944</v>
      </c>
      <c r="W592" s="1496">
        <v>9500</v>
      </c>
      <c r="X592" s="1497" t="s">
        <v>2954</v>
      </c>
      <c r="Y592" s="1498">
        <v>1.715895438E-4</v>
      </c>
      <c r="Z592" s="1498">
        <v>21.627262405876198</v>
      </c>
      <c r="AA592" s="1498">
        <v>51.905429774102998</v>
      </c>
      <c r="AB592" s="1498">
        <v>2.1951086450000001E-5</v>
      </c>
      <c r="AC592" s="1499" t="s">
        <v>1203</v>
      </c>
      <c r="AD592" s="1500">
        <v>29300</v>
      </c>
      <c r="AE592" s="1503" t="s">
        <v>2941</v>
      </c>
      <c r="AF592" s="1502" t="s">
        <v>635</v>
      </c>
      <c r="AG592" s="1501"/>
      <c r="AH592" s="1502">
        <v>2.9999999999999997E-8</v>
      </c>
      <c r="AI592" s="1503" t="s">
        <v>2941</v>
      </c>
      <c r="AJ592" s="1502" t="s">
        <v>635</v>
      </c>
      <c r="AK592" s="1501"/>
      <c r="AL592" s="1501"/>
      <c r="AM592" s="1501"/>
      <c r="AN592" s="1504">
        <v>1</v>
      </c>
      <c r="AO592" s="1505">
        <v>0.1</v>
      </c>
      <c r="AP592" s="1506" t="s">
        <v>635</v>
      </c>
    </row>
    <row r="593" spans="1:42" ht="45">
      <c r="A593" s="1481" t="s">
        <v>280</v>
      </c>
      <c r="B593" s="1482" t="s">
        <v>2993</v>
      </c>
      <c r="C593" s="1483">
        <v>414.4</v>
      </c>
      <c r="D593" s="1484" t="s">
        <v>2954</v>
      </c>
      <c r="E593" s="1485">
        <v>1.4603399999999999E-4</v>
      </c>
      <c r="F593" s="1485">
        <v>3.5727000000000001E-6</v>
      </c>
      <c r="G593" s="1486" t="s">
        <v>2347</v>
      </c>
      <c r="H593" s="1485">
        <v>0.03</v>
      </c>
      <c r="I593" s="1486" t="s">
        <v>2954</v>
      </c>
      <c r="J593" s="1487">
        <v>53</v>
      </c>
      <c r="K593" s="1488" t="s">
        <v>2954</v>
      </c>
      <c r="L593" s="1489">
        <v>1.792</v>
      </c>
      <c r="M593" s="1490" t="s">
        <v>2954</v>
      </c>
      <c r="N593" s="1491">
        <v>2.2560846153160001E-2</v>
      </c>
      <c r="O593" s="1491">
        <v>5.7919222953000001E-6</v>
      </c>
      <c r="P593" s="1492" t="s">
        <v>1885</v>
      </c>
      <c r="Q593" s="1493">
        <v>15</v>
      </c>
      <c r="R593" s="1493" t="s">
        <v>2954</v>
      </c>
      <c r="S593" s="1493">
        <v>114.8</v>
      </c>
      <c r="T593" s="1551" t="s">
        <v>2953</v>
      </c>
      <c r="U593" s="1493">
        <v>0.69899999999999995</v>
      </c>
      <c r="V593" s="1495" t="s">
        <v>2944</v>
      </c>
      <c r="W593" s="1496">
        <v>9500</v>
      </c>
      <c r="X593" s="1497" t="s">
        <v>2954</v>
      </c>
      <c r="Y593" s="1498">
        <v>1.6892330463000001E-4</v>
      </c>
      <c r="Z593" s="1498">
        <v>22.003347093039999</v>
      </c>
      <c r="AA593" s="1498">
        <v>52.808033023296097</v>
      </c>
      <c r="AB593" s="1498">
        <v>2.1575111239999999E-5</v>
      </c>
      <c r="AC593" s="1499" t="s">
        <v>1203</v>
      </c>
      <c r="AD593" s="1500">
        <v>29300</v>
      </c>
      <c r="AE593" s="1503" t="s">
        <v>2941</v>
      </c>
      <c r="AF593" s="1502" t="s">
        <v>635</v>
      </c>
      <c r="AG593" s="1501"/>
      <c r="AH593" s="1502">
        <v>2.9999999999999997E-8</v>
      </c>
      <c r="AI593" s="1503" t="s">
        <v>2941</v>
      </c>
      <c r="AJ593" s="1502" t="s">
        <v>635</v>
      </c>
      <c r="AK593" s="1501"/>
      <c r="AL593" s="1501"/>
      <c r="AM593" s="1501"/>
      <c r="AN593" s="1504">
        <v>1</v>
      </c>
      <c r="AO593" s="1505">
        <v>0.1</v>
      </c>
      <c r="AP593" s="1506" t="s">
        <v>635</v>
      </c>
    </row>
    <row r="594" spans="1:42" ht="30">
      <c r="A594" s="1507" t="s">
        <v>270</v>
      </c>
      <c r="B594" s="1508" t="s">
        <v>2994</v>
      </c>
      <c r="C594" s="1509">
        <v>164</v>
      </c>
      <c r="D594" s="1510" t="s">
        <v>2954</v>
      </c>
      <c r="E594" s="1511">
        <v>9.2699999999999998E-4</v>
      </c>
      <c r="F594" s="1511">
        <v>2.27E-5</v>
      </c>
      <c r="G594" s="1512" t="s">
        <v>1199</v>
      </c>
      <c r="H594" s="1511">
        <v>40</v>
      </c>
      <c r="I594" s="1512" t="s">
        <v>2954</v>
      </c>
      <c r="J594" s="1513">
        <v>-1.5</v>
      </c>
      <c r="K594" s="1514" t="s">
        <v>2954</v>
      </c>
      <c r="L594" s="1515">
        <v>1.5609999999999999</v>
      </c>
      <c r="M594" s="1516" t="s">
        <v>2954</v>
      </c>
      <c r="N594" s="1517">
        <v>5.0665361035689999E-2</v>
      </c>
      <c r="O594" s="1517">
        <v>9.2983781565900005E-6</v>
      </c>
      <c r="P594" s="1518" t="s">
        <v>1885</v>
      </c>
      <c r="Q594" s="1519" t="s">
        <v>635</v>
      </c>
      <c r="R594" s="1520"/>
      <c r="S594" s="1519">
        <v>5.89</v>
      </c>
      <c r="T594" s="1519" t="s">
        <v>2940</v>
      </c>
      <c r="U594" s="1519">
        <v>1.4685999999999999</v>
      </c>
      <c r="V594" s="1521" t="s">
        <v>1199</v>
      </c>
      <c r="W594" s="1522">
        <v>100000</v>
      </c>
      <c r="X594" s="1523" t="s">
        <v>2954</v>
      </c>
      <c r="Y594" s="1524">
        <v>8.7673547251000006E-3</v>
      </c>
      <c r="Z594" s="1524">
        <v>0.87146259218906996</v>
      </c>
      <c r="AA594" s="1524">
        <v>2.09151022125377</v>
      </c>
      <c r="AB594" s="1524">
        <v>1.7799999999999999E-3</v>
      </c>
      <c r="AC594" s="1525" t="s">
        <v>1199</v>
      </c>
      <c r="AD594" s="1526" t="s">
        <v>635</v>
      </c>
      <c r="AE594" s="1527"/>
      <c r="AF594" s="1528" t="s">
        <v>635</v>
      </c>
      <c r="AG594" s="1527"/>
      <c r="AH594" s="1528">
        <v>5.0000000000000001E-4</v>
      </c>
      <c r="AI594" s="1529" t="s">
        <v>2957</v>
      </c>
      <c r="AJ594" s="1528" t="s">
        <v>635</v>
      </c>
      <c r="AK594" s="1527"/>
      <c r="AL594" s="1529" t="s">
        <v>1127</v>
      </c>
      <c r="AM594" s="1527"/>
      <c r="AN594" s="1530">
        <v>1</v>
      </c>
      <c r="AO594" s="1530" t="s">
        <v>635</v>
      </c>
      <c r="AP594" s="1532">
        <v>13600</v>
      </c>
    </row>
    <row r="595" spans="1:42" ht="30">
      <c r="A595" s="1481" t="s">
        <v>290</v>
      </c>
      <c r="B595" s="1482" t="s">
        <v>2995</v>
      </c>
      <c r="C595" s="1483">
        <v>714.1</v>
      </c>
      <c r="D595" s="1484" t="s">
        <v>2954</v>
      </c>
      <c r="E595" s="1485">
        <v>1.4500000000000001E-8</v>
      </c>
      <c r="F595" s="1485">
        <v>3.5500000000000001E-10</v>
      </c>
      <c r="G595" s="1486" t="s">
        <v>2940</v>
      </c>
      <c r="H595" s="1485">
        <v>4.2400000000000001E-4</v>
      </c>
      <c r="I595" s="1486" t="s">
        <v>1199</v>
      </c>
      <c r="J595" s="1487">
        <v>130</v>
      </c>
      <c r="K595" s="1488" t="s">
        <v>2954</v>
      </c>
      <c r="L595" s="1489">
        <v>1.86</v>
      </c>
      <c r="M595" s="1490" t="s">
        <v>1884</v>
      </c>
      <c r="N595" s="1491">
        <v>1.7375246313909999E-2</v>
      </c>
      <c r="O595" s="1491">
        <v>4.27291366833E-6</v>
      </c>
      <c r="P595" s="1492" t="s">
        <v>1885</v>
      </c>
      <c r="Q595" s="1493" t="s">
        <v>635</v>
      </c>
      <c r="R595" s="1494"/>
      <c r="S595" s="1493">
        <v>234000</v>
      </c>
      <c r="T595" s="1493" t="s">
        <v>2940</v>
      </c>
      <c r="U595" s="1493">
        <v>5.0999999999999996</v>
      </c>
      <c r="V595" s="1495" t="s">
        <v>2954</v>
      </c>
      <c r="W595" s="1496">
        <v>0.29599999999999999</v>
      </c>
      <c r="X595" s="1497" t="s">
        <v>2954</v>
      </c>
      <c r="Y595" s="1498">
        <v>172.66942798580999</v>
      </c>
      <c r="Z595" s="1498">
        <v>1049.0803431084601</v>
      </c>
      <c r="AA595" s="1498">
        <v>4931.4633092449803</v>
      </c>
      <c r="AB595" s="1498">
        <v>16.8</v>
      </c>
      <c r="AC595" s="1499" t="s">
        <v>1199</v>
      </c>
      <c r="AD595" s="1500" t="s">
        <v>635</v>
      </c>
      <c r="AE595" s="1501"/>
      <c r="AF595" s="1502" t="s">
        <v>635</v>
      </c>
      <c r="AG595" s="1501"/>
      <c r="AH595" s="1502">
        <v>1E-3</v>
      </c>
      <c r="AI595" s="1503" t="s">
        <v>2975</v>
      </c>
      <c r="AJ595" s="1502" t="s">
        <v>635</v>
      </c>
      <c r="AK595" s="1501"/>
      <c r="AL595" s="1501"/>
      <c r="AM595" s="1501"/>
      <c r="AN595" s="1504">
        <v>1</v>
      </c>
      <c r="AO595" s="1505">
        <v>0.1</v>
      </c>
      <c r="AP595" s="1506" t="s">
        <v>635</v>
      </c>
    </row>
    <row r="596" spans="1:42" ht="45">
      <c r="A596" s="1481" t="s">
        <v>286</v>
      </c>
      <c r="B596" s="1482" t="s">
        <v>2996</v>
      </c>
      <c r="C596" s="1483">
        <v>564.1</v>
      </c>
      <c r="D596" s="1484" t="s">
        <v>2954</v>
      </c>
      <c r="E596" s="1485">
        <v>1.35E-8</v>
      </c>
      <c r="F596" s="1485">
        <v>3.3099999999999999E-10</v>
      </c>
      <c r="G596" s="1486" t="s">
        <v>2940</v>
      </c>
      <c r="H596" s="1485">
        <v>7.4100000000000001E-4</v>
      </c>
      <c r="I596" s="1486" t="s">
        <v>1199</v>
      </c>
      <c r="J596" s="1487">
        <v>112</v>
      </c>
      <c r="K596" s="1488" t="s">
        <v>2954</v>
      </c>
      <c r="L596" s="1489">
        <v>1.81</v>
      </c>
      <c r="M596" s="1490" t="s">
        <v>1884</v>
      </c>
      <c r="N596" s="1491">
        <v>1.9361069150969999E-2</v>
      </c>
      <c r="O596" s="1491">
        <v>4.8424512429599998E-6</v>
      </c>
      <c r="P596" s="1492" t="s">
        <v>1885</v>
      </c>
      <c r="Q596" s="1493" t="s">
        <v>635</v>
      </c>
      <c r="R596" s="1494"/>
      <c r="S596" s="1493">
        <v>3631</v>
      </c>
      <c r="T596" s="1551" t="s">
        <v>2945</v>
      </c>
      <c r="U596" s="1493">
        <v>4</v>
      </c>
      <c r="V596" s="1495" t="s">
        <v>2940</v>
      </c>
      <c r="W596" s="1496">
        <v>91.9</v>
      </c>
      <c r="X596" s="1497" t="s">
        <v>1884</v>
      </c>
      <c r="Y596" s="1498">
        <v>12.697537442378</v>
      </c>
      <c r="Z596" s="1498">
        <v>151.63824506367399</v>
      </c>
      <c r="AA596" s="1498">
        <v>692.35345273905796</v>
      </c>
      <c r="AB596" s="1498">
        <v>1.39</v>
      </c>
      <c r="AC596" s="1499" t="s">
        <v>1199</v>
      </c>
      <c r="AD596" s="1500" t="s">
        <v>635</v>
      </c>
      <c r="AE596" s="1501"/>
      <c r="AF596" s="1502" t="s">
        <v>635</v>
      </c>
      <c r="AG596" s="1501"/>
      <c r="AH596" s="1502">
        <v>2.9999999999999997E-4</v>
      </c>
      <c r="AI596" s="1503" t="s">
        <v>2975</v>
      </c>
      <c r="AJ596" s="1502" t="s">
        <v>635</v>
      </c>
      <c r="AK596" s="1501"/>
      <c r="AL596" s="1501"/>
      <c r="AM596" s="1501"/>
      <c r="AN596" s="1504">
        <v>1</v>
      </c>
      <c r="AO596" s="1505">
        <v>0.1</v>
      </c>
      <c r="AP596" s="1506" t="s">
        <v>635</v>
      </c>
    </row>
    <row r="597" spans="1:42" ht="45">
      <c r="A597" s="1507" t="s">
        <v>2997</v>
      </c>
      <c r="B597" s="1508" t="s">
        <v>2998</v>
      </c>
      <c r="C597" s="1509">
        <v>338.2</v>
      </c>
      <c r="D597" s="1510" t="s">
        <v>2954</v>
      </c>
      <c r="E597" s="1511">
        <v>3.5936222403999998E-11</v>
      </c>
      <c r="F597" s="1511">
        <v>8.7899999999999999E-13</v>
      </c>
      <c r="G597" s="1512" t="s">
        <v>2954</v>
      </c>
      <c r="H597" s="1511">
        <v>9.1500000000000005E-8</v>
      </c>
      <c r="I597" s="1512" t="s">
        <v>2954</v>
      </c>
      <c r="J597" s="1513">
        <v>280</v>
      </c>
      <c r="K597" s="1514" t="s">
        <v>2954</v>
      </c>
      <c r="L597" s="1515">
        <v>0.95099999999999996</v>
      </c>
      <c r="M597" s="1516" t="s">
        <v>2954</v>
      </c>
      <c r="N597" s="1517">
        <v>1.8441200004009999E-2</v>
      </c>
      <c r="O597" s="1517">
        <v>4.4737933513999998E-6</v>
      </c>
      <c r="P597" s="1518" t="s">
        <v>1885</v>
      </c>
      <c r="Q597" s="1519">
        <v>0.3</v>
      </c>
      <c r="R597" s="1519" t="s">
        <v>2954</v>
      </c>
      <c r="S597" s="1519">
        <v>61.66</v>
      </c>
      <c r="T597" s="1552" t="s">
        <v>2945</v>
      </c>
      <c r="U597" s="1519">
        <v>-1.8</v>
      </c>
      <c r="V597" s="1521" t="s">
        <v>2954</v>
      </c>
      <c r="W597" s="1522">
        <v>46200</v>
      </c>
      <c r="X597" s="1523" t="s">
        <v>2954</v>
      </c>
      <c r="Y597" s="1524">
        <v>8.9203931115399999E-6</v>
      </c>
      <c r="Z597" s="1524">
        <v>8.2369939996549792</v>
      </c>
      <c r="AA597" s="1524">
        <v>19.768785599171899</v>
      </c>
      <c r="AB597" s="1524">
        <v>1.2611610226199999E-6</v>
      </c>
      <c r="AC597" s="1525" t="s">
        <v>1203</v>
      </c>
      <c r="AD597" s="1526" t="s">
        <v>635</v>
      </c>
      <c r="AE597" s="1527"/>
      <c r="AF597" s="1528" t="s">
        <v>635</v>
      </c>
      <c r="AG597" s="1527"/>
      <c r="AH597" s="1528">
        <v>2.9999999999999997E-4</v>
      </c>
      <c r="AI597" s="1529" t="s">
        <v>1909</v>
      </c>
      <c r="AJ597" s="1528" t="s">
        <v>635</v>
      </c>
      <c r="AK597" s="1527"/>
      <c r="AL597" s="1527"/>
      <c r="AM597" s="1527"/>
      <c r="AN597" s="1530">
        <v>1</v>
      </c>
      <c r="AO597" s="1531">
        <v>0.1</v>
      </c>
      <c r="AP597" s="1532" t="s">
        <v>635</v>
      </c>
    </row>
    <row r="598" spans="1:42" ht="45">
      <c r="A598" s="1481" t="s">
        <v>2999</v>
      </c>
      <c r="B598" s="1482" t="s">
        <v>3000</v>
      </c>
      <c r="C598" s="1483">
        <v>252.12899999999999</v>
      </c>
      <c r="D598" s="1484" t="s">
        <v>2940</v>
      </c>
      <c r="E598" s="1485">
        <v>2.0479999999999999E-3</v>
      </c>
      <c r="F598" s="1485">
        <v>5.0099999999999998E-5</v>
      </c>
      <c r="G598" s="1486" t="s">
        <v>2940</v>
      </c>
      <c r="H598" s="1485">
        <v>21.7</v>
      </c>
      <c r="I598" s="1486" t="s">
        <v>2940</v>
      </c>
      <c r="J598" s="1487">
        <v>-13.7</v>
      </c>
      <c r="K598" s="1488" t="s">
        <v>2940</v>
      </c>
      <c r="L598" s="1489">
        <v>0.64100000000000001</v>
      </c>
      <c r="M598" s="1490" t="s">
        <v>2944</v>
      </c>
      <c r="N598" s="1491">
        <v>1.7777865203440001E-2</v>
      </c>
      <c r="O598" s="1491">
        <v>4.2112682735299998E-6</v>
      </c>
      <c r="P598" s="1492" t="s">
        <v>1885</v>
      </c>
      <c r="Q598" s="1493" t="s">
        <v>635</v>
      </c>
      <c r="R598" s="1494"/>
      <c r="S598" s="1493">
        <v>75.86</v>
      </c>
      <c r="T598" s="1551" t="s">
        <v>2945</v>
      </c>
      <c r="U598" s="1493">
        <v>2.2200000000000002</v>
      </c>
      <c r="V598" s="1495" t="s">
        <v>2940</v>
      </c>
      <c r="W598" s="1496">
        <v>172960</v>
      </c>
      <c r="X598" s="1497" t="s">
        <v>2940</v>
      </c>
      <c r="Y598" s="1498">
        <v>1.099662867696E-2</v>
      </c>
      <c r="Z598" s="1498">
        <v>2.7150082250821899</v>
      </c>
      <c r="AA598" s="1498">
        <v>6.5160197401972502</v>
      </c>
      <c r="AB598" s="1498">
        <v>1.80061767045E-3</v>
      </c>
      <c r="AC598" s="1499" t="s">
        <v>1203</v>
      </c>
      <c r="AD598" s="1500" t="s">
        <v>635</v>
      </c>
      <c r="AE598" s="1501"/>
      <c r="AF598" s="1502" t="s">
        <v>635</v>
      </c>
      <c r="AG598" s="1501"/>
      <c r="AH598" s="1502">
        <v>2E-3</v>
      </c>
      <c r="AI598" s="1503" t="s">
        <v>1119</v>
      </c>
      <c r="AJ598" s="1502" t="s">
        <v>635</v>
      </c>
      <c r="AK598" s="1501"/>
      <c r="AL598" s="1503" t="s">
        <v>1127</v>
      </c>
      <c r="AM598" s="1501"/>
      <c r="AN598" s="1504">
        <v>1</v>
      </c>
      <c r="AO598" s="1504" t="s">
        <v>635</v>
      </c>
      <c r="AP598" s="1506">
        <v>96100</v>
      </c>
    </row>
    <row r="599" spans="1:42" ht="45">
      <c r="A599" s="1481" t="s">
        <v>3001</v>
      </c>
      <c r="B599" s="1482" t="s">
        <v>3002</v>
      </c>
      <c r="C599" s="1483">
        <v>552.17600000000004</v>
      </c>
      <c r="D599" s="1484" t="s">
        <v>2940</v>
      </c>
      <c r="E599" s="1485">
        <v>6.17E-9</v>
      </c>
      <c r="F599" s="1485">
        <v>1.51E-10</v>
      </c>
      <c r="G599" s="1486" t="s">
        <v>2940</v>
      </c>
      <c r="H599" s="1485">
        <v>7.3999999999999999E-4</v>
      </c>
      <c r="I599" s="1486" t="s">
        <v>2940</v>
      </c>
      <c r="J599" s="1487">
        <v>86</v>
      </c>
      <c r="K599" s="1488" t="s">
        <v>2940</v>
      </c>
      <c r="L599" s="1489">
        <v>1.76</v>
      </c>
      <c r="M599" s="1557" t="s">
        <v>3003</v>
      </c>
      <c r="N599" s="1491">
        <v>1.9308483613840001E-2</v>
      </c>
      <c r="O599" s="1491">
        <v>4.8231731858599996E-6</v>
      </c>
      <c r="P599" s="1492" t="s">
        <v>1885</v>
      </c>
      <c r="Q599" s="1493" t="s">
        <v>635</v>
      </c>
      <c r="R599" s="1494"/>
      <c r="S599" s="1493">
        <v>398</v>
      </c>
      <c r="T599" s="1493" t="s">
        <v>2940</v>
      </c>
      <c r="U599" s="1493">
        <v>6.84</v>
      </c>
      <c r="V599" s="1555" t="s">
        <v>3003</v>
      </c>
      <c r="W599" s="1496">
        <v>10.5</v>
      </c>
      <c r="X599" s="1497" t="s">
        <v>2940</v>
      </c>
      <c r="Y599" s="1498">
        <v>0.39634446574447002</v>
      </c>
      <c r="Z599" s="1498">
        <v>130.02724163014901</v>
      </c>
      <c r="AA599" s="1498">
        <v>312.065379912357</v>
      </c>
      <c r="AB599" s="1498">
        <v>4.3853815305590002E-2</v>
      </c>
      <c r="AC599" s="1499" t="s">
        <v>1203</v>
      </c>
      <c r="AD599" s="1500" t="s">
        <v>635</v>
      </c>
      <c r="AE599" s="1501"/>
      <c r="AF599" s="1502" t="s">
        <v>635</v>
      </c>
      <c r="AG599" s="1501"/>
      <c r="AH599" s="1502">
        <v>2.1499999999999998E-9</v>
      </c>
      <c r="AI599" s="1503" t="s">
        <v>1119</v>
      </c>
      <c r="AJ599" s="1502" t="s">
        <v>635</v>
      </c>
      <c r="AK599" s="1501"/>
      <c r="AL599" s="1501"/>
      <c r="AM599" s="1501"/>
      <c r="AN599" s="1504">
        <v>1</v>
      </c>
      <c r="AO599" s="1505">
        <v>0.1</v>
      </c>
      <c r="AP599" s="1506" t="s">
        <v>635</v>
      </c>
    </row>
    <row r="600" spans="1:42" ht="45">
      <c r="A600" s="1507" t="s">
        <v>3004</v>
      </c>
      <c r="B600" s="1508" t="s">
        <v>3005</v>
      </c>
      <c r="C600" s="1509">
        <v>538.22</v>
      </c>
      <c r="D600" s="1510" t="s">
        <v>3006</v>
      </c>
      <c r="E600" s="1511">
        <v>8.1766000000000003E-5</v>
      </c>
      <c r="F600" s="1511">
        <v>1.9999999999999999E-6</v>
      </c>
      <c r="G600" s="1512" t="s">
        <v>3007</v>
      </c>
      <c r="H600" s="1511">
        <v>2.48E-6</v>
      </c>
      <c r="I600" s="1512" t="s">
        <v>2954</v>
      </c>
      <c r="J600" s="1513">
        <v>400</v>
      </c>
      <c r="K600" s="1514" t="s">
        <v>2954</v>
      </c>
      <c r="L600" s="1515">
        <v>1.85</v>
      </c>
      <c r="M600" s="1516" t="s">
        <v>2978</v>
      </c>
      <c r="N600" s="1517">
        <v>2.0046051437379999E-2</v>
      </c>
      <c r="O600" s="1517">
        <v>5.0466003032800003E-6</v>
      </c>
      <c r="P600" s="1518" t="s">
        <v>1885</v>
      </c>
      <c r="Q600" s="1519">
        <v>7.42</v>
      </c>
      <c r="R600" s="1519" t="s">
        <v>2954</v>
      </c>
      <c r="S600" s="1519">
        <v>250</v>
      </c>
      <c r="T600" s="1519" t="s">
        <v>2954</v>
      </c>
      <c r="U600" s="1519">
        <v>-1.08</v>
      </c>
      <c r="V600" s="1521" t="s">
        <v>2954</v>
      </c>
      <c r="W600" s="1522">
        <v>680</v>
      </c>
      <c r="X600" s="1523" t="s">
        <v>2954</v>
      </c>
      <c r="Y600" s="1524">
        <v>2.5545073228299999E-6</v>
      </c>
      <c r="Z600" s="1524">
        <v>108.61273493070399</v>
      </c>
      <c r="AA600" s="1524">
        <v>260.67056383368799</v>
      </c>
      <c r="AB600" s="1524">
        <v>2.8628631205899999E-7</v>
      </c>
      <c r="AC600" s="1525" t="s">
        <v>1203</v>
      </c>
      <c r="AD600" s="1526">
        <v>39.5</v>
      </c>
      <c r="AE600" s="1529" t="s">
        <v>2941</v>
      </c>
      <c r="AF600" s="1528" t="s">
        <v>635</v>
      </c>
      <c r="AG600" s="1527"/>
      <c r="AH600" s="1528">
        <v>9.9999999999999995E-8</v>
      </c>
      <c r="AI600" s="1529" t="s">
        <v>2941</v>
      </c>
      <c r="AJ600" s="1528" t="s">
        <v>635</v>
      </c>
      <c r="AK600" s="1527"/>
      <c r="AL600" s="1527"/>
      <c r="AM600" s="1527"/>
      <c r="AN600" s="1530">
        <v>1</v>
      </c>
      <c r="AO600" s="1531">
        <v>0.1</v>
      </c>
      <c r="AP600" s="1532" t="s">
        <v>635</v>
      </c>
    </row>
    <row r="601" spans="1:42" ht="45">
      <c r="A601" s="1481" t="s">
        <v>3008</v>
      </c>
      <c r="B601" s="1482" t="s">
        <v>3009</v>
      </c>
      <c r="C601" s="1483">
        <v>236.02099999999999</v>
      </c>
      <c r="D601" s="1484" t="s">
        <v>2940</v>
      </c>
      <c r="E601" s="1485">
        <v>2.0500000000000002E-3</v>
      </c>
      <c r="F601" s="1485">
        <v>5.0099999999999998E-5</v>
      </c>
      <c r="G601" s="1486" t="s">
        <v>2940</v>
      </c>
      <c r="H601" s="1485">
        <v>21.7</v>
      </c>
      <c r="I601" s="1486" t="s">
        <v>2940</v>
      </c>
      <c r="J601" s="1487">
        <v>-13.7</v>
      </c>
      <c r="K601" s="1488" t="s">
        <v>2940</v>
      </c>
      <c r="L601" s="1489">
        <v>0.64100000000000001</v>
      </c>
      <c r="M601" s="1490" t="s">
        <v>2944</v>
      </c>
      <c r="N601" s="1491">
        <v>1.843730713395E-2</v>
      </c>
      <c r="O601" s="1491">
        <v>4.3814332691299996E-6</v>
      </c>
      <c r="P601" s="1492" t="s">
        <v>1885</v>
      </c>
      <c r="Q601" s="1493" t="s">
        <v>635</v>
      </c>
      <c r="R601" s="1494"/>
      <c r="S601" s="1493">
        <v>75.86</v>
      </c>
      <c r="T601" s="1551" t="s">
        <v>2945</v>
      </c>
      <c r="U601" s="1493">
        <v>2.66</v>
      </c>
      <c r="V601" s="1495" t="s">
        <v>2940</v>
      </c>
      <c r="W601" s="1496">
        <v>161910</v>
      </c>
      <c r="X601" s="1497" t="s">
        <v>2940</v>
      </c>
      <c r="Y601" s="1498">
        <v>2.568836227244E-2</v>
      </c>
      <c r="Z601" s="1498">
        <v>2.2058011033217899</v>
      </c>
      <c r="AA601" s="1498">
        <v>5.2939226479723001</v>
      </c>
      <c r="AB601" s="1498">
        <v>4.3474484615599997E-3</v>
      </c>
      <c r="AC601" s="1499" t="s">
        <v>1203</v>
      </c>
      <c r="AD601" s="1500" t="s">
        <v>635</v>
      </c>
      <c r="AE601" s="1501"/>
      <c r="AF601" s="1502" t="s">
        <v>635</v>
      </c>
      <c r="AG601" s="1501"/>
      <c r="AH601" s="1502">
        <v>1E-3</v>
      </c>
      <c r="AI601" s="1503" t="s">
        <v>1119</v>
      </c>
      <c r="AJ601" s="1502" t="s">
        <v>635</v>
      </c>
      <c r="AK601" s="1501"/>
      <c r="AL601" s="1503" t="s">
        <v>1127</v>
      </c>
      <c r="AM601" s="1501"/>
      <c r="AN601" s="1504">
        <v>1</v>
      </c>
      <c r="AO601" s="1504" t="s">
        <v>635</v>
      </c>
      <c r="AP601" s="1506">
        <v>89900</v>
      </c>
    </row>
    <row r="602" spans="1:42" ht="30">
      <c r="A602" s="1481" t="s">
        <v>3010</v>
      </c>
      <c r="B602" s="1482" t="s">
        <v>3011</v>
      </c>
      <c r="C602" s="1483">
        <v>536.06700000000001</v>
      </c>
      <c r="D602" s="1484" t="s">
        <v>2940</v>
      </c>
      <c r="E602" s="1485">
        <v>6.17E-9</v>
      </c>
      <c r="F602" s="1485">
        <v>1.51E-10</v>
      </c>
      <c r="G602" s="1486" t="s">
        <v>2940</v>
      </c>
      <c r="H602" s="1485">
        <v>2.3900000000000001E-2</v>
      </c>
      <c r="I602" s="1486" t="s">
        <v>2940</v>
      </c>
      <c r="J602" s="1487">
        <v>84</v>
      </c>
      <c r="K602" s="1488" t="s">
        <v>2940</v>
      </c>
      <c r="L602" s="1489">
        <v>1.76</v>
      </c>
      <c r="M602" s="1490" t="s">
        <v>2940</v>
      </c>
      <c r="N602" s="1491">
        <v>1.9604964157329999E-2</v>
      </c>
      <c r="O602" s="1491">
        <v>4.9096205533100004E-6</v>
      </c>
      <c r="P602" s="1492" t="s">
        <v>1885</v>
      </c>
      <c r="Q602" s="1493" t="s">
        <v>635</v>
      </c>
      <c r="R602" s="1494"/>
      <c r="S602" s="1493">
        <v>398</v>
      </c>
      <c r="T602" s="1493" t="s">
        <v>2940</v>
      </c>
      <c r="U602" s="1493">
        <v>6.84</v>
      </c>
      <c r="V602" s="1495" t="s">
        <v>2940</v>
      </c>
      <c r="W602" s="1496">
        <v>1.2099999999999999E-3</v>
      </c>
      <c r="X602" s="1497" t="s">
        <v>2940</v>
      </c>
      <c r="Y602" s="1498">
        <v>0.48088813075754999</v>
      </c>
      <c r="Z602" s="1498">
        <v>105.638919287414</v>
      </c>
      <c r="AA602" s="1498">
        <v>253.53340628979299</v>
      </c>
      <c r="AB602" s="1498">
        <v>5.4001754407590002E-2</v>
      </c>
      <c r="AC602" s="1499" t="s">
        <v>1203</v>
      </c>
      <c r="AD602" s="1500" t="s">
        <v>635</v>
      </c>
      <c r="AE602" s="1501"/>
      <c r="AF602" s="1502" t="s">
        <v>635</v>
      </c>
      <c r="AG602" s="1501"/>
      <c r="AH602" s="1502">
        <v>2.09E-9</v>
      </c>
      <c r="AI602" s="1503" t="s">
        <v>1119</v>
      </c>
      <c r="AJ602" s="1502" t="s">
        <v>635</v>
      </c>
      <c r="AK602" s="1501"/>
      <c r="AL602" s="1501"/>
      <c r="AM602" s="1501"/>
      <c r="AN602" s="1504">
        <v>1</v>
      </c>
      <c r="AO602" s="1505">
        <v>0.1</v>
      </c>
      <c r="AP602" s="1506" t="s">
        <v>635</v>
      </c>
    </row>
    <row r="603" spans="1:42" ht="45">
      <c r="A603" s="1507" t="s">
        <v>3012</v>
      </c>
      <c r="B603" s="1508" t="s">
        <v>3013</v>
      </c>
      <c r="C603" s="1509">
        <v>336.036</v>
      </c>
      <c r="D603" s="1510" t="s">
        <v>2940</v>
      </c>
      <c r="E603" s="1511">
        <v>9.6099999999999997E-9</v>
      </c>
      <c r="F603" s="1511">
        <v>2.3500000000000002E-10</v>
      </c>
      <c r="G603" s="1512" t="s">
        <v>2940</v>
      </c>
      <c r="H603" s="1511" t="s">
        <v>635</v>
      </c>
      <c r="I603" s="1534"/>
      <c r="J603" s="1513">
        <v>70.2</v>
      </c>
      <c r="K603" s="1514" t="s">
        <v>2940</v>
      </c>
      <c r="L603" s="1515">
        <v>1.762</v>
      </c>
      <c r="M603" s="1516" t="s">
        <v>2944</v>
      </c>
      <c r="N603" s="1517">
        <v>2.489863335014E-2</v>
      </c>
      <c r="O603" s="1517">
        <v>6.5019530644400003E-6</v>
      </c>
      <c r="P603" s="1518" t="s">
        <v>1885</v>
      </c>
      <c r="Q603" s="1519" t="s">
        <v>635</v>
      </c>
      <c r="R603" s="1520"/>
      <c r="S603" s="1519">
        <v>20.420000000000002</v>
      </c>
      <c r="T603" s="1552" t="s">
        <v>2945</v>
      </c>
      <c r="U603" s="1519">
        <v>0.7</v>
      </c>
      <c r="V603" s="1521" t="s">
        <v>2940</v>
      </c>
      <c r="W603" s="1522">
        <v>29.503960800000002</v>
      </c>
      <c r="X603" s="1523" t="s">
        <v>2940</v>
      </c>
      <c r="Y603" s="1524">
        <v>4.1937282048000002E-4</v>
      </c>
      <c r="Z603" s="1524">
        <v>8.0103289231872292</v>
      </c>
      <c r="AA603" s="1524">
        <v>19.224789415649301</v>
      </c>
      <c r="AB603" s="1524">
        <v>5.9481337460000003E-5</v>
      </c>
      <c r="AC603" s="1525" t="s">
        <v>1203</v>
      </c>
      <c r="AD603" s="1526" t="s">
        <v>635</v>
      </c>
      <c r="AE603" s="1527"/>
      <c r="AF603" s="1528" t="s">
        <v>635</v>
      </c>
      <c r="AG603" s="1527"/>
      <c r="AH603" s="1528">
        <v>5.0000000000000001E-4</v>
      </c>
      <c r="AI603" s="1529" t="s">
        <v>1119</v>
      </c>
      <c r="AJ603" s="1528" t="s">
        <v>635</v>
      </c>
      <c r="AK603" s="1527"/>
      <c r="AL603" s="1527"/>
      <c r="AM603" s="1527"/>
      <c r="AN603" s="1530">
        <v>1</v>
      </c>
      <c r="AO603" s="1531">
        <v>0.1</v>
      </c>
      <c r="AP603" s="1532" t="s">
        <v>635</v>
      </c>
    </row>
    <row r="604" spans="1:42" ht="15">
      <c r="A604" s="1481"/>
      <c r="B604" s="1482" t="s">
        <v>3014</v>
      </c>
      <c r="C604" s="1483" t="s">
        <v>635</v>
      </c>
      <c r="D604" s="1543"/>
      <c r="E604" s="1485" t="s">
        <v>635</v>
      </c>
      <c r="F604" s="1485" t="s">
        <v>635</v>
      </c>
      <c r="G604" s="1536"/>
      <c r="H604" s="1485" t="s">
        <v>635</v>
      </c>
      <c r="I604" s="1536"/>
      <c r="J604" s="1487" t="s">
        <v>635</v>
      </c>
      <c r="K604" s="1542"/>
      <c r="L604" s="1489" t="s">
        <v>635</v>
      </c>
      <c r="M604" s="1533"/>
      <c r="N604" s="1491" t="s">
        <v>635</v>
      </c>
      <c r="O604" s="1491" t="s">
        <v>635</v>
      </c>
      <c r="P604" s="1544"/>
      <c r="Q604" s="1493" t="s">
        <v>635</v>
      </c>
      <c r="R604" s="1494"/>
      <c r="S604" s="1493" t="s">
        <v>635</v>
      </c>
      <c r="T604" s="1494"/>
      <c r="U604" s="1493" t="s">
        <v>635</v>
      </c>
      <c r="V604" s="1481"/>
      <c r="W604" s="1496" t="s">
        <v>635</v>
      </c>
      <c r="X604" s="1537"/>
      <c r="Y604" s="1498" t="s">
        <v>635</v>
      </c>
      <c r="Z604" s="1498" t="s">
        <v>635</v>
      </c>
      <c r="AA604" s="1498" t="s">
        <v>635</v>
      </c>
      <c r="AB604" s="1498" t="s">
        <v>635</v>
      </c>
      <c r="AC604" s="1547"/>
      <c r="AD604" s="1500" t="s">
        <v>635</v>
      </c>
      <c r="AE604" s="1501"/>
      <c r="AF604" s="1502" t="s">
        <v>635</v>
      </c>
      <c r="AG604" s="1501"/>
      <c r="AH604" s="1502" t="s">
        <v>635</v>
      </c>
      <c r="AI604" s="1501"/>
      <c r="AJ604" s="1502" t="s">
        <v>635</v>
      </c>
      <c r="AK604" s="1501"/>
      <c r="AL604" s="1501"/>
      <c r="AM604" s="1501"/>
      <c r="AN604" s="1504" t="s">
        <v>635</v>
      </c>
      <c r="AO604" s="1504" t="s">
        <v>635</v>
      </c>
      <c r="AP604" s="1506" t="s">
        <v>635</v>
      </c>
    </row>
    <row r="605" spans="1:42" ht="30">
      <c r="A605" s="1481" t="s">
        <v>262</v>
      </c>
      <c r="B605" s="1482" t="s">
        <v>3015</v>
      </c>
      <c r="C605" s="1483">
        <v>117.49</v>
      </c>
      <c r="D605" s="1484" t="s">
        <v>1883</v>
      </c>
      <c r="E605" s="1485" t="s">
        <v>635</v>
      </c>
      <c r="F605" s="1485" t="s">
        <v>635</v>
      </c>
      <c r="G605" s="1536"/>
      <c r="H605" s="1485" t="s">
        <v>635</v>
      </c>
      <c r="I605" s="1536"/>
      <c r="J605" s="1487" t="s">
        <v>635</v>
      </c>
      <c r="K605" s="1542"/>
      <c r="L605" s="1489">
        <v>1.95</v>
      </c>
      <c r="M605" s="1490" t="s">
        <v>1884</v>
      </c>
      <c r="N605" s="1491">
        <v>8.7800930705590002E-2</v>
      </c>
      <c r="O605" s="1491">
        <v>1.2980517170000001E-5</v>
      </c>
      <c r="P605" s="1492" t="s">
        <v>1885</v>
      </c>
      <c r="Q605" s="1493" t="s">
        <v>635</v>
      </c>
      <c r="R605" s="1494"/>
      <c r="S605" s="1493" t="s">
        <v>635</v>
      </c>
      <c r="T605" s="1494"/>
      <c r="U605" s="1493" t="s">
        <v>635</v>
      </c>
      <c r="V605" s="1481"/>
      <c r="W605" s="1496">
        <v>245000</v>
      </c>
      <c r="X605" s="1497" t="s">
        <v>1883</v>
      </c>
      <c r="Y605" s="1498">
        <v>4.1689540072800003E-3</v>
      </c>
      <c r="Z605" s="1498">
        <v>0.47840173896024002</v>
      </c>
      <c r="AA605" s="1498">
        <v>1.14816417350457</v>
      </c>
      <c r="AB605" s="1498">
        <v>1E-3</v>
      </c>
      <c r="AC605" s="1499" t="s">
        <v>1203</v>
      </c>
      <c r="AD605" s="1500" t="s">
        <v>635</v>
      </c>
      <c r="AE605" s="1501"/>
      <c r="AF605" s="1502" t="s">
        <v>635</v>
      </c>
      <c r="AG605" s="1501"/>
      <c r="AH605" s="1502">
        <v>6.9999999999999999E-4</v>
      </c>
      <c r="AI605" s="1503" t="s">
        <v>1119</v>
      </c>
      <c r="AJ605" s="1502" t="s">
        <v>635</v>
      </c>
      <c r="AK605" s="1501"/>
      <c r="AL605" s="1501"/>
      <c r="AM605" s="1501"/>
      <c r="AN605" s="1504">
        <v>1</v>
      </c>
      <c r="AO605" s="1504" t="s">
        <v>635</v>
      </c>
      <c r="AP605" s="1506" t="s">
        <v>635</v>
      </c>
    </row>
    <row r="606" spans="1:42" ht="30">
      <c r="A606" s="1507" t="s">
        <v>3016</v>
      </c>
      <c r="B606" s="1508" t="s">
        <v>3017</v>
      </c>
      <c r="C606" s="1509">
        <v>106.392</v>
      </c>
      <c r="D606" s="1510" t="s">
        <v>1884</v>
      </c>
      <c r="E606" s="1511" t="s">
        <v>635</v>
      </c>
      <c r="F606" s="1511" t="s">
        <v>635</v>
      </c>
      <c r="G606" s="1534"/>
      <c r="H606" s="1511" t="s">
        <v>635</v>
      </c>
      <c r="I606" s="1534"/>
      <c r="J606" s="1513">
        <v>236</v>
      </c>
      <c r="K606" s="1514" t="s">
        <v>1884</v>
      </c>
      <c r="L606" s="1515">
        <v>2.4279999999999999</v>
      </c>
      <c r="M606" s="1516" t="s">
        <v>1884</v>
      </c>
      <c r="N606" s="1517">
        <v>0.10555914024345001</v>
      </c>
      <c r="O606" s="1517">
        <v>1.5713596509999998E-5</v>
      </c>
      <c r="P606" s="1518" t="s">
        <v>1885</v>
      </c>
      <c r="Q606" s="1519" t="s">
        <v>635</v>
      </c>
      <c r="R606" s="1520"/>
      <c r="S606" s="1519" t="s">
        <v>635</v>
      </c>
      <c r="T606" s="1520"/>
      <c r="U606" s="1519" t="s">
        <v>635</v>
      </c>
      <c r="V606" s="1507"/>
      <c r="W606" s="1522">
        <v>587000</v>
      </c>
      <c r="X606" s="1523" t="s">
        <v>1884</v>
      </c>
      <c r="Y606" s="1524">
        <v>3.9671729907400002E-3</v>
      </c>
      <c r="Z606" s="1524">
        <v>0.41461398765875002</v>
      </c>
      <c r="AA606" s="1524">
        <v>0.99507357038100996</v>
      </c>
      <c r="AB606" s="1524">
        <v>1E-3</v>
      </c>
      <c r="AC606" s="1525" t="s">
        <v>1203</v>
      </c>
      <c r="AD606" s="1526" t="s">
        <v>635</v>
      </c>
      <c r="AE606" s="1527"/>
      <c r="AF606" s="1528" t="s">
        <v>635</v>
      </c>
      <c r="AG606" s="1527"/>
      <c r="AH606" s="1528">
        <v>6.9999999999999999E-4</v>
      </c>
      <c r="AI606" s="1529" t="s">
        <v>1119</v>
      </c>
      <c r="AJ606" s="1528" t="s">
        <v>635</v>
      </c>
      <c r="AK606" s="1527"/>
      <c r="AL606" s="1527"/>
      <c r="AM606" s="1527"/>
      <c r="AN606" s="1530">
        <v>1</v>
      </c>
      <c r="AO606" s="1530" t="s">
        <v>635</v>
      </c>
      <c r="AP606" s="1532" t="s">
        <v>635</v>
      </c>
    </row>
    <row r="607" spans="1:42" ht="30">
      <c r="A607" s="1481" t="s">
        <v>1261</v>
      </c>
      <c r="B607" s="1482" t="s">
        <v>3018</v>
      </c>
      <c r="C607" s="1483">
        <v>117.49</v>
      </c>
      <c r="D607" s="1484" t="s">
        <v>1884</v>
      </c>
      <c r="E607" s="1485" t="s">
        <v>635</v>
      </c>
      <c r="F607" s="1485" t="s">
        <v>635</v>
      </c>
      <c r="G607" s="1536"/>
      <c r="H607" s="1485" t="s">
        <v>635</v>
      </c>
      <c r="I607" s="1536"/>
      <c r="J607" s="1487" t="s">
        <v>635</v>
      </c>
      <c r="K607" s="1542"/>
      <c r="L607" s="1489" t="s">
        <v>635</v>
      </c>
      <c r="M607" s="1533"/>
      <c r="N607" s="1491">
        <v>7.9205072971129997E-2</v>
      </c>
      <c r="O607" s="1491">
        <v>9.2544874734699998E-6</v>
      </c>
      <c r="P607" s="1492" t="s">
        <v>1885</v>
      </c>
      <c r="Q607" s="1493" t="s">
        <v>635</v>
      </c>
      <c r="R607" s="1494"/>
      <c r="S607" s="1493" t="s">
        <v>635</v>
      </c>
      <c r="T607" s="1494"/>
      <c r="U607" s="1493" t="s">
        <v>635</v>
      </c>
      <c r="V607" s="1481"/>
      <c r="W607" s="1496">
        <v>245000</v>
      </c>
      <c r="X607" s="1497" t="s">
        <v>1884</v>
      </c>
      <c r="Y607" s="1498">
        <v>4.1689540072800003E-3</v>
      </c>
      <c r="Z607" s="1498">
        <v>0.47840173896024002</v>
      </c>
      <c r="AA607" s="1498">
        <v>1.14816417350457</v>
      </c>
      <c r="AB607" s="1498">
        <v>1E-3</v>
      </c>
      <c r="AC607" s="1499" t="s">
        <v>1203</v>
      </c>
      <c r="AD607" s="1500" t="s">
        <v>635</v>
      </c>
      <c r="AE607" s="1501"/>
      <c r="AF607" s="1502" t="s">
        <v>635</v>
      </c>
      <c r="AG607" s="1501"/>
      <c r="AH607" s="1502">
        <v>6.9999999999999999E-4</v>
      </c>
      <c r="AI607" s="1503" t="s">
        <v>1119</v>
      </c>
      <c r="AJ607" s="1502" t="s">
        <v>635</v>
      </c>
      <c r="AK607" s="1501"/>
      <c r="AL607" s="1501"/>
      <c r="AM607" s="1501"/>
      <c r="AN607" s="1504">
        <v>1</v>
      </c>
      <c r="AO607" s="1504" t="s">
        <v>635</v>
      </c>
      <c r="AP607" s="1506" t="s">
        <v>635</v>
      </c>
    </row>
    <row r="608" spans="1:42" ht="30">
      <c r="A608" s="1481" t="s">
        <v>3019</v>
      </c>
      <c r="B608" s="1482" t="s">
        <v>3020</v>
      </c>
      <c r="C608" s="1483">
        <v>138.55000000000001</v>
      </c>
      <c r="D608" s="1484" t="s">
        <v>1883</v>
      </c>
      <c r="E608" s="1485" t="s">
        <v>635</v>
      </c>
      <c r="F608" s="1485" t="s">
        <v>635</v>
      </c>
      <c r="G608" s="1536"/>
      <c r="H608" s="1485" t="s">
        <v>635</v>
      </c>
      <c r="I608" s="1536"/>
      <c r="J608" s="1487">
        <v>525</v>
      </c>
      <c r="K608" s="1488" t="s">
        <v>1883</v>
      </c>
      <c r="L608" s="1489">
        <v>2.52</v>
      </c>
      <c r="M608" s="1490" t="s">
        <v>1884</v>
      </c>
      <c r="N608" s="1491">
        <v>8.0588722734740006E-2</v>
      </c>
      <c r="O608" s="1491">
        <v>1.3713495799999999E-5</v>
      </c>
      <c r="P608" s="1492" t="s">
        <v>1885</v>
      </c>
      <c r="Q608" s="1493" t="s">
        <v>635</v>
      </c>
      <c r="R608" s="1494"/>
      <c r="S608" s="1493" t="s">
        <v>635</v>
      </c>
      <c r="T608" s="1494"/>
      <c r="U608" s="1493" t="s">
        <v>635</v>
      </c>
      <c r="V608" s="1481"/>
      <c r="W608" s="1496">
        <v>15000</v>
      </c>
      <c r="X608" s="1497" t="s">
        <v>1883</v>
      </c>
      <c r="Y608" s="1498">
        <v>9.0544049236099995E-3</v>
      </c>
      <c r="Z608" s="1498">
        <v>0.62766621042751003</v>
      </c>
      <c r="AA608" s="1498">
        <v>1.50639890502603</v>
      </c>
      <c r="AB608" s="1498">
        <v>2E-3</v>
      </c>
      <c r="AC608" s="1499" t="s">
        <v>1203</v>
      </c>
      <c r="AD608" s="1500" t="s">
        <v>635</v>
      </c>
      <c r="AE608" s="1501"/>
      <c r="AF608" s="1502" t="s">
        <v>635</v>
      </c>
      <c r="AG608" s="1501"/>
      <c r="AH608" s="1502">
        <v>6.9999999999999999E-4</v>
      </c>
      <c r="AI608" s="1503" t="s">
        <v>1119</v>
      </c>
      <c r="AJ608" s="1502" t="s">
        <v>635</v>
      </c>
      <c r="AK608" s="1501"/>
      <c r="AL608" s="1501"/>
      <c r="AM608" s="1501"/>
      <c r="AN608" s="1504">
        <v>1</v>
      </c>
      <c r="AO608" s="1504" t="s">
        <v>635</v>
      </c>
      <c r="AP608" s="1506" t="s">
        <v>635</v>
      </c>
    </row>
    <row r="609" spans="1:42" ht="30">
      <c r="A609" s="1507" t="s">
        <v>3021</v>
      </c>
      <c r="B609" s="1508" t="s">
        <v>3022</v>
      </c>
      <c r="C609" s="1509">
        <v>122.44</v>
      </c>
      <c r="D609" s="1510" t="s">
        <v>1883</v>
      </c>
      <c r="E609" s="1511" t="s">
        <v>635</v>
      </c>
      <c r="F609" s="1511" t="s">
        <v>635</v>
      </c>
      <c r="G609" s="1534"/>
      <c r="H609" s="1511" t="s">
        <v>635</v>
      </c>
      <c r="I609" s="1534"/>
      <c r="J609" s="1513">
        <v>480</v>
      </c>
      <c r="K609" s="1514" t="s">
        <v>1199</v>
      </c>
      <c r="L609" s="1515">
        <v>2.52</v>
      </c>
      <c r="M609" s="1516" t="s">
        <v>1884</v>
      </c>
      <c r="N609" s="1517">
        <v>9.3252598520700003E-2</v>
      </c>
      <c r="O609" s="1517">
        <v>1.476923849E-5</v>
      </c>
      <c r="P609" s="1518" t="s">
        <v>1885</v>
      </c>
      <c r="Q609" s="1519" t="s">
        <v>635</v>
      </c>
      <c r="R609" s="1520"/>
      <c r="S609" s="1519" t="s">
        <v>635</v>
      </c>
      <c r="T609" s="1520"/>
      <c r="U609" s="1519" t="s">
        <v>635</v>
      </c>
      <c r="V609" s="1507"/>
      <c r="W609" s="1522">
        <v>2100000</v>
      </c>
      <c r="X609" s="1523" t="s">
        <v>1883</v>
      </c>
      <c r="Y609" s="1524">
        <v>4.2558695980400001E-3</v>
      </c>
      <c r="Z609" s="1524">
        <v>0.50993256748455995</v>
      </c>
      <c r="AA609" s="1524">
        <v>1.2238381619629399</v>
      </c>
      <c r="AB609" s="1524">
        <v>1E-3</v>
      </c>
      <c r="AC609" s="1525" t="s">
        <v>1203</v>
      </c>
      <c r="AD609" s="1526" t="s">
        <v>635</v>
      </c>
      <c r="AE609" s="1527"/>
      <c r="AF609" s="1528" t="s">
        <v>635</v>
      </c>
      <c r="AG609" s="1527"/>
      <c r="AH609" s="1528">
        <v>6.9999999999999999E-4</v>
      </c>
      <c r="AI609" s="1529" t="s">
        <v>1119</v>
      </c>
      <c r="AJ609" s="1528" t="s">
        <v>635</v>
      </c>
      <c r="AK609" s="1527"/>
      <c r="AL609" s="1527"/>
      <c r="AM609" s="1527"/>
      <c r="AN609" s="1530">
        <v>1</v>
      </c>
      <c r="AO609" s="1530" t="s">
        <v>635</v>
      </c>
      <c r="AP609" s="1532" t="s">
        <v>635</v>
      </c>
    </row>
    <row r="610" spans="1:42" ht="30">
      <c r="A610" s="1481" t="s">
        <v>3023</v>
      </c>
      <c r="B610" s="1482" t="s">
        <v>3024</v>
      </c>
      <c r="C610" s="1483">
        <v>391.3</v>
      </c>
      <c r="D610" s="1484" t="s">
        <v>1883</v>
      </c>
      <c r="E610" s="1485">
        <v>7.6451349139999996E-5</v>
      </c>
      <c r="F610" s="1485">
        <v>1.8700000000000001E-6</v>
      </c>
      <c r="G610" s="1486" t="s">
        <v>1199</v>
      </c>
      <c r="H610" s="1485">
        <v>2.18E-8</v>
      </c>
      <c r="I610" s="1486" t="s">
        <v>1883</v>
      </c>
      <c r="J610" s="1487">
        <v>34</v>
      </c>
      <c r="K610" s="1488" t="s">
        <v>1883</v>
      </c>
      <c r="L610" s="1489">
        <v>1.23</v>
      </c>
      <c r="M610" s="1490" t="s">
        <v>1884</v>
      </c>
      <c r="N610" s="1491">
        <v>1.937569814041E-2</v>
      </c>
      <c r="O610" s="1491">
        <v>4.7830941512399996E-6</v>
      </c>
      <c r="P610" s="1492" t="s">
        <v>1885</v>
      </c>
      <c r="Q610" s="1493" t="s">
        <v>635</v>
      </c>
      <c r="R610" s="1494"/>
      <c r="S610" s="1493">
        <v>118800</v>
      </c>
      <c r="T610" s="1493" t="s">
        <v>1199</v>
      </c>
      <c r="U610" s="1493">
        <v>6.5</v>
      </c>
      <c r="V610" s="1495" t="s">
        <v>1883</v>
      </c>
      <c r="W610" s="1496">
        <v>6.0000000000000001E-3</v>
      </c>
      <c r="X610" s="1497" t="s">
        <v>1883</v>
      </c>
      <c r="Y610" s="1498">
        <v>1.58250434438582</v>
      </c>
      <c r="Z610" s="1498">
        <v>16.335361492585498</v>
      </c>
      <c r="AA610" s="1498">
        <v>65.2088693544313</v>
      </c>
      <c r="AB610" s="1498">
        <v>0.20799999999999999</v>
      </c>
      <c r="AC610" s="1499" t="s">
        <v>1199</v>
      </c>
      <c r="AD610" s="1500" t="s">
        <v>635</v>
      </c>
      <c r="AE610" s="1501"/>
      <c r="AF610" s="1502" t="s">
        <v>635</v>
      </c>
      <c r="AG610" s="1501"/>
      <c r="AH610" s="1502">
        <v>0.05</v>
      </c>
      <c r="AI610" s="1503" t="s">
        <v>1119</v>
      </c>
      <c r="AJ610" s="1502" t="s">
        <v>635</v>
      </c>
      <c r="AK610" s="1501"/>
      <c r="AL610" s="1501"/>
      <c r="AM610" s="1501"/>
      <c r="AN610" s="1504">
        <v>1</v>
      </c>
      <c r="AO610" s="1505">
        <v>0.1</v>
      </c>
      <c r="AP610" s="1506" t="s">
        <v>635</v>
      </c>
    </row>
    <row r="611" spans="1:42" ht="30">
      <c r="A611" s="1481" t="s">
        <v>3025</v>
      </c>
      <c r="B611" s="1482" t="s">
        <v>3026</v>
      </c>
      <c r="C611" s="1483">
        <v>179.22</v>
      </c>
      <c r="D611" s="1484" t="s">
        <v>1883</v>
      </c>
      <c r="E611" s="1485">
        <v>8.7080948487300004E-9</v>
      </c>
      <c r="F611" s="1485">
        <v>2.1299999999999999E-10</v>
      </c>
      <c r="G611" s="1486" t="s">
        <v>1199</v>
      </c>
      <c r="H611" s="1485">
        <v>6.92E-7</v>
      </c>
      <c r="I611" s="1486" t="s">
        <v>1883</v>
      </c>
      <c r="J611" s="1487">
        <v>137.5</v>
      </c>
      <c r="K611" s="1488" t="s">
        <v>1883</v>
      </c>
      <c r="L611" s="1489" t="s">
        <v>635</v>
      </c>
      <c r="M611" s="1533"/>
      <c r="N611" s="1491">
        <v>5.9771747382419999E-2</v>
      </c>
      <c r="O611" s="1491">
        <v>6.9838567994200003E-6</v>
      </c>
      <c r="P611" s="1492" t="s">
        <v>1885</v>
      </c>
      <c r="Q611" s="1493" t="s">
        <v>635</v>
      </c>
      <c r="R611" s="1494"/>
      <c r="S611" s="1493">
        <v>40.99</v>
      </c>
      <c r="T611" s="1493" t="s">
        <v>1199</v>
      </c>
      <c r="U611" s="1493">
        <v>1.58</v>
      </c>
      <c r="V611" s="1495" t="s">
        <v>1883</v>
      </c>
      <c r="W611" s="1496">
        <v>766</v>
      </c>
      <c r="X611" s="1497" t="s">
        <v>1883</v>
      </c>
      <c r="Y611" s="1498">
        <v>8.9077083997500008E-3</v>
      </c>
      <c r="Z611" s="1498">
        <v>1.0604269332212899</v>
      </c>
      <c r="AA611" s="1498">
        <v>2.5450246397310901</v>
      </c>
      <c r="AB611" s="1498">
        <v>1.73E-3</v>
      </c>
      <c r="AC611" s="1499" t="s">
        <v>1199</v>
      </c>
      <c r="AD611" s="1500">
        <v>2.2000000000000001E-3</v>
      </c>
      <c r="AE611" s="1503" t="s">
        <v>1900</v>
      </c>
      <c r="AF611" s="1502">
        <v>6.3E-7</v>
      </c>
      <c r="AG611" s="1503" t="s">
        <v>1900</v>
      </c>
      <c r="AH611" s="1502" t="s">
        <v>635</v>
      </c>
      <c r="AI611" s="1501"/>
      <c r="AJ611" s="1502" t="s">
        <v>635</v>
      </c>
      <c r="AK611" s="1501"/>
      <c r="AL611" s="1501"/>
      <c r="AM611" s="1501"/>
      <c r="AN611" s="1504">
        <v>1</v>
      </c>
      <c r="AO611" s="1505">
        <v>0.1</v>
      </c>
      <c r="AP611" s="1506" t="s">
        <v>635</v>
      </c>
    </row>
    <row r="612" spans="1:42" ht="30">
      <c r="A612" s="1507" t="s">
        <v>3027</v>
      </c>
      <c r="B612" s="1508" t="s">
        <v>3028</v>
      </c>
      <c r="C612" s="1509">
        <v>300.32</v>
      </c>
      <c r="D612" s="1510" t="s">
        <v>1883</v>
      </c>
      <c r="E612" s="1511">
        <v>3.4382665576000003E-11</v>
      </c>
      <c r="F612" s="1511">
        <v>8.4099999999999995E-13</v>
      </c>
      <c r="G612" s="1512" t="s">
        <v>1199</v>
      </c>
      <c r="H612" s="1511">
        <v>9.9999999999999994E-12</v>
      </c>
      <c r="I612" s="1512" t="s">
        <v>1883</v>
      </c>
      <c r="J612" s="1513">
        <v>143</v>
      </c>
      <c r="K612" s="1514" t="s">
        <v>1883</v>
      </c>
      <c r="L612" s="1515" t="s">
        <v>635</v>
      </c>
      <c r="M612" s="1538"/>
      <c r="N612" s="1517">
        <v>4.2367297669279998E-2</v>
      </c>
      <c r="O612" s="1517">
        <v>4.9502842539899996E-6</v>
      </c>
      <c r="P612" s="1518" t="s">
        <v>1885</v>
      </c>
      <c r="Q612" s="1519" t="s">
        <v>635</v>
      </c>
      <c r="R612" s="1520"/>
      <c r="S612" s="1519">
        <v>2594</v>
      </c>
      <c r="T612" s="1519" t="s">
        <v>1199</v>
      </c>
      <c r="U612" s="1519">
        <v>3.59</v>
      </c>
      <c r="V612" s="1521" t="s">
        <v>1883</v>
      </c>
      <c r="W612" s="1522">
        <v>4.7</v>
      </c>
      <c r="X612" s="1523" t="s">
        <v>1883</v>
      </c>
      <c r="Y612" s="1524">
        <v>5.2389146805029999E-2</v>
      </c>
      <c r="Z612" s="1524">
        <v>5.0540641453898196</v>
      </c>
      <c r="AA612" s="1524">
        <v>12.129753948935599</v>
      </c>
      <c r="AB612" s="1524">
        <v>7.8600000000000007E-3</v>
      </c>
      <c r="AC612" s="1525" t="s">
        <v>1199</v>
      </c>
      <c r="AD612" s="1526" t="s">
        <v>635</v>
      </c>
      <c r="AE612" s="1527"/>
      <c r="AF612" s="1528" t="s">
        <v>635</v>
      </c>
      <c r="AG612" s="1527"/>
      <c r="AH612" s="1528">
        <v>0.24</v>
      </c>
      <c r="AI612" s="1529" t="s">
        <v>1116</v>
      </c>
      <c r="AJ612" s="1528" t="s">
        <v>635</v>
      </c>
      <c r="AK612" s="1527"/>
      <c r="AL612" s="1527"/>
      <c r="AM612" s="1527"/>
      <c r="AN612" s="1530">
        <v>1</v>
      </c>
      <c r="AO612" s="1531">
        <v>0.1</v>
      </c>
      <c r="AP612" s="1532" t="s">
        <v>635</v>
      </c>
    </row>
    <row r="613" spans="1:42" ht="30">
      <c r="A613" s="1481" t="s">
        <v>302</v>
      </c>
      <c r="B613" s="1482" t="s">
        <v>301</v>
      </c>
      <c r="C613" s="1483">
        <v>94.114000000000004</v>
      </c>
      <c r="D613" s="1484" t="s">
        <v>1883</v>
      </c>
      <c r="E613" s="1485">
        <v>1.3614063779999999E-5</v>
      </c>
      <c r="F613" s="1485">
        <v>3.3299999999999998E-7</v>
      </c>
      <c r="G613" s="1486" t="s">
        <v>1883</v>
      </c>
      <c r="H613" s="1485">
        <v>0.35</v>
      </c>
      <c r="I613" s="1486" t="s">
        <v>1883</v>
      </c>
      <c r="J613" s="1487">
        <v>40.9</v>
      </c>
      <c r="K613" s="1488" t="s">
        <v>1883</v>
      </c>
      <c r="L613" s="1489">
        <v>1.0545</v>
      </c>
      <c r="M613" s="1490" t="s">
        <v>1884</v>
      </c>
      <c r="N613" s="1491">
        <v>8.3398295459199995E-2</v>
      </c>
      <c r="O613" s="1491">
        <v>1.025432748E-5</v>
      </c>
      <c r="P613" s="1492" t="s">
        <v>1885</v>
      </c>
      <c r="Q613" s="1493" t="s">
        <v>635</v>
      </c>
      <c r="R613" s="1494"/>
      <c r="S613" s="1493">
        <v>187.2</v>
      </c>
      <c r="T613" s="1493" t="s">
        <v>1199</v>
      </c>
      <c r="U613" s="1493">
        <v>1.46</v>
      </c>
      <c r="V613" s="1495" t="s">
        <v>1883</v>
      </c>
      <c r="W613" s="1496">
        <v>82800</v>
      </c>
      <c r="X613" s="1497" t="s">
        <v>1883</v>
      </c>
      <c r="Y613" s="1498">
        <v>1.6193603357629999E-2</v>
      </c>
      <c r="Z613" s="1498">
        <v>0.35390536767007003</v>
      </c>
      <c r="AA613" s="1498">
        <v>0.84937288240816</v>
      </c>
      <c r="AB613" s="1498">
        <v>4.3400000000000001E-3</v>
      </c>
      <c r="AC613" s="1499" t="s">
        <v>1199</v>
      </c>
      <c r="AD613" s="1500" t="s">
        <v>635</v>
      </c>
      <c r="AE613" s="1501"/>
      <c r="AF613" s="1502" t="s">
        <v>635</v>
      </c>
      <c r="AG613" s="1501"/>
      <c r="AH613" s="1502">
        <v>0.3</v>
      </c>
      <c r="AI613" s="1503" t="s">
        <v>1119</v>
      </c>
      <c r="AJ613" s="1502">
        <v>0.2</v>
      </c>
      <c r="AK613" s="1503" t="s">
        <v>1900</v>
      </c>
      <c r="AL613" s="1501"/>
      <c r="AM613" s="1501"/>
      <c r="AN613" s="1504">
        <v>1</v>
      </c>
      <c r="AO613" s="1505">
        <v>0.1</v>
      </c>
      <c r="AP613" s="1506" t="s">
        <v>635</v>
      </c>
    </row>
    <row r="614" spans="1:42" ht="45">
      <c r="A614" s="1481" t="s">
        <v>3029</v>
      </c>
      <c r="B614" s="1482" t="s">
        <v>3030</v>
      </c>
      <c r="C614" s="1483">
        <v>209.25</v>
      </c>
      <c r="D614" s="1484" t="s">
        <v>1883</v>
      </c>
      <c r="E614" s="1485">
        <v>5.8462796402299999E-8</v>
      </c>
      <c r="F614" s="1485">
        <v>1.43E-9</v>
      </c>
      <c r="G614" s="1486" t="s">
        <v>1199</v>
      </c>
      <c r="H614" s="1485">
        <v>2.0999999999999999E-5</v>
      </c>
      <c r="I614" s="1486" t="s">
        <v>1883</v>
      </c>
      <c r="J614" s="1487">
        <v>90</v>
      </c>
      <c r="K614" s="1488" t="s">
        <v>1883</v>
      </c>
      <c r="L614" s="1489">
        <v>1.1200000000000001</v>
      </c>
      <c r="M614" s="1490" t="s">
        <v>1884</v>
      </c>
      <c r="N614" s="1491">
        <v>2.5744522470780001E-2</v>
      </c>
      <c r="O614" s="1491">
        <v>6.5826885132299998E-6</v>
      </c>
      <c r="P614" s="1492" t="s">
        <v>1885</v>
      </c>
      <c r="Q614" s="1493" t="s">
        <v>635</v>
      </c>
      <c r="R614" s="1494"/>
      <c r="S614" s="1493">
        <v>59.95</v>
      </c>
      <c r="T614" s="1493" t="s">
        <v>1199</v>
      </c>
      <c r="U614" s="1493">
        <v>1.52</v>
      </c>
      <c r="V614" s="1495" t="s">
        <v>1883</v>
      </c>
      <c r="W614" s="1496">
        <v>1860</v>
      </c>
      <c r="X614" s="1497" t="s">
        <v>1883</v>
      </c>
      <c r="Y614" s="1498">
        <v>5.9530997966900003E-3</v>
      </c>
      <c r="Z614" s="1498">
        <v>1.5618839051126701</v>
      </c>
      <c r="AA614" s="1498">
        <v>3.74852137227042</v>
      </c>
      <c r="AB614" s="1498">
        <v>1.07E-3</v>
      </c>
      <c r="AC614" s="1499" t="s">
        <v>1199</v>
      </c>
      <c r="AD614" s="1500" t="s">
        <v>635</v>
      </c>
      <c r="AE614" s="1501"/>
      <c r="AF614" s="1502" t="s">
        <v>635</v>
      </c>
      <c r="AG614" s="1501"/>
      <c r="AH614" s="1502">
        <v>4.0000000000000001E-3</v>
      </c>
      <c r="AI614" s="1503" t="s">
        <v>1119</v>
      </c>
      <c r="AJ614" s="1502" t="s">
        <v>635</v>
      </c>
      <c r="AK614" s="1501"/>
      <c r="AL614" s="1501"/>
      <c r="AM614" s="1501"/>
      <c r="AN614" s="1504">
        <v>1</v>
      </c>
      <c r="AO614" s="1505">
        <v>0.1</v>
      </c>
      <c r="AP614" s="1506" t="s">
        <v>635</v>
      </c>
    </row>
    <row r="615" spans="1:42" ht="30">
      <c r="A615" s="1507" t="s">
        <v>3031</v>
      </c>
      <c r="B615" s="1508" t="s">
        <v>3032</v>
      </c>
      <c r="C615" s="1509">
        <v>199.28</v>
      </c>
      <c r="D615" s="1510" t="s">
        <v>1883</v>
      </c>
      <c r="E615" s="1511">
        <v>1.1447260834E-6</v>
      </c>
      <c r="F615" s="1511">
        <v>2.7999999999999999E-8</v>
      </c>
      <c r="G615" s="1512" t="s">
        <v>1883</v>
      </c>
      <c r="H615" s="1511">
        <v>8.8999999999999995E-7</v>
      </c>
      <c r="I615" s="1512" t="s">
        <v>1883</v>
      </c>
      <c r="J615" s="1513">
        <v>187.5</v>
      </c>
      <c r="K615" s="1514" t="s">
        <v>1883</v>
      </c>
      <c r="L615" s="1515">
        <v>1.34</v>
      </c>
      <c r="M615" s="1516" t="s">
        <v>1890</v>
      </c>
      <c r="N615" s="1517">
        <v>2.8997471669230002E-2</v>
      </c>
      <c r="O615" s="1517">
        <v>7.5484263476900002E-6</v>
      </c>
      <c r="P615" s="1518" t="s">
        <v>1885</v>
      </c>
      <c r="Q615" s="1519" t="s">
        <v>635</v>
      </c>
      <c r="R615" s="1520"/>
      <c r="S615" s="1519">
        <v>1475</v>
      </c>
      <c r="T615" s="1519" t="s">
        <v>1199</v>
      </c>
      <c r="U615" s="1519">
        <v>4.1500000000000004</v>
      </c>
      <c r="V615" s="1521" t="s">
        <v>1883</v>
      </c>
      <c r="W615" s="1522">
        <v>1.59</v>
      </c>
      <c r="X615" s="1523" t="s">
        <v>1883</v>
      </c>
      <c r="Y615" s="1524">
        <v>0.37083371590522002</v>
      </c>
      <c r="Z615" s="1524">
        <v>1.37346232084951</v>
      </c>
      <c r="AA615" s="1524">
        <v>3.2963095700388299</v>
      </c>
      <c r="AB615" s="1524">
        <v>6.83E-2</v>
      </c>
      <c r="AC615" s="1525" t="s">
        <v>1199</v>
      </c>
      <c r="AD615" s="1526" t="s">
        <v>635</v>
      </c>
      <c r="AE615" s="1527"/>
      <c r="AF615" s="1528" t="s">
        <v>635</v>
      </c>
      <c r="AG615" s="1527"/>
      <c r="AH615" s="1528">
        <v>5.0000000000000001E-4</v>
      </c>
      <c r="AI615" s="1529" t="s">
        <v>1893</v>
      </c>
      <c r="AJ615" s="1528" t="s">
        <v>635</v>
      </c>
      <c r="AK615" s="1527"/>
      <c r="AL615" s="1527"/>
      <c r="AM615" s="1527"/>
      <c r="AN615" s="1530">
        <v>1</v>
      </c>
      <c r="AO615" s="1531">
        <v>0.1</v>
      </c>
      <c r="AP615" s="1532" t="s">
        <v>635</v>
      </c>
    </row>
    <row r="616" spans="1:42" ht="30">
      <c r="A616" s="1481" t="s">
        <v>3033</v>
      </c>
      <c r="B616" s="1482" t="s">
        <v>3034</v>
      </c>
      <c r="C616" s="1483">
        <v>135.19</v>
      </c>
      <c r="D616" s="1484" t="s">
        <v>1883</v>
      </c>
      <c r="E616" s="1485">
        <v>0.12142273098937</v>
      </c>
      <c r="F616" s="1485">
        <v>2.97E-3</v>
      </c>
      <c r="G616" s="1486" t="s">
        <v>1199</v>
      </c>
      <c r="H616" s="1485">
        <v>1.5</v>
      </c>
      <c r="I616" s="1486" t="s">
        <v>1883</v>
      </c>
      <c r="J616" s="1487">
        <v>-21</v>
      </c>
      <c r="K616" s="1488" t="s">
        <v>1883</v>
      </c>
      <c r="L616" s="1489">
        <v>1.1303000000000001</v>
      </c>
      <c r="M616" s="1490" t="s">
        <v>1884</v>
      </c>
      <c r="N616" s="1491">
        <v>5.914964244603E-2</v>
      </c>
      <c r="O616" s="1491">
        <v>8.6024323758000008E-6</v>
      </c>
      <c r="P616" s="1492" t="s">
        <v>1885</v>
      </c>
      <c r="Q616" s="1493" t="s">
        <v>635</v>
      </c>
      <c r="R616" s="1494"/>
      <c r="S616" s="1493">
        <v>218.8</v>
      </c>
      <c r="T616" s="1493" t="s">
        <v>1199</v>
      </c>
      <c r="U616" s="1493">
        <v>3.28</v>
      </c>
      <c r="V616" s="1495" t="s">
        <v>1883</v>
      </c>
      <c r="W616" s="1496">
        <v>89.9</v>
      </c>
      <c r="X616" s="1497" t="s">
        <v>1883</v>
      </c>
      <c r="Y616" s="1498">
        <v>0.18469238422289999</v>
      </c>
      <c r="Z616" s="1498">
        <v>0.60105297294937998</v>
      </c>
      <c r="AA616" s="1498">
        <v>1.44252713507852</v>
      </c>
      <c r="AB616" s="1498">
        <v>4.1300000000000003E-2</v>
      </c>
      <c r="AC616" s="1499" t="s">
        <v>1199</v>
      </c>
      <c r="AD616" s="1500" t="s">
        <v>635</v>
      </c>
      <c r="AE616" s="1501"/>
      <c r="AF616" s="1502" t="s">
        <v>635</v>
      </c>
      <c r="AG616" s="1501"/>
      <c r="AH616" s="1502">
        <v>2.0000000000000001E-4</v>
      </c>
      <c r="AI616" s="1503" t="s">
        <v>1893</v>
      </c>
      <c r="AJ616" s="1502" t="s">
        <v>635</v>
      </c>
      <c r="AK616" s="1501"/>
      <c r="AL616" s="1503" t="s">
        <v>1127</v>
      </c>
      <c r="AM616" s="1501"/>
      <c r="AN616" s="1504">
        <v>1</v>
      </c>
      <c r="AO616" s="1504" t="s">
        <v>635</v>
      </c>
      <c r="AP616" s="1506">
        <v>129</v>
      </c>
    </row>
    <row r="617" spans="1:42" ht="30">
      <c r="A617" s="1481" t="s">
        <v>3035</v>
      </c>
      <c r="B617" s="1482" t="s">
        <v>3036</v>
      </c>
      <c r="C617" s="1483">
        <v>108.14</v>
      </c>
      <c r="D617" s="1484" t="s">
        <v>1883</v>
      </c>
      <c r="E617" s="1485">
        <v>5.1103843009000001E-8</v>
      </c>
      <c r="F617" s="1485">
        <v>1.25E-9</v>
      </c>
      <c r="G617" s="1486" t="s">
        <v>1199</v>
      </c>
      <c r="H617" s="1485">
        <v>2.0899999999999998E-3</v>
      </c>
      <c r="I617" s="1486" t="s">
        <v>1199</v>
      </c>
      <c r="J617" s="1487">
        <v>63.5</v>
      </c>
      <c r="K617" s="1488" t="s">
        <v>1883</v>
      </c>
      <c r="L617" s="1489">
        <v>1.0096000000000001</v>
      </c>
      <c r="M617" s="1490" t="s">
        <v>1884</v>
      </c>
      <c r="N617" s="1491">
        <v>7.2115168653790002E-2</v>
      </c>
      <c r="O617" s="1491">
        <v>9.1911437290300007E-6</v>
      </c>
      <c r="P617" s="1492" t="s">
        <v>1885</v>
      </c>
      <c r="Q617" s="1493" t="s">
        <v>635</v>
      </c>
      <c r="R617" s="1494"/>
      <c r="S617" s="1493">
        <v>33.83</v>
      </c>
      <c r="T617" s="1493" t="s">
        <v>1199</v>
      </c>
      <c r="U617" s="1493">
        <v>-0.33</v>
      </c>
      <c r="V617" s="1495" t="s">
        <v>1883</v>
      </c>
      <c r="W617" s="1496">
        <v>238000</v>
      </c>
      <c r="X617" s="1497" t="s">
        <v>1883</v>
      </c>
      <c r="Y617" s="1498">
        <v>9.3591345754000005E-4</v>
      </c>
      <c r="Z617" s="1498">
        <v>0.42406531242651002</v>
      </c>
      <c r="AA617" s="1498">
        <v>1.01775674982362</v>
      </c>
      <c r="AB617" s="1498">
        <v>2.34E-4</v>
      </c>
      <c r="AC617" s="1499" t="s">
        <v>1199</v>
      </c>
      <c r="AD617" s="1500" t="s">
        <v>635</v>
      </c>
      <c r="AE617" s="1501"/>
      <c r="AF617" s="1502" t="s">
        <v>635</v>
      </c>
      <c r="AG617" s="1501"/>
      <c r="AH617" s="1502">
        <v>6.0000000000000001E-3</v>
      </c>
      <c r="AI617" s="1503" t="s">
        <v>1119</v>
      </c>
      <c r="AJ617" s="1502" t="s">
        <v>635</v>
      </c>
      <c r="AK617" s="1501"/>
      <c r="AL617" s="1501"/>
      <c r="AM617" s="1501"/>
      <c r="AN617" s="1504">
        <v>1</v>
      </c>
      <c r="AO617" s="1505">
        <v>0.1</v>
      </c>
      <c r="AP617" s="1506" t="s">
        <v>635</v>
      </c>
    </row>
    <row r="618" spans="1:42" ht="30">
      <c r="A618" s="1507" t="s">
        <v>3037</v>
      </c>
      <c r="B618" s="1508" t="s">
        <v>3038</v>
      </c>
      <c r="C618" s="1509">
        <v>108.14</v>
      </c>
      <c r="D618" s="1510" t="s">
        <v>1883</v>
      </c>
      <c r="E618" s="1511">
        <v>2.94358135732E-7</v>
      </c>
      <c r="F618" s="1511">
        <v>7.2E-9</v>
      </c>
      <c r="G618" s="1512" t="s">
        <v>1199</v>
      </c>
      <c r="H618" s="1511">
        <v>2.0600000000000002E-3</v>
      </c>
      <c r="I618" s="1512" t="s">
        <v>1199</v>
      </c>
      <c r="J618" s="1513">
        <v>102.5</v>
      </c>
      <c r="K618" s="1514" t="s">
        <v>1883</v>
      </c>
      <c r="L618" s="1515" t="s">
        <v>635</v>
      </c>
      <c r="M618" s="1538"/>
      <c r="N618" s="1517">
        <v>8.3707176050039994E-2</v>
      </c>
      <c r="O618" s="1517">
        <v>9.7805226753199997E-6</v>
      </c>
      <c r="P618" s="1518" t="s">
        <v>1885</v>
      </c>
      <c r="Q618" s="1519" t="s">
        <v>635</v>
      </c>
      <c r="R618" s="1520"/>
      <c r="S618" s="1519">
        <v>34.520000000000003</v>
      </c>
      <c r="T618" s="1519" t="s">
        <v>1199</v>
      </c>
      <c r="U618" s="1519">
        <v>0.15</v>
      </c>
      <c r="V618" s="1521" t="s">
        <v>1883</v>
      </c>
      <c r="W618" s="1522">
        <v>40400</v>
      </c>
      <c r="X618" s="1523" t="s">
        <v>1883</v>
      </c>
      <c r="Y618" s="1524">
        <v>1.94781988812E-3</v>
      </c>
      <c r="Z618" s="1524">
        <v>0.42406531242651002</v>
      </c>
      <c r="AA618" s="1524">
        <v>1.01775674982362</v>
      </c>
      <c r="AB618" s="1524">
        <v>4.8700000000000002E-4</v>
      </c>
      <c r="AC618" s="1525" t="s">
        <v>1199</v>
      </c>
      <c r="AD618" s="1526">
        <v>0.12</v>
      </c>
      <c r="AE618" s="1529" t="s">
        <v>1909</v>
      </c>
      <c r="AF618" s="1528" t="s">
        <v>635</v>
      </c>
      <c r="AG618" s="1527"/>
      <c r="AH618" s="1528">
        <v>4.0000000000000001E-3</v>
      </c>
      <c r="AI618" s="1529" t="s">
        <v>1909</v>
      </c>
      <c r="AJ618" s="1528" t="s">
        <v>635</v>
      </c>
      <c r="AK618" s="1527"/>
      <c r="AL618" s="1527"/>
      <c r="AM618" s="1529" t="s">
        <v>1906</v>
      </c>
      <c r="AN618" s="1530">
        <v>1</v>
      </c>
      <c r="AO618" s="1531">
        <v>0.1</v>
      </c>
      <c r="AP618" s="1532" t="s">
        <v>635</v>
      </c>
    </row>
    <row r="619" spans="1:42" ht="30">
      <c r="A619" s="1481" t="s">
        <v>3039</v>
      </c>
      <c r="B619" s="1482" t="s">
        <v>3040</v>
      </c>
      <c r="C619" s="1483">
        <v>108.14</v>
      </c>
      <c r="D619" s="1484" t="s">
        <v>1883</v>
      </c>
      <c r="E619" s="1485">
        <v>2.7514309076000001E-8</v>
      </c>
      <c r="F619" s="1485">
        <v>6.7299999999999995E-10</v>
      </c>
      <c r="G619" s="1486" t="s">
        <v>1883</v>
      </c>
      <c r="H619" s="1485">
        <v>5.0000000000000001E-3</v>
      </c>
      <c r="I619" s="1486" t="s">
        <v>1883</v>
      </c>
      <c r="J619" s="1487">
        <v>146</v>
      </c>
      <c r="K619" s="1488" t="s">
        <v>1883</v>
      </c>
      <c r="L619" s="1489" t="s">
        <v>635</v>
      </c>
      <c r="M619" s="1533"/>
      <c r="N619" s="1491">
        <v>8.3707176050039994E-2</v>
      </c>
      <c r="O619" s="1491">
        <v>9.7805226753199997E-6</v>
      </c>
      <c r="P619" s="1492" t="s">
        <v>1885</v>
      </c>
      <c r="Q619" s="1493" t="s">
        <v>635</v>
      </c>
      <c r="R619" s="1494"/>
      <c r="S619" s="1493">
        <v>33.83</v>
      </c>
      <c r="T619" s="1493" t="s">
        <v>1199</v>
      </c>
      <c r="U619" s="1493">
        <v>-0.3</v>
      </c>
      <c r="V619" s="1495" t="s">
        <v>1883</v>
      </c>
      <c r="W619" s="1496">
        <v>37000</v>
      </c>
      <c r="X619" s="1497" t="s">
        <v>1883</v>
      </c>
      <c r="Y619" s="1498">
        <v>9.7990938929999995E-4</v>
      </c>
      <c r="Z619" s="1498">
        <v>0.42406531242651002</v>
      </c>
      <c r="AA619" s="1498">
        <v>1.01775674982362</v>
      </c>
      <c r="AB619" s="1498">
        <v>2.4499999999999999E-4</v>
      </c>
      <c r="AC619" s="1499" t="s">
        <v>1199</v>
      </c>
      <c r="AD619" s="1500" t="s">
        <v>635</v>
      </c>
      <c r="AE619" s="1501"/>
      <c r="AF619" s="1502" t="s">
        <v>635</v>
      </c>
      <c r="AG619" s="1501"/>
      <c r="AH619" s="1502">
        <v>1E-3</v>
      </c>
      <c r="AI619" s="1503" t="s">
        <v>1893</v>
      </c>
      <c r="AJ619" s="1502" t="s">
        <v>635</v>
      </c>
      <c r="AK619" s="1501"/>
      <c r="AL619" s="1501"/>
      <c r="AM619" s="1501"/>
      <c r="AN619" s="1504">
        <v>1</v>
      </c>
      <c r="AO619" s="1505">
        <v>0.1</v>
      </c>
      <c r="AP619" s="1506" t="s">
        <v>635</v>
      </c>
    </row>
    <row r="620" spans="1:42" ht="30">
      <c r="A620" s="1481" t="s">
        <v>3041</v>
      </c>
      <c r="B620" s="1482" t="s">
        <v>3042</v>
      </c>
      <c r="C620" s="1483">
        <v>170.21</v>
      </c>
      <c r="D620" s="1484" t="s">
        <v>1883</v>
      </c>
      <c r="E620" s="1485">
        <v>4.2927228130000002E-5</v>
      </c>
      <c r="F620" s="1485">
        <v>1.0499999999999999E-6</v>
      </c>
      <c r="G620" s="1486" t="s">
        <v>1199</v>
      </c>
      <c r="H620" s="1485">
        <v>2E-3</v>
      </c>
      <c r="I620" s="1486" t="s">
        <v>1199</v>
      </c>
      <c r="J620" s="1487">
        <v>59</v>
      </c>
      <c r="K620" s="1488" t="s">
        <v>1883</v>
      </c>
      <c r="L620" s="1489">
        <v>1.2130000000000001</v>
      </c>
      <c r="M620" s="1490" t="s">
        <v>1884</v>
      </c>
      <c r="N620" s="1491">
        <v>4.2092150503960001E-2</v>
      </c>
      <c r="O620" s="1491">
        <v>7.81622781554E-6</v>
      </c>
      <c r="P620" s="1492" t="s">
        <v>1885</v>
      </c>
      <c r="Q620" s="1493" t="s">
        <v>635</v>
      </c>
      <c r="R620" s="1494"/>
      <c r="S620" s="1493">
        <v>6722</v>
      </c>
      <c r="T620" s="1493" t="s">
        <v>1199</v>
      </c>
      <c r="U620" s="1493">
        <v>3.09</v>
      </c>
      <c r="V620" s="1495" t="s">
        <v>1883</v>
      </c>
      <c r="W620" s="1496">
        <v>700</v>
      </c>
      <c r="X620" s="1497" t="s">
        <v>1883</v>
      </c>
      <c r="Y620" s="1498">
        <v>9.8350202678310003E-2</v>
      </c>
      <c r="Z620" s="1498">
        <v>0.94411467805237004</v>
      </c>
      <c r="AA620" s="1498">
        <v>2.2658752273256901</v>
      </c>
      <c r="AB620" s="1498">
        <v>1.9599999999999999E-2</v>
      </c>
      <c r="AC620" s="1499" t="s">
        <v>1199</v>
      </c>
      <c r="AD620" s="1500">
        <v>1.9400000000000001E-3</v>
      </c>
      <c r="AE620" s="1503" t="s">
        <v>1073</v>
      </c>
      <c r="AF620" s="1502" t="s">
        <v>635</v>
      </c>
      <c r="AG620" s="1501"/>
      <c r="AH620" s="1502" t="s">
        <v>635</v>
      </c>
      <c r="AI620" s="1501"/>
      <c r="AJ620" s="1502" t="s">
        <v>635</v>
      </c>
      <c r="AK620" s="1501"/>
      <c r="AL620" s="1501"/>
      <c r="AM620" s="1501"/>
      <c r="AN620" s="1504">
        <v>1</v>
      </c>
      <c r="AO620" s="1505">
        <v>0.1</v>
      </c>
      <c r="AP620" s="1506" t="s">
        <v>635</v>
      </c>
    </row>
    <row r="621" spans="1:42" ht="30">
      <c r="A621" s="1507" t="s">
        <v>3043</v>
      </c>
      <c r="B621" s="1508" t="s">
        <v>3044</v>
      </c>
      <c r="C621" s="1509">
        <v>260.38</v>
      </c>
      <c r="D621" s="1510" t="s">
        <v>1883</v>
      </c>
      <c r="E621" s="1511">
        <v>1.7865903516E-4</v>
      </c>
      <c r="F621" s="1511">
        <v>4.3699999999999997E-6</v>
      </c>
      <c r="G621" s="1512" t="s">
        <v>1199</v>
      </c>
      <c r="H621" s="1511">
        <v>6.38E-4</v>
      </c>
      <c r="I621" s="1512" t="s">
        <v>1883</v>
      </c>
      <c r="J621" s="1513">
        <v>-15</v>
      </c>
      <c r="K621" s="1514" t="s">
        <v>1884</v>
      </c>
      <c r="L621" s="1515">
        <v>1.1599999999999999</v>
      </c>
      <c r="M621" s="1516" t="s">
        <v>1884</v>
      </c>
      <c r="N621" s="1517">
        <v>2.3326761705030001E-2</v>
      </c>
      <c r="O621" s="1517">
        <v>5.8963328484099999E-6</v>
      </c>
      <c r="P621" s="1518" t="s">
        <v>1885</v>
      </c>
      <c r="Q621" s="1519" t="s">
        <v>635</v>
      </c>
      <c r="R621" s="1520"/>
      <c r="S621" s="1519">
        <v>459.8</v>
      </c>
      <c r="T621" s="1519" t="s">
        <v>1199</v>
      </c>
      <c r="U621" s="1519">
        <v>3.56</v>
      </c>
      <c r="V621" s="1521" t="s">
        <v>1883</v>
      </c>
      <c r="W621" s="1522">
        <v>50</v>
      </c>
      <c r="X621" s="1523" t="s">
        <v>1883</v>
      </c>
      <c r="Y621" s="1524">
        <v>7.8198965625210004E-2</v>
      </c>
      <c r="Z621" s="1524">
        <v>3.0197900486342899</v>
      </c>
      <c r="AA621" s="1524">
        <v>7.2474961167222904</v>
      </c>
      <c r="AB621" s="1524">
        <v>1.26E-2</v>
      </c>
      <c r="AC621" s="1525" t="s">
        <v>1199</v>
      </c>
      <c r="AD621" s="1526" t="s">
        <v>635</v>
      </c>
      <c r="AE621" s="1527"/>
      <c r="AF621" s="1528" t="s">
        <v>635</v>
      </c>
      <c r="AG621" s="1527"/>
      <c r="AH621" s="1528">
        <v>2.0000000000000001E-4</v>
      </c>
      <c r="AI621" s="1529" t="s">
        <v>1073</v>
      </c>
      <c r="AJ621" s="1528" t="s">
        <v>635</v>
      </c>
      <c r="AK621" s="1527"/>
      <c r="AL621" s="1527"/>
      <c r="AM621" s="1527"/>
      <c r="AN621" s="1530">
        <v>1</v>
      </c>
      <c r="AO621" s="1531">
        <v>0.1</v>
      </c>
      <c r="AP621" s="1532" t="s">
        <v>635</v>
      </c>
    </row>
    <row r="622" spans="1:42" ht="30">
      <c r="A622" s="1481" t="s">
        <v>3045</v>
      </c>
      <c r="B622" s="1482" t="s">
        <v>3046</v>
      </c>
      <c r="C622" s="1483">
        <v>98.917000000000002</v>
      </c>
      <c r="D622" s="1484" t="s">
        <v>1883</v>
      </c>
      <c r="E622" s="1485">
        <v>0.68274734260016001</v>
      </c>
      <c r="F622" s="1485">
        <v>1.67E-2</v>
      </c>
      <c r="G622" s="1486" t="s">
        <v>1883</v>
      </c>
      <c r="H622" s="1485">
        <v>1418</v>
      </c>
      <c r="I622" s="1486" t="s">
        <v>1883</v>
      </c>
      <c r="J622" s="1487">
        <v>-118</v>
      </c>
      <c r="K622" s="1488" t="s">
        <v>1883</v>
      </c>
      <c r="L622" s="1489">
        <v>1.3718999999999999</v>
      </c>
      <c r="M622" s="1490" t="s">
        <v>1884</v>
      </c>
      <c r="N622" s="1491">
        <v>8.9328226972470004E-2</v>
      </c>
      <c r="O622" s="1491">
        <v>1.165474252E-5</v>
      </c>
      <c r="P622" s="1492" t="s">
        <v>1885</v>
      </c>
      <c r="Q622" s="1493" t="s">
        <v>635</v>
      </c>
      <c r="R622" s="1494"/>
      <c r="S622" s="1493">
        <v>1</v>
      </c>
      <c r="T622" s="1493" t="s">
        <v>1199</v>
      </c>
      <c r="U622" s="1493">
        <v>-0.71</v>
      </c>
      <c r="V622" s="1495" t="s">
        <v>1883</v>
      </c>
      <c r="W622" s="1496">
        <v>6825.5</v>
      </c>
      <c r="X622" s="1497" t="s">
        <v>2006</v>
      </c>
      <c r="Y622" s="1498">
        <v>5.6231472333000002E-4</v>
      </c>
      <c r="Z622" s="1498">
        <v>0.37651644509602</v>
      </c>
      <c r="AA622" s="1498">
        <v>0.90363946823045005</v>
      </c>
      <c r="AB622" s="1498">
        <v>1.47E-4</v>
      </c>
      <c r="AC622" s="1499" t="s">
        <v>1199</v>
      </c>
      <c r="AD622" s="1500" t="s">
        <v>635</v>
      </c>
      <c r="AE622" s="1501"/>
      <c r="AF622" s="1502" t="s">
        <v>635</v>
      </c>
      <c r="AG622" s="1501"/>
      <c r="AH622" s="1502" t="s">
        <v>635</v>
      </c>
      <c r="AI622" s="1501"/>
      <c r="AJ622" s="1502">
        <v>2.9999999999999997E-4</v>
      </c>
      <c r="AK622" s="1503" t="s">
        <v>1119</v>
      </c>
      <c r="AL622" s="1503" t="s">
        <v>1127</v>
      </c>
      <c r="AM622" s="1501"/>
      <c r="AN622" s="1504">
        <v>1</v>
      </c>
      <c r="AO622" s="1504" t="s">
        <v>635</v>
      </c>
      <c r="AP622" s="1506">
        <v>1610</v>
      </c>
    </row>
    <row r="623" spans="1:42" ht="30">
      <c r="A623" s="1481" t="s">
        <v>3047</v>
      </c>
      <c r="B623" s="1482" t="s">
        <v>3048</v>
      </c>
      <c r="C623" s="1483">
        <v>317.32</v>
      </c>
      <c r="D623" s="1484" t="s">
        <v>1883</v>
      </c>
      <c r="E623" s="1485">
        <v>3.4260016353200003E-7</v>
      </c>
      <c r="F623" s="1485">
        <v>8.3799999999999996E-9</v>
      </c>
      <c r="G623" s="1486" t="s">
        <v>1199</v>
      </c>
      <c r="H623" s="1485">
        <v>4.8999999999999997E-7</v>
      </c>
      <c r="I623" s="1486" t="s">
        <v>1883</v>
      </c>
      <c r="J623" s="1487">
        <v>72</v>
      </c>
      <c r="K623" s="1488" t="s">
        <v>1883</v>
      </c>
      <c r="L623" s="1489" t="s">
        <v>635</v>
      </c>
      <c r="M623" s="1533"/>
      <c r="N623" s="1491">
        <v>4.0840273066770003E-2</v>
      </c>
      <c r="O623" s="1491">
        <v>4.7718634846400004E-6</v>
      </c>
      <c r="P623" s="1492" t="s">
        <v>1885</v>
      </c>
      <c r="Q623" s="1493" t="s">
        <v>635</v>
      </c>
      <c r="R623" s="1494"/>
      <c r="S623" s="1493">
        <v>10</v>
      </c>
      <c r="T623" s="1493" t="s">
        <v>1199</v>
      </c>
      <c r="U623" s="1493">
        <v>2.78</v>
      </c>
      <c r="V623" s="1495" t="s">
        <v>1883</v>
      </c>
      <c r="W623" s="1496">
        <v>24.4</v>
      </c>
      <c r="X623" s="1497" t="s">
        <v>1883</v>
      </c>
      <c r="Y623" s="1498">
        <v>1.2537948007420001E-2</v>
      </c>
      <c r="Z623" s="1498">
        <v>6.2927539308781304</v>
      </c>
      <c r="AA623" s="1498">
        <v>15.102609434107499</v>
      </c>
      <c r="AB623" s="1498">
        <v>1.83E-3</v>
      </c>
      <c r="AC623" s="1499" t="s">
        <v>1199</v>
      </c>
      <c r="AD623" s="1500" t="s">
        <v>635</v>
      </c>
      <c r="AE623" s="1501"/>
      <c r="AF623" s="1502" t="s">
        <v>635</v>
      </c>
      <c r="AG623" s="1501"/>
      <c r="AH623" s="1502">
        <v>0.02</v>
      </c>
      <c r="AI623" s="1503" t="s">
        <v>1119</v>
      </c>
      <c r="AJ623" s="1502" t="s">
        <v>635</v>
      </c>
      <c r="AK623" s="1501"/>
      <c r="AL623" s="1501"/>
      <c r="AM623" s="1501"/>
      <c r="AN623" s="1504">
        <v>1</v>
      </c>
      <c r="AO623" s="1505">
        <v>0.1</v>
      </c>
      <c r="AP623" s="1506" t="s">
        <v>635</v>
      </c>
    </row>
    <row r="624" spans="1:42" ht="15">
      <c r="A624" s="1507"/>
      <c r="B624" s="1508" t="s">
        <v>3049</v>
      </c>
      <c r="C624" s="1509" t="s">
        <v>635</v>
      </c>
      <c r="D624" s="1548"/>
      <c r="E624" s="1511" t="s">
        <v>635</v>
      </c>
      <c r="F624" s="1511" t="s">
        <v>635</v>
      </c>
      <c r="G624" s="1534"/>
      <c r="H624" s="1511" t="s">
        <v>635</v>
      </c>
      <c r="I624" s="1534"/>
      <c r="J624" s="1513" t="s">
        <v>635</v>
      </c>
      <c r="K624" s="1540"/>
      <c r="L624" s="1515" t="s">
        <v>635</v>
      </c>
      <c r="M624" s="1538"/>
      <c r="N624" s="1517" t="s">
        <v>635</v>
      </c>
      <c r="O624" s="1517" t="s">
        <v>635</v>
      </c>
      <c r="P624" s="1549"/>
      <c r="Q624" s="1519" t="s">
        <v>635</v>
      </c>
      <c r="R624" s="1520"/>
      <c r="S624" s="1519" t="s">
        <v>635</v>
      </c>
      <c r="T624" s="1520"/>
      <c r="U624" s="1519" t="s">
        <v>635</v>
      </c>
      <c r="V624" s="1507"/>
      <c r="W624" s="1522" t="s">
        <v>635</v>
      </c>
      <c r="X624" s="1535"/>
      <c r="Y624" s="1524" t="s">
        <v>635</v>
      </c>
      <c r="Z624" s="1524" t="s">
        <v>635</v>
      </c>
      <c r="AA624" s="1524" t="s">
        <v>635</v>
      </c>
      <c r="AB624" s="1524" t="s">
        <v>635</v>
      </c>
      <c r="AC624" s="1550"/>
      <c r="AD624" s="1526" t="s">
        <v>635</v>
      </c>
      <c r="AE624" s="1527"/>
      <c r="AF624" s="1528" t="s">
        <v>635</v>
      </c>
      <c r="AG624" s="1527"/>
      <c r="AH624" s="1528" t="s">
        <v>635</v>
      </c>
      <c r="AI624" s="1527"/>
      <c r="AJ624" s="1528" t="s">
        <v>635</v>
      </c>
      <c r="AK624" s="1527"/>
      <c r="AL624" s="1527"/>
      <c r="AM624" s="1527"/>
      <c r="AN624" s="1530" t="s">
        <v>635</v>
      </c>
      <c r="AO624" s="1530" t="s">
        <v>635</v>
      </c>
      <c r="AP624" s="1532" t="s">
        <v>635</v>
      </c>
    </row>
    <row r="625" spans="1:42" ht="30">
      <c r="A625" s="1481" t="s">
        <v>3050</v>
      </c>
      <c r="B625" s="1482" t="s">
        <v>3051</v>
      </c>
      <c r="C625" s="1483">
        <v>263.89999999999998</v>
      </c>
      <c r="D625" s="1484" t="s">
        <v>1884</v>
      </c>
      <c r="E625" s="1485" t="s">
        <v>635</v>
      </c>
      <c r="F625" s="1485" t="s">
        <v>635</v>
      </c>
      <c r="G625" s="1536"/>
      <c r="H625" s="1485" t="s">
        <v>635</v>
      </c>
      <c r="I625" s="1536"/>
      <c r="J625" s="1487">
        <v>1527</v>
      </c>
      <c r="K625" s="1488" t="s">
        <v>1247</v>
      </c>
      <c r="L625" s="1489">
        <v>2.7789999999999999</v>
      </c>
      <c r="M625" s="1490" t="s">
        <v>1884</v>
      </c>
      <c r="N625" s="1491">
        <v>3.4465365091680002E-2</v>
      </c>
      <c r="O625" s="1491">
        <v>9.8796433142599998E-6</v>
      </c>
      <c r="P625" s="1492" t="s">
        <v>1885</v>
      </c>
      <c r="Q625" s="1493" t="s">
        <v>635</v>
      </c>
      <c r="R625" s="1494"/>
      <c r="S625" s="1493" t="s">
        <v>635</v>
      </c>
      <c r="T625" s="1494"/>
      <c r="U625" s="1493" t="s">
        <v>635</v>
      </c>
      <c r="V625" s="1481"/>
      <c r="W625" s="1496" t="s">
        <v>635</v>
      </c>
      <c r="X625" s="1537"/>
      <c r="Y625" s="1498">
        <v>6.2480766271299998E-3</v>
      </c>
      <c r="Z625" s="1498">
        <v>3.1600121293819199</v>
      </c>
      <c r="AA625" s="1498">
        <v>7.58402911051662</v>
      </c>
      <c r="AB625" s="1498">
        <v>1E-3</v>
      </c>
      <c r="AC625" s="1499" t="s">
        <v>1203</v>
      </c>
      <c r="AD625" s="1500" t="s">
        <v>635</v>
      </c>
      <c r="AE625" s="1501"/>
      <c r="AF625" s="1502" t="s">
        <v>635</v>
      </c>
      <c r="AG625" s="1501"/>
      <c r="AH625" s="1502">
        <v>2.93</v>
      </c>
      <c r="AI625" s="1503" t="s">
        <v>1893</v>
      </c>
      <c r="AJ625" s="1502" t="s">
        <v>635</v>
      </c>
      <c r="AK625" s="1501"/>
      <c r="AL625" s="1501"/>
      <c r="AM625" s="1501"/>
      <c r="AN625" s="1504">
        <v>1</v>
      </c>
      <c r="AO625" s="1504" t="s">
        <v>635</v>
      </c>
      <c r="AP625" s="1506" t="s">
        <v>635</v>
      </c>
    </row>
    <row r="626" spans="1:42" ht="30">
      <c r="A626" s="1481" t="s">
        <v>3052</v>
      </c>
      <c r="B626" s="1482" t="s">
        <v>3053</v>
      </c>
      <c r="C626" s="1483" t="s">
        <v>635</v>
      </c>
      <c r="D626" s="1543"/>
      <c r="E626" s="1485" t="s">
        <v>635</v>
      </c>
      <c r="F626" s="1485" t="s">
        <v>635</v>
      </c>
      <c r="G626" s="1536"/>
      <c r="H626" s="1485" t="s">
        <v>635</v>
      </c>
      <c r="I626" s="1536"/>
      <c r="J626" s="1487" t="s">
        <v>635</v>
      </c>
      <c r="K626" s="1542"/>
      <c r="L626" s="1489" t="s">
        <v>635</v>
      </c>
      <c r="M626" s="1533"/>
      <c r="N626" s="1491" t="s">
        <v>635</v>
      </c>
      <c r="O626" s="1491" t="s">
        <v>635</v>
      </c>
      <c r="P626" s="1544"/>
      <c r="Q626" s="1493" t="s">
        <v>635</v>
      </c>
      <c r="R626" s="1494"/>
      <c r="S626" s="1493" t="s">
        <v>635</v>
      </c>
      <c r="T626" s="1494"/>
      <c r="U626" s="1493" t="s">
        <v>635</v>
      </c>
      <c r="V626" s="1481"/>
      <c r="W626" s="1496" t="s">
        <v>635</v>
      </c>
      <c r="X626" s="1537"/>
      <c r="Y626" s="1498" t="s">
        <v>635</v>
      </c>
      <c r="Z626" s="1498" t="s">
        <v>635</v>
      </c>
      <c r="AA626" s="1498" t="s">
        <v>635</v>
      </c>
      <c r="AB626" s="1498">
        <v>1E-3</v>
      </c>
      <c r="AC626" s="1499" t="s">
        <v>1203</v>
      </c>
      <c r="AD626" s="1500" t="s">
        <v>635</v>
      </c>
      <c r="AE626" s="1501"/>
      <c r="AF626" s="1502" t="s">
        <v>635</v>
      </c>
      <c r="AG626" s="1501"/>
      <c r="AH626" s="1502">
        <v>0.3</v>
      </c>
      <c r="AI626" s="1503" t="s">
        <v>1893</v>
      </c>
      <c r="AJ626" s="1502" t="s">
        <v>635</v>
      </c>
      <c r="AK626" s="1501"/>
      <c r="AL626" s="1501"/>
      <c r="AM626" s="1501"/>
      <c r="AN626" s="1504">
        <v>1</v>
      </c>
      <c r="AO626" s="1504" t="s">
        <v>635</v>
      </c>
      <c r="AP626" s="1506" t="s">
        <v>635</v>
      </c>
    </row>
    <row r="627" spans="1:42" ht="30">
      <c r="A627" s="1507" t="s">
        <v>3054</v>
      </c>
      <c r="B627" s="1508" t="s">
        <v>3055</v>
      </c>
      <c r="C627" s="1509">
        <v>174.18</v>
      </c>
      <c r="D627" s="1510" t="s">
        <v>1199</v>
      </c>
      <c r="E627" s="1511" t="s">
        <v>635</v>
      </c>
      <c r="F627" s="1511" t="s">
        <v>635</v>
      </c>
      <c r="G627" s="1534"/>
      <c r="H627" s="1511" t="s">
        <v>635</v>
      </c>
      <c r="I627" s="1534"/>
      <c r="J627" s="1513" t="s">
        <v>635</v>
      </c>
      <c r="K627" s="1540"/>
      <c r="L627" s="1515" t="s">
        <v>635</v>
      </c>
      <c r="M627" s="1538"/>
      <c r="N627" s="1517">
        <v>6.0919277429189997E-2</v>
      </c>
      <c r="O627" s="1517">
        <v>7.1179366259400002E-6</v>
      </c>
      <c r="P627" s="1518" t="s">
        <v>1885</v>
      </c>
      <c r="Q627" s="1519" t="s">
        <v>635</v>
      </c>
      <c r="R627" s="1520"/>
      <c r="S627" s="1519" t="s">
        <v>635</v>
      </c>
      <c r="T627" s="1520"/>
      <c r="U627" s="1519" t="s">
        <v>635</v>
      </c>
      <c r="V627" s="1507"/>
      <c r="W627" s="1522" t="s">
        <v>635</v>
      </c>
      <c r="X627" s="1535"/>
      <c r="Y627" s="1524">
        <v>5.0760488757800003E-3</v>
      </c>
      <c r="Z627" s="1524">
        <v>0.99370334013448003</v>
      </c>
      <c r="AA627" s="1524">
        <v>2.3848880163227602</v>
      </c>
      <c r="AB627" s="1524">
        <v>1E-3</v>
      </c>
      <c r="AC627" s="1525" t="s">
        <v>1203</v>
      </c>
      <c r="AD627" s="1526" t="s">
        <v>635</v>
      </c>
      <c r="AE627" s="1527"/>
      <c r="AF627" s="1528" t="s">
        <v>635</v>
      </c>
      <c r="AG627" s="1527"/>
      <c r="AH627" s="1528">
        <v>1</v>
      </c>
      <c r="AI627" s="1529" t="s">
        <v>1909</v>
      </c>
      <c r="AJ627" s="1528" t="s">
        <v>635</v>
      </c>
      <c r="AK627" s="1527"/>
      <c r="AL627" s="1527"/>
      <c r="AM627" s="1527"/>
      <c r="AN627" s="1530">
        <v>1</v>
      </c>
      <c r="AO627" s="1530" t="s">
        <v>635</v>
      </c>
      <c r="AP627" s="1532" t="s">
        <v>635</v>
      </c>
    </row>
    <row r="628" spans="1:42" ht="30">
      <c r="A628" s="1481" t="s">
        <v>3056</v>
      </c>
      <c r="B628" s="1482" t="s">
        <v>3057</v>
      </c>
      <c r="C628" s="1483">
        <v>141.96</v>
      </c>
      <c r="D628" s="1484" t="s">
        <v>1199</v>
      </c>
      <c r="E628" s="1485" t="s">
        <v>635</v>
      </c>
      <c r="F628" s="1485" t="s">
        <v>635</v>
      </c>
      <c r="G628" s="1536"/>
      <c r="H628" s="1485" t="s">
        <v>635</v>
      </c>
      <c r="I628" s="1536"/>
      <c r="J628" s="1487" t="s">
        <v>635</v>
      </c>
      <c r="K628" s="1542"/>
      <c r="L628" s="1489" t="s">
        <v>635</v>
      </c>
      <c r="M628" s="1533"/>
      <c r="N628" s="1491">
        <v>6.9819425962720005E-2</v>
      </c>
      <c r="O628" s="1491">
        <v>8.1578487177499999E-6</v>
      </c>
      <c r="P628" s="1492" t="s">
        <v>1885</v>
      </c>
      <c r="Q628" s="1493" t="s">
        <v>635</v>
      </c>
      <c r="R628" s="1494"/>
      <c r="S628" s="1493" t="s">
        <v>635</v>
      </c>
      <c r="T628" s="1494"/>
      <c r="U628" s="1493" t="s">
        <v>635</v>
      </c>
      <c r="V628" s="1481"/>
      <c r="W628" s="1496" t="s">
        <v>635</v>
      </c>
      <c r="X628" s="1537"/>
      <c r="Y628" s="1498">
        <v>4.5825756949600003E-3</v>
      </c>
      <c r="Z628" s="1498">
        <v>0.65588054612633995</v>
      </c>
      <c r="AA628" s="1498">
        <v>1.5741133107032199</v>
      </c>
      <c r="AB628" s="1498">
        <v>1E-3</v>
      </c>
      <c r="AC628" s="1499" t="s">
        <v>1203</v>
      </c>
      <c r="AD628" s="1500" t="s">
        <v>635</v>
      </c>
      <c r="AE628" s="1501"/>
      <c r="AF628" s="1502" t="s">
        <v>635</v>
      </c>
      <c r="AG628" s="1501"/>
      <c r="AH628" s="1502">
        <v>1</v>
      </c>
      <c r="AI628" s="1503" t="s">
        <v>1909</v>
      </c>
      <c r="AJ628" s="1502" t="s">
        <v>635</v>
      </c>
      <c r="AK628" s="1501"/>
      <c r="AL628" s="1501"/>
      <c r="AM628" s="1501"/>
      <c r="AN628" s="1504">
        <v>1</v>
      </c>
      <c r="AO628" s="1504" t="s">
        <v>635</v>
      </c>
      <c r="AP628" s="1506" t="s">
        <v>635</v>
      </c>
    </row>
    <row r="629" spans="1:42" ht="30">
      <c r="A629" s="1481" t="s">
        <v>3058</v>
      </c>
      <c r="B629" s="1482" t="s">
        <v>3059</v>
      </c>
      <c r="C629" s="1483">
        <v>317.94</v>
      </c>
      <c r="D629" s="1484" t="s">
        <v>1884</v>
      </c>
      <c r="E629" s="1485" t="s">
        <v>635</v>
      </c>
      <c r="F629" s="1485" t="s">
        <v>635</v>
      </c>
      <c r="G629" s="1536"/>
      <c r="H629" s="1485" t="s">
        <v>635</v>
      </c>
      <c r="I629" s="1536"/>
      <c r="J629" s="1487" t="s">
        <v>635</v>
      </c>
      <c r="K629" s="1542"/>
      <c r="L629" s="1489" t="s">
        <v>635</v>
      </c>
      <c r="M629" s="1533"/>
      <c r="N629" s="1491">
        <v>4.0787161985050002E-2</v>
      </c>
      <c r="O629" s="1491">
        <v>4.7656578740399997E-6</v>
      </c>
      <c r="P629" s="1492" t="s">
        <v>1885</v>
      </c>
      <c r="Q629" s="1493" t="s">
        <v>635</v>
      </c>
      <c r="R629" s="1494"/>
      <c r="S629" s="1493" t="s">
        <v>635</v>
      </c>
      <c r="T629" s="1494"/>
      <c r="U629" s="1493" t="s">
        <v>635</v>
      </c>
      <c r="V629" s="1481"/>
      <c r="W629" s="1496" t="s">
        <v>635</v>
      </c>
      <c r="X629" s="1537"/>
      <c r="Y629" s="1498">
        <v>6.8580277324199997E-3</v>
      </c>
      <c r="Z629" s="1498">
        <v>6.3432634590199797</v>
      </c>
      <c r="AA629" s="1498">
        <v>15.223832301648001</v>
      </c>
      <c r="AB629" s="1498">
        <v>1E-3</v>
      </c>
      <c r="AC629" s="1499" t="s">
        <v>1203</v>
      </c>
      <c r="AD629" s="1500" t="s">
        <v>635</v>
      </c>
      <c r="AE629" s="1501"/>
      <c r="AF629" s="1502" t="s">
        <v>635</v>
      </c>
      <c r="AG629" s="1501"/>
      <c r="AH629" s="1502">
        <v>3.54</v>
      </c>
      <c r="AI629" s="1503" t="s">
        <v>1893</v>
      </c>
      <c r="AJ629" s="1502" t="s">
        <v>635</v>
      </c>
      <c r="AK629" s="1501"/>
      <c r="AL629" s="1501"/>
      <c r="AM629" s="1501"/>
      <c r="AN629" s="1504">
        <v>1</v>
      </c>
      <c r="AO629" s="1504" t="s">
        <v>635</v>
      </c>
      <c r="AP629" s="1506" t="s">
        <v>635</v>
      </c>
    </row>
    <row r="630" spans="1:42" ht="30">
      <c r="A630" s="1507" t="s">
        <v>3060</v>
      </c>
      <c r="B630" s="1508" t="s">
        <v>3061</v>
      </c>
      <c r="C630" s="1509">
        <v>136.09</v>
      </c>
      <c r="D630" s="1510" t="s">
        <v>1199</v>
      </c>
      <c r="E630" s="1511" t="s">
        <v>635</v>
      </c>
      <c r="F630" s="1511" t="s">
        <v>635</v>
      </c>
      <c r="G630" s="1534"/>
      <c r="H630" s="1511" t="s">
        <v>635</v>
      </c>
      <c r="I630" s="1534"/>
      <c r="J630" s="1513" t="s">
        <v>635</v>
      </c>
      <c r="K630" s="1540"/>
      <c r="L630" s="1515" t="s">
        <v>635</v>
      </c>
      <c r="M630" s="1538"/>
      <c r="N630" s="1517">
        <v>7.1812953987910003E-2</v>
      </c>
      <c r="O630" s="1517">
        <v>8.3907767291099999E-6</v>
      </c>
      <c r="P630" s="1518" t="s">
        <v>1885</v>
      </c>
      <c r="Q630" s="1519" t="s">
        <v>635</v>
      </c>
      <c r="R630" s="1520"/>
      <c r="S630" s="1519" t="s">
        <v>635</v>
      </c>
      <c r="T630" s="1520"/>
      <c r="U630" s="1519" t="s">
        <v>635</v>
      </c>
      <c r="V630" s="1507"/>
      <c r="W630" s="1522" t="s">
        <v>635</v>
      </c>
      <c r="X630" s="1535"/>
      <c r="Y630" s="1524">
        <v>4.4868314883399997E-3</v>
      </c>
      <c r="Z630" s="1524">
        <v>0.60806884098832004</v>
      </c>
      <c r="AA630" s="1524">
        <v>1.4593652183719701</v>
      </c>
      <c r="AB630" s="1524">
        <v>1E-3</v>
      </c>
      <c r="AC630" s="1525" t="s">
        <v>1203</v>
      </c>
      <c r="AD630" s="1526" t="s">
        <v>635</v>
      </c>
      <c r="AE630" s="1527"/>
      <c r="AF630" s="1528" t="s">
        <v>635</v>
      </c>
      <c r="AG630" s="1527"/>
      <c r="AH630" s="1528">
        <v>1</v>
      </c>
      <c r="AI630" s="1529" t="s">
        <v>1909</v>
      </c>
      <c r="AJ630" s="1528" t="s">
        <v>635</v>
      </c>
      <c r="AK630" s="1527"/>
      <c r="AL630" s="1527"/>
      <c r="AM630" s="1527"/>
      <c r="AN630" s="1530">
        <v>1</v>
      </c>
      <c r="AO630" s="1530" t="s">
        <v>635</v>
      </c>
      <c r="AP630" s="1532" t="s">
        <v>635</v>
      </c>
    </row>
    <row r="631" spans="1:42" ht="30">
      <c r="A631" s="1481" t="s">
        <v>3062</v>
      </c>
      <c r="B631" s="1482" t="s">
        <v>3063</v>
      </c>
      <c r="C631" s="1483">
        <v>119.98</v>
      </c>
      <c r="D631" s="1484" t="s">
        <v>1883</v>
      </c>
      <c r="E631" s="1485" t="s">
        <v>635</v>
      </c>
      <c r="F631" s="1485" t="s">
        <v>635</v>
      </c>
      <c r="G631" s="1536"/>
      <c r="H631" s="1485" t="s">
        <v>635</v>
      </c>
      <c r="I631" s="1536"/>
      <c r="J631" s="1487">
        <v>60</v>
      </c>
      <c r="K631" s="1488" t="s">
        <v>1883</v>
      </c>
      <c r="L631" s="1489" t="s">
        <v>635</v>
      </c>
      <c r="M631" s="1533"/>
      <c r="N631" s="1491">
        <v>7.8105394305359996E-2</v>
      </c>
      <c r="O631" s="1491">
        <v>9.1259987030500008E-6</v>
      </c>
      <c r="P631" s="1492" t="s">
        <v>1885</v>
      </c>
      <c r="Q631" s="1493" t="s">
        <v>635</v>
      </c>
      <c r="R631" s="1494"/>
      <c r="S631" s="1493" t="s">
        <v>635</v>
      </c>
      <c r="T631" s="1494"/>
      <c r="U631" s="1493" t="s">
        <v>635</v>
      </c>
      <c r="V631" s="1481"/>
      <c r="W631" s="1496">
        <v>486900</v>
      </c>
      <c r="X631" s="1497" t="s">
        <v>1883</v>
      </c>
      <c r="Y631" s="1498">
        <v>4.21289932351E-3</v>
      </c>
      <c r="Z631" s="1498">
        <v>0.49401114818868003</v>
      </c>
      <c r="AA631" s="1498">
        <v>1.1856267556528399</v>
      </c>
      <c r="AB631" s="1498">
        <v>1E-3</v>
      </c>
      <c r="AC631" s="1499" t="s">
        <v>1203</v>
      </c>
      <c r="AD631" s="1500" t="s">
        <v>635</v>
      </c>
      <c r="AE631" s="1501"/>
      <c r="AF631" s="1502" t="s">
        <v>635</v>
      </c>
      <c r="AG631" s="1501"/>
      <c r="AH631" s="1502">
        <v>1</v>
      </c>
      <c r="AI631" s="1503" t="s">
        <v>1909</v>
      </c>
      <c r="AJ631" s="1502" t="s">
        <v>635</v>
      </c>
      <c r="AK631" s="1501"/>
      <c r="AL631" s="1501"/>
      <c r="AM631" s="1501"/>
      <c r="AN631" s="1504">
        <v>1</v>
      </c>
      <c r="AO631" s="1504" t="s">
        <v>635</v>
      </c>
      <c r="AP631" s="1506" t="s">
        <v>635</v>
      </c>
    </row>
    <row r="632" spans="1:42" ht="30">
      <c r="A632" s="1481" t="s">
        <v>3064</v>
      </c>
      <c r="B632" s="1482" t="s">
        <v>3065</v>
      </c>
      <c r="C632" s="1483">
        <v>97.995000000000005</v>
      </c>
      <c r="D632" s="1484" t="s">
        <v>1883</v>
      </c>
      <c r="E632" s="1485" t="s">
        <v>635</v>
      </c>
      <c r="F632" s="1485" t="s">
        <v>635</v>
      </c>
      <c r="G632" s="1536"/>
      <c r="H632" s="1485">
        <v>0.03</v>
      </c>
      <c r="I632" s="1486" t="s">
        <v>1929</v>
      </c>
      <c r="J632" s="1487">
        <v>42.35</v>
      </c>
      <c r="K632" s="1488" t="s">
        <v>1883</v>
      </c>
      <c r="L632" s="1489">
        <v>1.8340000000000001</v>
      </c>
      <c r="M632" s="1490" t="s">
        <v>1949</v>
      </c>
      <c r="N632" s="1491">
        <v>0.10148899841633</v>
      </c>
      <c r="O632" s="1491">
        <v>1.3950475800000001E-5</v>
      </c>
      <c r="P632" s="1492" t="s">
        <v>1885</v>
      </c>
      <c r="Q632" s="1493" t="s">
        <v>635</v>
      </c>
      <c r="R632" s="1494"/>
      <c r="S632" s="1493" t="s">
        <v>635</v>
      </c>
      <c r="T632" s="1494"/>
      <c r="U632" s="1493" t="s">
        <v>635</v>
      </c>
      <c r="V632" s="1481"/>
      <c r="W632" s="1496">
        <v>5480000</v>
      </c>
      <c r="X632" s="1497" t="s">
        <v>1884</v>
      </c>
      <c r="Y632" s="1498">
        <v>3.8074009212500002E-3</v>
      </c>
      <c r="Z632" s="1498">
        <v>0.37206665480577</v>
      </c>
      <c r="AA632" s="1498">
        <v>0.89295997153383999</v>
      </c>
      <c r="AB632" s="1498">
        <v>1E-3</v>
      </c>
      <c r="AC632" s="1499" t="s">
        <v>1203</v>
      </c>
      <c r="AD632" s="1500" t="s">
        <v>635</v>
      </c>
      <c r="AE632" s="1501"/>
      <c r="AF632" s="1502" t="s">
        <v>635</v>
      </c>
      <c r="AG632" s="1501"/>
      <c r="AH632" s="1502">
        <v>1</v>
      </c>
      <c r="AI632" s="1503" t="s">
        <v>1909</v>
      </c>
      <c r="AJ632" s="1502">
        <v>0.01</v>
      </c>
      <c r="AK632" s="1503" t="s">
        <v>1119</v>
      </c>
      <c r="AL632" s="1501"/>
      <c r="AM632" s="1501"/>
      <c r="AN632" s="1504">
        <v>1</v>
      </c>
      <c r="AO632" s="1504" t="s">
        <v>635</v>
      </c>
      <c r="AP632" s="1506" t="s">
        <v>635</v>
      </c>
    </row>
    <row r="633" spans="1:42" ht="45">
      <c r="A633" s="1507" t="s">
        <v>3066</v>
      </c>
      <c r="B633" s="1508" t="s">
        <v>3067</v>
      </c>
      <c r="C633" s="1509">
        <v>121.953</v>
      </c>
      <c r="D633" s="1510" t="s">
        <v>1884</v>
      </c>
      <c r="E633" s="1511" t="s">
        <v>635</v>
      </c>
      <c r="F633" s="1511" t="s">
        <v>635</v>
      </c>
      <c r="G633" s="1534"/>
      <c r="H633" s="1511" t="s">
        <v>635</v>
      </c>
      <c r="I633" s="1534"/>
      <c r="J633" s="1513">
        <v>1460</v>
      </c>
      <c r="K633" s="1514" t="s">
        <v>1884</v>
      </c>
      <c r="L633" s="1515">
        <v>2.56</v>
      </c>
      <c r="M633" s="1516" t="s">
        <v>1884</v>
      </c>
      <c r="N633" s="1517">
        <v>9.4241236714649998E-2</v>
      </c>
      <c r="O633" s="1517">
        <v>1.4945149289999999E-5</v>
      </c>
      <c r="P633" s="1518" t="s">
        <v>1885</v>
      </c>
      <c r="Q633" s="1519" t="s">
        <v>635</v>
      </c>
      <c r="R633" s="1520"/>
      <c r="S633" s="1519" t="s">
        <v>635</v>
      </c>
      <c r="T633" s="1520"/>
      <c r="U633" s="1519" t="s">
        <v>635</v>
      </c>
      <c r="V633" s="1507"/>
      <c r="W633" s="1522" t="s">
        <v>635</v>
      </c>
      <c r="X633" s="1535"/>
      <c r="Y633" s="1524">
        <v>4.2473973931600002E-3</v>
      </c>
      <c r="Z633" s="1524">
        <v>0.50674042300208999</v>
      </c>
      <c r="AA633" s="1524">
        <v>1.21617701520502</v>
      </c>
      <c r="AB633" s="1524">
        <v>1E-3</v>
      </c>
      <c r="AC633" s="1525" t="s">
        <v>1203</v>
      </c>
      <c r="AD633" s="1526" t="s">
        <v>635</v>
      </c>
      <c r="AE633" s="1527"/>
      <c r="AF633" s="1528" t="s">
        <v>635</v>
      </c>
      <c r="AG633" s="1527"/>
      <c r="AH633" s="1528">
        <v>1.36</v>
      </c>
      <c r="AI633" s="1529" t="s">
        <v>1893</v>
      </c>
      <c r="AJ633" s="1528" t="s">
        <v>635</v>
      </c>
      <c r="AK633" s="1527"/>
      <c r="AL633" s="1527"/>
      <c r="AM633" s="1527"/>
      <c r="AN633" s="1530">
        <v>1</v>
      </c>
      <c r="AO633" s="1531">
        <v>0.1</v>
      </c>
      <c r="AP633" s="1532" t="s">
        <v>635</v>
      </c>
    </row>
    <row r="634" spans="1:42" ht="75">
      <c r="A634" s="1481" t="s">
        <v>3068</v>
      </c>
      <c r="B634" s="1482" t="s">
        <v>3069</v>
      </c>
      <c r="C634" s="1483" t="s">
        <v>635</v>
      </c>
      <c r="D634" s="1543"/>
      <c r="E634" s="1485" t="s">
        <v>635</v>
      </c>
      <c r="F634" s="1485" t="s">
        <v>635</v>
      </c>
      <c r="G634" s="1536"/>
      <c r="H634" s="1485" t="s">
        <v>635</v>
      </c>
      <c r="I634" s="1536"/>
      <c r="J634" s="1487" t="s">
        <v>635</v>
      </c>
      <c r="K634" s="1542"/>
      <c r="L634" s="1489" t="s">
        <v>635</v>
      </c>
      <c r="M634" s="1533"/>
      <c r="N634" s="1491" t="s">
        <v>635</v>
      </c>
      <c r="O634" s="1491" t="s">
        <v>635</v>
      </c>
      <c r="P634" s="1544"/>
      <c r="Q634" s="1493" t="s">
        <v>635</v>
      </c>
      <c r="R634" s="1494"/>
      <c r="S634" s="1493" t="s">
        <v>635</v>
      </c>
      <c r="T634" s="1494"/>
      <c r="U634" s="1493" t="s">
        <v>635</v>
      </c>
      <c r="V634" s="1481"/>
      <c r="W634" s="1496" t="s">
        <v>635</v>
      </c>
      <c r="X634" s="1537"/>
      <c r="Y634" s="1498" t="s">
        <v>635</v>
      </c>
      <c r="Z634" s="1498" t="s">
        <v>635</v>
      </c>
      <c r="AA634" s="1498" t="s">
        <v>635</v>
      </c>
      <c r="AB634" s="1498">
        <v>1E-3</v>
      </c>
      <c r="AC634" s="1499" t="s">
        <v>1203</v>
      </c>
      <c r="AD634" s="1500" t="s">
        <v>635</v>
      </c>
      <c r="AE634" s="1501"/>
      <c r="AF634" s="1502" t="s">
        <v>635</v>
      </c>
      <c r="AG634" s="1501"/>
      <c r="AH634" s="1502">
        <v>4.26</v>
      </c>
      <c r="AI634" s="1503" t="s">
        <v>1893</v>
      </c>
      <c r="AJ634" s="1502" t="s">
        <v>635</v>
      </c>
      <c r="AK634" s="1501"/>
      <c r="AL634" s="1501"/>
      <c r="AM634" s="1501"/>
      <c r="AN634" s="1504">
        <v>1</v>
      </c>
      <c r="AO634" s="1504" t="s">
        <v>635</v>
      </c>
      <c r="AP634" s="1506" t="s">
        <v>635</v>
      </c>
    </row>
    <row r="635" spans="1:42" ht="30">
      <c r="A635" s="1481" t="s">
        <v>3070</v>
      </c>
      <c r="B635" s="1482" t="s">
        <v>3071</v>
      </c>
      <c r="C635" s="1483">
        <v>257.95999999999998</v>
      </c>
      <c r="D635" s="1484" t="s">
        <v>1199</v>
      </c>
      <c r="E635" s="1485" t="s">
        <v>635</v>
      </c>
      <c r="F635" s="1485" t="s">
        <v>635</v>
      </c>
      <c r="G635" s="1536"/>
      <c r="H635" s="1485" t="s">
        <v>635</v>
      </c>
      <c r="I635" s="1536"/>
      <c r="J635" s="1487" t="s">
        <v>635</v>
      </c>
      <c r="K635" s="1542"/>
      <c r="L635" s="1489" t="s">
        <v>635</v>
      </c>
      <c r="M635" s="1533"/>
      <c r="N635" s="1491">
        <v>4.6886954247610003E-2</v>
      </c>
      <c r="O635" s="1491">
        <v>5.4783704436700001E-6</v>
      </c>
      <c r="P635" s="1492" t="s">
        <v>1885</v>
      </c>
      <c r="Q635" s="1493" t="s">
        <v>635</v>
      </c>
      <c r="R635" s="1494"/>
      <c r="S635" s="1493" t="s">
        <v>635</v>
      </c>
      <c r="T635" s="1494"/>
      <c r="U635" s="1493" t="s">
        <v>635</v>
      </c>
      <c r="V635" s="1481"/>
      <c r="W635" s="1496" t="s">
        <v>635</v>
      </c>
      <c r="X635" s="1537"/>
      <c r="Y635" s="1498">
        <v>6.1773589270500001E-3</v>
      </c>
      <c r="Z635" s="1498">
        <v>2.92701366256644</v>
      </c>
      <c r="AA635" s="1498">
        <v>7.0248327901594498</v>
      </c>
      <c r="AB635" s="1498">
        <v>1E-3</v>
      </c>
      <c r="AC635" s="1499" t="s">
        <v>1203</v>
      </c>
      <c r="AD635" s="1500" t="s">
        <v>635</v>
      </c>
      <c r="AE635" s="1501"/>
      <c r="AF635" s="1502" t="s">
        <v>635</v>
      </c>
      <c r="AG635" s="1501"/>
      <c r="AH635" s="1502">
        <v>1</v>
      </c>
      <c r="AI635" s="1503" t="s">
        <v>1909</v>
      </c>
      <c r="AJ635" s="1502" t="s">
        <v>635</v>
      </c>
      <c r="AK635" s="1501"/>
      <c r="AL635" s="1501"/>
      <c r="AM635" s="1501"/>
      <c r="AN635" s="1504">
        <v>1</v>
      </c>
      <c r="AO635" s="1504" t="s">
        <v>635</v>
      </c>
      <c r="AP635" s="1506" t="s">
        <v>635</v>
      </c>
    </row>
    <row r="636" spans="1:42" ht="30">
      <c r="A636" s="1507" t="s">
        <v>3072</v>
      </c>
      <c r="B636" s="1508" t="s">
        <v>3073</v>
      </c>
      <c r="C636" s="1509" t="s">
        <v>635</v>
      </c>
      <c r="D636" s="1548"/>
      <c r="E636" s="1511" t="s">
        <v>635</v>
      </c>
      <c r="F636" s="1511" t="s">
        <v>635</v>
      </c>
      <c r="G636" s="1534"/>
      <c r="H636" s="1511" t="s">
        <v>635</v>
      </c>
      <c r="I636" s="1534"/>
      <c r="J636" s="1513" t="s">
        <v>635</v>
      </c>
      <c r="K636" s="1540"/>
      <c r="L636" s="1515" t="s">
        <v>635</v>
      </c>
      <c r="M636" s="1538"/>
      <c r="N636" s="1517" t="s">
        <v>635</v>
      </c>
      <c r="O636" s="1517" t="s">
        <v>635</v>
      </c>
      <c r="P636" s="1549"/>
      <c r="Q636" s="1519" t="s">
        <v>635</v>
      </c>
      <c r="R636" s="1520"/>
      <c r="S636" s="1519" t="s">
        <v>635</v>
      </c>
      <c r="T636" s="1520"/>
      <c r="U636" s="1519" t="s">
        <v>635</v>
      </c>
      <c r="V636" s="1507"/>
      <c r="W636" s="1522" t="s">
        <v>635</v>
      </c>
      <c r="X636" s="1535"/>
      <c r="Y636" s="1524" t="s">
        <v>635</v>
      </c>
      <c r="Z636" s="1524" t="s">
        <v>635</v>
      </c>
      <c r="AA636" s="1524" t="s">
        <v>635</v>
      </c>
      <c r="AB636" s="1524">
        <v>1E-3</v>
      </c>
      <c r="AC636" s="1525" t="s">
        <v>1203</v>
      </c>
      <c r="AD636" s="1526" t="s">
        <v>635</v>
      </c>
      <c r="AE636" s="1527"/>
      <c r="AF636" s="1528" t="s">
        <v>635</v>
      </c>
      <c r="AG636" s="1527"/>
      <c r="AH636" s="1528">
        <v>1</v>
      </c>
      <c r="AI636" s="1529" t="s">
        <v>1909</v>
      </c>
      <c r="AJ636" s="1528" t="s">
        <v>635</v>
      </c>
      <c r="AK636" s="1527"/>
      <c r="AL636" s="1527"/>
      <c r="AM636" s="1527"/>
      <c r="AN636" s="1530">
        <v>1</v>
      </c>
      <c r="AO636" s="1530" t="s">
        <v>635</v>
      </c>
      <c r="AP636" s="1532" t="s">
        <v>635</v>
      </c>
    </row>
    <row r="637" spans="1:42" ht="30">
      <c r="A637" s="1481" t="s">
        <v>3074</v>
      </c>
      <c r="B637" s="1482" t="s">
        <v>3075</v>
      </c>
      <c r="C637" s="1483">
        <v>448.40679</v>
      </c>
      <c r="D637" s="1484" t="s">
        <v>1890</v>
      </c>
      <c r="E637" s="1485" t="s">
        <v>635</v>
      </c>
      <c r="F637" s="1485" t="s">
        <v>635</v>
      </c>
      <c r="G637" s="1536"/>
      <c r="H637" s="1485" t="s">
        <v>635</v>
      </c>
      <c r="I637" s="1536"/>
      <c r="J637" s="1487" t="s">
        <v>635</v>
      </c>
      <c r="K637" s="1542"/>
      <c r="L637" s="1489" t="s">
        <v>635</v>
      </c>
      <c r="M637" s="1533"/>
      <c r="N637" s="1491">
        <v>3.243188171756E-2</v>
      </c>
      <c r="O637" s="1491">
        <v>3.7894093375299999E-6</v>
      </c>
      <c r="P637" s="1492" t="s">
        <v>1885</v>
      </c>
      <c r="Q637" s="1493" t="s">
        <v>635</v>
      </c>
      <c r="R637" s="1494"/>
      <c r="S637" s="1493" t="s">
        <v>635</v>
      </c>
      <c r="T637" s="1494"/>
      <c r="U637" s="1493" t="s">
        <v>635</v>
      </c>
      <c r="V637" s="1481"/>
      <c r="W637" s="1496" t="s">
        <v>635</v>
      </c>
      <c r="X637" s="1537"/>
      <c r="Y637" s="1498">
        <v>8.1444683917700003E-3</v>
      </c>
      <c r="Z637" s="1498">
        <v>34.113538794180101</v>
      </c>
      <c r="AA637" s="1498">
        <v>81.872493106032294</v>
      </c>
      <c r="AB637" s="1498">
        <v>1E-3</v>
      </c>
      <c r="AC637" s="1499" t="s">
        <v>1203</v>
      </c>
      <c r="AD637" s="1500" t="s">
        <v>635</v>
      </c>
      <c r="AE637" s="1501"/>
      <c r="AF637" s="1502" t="s">
        <v>635</v>
      </c>
      <c r="AG637" s="1501"/>
      <c r="AH637" s="1502">
        <v>1</v>
      </c>
      <c r="AI637" s="1503" t="s">
        <v>1909</v>
      </c>
      <c r="AJ637" s="1502" t="s">
        <v>635</v>
      </c>
      <c r="AK637" s="1501"/>
      <c r="AL637" s="1501"/>
      <c r="AM637" s="1501"/>
      <c r="AN637" s="1504">
        <v>1</v>
      </c>
      <c r="AO637" s="1504" t="s">
        <v>635</v>
      </c>
      <c r="AP637" s="1506" t="s">
        <v>635</v>
      </c>
    </row>
    <row r="638" spans="1:42" ht="30">
      <c r="A638" s="1481" t="s">
        <v>3076</v>
      </c>
      <c r="B638" s="1482" t="s">
        <v>3077</v>
      </c>
      <c r="C638" s="1483">
        <v>897.81</v>
      </c>
      <c r="D638" s="1484" t="s">
        <v>2940</v>
      </c>
      <c r="E638" s="1485" t="s">
        <v>635</v>
      </c>
      <c r="F638" s="1485" t="s">
        <v>635</v>
      </c>
      <c r="G638" s="1536"/>
      <c r="H638" s="1485" t="s">
        <v>635</v>
      </c>
      <c r="I638" s="1536"/>
      <c r="J638" s="1487" t="s">
        <v>635</v>
      </c>
      <c r="K638" s="1542"/>
      <c r="L638" s="1489" t="s">
        <v>635</v>
      </c>
      <c r="M638" s="1533"/>
      <c r="N638" s="1491">
        <v>2.0415685900409999E-2</v>
      </c>
      <c r="O638" s="1491">
        <v>2.3854117210000001E-6</v>
      </c>
      <c r="P638" s="1492" t="s">
        <v>1885</v>
      </c>
      <c r="Q638" s="1493" t="s">
        <v>635</v>
      </c>
      <c r="R638" s="1494"/>
      <c r="S638" s="1493" t="s">
        <v>635</v>
      </c>
      <c r="T638" s="1494"/>
      <c r="U638" s="1493" t="s">
        <v>635</v>
      </c>
      <c r="V638" s="1481"/>
      <c r="W638" s="1496" t="s">
        <v>635</v>
      </c>
      <c r="X638" s="1537"/>
      <c r="Y638" s="1498">
        <v>1.152441452645E-2</v>
      </c>
      <c r="Z638" s="1498">
        <v>11209.4614981709</v>
      </c>
      <c r="AA638" s="1498">
        <v>26902.707595610202</v>
      </c>
      <c r="AB638" s="1498">
        <v>1E-3</v>
      </c>
      <c r="AC638" s="1499" t="s">
        <v>1203</v>
      </c>
      <c r="AD638" s="1500" t="s">
        <v>635</v>
      </c>
      <c r="AE638" s="1501"/>
      <c r="AF638" s="1502" t="s">
        <v>635</v>
      </c>
      <c r="AG638" s="1501"/>
      <c r="AH638" s="1502">
        <v>4.99</v>
      </c>
      <c r="AI638" s="1503" t="s">
        <v>1893</v>
      </c>
      <c r="AJ638" s="1502" t="s">
        <v>635</v>
      </c>
      <c r="AK638" s="1501"/>
      <c r="AL638" s="1501"/>
      <c r="AM638" s="1501"/>
      <c r="AN638" s="1504">
        <v>1</v>
      </c>
      <c r="AO638" s="1504" t="s">
        <v>635</v>
      </c>
      <c r="AP638" s="1506" t="s">
        <v>635</v>
      </c>
    </row>
    <row r="639" spans="1:42" ht="30">
      <c r="A639" s="1507" t="s">
        <v>3078</v>
      </c>
      <c r="B639" s="1508" t="s">
        <v>3079</v>
      </c>
      <c r="C639" s="1509">
        <v>949.86400000000003</v>
      </c>
      <c r="D639" s="1510" t="s">
        <v>2940</v>
      </c>
      <c r="E639" s="1511" t="s">
        <v>635</v>
      </c>
      <c r="F639" s="1511" t="s">
        <v>635</v>
      </c>
      <c r="G639" s="1534"/>
      <c r="H639" s="1511" t="s">
        <v>635</v>
      </c>
      <c r="I639" s="1534"/>
      <c r="J639" s="1513" t="s">
        <v>635</v>
      </c>
      <c r="K639" s="1540"/>
      <c r="L639" s="1515" t="s">
        <v>635</v>
      </c>
      <c r="M639" s="1538"/>
      <c r="N639" s="1517">
        <v>1.9662828087319999E-2</v>
      </c>
      <c r="O639" s="1517">
        <v>2.2974462291499999E-6</v>
      </c>
      <c r="P639" s="1518" t="s">
        <v>1885</v>
      </c>
      <c r="Q639" s="1519" t="s">
        <v>635</v>
      </c>
      <c r="R639" s="1520"/>
      <c r="S639" s="1519" t="s">
        <v>635</v>
      </c>
      <c r="T639" s="1520"/>
      <c r="U639" s="1519" t="s">
        <v>635</v>
      </c>
      <c r="V639" s="1507"/>
      <c r="W639" s="1522" t="s">
        <v>635</v>
      </c>
      <c r="X639" s="1535"/>
      <c r="Y639" s="1524">
        <v>1.1853793740210001E-2</v>
      </c>
      <c r="Z639" s="1524">
        <v>21932.450083706699</v>
      </c>
      <c r="AA639" s="1524">
        <v>52637.880200896099</v>
      </c>
      <c r="AB639" s="1524">
        <v>1E-3</v>
      </c>
      <c r="AC639" s="1525" t="s">
        <v>1203</v>
      </c>
      <c r="AD639" s="1526" t="s">
        <v>635</v>
      </c>
      <c r="AE639" s="1527"/>
      <c r="AF639" s="1528" t="s">
        <v>635</v>
      </c>
      <c r="AG639" s="1527"/>
      <c r="AH639" s="1528">
        <v>3.52</v>
      </c>
      <c r="AI639" s="1529" t="s">
        <v>1893</v>
      </c>
      <c r="AJ639" s="1528" t="s">
        <v>635</v>
      </c>
      <c r="AK639" s="1527"/>
      <c r="AL639" s="1527"/>
      <c r="AM639" s="1527"/>
      <c r="AN639" s="1530">
        <v>1</v>
      </c>
      <c r="AO639" s="1530" t="s">
        <v>635</v>
      </c>
      <c r="AP639" s="1532" t="s">
        <v>635</v>
      </c>
    </row>
    <row r="640" spans="1:42" ht="30">
      <c r="A640" s="1481" t="s">
        <v>3080</v>
      </c>
      <c r="B640" s="1482" t="s">
        <v>3081</v>
      </c>
      <c r="C640" s="1483">
        <v>611.16999999999996</v>
      </c>
      <c r="D640" s="1484" t="s">
        <v>1884</v>
      </c>
      <c r="E640" s="1485" t="s">
        <v>635</v>
      </c>
      <c r="F640" s="1485" t="s">
        <v>635</v>
      </c>
      <c r="G640" s="1536"/>
      <c r="H640" s="1485" t="s">
        <v>635</v>
      </c>
      <c r="I640" s="1536"/>
      <c r="J640" s="1487" t="s">
        <v>635</v>
      </c>
      <c r="K640" s="1542"/>
      <c r="L640" s="1489" t="s">
        <v>635</v>
      </c>
      <c r="M640" s="1533"/>
      <c r="N640" s="1491">
        <v>2.638227535413E-2</v>
      </c>
      <c r="O640" s="1491">
        <v>3.08256059401E-6</v>
      </c>
      <c r="P640" s="1492" t="s">
        <v>1885</v>
      </c>
      <c r="Q640" s="1493" t="s">
        <v>635</v>
      </c>
      <c r="R640" s="1494"/>
      <c r="S640" s="1493" t="s">
        <v>635</v>
      </c>
      <c r="T640" s="1494"/>
      <c r="U640" s="1493" t="s">
        <v>635</v>
      </c>
      <c r="V640" s="1481"/>
      <c r="W640" s="1496" t="s">
        <v>635</v>
      </c>
      <c r="X640" s="1537"/>
      <c r="Y640" s="1498">
        <v>9.5084048774499996E-3</v>
      </c>
      <c r="Z640" s="1498">
        <v>278.227946003959</v>
      </c>
      <c r="AA640" s="1498">
        <v>667.74707040950204</v>
      </c>
      <c r="AB640" s="1498">
        <v>1E-3</v>
      </c>
      <c r="AC640" s="1499" t="s">
        <v>1203</v>
      </c>
      <c r="AD640" s="1500" t="s">
        <v>635</v>
      </c>
      <c r="AE640" s="1501"/>
      <c r="AF640" s="1502" t="s">
        <v>635</v>
      </c>
      <c r="AG640" s="1501"/>
      <c r="AH640" s="1502">
        <v>1</v>
      </c>
      <c r="AI640" s="1503" t="s">
        <v>1909</v>
      </c>
      <c r="AJ640" s="1502" t="s">
        <v>635</v>
      </c>
      <c r="AK640" s="1501"/>
      <c r="AL640" s="1501"/>
      <c r="AM640" s="1501"/>
      <c r="AN640" s="1504">
        <v>1</v>
      </c>
      <c r="AO640" s="1504" t="s">
        <v>635</v>
      </c>
      <c r="AP640" s="1506" t="s">
        <v>635</v>
      </c>
    </row>
    <row r="641" spans="1:42" ht="30">
      <c r="A641" s="1481" t="s">
        <v>3082</v>
      </c>
      <c r="B641" s="1482" t="s">
        <v>3083</v>
      </c>
      <c r="C641" s="1483">
        <v>359.92</v>
      </c>
      <c r="D641" s="1484" t="s">
        <v>1199</v>
      </c>
      <c r="E641" s="1485" t="s">
        <v>635</v>
      </c>
      <c r="F641" s="1485" t="s">
        <v>635</v>
      </c>
      <c r="G641" s="1536"/>
      <c r="H641" s="1485" t="s">
        <v>635</v>
      </c>
      <c r="I641" s="1536"/>
      <c r="J641" s="1487" t="s">
        <v>635</v>
      </c>
      <c r="K641" s="1542"/>
      <c r="L641" s="1489" t="s">
        <v>635</v>
      </c>
      <c r="M641" s="1533"/>
      <c r="N641" s="1491">
        <v>3.7550548130960003E-2</v>
      </c>
      <c r="O641" s="1491">
        <v>4.3874850974099999E-6</v>
      </c>
      <c r="P641" s="1492" t="s">
        <v>1885</v>
      </c>
      <c r="Q641" s="1493" t="s">
        <v>635</v>
      </c>
      <c r="R641" s="1494"/>
      <c r="S641" s="1493" t="s">
        <v>635</v>
      </c>
      <c r="T641" s="1494"/>
      <c r="U641" s="1493" t="s">
        <v>635</v>
      </c>
      <c r="V641" s="1481"/>
      <c r="W641" s="1496" t="s">
        <v>635</v>
      </c>
      <c r="X641" s="1537"/>
      <c r="Y641" s="1498">
        <v>7.2967529456799997E-3</v>
      </c>
      <c r="Z641" s="1498">
        <v>10.8993537831434</v>
      </c>
      <c r="AA641" s="1498">
        <v>26.158449079544202</v>
      </c>
      <c r="AB641" s="1498">
        <v>1E-3</v>
      </c>
      <c r="AC641" s="1499" t="s">
        <v>1203</v>
      </c>
      <c r="AD641" s="1500" t="s">
        <v>635</v>
      </c>
      <c r="AE641" s="1501"/>
      <c r="AF641" s="1502" t="s">
        <v>635</v>
      </c>
      <c r="AG641" s="1501"/>
      <c r="AH641" s="1502">
        <v>1</v>
      </c>
      <c r="AI641" s="1503" t="s">
        <v>1909</v>
      </c>
      <c r="AJ641" s="1502" t="s">
        <v>635</v>
      </c>
      <c r="AK641" s="1501"/>
      <c r="AL641" s="1501"/>
      <c r="AM641" s="1501"/>
      <c r="AN641" s="1504">
        <v>1</v>
      </c>
      <c r="AO641" s="1504" t="s">
        <v>635</v>
      </c>
      <c r="AP641" s="1506" t="s">
        <v>635</v>
      </c>
    </row>
    <row r="642" spans="1:42" ht="30">
      <c r="A642" s="1507" t="s">
        <v>3084</v>
      </c>
      <c r="B642" s="1508" t="s">
        <v>3085</v>
      </c>
      <c r="C642" s="1509">
        <v>221.94</v>
      </c>
      <c r="D642" s="1510" t="s">
        <v>1199</v>
      </c>
      <c r="E642" s="1511" t="s">
        <v>635</v>
      </c>
      <c r="F642" s="1511" t="s">
        <v>635</v>
      </c>
      <c r="G642" s="1534"/>
      <c r="H642" s="1511" t="s">
        <v>635</v>
      </c>
      <c r="I642" s="1534"/>
      <c r="J642" s="1513" t="s">
        <v>635</v>
      </c>
      <c r="K642" s="1540"/>
      <c r="L642" s="1515" t="s">
        <v>635</v>
      </c>
      <c r="M642" s="1538"/>
      <c r="N642" s="1517">
        <v>5.1831830472940002E-2</v>
      </c>
      <c r="O642" s="1517">
        <v>6.0561401921000003E-6</v>
      </c>
      <c r="P642" s="1518" t="s">
        <v>1885</v>
      </c>
      <c r="Q642" s="1519" t="s">
        <v>635</v>
      </c>
      <c r="R642" s="1520"/>
      <c r="S642" s="1519" t="s">
        <v>635</v>
      </c>
      <c r="T642" s="1520"/>
      <c r="U642" s="1519" t="s">
        <v>635</v>
      </c>
      <c r="V642" s="1507"/>
      <c r="W642" s="1522" t="s">
        <v>635</v>
      </c>
      <c r="X642" s="1535"/>
      <c r="Y642" s="1524">
        <v>5.7298657005899999E-3</v>
      </c>
      <c r="Z642" s="1524">
        <v>1.8395548834590101</v>
      </c>
      <c r="AA642" s="1524">
        <v>4.4149317203016203</v>
      </c>
      <c r="AB642" s="1524">
        <v>1E-3</v>
      </c>
      <c r="AC642" s="1525" t="s">
        <v>1203</v>
      </c>
      <c r="AD642" s="1526" t="s">
        <v>635</v>
      </c>
      <c r="AE642" s="1527"/>
      <c r="AF642" s="1528" t="s">
        <v>635</v>
      </c>
      <c r="AG642" s="1527"/>
      <c r="AH642" s="1528">
        <v>1</v>
      </c>
      <c r="AI642" s="1529" t="s">
        <v>1909</v>
      </c>
      <c r="AJ642" s="1528" t="s">
        <v>635</v>
      </c>
      <c r="AK642" s="1527"/>
      <c r="AL642" s="1527"/>
      <c r="AM642" s="1527"/>
      <c r="AN642" s="1530">
        <v>1</v>
      </c>
      <c r="AO642" s="1530" t="s">
        <v>635</v>
      </c>
      <c r="AP642" s="1532" t="s">
        <v>635</v>
      </c>
    </row>
    <row r="643" spans="1:42" ht="30">
      <c r="A643" s="1481" t="s">
        <v>3086</v>
      </c>
      <c r="B643" s="1482" t="s">
        <v>3087</v>
      </c>
      <c r="C643" s="1483" t="s">
        <v>635</v>
      </c>
      <c r="D643" s="1543"/>
      <c r="E643" s="1485" t="s">
        <v>635</v>
      </c>
      <c r="F643" s="1485" t="s">
        <v>635</v>
      </c>
      <c r="G643" s="1536"/>
      <c r="H643" s="1485" t="s">
        <v>635</v>
      </c>
      <c r="I643" s="1536"/>
      <c r="J643" s="1487" t="s">
        <v>635</v>
      </c>
      <c r="K643" s="1542"/>
      <c r="L643" s="1489" t="s">
        <v>635</v>
      </c>
      <c r="M643" s="1533"/>
      <c r="N643" s="1491" t="s">
        <v>635</v>
      </c>
      <c r="O643" s="1491" t="s">
        <v>635</v>
      </c>
      <c r="P643" s="1544"/>
      <c r="Q643" s="1493" t="s">
        <v>635</v>
      </c>
      <c r="R643" s="1494"/>
      <c r="S643" s="1493" t="s">
        <v>635</v>
      </c>
      <c r="T643" s="1494"/>
      <c r="U643" s="1493" t="s">
        <v>635</v>
      </c>
      <c r="V643" s="1481"/>
      <c r="W643" s="1496" t="s">
        <v>635</v>
      </c>
      <c r="X643" s="1537"/>
      <c r="Y643" s="1498" t="s">
        <v>635</v>
      </c>
      <c r="Z643" s="1498" t="s">
        <v>635</v>
      </c>
      <c r="AA643" s="1498" t="s">
        <v>635</v>
      </c>
      <c r="AB643" s="1498">
        <v>1E-3</v>
      </c>
      <c r="AC643" s="1499" t="s">
        <v>1203</v>
      </c>
      <c r="AD643" s="1500" t="s">
        <v>635</v>
      </c>
      <c r="AE643" s="1501"/>
      <c r="AF643" s="1502" t="s">
        <v>635</v>
      </c>
      <c r="AG643" s="1501"/>
      <c r="AH643" s="1502">
        <v>1</v>
      </c>
      <c r="AI643" s="1503" t="s">
        <v>1909</v>
      </c>
      <c r="AJ643" s="1502" t="s">
        <v>635</v>
      </c>
      <c r="AK643" s="1501"/>
      <c r="AL643" s="1501"/>
      <c r="AM643" s="1501"/>
      <c r="AN643" s="1504">
        <v>1</v>
      </c>
      <c r="AO643" s="1504" t="s">
        <v>635</v>
      </c>
      <c r="AP643" s="1506" t="s">
        <v>635</v>
      </c>
    </row>
    <row r="644" spans="1:42" ht="30">
      <c r="A644" s="1481" t="s">
        <v>3088</v>
      </c>
      <c r="B644" s="1482" t="s">
        <v>3089</v>
      </c>
      <c r="C644" s="1483">
        <v>305.89</v>
      </c>
      <c r="D644" s="1484" t="s">
        <v>1199</v>
      </c>
      <c r="E644" s="1485" t="s">
        <v>635</v>
      </c>
      <c r="F644" s="1485" t="s">
        <v>635</v>
      </c>
      <c r="G644" s="1536"/>
      <c r="H644" s="1485" t="s">
        <v>635</v>
      </c>
      <c r="I644" s="1536"/>
      <c r="J644" s="1487" t="s">
        <v>635</v>
      </c>
      <c r="K644" s="1542"/>
      <c r="L644" s="1489" t="s">
        <v>635</v>
      </c>
      <c r="M644" s="1533"/>
      <c r="N644" s="1491">
        <v>4.1851408754070001E-2</v>
      </c>
      <c r="O644" s="1491">
        <v>4.8900067070600001E-6</v>
      </c>
      <c r="P644" s="1492" t="s">
        <v>1885</v>
      </c>
      <c r="Q644" s="1493" t="s">
        <v>635</v>
      </c>
      <c r="R644" s="1494"/>
      <c r="S644" s="1493" t="s">
        <v>635</v>
      </c>
      <c r="T644" s="1494"/>
      <c r="U644" s="1493" t="s">
        <v>635</v>
      </c>
      <c r="V644" s="1481"/>
      <c r="W644" s="1496" t="s">
        <v>635</v>
      </c>
      <c r="X644" s="1537"/>
      <c r="Y644" s="1498">
        <v>6.7268120235400002E-3</v>
      </c>
      <c r="Z644" s="1498">
        <v>5.4304116159240801</v>
      </c>
      <c r="AA644" s="1498">
        <v>13.032987878217799</v>
      </c>
      <c r="AB644" s="1498">
        <v>1E-3</v>
      </c>
      <c r="AC644" s="1499" t="s">
        <v>1203</v>
      </c>
      <c r="AD644" s="1500" t="s">
        <v>635</v>
      </c>
      <c r="AE644" s="1501"/>
      <c r="AF644" s="1502" t="s">
        <v>635</v>
      </c>
      <c r="AG644" s="1501"/>
      <c r="AH644" s="1502">
        <v>1</v>
      </c>
      <c r="AI644" s="1503" t="s">
        <v>1909</v>
      </c>
      <c r="AJ644" s="1502" t="s">
        <v>635</v>
      </c>
      <c r="AK644" s="1501"/>
      <c r="AL644" s="1501"/>
      <c r="AM644" s="1501"/>
      <c r="AN644" s="1504">
        <v>1</v>
      </c>
      <c r="AO644" s="1504" t="s">
        <v>635</v>
      </c>
      <c r="AP644" s="1506" t="s">
        <v>635</v>
      </c>
    </row>
    <row r="645" spans="1:42" ht="30">
      <c r="A645" s="1507" t="s">
        <v>3090</v>
      </c>
      <c r="B645" s="1508" t="s">
        <v>3091</v>
      </c>
      <c r="C645" s="1509">
        <v>367.86</v>
      </c>
      <c r="D645" s="1510" t="s">
        <v>1199</v>
      </c>
      <c r="E645" s="1511" t="s">
        <v>635</v>
      </c>
      <c r="F645" s="1511" t="s">
        <v>635</v>
      </c>
      <c r="G645" s="1534"/>
      <c r="H645" s="1511" t="s">
        <v>635</v>
      </c>
      <c r="I645" s="1534"/>
      <c r="J645" s="1513" t="s">
        <v>635</v>
      </c>
      <c r="K645" s="1540"/>
      <c r="L645" s="1515" t="s">
        <v>635</v>
      </c>
      <c r="M645" s="1538"/>
      <c r="N645" s="1517">
        <v>3.7008250631250003E-2</v>
      </c>
      <c r="O645" s="1517">
        <v>4.32412191586E-6</v>
      </c>
      <c r="P645" s="1518" t="s">
        <v>1885</v>
      </c>
      <c r="Q645" s="1519" t="s">
        <v>635</v>
      </c>
      <c r="R645" s="1520"/>
      <c r="S645" s="1519" t="s">
        <v>635</v>
      </c>
      <c r="T645" s="1520"/>
      <c r="U645" s="1519" t="s">
        <v>635</v>
      </c>
      <c r="V645" s="1507"/>
      <c r="W645" s="1522" t="s">
        <v>635</v>
      </c>
      <c r="X645" s="1535"/>
      <c r="Y645" s="1524">
        <v>7.3767987476499996E-3</v>
      </c>
      <c r="Z645" s="1524">
        <v>12.0743774962285</v>
      </c>
      <c r="AA645" s="1524">
        <v>28.978505990948399</v>
      </c>
      <c r="AB645" s="1524">
        <v>1E-3</v>
      </c>
      <c r="AC645" s="1525" t="s">
        <v>1203</v>
      </c>
      <c r="AD645" s="1526" t="s">
        <v>635</v>
      </c>
      <c r="AE645" s="1527"/>
      <c r="AF645" s="1528" t="s">
        <v>635</v>
      </c>
      <c r="AG645" s="1527"/>
      <c r="AH645" s="1528">
        <v>1</v>
      </c>
      <c r="AI645" s="1529" t="s">
        <v>1909</v>
      </c>
      <c r="AJ645" s="1528" t="s">
        <v>635</v>
      </c>
      <c r="AK645" s="1527"/>
      <c r="AL645" s="1527"/>
      <c r="AM645" s="1527"/>
      <c r="AN645" s="1530">
        <v>1</v>
      </c>
      <c r="AO645" s="1530" t="s">
        <v>635</v>
      </c>
      <c r="AP645" s="1532" t="s">
        <v>635</v>
      </c>
    </row>
    <row r="646" spans="1:42" ht="30">
      <c r="A646" s="1481" t="s">
        <v>3092</v>
      </c>
      <c r="B646" s="1482" t="s">
        <v>3093</v>
      </c>
      <c r="C646" s="1483">
        <v>330.35</v>
      </c>
      <c r="D646" s="1484" t="s">
        <v>1883</v>
      </c>
      <c r="E646" s="1485" t="s">
        <v>635</v>
      </c>
      <c r="F646" s="1485" t="s">
        <v>635</v>
      </c>
      <c r="G646" s="1536"/>
      <c r="H646" s="1485" t="s">
        <v>635</v>
      </c>
      <c r="I646" s="1536"/>
      <c r="J646" s="1487" t="s">
        <v>635</v>
      </c>
      <c r="K646" s="1542"/>
      <c r="L646" s="1489" t="s">
        <v>635</v>
      </c>
      <c r="M646" s="1533"/>
      <c r="N646" s="1491">
        <v>3.9759177680869999E-2</v>
      </c>
      <c r="O646" s="1491">
        <v>4.64554602377E-6</v>
      </c>
      <c r="P646" s="1492" t="s">
        <v>1885</v>
      </c>
      <c r="Q646" s="1493" t="s">
        <v>635</v>
      </c>
      <c r="R646" s="1494"/>
      <c r="S646" s="1493" t="s">
        <v>635</v>
      </c>
      <c r="T646" s="1494"/>
      <c r="U646" s="1493" t="s">
        <v>635</v>
      </c>
      <c r="V646" s="1481"/>
      <c r="W646" s="1496" t="s">
        <v>635</v>
      </c>
      <c r="X646" s="1537"/>
      <c r="Y646" s="1498">
        <v>6.9905896171399999E-3</v>
      </c>
      <c r="Z646" s="1498">
        <v>7.4440408827716498</v>
      </c>
      <c r="AA646" s="1498">
        <v>17.865698118651999</v>
      </c>
      <c r="AB646" s="1498">
        <v>1E-3</v>
      </c>
      <c r="AC646" s="1499" t="s">
        <v>1203</v>
      </c>
      <c r="AD646" s="1500" t="s">
        <v>635</v>
      </c>
      <c r="AE646" s="1501"/>
      <c r="AF646" s="1502" t="s">
        <v>635</v>
      </c>
      <c r="AG646" s="1501"/>
      <c r="AH646" s="1502">
        <v>1</v>
      </c>
      <c r="AI646" s="1503" t="s">
        <v>1909</v>
      </c>
      <c r="AJ646" s="1502" t="s">
        <v>635</v>
      </c>
      <c r="AK646" s="1501"/>
      <c r="AL646" s="1501"/>
      <c r="AM646" s="1501"/>
      <c r="AN646" s="1504">
        <v>1</v>
      </c>
      <c r="AO646" s="1504" t="s">
        <v>635</v>
      </c>
      <c r="AP646" s="1506" t="s">
        <v>635</v>
      </c>
    </row>
    <row r="647" spans="1:42" ht="30">
      <c r="A647" s="1481" t="s">
        <v>3094</v>
      </c>
      <c r="B647" s="1482" t="s">
        <v>3095</v>
      </c>
      <c r="C647" s="1483">
        <v>265.89999999999998</v>
      </c>
      <c r="D647" s="1484" t="s">
        <v>1883</v>
      </c>
      <c r="E647" s="1485" t="s">
        <v>635</v>
      </c>
      <c r="F647" s="1485" t="s">
        <v>635</v>
      </c>
      <c r="G647" s="1536"/>
      <c r="H647" s="1485" t="s">
        <v>635</v>
      </c>
      <c r="I647" s="1536"/>
      <c r="J647" s="1487">
        <v>79.5</v>
      </c>
      <c r="K647" s="1488" t="s">
        <v>1883</v>
      </c>
      <c r="L647" s="1489" t="s">
        <v>635</v>
      </c>
      <c r="M647" s="1533"/>
      <c r="N647" s="1491">
        <v>4.5948856664280002E-2</v>
      </c>
      <c r="O647" s="1491">
        <v>5.3687611470899997E-6</v>
      </c>
      <c r="P647" s="1492" t="s">
        <v>1885</v>
      </c>
      <c r="Q647" s="1493" t="s">
        <v>635</v>
      </c>
      <c r="R647" s="1494"/>
      <c r="S647" s="1493" t="s">
        <v>635</v>
      </c>
      <c r="T647" s="1494"/>
      <c r="U647" s="1493" t="s">
        <v>635</v>
      </c>
      <c r="V647" s="1481"/>
      <c r="W647" s="1496">
        <v>81400</v>
      </c>
      <c r="X647" s="1497" t="s">
        <v>1883</v>
      </c>
      <c r="Y647" s="1498">
        <v>6.2717078636199998E-3</v>
      </c>
      <c r="Z647" s="1498">
        <v>3.2425654402652899</v>
      </c>
      <c r="AA647" s="1498">
        <v>7.7821570566367004</v>
      </c>
      <c r="AB647" s="1498">
        <v>1E-3</v>
      </c>
      <c r="AC647" s="1499" t="s">
        <v>1203</v>
      </c>
      <c r="AD647" s="1500" t="s">
        <v>635</v>
      </c>
      <c r="AE647" s="1501"/>
      <c r="AF647" s="1502" t="s">
        <v>635</v>
      </c>
      <c r="AG647" s="1501"/>
      <c r="AH647" s="1502">
        <v>1</v>
      </c>
      <c r="AI647" s="1503" t="s">
        <v>1909</v>
      </c>
      <c r="AJ647" s="1502" t="s">
        <v>635</v>
      </c>
      <c r="AK647" s="1501"/>
      <c r="AL647" s="1501"/>
      <c r="AM647" s="1501"/>
      <c r="AN647" s="1504">
        <v>1</v>
      </c>
      <c r="AO647" s="1504" t="s">
        <v>635</v>
      </c>
      <c r="AP647" s="1506" t="s">
        <v>635</v>
      </c>
    </row>
    <row r="648" spans="1:42" ht="60">
      <c r="A648" s="1507" t="s">
        <v>3096</v>
      </c>
      <c r="B648" s="1508" t="s">
        <v>3097</v>
      </c>
      <c r="C648" s="1509">
        <v>877.80399999999997</v>
      </c>
      <c r="D648" s="1510" t="s">
        <v>2940</v>
      </c>
      <c r="E648" s="1511" t="s">
        <v>635</v>
      </c>
      <c r="F648" s="1511" t="s">
        <v>635</v>
      </c>
      <c r="G648" s="1534"/>
      <c r="H648" s="1511" t="s">
        <v>635</v>
      </c>
      <c r="I648" s="1534"/>
      <c r="J648" s="1513" t="s">
        <v>635</v>
      </c>
      <c r="K648" s="1540"/>
      <c r="L648" s="1515" t="s">
        <v>635</v>
      </c>
      <c r="M648" s="1538"/>
      <c r="N648" s="1517">
        <v>2.0724714855109998E-2</v>
      </c>
      <c r="O648" s="1517">
        <v>2.4215193146499999E-6</v>
      </c>
      <c r="P648" s="1518" t="s">
        <v>1885</v>
      </c>
      <c r="Q648" s="1519" t="s">
        <v>635</v>
      </c>
      <c r="R648" s="1520"/>
      <c r="S648" s="1519" t="s">
        <v>635</v>
      </c>
      <c r="T648" s="1520"/>
      <c r="U648" s="1519" t="s">
        <v>635</v>
      </c>
      <c r="V648" s="1507"/>
      <c r="W648" s="1522" t="s">
        <v>635</v>
      </c>
      <c r="X648" s="1535"/>
      <c r="Y648" s="1524">
        <v>1.139529125217E-2</v>
      </c>
      <c r="Z648" s="1524">
        <v>8660.6631947847</v>
      </c>
      <c r="AA648" s="1524">
        <v>20785.591667483299</v>
      </c>
      <c r="AB648" s="1524">
        <v>1E-3</v>
      </c>
      <c r="AC648" s="1525" t="s">
        <v>1203</v>
      </c>
      <c r="AD648" s="1526" t="s">
        <v>635</v>
      </c>
      <c r="AE648" s="1527"/>
      <c r="AF648" s="1528" t="s">
        <v>635</v>
      </c>
      <c r="AG648" s="1527"/>
      <c r="AH648" s="1528">
        <v>3.25</v>
      </c>
      <c r="AI648" s="1529" t="s">
        <v>1893</v>
      </c>
      <c r="AJ648" s="1528" t="s">
        <v>635</v>
      </c>
      <c r="AK648" s="1527"/>
      <c r="AL648" s="1527"/>
      <c r="AM648" s="1527"/>
      <c r="AN648" s="1530">
        <v>1</v>
      </c>
      <c r="AO648" s="1530" t="s">
        <v>635</v>
      </c>
      <c r="AP648" s="1532" t="s">
        <v>635</v>
      </c>
    </row>
    <row r="649" spans="1:42" ht="45">
      <c r="A649" s="1481" t="s">
        <v>3098</v>
      </c>
      <c r="B649" s="1482" t="s">
        <v>3099</v>
      </c>
      <c r="C649" s="1483">
        <v>281.90899999999999</v>
      </c>
      <c r="D649" s="1484" t="s">
        <v>2940</v>
      </c>
      <c r="E649" s="1485" t="s">
        <v>635</v>
      </c>
      <c r="F649" s="1485" t="s">
        <v>635</v>
      </c>
      <c r="G649" s="1536"/>
      <c r="H649" s="1485" t="s">
        <v>635</v>
      </c>
      <c r="I649" s="1536"/>
      <c r="J649" s="1487" t="s">
        <v>635</v>
      </c>
      <c r="K649" s="1542"/>
      <c r="L649" s="1489" t="s">
        <v>635</v>
      </c>
      <c r="M649" s="1533"/>
      <c r="N649" s="1491">
        <v>4.4192405332829997E-2</v>
      </c>
      <c r="O649" s="1491">
        <v>5.1635336757300002E-6</v>
      </c>
      <c r="P649" s="1492" t="s">
        <v>1885</v>
      </c>
      <c r="Q649" s="1493" t="s">
        <v>635</v>
      </c>
      <c r="R649" s="1494"/>
      <c r="S649" s="1493" t="s">
        <v>635</v>
      </c>
      <c r="T649" s="1494"/>
      <c r="U649" s="1493" t="s">
        <v>635</v>
      </c>
      <c r="V649" s="1481"/>
      <c r="W649" s="1496" t="s">
        <v>635</v>
      </c>
      <c r="X649" s="1537"/>
      <c r="Y649" s="1498">
        <v>6.4577484306000002E-3</v>
      </c>
      <c r="Z649" s="1498">
        <v>3.9860170277314801</v>
      </c>
      <c r="AA649" s="1498">
        <v>9.5664408665555403</v>
      </c>
      <c r="AB649" s="1498">
        <v>1E-3</v>
      </c>
      <c r="AC649" s="1499" t="s">
        <v>1203</v>
      </c>
      <c r="AD649" s="1500" t="s">
        <v>635</v>
      </c>
      <c r="AE649" s="1501"/>
      <c r="AF649" s="1502" t="s">
        <v>635</v>
      </c>
      <c r="AG649" s="1501"/>
      <c r="AH649" s="1502">
        <v>3.13</v>
      </c>
      <c r="AI649" s="1503" t="s">
        <v>1893</v>
      </c>
      <c r="AJ649" s="1502" t="s">
        <v>635</v>
      </c>
      <c r="AK649" s="1501"/>
      <c r="AL649" s="1501"/>
      <c r="AM649" s="1501"/>
      <c r="AN649" s="1504">
        <v>1</v>
      </c>
      <c r="AO649" s="1505">
        <v>0.1</v>
      </c>
      <c r="AP649" s="1506" t="s">
        <v>635</v>
      </c>
    </row>
    <row r="650" spans="1:42" ht="30">
      <c r="A650" s="1481" t="s">
        <v>3100</v>
      </c>
      <c r="B650" s="1482" t="s">
        <v>3101</v>
      </c>
      <c r="C650" s="1483">
        <v>212.27</v>
      </c>
      <c r="D650" s="1484" t="s">
        <v>1199</v>
      </c>
      <c r="E650" s="1485" t="s">
        <v>635</v>
      </c>
      <c r="F650" s="1485" t="s">
        <v>635</v>
      </c>
      <c r="G650" s="1536"/>
      <c r="H650" s="1485" t="s">
        <v>635</v>
      </c>
      <c r="I650" s="1536"/>
      <c r="J650" s="1487" t="s">
        <v>635</v>
      </c>
      <c r="K650" s="1542"/>
      <c r="L650" s="1489" t="s">
        <v>635</v>
      </c>
      <c r="M650" s="1533"/>
      <c r="N650" s="1491">
        <v>5.3394253740330001E-2</v>
      </c>
      <c r="O650" s="1491">
        <v>6.2386970159800001E-6</v>
      </c>
      <c r="P650" s="1492" t="s">
        <v>1885</v>
      </c>
      <c r="Q650" s="1493" t="s">
        <v>635</v>
      </c>
      <c r="R650" s="1494"/>
      <c r="S650" s="1493" t="s">
        <v>635</v>
      </c>
      <c r="T650" s="1494"/>
      <c r="U650" s="1493" t="s">
        <v>635</v>
      </c>
      <c r="V650" s="1481"/>
      <c r="W650" s="1496" t="s">
        <v>635</v>
      </c>
      <c r="X650" s="1537"/>
      <c r="Y650" s="1498">
        <v>5.6036494870700003E-3</v>
      </c>
      <c r="Z650" s="1498">
        <v>1.62390548838103</v>
      </c>
      <c r="AA650" s="1498">
        <v>3.89737317211446</v>
      </c>
      <c r="AB650" s="1498">
        <v>1E-3</v>
      </c>
      <c r="AC650" s="1499" t="s">
        <v>1203</v>
      </c>
      <c r="AD650" s="1500" t="s">
        <v>635</v>
      </c>
      <c r="AE650" s="1501"/>
      <c r="AF650" s="1502" t="s">
        <v>635</v>
      </c>
      <c r="AG650" s="1501"/>
      <c r="AH650" s="1502">
        <v>1</v>
      </c>
      <c r="AI650" s="1503" t="s">
        <v>1909</v>
      </c>
      <c r="AJ650" s="1502" t="s">
        <v>635</v>
      </c>
      <c r="AK650" s="1501"/>
      <c r="AL650" s="1501"/>
      <c r="AM650" s="1501"/>
      <c r="AN650" s="1504">
        <v>1</v>
      </c>
      <c r="AO650" s="1504" t="s">
        <v>635</v>
      </c>
      <c r="AP650" s="1506" t="s">
        <v>635</v>
      </c>
    </row>
    <row r="651" spans="1:42" ht="30">
      <c r="A651" s="1507" t="s">
        <v>3102</v>
      </c>
      <c r="B651" s="1508" t="s">
        <v>3103</v>
      </c>
      <c r="C651" s="1509">
        <v>163.94</v>
      </c>
      <c r="D651" s="1510" t="s">
        <v>1883</v>
      </c>
      <c r="E651" s="1511" t="s">
        <v>635</v>
      </c>
      <c r="F651" s="1511" t="s">
        <v>635</v>
      </c>
      <c r="G651" s="1534"/>
      <c r="H651" s="1511" t="s">
        <v>635</v>
      </c>
      <c r="I651" s="1534"/>
      <c r="J651" s="1513">
        <v>75</v>
      </c>
      <c r="K651" s="1514" t="s">
        <v>1883</v>
      </c>
      <c r="L651" s="1515" t="s">
        <v>635</v>
      </c>
      <c r="M651" s="1538"/>
      <c r="N651" s="1517">
        <v>6.3430331403089998E-2</v>
      </c>
      <c r="O651" s="1517">
        <v>7.4113334586800003E-6</v>
      </c>
      <c r="P651" s="1518" t="s">
        <v>1885</v>
      </c>
      <c r="Q651" s="1519" t="s">
        <v>635</v>
      </c>
      <c r="R651" s="1520"/>
      <c r="S651" s="1519" t="s">
        <v>635</v>
      </c>
      <c r="T651" s="1520"/>
      <c r="U651" s="1519" t="s">
        <v>635</v>
      </c>
      <c r="V651" s="1507"/>
      <c r="W651" s="1522" t="s">
        <v>635</v>
      </c>
      <c r="X651" s="1535"/>
      <c r="Y651" s="1524">
        <v>4.9245790977400002E-3</v>
      </c>
      <c r="Z651" s="1524">
        <v>0.87078862969847004</v>
      </c>
      <c r="AA651" s="1524">
        <v>2.0898927112763301</v>
      </c>
      <c r="AB651" s="1524">
        <v>1E-3</v>
      </c>
      <c r="AC651" s="1525" t="s">
        <v>1203</v>
      </c>
      <c r="AD651" s="1526" t="s">
        <v>635</v>
      </c>
      <c r="AE651" s="1527"/>
      <c r="AF651" s="1528" t="s">
        <v>635</v>
      </c>
      <c r="AG651" s="1527"/>
      <c r="AH651" s="1528">
        <v>1</v>
      </c>
      <c r="AI651" s="1529" t="s">
        <v>1909</v>
      </c>
      <c r="AJ651" s="1528" t="s">
        <v>635</v>
      </c>
      <c r="AK651" s="1527"/>
      <c r="AL651" s="1527"/>
      <c r="AM651" s="1527"/>
      <c r="AN651" s="1530">
        <v>1</v>
      </c>
      <c r="AO651" s="1530" t="s">
        <v>635</v>
      </c>
      <c r="AP651" s="1532" t="s">
        <v>635</v>
      </c>
    </row>
    <row r="652" spans="1:42" ht="30">
      <c r="A652" s="1481" t="s">
        <v>3104</v>
      </c>
      <c r="B652" s="1482" t="s">
        <v>3105</v>
      </c>
      <c r="C652" s="1483">
        <v>33.997999999999998</v>
      </c>
      <c r="D652" s="1484" t="s">
        <v>1883</v>
      </c>
      <c r="E652" s="1485">
        <v>0.998</v>
      </c>
      <c r="F652" s="1485">
        <v>2.4400000000000002E-2</v>
      </c>
      <c r="G652" s="1486" t="s">
        <v>1883</v>
      </c>
      <c r="H652" s="1485">
        <v>29300</v>
      </c>
      <c r="I652" s="1486" t="s">
        <v>1883</v>
      </c>
      <c r="J652" s="1487">
        <v>-133</v>
      </c>
      <c r="K652" s="1488" t="s">
        <v>1883</v>
      </c>
      <c r="L652" s="1489">
        <v>1.39</v>
      </c>
      <c r="M652" s="1490" t="s">
        <v>1884</v>
      </c>
      <c r="N652" s="1491">
        <v>0.1882086377504</v>
      </c>
      <c r="O652" s="1491">
        <v>2.229505921E-5</v>
      </c>
      <c r="P652" s="1492" t="s">
        <v>1885</v>
      </c>
      <c r="Q652" s="1493" t="s">
        <v>635</v>
      </c>
      <c r="R652" s="1494"/>
      <c r="S652" s="1493" t="s">
        <v>635</v>
      </c>
      <c r="T652" s="1494"/>
      <c r="U652" s="1493">
        <v>-0.27</v>
      </c>
      <c r="V652" s="1495" t="s">
        <v>1883</v>
      </c>
      <c r="W652" s="1496">
        <v>260000</v>
      </c>
      <c r="X652" s="1497" t="s">
        <v>1949</v>
      </c>
      <c r="Y652" s="1498">
        <v>2.2426078437500002E-3</v>
      </c>
      <c r="Z652" s="1498">
        <v>0.16301874658349</v>
      </c>
      <c r="AA652" s="1498">
        <v>0.39124499180036998</v>
      </c>
      <c r="AB652" s="1498">
        <v>1E-3</v>
      </c>
      <c r="AC652" s="1499" t="s">
        <v>1203</v>
      </c>
      <c r="AD652" s="1500" t="s">
        <v>635</v>
      </c>
      <c r="AE652" s="1501"/>
      <c r="AF652" s="1502" t="s">
        <v>635</v>
      </c>
      <c r="AG652" s="1501"/>
      <c r="AH652" s="1502">
        <v>2.9999999999999997E-4</v>
      </c>
      <c r="AI652" s="1503" t="s">
        <v>1119</v>
      </c>
      <c r="AJ652" s="1502">
        <v>2.9999999999999997E-4</v>
      </c>
      <c r="AK652" s="1503" t="s">
        <v>1119</v>
      </c>
      <c r="AL652" s="1503" t="s">
        <v>1127</v>
      </c>
      <c r="AM652" s="1501"/>
      <c r="AN652" s="1504">
        <v>1</v>
      </c>
      <c r="AO652" s="1504" t="s">
        <v>635</v>
      </c>
      <c r="AP652" s="1506" t="s">
        <v>635</v>
      </c>
    </row>
    <row r="653" spans="1:42" ht="75">
      <c r="A653" s="1481" t="s">
        <v>3106</v>
      </c>
      <c r="B653" s="1482" t="s">
        <v>3107</v>
      </c>
      <c r="C653" s="1483">
        <v>30.974</v>
      </c>
      <c r="D653" s="1484" t="s">
        <v>1884</v>
      </c>
      <c r="E653" s="1485">
        <v>8.5999999999999993E-2</v>
      </c>
      <c r="F653" s="1485">
        <v>2.1099999999999999E-3</v>
      </c>
      <c r="G653" s="1553" t="s">
        <v>3108</v>
      </c>
      <c r="H653" s="1485">
        <v>2.5000000000000001E-2</v>
      </c>
      <c r="I653" s="1553" t="s">
        <v>3108</v>
      </c>
      <c r="J653" s="1487">
        <v>431</v>
      </c>
      <c r="K653" s="1488" t="s">
        <v>1884</v>
      </c>
      <c r="L653" s="1489">
        <v>2.16</v>
      </c>
      <c r="M653" s="1490" t="s">
        <v>1884</v>
      </c>
      <c r="N653" s="1491">
        <v>0.23225808735812001</v>
      </c>
      <c r="O653" s="1491">
        <v>3.0714655310000001E-5</v>
      </c>
      <c r="P653" s="1492" t="s">
        <v>1885</v>
      </c>
      <c r="Q653" s="1493">
        <v>3.5</v>
      </c>
      <c r="R653" s="1493" t="s">
        <v>1930</v>
      </c>
      <c r="S653" s="1493" t="s">
        <v>635</v>
      </c>
      <c r="T653" s="1494"/>
      <c r="U653" s="1493" t="s">
        <v>635</v>
      </c>
      <c r="V653" s="1481"/>
      <c r="W653" s="1496" t="s">
        <v>635</v>
      </c>
      <c r="X653" s="1537"/>
      <c r="Y653" s="1498">
        <v>2.1405496169700001E-3</v>
      </c>
      <c r="Z653" s="1498">
        <v>0.15678450876742001</v>
      </c>
      <c r="AA653" s="1498">
        <v>0.37628282104180999</v>
      </c>
      <c r="AB653" s="1498">
        <v>1E-3</v>
      </c>
      <c r="AC653" s="1499" t="s">
        <v>1203</v>
      </c>
      <c r="AD653" s="1500" t="s">
        <v>635</v>
      </c>
      <c r="AE653" s="1501"/>
      <c r="AF653" s="1502" t="s">
        <v>635</v>
      </c>
      <c r="AG653" s="1501"/>
      <c r="AH653" s="1502">
        <v>2.0000000000000002E-5</v>
      </c>
      <c r="AI653" s="1503" t="s">
        <v>1119</v>
      </c>
      <c r="AJ653" s="1502" t="s">
        <v>635</v>
      </c>
      <c r="AK653" s="1501"/>
      <c r="AL653" s="1503" t="s">
        <v>1127</v>
      </c>
      <c r="AM653" s="1501"/>
      <c r="AN653" s="1504">
        <v>1</v>
      </c>
      <c r="AO653" s="1504" t="s">
        <v>635</v>
      </c>
      <c r="AP653" s="1506" t="s">
        <v>635</v>
      </c>
    </row>
    <row r="654" spans="1:42" ht="45">
      <c r="A654" s="1507" t="s">
        <v>3109</v>
      </c>
      <c r="B654" s="1508" t="s">
        <v>3110</v>
      </c>
      <c r="C654" s="1509">
        <v>123.895</v>
      </c>
      <c r="D654" s="1510" t="s">
        <v>1884</v>
      </c>
      <c r="E654" s="1511">
        <v>8.5999999999999993E-2</v>
      </c>
      <c r="F654" s="1511">
        <v>2.1099999999999999E-3</v>
      </c>
      <c r="G654" s="1512" t="s">
        <v>3111</v>
      </c>
      <c r="H654" s="1511">
        <v>2.5000000000000001E-2</v>
      </c>
      <c r="I654" s="1512" t="s">
        <v>3111</v>
      </c>
      <c r="J654" s="1513">
        <v>44.15</v>
      </c>
      <c r="K654" s="1514" t="s">
        <v>1884</v>
      </c>
      <c r="L654" s="1515">
        <v>1.823</v>
      </c>
      <c r="M654" s="1516" t="s">
        <v>1884</v>
      </c>
      <c r="N654" s="1517">
        <v>8.0673893892349996E-2</v>
      </c>
      <c r="O654" s="1517">
        <v>1.2075677469999999E-5</v>
      </c>
      <c r="P654" s="1518" t="s">
        <v>1885</v>
      </c>
      <c r="Q654" s="1519">
        <v>3.5</v>
      </c>
      <c r="R654" s="1519" t="s">
        <v>1930</v>
      </c>
      <c r="S654" s="1519">
        <v>1122</v>
      </c>
      <c r="T654" s="1552" t="s">
        <v>3111</v>
      </c>
      <c r="U654" s="1519">
        <v>3.08</v>
      </c>
      <c r="V654" s="1521" t="s">
        <v>3111</v>
      </c>
      <c r="W654" s="1522">
        <v>3</v>
      </c>
      <c r="X654" s="1523" t="s">
        <v>3111</v>
      </c>
      <c r="Y654" s="1524">
        <v>4.2810819569199998E-3</v>
      </c>
      <c r="Z654" s="1524">
        <v>0.51958995877465997</v>
      </c>
      <c r="AA654" s="1524">
        <v>1.2470159010591699</v>
      </c>
      <c r="AB654" s="1524">
        <v>1E-3</v>
      </c>
      <c r="AC654" s="1525" t="s">
        <v>1203</v>
      </c>
      <c r="AD654" s="1526" t="s">
        <v>635</v>
      </c>
      <c r="AE654" s="1527"/>
      <c r="AF654" s="1528" t="s">
        <v>635</v>
      </c>
      <c r="AG654" s="1527"/>
      <c r="AH654" s="1528">
        <v>2.0000000000000002E-5</v>
      </c>
      <c r="AI654" s="1529" t="s">
        <v>2111</v>
      </c>
      <c r="AJ654" s="1528" t="s">
        <v>635</v>
      </c>
      <c r="AK654" s="1527"/>
      <c r="AL654" s="1529" t="s">
        <v>1127</v>
      </c>
      <c r="AM654" s="1527"/>
      <c r="AN654" s="1530">
        <v>1</v>
      </c>
      <c r="AO654" s="1530" t="s">
        <v>635</v>
      </c>
      <c r="AP654" s="1532" t="s">
        <v>635</v>
      </c>
    </row>
    <row r="655" spans="1:42" ht="15">
      <c r="A655" s="1481"/>
      <c r="B655" s="1482" t="s">
        <v>3112</v>
      </c>
      <c r="C655" s="1483" t="s">
        <v>635</v>
      </c>
      <c r="D655" s="1543"/>
      <c r="E655" s="1485" t="s">
        <v>635</v>
      </c>
      <c r="F655" s="1485" t="s">
        <v>635</v>
      </c>
      <c r="G655" s="1536"/>
      <c r="H655" s="1485" t="s">
        <v>635</v>
      </c>
      <c r="I655" s="1536"/>
      <c r="J655" s="1487" t="s">
        <v>635</v>
      </c>
      <c r="K655" s="1542"/>
      <c r="L655" s="1489" t="s">
        <v>635</v>
      </c>
      <c r="M655" s="1533"/>
      <c r="N655" s="1491" t="s">
        <v>635</v>
      </c>
      <c r="O655" s="1491" t="s">
        <v>635</v>
      </c>
      <c r="P655" s="1544"/>
      <c r="Q655" s="1493" t="s">
        <v>635</v>
      </c>
      <c r="R655" s="1494"/>
      <c r="S655" s="1493" t="s">
        <v>635</v>
      </c>
      <c r="T655" s="1494"/>
      <c r="U655" s="1493" t="s">
        <v>635</v>
      </c>
      <c r="V655" s="1481"/>
      <c r="W655" s="1496" t="s">
        <v>635</v>
      </c>
      <c r="X655" s="1537"/>
      <c r="Y655" s="1498" t="s">
        <v>635</v>
      </c>
      <c r="Z655" s="1498" t="s">
        <v>635</v>
      </c>
      <c r="AA655" s="1498" t="s">
        <v>635</v>
      </c>
      <c r="AB655" s="1498" t="s">
        <v>635</v>
      </c>
      <c r="AC655" s="1547"/>
      <c r="AD655" s="1500" t="s">
        <v>635</v>
      </c>
      <c r="AE655" s="1501"/>
      <c r="AF655" s="1502" t="s">
        <v>635</v>
      </c>
      <c r="AG655" s="1501"/>
      <c r="AH655" s="1502" t="s">
        <v>635</v>
      </c>
      <c r="AI655" s="1501"/>
      <c r="AJ655" s="1502" t="s">
        <v>635</v>
      </c>
      <c r="AK655" s="1501"/>
      <c r="AL655" s="1501"/>
      <c r="AM655" s="1501"/>
      <c r="AN655" s="1504" t="s">
        <v>635</v>
      </c>
      <c r="AO655" s="1504" t="s">
        <v>635</v>
      </c>
      <c r="AP655" s="1506" t="s">
        <v>635</v>
      </c>
    </row>
    <row r="656" spans="1:42" ht="30">
      <c r="A656" s="1481" t="s">
        <v>104</v>
      </c>
      <c r="B656" s="1482" t="s">
        <v>3113</v>
      </c>
      <c r="C656" s="1483">
        <v>390.57</v>
      </c>
      <c r="D656" s="1484" t="s">
        <v>1883</v>
      </c>
      <c r="E656" s="1485">
        <v>1.103843009E-5</v>
      </c>
      <c r="F656" s="1485">
        <v>2.7000000000000001E-7</v>
      </c>
      <c r="G656" s="1486" t="s">
        <v>1199</v>
      </c>
      <c r="H656" s="1485">
        <v>1.42E-7</v>
      </c>
      <c r="I656" s="1486" t="s">
        <v>1883</v>
      </c>
      <c r="J656" s="1487">
        <v>-55</v>
      </c>
      <c r="K656" s="1488" t="s">
        <v>1883</v>
      </c>
      <c r="L656" s="1489">
        <v>0.98099999999999998</v>
      </c>
      <c r="M656" s="1490" t="s">
        <v>1884</v>
      </c>
      <c r="N656" s="1491">
        <v>1.7340283185039999E-2</v>
      </c>
      <c r="O656" s="1491">
        <v>4.18074661646E-6</v>
      </c>
      <c r="P656" s="1492" t="s">
        <v>1885</v>
      </c>
      <c r="Q656" s="1493" t="s">
        <v>635</v>
      </c>
      <c r="R656" s="1494"/>
      <c r="S656" s="1493">
        <v>119600</v>
      </c>
      <c r="T656" s="1493" t="s">
        <v>1199</v>
      </c>
      <c r="U656" s="1493">
        <v>7.6</v>
      </c>
      <c r="V656" s="1495" t="s">
        <v>1883</v>
      </c>
      <c r="W656" s="1496">
        <v>0.27</v>
      </c>
      <c r="X656" s="1497" t="s">
        <v>1883</v>
      </c>
      <c r="Y656" s="1498">
        <v>8.5892360135147108</v>
      </c>
      <c r="Z656" s="1498">
        <v>16.182318683408699</v>
      </c>
      <c r="AA656" s="1498">
        <v>72.882394847308603</v>
      </c>
      <c r="AB656" s="1498">
        <v>1.1299999999999999</v>
      </c>
      <c r="AC656" s="1499" t="s">
        <v>1199</v>
      </c>
      <c r="AD656" s="1500">
        <v>1.4E-2</v>
      </c>
      <c r="AE656" s="1503" t="s">
        <v>1119</v>
      </c>
      <c r="AF656" s="1502">
        <v>2.3999999999999999E-6</v>
      </c>
      <c r="AG656" s="1503" t="s">
        <v>1900</v>
      </c>
      <c r="AH656" s="1502">
        <v>0.02</v>
      </c>
      <c r="AI656" s="1503" t="s">
        <v>1119</v>
      </c>
      <c r="AJ656" s="1502" t="s">
        <v>635</v>
      </c>
      <c r="AK656" s="1501"/>
      <c r="AL656" s="1501"/>
      <c r="AM656" s="1501"/>
      <c r="AN656" s="1504">
        <v>1</v>
      </c>
      <c r="AO656" s="1505">
        <v>0.1</v>
      </c>
      <c r="AP656" s="1506" t="s">
        <v>635</v>
      </c>
    </row>
    <row r="657" spans="1:42" ht="30">
      <c r="A657" s="1507" t="s">
        <v>3114</v>
      </c>
      <c r="B657" s="1508" t="s">
        <v>3115</v>
      </c>
      <c r="C657" s="1509">
        <v>312.37</v>
      </c>
      <c r="D657" s="1510" t="s">
        <v>1883</v>
      </c>
      <c r="E657" s="1511">
        <v>5.1512673750000002E-5</v>
      </c>
      <c r="F657" s="1511">
        <v>1.26E-6</v>
      </c>
      <c r="G657" s="1512" t="s">
        <v>1199</v>
      </c>
      <c r="H657" s="1511">
        <v>8.2500000000000006E-6</v>
      </c>
      <c r="I657" s="1512" t="s">
        <v>1883</v>
      </c>
      <c r="J657" s="1513">
        <v>61.05</v>
      </c>
      <c r="K657" s="1514" t="s">
        <v>1199</v>
      </c>
      <c r="L657" s="1515">
        <v>1.119</v>
      </c>
      <c r="M657" s="1516" t="s">
        <v>1884</v>
      </c>
      <c r="N657" s="1517">
        <v>2.0831911275269999E-2</v>
      </c>
      <c r="O657" s="1517">
        <v>5.1733067781500001E-6</v>
      </c>
      <c r="P657" s="1518" t="s">
        <v>1885</v>
      </c>
      <c r="Q657" s="1519" t="s">
        <v>635</v>
      </c>
      <c r="R657" s="1520"/>
      <c r="S657" s="1519">
        <v>7155</v>
      </c>
      <c r="T657" s="1519" t="s">
        <v>1199</v>
      </c>
      <c r="U657" s="1519">
        <v>4.7300000000000004</v>
      </c>
      <c r="V657" s="1521" t="s">
        <v>1883</v>
      </c>
      <c r="W657" s="1522">
        <v>2.69</v>
      </c>
      <c r="X657" s="1523" t="s">
        <v>1883</v>
      </c>
      <c r="Y657" s="1524">
        <v>0.26171103822649</v>
      </c>
      <c r="Z657" s="1524">
        <v>5.9036520029133799</v>
      </c>
      <c r="AA657" s="1524">
        <v>14.168764806992099</v>
      </c>
      <c r="AB657" s="1524">
        <v>3.85E-2</v>
      </c>
      <c r="AC657" s="1525" t="s">
        <v>1199</v>
      </c>
      <c r="AD657" s="1526">
        <v>1.9E-3</v>
      </c>
      <c r="AE657" s="1529" t="s">
        <v>1909</v>
      </c>
      <c r="AF657" s="1528" t="s">
        <v>635</v>
      </c>
      <c r="AG657" s="1527"/>
      <c r="AH657" s="1528">
        <v>0.2</v>
      </c>
      <c r="AI657" s="1529" t="s">
        <v>1119</v>
      </c>
      <c r="AJ657" s="1528" t="s">
        <v>635</v>
      </c>
      <c r="AK657" s="1527"/>
      <c r="AL657" s="1527"/>
      <c r="AM657" s="1527"/>
      <c r="AN657" s="1530">
        <v>1</v>
      </c>
      <c r="AO657" s="1531">
        <v>0.1</v>
      </c>
      <c r="AP657" s="1532" t="s">
        <v>635</v>
      </c>
    </row>
    <row r="658" spans="1:42" ht="30">
      <c r="A658" s="1481" t="s">
        <v>3116</v>
      </c>
      <c r="B658" s="1482" t="s">
        <v>3117</v>
      </c>
      <c r="C658" s="1483">
        <v>336.39</v>
      </c>
      <c r="D658" s="1484" t="s">
        <v>1883</v>
      </c>
      <c r="E658" s="1485">
        <v>8.4219133278800001E-7</v>
      </c>
      <c r="F658" s="1485">
        <v>2.0599999999999999E-8</v>
      </c>
      <c r="G658" s="1486" t="s">
        <v>1883</v>
      </c>
      <c r="H658" s="1485">
        <v>7.0700000000000001E-6</v>
      </c>
      <c r="I658" s="1486" t="s">
        <v>1883</v>
      </c>
      <c r="J658" s="1487">
        <v>-35</v>
      </c>
      <c r="K658" s="1488" t="s">
        <v>1883</v>
      </c>
      <c r="L658" s="1489">
        <v>1.1000000000000001</v>
      </c>
      <c r="M658" s="1490" t="s">
        <v>1905</v>
      </c>
      <c r="N658" s="1491">
        <v>1.9866296243100001E-2</v>
      </c>
      <c r="O658" s="1491">
        <v>4.8978055220599998E-6</v>
      </c>
      <c r="P658" s="1492" t="s">
        <v>1885</v>
      </c>
      <c r="Q658" s="1493" t="s">
        <v>635</v>
      </c>
      <c r="R658" s="1494"/>
      <c r="S658" s="1493">
        <v>11240</v>
      </c>
      <c r="T658" s="1493" t="s">
        <v>1199</v>
      </c>
      <c r="U658" s="1493">
        <v>4.1500000000000004</v>
      </c>
      <c r="V658" s="1495" t="s">
        <v>1883</v>
      </c>
      <c r="W658" s="1496">
        <v>8.8000000000000007</v>
      </c>
      <c r="X658" s="1497" t="s">
        <v>1883</v>
      </c>
      <c r="Y658" s="1498">
        <v>8.1828799490370002E-2</v>
      </c>
      <c r="Z658" s="1498">
        <v>8.0469768072101004</v>
      </c>
      <c r="AA658" s="1498">
        <v>19.312744337304199</v>
      </c>
      <c r="AB658" s="1498">
        <v>1.1599999999999999E-2</v>
      </c>
      <c r="AC658" s="1499" t="s">
        <v>1199</v>
      </c>
      <c r="AD658" s="1500" t="s">
        <v>635</v>
      </c>
      <c r="AE658" s="1501"/>
      <c r="AF658" s="1502" t="s">
        <v>635</v>
      </c>
      <c r="AG658" s="1501"/>
      <c r="AH658" s="1502">
        <v>1</v>
      </c>
      <c r="AI658" s="1503" t="s">
        <v>1119</v>
      </c>
      <c r="AJ658" s="1502" t="s">
        <v>635</v>
      </c>
      <c r="AK658" s="1501"/>
      <c r="AL658" s="1501"/>
      <c r="AM658" s="1501"/>
      <c r="AN658" s="1504">
        <v>1</v>
      </c>
      <c r="AO658" s="1505">
        <v>0.1</v>
      </c>
      <c r="AP658" s="1506" t="s">
        <v>635</v>
      </c>
    </row>
    <row r="659" spans="1:42" ht="30">
      <c r="A659" s="1481" t="s">
        <v>3118</v>
      </c>
      <c r="B659" s="1482" t="s">
        <v>3119</v>
      </c>
      <c r="C659" s="1483">
        <v>278.35000000000002</v>
      </c>
      <c r="D659" s="1484" t="s">
        <v>1883</v>
      </c>
      <c r="E659" s="1485">
        <v>7.3998364680000003E-5</v>
      </c>
      <c r="F659" s="1485">
        <v>1.81E-6</v>
      </c>
      <c r="G659" s="1486" t="s">
        <v>1883</v>
      </c>
      <c r="H659" s="1485">
        <v>2.0100000000000001E-5</v>
      </c>
      <c r="I659" s="1486" t="s">
        <v>1883</v>
      </c>
      <c r="J659" s="1487">
        <v>-35</v>
      </c>
      <c r="K659" s="1488" t="s">
        <v>1883</v>
      </c>
      <c r="L659" s="1489">
        <v>1.0465</v>
      </c>
      <c r="M659" s="1490" t="s">
        <v>1884</v>
      </c>
      <c r="N659" s="1491">
        <v>2.143624375833E-2</v>
      </c>
      <c r="O659" s="1491">
        <v>5.3255022901000004E-6</v>
      </c>
      <c r="P659" s="1492" t="s">
        <v>1885</v>
      </c>
      <c r="Q659" s="1493" t="s">
        <v>635</v>
      </c>
      <c r="R659" s="1494"/>
      <c r="S659" s="1493">
        <v>1157</v>
      </c>
      <c r="T659" s="1493" t="s">
        <v>1199</v>
      </c>
      <c r="U659" s="1493">
        <v>4.5</v>
      </c>
      <c r="V659" s="1495" t="s">
        <v>1883</v>
      </c>
      <c r="W659" s="1496">
        <v>11.2</v>
      </c>
      <c r="X659" s="1497" t="s">
        <v>1883</v>
      </c>
      <c r="Y659" s="1498">
        <v>0.26950793425651998</v>
      </c>
      <c r="Z659" s="1498">
        <v>3.80722680622321</v>
      </c>
      <c r="AA659" s="1498">
        <v>9.1373443349356993</v>
      </c>
      <c r="AB659" s="1498">
        <v>4.2000000000000003E-2</v>
      </c>
      <c r="AC659" s="1499" t="s">
        <v>1199</v>
      </c>
      <c r="AD659" s="1500" t="s">
        <v>635</v>
      </c>
      <c r="AE659" s="1501"/>
      <c r="AF659" s="1502" t="s">
        <v>635</v>
      </c>
      <c r="AG659" s="1501"/>
      <c r="AH659" s="1502">
        <v>0.1</v>
      </c>
      <c r="AI659" s="1503" t="s">
        <v>1119</v>
      </c>
      <c r="AJ659" s="1502" t="s">
        <v>635</v>
      </c>
      <c r="AK659" s="1501"/>
      <c r="AL659" s="1501"/>
      <c r="AM659" s="1501"/>
      <c r="AN659" s="1504">
        <v>1</v>
      </c>
      <c r="AO659" s="1505">
        <v>0.1</v>
      </c>
      <c r="AP659" s="1506" t="s">
        <v>635</v>
      </c>
    </row>
    <row r="660" spans="1:42" ht="30">
      <c r="A660" s="1507" t="s">
        <v>182</v>
      </c>
      <c r="B660" s="1508" t="s">
        <v>3120</v>
      </c>
      <c r="C660" s="1509">
        <v>222.24</v>
      </c>
      <c r="D660" s="1510" t="s">
        <v>1883</v>
      </c>
      <c r="E660" s="1511">
        <v>2.493867539E-5</v>
      </c>
      <c r="F660" s="1511">
        <v>6.0999999999999998E-7</v>
      </c>
      <c r="G660" s="1512" t="s">
        <v>1199</v>
      </c>
      <c r="H660" s="1511">
        <v>2.0999999999999999E-3</v>
      </c>
      <c r="I660" s="1512" t="s">
        <v>1883</v>
      </c>
      <c r="J660" s="1513">
        <v>-40.5</v>
      </c>
      <c r="K660" s="1514" t="s">
        <v>1883</v>
      </c>
      <c r="L660" s="1515">
        <v>1.232</v>
      </c>
      <c r="M660" s="1516" t="s">
        <v>1884</v>
      </c>
      <c r="N660" s="1517">
        <v>2.6074058665390001E-2</v>
      </c>
      <c r="O660" s="1517">
        <v>6.7227174593399998E-6</v>
      </c>
      <c r="P660" s="1518" t="s">
        <v>1885</v>
      </c>
      <c r="Q660" s="1519" t="s">
        <v>635</v>
      </c>
      <c r="R660" s="1520"/>
      <c r="S660" s="1519">
        <v>104.9</v>
      </c>
      <c r="T660" s="1519" t="s">
        <v>1199</v>
      </c>
      <c r="U660" s="1519">
        <v>2.42</v>
      </c>
      <c r="V660" s="1521" t="s">
        <v>1883</v>
      </c>
      <c r="W660" s="1522">
        <v>1080</v>
      </c>
      <c r="X660" s="1523" t="s">
        <v>1883</v>
      </c>
      <c r="Y660" s="1524">
        <v>2.06414530932E-2</v>
      </c>
      <c r="Z660" s="1524">
        <v>1.8466846940203501</v>
      </c>
      <c r="AA660" s="1524">
        <v>4.4320432656488498</v>
      </c>
      <c r="AB660" s="1524">
        <v>3.5999999999999999E-3</v>
      </c>
      <c r="AC660" s="1525" t="s">
        <v>1199</v>
      </c>
      <c r="AD660" s="1526" t="s">
        <v>635</v>
      </c>
      <c r="AE660" s="1527"/>
      <c r="AF660" s="1528" t="s">
        <v>635</v>
      </c>
      <c r="AG660" s="1527"/>
      <c r="AH660" s="1528">
        <v>0.8</v>
      </c>
      <c r="AI660" s="1529" t="s">
        <v>1119</v>
      </c>
      <c r="AJ660" s="1528" t="s">
        <v>635</v>
      </c>
      <c r="AK660" s="1527"/>
      <c r="AL660" s="1527"/>
      <c r="AM660" s="1527"/>
      <c r="AN660" s="1530">
        <v>1</v>
      </c>
      <c r="AO660" s="1531">
        <v>0.1</v>
      </c>
      <c r="AP660" s="1532" t="s">
        <v>635</v>
      </c>
    </row>
    <row r="661" spans="1:42" ht="30">
      <c r="A661" s="1481" t="s">
        <v>3121</v>
      </c>
      <c r="B661" s="1482" t="s">
        <v>3122</v>
      </c>
      <c r="C661" s="1483">
        <v>194.19</v>
      </c>
      <c r="D661" s="1484" t="s">
        <v>1883</v>
      </c>
      <c r="E661" s="1485">
        <v>5.4783319705599999E-3</v>
      </c>
      <c r="F661" s="1485">
        <v>1.34E-4</v>
      </c>
      <c r="G661" s="1486" t="s">
        <v>1199</v>
      </c>
      <c r="H661" s="1485">
        <v>0.01</v>
      </c>
      <c r="I661" s="1486" t="s">
        <v>1883</v>
      </c>
      <c r="J661" s="1487">
        <v>141</v>
      </c>
      <c r="K661" s="1488" t="s">
        <v>1883</v>
      </c>
      <c r="L661" s="1489">
        <v>1.075</v>
      </c>
      <c r="M661" s="1490" t="s">
        <v>1884</v>
      </c>
      <c r="N661" s="1491">
        <v>2.85328637192E-2</v>
      </c>
      <c r="O661" s="1491">
        <v>6.7170832838600002E-6</v>
      </c>
      <c r="P661" s="1492" t="s">
        <v>1885</v>
      </c>
      <c r="Q661" s="1493" t="s">
        <v>635</v>
      </c>
      <c r="R661" s="1494"/>
      <c r="S661" s="1493">
        <v>30.96</v>
      </c>
      <c r="T661" s="1493" t="s">
        <v>1199</v>
      </c>
      <c r="U661" s="1493">
        <v>2.25</v>
      </c>
      <c r="V661" s="1495" t="s">
        <v>1883</v>
      </c>
      <c r="W661" s="1496">
        <v>19</v>
      </c>
      <c r="X661" s="1497" t="s">
        <v>1883</v>
      </c>
      <c r="Y661" s="1498">
        <v>2.1385183373060002E-2</v>
      </c>
      <c r="Z661" s="1498">
        <v>1.28621257012256</v>
      </c>
      <c r="AA661" s="1498">
        <v>3.08691016829414</v>
      </c>
      <c r="AB661" s="1498">
        <v>3.9899999999999996E-3</v>
      </c>
      <c r="AC661" s="1499" t="s">
        <v>1199</v>
      </c>
      <c r="AD661" s="1500" t="s">
        <v>635</v>
      </c>
      <c r="AE661" s="1501"/>
      <c r="AF661" s="1502" t="s">
        <v>635</v>
      </c>
      <c r="AG661" s="1501"/>
      <c r="AH661" s="1502">
        <v>0.1</v>
      </c>
      <c r="AI661" s="1503" t="s">
        <v>1119</v>
      </c>
      <c r="AJ661" s="1502" t="s">
        <v>635</v>
      </c>
      <c r="AK661" s="1501"/>
      <c r="AL661" s="1503" t="s">
        <v>1127</v>
      </c>
      <c r="AM661" s="1501"/>
      <c r="AN661" s="1504">
        <v>1</v>
      </c>
      <c r="AO661" s="1504" t="s">
        <v>635</v>
      </c>
      <c r="AP661" s="1506" t="s">
        <v>635</v>
      </c>
    </row>
    <row r="662" spans="1:42" ht="30">
      <c r="A662" s="1481" t="s">
        <v>3123</v>
      </c>
      <c r="B662" s="1482" t="s">
        <v>3124</v>
      </c>
      <c r="C662" s="1483">
        <v>390.57</v>
      </c>
      <c r="D662" s="1484" t="s">
        <v>1883</v>
      </c>
      <c r="E662" s="1485">
        <v>1.0506950123E-4</v>
      </c>
      <c r="F662" s="1485">
        <v>2.57E-6</v>
      </c>
      <c r="G662" s="1486" t="s">
        <v>1199</v>
      </c>
      <c r="H662" s="1485">
        <v>9.9999999999999995E-8</v>
      </c>
      <c r="I662" s="1486" t="s">
        <v>1883</v>
      </c>
      <c r="J662" s="1487">
        <v>25</v>
      </c>
      <c r="K662" s="1488" t="s">
        <v>1883</v>
      </c>
      <c r="L662" s="1489" t="s">
        <v>635</v>
      </c>
      <c r="M662" s="1533"/>
      <c r="N662" s="1491">
        <v>3.555939361675E-2</v>
      </c>
      <c r="O662" s="1491">
        <v>4.1548344120599999E-6</v>
      </c>
      <c r="P662" s="1492" t="s">
        <v>1885</v>
      </c>
      <c r="Q662" s="1493" t="s">
        <v>635</v>
      </c>
      <c r="R662" s="1494"/>
      <c r="S662" s="1493">
        <v>140800</v>
      </c>
      <c r="T662" s="1493" t="s">
        <v>1199</v>
      </c>
      <c r="U662" s="1493">
        <v>8.1</v>
      </c>
      <c r="V662" s="1495" t="s">
        <v>1883</v>
      </c>
      <c r="W662" s="1496">
        <v>2.1999999999999999E-2</v>
      </c>
      <c r="X662" s="1497" t="s">
        <v>1883</v>
      </c>
      <c r="Y662" s="1498">
        <v>18.470657975965299</v>
      </c>
      <c r="Z662" s="1498">
        <v>16.182318683408699</v>
      </c>
      <c r="AA662" s="1498">
        <v>74.584832195974002</v>
      </c>
      <c r="AB662" s="1498">
        <v>2.4300000000000002</v>
      </c>
      <c r="AC662" s="1499" t="s">
        <v>1199</v>
      </c>
      <c r="AD662" s="1500" t="s">
        <v>635</v>
      </c>
      <c r="AE662" s="1501"/>
      <c r="AF662" s="1502" t="s">
        <v>635</v>
      </c>
      <c r="AG662" s="1501"/>
      <c r="AH662" s="1502">
        <v>0.01</v>
      </c>
      <c r="AI662" s="1503" t="s">
        <v>1909</v>
      </c>
      <c r="AJ662" s="1502" t="s">
        <v>635</v>
      </c>
      <c r="AK662" s="1501"/>
      <c r="AL662" s="1501"/>
      <c r="AM662" s="1501"/>
      <c r="AN662" s="1504">
        <v>1</v>
      </c>
      <c r="AO662" s="1505">
        <v>0.1</v>
      </c>
      <c r="AP662" s="1506" t="s">
        <v>635</v>
      </c>
    </row>
    <row r="663" spans="1:42" ht="30">
      <c r="A663" s="1507" t="s">
        <v>3125</v>
      </c>
      <c r="B663" s="1508" t="s">
        <v>3126</v>
      </c>
      <c r="C663" s="1509">
        <v>166.13</v>
      </c>
      <c r="D663" s="1510" t="s">
        <v>1883</v>
      </c>
      <c r="E663" s="1511">
        <v>1.586263287E-11</v>
      </c>
      <c r="F663" s="1511">
        <v>3.8800000000000001E-13</v>
      </c>
      <c r="G663" s="1512" t="s">
        <v>1883</v>
      </c>
      <c r="H663" s="1511">
        <v>9.2E-6</v>
      </c>
      <c r="I663" s="1512" t="s">
        <v>1199</v>
      </c>
      <c r="J663" s="1513">
        <v>126.58</v>
      </c>
      <c r="K663" s="1514" t="s">
        <v>1199</v>
      </c>
      <c r="L663" s="1515">
        <v>1.5189999999999999</v>
      </c>
      <c r="M663" s="1516" t="s">
        <v>1884</v>
      </c>
      <c r="N663" s="1517">
        <v>4.8850475992630003E-2</v>
      </c>
      <c r="O663" s="1517">
        <v>9.0769009609000008E-6</v>
      </c>
      <c r="P663" s="1518" t="s">
        <v>1885</v>
      </c>
      <c r="Q663" s="1519" t="s">
        <v>635</v>
      </c>
      <c r="R663" s="1520"/>
      <c r="S663" s="1519">
        <v>79.239999999999995</v>
      </c>
      <c r="T663" s="1519" t="s">
        <v>1199</v>
      </c>
      <c r="U663" s="1519">
        <v>2</v>
      </c>
      <c r="V663" s="1521" t="s">
        <v>1883</v>
      </c>
      <c r="W663" s="1522">
        <v>15</v>
      </c>
      <c r="X663" s="1523" t="s">
        <v>1883</v>
      </c>
      <c r="Y663" s="1524">
        <v>1.938328770255E-2</v>
      </c>
      <c r="Z663" s="1524">
        <v>0.89572923618700995</v>
      </c>
      <c r="AA663" s="1524">
        <v>2.1497501668488299</v>
      </c>
      <c r="AB663" s="1524">
        <v>3.9100000000000003E-3</v>
      </c>
      <c r="AC663" s="1525" t="s">
        <v>1199</v>
      </c>
      <c r="AD663" s="1526" t="s">
        <v>635</v>
      </c>
      <c r="AE663" s="1527"/>
      <c r="AF663" s="1528" t="s">
        <v>635</v>
      </c>
      <c r="AG663" s="1527"/>
      <c r="AH663" s="1528">
        <v>0.5</v>
      </c>
      <c r="AI663" s="1529" t="s">
        <v>1893</v>
      </c>
      <c r="AJ663" s="1528" t="s">
        <v>635</v>
      </c>
      <c r="AK663" s="1527"/>
      <c r="AL663" s="1527"/>
      <c r="AM663" s="1527"/>
      <c r="AN663" s="1530">
        <v>1</v>
      </c>
      <c r="AO663" s="1531">
        <v>0.1</v>
      </c>
      <c r="AP663" s="1532" t="s">
        <v>635</v>
      </c>
    </row>
    <row r="664" spans="1:42" ht="30">
      <c r="A664" s="1481" t="s">
        <v>3127</v>
      </c>
      <c r="B664" s="1482" t="s">
        <v>3128</v>
      </c>
      <c r="C664" s="1483">
        <v>148.12</v>
      </c>
      <c r="D664" s="1484" t="s">
        <v>1883</v>
      </c>
      <c r="E664" s="1485">
        <v>6.6639411283699996E-7</v>
      </c>
      <c r="F664" s="1485">
        <v>1.63E-8</v>
      </c>
      <c r="G664" s="1486" t="s">
        <v>1199</v>
      </c>
      <c r="H664" s="1485">
        <v>5.1699999999999999E-4</v>
      </c>
      <c r="I664" s="1486" t="s">
        <v>1199</v>
      </c>
      <c r="J664" s="1487">
        <v>130.80000000000001</v>
      </c>
      <c r="K664" s="1488" t="s">
        <v>1883</v>
      </c>
      <c r="L664" s="1489">
        <v>1.5269999999999999</v>
      </c>
      <c r="M664" s="1490" t="s">
        <v>1884</v>
      </c>
      <c r="N664" s="1491">
        <v>5.9479502944019998E-2</v>
      </c>
      <c r="O664" s="1491">
        <v>9.7545439936800008E-6</v>
      </c>
      <c r="P664" s="1492" t="s">
        <v>1885</v>
      </c>
      <c r="Q664" s="1493" t="s">
        <v>635</v>
      </c>
      <c r="R664" s="1494"/>
      <c r="S664" s="1493">
        <v>10</v>
      </c>
      <c r="T664" s="1493" t="s">
        <v>1199</v>
      </c>
      <c r="U664" s="1493">
        <v>1.6</v>
      </c>
      <c r="V664" s="1495" t="s">
        <v>1883</v>
      </c>
      <c r="W664" s="1496">
        <v>6200</v>
      </c>
      <c r="X664" s="1497" t="s">
        <v>1883</v>
      </c>
      <c r="Y664" s="1498">
        <v>1.249812215481E-2</v>
      </c>
      <c r="Z664" s="1498">
        <v>0.71010202252615995</v>
      </c>
      <c r="AA664" s="1498">
        <v>1.7042448540627899</v>
      </c>
      <c r="AB664" s="1498">
        <v>2.6700000000000001E-3</v>
      </c>
      <c r="AC664" s="1499" t="s">
        <v>1199</v>
      </c>
      <c r="AD664" s="1500" t="s">
        <v>635</v>
      </c>
      <c r="AE664" s="1501"/>
      <c r="AF664" s="1502" t="s">
        <v>635</v>
      </c>
      <c r="AG664" s="1501"/>
      <c r="AH664" s="1502">
        <v>2</v>
      </c>
      <c r="AI664" s="1503" t="s">
        <v>1119</v>
      </c>
      <c r="AJ664" s="1502">
        <v>0.02</v>
      </c>
      <c r="AK664" s="1503" t="s">
        <v>1900</v>
      </c>
      <c r="AL664" s="1501"/>
      <c r="AM664" s="1501"/>
      <c r="AN664" s="1504">
        <v>1</v>
      </c>
      <c r="AO664" s="1505">
        <v>0.1</v>
      </c>
      <c r="AP664" s="1506" t="s">
        <v>635</v>
      </c>
    </row>
    <row r="665" spans="1:42" ht="30">
      <c r="A665" s="1481" t="s">
        <v>3129</v>
      </c>
      <c r="B665" s="1482" t="s">
        <v>3130</v>
      </c>
      <c r="C665" s="1483">
        <v>241.46</v>
      </c>
      <c r="D665" s="1484" t="s">
        <v>1883</v>
      </c>
      <c r="E665" s="1485">
        <v>2.1790678659000002E-12</v>
      </c>
      <c r="F665" s="1485">
        <v>5.3299999999999998E-14</v>
      </c>
      <c r="G665" s="1486" t="s">
        <v>1199</v>
      </c>
      <c r="H665" s="1485">
        <v>7.2100000000000002E-11</v>
      </c>
      <c r="I665" s="1486" t="s">
        <v>1883</v>
      </c>
      <c r="J665" s="1487">
        <v>218.5</v>
      </c>
      <c r="K665" s="1488" t="s">
        <v>1883</v>
      </c>
      <c r="L665" s="1489" t="s">
        <v>635</v>
      </c>
      <c r="M665" s="1533"/>
      <c r="N665" s="1491">
        <v>4.8999329444870003E-2</v>
      </c>
      <c r="O665" s="1491">
        <v>5.7251848088199997E-6</v>
      </c>
      <c r="P665" s="1492" t="s">
        <v>1885</v>
      </c>
      <c r="Q665" s="1493" t="s">
        <v>635</v>
      </c>
      <c r="R665" s="1494"/>
      <c r="S665" s="1493">
        <v>38.770000000000003</v>
      </c>
      <c r="T665" s="1493" t="s">
        <v>1199</v>
      </c>
      <c r="U665" s="1493">
        <v>1.9</v>
      </c>
      <c r="V665" s="1495" t="s">
        <v>1883</v>
      </c>
      <c r="W665" s="1496">
        <v>430</v>
      </c>
      <c r="X665" s="1497" t="s">
        <v>1883</v>
      </c>
      <c r="Y665" s="1498">
        <v>7.5901956574499999E-3</v>
      </c>
      <c r="Z665" s="1498">
        <v>2.3660545305904801</v>
      </c>
      <c r="AA665" s="1498">
        <v>5.6785308734171602</v>
      </c>
      <c r="AB665" s="1498">
        <v>1.2700000000000001E-3</v>
      </c>
      <c r="AC665" s="1499" t="s">
        <v>1199</v>
      </c>
      <c r="AD665" s="1500" t="s">
        <v>635</v>
      </c>
      <c r="AE665" s="1501"/>
      <c r="AF665" s="1502" t="s">
        <v>635</v>
      </c>
      <c r="AG665" s="1501"/>
      <c r="AH665" s="1502">
        <v>7.0000000000000007E-2</v>
      </c>
      <c r="AI665" s="1503" t="s">
        <v>1119</v>
      </c>
      <c r="AJ665" s="1502" t="s">
        <v>635</v>
      </c>
      <c r="AK665" s="1501"/>
      <c r="AL665" s="1501"/>
      <c r="AM665" s="1501"/>
      <c r="AN665" s="1504">
        <v>1</v>
      </c>
      <c r="AO665" s="1505">
        <v>0.1</v>
      </c>
      <c r="AP665" s="1506" t="s">
        <v>635</v>
      </c>
    </row>
    <row r="666" spans="1:42" ht="30">
      <c r="A666" s="1507" t="s">
        <v>3131</v>
      </c>
      <c r="B666" s="1508" t="s">
        <v>3132</v>
      </c>
      <c r="C666" s="1509">
        <v>199.12</v>
      </c>
      <c r="D666" s="1510" t="s">
        <v>1883</v>
      </c>
      <c r="E666" s="1511">
        <v>3.9860997547000002E-10</v>
      </c>
      <c r="F666" s="1511">
        <v>9.7500000000000003E-12</v>
      </c>
      <c r="G666" s="1512" t="s">
        <v>1883</v>
      </c>
      <c r="H666" s="1511">
        <v>4.1600000000000002E-7</v>
      </c>
      <c r="I666" s="1512" t="s">
        <v>1883</v>
      </c>
      <c r="J666" s="1513">
        <v>169</v>
      </c>
      <c r="K666" s="1514" t="s">
        <v>1883</v>
      </c>
      <c r="L666" s="1515" t="s">
        <v>635</v>
      </c>
      <c r="M666" s="1538"/>
      <c r="N666" s="1517">
        <v>5.5719902167100002E-2</v>
      </c>
      <c r="O666" s="1517">
        <v>6.5104306742599998E-6</v>
      </c>
      <c r="P666" s="1518" t="s">
        <v>1885</v>
      </c>
      <c r="Q666" s="1519" t="s">
        <v>635</v>
      </c>
      <c r="R666" s="1520"/>
      <c r="S666" s="1519">
        <v>226.5</v>
      </c>
      <c r="T666" s="1519" t="s">
        <v>1199</v>
      </c>
      <c r="U666" s="1519">
        <v>0.93</v>
      </c>
      <c r="V666" s="1521" t="s">
        <v>1883</v>
      </c>
      <c r="W666" s="1522">
        <v>1400</v>
      </c>
      <c r="X666" s="1523" t="s">
        <v>1883</v>
      </c>
      <c r="Y666" s="1524">
        <v>2.6919424455499998E-3</v>
      </c>
      <c r="Z666" s="1524">
        <v>1.37063162945253</v>
      </c>
      <c r="AA666" s="1524">
        <v>3.2895159106860801</v>
      </c>
      <c r="AB666" s="1524">
        <v>4.9600000000000002E-4</v>
      </c>
      <c r="AC666" s="1525" t="s">
        <v>1199</v>
      </c>
      <c r="AD666" s="1526" t="s">
        <v>635</v>
      </c>
      <c r="AE666" s="1527"/>
      <c r="AF666" s="1528" t="s">
        <v>635</v>
      </c>
      <c r="AG666" s="1527"/>
      <c r="AH666" s="1528">
        <v>1E-4</v>
      </c>
      <c r="AI666" s="1529" t="s">
        <v>1893</v>
      </c>
      <c r="AJ666" s="1528" t="s">
        <v>635</v>
      </c>
      <c r="AK666" s="1527"/>
      <c r="AL666" s="1527"/>
      <c r="AM666" s="1527"/>
      <c r="AN666" s="1530">
        <v>1</v>
      </c>
      <c r="AO666" s="1531">
        <v>0.1</v>
      </c>
      <c r="AP666" s="1532" t="s">
        <v>635</v>
      </c>
    </row>
    <row r="667" spans="1:42" ht="30">
      <c r="A667" s="1481" t="s">
        <v>3133</v>
      </c>
      <c r="B667" s="1482" t="s">
        <v>3134</v>
      </c>
      <c r="C667" s="1483">
        <v>229.11</v>
      </c>
      <c r="D667" s="1484" t="s">
        <v>1883</v>
      </c>
      <c r="E667" s="1485">
        <v>6.9501226491999997E-10</v>
      </c>
      <c r="F667" s="1485">
        <v>1.6999999999999999E-11</v>
      </c>
      <c r="G667" s="1486" t="s">
        <v>1199</v>
      </c>
      <c r="H667" s="1485">
        <v>7.5000000000000002E-7</v>
      </c>
      <c r="I667" s="1486" t="s">
        <v>1883</v>
      </c>
      <c r="J667" s="1487">
        <v>122.5</v>
      </c>
      <c r="K667" s="1488" t="s">
        <v>1883</v>
      </c>
      <c r="L667" s="1489">
        <v>1.7629999999999999</v>
      </c>
      <c r="M667" s="1490" t="s">
        <v>1949</v>
      </c>
      <c r="N667" s="1491">
        <v>3.023644087746E-2</v>
      </c>
      <c r="O667" s="1491">
        <v>8.1845862885599995E-6</v>
      </c>
      <c r="P667" s="1492" t="s">
        <v>1885</v>
      </c>
      <c r="Q667" s="1493" t="s">
        <v>635</v>
      </c>
      <c r="R667" s="1494"/>
      <c r="S667" s="1493">
        <v>2251</v>
      </c>
      <c r="T667" s="1493" t="s">
        <v>1199</v>
      </c>
      <c r="U667" s="1493">
        <v>1.44</v>
      </c>
      <c r="V667" s="1495" t="s">
        <v>1883</v>
      </c>
      <c r="W667" s="1496">
        <v>12700</v>
      </c>
      <c r="X667" s="1497" t="s">
        <v>1883</v>
      </c>
      <c r="Y667" s="1498">
        <v>3.6152661500599998E-3</v>
      </c>
      <c r="Z667" s="1498">
        <v>2.0177378907591801</v>
      </c>
      <c r="AA667" s="1498">
        <v>4.8425709378220398</v>
      </c>
      <c r="AB667" s="1498">
        <v>6.2100000000000002E-4</v>
      </c>
      <c r="AC667" s="1499" t="s">
        <v>1199</v>
      </c>
      <c r="AD667" s="1500" t="s">
        <v>635</v>
      </c>
      <c r="AE667" s="1501"/>
      <c r="AF667" s="1502" t="s">
        <v>635</v>
      </c>
      <c r="AG667" s="1501"/>
      <c r="AH667" s="1502">
        <v>2E-3</v>
      </c>
      <c r="AI667" s="1503" t="s">
        <v>1893</v>
      </c>
      <c r="AJ667" s="1502" t="s">
        <v>635</v>
      </c>
      <c r="AK667" s="1501"/>
      <c r="AL667" s="1501"/>
      <c r="AM667" s="1501"/>
      <c r="AN667" s="1504">
        <v>1</v>
      </c>
      <c r="AO667" s="1505">
        <v>0.1</v>
      </c>
      <c r="AP667" s="1506" t="s">
        <v>635</v>
      </c>
    </row>
    <row r="668" spans="1:42" ht="30">
      <c r="A668" s="1481" t="s">
        <v>3135</v>
      </c>
      <c r="B668" s="1482" t="s">
        <v>3136</v>
      </c>
      <c r="C668" s="1483">
        <v>305.33999999999997</v>
      </c>
      <c r="D668" s="1484" t="s">
        <v>1883</v>
      </c>
      <c r="E668" s="1485">
        <v>2.8659035160000001E-5</v>
      </c>
      <c r="F668" s="1485">
        <v>7.0100000000000004E-7</v>
      </c>
      <c r="G668" s="1486" t="s">
        <v>1199</v>
      </c>
      <c r="H668" s="1485">
        <v>1.5E-5</v>
      </c>
      <c r="I668" s="1486" t="s">
        <v>1883</v>
      </c>
      <c r="J668" s="1487">
        <v>15</v>
      </c>
      <c r="K668" s="1488" t="s">
        <v>1883</v>
      </c>
      <c r="L668" s="1489">
        <v>1.17</v>
      </c>
      <c r="M668" s="1490" t="s">
        <v>1884</v>
      </c>
      <c r="N668" s="1491">
        <v>2.1541962860799999E-2</v>
      </c>
      <c r="O668" s="1491">
        <v>5.3865794245199996E-6</v>
      </c>
      <c r="P668" s="1492" t="s">
        <v>1885</v>
      </c>
      <c r="Q668" s="1493" t="s">
        <v>635</v>
      </c>
      <c r="R668" s="1494"/>
      <c r="S668" s="1493">
        <v>374.7</v>
      </c>
      <c r="T668" s="1493" t="s">
        <v>1199</v>
      </c>
      <c r="U668" s="1493">
        <v>4.2</v>
      </c>
      <c r="V668" s="1495" t="s">
        <v>1883</v>
      </c>
      <c r="W668" s="1496">
        <v>8.6</v>
      </c>
      <c r="X668" s="1497" t="s">
        <v>1883</v>
      </c>
      <c r="Y668" s="1498">
        <v>0.12567824549432999</v>
      </c>
      <c r="Z668" s="1498">
        <v>5.39203558415781</v>
      </c>
      <c r="AA668" s="1498">
        <v>12.9408854019788</v>
      </c>
      <c r="AB668" s="1498">
        <v>1.8700000000000001E-2</v>
      </c>
      <c r="AC668" s="1499" t="s">
        <v>1199</v>
      </c>
      <c r="AD668" s="1500" t="s">
        <v>635</v>
      </c>
      <c r="AE668" s="1501"/>
      <c r="AF668" s="1502" t="s">
        <v>635</v>
      </c>
      <c r="AG668" s="1501"/>
      <c r="AH668" s="1502">
        <v>7.2999999999999996E-4</v>
      </c>
      <c r="AI668" s="1503" t="s">
        <v>1116</v>
      </c>
      <c r="AJ668" s="1502" t="s">
        <v>635</v>
      </c>
      <c r="AK668" s="1501"/>
      <c r="AL668" s="1501"/>
      <c r="AM668" s="1501"/>
      <c r="AN668" s="1504">
        <v>1</v>
      </c>
      <c r="AO668" s="1505">
        <v>0.1</v>
      </c>
      <c r="AP668" s="1506" t="s">
        <v>635</v>
      </c>
    </row>
    <row r="669" spans="1:42" ht="30">
      <c r="A669" s="1507" t="s">
        <v>3137</v>
      </c>
      <c r="B669" s="1508" t="s">
        <v>3138</v>
      </c>
      <c r="C669" s="1509" t="s">
        <v>635</v>
      </c>
      <c r="D669" s="1548"/>
      <c r="E669" s="1511" t="s">
        <v>635</v>
      </c>
      <c r="F669" s="1511" t="s">
        <v>635</v>
      </c>
      <c r="G669" s="1534"/>
      <c r="H669" s="1511" t="s">
        <v>635</v>
      </c>
      <c r="I669" s="1534"/>
      <c r="J669" s="1513" t="s">
        <v>635</v>
      </c>
      <c r="K669" s="1540"/>
      <c r="L669" s="1515" t="s">
        <v>635</v>
      </c>
      <c r="M669" s="1538"/>
      <c r="N669" s="1517" t="s">
        <v>635</v>
      </c>
      <c r="O669" s="1517" t="s">
        <v>635</v>
      </c>
      <c r="P669" s="1549"/>
      <c r="Q669" s="1519" t="s">
        <v>635</v>
      </c>
      <c r="R669" s="1520"/>
      <c r="S669" s="1519" t="s">
        <v>635</v>
      </c>
      <c r="T669" s="1520"/>
      <c r="U669" s="1519" t="s">
        <v>635</v>
      </c>
      <c r="V669" s="1507"/>
      <c r="W669" s="1522" t="s">
        <v>635</v>
      </c>
      <c r="X669" s="1535"/>
      <c r="Y669" s="1524" t="s">
        <v>635</v>
      </c>
      <c r="Z669" s="1524" t="s">
        <v>635</v>
      </c>
      <c r="AA669" s="1524" t="s">
        <v>635</v>
      </c>
      <c r="AB669" s="1524" t="s">
        <v>635</v>
      </c>
      <c r="AC669" s="1550"/>
      <c r="AD669" s="1526">
        <v>30</v>
      </c>
      <c r="AE669" s="1529" t="s">
        <v>1900</v>
      </c>
      <c r="AF669" s="1528">
        <v>8.6E-3</v>
      </c>
      <c r="AG669" s="1529" t="s">
        <v>1900</v>
      </c>
      <c r="AH669" s="1528">
        <v>6.9999999999999999E-6</v>
      </c>
      <c r="AI669" s="1529" t="s">
        <v>1073</v>
      </c>
      <c r="AJ669" s="1528" t="s">
        <v>635</v>
      </c>
      <c r="AK669" s="1527"/>
      <c r="AL669" s="1527"/>
      <c r="AM669" s="1527"/>
      <c r="AN669" s="1530">
        <v>1</v>
      </c>
      <c r="AO669" s="1531">
        <v>0.1</v>
      </c>
      <c r="AP669" s="1532" t="s">
        <v>635</v>
      </c>
    </row>
    <row r="670" spans="1:42" ht="30">
      <c r="A670" s="1481"/>
      <c r="B670" s="1482" t="s">
        <v>3139</v>
      </c>
      <c r="C670" s="1483" t="s">
        <v>635</v>
      </c>
      <c r="D670" s="1543"/>
      <c r="E670" s="1485" t="s">
        <v>635</v>
      </c>
      <c r="F670" s="1485" t="s">
        <v>635</v>
      </c>
      <c r="G670" s="1536"/>
      <c r="H670" s="1485" t="s">
        <v>635</v>
      </c>
      <c r="I670" s="1536"/>
      <c r="J670" s="1487" t="s">
        <v>635</v>
      </c>
      <c r="K670" s="1542"/>
      <c r="L670" s="1489" t="s">
        <v>635</v>
      </c>
      <c r="M670" s="1533"/>
      <c r="N670" s="1491" t="s">
        <v>635</v>
      </c>
      <c r="O670" s="1491" t="s">
        <v>635</v>
      </c>
      <c r="P670" s="1544"/>
      <c r="Q670" s="1493" t="s">
        <v>635</v>
      </c>
      <c r="R670" s="1494"/>
      <c r="S670" s="1493" t="s">
        <v>635</v>
      </c>
      <c r="T670" s="1494"/>
      <c r="U670" s="1493" t="s">
        <v>635</v>
      </c>
      <c r="V670" s="1481"/>
      <c r="W670" s="1496" t="s">
        <v>635</v>
      </c>
      <c r="X670" s="1537"/>
      <c r="Y670" s="1498" t="s">
        <v>635</v>
      </c>
      <c r="Z670" s="1498" t="s">
        <v>635</v>
      </c>
      <c r="AA670" s="1498" t="s">
        <v>635</v>
      </c>
      <c r="AB670" s="1498" t="s">
        <v>635</v>
      </c>
      <c r="AC670" s="1547"/>
      <c r="AD670" s="1500" t="s">
        <v>635</v>
      </c>
      <c r="AE670" s="1501"/>
      <c r="AF670" s="1502" t="s">
        <v>635</v>
      </c>
      <c r="AG670" s="1501"/>
      <c r="AH670" s="1502" t="s">
        <v>635</v>
      </c>
      <c r="AI670" s="1501"/>
      <c r="AJ670" s="1502" t="s">
        <v>635</v>
      </c>
      <c r="AK670" s="1501"/>
      <c r="AL670" s="1501"/>
      <c r="AM670" s="1501"/>
      <c r="AN670" s="1504" t="s">
        <v>635</v>
      </c>
      <c r="AO670" s="1504" t="s">
        <v>635</v>
      </c>
      <c r="AP670" s="1506" t="s">
        <v>635</v>
      </c>
    </row>
    <row r="671" spans="1:42" ht="30">
      <c r="A671" s="1481" t="s">
        <v>3140</v>
      </c>
      <c r="B671" s="1482" t="s">
        <v>3141</v>
      </c>
      <c r="C671" s="1483">
        <v>257.55</v>
      </c>
      <c r="D671" s="1484" t="s">
        <v>1199</v>
      </c>
      <c r="E671" s="1485">
        <v>8.1766148814399996E-3</v>
      </c>
      <c r="F671" s="1485">
        <v>2.0000000000000001E-4</v>
      </c>
      <c r="G671" s="1486" t="s">
        <v>1199</v>
      </c>
      <c r="H671" s="1485">
        <v>4.0000000000000002E-4</v>
      </c>
      <c r="I671" s="1486" t="s">
        <v>1883</v>
      </c>
      <c r="J671" s="1487">
        <v>100.85</v>
      </c>
      <c r="K671" s="1488" t="s">
        <v>1199</v>
      </c>
      <c r="L671" s="1489">
        <v>1.37</v>
      </c>
      <c r="M671" s="1490" t="s">
        <v>2347</v>
      </c>
      <c r="N671" s="1491">
        <v>2.5371767712639999E-2</v>
      </c>
      <c r="O671" s="1491">
        <v>6.5582380914400001E-6</v>
      </c>
      <c r="P671" s="1492" t="s">
        <v>1885</v>
      </c>
      <c r="Q671" s="1493" t="s">
        <v>635</v>
      </c>
      <c r="R671" s="1494"/>
      <c r="S671" s="1493">
        <v>47700</v>
      </c>
      <c r="T671" s="1493" t="s">
        <v>1199</v>
      </c>
      <c r="U671" s="1493">
        <v>5.69</v>
      </c>
      <c r="V671" s="1495" t="s">
        <v>1883</v>
      </c>
      <c r="W671" s="1496">
        <v>0.42</v>
      </c>
      <c r="X671" s="1497" t="s">
        <v>1883</v>
      </c>
      <c r="Y671" s="1498">
        <v>1.8825965933869</v>
      </c>
      <c r="Z671" s="1498">
        <v>2.91158014829736</v>
      </c>
      <c r="AA671" s="1498">
        <v>11.8079371120518</v>
      </c>
      <c r="AB671" s="1498">
        <v>0.30499999999999999</v>
      </c>
      <c r="AC671" s="1499" t="s">
        <v>1199</v>
      </c>
      <c r="AD671" s="1500">
        <v>7.0000000000000007E-2</v>
      </c>
      <c r="AE671" s="1503" t="s">
        <v>2111</v>
      </c>
      <c r="AF671" s="1502">
        <v>2.0000000000000002E-5</v>
      </c>
      <c r="AG671" s="1503" t="s">
        <v>2111</v>
      </c>
      <c r="AH671" s="1502">
        <v>6.9999999999999994E-5</v>
      </c>
      <c r="AI671" s="1503" t="s">
        <v>1119</v>
      </c>
      <c r="AJ671" s="1502" t="s">
        <v>635</v>
      </c>
      <c r="AK671" s="1501"/>
      <c r="AL671" s="1503" t="s">
        <v>1127</v>
      </c>
      <c r="AM671" s="1501"/>
      <c r="AN671" s="1504">
        <v>1</v>
      </c>
      <c r="AO671" s="1539">
        <v>0.14000000000000001</v>
      </c>
      <c r="AP671" s="1506" t="s">
        <v>635</v>
      </c>
    </row>
    <row r="672" spans="1:42" ht="30">
      <c r="A672" s="1507" t="s">
        <v>3142</v>
      </c>
      <c r="B672" s="1508" t="s">
        <v>3143</v>
      </c>
      <c r="C672" s="1509">
        <v>188.66</v>
      </c>
      <c r="D672" s="1510" t="s">
        <v>1883</v>
      </c>
      <c r="E672" s="1511">
        <v>9.3213409648400004E-3</v>
      </c>
      <c r="F672" s="1511">
        <v>2.2800000000000001E-4</v>
      </c>
      <c r="G672" s="1512" t="s">
        <v>1883</v>
      </c>
      <c r="H672" s="1511">
        <v>6.7000000000000002E-3</v>
      </c>
      <c r="I672" s="1512" t="s">
        <v>1883</v>
      </c>
      <c r="J672" s="1513">
        <v>34</v>
      </c>
      <c r="K672" s="1514" t="s">
        <v>1199</v>
      </c>
      <c r="L672" s="1515">
        <v>1.18</v>
      </c>
      <c r="M672" s="1516" t="s">
        <v>2347</v>
      </c>
      <c r="N672" s="1517">
        <v>3.245789805898E-2</v>
      </c>
      <c r="O672" s="1517">
        <v>7.22758283635E-6</v>
      </c>
      <c r="P672" s="1518" t="s">
        <v>1885</v>
      </c>
      <c r="Q672" s="1519" t="s">
        <v>635</v>
      </c>
      <c r="R672" s="1520"/>
      <c r="S672" s="1519">
        <v>8397</v>
      </c>
      <c r="T672" s="1519" t="s">
        <v>1199</v>
      </c>
      <c r="U672" s="1519">
        <v>4.6500000000000004</v>
      </c>
      <c r="V672" s="1521" t="s">
        <v>1883</v>
      </c>
      <c r="W672" s="1522">
        <v>15</v>
      </c>
      <c r="X672" s="1523" t="s">
        <v>1883</v>
      </c>
      <c r="Y672" s="1524">
        <v>0.88751530030981995</v>
      </c>
      <c r="Z672" s="1524">
        <v>1.19769089944245</v>
      </c>
      <c r="AA672" s="1524">
        <v>4.6045202581637898</v>
      </c>
      <c r="AB672" s="1524">
        <v>0.16800000000000001</v>
      </c>
      <c r="AC672" s="1525" t="s">
        <v>1199</v>
      </c>
      <c r="AD672" s="1526">
        <v>2</v>
      </c>
      <c r="AE672" s="1529" t="s">
        <v>2111</v>
      </c>
      <c r="AF672" s="1528">
        <v>5.71E-4</v>
      </c>
      <c r="AG672" s="1529" t="s">
        <v>2111</v>
      </c>
      <c r="AH672" s="1528" t="s">
        <v>635</v>
      </c>
      <c r="AI672" s="1527"/>
      <c r="AJ672" s="1528" t="s">
        <v>635</v>
      </c>
      <c r="AK672" s="1527"/>
      <c r="AL672" s="1529" t="s">
        <v>1127</v>
      </c>
      <c r="AM672" s="1527"/>
      <c r="AN672" s="1530">
        <v>1</v>
      </c>
      <c r="AO672" s="1541">
        <v>0.14000000000000001</v>
      </c>
      <c r="AP672" s="1532" t="s">
        <v>635</v>
      </c>
    </row>
    <row r="673" spans="1:42" ht="30">
      <c r="A673" s="1481" t="s">
        <v>3144</v>
      </c>
      <c r="B673" s="1482" t="s">
        <v>3145</v>
      </c>
      <c r="C673" s="1483">
        <v>188.66</v>
      </c>
      <c r="D673" s="1484" t="s">
        <v>1883</v>
      </c>
      <c r="E673" s="1485">
        <v>3.0089942763700001E-2</v>
      </c>
      <c r="F673" s="1485">
        <v>7.36E-4</v>
      </c>
      <c r="G673" s="1486" t="s">
        <v>1199</v>
      </c>
      <c r="H673" s="1485">
        <v>4.0600000000000002E-3</v>
      </c>
      <c r="I673" s="1486" t="s">
        <v>1883</v>
      </c>
      <c r="J673" s="1487">
        <v>34</v>
      </c>
      <c r="K673" s="1488" t="s">
        <v>1199</v>
      </c>
      <c r="L673" s="1489">
        <v>1.26</v>
      </c>
      <c r="M673" s="1490" t="s">
        <v>2347</v>
      </c>
      <c r="N673" s="1491">
        <v>3.3446781665939999E-2</v>
      </c>
      <c r="O673" s="1491">
        <v>7.5177209405100004E-6</v>
      </c>
      <c r="P673" s="1492" t="s">
        <v>1885</v>
      </c>
      <c r="Q673" s="1493" t="s">
        <v>635</v>
      </c>
      <c r="R673" s="1494"/>
      <c r="S673" s="1493">
        <v>8397</v>
      </c>
      <c r="T673" s="1493" t="s">
        <v>1199</v>
      </c>
      <c r="U673" s="1493">
        <v>4.4000000000000004</v>
      </c>
      <c r="V673" s="1495" t="s">
        <v>1883</v>
      </c>
      <c r="W673" s="1496">
        <v>1.45</v>
      </c>
      <c r="X673" s="1497" t="s">
        <v>1883</v>
      </c>
      <c r="Y673" s="1498">
        <v>0.88751530030981995</v>
      </c>
      <c r="Z673" s="1498">
        <v>1.19769089944245</v>
      </c>
      <c r="AA673" s="1498">
        <v>4.6045202581637898</v>
      </c>
      <c r="AB673" s="1498">
        <v>0.16800000000000001</v>
      </c>
      <c r="AC673" s="1499" t="s">
        <v>1199</v>
      </c>
      <c r="AD673" s="1500">
        <v>2</v>
      </c>
      <c r="AE673" s="1503" t="s">
        <v>2111</v>
      </c>
      <c r="AF673" s="1502">
        <v>5.71E-4</v>
      </c>
      <c r="AG673" s="1503" t="s">
        <v>2111</v>
      </c>
      <c r="AH673" s="1502" t="s">
        <v>635</v>
      </c>
      <c r="AI673" s="1501"/>
      <c r="AJ673" s="1502" t="s">
        <v>635</v>
      </c>
      <c r="AK673" s="1501"/>
      <c r="AL673" s="1503" t="s">
        <v>1127</v>
      </c>
      <c r="AM673" s="1501"/>
      <c r="AN673" s="1504">
        <v>1</v>
      </c>
      <c r="AO673" s="1539">
        <v>0.14000000000000001</v>
      </c>
      <c r="AP673" s="1506" t="s">
        <v>635</v>
      </c>
    </row>
    <row r="674" spans="1:42" ht="30">
      <c r="A674" s="1481" t="s">
        <v>3146</v>
      </c>
      <c r="B674" s="1482" t="s">
        <v>3147</v>
      </c>
      <c r="C674" s="1483">
        <v>291.99</v>
      </c>
      <c r="D674" s="1484" t="s">
        <v>1883</v>
      </c>
      <c r="E674" s="1485">
        <v>1.402289452167E-2</v>
      </c>
      <c r="F674" s="1485">
        <v>3.4299999999999999E-4</v>
      </c>
      <c r="G674" s="1486" t="s">
        <v>1883</v>
      </c>
      <c r="H674" s="1485">
        <v>8.6299999999999997E-5</v>
      </c>
      <c r="I674" s="1486" t="s">
        <v>1199</v>
      </c>
      <c r="J674" s="1487">
        <v>122.32</v>
      </c>
      <c r="K674" s="1488" t="s">
        <v>1199</v>
      </c>
      <c r="L674" s="1489">
        <v>1.38</v>
      </c>
      <c r="M674" s="1490" t="s">
        <v>2347</v>
      </c>
      <c r="N674" s="1491">
        <v>2.3856437800719998E-2</v>
      </c>
      <c r="O674" s="1491">
        <v>6.1091169135199998E-6</v>
      </c>
      <c r="P674" s="1492" t="s">
        <v>1885</v>
      </c>
      <c r="Q674" s="1493" t="s">
        <v>635</v>
      </c>
      <c r="R674" s="1494"/>
      <c r="S674" s="1493">
        <v>78100</v>
      </c>
      <c r="T674" s="1493" t="s">
        <v>1199</v>
      </c>
      <c r="U674" s="1493">
        <v>6.34</v>
      </c>
      <c r="V674" s="1495" t="s">
        <v>1883</v>
      </c>
      <c r="W674" s="1496">
        <v>0.27700000000000002</v>
      </c>
      <c r="X674" s="1497" t="s">
        <v>1883</v>
      </c>
      <c r="Y674" s="1498">
        <v>3.5818479278722002</v>
      </c>
      <c r="Z674" s="1498">
        <v>4.5393403832826502</v>
      </c>
      <c r="AA674" s="1498">
        <v>19.446178178515499</v>
      </c>
      <c r="AB674" s="1498">
        <v>0.54500000000000004</v>
      </c>
      <c r="AC674" s="1499" t="s">
        <v>1199</v>
      </c>
      <c r="AD674" s="1500">
        <v>2</v>
      </c>
      <c r="AE674" s="1503" t="s">
        <v>2111</v>
      </c>
      <c r="AF674" s="1502">
        <v>5.71E-4</v>
      </c>
      <c r="AG674" s="1503" t="s">
        <v>2111</v>
      </c>
      <c r="AH674" s="1502" t="s">
        <v>635</v>
      </c>
      <c r="AI674" s="1501"/>
      <c r="AJ674" s="1502" t="s">
        <v>635</v>
      </c>
      <c r="AK674" s="1501"/>
      <c r="AL674" s="1503" t="s">
        <v>1127</v>
      </c>
      <c r="AM674" s="1501"/>
      <c r="AN674" s="1504">
        <v>1</v>
      </c>
      <c r="AO674" s="1539">
        <v>0.14000000000000001</v>
      </c>
      <c r="AP674" s="1506" t="s">
        <v>635</v>
      </c>
    </row>
    <row r="675" spans="1:42" ht="30">
      <c r="A675" s="1507" t="s">
        <v>3148</v>
      </c>
      <c r="B675" s="1508" t="s">
        <v>3149</v>
      </c>
      <c r="C675" s="1509">
        <v>291.99</v>
      </c>
      <c r="D675" s="1510" t="s">
        <v>1199</v>
      </c>
      <c r="E675" s="1511">
        <v>1.7988552739170001E-2</v>
      </c>
      <c r="F675" s="1511">
        <v>4.4000000000000002E-4</v>
      </c>
      <c r="G675" s="1512" t="s">
        <v>1883</v>
      </c>
      <c r="H675" s="1511">
        <v>4.9399999999999997E-4</v>
      </c>
      <c r="I675" s="1512" t="s">
        <v>1883</v>
      </c>
      <c r="J675" s="1513">
        <v>122.32</v>
      </c>
      <c r="K675" s="1514" t="s">
        <v>1199</v>
      </c>
      <c r="L675" s="1515">
        <v>1.405</v>
      </c>
      <c r="M675" s="1516" t="s">
        <v>2607</v>
      </c>
      <c r="N675" s="1517">
        <v>2.4059346353109998E-2</v>
      </c>
      <c r="O675" s="1517">
        <v>6.1752817781900002E-6</v>
      </c>
      <c r="P675" s="1518" t="s">
        <v>1885</v>
      </c>
      <c r="Q675" s="1519" t="s">
        <v>635</v>
      </c>
      <c r="R675" s="1520"/>
      <c r="S675" s="1519">
        <v>76530</v>
      </c>
      <c r="T675" s="1519" t="s">
        <v>1199</v>
      </c>
      <c r="U675" s="1519">
        <v>6.2</v>
      </c>
      <c r="V675" s="1521" t="s">
        <v>1883</v>
      </c>
      <c r="W675" s="1522">
        <v>0.1</v>
      </c>
      <c r="X675" s="1523" t="s">
        <v>1883</v>
      </c>
      <c r="Y675" s="1524">
        <v>3.1217940655766898</v>
      </c>
      <c r="Z675" s="1524">
        <v>4.5393403832826502</v>
      </c>
      <c r="AA675" s="1524">
        <v>19.240400206389001</v>
      </c>
      <c r="AB675" s="1524">
        <v>0.47499999999999998</v>
      </c>
      <c r="AC675" s="1525" t="s">
        <v>1199</v>
      </c>
      <c r="AD675" s="1526">
        <v>2</v>
      </c>
      <c r="AE675" s="1529" t="s">
        <v>2111</v>
      </c>
      <c r="AF675" s="1528">
        <v>5.71E-4</v>
      </c>
      <c r="AG675" s="1529" t="s">
        <v>2111</v>
      </c>
      <c r="AH675" s="1528" t="s">
        <v>635</v>
      </c>
      <c r="AI675" s="1527"/>
      <c r="AJ675" s="1528" t="s">
        <v>635</v>
      </c>
      <c r="AK675" s="1527"/>
      <c r="AL675" s="1529" t="s">
        <v>1127</v>
      </c>
      <c r="AM675" s="1527"/>
      <c r="AN675" s="1530">
        <v>1</v>
      </c>
      <c r="AO675" s="1541">
        <v>0.14000000000000001</v>
      </c>
      <c r="AP675" s="1532" t="s">
        <v>635</v>
      </c>
    </row>
    <row r="676" spans="1:42" ht="30">
      <c r="A676" s="1481" t="s">
        <v>3150</v>
      </c>
      <c r="B676" s="1482" t="s">
        <v>3151</v>
      </c>
      <c r="C676" s="1483">
        <v>326.44</v>
      </c>
      <c r="D676" s="1484" t="s">
        <v>1883</v>
      </c>
      <c r="E676" s="1485">
        <v>1.156991005724E-2</v>
      </c>
      <c r="F676" s="1485">
        <v>2.8299999999999999E-4</v>
      </c>
      <c r="G676" s="1486" t="s">
        <v>1883</v>
      </c>
      <c r="H676" s="1485">
        <v>7.7100000000000004E-5</v>
      </c>
      <c r="I676" s="1486" t="s">
        <v>1883</v>
      </c>
      <c r="J676" s="1487">
        <v>134.6</v>
      </c>
      <c r="K676" s="1488" t="s">
        <v>1199</v>
      </c>
      <c r="L676" s="1489">
        <v>1.54</v>
      </c>
      <c r="M676" s="1490" t="s">
        <v>2347</v>
      </c>
      <c r="N676" s="1491">
        <v>2.3720483214040002E-2</v>
      </c>
      <c r="O676" s="1491">
        <v>6.1024212341400001E-6</v>
      </c>
      <c r="P676" s="1492" t="s">
        <v>1885</v>
      </c>
      <c r="Q676" s="1493" t="s">
        <v>635</v>
      </c>
      <c r="R676" s="1494"/>
      <c r="S676" s="1493">
        <v>130500</v>
      </c>
      <c r="T676" s="1493" t="s">
        <v>1199</v>
      </c>
      <c r="U676" s="1493">
        <v>6.5</v>
      </c>
      <c r="V676" s="1495" t="s">
        <v>1883</v>
      </c>
      <c r="W676" s="1496">
        <v>4.2999999999999997E-2</v>
      </c>
      <c r="X676" s="1497" t="s">
        <v>1883</v>
      </c>
      <c r="Y676" s="1498">
        <v>5.2187713992049698</v>
      </c>
      <c r="Z676" s="1498">
        <v>7.0780357134763596</v>
      </c>
      <c r="AA676" s="1498">
        <v>31.096662612958699</v>
      </c>
      <c r="AB676" s="1498">
        <v>0.751</v>
      </c>
      <c r="AC676" s="1499" t="s">
        <v>1199</v>
      </c>
      <c r="AD676" s="1500">
        <v>2</v>
      </c>
      <c r="AE676" s="1503" t="s">
        <v>2111</v>
      </c>
      <c r="AF676" s="1502">
        <v>5.71E-4</v>
      </c>
      <c r="AG676" s="1503" t="s">
        <v>2111</v>
      </c>
      <c r="AH676" s="1502">
        <v>2.0000000000000002E-5</v>
      </c>
      <c r="AI676" s="1503" t="s">
        <v>1119</v>
      </c>
      <c r="AJ676" s="1502" t="s">
        <v>635</v>
      </c>
      <c r="AK676" s="1501"/>
      <c r="AL676" s="1503" t="s">
        <v>1127</v>
      </c>
      <c r="AM676" s="1501"/>
      <c r="AN676" s="1504">
        <v>1</v>
      </c>
      <c r="AO676" s="1539">
        <v>0.14000000000000001</v>
      </c>
      <c r="AP676" s="1506" t="s">
        <v>635</v>
      </c>
    </row>
    <row r="677" spans="1:42" ht="30">
      <c r="A677" s="1481" t="s">
        <v>3152</v>
      </c>
      <c r="B677" s="1482" t="s">
        <v>3153</v>
      </c>
      <c r="C677" s="1483">
        <v>395.33</v>
      </c>
      <c r="D677" s="1484" t="s">
        <v>1883</v>
      </c>
      <c r="E677" s="1485">
        <v>1.373671300082E-2</v>
      </c>
      <c r="F677" s="1485">
        <v>3.3599999999999998E-4</v>
      </c>
      <c r="G677" s="1486" t="s">
        <v>1883</v>
      </c>
      <c r="H677" s="1485">
        <v>4.0500000000000002E-5</v>
      </c>
      <c r="I677" s="1486" t="s">
        <v>1883</v>
      </c>
      <c r="J677" s="1487">
        <v>163.56</v>
      </c>
      <c r="K677" s="1488" t="s">
        <v>1199</v>
      </c>
      <c r="L677" s="1489">
        <v>1.62</v>
      </c>
      <c r="M677" s="1490" t="s">
        <v>2347</v>
      </c>
      <c r="N677" s="1491">
        <v>2.2023936682919999E-2</v>
      </c>
      <c r="O677" s="1491">
        <v>5.6079601232499999E-6</v>
      </c>
      <c r="P677" s="1492" t="s">
        <v>1885</v>
      </c>
      <c r="Q677" s="1493" t="s">
        <v>635</v>
      </c>
      <c r="R677" s="1494"/>
      <c r="S677" s="1493">
        <v>349700</v>
      </c>
      <c r="T677" s="1493" t="s">
        <v>1199</v>
      </c>
      <c r="U677" s="1493">
        <v>7.55</v>
      </c>
      <c r="V677" s="1495" t="s">
        <v>1883</v>
      </c>
      <c r="W677" s="1496">
        <v>1.44E-2</v>
      </c>
      <c r="X677" s="1497" t="s">
        <v>1883</v>
      </c>
      <c r="Y677" s="1498">
        <v>7.5402102041705001</v>
      </c>
      <c r="Z677" s="1498">
        <v>17.206666830223899</v>
      </c>
      <c r="AA677" s="1498">
        <v>77.061907682591595</v>
      </c>
      <c r="AB677" s="1498">
        <v>0.98599999999999999</v>
      </c>
      <c r="AC677" s="1499" t="s">
        <v>1199</v>
      </c>
      <c r="AD677" s="1500">
        <v>2</v>
      </c>
      <c r="AE677" s="1503" t="s">
        <v>2111</v>
      </c>
      <c r="AF677" s="1502">
        <v>5.71E-4</v>
      </c>
      <c r="AG677" s="1503" t="s">
        <v>2111</v>
      </c>
      <c r="AH677" s="1502" t="s">
        <v>635</v>
      </c>
      <c r="AI677" s="1501"/>
      <c r="AJ677" s="1502" t="s">
        <v>635</v>
      </c>
      <c r="AK677" s="1501"/>
      <c r="AL677" s="1503" t="s">
        <v>1127</v>
      </c>
      <c r="AM677" s="1501"/>
      <c r="AN677" s="1504">
        <v>1</v>
      </c>
      <c r="AO677" s="1539">
        <v>0.14000000000000001</v>
      </c>
      <c r="AP677" s="1506" t="s">
        <v>635</v>
      </c>
    </row>
    <row r="678" spans="1:42" ht="30">
      <c r="A678" s="1507" t="s">
        <v>3154</v>
      </c>
      <c r="B678" s="1508" t="s">
        <v>3155</v>
      </c>
      <c r="C678" s="1509">
        <v>540.29999999999995</v>
      </c>
      <c r="D678" s="1510" t="s">
        <v>1890</v>
      </c>
      <c r="E678" s="1511">
        <v>5.1103843009000002E-3</v>
      </c>
      <c r="F678" s="1511">
        <v>1.25E-4</v>
      </c>
      <c r="G678" s="1512" t="s">
        <v>1883</v>
      </c>
      <c r="H678" s="1511">
        <v>8.4500000000000004E-6</v>
      </c>
      <c r="I678" s="1512" t="s">
        <v>1883</v>
      </c>
      <c r="J678" s="1513">
        <v>122.32</v>
      </c>
      <c r="K678" s="1514" t="s">
        <v>1199</v>
      </c>
      <c r="L678" s="1515">
        <v>1.47</v>
      </c>
      <c r="M678" s="1516" t="s">
        <v>1247</v>
      </c>
      <c r="N678" s="1517">
        <v>1.7868594876050001E-2</v>
      </c>
      <c r="O678" s="1517">
        <v>4.3861268929000004E-6</v>
      </c>
      <c r="P678" s="1518" t="s">
        <v>1885</v>
      </c>
      <c r="Q678" s="1519" t="s">
        <v>635</v>
      </c>
      <c r="R678" s="1520"/>
      <c r="S678" s="1519">
        <v>81320</v>
      </c>
      <c r="T678" s="1519" t="s">
        <v>1199</v>
      </c>
      <c r="U678" s="1519">
        <v>6.34</v>
      </c>
      <c r="V678" s="1521" t="s">
        <v>1883</v>
      </c>
      <c r="W678" s="1522">
        <v>5.3199999999999997E-2</v>
      </c>
      <c r="X678" s="1523" t="s">
        <v>1883</v>
      </c>
      <c r="Y678" s="1524">
        <v>5.2210395482602001</v>
      </c>
      <c r="Z678" s="1524">
        <v>111.565200332641</v>
      </c>
      <c r="AA678" s="1524">
        <v>490.16351457455897</v>
      </c>
      <c r="AB678" s="1524">
        <v>0.58399999999999996</v>
      </c>
      <c r="AC678" s="1525" t="s">
        <v>1199</v>
      </c>
      <c r="AD678" s="1526" t="s">
        <v>635</v>
      </c>
      <c r="AE678" s="1527"/>
      <c r="AF678" s="1528" t="s">
        <v>635</v>
      </c>
      <c r="AG678" s="1527"/>
      <c r="AH678" s="1528">
        <v>5.9999999999999995E-4</v>
      </c>
      <c r="AI678" s="1529" t="s">
        <v>1893</v>
      </c>
      <c r="AJ678" s="1528" t="s">
        <v>635</v>
      </c>
      <c r="AK678" s="1527"/>
      <c r="AL678" s="1529" t="s">
        <v>1127</v>
      </c>
      <c r="AM678" s="1527"/>
      <c r="AN678" s="1530">
        <v>1</v>
      </c>
      <c r="AO678" s="1541">
        <v>0.14000000000000001</v>
      </c>
      <c r="AP678" s="1532" t="s">
        <v>635</v>
      </c>
    </row>
    <row r="679" spans="1:42" ht="45">
      <c r="A679" s="1481" t="s">
        <v>3156</v>
      </c>
      <c r="B679" s="1482" t="s">
        <v>3157</v>
      </c>
      <c r="C679" s="1483">
        <v>395.33</v>
      </c>
      <c r="D679" s="1484" t="s">
        <v>1883</v>
      </c>
      <c r="E679" s="1485">
        <v>2.0727718724400002E-3</v>
      </c>
      <c r="F679" s="1485">
        <v>5.0699999999999999E-5</v>
      </c>
      <c r="G679" s="1486" t="s">
        <v>1883</v>
      </c>
      <c r="H679" s="1485">
        <v>1.3E-7</v>
      </c>
      <c r="I679" s="1486" t="s">
        <v>1883</v>
      </c>
      <c r="J679" s="1487">
        <v>163.56</v>
      </c>
      <c r="K679" s="1488" t="s">
        <v>1199</v>
      </c>
      <c r="L679" s="1489">
        <v>1.6579999999999999</v>
      </c>
      <c r="M679" s="1490" t="s">
        <v>2050</v>
      </c>
      <c r="N679" s="1491">
        <v>4.2441369266430003E-2</v>
      </c>
      <c r="O679" s="1491">
        <v>5.6865206924000001E-6</v>
      </c>
      <c r="P679" s="1492" t="s">
        <v>1885</v>
      </c>
      <c r="Q679" s="1493" t="s">
        <v>635</v>
      </c>
      <c r="R679" s="1494"/>
      <c r="S679" s="1493">
        <v>349700</v>
      </c>
      <c r="T679" s="1493" t="s">
        <v>1199</v>
      </c>
      <c r="U679" s="1493">
        <v>8.27</v>
      </c>
      <c r="V679" s="1495" t="s">
        <v>1883</v>
      </c>
      <c r="W679" s="1496">
        <v>7.5299999999999998E-4</v>
      </c>
      <c r="X679" s="1497" t="s">
        <v>1883</v>
      </c>
      <c r="Y679" s="1498">
        <v>22.635925156536199</v>
      </c>
      <c r="Z679" s="1498">
        <v>17.206666830223899</v>
      </c>
      <c r="AA679" s="1498">
        <v>79.618094368859303</v>
      </c>
      <c r="AB679" s="1498">
        <v>2.96</v>
      </c>
      <c r="AC679" s="1499" t="s">
        <v>1199</v>
      </c>
      <c r="AD679" s="1500">
        <v>3.9</v>
      </c>
      <c r="AE679" s="1503" t="s">
        <v>3158</v>
      </c>
      <c r="AF679" s="1502">
        <v>1.14E-3</v>
      </c>
      <c r="AG679" s="1503" t="s">
        <v>3158</v>
      </c>
      <c r="AH679" s="1502">
        <v>2.3300000000000001E-5</v>
      </c>
      <c r="AI679" s="1503" t="s">
        <v>3158</v>
      </c>
      <c r="AJ679" s="1502">
        <v>1.33E-3</v>
      </c>
      <c r="AK679" s="1503" t="s">
        <v>3158</v>
      </c>
      <c r="AL679" s="1503" t="s">
        <v>1127</v>
      </c>
      <c r="AM679" s="1501"/>
      <c r="AN679" s="1504">
        <v>1</v>
      </c>
      <c r="AO679" s="1539">
        <v>0.14000000000000001</v>
      </c>
      <c r="AP679" s="1506" t="s">
        <v>635</v>
      </c>
    </row>
    <row r="680" spans="1:42" ht="30">
      <c r="A680" s="1481" t="s">
        <v>3159</v>
      </c>
      <c r="B680" s="1482" t="s">
        <v>3160</v>
      </c>
      <c r="C680" s="1483">
        <v>360.88</v>
      </c>
      <c r="D680" s="1484" t="s">
        <v>1883</v>
      </c>
      <c r="E680" s="1485">
        <v>2.8004905968900002E-3</v>
      </c>
      <c r="F680" s="1485">
        <v>6.8499999999999998E-5</v>
      </c>
      <c r="G680" s="1486" t="s">
        <v>1883</v>
      </c>
      <c r="H680" s="1485">
        <v>5.8100000000000003E-7</v>
      </c>
      <c r="I680" s="1486" t="s">
        <v>1883</v>
      </c>
      <c r="J680" s="1487">
        <v>146.34</v>
      </c>
      <c r="K680" s="1488" t="s">
        <v>1199</v>
      </c>
      <c r="L680" s="1489">
        <v>1.593</v>
      </c>
      <c r="M680" s="1490" t="s">
        <v>2050</v>
      </c>
      <c r="N680" s="1491">
        <v>4.4420952435710002E-2</v>
      </c>
      <c r="O680" s="1491">
        <v>5.8638594009900002E-6</v>
      </c>
      <c r="P680" s="1492" t="s">
        <v>1885</v>
      </c>
      <c r="Q680" s="1493" t="s">
        <v>635</v>
      </c>
      <c r="R680" s="1494"/>
      <c r="S680" s="1493">
        <v>209300</v>
      </c>
      <c r="T680" s="1493" t="s">
        <v>1199</v>
      </c>
      <c r="U680" s="1493">
        <v>7.5</v>
      </c>
      <c r="V680" s="1495" t="s">
        <v>1883</v>
      </c>
      <c r="W680" s="1496">
        <v>2.225E-3</v>
      </c>
      <c r="X680" s="1497" t="s">
        <v>1883</v>
      </c>
      <c r="Y680" s="1498">
        <v>10.448263013534801</v>
      </c>
      <c r="Z680" s="1498">
        <v>11.035112108210001</v>
      </c>
      <c r="AA680" s="1498">
        <v>50.069888045911704</v>
      </c>
      <c r="AB680" s="1498">
        <v>1.43</v>
      </c>
      <c r="AC680" s="1499" t="s">
        <v>1199</v>
      </c>
      <c r="AD680" s="1500">
        <v>3.9</v>
      </c>
      <c r="AE680" s="1503" t="s">
        <v>3158</v>
      </c>
      <c r="AF680" s="1502">
        <v>1.14E-3</v>
      </c>
      <c r="AG680" s="1503" t="s">
        <v>3158</v>
      </c>
      <c r="AH680" s="1502">
        <v>2.3300000000000001E-5</v>
      </c>
      <c r="AI680" s="1503" t="s">
        <v>3158</v>
      </c>
      <c r="AJ680" s="1502">
        <v>1.33E-3</v>
      </c>
      <c r="AK680" s="1503" t="s">
        <v>3158</v>
      </c>
      <c r="AL680" s="1503" t="s">
        <v>1127</v>
      </c>
      <c r="AM680" s="1501"/>
      <c r="AN680" s="1504">
        <v>1</v>
      </c>
      <c r="AO680" s="1539">
        <v>0.14000000000000001</v>
      </c>
      <c r="AP680" s="1506" t="s">
        <v>635</v>
      </c>
    </row>
    <row r="681" spans="1:42" ht="30">
      <c r="A681" s="1507" t="s">
        <v>3161</v>
      </c>
      <c r="B681" s="1508" t="s">
        <v>3162</v>
      </c>
      <c r="C681" s="1509">
        <v>360.88</v>
      </c>
      <c r="D681" s="1510" t="s">
        <v>1883</v>
      </c>
      <c r="E681" s="1511">
        <v>6.6230580539699997E-3</v>
      </c>
      <c r="F681" s="1511">
        <v>1.6200000000000001E-4</v>
      </c>
      <c r="G681" s="1512" t="s">
        <v>1199</v>
      </c>
      <c r="H681" s="1511">
        <v>5.8100000000000003E-7</v>
      </c>
      <c r="I681" s="1512" t="s">
        <v>1199</v>
      </c>
      <c r="J681" s="1513">
        <v>146.34</v>
      </c>
      <c r="K681" s="1514" t="s">
        <v>1199</v>
      </c>
      <c r="L681" s="1515">
        <v>1.593</v>
      </c>
      <c r="M681" s="1516" t="s">
        <v>3163</v>
      </c>
      <c r="N681" s="1517">
        <v>4.4420952435710002E-2</v>
      </c>
      <c r="O681" s="1517">
        <v>5.8638594009900002E-6</v>
      </c>
      <c r="P681" s="1518" t="s">
        <v>1885</v>
      </c>
      <c r="Q681" s="1519" t="s">
        <v>635</v>
      </c>
      <c r="R681" s="1520"/>
      <c r="S681" s="1519">
        <v>213600</v>
      </c>
      <c r="T681" s="1519" t="s">
        <v>1199</v>
      </c>
      <c r="U681" s="1519">
        <v>7.6</v>
      </c>
      <c r="V681" s="1521" t="s">
        <v>1883</v>
      </c>
      <c r="W681" s="1522">
        <v>1.6469E-3</v>
      </c>
      <c r="X681" s="1523" t="s">
        <v>1199</v>
      </c>
      <c r="Y681" s="1524">
        <v>12.1287528688586</v>
      </c>
      <c r="Z681" s="1524">
        <v>11.035112108210001</v>
      </c>
      <c r="AA681" s="1524">
        <v>50.3149224728541</v>
      </c>
      <c r="AB681" s="1524">
        <v>1.66</v>
      </c>
      <c r="AC681" s="1525" t="s">
        <v>1199</v>
      </c>
      <c r="AD681" s="1526">
        <v>3.9</v>
      </c>
      <c r="AE681" s="1529" t="s">
        <v>3158</v>
      </c>
      <c r="AF681" s="1528">
        <v>1.14E-3</v>
      </c>
      <c r="AG681" s="1529" t="s">
        <v>3158</v>
      </c>
      <c r="AH681" s="1528">
        <v>2.3300000000000001E-5</v>
      </c>
      <c r="AI681" s="1529" t="s">
        <v>3158</v>
      </c>
      <c r="AJ681" s="1528">
        <v>1.33E-3</v>
      </c>
      <c r="AK681" s="1529" t="s">
        <v>3158</v>
      </c>
      <c r="AL681" s="1529" t="s">
        <v>1127</v>
      </c>
      <c r="AM681" s="1527"/>
      <c r="AN681" s="1530">
        <v>1</v>
      </c>
      <c r="AO681" s="1541">
        <v>0.14000000000000001</v>
      </c>
      <c r="AP681" s="1532" t="s">
        <v>635</v>
      </c>
    </row>
    <row r="682" spans="1:42" ht="30">
      <c r="A682" s="1481" t="s">
        <v>3164</v>
      </c>
      <c r="B682" s="1482" t="s">
        <v>3165</v>
      </c>
      <c r="C682" s="1483">
        <v>360.88</v>
      </c>
      <c r="D682" s="1484" t="s">
        <v>1883</v>
      </c>
      <c r="E682" s="1485">
        <v>5.8462796402300003E-3</v>
      </c>
      <c r="F682" s="1485">
        <v>1.4300000000000001E-4</v>
      </c>
      <c r="G682" s="1486" t="s">
        <v>1199</v>
      </c>
      <c r="H682" s="1485">
        <v>1.61E-6</v>
      </c>
      <c r="I682" s="1486" t="s">
        <v>1883</v>
      </c>
      <c r="J682" s="1487">
        <v>146.34</v>
      </c>
      <c r="K682" s="1488" t="s">
        <v>1199</v>
      </c>
      <c r="L682" s="1489">
        <v>1.593</v>
      </c>
      <c r="M682" s="1490" t="s">
        <v>2050</v>
      </c>
      <c r="N682" s="1491">
        <v>4.4420952435710002E-2</v>
      </c>
      <c r="O682" s="1491">
        <v>5.8638594009900002E-6</v>
      </c>
      <c r="P682" s="1492" t="s">
        <v>1885</v>
      </c>
      <c r="Q682" s="1493" t="s">
        <v>635</v>
      </c>
      <c r="R682" s="1494"/>
      <c r="S682" s="1493">
        <v>213600</v>
      </c>
      <c r="T682" s="1493" t="s">
        <v>1199</v>
      </c>
      <c r="U682" s="1493">
        <v>7.6</v>
      </c>
      <c r="V682" s="1495" t="s">
        <v>1883</v>
      </c>
      <c r="W682" s="1496">
        <v>5.3299999999999997E-3</v>
      </c>
      <c r="X682" s="1497" t="s">
        <v>1883</v>
      </c>
      <c r="Y682" s="1498">
        <v>12.1287528688586</v>
      </c>
      <c r="Z682" s="1498">
        <v>11.035112108210001</v>
      </c>
      <c r="AA682" s="1498">
        <v>50.3149224728541</v>
      </c>
      <c r="AB682" s="1498">
        <v>1.66</v>
      </c>
      <c r="AC682" s="1499" t="s">
        <v>1199</v>
      </c>
      <c r="AD682" s="1500">
        <v>3.9</v>
      </c>
      <c r="AE682" s="1503" t="s">
        <v>3158</v>
      </c>
      <c r="AF682" s="1502">
        <v>1.14E-3</v>
      </c>
      <c r="AG682" s="1503" t="s">
        <v>3158</v>
      </c>
      <c r="AH682" s="1502">
        <v>2.3300000000000001E-5</v>
      </c>
      <c r="AI682" s="1503" t="s">
        <v>3158</v>
      </c>
      <c r="AJ682" s="1502">
        <v>1.33E-3</v>
      </c>
      <c r="AK682" s="1503" t="s">
        <v>3158</v>
      </c>
      <c r="AL682" s="1503" t="s">
        <v>1127</v>
      </c>
      <c r="AM682" s="1501"/>
      <c r="AN682" s="1504">
        <v>1</v>
      </c>
      <c r="AO682" s="1539">
        <v>0.14000000000000001</v>
      </c>
      <c r="AP682" s="1506" t="s">
        <v>635</v>
      </c>
    </row>
    <row r="683" spans="1:42" ht="30">
      <c r="A683" s="1481" t="s">
        <v>3166</v>
      </c>
      <c r="B683" s="1482" t="s">
        <v>3167</v>
      </c>
      <c r="C683" s="1483">
        <v>360.88</v>
      </c>
      <c r="D683" s="1484" t="s">
        <v>1883</v>
      </c>
      <c r="E683" s="1485">
        <v>2.8004905968900002E-3</v>
      </c>
      <c r="F683" s="1485">
        <v>6.8499999999999998E-5</v>
      </c>
      <c r="G683" s="1486" t="s">
        <v>1883</v>
      </c>
      <c r="H683" s="1485">
        <v>5.8100000000000003E-7</v>
      </c>
      <c r="I683" s="1486" t="s">
        <v>1883</v>
      </c>
      <c r="J683" s="1487">
        <v>146.34</v>
      </c>
      <c r="K683" s="1488" t="s">
        <v>1199</v>
      </c>
      <c r="L683" s="1489">
        <v>1.593</v>
      </c>
      <c r="M683" s="1490" t="s">
        <v>2050</v>
      </c>
      <c r="N683" s="1491">
        <v>4.4420952435710002E-2</v>
      </c>
      <c r="O683" s="1491">
        <v>5.8638594009900002E-6</v>
      </c>
      <c r="P683" s="1492" t="s">
        <v>1885</v>
      </c>
      <c r="Q683" s="1493" t="s">
        <v>635</v>
      </c>
      <c r="R683" s="1494"/>
      <c r="S683" s="1493">
        <v>209300</v>
      </c>
      <c r="T683" s="1493" t="s">
        <v>1199</v>
      </c>
      <c r="U683" s="1493">
        <v>7.41</v>
      </c>
      <c r="V683" s="1495" t="s">
        <v>1883</v>
      </c>
      <c r="W683" s="1496">
        <v>5.1000000000000004E-4</v>
      </c>
      <c r="X683" s="1497" t="s">
        <v>1883</v>
      </c>
      <c r="Y683" s="1498">
        <v>9.0600322634847501</v>
      </c>
      <c r="Z683" s="1498">
        <v>11.035112108210001</v>
      </c>
      <c r="AA683" s="1498">
        <v>49.806591409712098</v>
      </c>
      <c r="AB683" s="1498">
        <v>1.24</v>
      </c>
      <c r="AC683" s="1499" t="s">
        <v>1199</v>
      </c>
      <c r="AD683" s="1500">
        <v>3900</v>
      </c>
      <c r="AE683" s="1503" t="s">
        <v>3158</v>
      </c>
      <c r="AF683" s="1502">
        <v>1.1399999999999999</v>
      </c>
      <c r="AG683" s="1503" t="s">
        <v>3158</v>
      </c>
      <c r="AH683" s="1502">
        <v>2.33E-8</v>
      </c>
      <c r="AI683" s="1503" t="s">
        <v>3158</v>
      </c>
      <c r="AJ683" s="1502">
        <v>1.33E-6</v>
      </c>
      <c r="AK683" s="1503" t="s">
        <v>3158</v>
      </c>
      <c r="AL683" s="1503" t="s">
        <v>1127</v>
      </c>
      <c r="AM683" s="1501"/>
      <c r="AN683" s="1504">
        <v>1</v>
      </c>
      <c r="AO683" s="1539">
        <v>0.14000000000000001</v>
      </c>
      <c r="AP683" s="1506" t="s">
        <v>635</v>
      </c>
    </row>
    <row r="684" spans="1:42" ht="30">
      <c r="A684" s="1507" t="s">
        <v>3168</v>
      </c>
      <c r="B684" s="1508" t="s">
        <v>3169</v>
      </c>
      <c r="C684" s="1509">
        <v>326.44</v>
      </c>
      <c r="D684" s="1510" t="s">
        <v>1199</v>
      </c>
      <c r="E684" s="1511">
        <v>7.7677841373699997E-3</v>
      </c>
      <c r="F684" s="1511">
        <v>1.9000000000000001E-4</v>
      </c>
      <c r="G684" s="1512" t="s">
        <v>1199</v>
      </c>
      <c r="H684" s="1511">
        <v>5.4700000000000001E-6</v>
      </c>
      <c r="I684" s="1512" t="s">
        <v>1199</v>
      </c>
      <c r="J684" s="1513">
        <v>98</v>
      </c>
      <c r="K684" s="1514" t="s">
        <v>1199</v>
      </c>
      <c r="L684" s="1515">
        <v>1.522</v>
      </c>
      <c r="M684" s="1516" t="s">
        <v>2050</v>
      </c>
      <c r="N684" s="1517">
        <v>4.6705452982670002E-2</v>
      </c>
      <c r="O684" s="1517">
        <v>6.0595244406700004E-6</v>
      </c>
      <c r="P684" s="1518" t="s">
        <v>1885</v>
      </c>
      <c r="Q684" s="1519" t="s">
        <v>635</v>
      </c>
      <c r="R684" s="1520"/>
      <c r="S684" s="1519">
        <v>130500</v>
      </c>
      <c r="T684" s="1519" t="s">
        <v>1199</v>
      </c>
      <c r="U684" s="1519">
        <v>6.98</v>
      </c>
      <c r="V684" s="1521" t="s">
        <v>1199</v>
      </c>
      <c r="W684" s="1522">
        <v>1.6E-2</v>
      </c>
      <c r="X684" s="1523" t="s">
        <v>1199</v>
      </c>
      <c r="Y684" s="1524">
        <v>6.9490964037349796</v>
      </c>
      <c r="Z684" s="1524">
        <v>7.0780357134763596</v>
      </c>
      <c r="AA684" s="1524">
        <v>31.578828198548599</v>
      </c>
      <c r="AB684" s="1524">
        <v>1</v>
      </c>
      <c r="AC684" s="1525" t="s">
        <v>1199</v>
      </c>
      <c r="AD684" s="1526">
        <v>3.9</v>
      </c>
      <c r="AE684" s="1529" t="s">
        <v>3158</v>
      </c>
      <c r="AF684" s="1528">
        <v>1.14E-3</v>
      </c>
      <c r="AG684" s="1529" t="s">
        <v>3158</v>
      </c>
      <c r="AH684" s="1528">
        <v>2.3300000000000001E-5</v>
      </c>
      <c r="AI684" s="1529" t="s">
        <v>3158</v>
      </c>
      <c r="AJ684" s="1528">
        <v>1.33E-3</v>
      </c>
      <c r="AK684" s="1529" t="s">
        <v>3158</v>
      </c>
      <c r="AL684" s="1529" t="s">
        <v>1127</v>
      </c>
      <c r="AM684" s="1527"/>
      <c r="AN684" s="1530">
        <v>1</v>
      </c>
      <c r="AO684" s="1541">
        <v>0.14000000000000001</v>
      </c>
      <c r="AP684" s="1532" t="s">
        <v>635</v>
      </c>
    </row>
    <row r="685" spans="1:42" ht="30">
      <c r="A685" s="1481" t="s">
        <v>3170</v>
      </c>
      <c r="B685" s="1482" t="s">
        <v>3171</v>
      </c>
      <c r="C685" s="1483">
        <v>326.44</v>
      </c>
      <c r="D685" s="1484" t="s">
        <v>1883</v>
      </c>
      <c r="E685" s="1485">
        <v>1.177432542927E-2</v>
      </c>
      <c r="F685" s="1485">
        <v>2.8800000000000001E-4</v>
      </c>
      <c r="G685" s="1486" t="s">
        <v>1199</v>
      </c>
      <c r="H685" s="1485">
        <v>8.9740000000000008E-6</v>
      </c>
      <c r="I685" s="1486" t="s">
        <v>1883</v>
      </c>
      <c r="J685" s="1487">
        <v>134.6</v>
      </c>
      <c r="K685" s="1488" t="s">
        <v>1199</v>
      </c>
      <c r="L685" s="1489">
        <v>1.522</v>
      </c>
      <c r="M685" s="1490" t="s">
        <v>2050</v>
      </c>
      <c r="N685" s="1491">
        <v>4.6705452982670002E-2</v>
      </c>
      <c r="O685" s="1491">
        <v>6.0595244406700004E-6</v>
      </c>
      <c r="P685" s="1492" t="s">
        <v>1885</v>
      </c>
      <c r="Q685" s="1493" t="s">
        <v>635</v>
      </c>
      <c r="R685" s="1494"/>
      <c r="S685" s="1493">
        <v>127900</v>
      </c>
      <c r="T685" s="1493" t="s">
        <v>1199</v>
      </c>
      <c r="U685" s="1493">
        <v>7.12</v>
      </c>
      <c r="V685" s="1495" t="s">
        <v>1883</v>
      </c>
      <c r="W685" s="1496">
        <v>1.34E-2</v>
      </c>
      <c r="X685" s="1497" t="s">
        <v>1883</v>
      </c>
      <c r="Y685" s="1498">
        <v>8.6168795406313698</v>
      </c>
      <c r="Z685" s="1498">
        <v>7.0780357134763596</v>
      </c>
      <c r="AA685" s="1498">
        <v>31.882448216730701</v>
      </c>
      <c r="AB685" s="1498">
        <v>1.24</v>
      </c>
      <c r="AC685" s="1499" t="s">
        <v>1199</v>
      </c>
      <c r="AD685" s="1500">
        <v>3.9</v>
      </c>
      <c r="AE685" s="1503" t="s">
        <v>3158</v>
      </c>
      <c r="AF685" s="1502">
        <v>1.14E-3</v>
      </c>
      <c r="AG685" s="1503" t="s">
        <v>3158</v>
      </c>
      <c r="AH685" s="1502">
        <v>2.3300000000000001E-5</v>
      </c>
      <c r="AI685" s="1503" t="s">
        <v>3158</v>
      </c>
      <c r="AJ685" s="1502">
        <v>1.33E-3</v>
      </c>
      <c r="AK685" s="1503" t="s">
        <v>3158</v>
      </c>
      <c r="AL685" s="1503" t="s">
        <v>1127</v>
      </c>
      <c r="AM685" s="1501"/>
      <c r="AN685" s="1504">
        <v>1</v>
      </c>
      <c r="AO685" s="1539">
        <v>0.14000000000000001</v>
      </c>
      <c r="AP685" s="1506" t="s">
        <v>635</v>
      </c>
    </row>
    <row r="686" spans="1:42" ht="30">
      <c r="A686" s="1481" t="s">
        <v>3172</v>
      </c>
      <c r="B686" s="1482" t="s">
        <v>3173</v>
      </c>
      <c r="C686" s="1483">
        <v>326.44</v>
      </c>
      <c r="D686" s="1484" t="s">
        <v>1883</v>
      </c>
      <c r="E686" s="1485">
        <v>1.156991005724E-2</v>
      </c>
      <c r="F686" s="1485">
        <v>2.8299999999999999E-4</v>
      </c>
      <c r="G686" s="1486" t="s">
        <v>1199</v>
      </c>
      <c r="H686" s="1485">
        <v>6.5309999999999998E-6</v>
      </c>
      <c r="I686" s="1486" t="s">
        <v>1883</v>
      </c>
      <c r="J686" s="1487">
        <v>134.6</v>
      </c>
      <c r="K686" s="1488" t="s">
        <v>1199</v>
      </c>
      <c r="L686" s="1489">
        <v>1.522</v>
      </c>
      <c r="M686" s="1490" t="s">
        <v>2050</v>
      </c>
      <c r="N686" s="1491">
        <v>4.6705452982670002E-2</v>
      </c>
      <c r="O686" s="1491">
        <v>6.0595244406700004E-6</v>
      </c>
      <c r="P686" s="1492" t="s">
        <v>1885</v>
      </c>
      <c r="Q686" s="1493" t="s">
        <v>635</v>
      </c>
      <c r="R686" s="1494"/>
      <c r="S686" s="1493">
        <v>130500</v>
      </c>
      <c r="T686" s="1493" t="s">
        <v>1199</v>
      </c>
      <c r="U686" s="1493">
        <v>6.79</v>
      </c>
      <c r="V686" s="1495" t="s">
        <v>1883</v>
      </c>
      <c r="W686" s="1496">
        <v>3.3999999999999998E-3</v>
      </c>
      <c r="X686" s="1497" t="s">
        <v>1883</v>
      </c>
      <c r="Y686" s="1498">
        <v>5.2187713992049698</v>
      </c>
      <c r="Z686" s="1498">
        <v>7.0780357134763596</v>
      </c>
      <c r="AA686" s="1498">
        <v>31.096662612958699</v>
      </c>
      <c r="AB686" s="1498">
        <v>0.751</v>
      </c>
      <c r="AC686" s="1499" t="s">
        <v>1199</v>
      </c>
      <c r="AD686" s="1500">
        <v>3.9</v>
      </c>
      <c r="AE686" s="1503" t="s">
        <v>3158</v>
      </c>
      <c r="AF686" s="1502">
        <v>1.14E-3</v>
      </c>
      <c r="AG686" s="1503" t="s">
        <v>3158</v>
      </c>
      <c r="AH686" s="1502">
        <v>2.3300000000000001E-5</v>
      </c>
      <c r="AI686" s="1503" t="s">
        <v>3158</v>
      </c>
      <c r="AJ686" s="1502">
        <v>1.33E-3</v>
      </c>
      <c r="AK686" s="1503" t="s">
        <v>3158</v>
      </c>
      <c r="AL686" s="1503" t="s">
        <v>1127</v>
      </c>
      <c r="AM686" s="1501"/>
      <c r="AN686" s="1504">
        <v>1</v>
      </c>
      <c r="AO686" s="1539">
        <v>0.14000000000000001</v>
      </c>
      <c r="AP686" s="1506" t="s">
        <v>635</v>
      </c>
    </row>
    <row r="687" spans="1:42" ht="30">
      <c r="A687" s="1507" t="s">
        <v>3174</v>
      </c>
      <c r="B687" s="1508" t="s">
        <v>3175</v>
      </c>
      <c r="C687" s="1509">
        <v>326.44</v>
      </c>
      <c r="D687" s="1510" t="s">
        <v>1883</v>
      </c>
      <c r="E687" s="1511">
        <v>3.7775960752200002E-3</v>
      </c>
      <c r="F687" s="1511">
        <v>9.2399999999999996E-5</v>
      </c>
      <c r="G687" s="1512" t="s">
        <v>1883</v>
      </c>
      <c r="H687" s="1511">
        <v>5.4700000000000001E-6</v>
      </c>
      <c r="I687" s="1512" t="s">
        <v>1883</v>
      </c>
      <c r="J687" s="1513">
        <v>98</v>
      </c>
      <c r="K687" s="1514" t="s">
        <v>1883</v>
      </c>
      <c r="L687" s="1515">
        <v>1.522</v>
      </c>
      <c r="M687" s="1516" t="s">
        <v>2050</v>
      </c>
      <c r="N687" s="1517">
        <v>4.6705452982670002E-2</v>
      </c>
      <c r="O687" s="1517">
        <v>6.0595244406700004E-6</v>
      </c>
      <c r="P687" s="1518" t="s">
        <v>1885</v>
      </c>
      <c r="Q687" s="1519" t="s">
        <v>635</v>
      </c>
      <c r="R687" s="1520"/>
      <c r="S687" s="1519">
        <v>130500</v>
      </c>
      <c r="T687" s="1519" t="s">
        <v>1199</v>
      </c>
      <c r="U687" s="1519">
        <v>6.98</v>
      </c>
      <c r="V687" s="1521" t="s">
        <v>1883</v>
      </c>
      <c r="W687" s="1522">
        <v>1.5980000000000001E-2</v>
      </c>
      <c r="X687" s="1523" t="s">
        <v>1883</v>
      </c>
      <c r="Y687" s="1524">
        <v>6.9490964037349796</v>
      </c>
      <c r="Z687" s="1524">
        <v>7.0780357134763596</v>
      </c>
      <c r="AA687" s="1524">
        <v>31.578828198548599</v>
      </c>
      <c r="AB687" s="1524">
        <v>1</v>
      </c>
      <c r="AC687" s="1525" t="s">
        <v>1199</v>
      </c>
      <c r="AD687" s="1526">
        <v>3.9</v>
      </c>
      <c r="AE687" s="1529" t="s">
        <v>3158</v>
      </c>
      <c r="AF687" s="1528">
        <v>1.14E-3</v>
      </c>
      <c r="AG687" s="1529" t="s">
        <v>3158</v>
      </c>
      <c r="AH687" s="1528">
        <v>2.3300000000000001E-5</v>
      </c>
      <c r="AI687" s="1529" t="s">
        <v>3158</v>
      </c>
      <c r="AJ687" s="1528">
        <v>1.33E-3</v>
      </c>
      <c r="AK687" s="1529" t="s">
        <v>3158</v>
      </c>
      <c r="AL687" s="1529" t="s">
        <v>1127</v>
      </c>
      <c r="AM687" s="1527"/>
      <c r="AN687" s="1530">
        <v>1</v>
      </c>
      <c r="AO687" s="1541">
        <v>0.14000000000000001</v>
      </c>
      <c r="AP687" s="1532" t="s">
        <v>635</v>
      </c>
    </row>
    <row r="688" spans="1:42" ht="30">
      <c r="A688" s="1481" t="s">
        <v>3176</v>
      </c>
      <c r="B688" s="1482" t="s">
        <v>3177</v>
      </c>
      <c r="C688" s="1483">
        <v>326.44</v>
      </c>
      <c r="D688" s="1484" t="s">
        <v>1199</v>
      </c>
      <c r="E688" s="1485">
        <v>7.7677841373699997E-3</v>
      </c>
      <c r="F688" s="1485">
        <v>1.9000000000000001E-4</v>
      </c>
      <c r="G688" s="1486" t="s">
        <v>1199</v>
      </c>
      <c r="H688" s="1485">
        <v>2.2199999999999999E-6</v>
      </c>
      <c r="I688" s="1486" t="s">
        <v>1199</v>
      </c>
      <c r="J688" s="1487">
        <v>134.6</v>
      </c>
      <c r="K688" s="1488" t="s">
        <v>1199</v>
      </c>
      <c r="L688" s="1489">
        <v>1.522</v>
      </c>
      <c r="M688" s="1490" t="s">
        <v>2050</v>
      </c>
      <c r="N688" s="1491">
        <v>4.6705452982670002E-2</v>
      </c>
      <c r="O688" s="1491">
        <v>6.0595244406700004E-6</v>
      </c>
      <c r="P688" s="1492" t="s">
        <v>1885</v>
      </c>
      <c r="Q688" s="1493" t="s">
        <v>635</v>
      </c>
      <c r="R688" s="1494"/>
      <c r="S688" s="1493">
        <v>127900</v>
      </c>
      <c r="T688" s="1493" t="s">
        <v>1199</v>
      </c>
      <c r="U688" s="1493">
        <v>6.98</v>
      </c>
      <c r="V688" s="1495" t="s">
        <v>1199</v>
      </c>
      <c r="W688" s="1496">
        <v>7.3282E-3</v>
      </c>
      <c r="X688" s="1497" t="s">
        <v>1199</v>
      </c>
      <c r="Y688" s="1498">
        <v>6.9490964037349796</v>
      </c>
      <c r="Z688" s="1498">
        <v>7.0780357134763596</v>
      </c>
      <c r="AA688" s="1498">
        <v>31.578828198548599</v>
      </c>
      <c r="AB688" s="1498">
        <v>1</v>
      </c>
      <c r="AC688" s="1499" t="s">
        <v>1199</v>
      </c>
      <c r="AD688" s="1500">
        <v>13000</v>
      </c>
      <c r="AE688" s="1503" t="s">
        <v>3158</v>
      </c>
      <c r="AF688" s="1502">
        <v>3.8</v>
      </c>
      <c r="AG688" s="1503" t="s">
        <v>3158</v>
      </c>
      <c r="AH688" s="1502">
        <v>6.9999999999999998E-9</v>
      </c>
      <c r="AI688" s="1503" t="s">
        <v>3158</v>
      </c>
      <c r="AJ688" s="1502">
        <v>3.9999999999999998E-7</v>
      </c>
      <c r="AK688" s="1503" t="s">
        <v>3158</v>
      </c>
      <c r="AL688" s="1503" t="s">
        <v>1127</v>
      </c>
      <c r="AM688" s="1501"/>
      <c r="AN688" s="1504">
        <v>1</v>
      </c>
      <c r="AO688" s="1539">
        <v>0.14000000000000001</v>
      </c>
      <c r="AP688" s="1506" t="s">
        <v>635</v>
      </c>
    </row>
    <row r="689" spans="1:42" ht="30">
      <c r="A689" s="1481" t="s">
        <v>304</v>
      </c>
      <c r="B689" s="1482" t="s">
        <v>3178</v>
      </c>
      <c r="C689" s="1483">
        <v>291.99</v>
      </c>
      <c r="D689" s="1484" t="s">
        <v>1883</v>
      </c>
      <c r="E689" s="1485">
        <v>1.6966475878990001E-2</v>
      </c>
      <c r="F689" s="1485">
        <v>4.15E-4</v>
      </c>
      <c r="G689" s="1486" t="s">
        <v>1883</v>
      </c>
      <c r="H689" s="1485">
        <v>4.9399999999999997E-4</v>
      </c>
      <c r="I689" s="1486" t="s">
        <v>1883</v>
      </c>
      <c r="J689" s="1487">
        <v>122.32</v>
      </c>
      <c r="K689" s="1488" t="s">
        <v>1199</v>
      </c>
      <c r="L689" s="1489">
        <v>1.44</v>
      </c>
      <c r="M689" s="1490" t="s">
        <v>2607</v>
      </c>
      <c r="N689" s="1491">
        <v>2.4339655398689999E-2</v>
      </c>
      <c r="O689" s="1491">
        <v>6.2671267752199998E-6</v>
      </c>
      <c r="P689" s="1492" t="s">
        <v>1885</v>
      </c>
      <c r="Q689" s="1493" t="s">
        <v>635</v>
      </c>
      <c r="R689" s="1494"/>
      <c r="S689" s="1493">
        <v>78100</v>
      </c>
      <c r="T689" s="1493" t="s">
        <v>1199</v>
      </c>
      <c r="U689" s="1493">
        <v>7.1</v>
      </c>
      <c r="V689" s="1495" t="s">
        <v>1883</v>
      </c>
      <c r="W689" s="1496">
        <v>0.7</v>
      </c>
      <c r="X689" s="1497" t="s">
        <v>1883</v>
      </c>
      <c r="Y689" s="1498">
        <v>3.5818479278722002</v>
      </c>
      <c r="Z689" s="1498">
        <v>4.5393403832826502</v>
      </c>
      <c r="AA689" s="1498">
        <v>19.446178178515499</v>
      </c>
      <c r="AB689" s="1498">
        <v>0.54500000000000004</v>
      </c>
      <c r="AC689" s="1499" t="s">
        <v>1199</v>
      </c>
      <c r="AD689" s="1500">
        <v>2</v>
      </c>
      <c r="AE689" s="1503" t="s">
        <v>1119</v>
      </c>
      <c r="AF689" s="1502">
        <v>5.71E-4</v>
      </c>
      <c r="AG689" s="1503" t="s">
        <v>1119</v>
      </c>
      <c r="AH689" s="1502" t="s">
        <v>635</v>
      </c>
      <c r="AI689" s="1501"/>
      <c r="AJ689" s="1502" t="s">
        <v>635</v>
      </c>
      <c r="AK689" s="1501"/>
      <c r="AL689" s="1503" t="s">
        <v>1127</v>
      </c>
      <c r="AM689" s="1501"/>
      <c r="AN689" s="1504">
        <v>1</v>
      </c>
      <c r="AO689" s="1539">
        <v>0.14000000000000001</v>
      </c>
      <c r="AP689" s="1506" t="s">
        <v>635</v>
      </c>
    </row>
    <row r="690" spans="1:42" ht="30">
      <c r="A690" s="1507" t="s">
        <v>304</v>
      </c>
      <c r="B690" s="1508" t="s">
        <v>3179</v>
      </c>
      <c r="C690" s="1509">
        <v>291.99</v>
      </c>
      <c r="D690" s="1510" t="s">
        <v>1883</v>
      </c>
      <c r="E690" s="1511">
        <v>1.6966475878990001E-2</v>
      </c>
      <c r="F690" s="1511">
        <v>4.15E-4</v>
      </c>
      <c r="G690" s="1512" t="s">
        <v>1883</v>
      </c>
      <c r="H690" s="1511">
        <v>4.9399999999999997E-4</v>
      </c>
      <c r="I690" s="1512" t="s">
        <v>1883</v>
      </c>
      <c r="J690" s="1513">
        <v>122.32</v>
      </c>
      <c r="K690" s="1514" t="s">
        <v>1199</v>
      </c>
      <c r="L690" s="1515">
        <v>1.44</v>
      </c>
      <c r="M690" s="1516" t="s">
        <v>2607</v>
      </c>
      <c r="N690" s="1517">
        <v>2.4339655398689999E-2</v>
      </c>
      <c r="O690" s="1517">
        <v>6.2671267752199998E-6</v>
      </c>
      <c r="P690" s="1518" t="s">
        <v>1885</v>
      </c>
      <c r="Q690" s="1519" t="s">
        <v>635</v>
      </c>
      <c r="R690" s="1520"/>
      <c r="S690" s="1519">
        <v>78100</v>
      </c>
      <c r="T690" s="1519" t="s">
        <v>1199</v>
      </c>
      <c r="U690" s="1519">
        <v>7.1</v>
      </c>
      <c r="V690" s="1521" t="s">
        <v>1883</v>
      </c>
      <c r="W690" s="1522">
        <v>0.7</v>
      </c>
      <c r="X690" s="1523" t="s">
        <v>1883</v>
      </c>
      <c r="Y690" s="1524">
        <v>3.5818479278722002</v>
      </c>
      <c r="Z690" s="1524">
        <v>4.5393403832826502</v>
      </c>
      <c r="AA690" s="1524">
        <v>19.446178178515499</v>
      </c>
      <c r="AB690" s="1524">
        <v>0.54500000000000004</v>
      </c>
      <c r="AC690" s="1525" t="s">
        <v>1199</v>
      </c>
      <c r="AD690" s="1526">
        <v>0.4</v>
      </c>
      <c r="AE690" s="1529" t="s">
        <v>1119</v>
      </c>
      <c r="AF690" s="1528">
        <v>1E-4</v>
      </c>
      <c r="AG690" s="1529" t="s">
        <v>1119</v>
      </c>
      <c r="AH690" s="1528" t="s">
        <v>635</v>
      </c>
      <c r="AI690" s="1527"/>
      <c r="AJ690" s="1528" t="s">
        <v>635</v>
      </c>
      <c r="AK690" s="1527"/>
      <c r="AL690" s="1529" t="s">
        <v>1127</v>
      </c>
      <c r="AM690" s="1527"/>
      <c r="AN690" s="1530">
        <v>1</v>
      </c>
      <c r="AO690" s="1541">
        <v>0.14000000000000001</v>
      </c>
      <c r="AP690" s="1532" t="s">
        <v>635</v>
      </c>
    </row>
    <row r="691" spans="1:42" ht="30">
      <c r="A691" s="1481" t="s">
        <v>304</v>
      </c>
      <c r="B691" s="1482" t="s">
        <v>3180</v>
      </c>
      <c r="C691" s="1483">
        <v>291.99</v>
      </c>
      <c r="D691" s="1484" t="s">
        <v>1883</v>
      </c>
      <c r="E691" s="1485">
        <v>1.6966475878990001E-2</v>
      </c>
      <c r="F691" s="1485">
        <v>4.15E-4</v>
      </c>
      <c r="G691" s="1486" t="s">
        <v>1883</v>
      </c>
      <c r="H691" s="1485">
        <v>4.9399999999999997E-4</v>
      </c>
      <c r="I691" s="1486" t="s">
        <v>1883</v>
      </c>
      <c r="J691" s="1487">
        <v>122.32</v>
      </c>
      <c r="K691" s="1488" t="s">
        <v>1199</v>
      </c>
      <c r="L691" s="1489">
        <v>1.44</v>
      </c>
      <c r="M691" s="1490" t="s">
        <v>2607</v>
      </c>
      <c r="N691" s="1491">
        <v>2.4339655398689999E-2</v>
      </c>
      <c r="O691" s="1491">
        <v>6.2671267752199998E-6</v>
      </c>
      <c r="P691" s="1492" t="s">
        <v>1885</v>
      </c>
      <c r="Q691" s="1493" t="s">
        <v>635</v>
      </c>
      <c r="R691" s="1494"/>
      <c r="S691" s="1493">
        <v>78100</v>
      </c>
      <c r="T691" s="1493" t="s">
        <v>1199</v>
      </c>
      <c r="U691" s="1493">
        <v>7.1</v>
      </c>
      <c r="V691" s="1495" t="s">
        <v>1883</v>
      </c>
      <c r="W691" s="1496">
        <v>0.7</v>
      </c>
      <c r="X691" s="1497" t="s">
        <v>1883</v>
      </c>
      <c r="Y691" s="1498">
        <v>3.5818479278722002</v>
      </c>
      <c r="Z691" s="1498">
        <v>4.5393403832826502</v>
      </c>
      <c r="AA691" s="1498">
        <v>19.446178178515499</v>
      </c>
      <c r="AB691" s="1498">
        <v>0.54500000000000004</v>
      </c>
      <c r="AC691" s="1499" t="s">
        <v>1199</v>
      </c>
      <c r="AD691" s="1500">
        <v>7.0000000000000007E-2</v>
      </c>
      <c r="AE691" s="1503" t="s">
        <v>1119</v>
      </c>
      <c r="AF691" s="1502">
        <v>2.0000000000000002E-5</v>
      </c>
      <c r="AG691" s="1503" t="s">
        <v>1119</v>
      </c>
      <c r="AH691" s="1502" t="s">
        <v>635</v>
      </c>
      <c r="AI691" s="1501"/>
      <c r="AJ691" s="1502" t="s">
        <v>635</v>
      </c>
      <c r="AK691" s="1501"/>
      <c r="AL691" s="1503" t="s">
        <v>1127</v>
      </c>
      <c r="AM691" s="1501"/>
      <c r="AN691" s="1504">
        <v>1</v>
      </c>
      <c r="AO691" s="1539">
        <v>0.14000000000000001</v>
      </c>
      <c r="AP691" s="1506" t="s">
        <v>635</v>
      </c>
    </row>
    <row r="692" spans="1:42" ht="30">
      <c r="A692" s="1481" t="s">
        <v>3181</v>
      </c>
      <c r="B692" s="1482" t="s">
        <v>3182</v>
      </c>
      <c r="C692" s="1483">
        <v>291.99</v>
      </c>
      <c r="D692" s="1484" t="s">
        <v>1883</v>
      </c>
      <c r="E692" s="1485">
        <v>3.8430089943000001E-4</v>
      </c>
      <c r="F692" s="1485">
        <v>9.3999999999999998E-6</v>
      </c>
      <c r="G692" s="1486" t="s">
        <v>1883</v>
      </c>
      <c r="H692" s="1485">
        <v>1.641E-5</v>
      </c>
      <c r="I692" s="1486" t="s">
        <v>1883</v>
      </c>
      <c r="J692" s="1487">
        <v>180</v>
      </c>
      <c r="K692" s="1488" t="s">
        <v>1884</v>
      </c>
      <c r="L692" s="1489">
        <v>1.4419999999999999</v>
      </c>
      <c r="M692" s="1490" t="s">
        <v>3183</v>
      </c>
      <c r="N692" s="1491">
        <v>4.9383888576890002E-2</v>
      </c>
      <c r="O692" s="1491">
        <v>6.2723479310800001E-6</v>
      </c>
      <c r="P692" s="1492" t="s">
        <v>1885</v>
      </c>
      <c r="Q692" s="1493" t="s">
        <v>635</v>
      </c>
      <c r="R692" s="1494"/>
      <c r="S692" s="1493">
        <v>78100</v>
      </c>
      <c r="T692" s="1493" t="s">
        <v>1199</v>
      </c>
      <c r="U692" s="1493">
        <v>6.63</v>
      </c>
      <c r="V692" s="1495" t="s">
        <v>1883</v>
      </c>
      <c r="W692" s="1496">
        <v>5.6899999999999995E-4</v>
      </c>
      <c r="X692" s="1497" t="s">
        <v>1883</v>
      </c>
      <c r="Y692" s="1498">
        <v>6.0267055960712099</v>
      </c>
      <c r="Z692" s="1498">
        <v>4.5393403832826502</v>
      </c>
      <c r="AA692" s="1498">
        <v>20.1059669056527</v>
      </c>
      <c r="AB692" s="1498">
        <v>0.91700000000000004</v>
      </c>
      <c r="AC692" s="1499" t="s">
        <v>1199</v>
      </c>
      <c r="AD692" s="1500">
        <v>13</v>
      </c>
      <c r="AE692" s="1503" t="s">
        <v>3158</v>
      </c>
      <c r="AF692" s="1502">
        <v>3.8E-3</v>
      </c>
      <c r="AG692" s="1503" t="s">
        <v>3158</v>
      </c>
      <c r="AH692" s="1502">
        <v>6.9999999999999999E-6</v>
      </c>
      <c r="AI692" s="1503" t="s">
        <v>3158</v>
      </c>
      <c r="AJ692" s="1502">
        <v>4.0000000000000002E-4</v>
      </c>
      <c r="AK692" s="1503" t="s">
        <v>3158</v>
      </c>
      <c r="AL692" s="1501"/>
      <c r="AM692" s="1501"/>
      <c r="AN692" s="1504">
        <v>1</v>
      </c>
      <c r="AO692" s="1539">
        <v>0.14000000000000001</v>
      </c>
      <c r="AP692" s="1506" t="s">
        <v>635</v>
      </c>
    </row>
    <row r="693" spans="1:42" ht="30">
      <c r="A693" s="1507" t="s">
        <v>3184</v>
      </c>
      <c r="B693" s="1508" t="s">
        <v>3185</v>
      </c>
      <c r="C693" s="1509">
        <v>291.99</v>
      </c>
      <c r="D693" s="1510" t="s">
        <v>1199</v>
      </c>
      <c r="E693" s="1511">
        <v>9.1169255927999997E-3</v>
      </c>
      <c r="F693" s="1511">
        <v>2.23E-4</v>
      </c>
      <c r="G693" s="1512" t="s">
        <v>1199</v>
      </c>
      <c r="H693" s="1511">
        <v>8.4500000000000004E-6</v>
      </c>
      <c r="I693" s="1512" t="s">
        <v>1199</v>
      </c>
      <c r="J693" s="1513">
        <v>122.32</v>
      </c>
      <c r="K693" s="1514" t="s">
        <v>1199</v>
      </c>
      <c r="L693" s="1515">
        <v>1.4410000000000001</v>
      </c>
      <c r="M693" s="1516" t="s">
        <v>2050</v>
      </c>
      <c r="N693" s="1517">
        <v>4.9383888576890002E-2</v>
      </c>
      <c r="O693" s="1517">
        <v>6.26973771548E-6</v>
      </c>
      <c r="P693" s="1518" t="s">
        <v>1885</v>
      </c>
      <c r="Q693" s="1519" t="s">
        <v>635</v>
      </c>
      <c r="R693" s="1520"/>
      <c r="S693" s="1519">
        <v>78100</v>
      </c>
      <c r="T693" s="1519" t="s">
        <v>1199</v>
      </c>
      <c r="U693" s="1519">
        <v>6.34</v>
      </c>
      <c r="V693" s="1521" t="s">
        <v>1199</v>
      </c>
      <c r="W693" s="1522">
        <v>3.2245000000000003E-2</v>
      </c>
      <c r="X693" s="1523" t="s">
        <v>1199</v>
      </c>
      <c r="Y693" s="1524">
        <v>3.8381636511511301</v>
      </c>
      <c r="Z693" s="1524">
        <v>4.5393403832826502</v>
      </c>
      <c r="AA693" s="1524">
        <v>19.5449768255951</v>
      </c>
      <c r="AB693" s="1524">
        <v>0.58399999999999996</v>
      </c>
      <c r="AC693" s="1525" t="s">
        <v>1199</v>
      </c>
      <c r="AD693" s="1526">
        <v>39</v>
      </c>
      <c r="AE693" s="1529" t="s">
        <v>3158</v>
      </c>
      <c r="AF693" s="1528">
        <v>1.14E-2</v>
      </c>
      <c r="AG693" s="1529" t="s">
        <v>3158</v>
      </c>
      <c r="AH693" s="1528">
        <v>2.3300000000000001E-6</v>
      </c>
      <c r="AI693" s="1529" t="s">
        <v>3158</v>
      </c>
      <c r="AJ693" s="1528">
        <v>1.3300000000000001E-4</v>
      </c>
      <c r="AK693" s="1529" t="s">
        <v>3158</v>
      </c>
      <c r="AL693" s="1529" t="s">
        <v>1127</v>
      </c>
      <c r="AM693" s="1527"/>
      <c r="AN693" s="1530">
        <v>1</v>
      </c>
      <c r="AO693" s="1541">
        <v>0.14000000000000001</v>
      </c>
      <c r="AP693" s="1532" t="s">
        <v>635</v>
      </c>
    </row>
    <row r="694" spans="1:42" ht="45">
      <c r="A694" s="1481" t="s">
        <v>3186</v>
      </c>
      <c r="B694" s="1482" t="s">
        <v>3187</v>
      </c>
      <c r="C694" s="1483">
        <v>512.53</v>
      </c>
      <c r="D694" s="1484" t="s">
        <v>1199</v>
      </c>
      <c r="E694" s="1485">
        <v>5.3965658217000002E-10</v>
      </c>
      <c r="F694" s="1485">
        <v>1.32E-11</v>
      </c>
      <c r="G694" s="1486" t="s">
        <v>1199</v>
      </c>
      <c r="H694" s="1485">
        <v>5.4100000000000002E-13</v>
      </c>
      <c r="I694" s="1486" t="s">
        <v>1199</v>
      </c>
      <c r="J694" s="1487">
        <v>253.05</v>
      </c>
      <c r="K694" s="1488" t="s">
        <v>1199</v>
      </c>
      <c r="L694" s="1489" t="s">
        <v>635</v>
      </c>
      <c r="M694" s="1533"/>
      <c r="N694" s="1491">
        <v>2.9667030189409999E-2</v>
      </c>
      <c r="O694" s="1491">
        <v>3.4663582642400002E-6</v>
      </c>
      <c r="P694" s="1492" t="s">
        <v>1885</v>
      </c>
      <c r="Q694" s="1493" t="s">
        <v>635</v>
      </c>
      <c r="R694" s="1494"/>
      <c r="S694" s="1493">
        <v>10000000000</v>
      </c>
      <c r="T694" s="1493" t="s">
        <v>1199</v>
      </c>
      <c r="U694" s="1493">
        <v>10.46</v>
      </c>
      <c r="V694" s="1495" t="s">
        <v>1199</v>
      </c>
      <c r="W694" s="1496">
        <v>1.7630000000000001E-6</v>
      </c>
      <c r="X694" s="1497" t="s">
        <v>1199</v>
      </c>
      <c r="Y694" s="1498">
        <v>161.95682034667399</v>
      </c>
      <c r="Z694" s="1498">
        <v>77.986018713625398</v>
      </c>
      <c r="AA694" s="1498">
        <v>366.53305300538898</v>
      </c>
      <c r="AB694" s="1498">
        <v>18.600000000000001</v>
      </c>
      <c r="AC694" s="1499" t="s">
        <v>1199</v>
      </c>
      <c r="AD694" s="1500" t="s">
        <v>635</v>
      </c>
      <c r="AE694" s="1501"/>
      <c r="AF694" s="1502" t="s">
        <v>635</v>
      </c>
      <c r="AG694" s="1501"/>
      <c r="AH694" s="1502" t="s">
        <v>635</v>
      </c>
      <c r="AI694" s="1501"/>
      <c r="AJ694" s="1502">
        <v>5.9999999999999995E-4</v>
      </c>
      <c r="AK694" s="1503" t="s">
        <v>1119</v>
      </c>
      <c r="AL694" s="1501"/>
      <c r="AM694" s="1501"/>
      <c r="AN694" s="1504">
        <v>1</v>
      </c>
      <c r="AO694" s="1505">
        <v>0.1</v>
      </c>
      <c r="AP694" s="1506" t="s">
        <v>635</v>
      </c>
    </row>
    <row r="695" spans="1:42" ht="30">
      <c r="A695" s="1481"/>
      <c r="B695" s="1482" t="s">
        <v>3188</v>
      </c>
      <c r="C695" s="1483" t="s">
        <v>635</v>
      </c>
      <c r="D695" s="1543"/>
      <c r="E695" s="1485" t="s">
        <v>635</v>
      </c>
      <c r="F695" s="1485" t="s">
        <v>635</v>
      </c>
      <c r="G695" s="1536"/>
      <c r="H695" s="1485" t="s">
        <v>635</v>
      </c>
      <c r="I695" s="1536"/>
      <c r="J695" s="1487" t="s">
        <v>635</v>
      </c>
      <c r="K695" s="1542"/>
      <c r="L695" s="1489" t="s">
        <v>635</v>
      </c>
      <c r="M695" s="1533"/>
      <c r="N695" s="1491" t="s">
        <v>635</v>
      </c>
      <c r="O695" s="1491" t="s">
        <v>635</v>
      </c>
      <c r="P695" s="1544"/>
      <c r="Q695" s="1493" t="s">
        <v>635</v>
      </c>
      <c r="R695" s="1494"/>
      <c r="S695" s="1493" t="s">
        <v>635</v>
      </c>
      <c r="T695" s="1494"/>
      <c r="U695" s="1493" t="s">
        <v>635</v>
      </c>
      <c r="V695" s="1481"/>
      <c r="W695" s="1496" t="s">
        <v>635</v>
      </c>
      <c r="X695" s="1537"/>
      <c r="Y695" s="1498" t="s">
        <v>635</v>
      </c>
      <c r="Z695" s="1498" t="s">
        <v>635</v>
      </c>
      <c r="AA695" s="1498" t="s">
        <v>635</v>
      </c>
      <c r="AB695" s="1498" t="s">
        <v>635</v>
      </c>
      <c r="AC695" s="1547"/>
      <c r="AD695" s="1500" t="s">
        <v>635</v>
      </c>
      <c r="AE695" s="1501"/>
      <c r="AF695" s="1502" t="s">
        <v>635</v>
      </c>
      <c r="AG695" s="1501"/>
      <c r="AH695" s="1502" t="s">
        <v>635</v>
      </c>
      <c r="AI695" s="1501"/>
      <c r="AJ695" s="1502" t="s">
        <v>635</v>
      </c>
      <c r="AK695" s="1501"/>
      <c r="AL695" s="1501"/>
      <c r="AM695" s="1501"/>
      <c r="AN695" s="1504" t="s">
        <v>635</v>
      </c>
      <c r="AO695" s="1504" t="s">
        <v>635</v>
      </c>
      <c r="AP695" s="1506" t="s">
        <v>635</v>
      </c>
    </row>
    <row r="696" spans="1:42" ht="30">
      <c r="A696" s="1507" t="s">
        <v>234</v>
      </c>
      <c r="B696" s="1508" t="s">
        <v>3189</v>
      </c>
      <c r="C696" s="1509">
        <v>154.21</v>
      </c>
      <c r="D696" s="1510" t="s">
        <v>1883</v>
      </c>
      <c r="E696" s="1511">
        <v>7.5224856909199998E-3</v>
      </c>
      <c r="F696" s="1511">
        <v>1.84E-4</v>
      </c>
      <c r="G696" s="1512" t="s">
        <v>1883</v>
      </c>
      <c r="H696" s="1511">
        <v>2.15E-3</v>
      </c>
      <c r="I696" s="1512" t="s">
        <v>1883</v>
      </c>
      <c r="J696" s="1513">
        <v>93.4</v>
      </c>
      <c r="K696" s="1514" t="s">
        <v>1883</v>
      </c>
      <c r="L696" s="1515">
        <v>1.222</v>
      </c>
      <c r="M696" s="1516" t="s">
        <v>1884</v>
      </c>
      <c r="N696" s="1517">
        <v>5.0614313354230001E-2</v>
      </c>
      <c r="O696" s="1517">
        <v>8.3300378125399998E-6</v>
      </c>
      <c r="P696" s="1518" t="s">
        <v>1885</v>
      </c>
      <c r="Q696" s="1519" t="s">
        <v>635</v>
      </c>
      <c r="R696" s="1520"/>
      <c r="S696" s="1519">
        <v>5027</v>
      </c>
      <c r="T696" s="1519" t="s">
        <v>1199</v>
      </c>
      <c r="U696" s="1519">
        <v>3.92</v>
      </c>
      <c r="V696" s="1521" t="s">
        <v>1883</v>
      </c>
      <c r="W696" s="1522">
        <v>3.9</v>
      </c>
      <c r="X696" s="1523" t="s">
        <v>1883</v>
      </c>
      <c r="Y696" s="1524">
        <v>0.41075359376748</v>
      </c>
      <c r="Z696" s="1524">
        <v>0.76811235300464997</v>
      </c>
      <c r="AA696" s="1524">
        <v>1.84346964721115</v>
      </c>
      <c r="AB696" s="1524">
        <v>8.5999999999999993E-2</v>
      </c>
      <c r="AC696" s="1525" t="s">
        <v>1199</v>
      </c>
      <c r="AD696" s="1526" t="s">
        <v>635</v>
      </c>
      <c r="AE696" s="1527"/>
      <c r="AF696" s="1528" t="s">
        <v>635</v>
      </c>
      <c r="AG696" s="1527"/>
      <c r="AH696" s="1528">
        <v>0.06</v>
      </c>
      <c r="AI696" s="1529" t="s">
        <v>1119</v>
      </c>
      <c r="AJ696" s="1528" t="s">
        <v>635</v>
      </c>
      <c r="AK696" s="1527"/>
      <c r="AL696" s="1529" t="s">
        <v>1127</v>
      </c>
      <c r="AM696" s="1527"/>
      <c r="AN696" s="1530">
        <v>1</v>
      </c>
      <c r="AO696" s="1541">
        <v>0.13</v>
      </c>
      <c r="AP696" s="1532" t="s">
        <v>635</v>
      </c>
    </row>
    <row r="697" spans="1:42" ht="30">
      <c r="A697" s="1481" t="s">
        <v>236</v>
      </c>
      <c r="B697" s="1482" t="s">
        <v>3190</v>
      </c>
      <c r="C697" s="1483">
        <v>178.24</v>
      </c>
      <c r="D697" s="1484" t="s">
        <v>1883</v>
      </c>
      <c r="E697" s="1485">
        <v>2.2730989370400002E-3</v>
      </c>
      <c r="F697" s="1485">
        <v>5.5600000000000003E-5</v>
      </c>
      <c r="G697" s="1486" t="s">
        <v>1883</v>
      </c>
      <c r="H697" s="1485">
        <v>6.5300000000000002E-6</v>
      </c>
      <c r="I697" s="1486" t="s">
        <v>1199</v>
      </c>
      <c r="J697" s="1487">
        <v>215</v>
      </c>
      <c r="K697" s="1488" t="s">
        <v>1883</v>
      </c>
      <c r="L697" s="1489">
        <v>1.28</v>
      </c>
      <c r="M697" s="1490" t="s">
        <v>1884</v>
      </c>
      <c r="N697" s="1491">
        <v>3.8973167043099999E-2</v>
      </c>
      <c r="O697" s="1491">
        <v>7.8522596013299994E-6</v>
      </c>
      <c r="P697" s="1492" t="s">
        <v>1885</v>
      </c>
      <c r="Q697" s="1493" t="s">
        <v>635</v>
      </c>
      <c r="R697" s="1494"/>
      <c r="S697" s="1493">
        <v>16360</v>
      </c>
      <c r="T697" s="1493" t="s">
        <v>1199</v>
      </c>
      <c r="U697" s="1493">
        <v>4.45</v>
      </c>
      <c r="V697" s="1495" t="s">
        <v>1883</v>
      </c>
      <c r="W697" s="1496">
        <v>4.3400000000000001E-2</v>
      </c>
      <c r="X697" s="1497" t="s">
        <v>1883</v>
      </c>
      <c r="Y697" s="1498">
        <v>0.72915118033710002</v>
      </c>
      <c r="Z697" s="1498">
        <v>1.0471110667780701</v>
      </c>
      <c r="AA697" s="1498">
        <v>4.0502150728380801</v>
      </c>
      <c r="AB697" s="1498">
        <v>0.14199999999999999</v>
      </c>
      <c r="AC697" s="1499" t="s">
        <v>1199</v>
      </c>
      <c r="AD697" s="1500" t="s">
        <v>635</v>
      </c>
      <c r="AE697" s="1501"/>
      <c r="AF697" s="1502" t="s">
        <v>635</v>
      </c>
      <c r="AG697" s="1501"/>
      <c r="AH697" s="1502">
        <v>0.3</v>
      </c>
      <c r="AI697" s="1503" t="s">
        <v>1119</v>
      </c>
      <c r="AJ697" s="1502" t="s">
        <v>635</v>
      </c>
      <c r="AK697" s="1501"/>
      <c r="AL697" s="1503" t="s">
        <v>1127</v>
      </c>
      <c r="AM697" s="1501"/>
      <c r="AN697" s="1504">
        <v>1</v>
      </c>
      <c r="AO697" s="1539">
        <v>0.13</v>
      </c>
      <c r="AP697" s="1506" t="s">
        <v>635</v>
      </c>
    </row>
    <row r="698" spans="1:42" ht="30">
      <c r="A698" s="1481" t="s">
        <v>238</v>
      </c>
      <c r="B698" s="1482" t="s">
        <v>3191</v>
      </c>
      <c r="C698" s="1483">
        <v>228.3</v>
      </c>
      <c r="D698" s="1484" t="s">
        <v>1883</v>
      </c>
      <c r="E698" s="1485">
        <v>4.9059689289000005E-4</v>
      </c>
      <c r="F698" s="1485">
        <v>1.2E-5</v>
      </c>
      <c r="G698" s="1486" t="s">
        <v>1883</v>
      </c>
      <c r="H698" s="1485">
        <v>2.1E-7</v>
      </c>
      <c r="I698" s="1486" t="s">
        <v>1883</v>
      </c>
      <c r="J698" s="1487">
        <v>84</v>
      </c>
      <c r="K698" s="1488" t="s">
        <v>1883</v>
      </c>
      <c r="L698" s="1489">
        <v>1.274</v>
      </c>
      <c r="M698" s="1490" t="s">
        <v>1890</v>
      </c>
      <c r="N698" s="1491">
        <v>2.6113777679239999E-2</v>
      </c>
      <c r="O698" s="1491">
        <v>6.7494732657100002E-6</v>
      </c>
      <c r="P698" s="1492" t="s">
        <v>1885</v>
      </c>
      <c r="Q698" s="1493" t="s">
        <v>635</v>
      </c>
      <c r="R698" s="1494"/>
      <c r="S698" s="1493">
        <v>176900</v>
      </c>
      <c r="T698" s="1493" t="s">
        <v>1199</v>
      </c>
      <c r="U698" s="1493">
        <v>5.76</v>
      </c>
      <c r="V698" s="1495" t="s">
        <v>1883</v>
      </c>
      <c r="W698" s="1496">
        <v>9.4000000000000004E-3</v>
      </c>
      <c r="X698" s="1497" t="s">
        <v>1883</v>
      </c>
      <c r="Y698" s="1498">
        <v>3.2078842222611401</v>
      </c>
      <c r="Z698" s="1498">
        <v>1.99677324839304</v>
      </c>
      <c r="AA698" s="1498">
        <v>8.4818237910935093</v>
      </c>
      <c r="AB698" s="1498">
        <v>0.55200000000000005</v>
      </c>
      <c r="AC698" s="1499" t="s">
        <v>1199</v>
      </c>
      <c r="AD698" s="1500">
        <v>0.1</v>
      </c>
      <c r="AE698" s="1503" t="s">
        <v>3192</v>
      </c>
      <c r="AF698" s="1502">
        <v>6.0000000000000002E-5</v>
      </c>
      <c r="AG698" s="1503" t="s">
        <v>3192</v>
      </c>
      <c r="AH698" s="1502" t="s">
        <v>635</v>
      </c>
      <c r="AI698" s="1501"/>
      <c r="AJ698" s="1502" t="s">
        <v>635</v>
      </c>
      <c r="AK698" s="1501"/>
      <c r="AL698" s="1503" t="s">
        <v>1127</v>
      </c>
      <c r="AM698" s="1503" t="s">
        <v>1906</v>
      </c>
      <c r="AN698" s="1504">
        <v>1</v>
      </c>
      <c r="AO698" s="1539">
        <v>0.13</v>
      </c>
      <c r="AP698" s="1506" t="s">
        <v>635</v>
      </c>
    </row>
    <row r="699" spans="1:42" ht="30">
      <c r="A699" s="1507" t="s">
        <v>240</v>
      </c>
      <c r="B699" s="1508" t="s">
        <v>3193</v>
      </c>
      <c r="C699" s="1509">
        <v>252.32</v>
      </c>
      <c r="D699" s="1510" t="s">
        <v>1883</v>
      </c>
      <c r="E699" s="1511">
        <v>1.8683564999999999E-5</v>
      </c>
      <c r="F699" s="1511">
        <v>4.5699999999999998E-7</v>
      </c>
      <c r="G699" s="1512" t="s">
        <v>1883</v>
      </c>
      <c r="H699" s="1511">
        <v>5.4899999999999999E-9</v>
      </c>
      <c r="I699" s="1512" t="s">
        <v>1199</v>
      </c>
      <c r="J699" s="1513">
        <v>176.5</v>
      </c>
      <c r="K699" s="1514" t="s">
        <v>1883</v>
      </c>
      <c r="L699" s="1515">
        <v>1.351</v>
      </c>
      <c r="M699" s="1516" t="s">
        <v>2258</v>
      </c>
      <c r="N699" s="1517">
        <v>2.547643760558E-2</v>
      </c>
      <c r="O699" s="1517">
        <v>6.58406296339E-6</v>
      </c>
      <c r="P699" s="1518" t="s">
        <v>1885</v>
      </c>
      <c r="Q699" s="1519" t="s">
        <v>635</v>
      </c>
      <c r="R699" s="1520"/>
      <c r="S699" s="1519">
        <v>587400</v>
      </c>
      <c r="T699" s="1519" t="s">
        <v>1199</v>
      </c>
      <c r="U699" s="1519">
        <v>6.13</v>
      </c>
      <c r="V699" s="1521" t="s">
        <v>1883</v>
      </c>
      <c r="W699" s="1522">
        <v>1.6199999999999999E-3</v>
      </c>
      <c r="X699" s="1523" t="s">
        <v>1883</v>
      </c>
      <c r="Y699" s="1524">
        <v>4.3560416128113797</v>
      </c>
      <c r="Z699" s="1524">
        <v>2.72170311040471</v>
      </c>
      <c r="AA699" s="1524">
        <v>11.8221045485476</v>
      </c>
      <c r="AB699" s="1524">
        <v>0.71299999999999997</v>
      </c>
      <c r="AC699" s="1525" t="s">
        <v>1199</v>
      </c>
      <c r="AD699" s="1526">
        <v>1</v>
      </c>
      <c r="AE699" s="1529" t="s">
        <v>1119</v>
      </c>
      <c r="AF699" s="1528">
        <v>5.9999999999999995E-4</v>
      </c>
      <c r="AG699" s="1529" t="s">
        <v>1119</v>
      </c>
      <c r="AH699" s="1528">
        <v>2.9999999999999997E-4</v>
      </c>
      <c r="AI699" s="1529" t="s">
        <v>1119</v>
      </c>
      <c r="AJ699" s="1528">
        <v>1.9999999999999999E-6</v>
      </c>
      <c r="AK699" s="1529" t="s">
        <v>1119</v>
      </c>
      <c r="AL699" s="1527"/>
      <c r="AM699" s="1529" t="s">
        <v>1906</v>
      </c>
      <c r="AN699" s="1530">
        <v>1</v>
      </c>
      <c r="AO699" s="1541">
        <v>0.13</v>
      </c>
      <c r="AP699" s="1532" t="s">
        <v>635</v>
      </c>
    </row>
    <row r="700" spans="1:42" ht="30">
      <c r="A700" s="1481" t="s">
        <v>242</v>
      </c>
      <c r="B700" s="1482" t="s">
        <v>3194</v>
      </c>
      <c r="C700" s="1483">
        <v>252.32</v>
      </c>
      <c r="D700" s="1484" t="s">
        <v>1883</v>
      </c>
      <c r="E700" s="1485">
        <v>2.6860179890000001E-5</v>
      </c>
      <c r="F700" s="1485">
        <v>6.5700000000000002E-7</v>
      </c>
      <c r="G700" s="1486" t="s">
        <v>1883</v>
      </c>
      <c r="H700" s="1485">
        <v>4.9999999999999998E-7</v>
      </c>
      <c r="I700" s="1486" t="s">
        <v>1883</v>
      </c>
      <c r="J700" s="1487">
        <v>168</v>
      </c>
      <c r="K700" s="1488" t="s">
        <v>1883</v>
      </c>
      <c r="L700" s="1489">
        <v>1.3</v>
      </c>
      <c r="M700" s="1490" t="s">
        <v>3195</v>
      </c>
      <c r="N700" s="1491">
        <v>2.502243175992E-2</v>
      </c>
      <c r="O700" s="1491">
        <v>6.4337884593199996E-6</v>
      </c>
      <c r="P700" s="1492" t="s">
        <v>1885</v>
      </c>
      <c r="Q700" s="1493" t="s">
        <v>635</v>
      </c>
      <c r="R700" s="1494"/>
      <c r="S700" s="1493">
        <v>599400</v>
      </c>
      <c r="T700" s="1493" t="s">
        <v>1199</v>
      </c>
      <c r="U700" s="1493">
        <v>5.78</v>
      </c>
      <c r="V700" s="1495" t="s">
        <v>1883</v>
      </c>
      <c r="W700" s="1496">
        <v>1.5E-3</v>
      </c>
      <c r="X700" s="1497" t="s">
        <v>1883</v>
      </c>
      <c r="Y700" s="1498">
        <v>2.5476428506905302</v>
      </c>
      <c r="Z700" s="1498">
        <v>2.72170311040471</v>
      </c>
      <c r="AA700" s="1498">
        <v>11.342074091747</v>
      </c>
      <c r="AB700" s="1498">
        <v>0.41699999999999998</v>
      </c>
      <c r="AC700" s="1499" t="s">
        <v>1199</v>
      </c>
      <c r="AD700" s="1500">
        <v>0.1</v>
      </c>
      <c r="AE700" s="1503" t="s">
        <v>3192</v>
      </c>
      <c r="AF700" s="1502">
        <v>6.0000000000000002E-5</v>
      </c>
      <c r="AG700" s="1503" t="s">
        <v>3192</v>
      </c>
      <c r="AH700" s="1502" t="s">
        <v>635</v>
      </c>
      <c r="AI700" s="1501"/>
      <c r="AJ700" s="1502" t="s">
        <v>635</v>
      </c>
      <c r="AK700" s="1501"/>
      <c r="AL700" s="1501"/>
      <c r="AM700" s="1503" t="s">
        <v>1906</v>
      </c>
      <c r="AN700" s="1504">
        <v>1</v>
      </c>
      <c r="AO700" s="1539">
        <v>0.13</v>
      </c>
      <c r="AP700" s="1506" t="s">
        <v>635</v>
      </c>
    </row>
    <row r="701" spans="1:42" ht="30">
      <c r="A701" s="1481" t="s">
        <v>3196</v>
      </c>
      <c r="B701" s="1482" t="s">
        <v>3197</v>
      </c>
      <c r="C701" s="1483">
        <v>252.32</v>
      </c>
      <c r="D701" s="1484" t="s">
        <v>1199</v>
      </c>
      <c r="E701" s="1485">
        <v>1.2165E-5</v>
      </c>
      <c r="F701" s="1485">
        <v>2.9999999999999999E-7</v>
      </c>
      <c r="G701" s="1486" t="s">
        <v>1199</v>
      </c>
      <c r="H701" s="1485">
        <v>5.6999999999999998E-9</v>
      </c>
      <c r="I701" s="1486" t="s">
        <v>1199</v>
      </c>
      <c r="J701" s="1487">
        <v>177.5</v>
      </c>
      <c r="K701" s="1488" t="s">
        <v>1199</v>
      </c>
      <c r="L701" s="1489">
        <v>1.1549</v>
      </c>
      <c r="M701" s="1490" t="s">
        <v>2006</v>
      </c>
      <c r="N701" s="1491">
        <v>2.3666052189299999E-2</v>
      </c>
      <c r="O701" s="1491">
        <v>5.9927670304899997E-6</v>
      </c>
      <c r="P701" s="1492" t="s">
        <v>1885</v>
      </c>
      <c r="Q701" s="1493" t="s">
        <v>635</v>
      </c>
      <c r="R701" s="1494"/>
      <c r="S701" s="1493">
        <v>599400</v>
      </c>
      <c r="T701" s="1493" t="s">
        <v>1199</v>
      </c>
      <c r="U701" s="1493">
        <v>6.44</v>
      </c>
      <c r="V701" s="1495" t="s">
        <v>1199</v>
      </c>
      <c r="W701" s="1496">
        <v>6.3E-3</v>
      </c>
      <c r="X701" s="1497" t="s">
        <v>1199</v>
      </c>
      <c r="Y701" s="1498">
        <v>7.0258735690506198</v>
      </c>
      <c r="Z701" s="1498">
        <v>2.72170311040471</v>
      </c>
      <c r="AA701" s="1498">
        <v>12.149362325644899</v>
      </c>
      <c r="AB701" s="1498">
        <v>1.1499999999999999</v>
      </c>
      <c r="AC701" s="1499" t="s">
        <v>1199</v>
      </c>
      <c r="AD701" s="1500" t="s">
        <v>635</v>
      </c>
      <c r="AE701" s="1501"/>
      <c r="AF701" s="1502" t="s">
        <v>635</v>
      </c>
      <c r="AG701" s="1501"/>
      <c r="AH701" s="1502">
        <v>9.0000000000000006E-5</v>
      </c>
      <c r="AI701" s="1503" t="s">
        <v>1893</v>
      </c>
      <c r="AJ701" s="1502">
        <v>1.9999999999999999E-6</v>
      </c>
      <c r="AK701" s="1503" t="s">
        <v>1893</v>
      </c>
      <c r="AL701" s="1501"/>
      <c r="AM701" s="1501"/>
      <c r="AN701" s="1504">
        <v>1</v>
      </c>
      <c r="AO701" s="1505">
        <v>0.1</v>
      </c>
      <c r="AP701" s="1506" t="s">
        <v>635</v>
      </c>
    </row>
    <row r="702" spans="1:42" ht="30">
      <c r="A702" s="1507" t="s">
        <v>3198</v>
      </c>
      <c r="B702" s="1508" t="s">
        <v>3199</v>
      </c>
      <c r="C702" s="1509">
        <v>252.32</v>
      </c>
      <c r="D702" s="1510" t="s">
        <v>1883</v>
      </c>
      <c r="E702" s="1511">
        <v>8.2992641046599993E-6</v>
      </c>
      <c r="F702" s="1511">
        <v>2.03E-7</v>
      </c>
      <c r="G702" s="1512" t="s">
        <v>1883</v>
      </c>
      <c r="H702" s="1511">
        <v>2.62E-8</v>
      </c>
      <c r="I702" s="1512" t="s">
        <v>1883</v>
      </c>
      <c r="J702" s="1513">
        <v>166</v>
      </c>
      <c r="K702" s="1514" t="s">
        <v>1883</v>
      </c>
      <c r="L702" s="1515" t="s">
        <v>635</v>
      </c>
      <c r="M702" s="1538"/>
      <c r="N702" s="1517">
        <v>4.7583072726949997E-2</v>
      </c>
      <c r="O702" s="1517">
        <v>5.5597063923100003E-6</v>
      </c>
      <c r="P702" s="1518" t="s">
        <v>1885</v>
      </c>
      <c r="Q702" s="1519" t="s">
        <v>635</v>
      </c>
      <c r="R702" s="1520"/>
      <c r="S702" s="1519">
        <v>599400</v>
      </c>
      <c r="T702" s="1519" t="s">
        <v>1199</v>
      </c>
      <c r="U702" s="1519">
        <v>6.11</v>
      </c>
      <c r="V702" s="1521" t="s">
        <v>1883</v>
      </c>
      <c r="W702" s="1522">
        <v>2.5000000000000001E-3</v>
      </c>
      <c r="X702" s="1523" t="s">
        <v>1883</v>
      </c>
      <c r="Y702" s="1524">
        <v>4.2155241414303699</v>
      </c>
      <c r="Z702" s="1524">
        <v>2.72170311040471</v>
      </c>
      <c r="AA702" s="1524">
        <v>11.795999034671301</v>
      </c>
      <c r="AB702" s="1524">
        <v>0.69</v>
      </c>
      <c r="AC702" s="1525" t="s">
        <v>1199</v>
      </c>
      <c r="AD702" s="1526">
        <v>1.2</v>
      </c>
      <c r="AE702" s="1529" t="s">
        <v>1900</v>
      </c>
      <c r="AF702" s="1528">
        <v>1.1E-4</v>
      </c>
      <c r="AG702" s="1529" t="s">
        <v>1900</v>
      </c>
      <c r="AH702" s="1528" t="s">
        <v>635</v>
      </c>
      <c r="AI702" s="1527"/>
      <c r="AJ702" s="1528" t="s">
        <v>635</v>
      </c>
      <c r="AK702" s="1527"/>
      <c r="AL702" s="1527"/>
      <c r="AM702" s="1527"/>
      <c r="AN702" s="1530">
        <v>1</v>
      </c>
      <c r="AO702" s="1541">
        <v>0.13</v>
      </c>
      <c r="AP702" s="1532" t="s">
        <v>635</v>
      </c>
    </row>
    <row r="703" spans="1:42" ht="30">
      <c r="A703" s="1481" t="s">
        <v>244</v>
      </c>
      <c r="B703" s="1482" t="s">
        <v>3200</v>
      </c>
      <c r="C703" s="1483">
        <v>252.32</v>
      </c>
      <c r="D703" s="1484" t="s">
        <v>1883</v>
      </c>
      <c r="E703" s="1485">
        <v>2.3875715449999999E-5</v>
      </c>
      <c r="F703" s="1485">
        <v>5.8400000000000004E-7</v>
      </c>
      <c r="G703" s="1486" t="s">
        <v>1883</v>
      </c>
      <c r="H703" s="1485">
        <v>9.6500000000000008E-10</v>
      </c>
      <c r="I703" s="1486" t="s">
        <v>1199</v>
      </c>
      <c r="J703" s="1487">
        <v>217</v>
      </c>
      <c r="K703" s="1488" t="s">
        <v>1883</v>
      </c>
      <c r="L703" s="1489">
        <v>1.3</v>
      </c>
      <c r="M703" s="1533"/>
      <c r="N703" s="1491">
        <v>2.502243175992E-2</v>
      </c>
      <c r="O703" s="1491">
        <v>6.4337884593199996E-6</v>
      </c>
      <c r="P703" s="1492" t="s">
        <v>1885</v>
      </c>
      <c r="Q703" s="1493" t="s">
        <v>635</v>
      </c>
      <c r="R703" s="1494"/>
      <c r="S703" s="1493">
        <v>587400</v>
      </c>
      <c r="T703" s="1493" t="s">
        <v>1199</v>
      </c>
      <c r="U703" s="1493">
        <v>6.11</v>
      </c>
      <c r="V703" s="1495" t="s">
        <v>1883</v>
      </c>
      <c r="W703" s="1496">
        <v>8.0000000000000004E-4</v>
      </c>
      <c r="X703" s="1497" t="s">
        <v>1883</v>
      </c>
      <c r="Y703" s="1498">
        <v>4.22163359670781</v>
      </c>
      <c r="Z703" s="1498">
        <v>2.72170311040471</v>
      </c>
      <c r="AA703" s="1498">
        <v>11.7971618300472</v>
      </c>
      <c r="AB703" s="1498">
        <v>0.69099999999999995</v>
      </c>
      <c r="AC703" s="1499" t="s">
        <v>1199</v>
      </c>
      <c r="AD703" s="1500">
        <v>0.01</v>
      </c>
      <c r="AE703" s="1503" t="s">
        <v>3192</v>
      </c>
      <c r="AF703" s="1502">
        <v>6.0000000000000002E-6</v>
      </c>
      <c r="AG703" s="1503" t="s">
        <v>3192</v>
      </c>
      <c r="AH703" s="1502" t="s">
        <v>635</v>
      </c>
      <c r="AI703" s="1501"/>
      <c r="AJ703" s="1502" t="s">
        <v>635</v>
      </c>
      <c r="AK703" s="1501"/>
      <c r="AL703" s="1501"/>
      <c r="AM703" s="1503" t="s">
        <v>1906</v>
      </c>
      <c r="AN703" s="1504">
        <v>1</v>
      </c>
      <c r="AO703" s="1539">
        <v>0.13</v>
      </c>
      <c r="AP703" s="1506" t="s">
        <v>635</v>
      </c>
    </row>
    <row r="704" spans="1:42" ht="30">
      <c r="A704" s="1481" t="s">
        <v>3201</v>
      </c>
      <c r="B704" s="1482" t="s">
        <v>3202</v>
      </c>
      <c r="C704" s="1483">
        <v>216.29</v>
      </c>
      <c r="D704" s="1484" t="s">
        <v>1883</v>
      </c>
      <c r="E704" s="1485">
        <v>1.5985282092999999E-4</v>
      </c>
      <c r="F704" s="1485">
        <v>3.9099999999999998E-6</v>
      </c>
      <c r="G704" s="1486" t="s">
        <v>1199</v>
      </c>
      <c r="H704" s="1485">
        <v>5.5000000000000003E-8</v>
      </c>
      <c r="I704" s="1486" t="s">
        <v>1199</v>
      </c>
      <c r="J704" s="1487">
        <v>212</v>
      </c>
      <c r="K704" s="1488" t="s">
        <v>1883</v>
      </c>
      <c r="L704" s="1489" t="s">
        <v>635</v>
      </c>
      <c r="M704" s="1533"/>
      <c r="N704" s="1491">
        <v>5.2730591198469998E-2</v>
      </c>
      <c r="O704" s="1491">
        <v>6.1611532874000003E-6</v>
      </c>
      <c r="P704" s="1492" t="s">
        <v>1885</v>
      </c>
      <c r="Q704" s="1493" t="s">
        <v>635</v>
      </c>
      <c r="R704" s="1494"/>
      <c r="S704" s="1493">
        <v>97040</v>
      </c>
      <c r="T704" s="1493" t="s">
        <v>1199</v>
      </c>
      <c r="U704" s="1493">
        <v>5.77</v>
      </c>
      <c r="V704" s="1495" t="s">
        <v>1883</v>
      </c>
      <c r="W704" s="1496">
        <v>4.0000000000000001E-3</v>
      </c>
      <c r="X704" s="1497" t="s">
        <v>1883</v>
      </c>
      <c r="Y704" s="1498">
        <v>3.6993261348617299</v>
      </c>
      <c r="Z704" s="1498">
        <v>1.7103017874803501</v>
      </c>
      <c r="AA704" s="1498">
        <v>7.3443320950155702</v>
      </c>
      <c r="AB704" s="1498">
        <v>0.65400000000000003</v>
      </c>
      <c r="AC704" s="1499" t="s">
        <v>1199</v>
      </c>
      <c r="AD704" s="1500" t="s">
        <v>635</v>
      </c>
      <c r="AE704" s="1501"/>
      <c r="AF704" s="1502" t="s">
        <v>635</v>
      </c>
      <c r="AG704" s="1501"/>
      <c r="AH704" s="1502">
        <v>5.0000000000000001E-3</v>
      </c>
      <c r="AI704" s="1503" t="s">
        <v>1893</v>
      </c>
      <c r="AJ704" s="1502" t="s">
        <v>635</v>
      </c>
      <c r="AK704" s="1501"/>
      <c r="AL704" s="1501"/>
      <c r="AM704" s="1501"/>
      <c r="AN704" s="1504">
        <v>1</v>
      </c>
      <c r="AO704" s="1505">
        <v>0.1</v>
      </c>
      <c r="AP704" s="1506" t="s">
        <v>635</v>
      </c>
    </row>
    <row r="705" spans="1:42" ht="30">
      <c r="A705" s="1507" t="s">
        <v>3203</v>
      </c>
      <c r="B705" s="1508" t="s">
        <v>3204</v>
      </c>
      <c r="C705" s="1509">
        <v>162.62</v>
      </c>
      <c r="D705" s="1510" t="s">
        <v>1883</v>
      </c>
      <c r="E705" s="1511">
        <v>1.3082583810300001E-2</v>
      </c>
      <c r="F705" s="1511">
        <v>3.2000000000000003E-4</v>
      </c>
      <c r="G705" s="1512" t="s">
        <v>1883</v>
      </c>
      <c r="H705" s="1511">
        <v>1.2200000000000001E-2</v>
      </c>
      <c r="I705" s="1512" t="s">
        <v>1199</v>
      </c>
      <c r="J705" s="1513">
        <v>61</v>
      </c>
      <c r="K705" s="1514" t="s">
        <v>1883</v>
      </c>
      <c r="L705" s="1515">
        <v>1.1376999999999999</v>
      </c>
      <c r="M705" s="1516" t="s">
        <v>1884</v>
      </c>
      <c r="N705" s="1517">
        <v>4.4691406733480002E-2</v>
      </c>
      <c r="O705" s="1517">
        <v>7.7300811363000005E-6</v>
      </c>
      <c r="P705" s="1518" t="s">
        <v>1885</v>
      </c>
      <c r="Q705" s="1519" t="s">
        <v>635</v>
      </c>
      <c r="R705" s="1520"/>
      <c r="S705" s="1519">
        <v>2478</v>
      </c>
      <c r="T705" s="1519" t="s">
        <v>1199</v>
      </c>
      <c r="U705" s="1519">
        <v>3.9</v>
      </c>
      <c r="V705" s="1521" t="s">
        <v>1883</v>
      </c>
      <c r="W705" s="1522">
        <v>11.7</v>
      </c>
      <c r="X705" s="1523" t="s">
        <v>1883</v>
      </c>
      <c r="Y705" s="1524">
        <v>0.36736302970183998</v>
      </c>
      <c r="Z705" s="1524">
        <v>0.85609261292810002</v>
      </c>
      <c r="AA705" s="1524">
        <v>2.05462227102743</v>
      </c>
      <c r="AB705" s="1524">
        <v>7.4899999999999994E-2</v>
      </c>
      <c r="AC705" s="1525" t="s">
        <v>1199</v>
      </c>
      <c r="AD705" s="1526" t="s">
        <v>635</v>
      </c>
      <c r="AE705" s="1527"/>
      <c r="AF705" s="1528" t="s">
        <v>635</v>
      </c>
      <c r="AG705" s="1527"/>
      <c r="AH705" s="1528">
        <v>0.08</v>
      </c>
      <c r="AI705" s="1529" t="s">
        <v>1119</v>
      </c>
      <c r="AJ705" s="1528" t="s">
        <v>635</v>
      </c>
      <c r="AK705" s="1527"/>
      <c r="AL705" s="1529" t="s">
        <v>1127</v>
      </c>
      <c r="AM705" s="1527"/>
      <c r="AN705" s="1530">
        <v>1</v>
      </c>
      <c r="AO705" s="1541">
        <v>0.13</v>
      </c>
      <c r="AP705" s="1532" t="s">
        <v>635</v>
      </c>
    </row>
    <row r="706" spans="1:42" ht="30">
      <c r="A706" s="1481" t="s">
        <v>246</v>
      </c>
      <c r="B706" s="1482" t="s">
        <v>3205</v>
      </c>
      <c r="C706" s="1483">
        <v>228.3</v>
      </c>
      <c r="D706" s="1484" t="s">
        <v>1883</v>
      </c>
      <c r="E706" s="1485">
        <v>2.1381847915000001E-4</v>
      </c>
      <c r="F706" s="1485">
        <v>5.2299999999999999E-6</v>
      </c>
      <c r="G706" s="1486" t="s">
        <v>1883</v>
      </c>
      <c r="H706" s="1485">
        <v>6.2300000000000002E-9</v>
      </c>
      <c r="I706" s="1486" t="s">
        <v>1883</v>
      </c>
      <c r="J706" s="1487">
        <v>258.2</v>
      </c>
      <c r="K706" s="1488" t="s">
        <v>1883</v>
      </c>
      <c r="L706" s="1489">
        <v>1.274</v>
      </c>
      <c r="M706" s="1490" t="s">
        <v>1884</v>
      </c>
      <c r="N706" s="1491">
        <v>2.6113777679239999E-2</v>
      </c>
      <c r="O706" s="1491">
        <v>6.7494732657100002E-6</v>
      </c>
      <c r="P706" s="1492" t="s">
        <v>1885</v>
      </c>
      <c r="Q706" s="1493" t="s">
        <v>635</v>
      </c>
      <c r="R706" s="1494"/>
      <c r="S706" s="1493">
        <v>180500</v>
      </c>
      <c r="T706" s="1493" t="s">
        <v>1199</v>
      </c>
      <c r="U706" s="1493">
        <v>5.81</v>
      </c>
      <c r="V706" s="1495" t="s">
        <v>1883</v>
      </c>
      <c r="W706" s="1496">
        <v>2E-3</v>
      </c>
      <c r="X706" s="1497" t="s">
        <v>1883</v>
      </c>
      <c r="Y706" s="1498">
        <v>3.4635851385283298</v>
      </c>
      <c r="Z706" s="1498">
        <v>1.99677324839304</v>
      </c>
      <c r="AA706" s="1498">
        <v>8.5324002686394103</v>
      </c>
      <c r="AB706" s="1498">
        <v>0.59599999999999997</v>
      </c>
      <c r="AC706" s="1499" t="s">
        <v>1199</v>
      </c>
      <c r="AD706" s="1500">
        <v>1E-3</v>
      </c>
      <c r="AE706" s="1503" t="s">
        <v>3192</v>
      </c>
      <c r="AF706" s="1502">
        <v>5.9999999999999997E-7</v>
      </c>
      <c r="AG706" s="1503" t="s">
        <v>3192</v>
      </c>
      <c r="AH706" s="1502" t="s">
        <v>635</v>
      </c>
      <c r="AI706" s="1501"/>
      <c r="AJ706" s="1502" t="s">
        <v>635</v>
      </c>
      <c r="AK706" s="1501"/>
      <c r="AL706" s="1501"/>
      <c r="AM706" s="1503" t="s">
        <v>1906</v>
      </c>
      <c r="AN706" s="1504">
        <v>1</v>
      </c>
      <c r="AO706" s="1539">
        <v>0.13</v>
      </c>
      <c r="AP706" s="1506" t="s">
        <v>635</v>
      </c>
    </row>
    <row r="707" spans="1:42" ht="30">
      <c r="A707" s="1481" t="s">
        <v>248</v>
      </c>
      <c r="B707" s="1482" t="s">
        <v>3206</v>
      </c>
      <c r="C707" s="1483">
        <v>278.36</v>
      </c>
      <c r="D707" s="1484" t="s">
        <v>1883</v>
      </c>
      <c r="E707" s="1485">
        <v>5.7645134914099999E-6</v>
      </c>
      <c r="F707" s="1485">
        <v>1.4100000000000001E-7</v>
      </c>
      <c r="G707" s="1486" t="s">
        <v>1199</v>
      </c>
      <c r="H707" s="1485">
        <v>9.5499999999999991E-10</v>
      </c>
      <c r="I707" s="1486" t="s">
        <v>1199</v>
      </c>
      <c r="J707" s="1487">
        <v>269.5</v>
      </c>
      <c r="K707" s="1488" t="s">
        <v>1883</v>
      </c>
      <c r="L707" s="1489">
        <v>1.282</v>
      </c>
      <c r="M707" s="1490" t="s">
        <v>1890</v>
      </c>
      <c r="N707" s="1491">
        <v>2.3619333430940002E-2</v>
      </c>
      <c r="O707" s="1491">
        <v>6.0150672880599997E-6</v>
      </c>
      <c r="P707" s="1492" t="s">
        <v>1885</v>
      </c>
      <c r="Q707" s="1493" t="s">
        <v>635</v>
      </c>
      <c r="R707" s="1494"/>
      <c r="S707" s="1493">
        <v>1912000</v>
      </c>
      <c r="T707" s="1493" t="s">
        <v>1199</v>
      </c>
      <c r="U707" s="1493">
        <v>6.75</v>
      </c>
      <c r="V707" s="1495" t="s">
        <v>1883</v>
      </c>
      <c r="W707" s="1496">
        <v>2.49E-3</v>
      </c>
      <c r="X707" s="1497" t="s">
        <v>1883</v>
      </c>
      <c r="Y707" s="1498">
        <v>6.1153732128582599</v>
      </c>
      <c r="Z707" s="1498">
        <v>3.8077177598421001</v>
      </c>
      <c r="AA707" s="1498">
        <v>16.878565185445101</v>
      </c>
      <c r="AB707" s="1498">
        <v>0.95299999999999996</v>
      </c>
      <c r="AC707" s="1499" t="s">
        <v>1199</v>
      </c>
      <c r="AD707" s="1500">
        <v>1</v>
      </c>
      <c r="AE707" s="1503" t="s">
        <v>3192</v>
      </c>
      <c r="AF707" s="1502">
        <v>5.9999999999999995E-4</v>
      </c>
      <c r="AG707" s="1503" t="s">
        <v>3192</v>
      </c>
      <c r="AH707" s="1502" t="s">
        <v>635</v>
      </c>
      <c r="AI707" s="1501"/>
      <c r="AJ707" s="1502" t="s">
        <v>635</v>
      </c>
      <c r="AK707" s="1501"/>
      <c r="AL707" s="1501"/>
      <c r="AM707" s="1503" t="s">
        <v>1906</v>
      </c>
      <c r="AN707" s="1504">
        <v>1</v>
      </c>
      <c r="AO707" s="1539">
        <v>0.13</v>
      </c>
      <c r="AP707" s="1506" t="s">
        <v>635</v>
      </c>
    </row>
    <row r="708" spans="1:42" ht="30">
      <c r="A708" s="1507" t="s">
        <v>3207</v>
      </c>
      <c r="B708" s="1508" t="s">
        <v>3208</v>
      </c>
      <c r="C708" s="1509">
        <v>302.38</v>
      </c>
      <c r="D708" s="1510" t="s">
        <v>1883</v>
      </c>
      <c r="E708" s="1511">
        <v>5.7645134914099999E-7</v>
      </c>
      <c r="F708" s="1511">
        <v>1.4100000000000001E-8</v>
      </c>
      <c r="G708" s="1512" t="s">
        <v>1883</v>
      </c>
      <c r="H708" s="1511">
        <v>7.0300000000000005E-11</v>
      </c>
      <c r="I708" s="1512" t="s">
        <v>1883</v>
      </c>
      <c r="J708" s="1513">
        <v>233.5</v>
      </c>
      <c r="K708" s="1514" t="s">
        <v>1883</v>
      </c>
      <c r="L708" s="1515" t="s">
        <v>635</v>
      </c>
      <c r="M708" s="1538"/>
      <c r="N708" s="1517">
        <v>4.2174656993009998E-2</v>
      </c>
      <c r="O708" s="1517">
        <v>4.92777571181E-6</v>
      </c>
      <c r="P708" s="1518" t="s">
        <v>1885</v>
      </c>
      <c r="Q708" s="1519" t="s">
        <v>635</v>
      </c>
      <c r="R708" s="1520"/>
      <c r="S708" s="1519">
        <v>6479000</v>
      </c>
      <c r="T708" s="1519" t="s">
        <v>1199</v>
      </c>
      <c r="U708" s="1519">
        <v>7.71</v>
      </c>
      <c r="V708" s="1521" t="s">
        <v>1199</v>
      </c>
      <c r="W708" s="1522">
        <v>8.0220000000000001E-5</v>
      </c>
      <c r="X708" s="1523" t="s">
        <v>1883</v>
      </c>
      <c r="Y708" s="1524">
        <v>28.0231664465725</v>
      </c>
      <c r="Z708" s="1524">
        <v>5.1901122367528796</v>
      </c>
      <c r="AA708" s="1524">
        <v>24.097321623559299</v>
      </c>
      <c r="AB708" s="1524">
        <v>4.1900000000000004</v>
      </c>
      <c r="AC708" s="1525" t="s">
        <v>1199</v>
      </c>
      <c r="AD708" s="1526">
        <v>12</v>
      </c>
      <c r="AE708" s="1529" t="s">
        <v>1900</v>
      </c>
      <c r="AF708" s="1528">
        <v>1.1000000000000001E-3</v>
      </c>
      <c r="AG708" s="1529" t="s">
        <v>1900</v>
      </c>
      <c r="AH708" s="1528" t="s">
        <v>635</v>
      </c>
      <c r="AI708" s="1527"/>
      <c r="AJ708" s="1528" t="s">
        <v>635</v>
      </c>
      <c r="AK708" s="1527"/>
      <c r="AL708" s="1527"/>
      <c r="AM708" s="1527"/>
      <c r="AN708" s="1530">
        <v>1</v>
      </c>
      <c r="AO708" s="1541">
        <v>0.13</v>
      </c>
      <c r="AP708" s="1532" t="s">
        <v>635</v>
      </c>
    </row>
    <row r="709" spans="1:42" ht="30">
      <c r="A709" s="1481" t="s">
        <v>3209</v>
      </c>
      <c r="B709" s="1482" t="s">
        <v>3210</v>
      </c>
      <c r="C709" s="1483">
        <v>256.35000000000002</v>
      </c>
      <c r="D709" s="1484" t="s">
        <v>1883</v>
      </c>
      <c r="E709" s="1485">
        <v>1.5372035976999999E-4</v>
      </c>
      <c r="F709" s="1485">
        <v>3.76E-6</v>
      </c>
      <c r="G709" s="1486" t="s">
        <v>1199</v>
      </c>
      <c r="H709" s="1485">
        <v>6.7999999999999995E-7</v>
      </c>
      <c r="I709" s="1486" t="s">
        <v>1883</v>
      </c>
      <c r="J709" s="1487">
        <v>122.5</v>
      </c>
      <c r="K709" s="1488" t="s">
        <v>1883</v>
      </c>
      <c r="L709" s="1489" t="s">
        <v>635</v>
      </c>
      <c r="M709" s="1533"/>
      <c r="N709" s="1491">
        <v>4.7083064251739998E-2</v>
      </c>
      <c r="O709" s="1491">
        <v>5.5012843494100004E-6</v>
      </c>
      <c r="P709" s="1492" t="s">
        <v>1885</v>
      </c>
      <c r="Q709" s="1493" t="s">
        <v>635</v>
      </c>
      <c r="R709" s="1494"/>
      <c r="S709" s="1493">
        <v>493600</v>
      </c>
      <c r="T709" s="1493" t="s">
        <v>1199</v>
      </c>
      <c r="U709" s="1493">
        <v>5.8</v>
      </c>
      <c r="V709" s="1495" t="s">
        <v>1883</v>
      </c>
      <c r="W709" s="1496">
        <v>6.0999999999999999E-2</v>
      </c>
      <c r="X709" s="1497" t="s">
        <v>1883</v>
      </c>
      <c r="Y709" s="1498">
        <v>2.5124849906820099</v>
      </c>
      <c r="Z709" s="1498">
        <v>2.86687494811635</v>
      </c>
      <c r="AA709" s="1498">
        <v>11.932626949096001</v>
      </c>
      <c r="AB709" s="1498">
        <v>0.40799999999999997</v>
      </c>
      <c r="AC709" s="1499" t="s">
        <v>1199</v>
      </c>
      <c r="AD709" s="1500">
        <v>250</v>
      </c>
      <c r="AE709" s="1503" t="s">
        <v>1900</v>
      </c>
      <c r="AF709" s="1502">
        <v>7.0999999999999994E-2</v>
      </c>
      <c r="AG709" s="1503" t="s">
        <v>1900</v>
      </c>
      <c r="AH709" s="1502" t="s">
        <v>635</v>
      </c>
      <c r="AI709" s="1501"/>
      <c r="AJ709" s="1502" t="s">
        <v>635</v>
      </c>
      <c r="AK709" s="1501"/>
      <c r="AL709" s="1501"/>
      <c r="AM709" s="1503" t="s">
        <v>1906</v>
      </c>
      <c r="AN709" s="1504">
        <v>1</v>
      </c>
      <c r="AO709" s="1539">
        <v>0.13</v>
      </c>
      <c r="AP709" s="1506" t="s">
        <v>635</v>
      </c>
    </row>
    <row r="710" spans="1:42" ht="30">
      <c r="A710" s="1481" t="s">
        <v>250</v>
      </c>
      <c r="B710" s="1482" t="s">
        <v>3211</v>
      </c>
      <c r="C710" s="1483">
        <v>202.26</v>
      </c>
      <c r="D710" s="1484" t="s">
        <v>1883</v>
      </c>
      <c r="E710" s="1485">
        <v>3.6222403925000003E-4</v>
      </c>
      <c r="F710" s="1485">
        <v>8.8599999999999999E-6</v>
      </c>
      <c r="G710" s="1486" t="s">
        <v>1883</v>
      </c>
      <c r="H710" s="1485">
        <v>9.2199999999999998E-6</v>
      </c>
      <c r="I710" s="1486" t="s">
        <v>1883</v>
      </c>
      <c r="J710" s="1487">
        <v>107.8</v>
      </c>
      <c r="K710" s="1488" t="s">
        <v>1883</v>
      </c>
      <c r="L710" s="1489">
        <v>1.252</v>
      </c>
      <c r="M710" s="1490" t="s">
        <v>1884</v>
      </c>
      <c r="N710" s="1491">
        <v>2.7595746957609999E-2</v>
      </c>
      <c r="O710" s="1491">
        <v>7.1827105768400001E-6</v>
      </c>
      <c r="P710" s="1492" t="s">
        <v>1885</v>
      </c>
      <c r="Q710" s="1493" t="s">
        <v>635</v>
      </c>
      <c r="R710" s="1494"/>
      <c r="S710" s="1493">
        <v>55450</v>
      </c>
      <c r="T710" s="1493" t="s">
        <v>1199</v>
      </c>
      <c r="U710" s="1493">
        <v>5.16</v>
      </c>
      <c r="V710" s="1495" t="s">
        <v>1883</v>
      </c>
      <c r="W710" s="1496">
        <v>0.26</v>
      </c>
      <c r="X710" s="1497" t="s">
        <v>1883</v>
      </c>
      <c r="Y710" s="1498">
        <v>1.6847379934306901</v>
      </c>
      <c r="Z710" s="1498">
        <v>1.42726543921932</v>
      </c>
      <c r="AA710" s="1498">
        <v>5.7297979152854701</v>
      </c>
      <c r="AB710" s="1498">
        <v>0.308</v>
      </c>
      <c r="AC710" s="1499" t="s">
        <v>1199</v>
      </c>
      <c r="AD710" s="1500" t="s">
        <v>635</v>
      </c>
      <c r="AE710" s="1501"/>
      <c r="AF710" s="1502" t="s">
        <v>635</v>
      </c>
      <c r="AG710" s="1501"/>
      <c r="AH710" s="1502">
        <v>0.04</v>
      </c>
      <c r="AI710" s="1503" t="s">
        <v>1119</v>
      </c>
      <c r="AJ710" s="1502" t="s">
        <v>635</v>
      </c>
      <c r="AK710" s="1501"/>
      <c r="AL710" s="1501"/>
      <c r="AM710" s="1501"/>
      <c r="AN710" s="1504">
        <v>1</v>
      </c>
      <c r="AO710" s="1539">
        <v>0.13</v>
      </c>
      <c r="AP710" s="1506" t="s">
        <v>635</v>
      </c>
    </row>
    <row r="711" spans="1:42" ht="30">
      <c r="A711" s="1507" t="s">
        <v>252</v>
      </c>
      <c r="B711" s="1508" t="s">
        <v>3212</v>
      </c>
      <c r="C711" s="1509">
        <v>166.22</v>
      </c>
      <c r="D711" s="1510" t="s">
        <v>1883</v>
      </c>
      <c r="E711" s="1511">
        <v>3.9329517579699998E-3</v>
      </c>
      <c r="F711" s="1511">
        <v>9.6199999999999994E-5</v>
      </c>
      <c r="G711" s="1512" t="s">
        <v>1883</v>
      </c>
      <c r="H711" s="1511">
        <v>5.9999999999999995E-4</v>
      </c>
      <c r="I711" s="1512" t="s">
        <v>1883</v>
      </c>
      <c r="J711" s="1513">
        <v>114.8</v>
      </c>
      <c r="K711" s="1514" t="s">
        <v>1883</v>
      </c>
      <c r="L711" s="1515">
        <v>1.2030000000000001</v>
      </c>
      <c r="M711" s="1516" t="s">
        <v>1884</v>
      </c>
      <c r="N711" s="1517">
        <v>4.3974282206059999E-2</v>
      </c>
      <c r="O711" s="1517">
        <v>7.8889859242199994E-6</v>
      </c>
      <c r="P711" s="1518" t="s">
        <v>1885</v>
      </c>
      <c r="Q711" s="1519" t="s">
        <v>635</v>
      </c>
      <c r="R711" s="1520"/>
      <c r="S711" s="1519">
        <v>9160</v>
      </c>
      <c r="T711" s="1519" t="s">
        <v>1199</v>
      </c>
      <c r="U711" s="1519">
        <v>4.18</v>
      </c>
      <c r="V711" s="1521" t="s">
        <v>1883</v>
      </c>
      <c r="W711" s="1522">
        <v>1.69</v>
      </c>
      <c r="X711" s="1523" t="s">
        <v>1883</v>
      </c>
      <c r="Y711" s="1524">
        <v>0.54545757350781998</v>
      </c>
      <c r="Z711" s="1524">
        <v>0.89676933595412001</v>
      </c>
      <c r="AA711" s="1524">
        <v>2.1522464062898998</v>
      </c>
      <c r="AB711" s="1524">
        <v>0.11</v>
      </c>
      <c r="AC711" s="1525" t="s">
        <v>1199</v>
      </c>
      <c r="AD711" s="1526" t="s">
        <v>635</v>
      </c>
      <c r="AE711" s="1527"/>
      <c r="AF711" s="1528" t="s">
        <v>635</v>
      </c>
      <c r="AG711" s="1527"/>
      <c r="AH711" s="1528">
        <v>0.04</v>
      </c>
      <c r="AI711" s="1529" t="s">
        <v>1119</v>
      </c>
      <c r="AJ711" s="1528" t="s">
        <v>635</v>
      </c>
      <c r="AK711" s="1527"/>
      <c r="AL711" s="1529" t="s">
        <v>1127</v>
      </c>
      <c r="AM711" s="1527"/>
      <c r="AN711" s="1530">
        <v>1</v>
      </c>
      <c r="AO711" s="1541">
        <v>0.13</v>
      </c>
      <c r="AP711" s="1532" t="s">
        <v>635</v>
      </c>
    </row>
    <row r="712" spans="1:42" ht="30">
      <c r="A712" s="1481" t="s">
        <v>254</v>
      </c>
      <c r="B712" s="1482" t="s">
        <v>3213</v>
      </c>
      <c r="C712" s="1483">
        <v>276.33999999999997</v>
      </c>
      <c r="D712" s="1484" t="s">
        <v>1883</v>
      </c>
      <c r="E712" s="1485">
        <v>1.4227309889999999E-5</v>
      </c>
      <c r="F712" s="1485">
        <v>3.4799999999999999E-7</v>
      </c>
      <c r="G712" s="1486" t="s">
        <v>1883</v>
      </c>
      <c r="H712" s="1485">
        <v>1.2500000000000001E-10</v>
      </c>
      <c r="I712" s="1486" t="s">
        <v>1883</v>
      </c>
      <c r="J712" s="1487">
        <v>163.6</v>
      </c>
      <c r="K712" s="1488" t="s">
        <v>1883</v>
      </c>
      <c r="L712" s="1489">
        <v>1.4</v>
      </c>
      <c r="M712" s="1490" t="s">
        <v>3195</v>
      </c>
      <c r="N712" s="1491">
        <v>2.471303505976E-2</v>
      </c>
      <c r="O712" s="1491">
        <v>6.3691626699499999E-6</v>
      </c>
      <c r="P712" s="1492" t="s">
        <v>1885</v>
      </c>
      <c r="Q712" s="1493" t="s">
        <v>635</v>
      </c>
      <c r="R712" s="1494"/>
      <c r="S712" s="1493">
        <v>1951000</v>
      </c>
      <c r="T712" s="1493" t="s">
        <v>1199</v>
      </c>
      <c r="U712" s="1493">
        <v>6.7</v>
      </c>
      <c r="V712" s="1495" t="s">
        <v>1883</v>
      </c>
      <c r="W712" s="1496">
        <v>1.9000000000000001E-4</v>
      </c>
      <c r="X712" s="1497" t="s">
        <v>1883</v>
      </c>
      <c r="Y712" s="1498">
        <v>7.92811997831343</v>
      </c>
      <c r="Z712" s="1498">
        <v>3.7098192431956001</v>
      </c>
      <c r="AA712" s="1498">
        <v>16.651939304483601</v>
      </c>
      <c r="AB712" s="1498">
        <v>1.24</v>
      </c>
      <c r="AC712" s="1499" t="s">
        <v>1199</v>
      </c>
      <c r="AD712" s="1500">
        <v>0.1</v>
      </c>
      <c r="AE712" s="1503" t="s">
        <v>3192</v>
      </c>
      <c r="AF712" s="1502">
        <v>6.0000000000000002E-5</v>
      </c>
      <c r="AG712" s="1503" t="s">
        <v>3192</v>
      </c>
      <c r="AH712" s="1502" t="s">
        <v>635</v>
      </c>
      <c r="AI712" s="1501"/>
      <c r="AJ712" s="1502" t="s">
        <v>635</v>
      </c>
      <c r="AK712" s="1501"/>
      <c r="AL712" s="1501"/>
      <c r="AM712" s="1503" t="s">
        <v>1906</v>
      </c>
      <c r="AN712" s="1504">
        <v>1</v>
      </c>
      <c r="AO712" s="1539">
        <v>0.13</v>
      </c>
      <c r="AP712" s="1506" t="s">
        <v>635</v>
      </c>
    </row>
    <row r="713" spans="1:42" ht="30">
      <c r="A713" s="1481" t="s">
        <v>3214</v>
      </c>
      <c r="B713" s="1482" t="s">
        <v>3215</v>
      </c>
      <c r="C713" s="1483">
        <v>142.19999999999999</v>
      </c>
      <c r="D713" s="1484" t="s">
        <v>1883</v>
      </c>
      <c r="E713" s="1485">
        <v>2.1013900245300001E-2</v>
      </c>
      <c r="F713" s="1485">
        <v>5.1400000000000003E-4</v>
      </c>
      <c r="G713" s="1486" t="s">
        <v>1883</v>
      </c>
      <c r="H713" s="1485">
        <v>6.7000000000000004E-2</v>
      </c>
      <c r="I713" s="1486" t="s">
        <v>1883</v>
      </c>
      <c r="J713" s="1487">
        <v>-30.4</v>
      </c>
      <c r="K713" s="1488" t="s">
        <v>1883</v>
      </c>
      <c r="L713" s="1489">
        <v>1.0202</v>
      </c>
      <c r="M713" s="1490" t="s">
        <v>1884</v>
      </c>
      <c r="N713" s="1491">
        <v>5.2770484233419998E-2</v>
      </c>
      <c r="O713" s="1491">
        <v>7.8477146847200006E-6</v>
      </c>
      <c r="P713" s="1492" t="s">
        <v>1885</v>
      </c>
      <c r="Q713" s="1493" t="s">
        <v>635</v>
      </c>
      <c r="R713" s="1494"/>
      <c r="S713" s="1493">
        <v>2528</v>
      </c>
      <c r="T713" s="1493" t="s">
        <v>1199</v>
      </c>
      <c r="U713" s="1493">
        <v>3.87</v>
      </c>
      <c r="V713" s="1495" t="s">
        <v>1883</v>
      </c>
      <c r="W713" s="1496">
        <v>25.8</v>
      </c>
      <c r="X713" s="1497" t="s">
        <v>1883</v>
      </c>
      <c r="Y713" s="1498">
        <v>0.42699828547527002</v>
      </c>
      <c r="Z713" s="1498">
        <v>0.65791342676832998</v>
      </c>
      <c r="AA713" s="1498">
        <v>1.57899222424399</v>
      </c>
      <c r="AB713" s="1498">
        <v>9.3100000000000002E-2</v>
      </c>
      <c r="AC713" s="1499" t="s">
        <v>1199</v>
      </c>
      <c r="AD713" s="1500">
        <v>5.0999999999999997E-2</v>
      </c>
      <c r="AE713" s="1503" t="s">
        <v>1893</v>
      </c>
      <c r="AF713" s="1502" t="s">
        <v>635</v>
      </c>
      <c r="AG713" s="1501"/>
      <c r="AH713" s="1502">
        <v>7.0000000000000007E-2</v>
      </c>
      <c r="AI713" s="1503" t="s">
        <v>1912</v>
      </c>
      <c r="AJ713" s="1502">
        <v>3.0000000000000001E-6</v>
      </c>
      <c r="AK713" s="1503" t="s">
        <v>1909</v>
      </c>
      <c r="AL713" s="1503" t="s">
        <v>1127</v>
      </c>
      <c r="AM713" s="1501"/>
      <c r="AN713" s="1504">
        <v>1</v>
      </c>
      <c r="AO713" s="1539">
        <v>0.13</v>
      </c>
      <c r="AP713" s="1506">
        <v>394</v>
      </c>
    </row>
    <row r="714" spans="1:42" ht="30">
      <c r="A714" s="1507" t="s">
        <v>226</v>
      </c>
      <c r="B714" s="1508" t="s">
        <v>3216</v>
      </c>
      <c r="C714" s="1509">
        <v>142.19999999999999</v>
      </c>
      <c r="D714" s="1510" t="s">
        <v>1883</v>
      </c>
      <c r="E714" s="1511">
        <v>2.1177432542929999E-2</v>
      </c>
      <c r="F714" s="1511">
        <v>5.1800000000000001E-4</v>
      </c>
      <c r="G714" s="1512" t="s">
        <v>1883</v>
      </c>
      <c r="H714" s="1511">
        <v>5.5E-2</v>
      </c>
      <c r="I714" s="1512" t="s">
        <v>1883</v>
      </c>
      <c r="J714" s="1513">
        <v>34.4</v>
      </c>
      <c r="K714" s="1514" t="s">
        <v>1883</v>
      </c>
      <c r="L714" s="1515">
        <v>1.0058</v>
      </c>
      <c r="M714" s="1516" t="s">
        <v>1884</v>
      </c>
      <c r="N714" s="1517">
        <v>5.2431868394069998E-2</v>
      </c>
      <c r="O714" s="1517">
        <v>7.7810640904800008E-6</v>
      </c>
      <c r="P714" s="1518" t="s">
        <v>1885</v>
      </c>
      <c r="Q714" s="1519" t="s">
        <v>635</v>
      </c>
      <c r="R714" s="1520"/>
      <c r="S714" s="1519">
        <v>2478</v>
      </c>
      <c r="T714" s="1519" t="s">
        <v>1199</v>
      </c>
      <c r="U714" s="1519">
        <v>3.86</v>
      </c>
      <c r="V714" s="1521" t="s">
        <v>1883</v>
      </c>
      <c r="W714" s="1522">
        <v>24.6</v>
      </c>
      <c r="X714" s="1523" t="s">
        <v>1883</v>
      </c>
      <c r="Y714" s="1524">
        <v>0.42057725862600998</v>
      </c>
      <c r="Z714" s="1524">
        <v>0.65791342676832998</v>
      </c>
      <c r="AA714" s="1524">
        <v>1.57899222424399</v>
      </c>
      <c r="AB714" s="1524">
        <v>9.1700000000000004E-2</v>
      </c>
      <c r="AC714" s="1525" t="s">
        <v>1199</v>
      </c>
      <c r="AD714" s="1526" t="s">
        <v>635</v>
      </c>
      <c r="AE714" s="1527"/>
      <c r="AF714" s="1528" t="s">
        <v>635</v>
      </c>
      <c r="AG714" s="1527"/>
      <c r="AH714" s="1528">
        <v>4.0000000000000001E-3</v>
      </c>
      <c r="AI714" s="1529" t="s">
        <v>1119</v>
      </c>
      <c r="AJ714" s="1528" t="s">
        <v>635</v>
      </c>
      <c r="AK714" s="1527"/>
      <c r="AL714" s="1529" t="s">
        <v>1127</v>
      </c>
      <c r="AM714" s="1527"/>
      <c r="AN714" s="1530">
        <v>1</v>
      </c>
      <c r="AO714" s="1541">
        <v>0.13</v>
      </c>
      <c r="AP714" s="1532" t="s">
        <v>635</v>
      </c>
    </row>
    <row r="715" spans="1:42" ht="30">
      <c r="A715" s="1481" t="s">
        <v>256</v>
      </c>
      <c r="B715" s="1482" t="s">
        <v>3217</v>
      </c>
      <c r="C715" s="1483">
        <v>128.18</v>
      </c>
      <c r="D715" s="1484" t="s">
        <v>1883</v>
      </c>
      <c r="E715" s="1485">
        <v>1.7988552739170001E-2</v>
      </c>
      <c r="F715" s="1485">
        <v>4.4000000000000002E-4</v>
      </c>
      <c r="G715" s="1486" t="s">
        <v>1883</v>
      </c>
      <c r="H715" s="1485">
        <v>8.5000000000000006E-2</v>
      </c>
      <c r="I715" s="1486" t="s">
        <v>1883</v>
      </c>
      <c r="J715" s="1487">
        <v>80.2</v>
      </c>
      <c r="K715" s="1488" t="s">
        <v>1883</v>
      </c>
      <c r="L715" s="1489">
        <v>1.0253000000000001</v>
      </c>
      <c r="M715" s="1490" t="s">
        <v>1884</v>
      </c>
      <c r="N715" s="1491">
        <v>6.0499398843050001E-2</v>
      </c>
      <c r="O715" s="1491">
        <v>8.3770322160000004E-6</v>
      </c>
      <c r="P715" s="1492" t="s">
        <v>1885</v>
      </c>
      <c r="Q715" s="1493" t="s">
        <v>635</v>
      </c>
      <c r="R715" s="1494"/>
      <c r="S715" s="1493">
        <v>1544</v>
      </c>
      <c r="T715" s="1493" t="s">
        <v>1199</v>
      </c>
      <c r="U715" s="1493">
        <v>3.3</v>
      </c>
      <c r="V715" s="1495" t="s">
        <v>1883</v>
      </c>
      <c r="W715" s="1496">
        <v>31</v>
      </c>
      <c r="X715" s="1497" t="s">
        <v>1883</v>
      </c>
      <c r="Y715" s="1498">
        <v>0.20291899482685</v>
      </c>
      <c r="Z715" s="1498">
        <v>0.54910670856167998</v>
      </c>
      <c r="AA715" s="1498">
        <v>1.31785610054804</v>
      </c>
      <c r="AB715" s="1498">
        <v>4.6600000000000003E-2</v>
      </c>
      <c r="AC715" s="1499" t="s">
        <v>1199</v>
      </c>
      <c r="AD715" s="1500">
        <v>0.12</v>
      </c>
      <c r="AE715" s="1503" t="s">
        <v>1900</v>
      </c>
      <c r="AF715" s="1502">
        <v>3.4E-5</v>
      </c>
      <c r="AG715" s="1503" t="s">
        <v>1900</v>
      </c>
      <c r="AH715" s="1502">
        <v>0.02</v>
      </c>
      <c r="AI715" s="1503" t="s">
        <v>1119</v>
      </c>
      <c r="AJ715" s="1502">
        <v>3.0000000000000001E-3</v>
      </c>
      <c r="AK715" s="1503" t="s">
        <v>1119</v>
      </c>
      <c r="AL715" s="1503" t="s">
        <v>1127</v>
      </c>
      <c r="AM715" s="1501"/>
      <c r="AN715" s="1504">
        <v>1</v>
      </c>
      <c r="AO715" s="1539">
        <v>0.13</v>
      </c>
      <c r="AP715" s="1506" t="s">
        <v>635</v>
      </c>
    </row>
    <row r="716" spans="1:42" ht="30">
      <c r="A716" s="1481" t="s">
        <v>3218</v>
      </c>
      <c r="B716" s="1482" t="s">
        <v>3219</v>
      </c>
      <c r="C716" s="1483">
        <v>249.27</v>
      </c>
      <c r="D716" s="1484" t="s">
        <v>1883</v>
      </c>
      <c r="E716" s="1485">
        <v>1.0016353229800001E-6</v>
      </c>
      <c r="F716" s="1485">
        <v>2.4500000000000001E-8</v>
      </c>
      <c r="G716" s="1486" t="s">
        <v>1883</v>
      </c>
      <c r="H716" s="1485">
        <v>5.5199999999999998E-8</v>
      </c>
      <c r="I716" s="1486" t="s">
        <v>1883</v>
      </c>
      <c r="J716" s="1487">
        <v>190</v>
      </c>
      <c r="K716" s="1488" t="s">
        <v>1883</v>
      </c>
      <c r="L716" s="1489" t="s">
        <v>635</v>
      </c>
      <c r="M716" s="1533"/>
      <c r="N716" s="1491">
        <v>4.7970427834049999E-2</v>
      </c>
      <c r="O716" s="1491">
        <v>5.6049657785100001E-6</v>
      </c>
      <c r="P716" s="1492" t="s">
        <v>1885</v>
      </c>
      <c r="Q716" s="1493" t="s">
        <v>635</v>
      </c>
      <c r="R716" s="1494"/>
      <c r="S716" s="1493">
        <v>86110</v>
      </c>
      <c r="T716" s="1493" t="s">
        <v>1199</v>
      </c>
      <c r="U716" s="1493">
        <v>4.75</v>
      </c>
      <c r="V716" s="1495" t="s">
        <v>1883</v>
      </c>
      <c r="W716" s="1496">
        <v>6.7900000000000002E-2</v>
      </c>
      <c r="X716" s="1497" t="s">
        <v>1883</v>
      </c>
      <c r="Y716" s="1498">
        <v>0.55987693951121997</v>
      </c>
      <c r="Z716" s="1498">
        <v>2.6167410631644898</v>
      </c>
      <c r="AA716" s="1498">
        <v>6.2801785515947799</v>
      </c>
      <c r="AB716" s="1498">
        <v>9.2200000000000004E-2</v>
      </c>
      <c r="AC716" s="1499" t="s">
        <v>1199</v>
      </c>
      <c r="AD716" s="1500">
        <v>1.2</v>
      </c>
      <c r="AE716" s="1503" t="s">
        <v>1900</v>
      </c>
      <c r="AF716" s="1502">
        <v>1.1E-4</v>
      </c>
      <c r="AG716" s="1503" t="s">
        <v>1900</v>
      </c>
      <c r="AH716" s="1502" t="s">
        <v>635</v>
      </c>
      <c r="AI716" s="1501"/>
      <c r="AJ716" s="1502" t="s">
        <v>635</v>
      </c>
      <c r="AK716" s="1501"/>
      <c r="AL716" s="1501"/>
      <c r="AM716" s="1501"/>
      <c r="AN716" s="1504">
        <v>1</v>
      </c>
      <c r="AO716" s="1539">
        <v>0.13</v>
      </c>
      <c r="AP716" s="1506" t="s">
        <v>635</v>
      </c>
    </row>
    <row r="717" spans="1:42" ht="30">
      <c r="A717" s="1507" t="s">
        <v>3220</v>
      </c>
      <c r="B717" s="1508" t="s">
        <v>3221</v>
      </c>
      <c r="C717" s="1509">
        <v>252.32</v>
      </c>
      <c r="D717" s="1510" t="s">
        <v>1883</v>
      </c>
      <c r="E717" s="1511">
        <v>1.4922322158999999E-4</v>
      </c>
      <c r="F717" s="1511">
        <v>3.6500000000000002E-6</v>
      </c>
      <c r="G717" s="1512" t="s">
        <v>1199</v>
      </c>
      <c r="H717" s="1511">
        <v>5.2499999999999999E-9</v>
      </c>
      <c r="I717" s="1512" t="s">
        <v>1883</v>
      </c>
      <c r="J717" s="1513">
        <v>274</v>
      </c>
      <c r="K717" s="1514" t="s">
        <v>1883</v>
      </c>
      <c r="L717" s="1515">
        <v>1.35</v>
      </c>
      <c r="M717" s="1516" t="s">
        <v>1884</v>
      </c>
      <c r="N717" s="1517">
        <v>2.546764068066E-2</v>
      </c>
      <c r="O717" s="1517">
        <v>6.5811384461399996E-6</v>
      </c>
      <c r="P717" s="1518" t="s">
        <v>1885</v>
      </c>
      <c r="Q717" s="1519" t="s">
        <v>635</v>
      </c>
      <c r="R717" s="1520"/>
      <c r="S717" s="1519">
        <v>599400</v>
      </c>
      <c r="T717" s="1519" t="s">
        <v>1199</v>
      </c>
      <c r="U717" s="1519">
        <v>6.25</v>
      </c>
      <c r="V717" s="1521" t="s">
        <v>1883</v>
      </c>
      <c r="W717" s="1522">
        <v>4.0000000000000002E-4</v>
      </c>
      <c r="X717" s="1523" t="s">
        <v>1883</v>
      </c>
      <c r="Y717" s="1524">
        <v>5.2296937174846301</v>
      </c>
      <c r="Z717" s="1524">
        <v>2.72170311040471</v>
      </c>
      <c r="AA717" s="1524">
        <v>11.959021276510599</v>
      </c>
      <c r="AB717" s="1524">
        <v>0.85599999999999998</v>
      </c>
      <c r="AC717" s="1525" t="s">
        <v>1199</v>
      </c>
      <c r="AD717" s="1526" t="s">
        <v>635</v>
      </c>
      <c r="AE717" s="1527"/>
      <c r="AF717" s="1528" t="s">
        <v>635</v>
      </c>
      <c r="AG717" s="1527"/>
      <c r="AH717" s="1528">
        <v>9.0000000000000006E-5</v>
      </c>
      <c r="AI717" s="1529" t="s">
        <v>1893</v>
      </c>
      <c r="AJ717" s="1528">
        <v>1.9999999999999999E-6</v>
      </c>
      <c r="AK717" s="1529" t="s">
        <v>1893</v>
      </c>
      <c r="AL717" s="1527"/>
      <c r="AM717" s="1527"/>
      <c r="AN717" s="1530">
        <v>1</v>
      </c>
      <c r="AO717" s="1541">
        <v>0.13</v>
      </c>
      <c r="AP717" s="1532" t="s">
        <v>635</v>
      </c>
    </row>
    <row r="718" spans="1:42" ht="30">
      <c r="A718" s="1481" t="s">
        <v>258</v>
      </c>
      <c r="B718" s="1482" t="s">
        <v>3222</v>
      </c>
      <c r="C718" s="1483">
        <v>202.26</v>
      </c>
      <c r="D718" s="1484" t="s">
        <v>1883</v>
      </c>
      <c r="E718" s="1485">
        <v>4.8650858544999997E-4</v>
      </c>
      <c r="F718" s="1485">
        <v>1.19E-5</v>
      </c>
      <c r="G718" s="1486" t="s">
        <v>1883</v>
      </c>
      <c r="H718" s="1485">
        <v>4.5000000000000001E-6</v>
      </c>
      <c r="I718" s="1486" t="s">
        <v>1883</v>
      </c>
      <c r="J718" s="1487">
        <v>151.19999999999999</v>
      </c>
      <c r="K718" s="1488" t="s">
        <v>1883</v>
      </c>
      <c r="L718" s="1489">
        <v>1.2709999999999999</v>
      </c>
      <c r="M718" s="1490" t="s">
        <v>1884</v>
      </c>
      <c r="N718" s="1491">
        <v>2.7787275434940001E-2</v>
      </c>
      <c r="O718" s="1491">
        <v>7.2479151442499996E-6</v>
      </c>
      <c r="P718" s="1492" t="s">
        <v>1885</v>
      </c>
      <c r="Q718" s="1493" t="s">
        <v>635</v>
      </c>
      <c r="R718" s="1494"/>
      <c r="S718" s="1493">
        <v>54340</v>
      </c>
      <c r="T718" s="1493" t="s">
        <v>1199</v>
      </c>
      <c r="U718" s="1493">
        <v>4.88</v>
      </c>
      <c r="V718" s="1495" t="s">
        <v>1883</v>
      </c>
      <c r="W718" s="1496">
        <v>0.13500000000000001</v>
      </c>
      <c r="X718" s="1497" t="s">
        <v>1883</v>
      </c>
      <c r="Y718" s="1498">
        <v>1.09945563857003</v>
      </c>
      <c r="Z718" s="1498">
        <v>1.42726543921932</v>
      </c>
      <c r="AA718" s="1498">
        <v>5.53530713863268</v>
      </c>
      <c r="AB718" s="1498">
        <v>0.20100000000000001</v>
      </c>
      <c r="AC718" s="1499" t="s">
        <v>1199</v>
      </c>
      <c r="AD718" s="1500" t="s">
        <v>635</v>
      </c>
      <c r="AE718" s="1501"/>
      <c r="AF718" s="1502" t="s">
        <v>635</v>
      </c>
      <c r="AG718" s="1501"/>
      <c r="AH718" s="1502">
        <v>0.03</v>
      </c>
      <c r="AI718" s="1503" t="s">
        <v>1119</v>
      </c>
      <c r="AJ718" s="1502" t="s">
        <v>635</v>
      </c>
      <c r="AK718" s="1501"/>
      <c r="AL718" s="1503" t="s">
        <v>1127</v>
      </c>
      <c r="AM718" s="1501"/>
      <c r="AN718" s="1504">
        <v>1</v>
      </c>
      <c r="AO718" s="1539">
        <v>0.13</v>
      </c>
      <c r="AP718" s="1506" t="s">
        <v>635</v>
      </c>
    </row>
    <row r="719" spans="1:42" ht="30">
      <c r="A719" s="1481" t="s">
        <v>3223</v>
      </c>
      <c r="B719" s="1482" t="s">
        <v>3224</v>
      </c>
      <c r="C719" s="1483">
        <v>376.67</v>
      </c>
      <c r="D719" s="1484" t="s">
        <v>1883</v>
      </c>
      <c r="E719" s="1485">
        <v>6.7048242027799997E-7</v>
      </c>
      <c r="F719" s="1485">
        <v>1.6400000000000001E-8</v>
      </c>
      <c r="G719" s="1486" t="s">
        <v>1199</v>
      </c>
      <c r="H719" s="1485">
        <v>1.13E-6</v>
      </c>
      <c r="I719" s="1486" t="s">
        <v>1883</v>
      </c>
      <c r="J719" s="1487">
        <v>48</v>
      </c>
      <c r="K719" s="1488" t="s">
        <v>1883</v>
      </c>
      <c r="L719" s="1489" t="s">
        <v>635</v>
      </c>
      <c r="M719" s="1533"/>
      <c r="N719" s="1491">
        <v>3.6428915826410002E-2</v>
      </c>
      <c r="O719" s="1491">
        <v>4.2564312176099997E-6</v>
      </c>
      <c r="P719" s="1492" t="s">
        <v>1885</v>
      </c>
      <c r="Q719" s="1493" t="s">
        <v>635</v>
      </c>
      <c r="R719" s="1494"/>
      <c r="S719" s="1493">
        <v>2425</v>
      </c>
      <c r="T719" s="1493" t="s">
        <v>1199</v>
      </c>
      <c r="U719" s="1493">
        <v>4.0999999999999996</v>
      </c>
      <c r="V719" s="1495" t="s">
        <v>1883</v>
      </c>
      <c r="W719" s="1496">
        <v>34</v>
      </c>
      <c r="X719" s="1497" t="s">
        <v>1883</v>
      </c>
      <c r="Y719" s="1498">
        <v>4.7773509036710002E-2</v>
      </c>
      <c r="Z719" s="1498">
        <v>13.5269769384225</v>
      </c>
      <c r="AA719" s="1498">
        <v>32.464744652214002</v>
      </c>
      <c r="AB719" s="1498">
        <v>6.4000000000000003E-3</v>
      </c>
      <c r="AC719" s="1499" t="s">
        <v>1199</v>
      </c>
      <c r="AD719" s="1500">
        <v>0.15</v>
      </c>
      <c r="AE719" s="1503" t="s">
        <v>1119</v>
      </c>
      <c r="AF719" s="1502" t="s">
        <v>635</v>
      </c>
      <c r="AG719" s="1501"/>
      <c r="AH719" s="1502">
        <v>8.9999999999999993E-3</v>
      </c>
      <c r="AI719" s="1503" t="s">
        <v>1119</v>
      </c>
      <c r="AJ719" s="1502" t="s">
        <v>635</v>
      </c>
      <c r="AK719" s="1501"/>
      <c r="AL719" s="1501"/>
      <c r="AM719" s="1501"/>
      <c r="AN719" s="1504">
        <v>1</v>
      </c>
      <c r="AO719" s="1505">
        <v>0.1</v>
      </c>
      <c r="AP719" s="1506" t="s">
        <v>635</v>
      </c>
    </row>
    <row r="720" spans="1:42" ht="30">
      <c r="A720" s="1507" t="s">
        <v>3225</v>
      </c>
      <c r="B720" s="1508" t="s">
        <v>3226</v>
      </c>
      <c r="C720" s="1509">
        <v>347.3</v>
      </c>
      <c r="D720" s="1510" t="s">
        <v>1883</v>
      </c>
      <c r="E720" s="1511">
        <v>1.185609157809E-2</v>
      </c>
      <c r="F720" s="1511">
        <v>2.9E-4</v>
      </c>
      <c r="G720" s="1512" t="s">
        <v>1199</v>
      </c>
      <c r="H720" s="1511">
        <v>6.3E-5</v>
      </c>
      <c r="I720" s="1512" t="s">
        <v>1883</v>
      </c>
      <c r="J720" s="1513">
        <v>32.299999999999997</v>
      </c>
      <c r="K720" s="1514" t="s">
        <v>1883</v>
      </c>
      <c r="L720" s="1515">
        <v>1.38</v>
      </c>
      <c r="M720" s="1516" t="s">
        <v>2607</v>
      </c>
      <c r="N720" s="1517">
        <v>2.1804748547550001E-2</v>
      </c>
      <c r="O720" s="1517">
        <v>5.5052412257899999E-6</v>
      </c>
      <c r="P720" s="1518" t="s">
        <v>1885</v>
      </c>
      <c r="Q720" s="1519" t="s">
        <v>635</v>
      </c>
      <c r="R720" s="1520"/>
      <c r="S720" s="1519">
        <v>30520</v>
      </c>
      <c r="T720" s="1519" t="s">
        <v>1199</v>
      </c>
      <c r="U720" s="1519">
        <v>5.58</v>
      </c>
      <c r="V720" s="1521" t="s">
        <v>1883</v>
      </c>
      <c r="W720" s="1522">
        <v>0.1</v>
      </c>
      <c r="X720" s="1523" t="s">
        <v>1883</v>
      </c>
      <c r="Y720" s="1524">
        <v>0.64509184704526001</v>
      </c>
      <c r="Z720" s="1524">
        <v>9.2625112744440408</v>
      </c>
      <c r="AA720" s="1524">
        <v>36.547782265222502</v>
      </c>
      <c r="AB720" s="1524">
        <v>0.09</v>
      </c>
      <c r="AC720" s="1525" t="s">
        <v>1199</v>
      </c>
      <c r="AD720" s="1526" t="s">
        <v>635</v>
      </c>
      <c r="AE720" s="1527"/>
      <c r="AF720" s="1528" t="s">
        <v>635</v>
      </c>
      <c r="AG720" s="1527"/>
      <c r="AH720" s="1528">
        <v>6.0000000000000001E-3</v>
      </c>
      <c r="AI720" s="1529" t="s">
        <v>1073</v>
      </c>
      <c r="AJ720" s="1528" t="s">
        <v>635</v>
      </c>
      <c r="AK720" s="1527"/>
      <c r="AL720" s="1529" t="s">
        <v>1127</v>
      </c>
      <c r="AM720" s="1527"/>
      <c r="AN720" s="1530">
        <v>1</v>
      </c>
      <c r="AO720" s="1530" t="s">
        <v>635</v>
      </c>
      <c r="AP720" s="1532" t="s">
        <v>635</v>
      </c>
    </row>
    <row r="721" spans="1:42" ht="30">
      <c r="A721" s="1481" t="s">
        <v>3227</v>
      </c>
      <c r="B721" s="1482" t="s">
        <v>3228</v>
      </c>
      <c r="C721" s="1483">
        <v>225.3</v>
      </c>
      <c r="D721" s="1484" t="s">
        <v>1883</v>
      </c>
      <c r="E721" s="1485">
        <v>3.71627146361E-8</v>
      </c>
      <c r="F721" s="1485">
        <v>9.0899999999999996E-10</v>
      </c>
      <c r="G721" s="1486" t="s">
        <v>1199</v>
      </c>
      <c r="H721" s="1485">
        <v>2.3E-6</v>
      </c>
      <c r="I721" s="1486" t="s">
        <v>1883</v>
      </c>
      <c r="J721" s="1487">
        <v>91</v>
      </c>
      <c r="K721" s="1488" t="s">
        <v>1883</v>
      </c>
      <c r="L721" s="1489" t="s">
        <v>635</v>
      </c>
      <c r="M721" s="1533"/>
      <c r="N721" s="1491">
        <v>5.131521345877E-2</v>
      </c>
      <c r="O721" s="1491">
        <v>5.9957775725500003E-6</v>
      </c>
      <c r="P721" s="1492" t="s">
        <v>1885</v>
      </c>
      <c r="Q721" s="1493" t="s">
        <v>635</v>
      </c>
      <c r="R721" s="1494"/>
      <c r="S721" s="1493">
        <v>137.4</v>
      </c>
      <c r="T721" s="1493" t="s">
        <v>1199</v>
      </c>
      <c r="U721" s="1493">
        <v>2.99</v>
      </c>
      <c r="V721" s="1495" t="s">
        <v>1883</v>
      </c>
      <c r="W721" s="1496">
        <v>750</v>
      </c>
      <c r="X721" s="1497" t="s">
        <v>1883</v>
      </c>
      <c r="Y721" s="1498">
        <v>4.7743335558339997E-2</v>
      </c>
      <c r="Z721" s="1498">
        <v>1.92100612514793</v>
      </c>
      <c r="AA721" s="1498">
        <v>4.6104147003550402</v>
      </c>
      <c r="AB721" s="1498">
        <v>8.2699999999999996E-3</v>
      </c>
      <c r="AC721" s="1499" t="s">
        <v>1199</v>
      </c>
      <c r="AD721" s="1500" t="s">
        <v>635</v>
      </c>
      <c r="AE721" s="1501"/>
      <c r="AF721" s="1502" t="s">
        <v>635</v>
      </c>
      <c r="AG721" s="1501"/>
      <c r="AH721" s="1502">
        <v>1.4999999999999999E-2</v>
      </c>
      <c r="AI721" s="1503" t="s">
        <v>1119</v>
      </c>
      <c r="AJ721" s="1502" t="s">
        <v>635</v>
      </c>
      <c r="AK721" s="1501"/>
      <c r="AL721" s="1501"/>
      <c r="AM721" s="1501"/>
      <c r="AN721" s="1504">
        <v>1</v>
      </c>
      <c r="AO721" s="1505">
        <v>0.1</v>
      </c>
      <c r="AP721" s="1506" t="s">
        <v>635</v>
      </c>
    </row>
    <row r="722" spans="1:42" ht="30">
      <c r="A722" s="1481" t="s">
        <v>3229</v>
      </c>
      <c r="B722" s="1482" t="s">
        <v>3230</v>
      </c>
      <c r="C722" s="1483">
        <v>241.36</v>
      </c>
      <c r="D722" s="1484" t="s">
        <v>1883</v>
      </c>
      <c r="E722" s="1485">
        <v>4.8650858544600005E-7</v>
      </c>
      <c r="F722" s="1485">
        <v>1.1900000000000001E-8</v>
      </c>
      <c r="G722" s="1486" t="s">
        <v>1199</v>
      </c>
      <c r="H722" s="1485">
        <v>1.24E-6</v>
      </c>
      <c r="I722" s="1486" t="s">
        <v>1883</v>
      </c>
      <c r="J722" s="1487">
        <v>119</v>
      </c>
      <c r="K722" s="1488" t="s">
        <v>1883</v>
      </c>
      <c r="L722" s="1489">
        <v>1.157</v>
      </c>
      <c r="M722" s="1490" t="s">
        <v>1884</v>
      </c>
      <c r="N722" s="1491">
        <v>2.4245965207600001E-2</v>
      </c>
      <c r="O722" s="1491">
        <v>6.1613035904199999E-6</v>
      </c>
      <c r="P722" s="1492" t="s">
        <v>1885</v>
      </c>
      <c r="Q722" s="1493" t="s">
        <v>635</v>
      </c>
      <c r="R722" s="1494"/>
      <c r="S722" s="1493">
        <v>656.4</v>
      </c>
      <c r="T722" s="1493" t="s">
        <v>1199</v>
      </c>
      <c r="U722" s="1493">
        <v>3.51</v>
      </c>
      <c r="V722" s="1495" t="s">
        <v>1883</v>
      </c>
      <c r="W722" s="1496">
        <v>33</v>
      </c>
      <c r="X722" s="1497" t="s">
        <v>1883</v>
      </c>
      <c r="Y722" s="1498">
        <v>8.9031885120150006E-2</v>
      </c>
      <c r="Z722" s="1498">
        <v>2.3630055932763101</v>
      </c>
      <c r="AA722" s="1498">
        <v>5.67121342386314</v>
      </c>
      <c r="AB722" s="1498">
        <v>1.49E-2</v>
      </c>
      <c r="AC722" s="1499" t="s">
        <v>1199</v>
      </c>
      <c r="AD722" s="1500" t="s">
        <v>635</v>
      </c>
      <c r="AE722" s="1501"/>
      <c r="AF722" s="1502" t="s">
        <v>635</v>
      </c>
      <c r="AG722" s="1501"/>
      <c r="AH722" s="1502">
        <v>0.04</v>
      </c>
      <c r="AI722" s="1503" t="s">
        <v>1116</v>
      </c>
      <c r="AJ722" s="1502" t="s">
        <v>635</v>
      </c>
      <c r="AK722" s="1501"/>
      <c r="AL722" s="1501"/>
      <c r="AM722" s="1501"/>
      <c r="AN722" s="1504">
        <v>1</v>
      </c>
      <c r="AO722" s="1505">
        <v>0.1</v>
      </c>
      <c r="AP722" s="1506" t="s">
        <v>635</v>
      </c>
    </row>
    <row r="723" spans="1:42" ht="30">
      <c r="A723" s="1507" t="s">
        <v>3231</v>
      </c>
      <c r="B723" s="1508" t="s">
        <v>3232</v>
      </c>
      <c r="C723" s="1509">
        <v>256.13</v>
      </c>
      <c r="D723" s="1510" t="s">
        <v>1883</v>
      </c>
      <c r="E723" s="1511">
        <v>3.9942763695800001E-7</v>
      </c>
      <c r="F723" s="1511">
        <v>9.7700000000000008E-9</v>
      </c>
      <c r="G723" s="1512" t="s">
        <v>1199</v>
      </c>
      <c r="H723" s="1511">
        <v>4.3500000000000002E-7</v>
      </c>
      <c r="I723" s="1512" t="s">
        <v>1883</v>
      </c>
      <c r="J723" s="1513">
        <v>155</v>
      </c>
      <c r="K723" s="1514" t="s">
        <v>1883</v>
      </c>
      <c r="L723" s="1515" t="s">
        <v>635</v>
      </c>
      <c r="M723" s="1538"/>
      <c r="N723" s="1517">
        <v>4.7110021374669998E-2</v>
      </c>
      <c r="O723" s="1517">
        <v>5.5044340764100001E-6</v>
      </c>
      <c r="P723" s="1518" t="s">
        <v>1885</v>
      </c>
      <c r="Q723" s="1519" t="s">
        <v>635</v>
      </c>
      <c r="R723" s="1520"/>
      <c r="S723" s="1519">
        <v>404.9</v>
      </c>
      <c r="T723" s="1519" t="s">
        <v>1199</v>
      </c>
      <c r="U723" s="1519">
        <v>3.43</v>
      </c>
      <c r="V723" s="1521" t="s">
        <v>1883</v>
      </c>
      <c r="W723" s="1522">
        <v>15</v>
      </c>
      <c r="X723" s="1523" t="s">
        <v>1883</v>
      </c>
      <c r="Y723" s="1524">
        <v>6.7093952165299994E-2</v>
      </c>
      <c r="Z723" s="1524">
        <v>2.8587537652113499</v>
      </c>
      <c r="AA723" s="1524">
        <v>6.8610090365072303</v>
      </c>
      <c r="AB723" s="1524">
        <v>1.09E-2</v>
      </c>
      <c r="AC723" s="1525" t="s">
        <v>1199</v>
      </c>
      <c r="AD723" s="1526" t="s">
        <v>635</v>
      </c>
      <c r="AE723" s="1527"/>
      <c r="AF723" s="1528" t="s">
        <v>635</v>
      </c>
      <c r="AG723" s="1527"/>
      <c r="AH723" s="1528">
        <v>7.4999999999999997E-2</v>
      </c>
      <c r="AI723" s="1529" t="s">
        <v>1119</v>
      </c>
      <c r="AJ723" s="1528" t="s">
        <v>635</v>
      </c>
      <c r="AK723" s="1527"/>
      <c r="AL723" s="1527"/>
      <c r="AM723" s="1527"/>
      <c r="AN723" s="1530">
        <v>1</v>
      </c>
      <c r="AO723" s="1531">
        <v>0.1</v>
      </c>
      <c r="AP723" s="1532" t="s">
        <v>635</v>
      </c>
    </row>
    <row r="724" spans="1:42" ht="30">
      <c r="A724" s="1481" t="s">
        <v>3233</v>
      </c>
      <c r="B724" s="1482" t="s">
        <v>3234</v>
      </c>
      <c r="C724" s="1483">
        <v>211.69</v>
      </c>
      <c r="D724" s="1484" t="s">
        <v>1883</v>
      </c>
      <c r="E724" s="1485">
        <v>1.471790679E-5</v>
      </c>
      <c r="F724" s="1485">
        <v>3.5999999999999999E-7</v>
      </c>
      <c r="G724" s="1486" t="s">
        <v>1199</v>
      </c>
      <c r="H724" s="1485">
        <v>2.3000000000000001E-4</v>
      </c>
      <c r="I724" s="1486" t="s">
        <v>1883</v>
      </c>
      <c r="J724" s="1487">
        <v>77</v>
      </c>
      <c r="K724" s="1488" t="s">
        <v>1883</v>
      </c>
      <c r="L724" s="1489">
        <v>1.242</v>
      </c>
      <c r="M724" s="1490" t="s">
        <v>1884</v>
      </c>
      <c r="N724" s="1491">
        <v>2.6846365815530002E-2</v>
      </c>
      <c r="O724" s="1491">
        <v>6.9554386341800001E-6</v>
      </c>
      <c r="P724" s="1492" t="s">
        <v>1885</v>
      </c>
      <c r="Q724" s="1493" t="s">
        <v>635</v>
      </c>
      <c r="R724" s="1494"/>
      <c r="S724" s="1493">
        <v>204.5</v>
      </c>
      <c r="T724" s="1493" t="s">
        <v>1199</v>
      </c>
      <c r="U724" s="1493">
        <v>2.1800000000000002</v>
      </c>
      <c r="V724" s="1495" t="s">
        <v>1883</v>
      </c>
      <c r="W724" s="1496">
        <v>580</v>
      </c>
      <c r="X724" s="1497" t="s">
        <v>1883</v>
      </c>
      <c r="Y724" s="1498">
        <v>1.6004527484430001E-2</v>
      </c>
      <c r="Z724" s="1498">
        <v>1.6118059313477999</v>
      </c>
      <c r="AA724" s="1498">
        <v>3.8683342352347299</v>
      </c>
      <c r="AB724" s="1498">
        <v>2.8600000000000001E-3</v>
      </c>
      <c r="AC724" s="1499" t="s">
        <v>1199</v>
      </c>
      <c r="AD724" s="1500" t="s">
        <v>635</v>
      </c>
      <c r="AE724" s="1501"/>
      <c r="AF724" s="1502" t="s">
        <v>635</v>
      </c>
      <c r="AG724" s="1501"/>
      <c r="AH724" s="1502">
        <v>1.2999999999999999E-2</v>
      </c>
      <c r="AI724" s="1503" t="s">
        <v>1119</v>
      </c>
      <c r="AJ724" s="1502" t="s">
        <v>635</v>
      </c>
      <c r="AK724" s="1501"/>
      <c r="AL724" s="1501"/>
      <c r="AM724" s="1501"/>
      <c r="AN724" s="1504">
        <v>1</v>
      </c>
      <c r="AO724" s="1505">
        <v>0.1</v>
      </c>
      <c r="AP724" s="1506" t="s">
        <v>635</v>
      </c>
    </row>
    <row r="725" spans="1:42" ht="30">
      <c r="A725" s="1481" t="s">
        <v>3235</v>
      </c>
      <c r="B725" s="1482" t="s">
        <v>3236</v>
      </c>
      <c r="C725" s="1483">
        <v>218.08</v>
      </c>
      <c r="D725" s="1484" t="s">
        <v>1883</v>
      </c>
      <c r="E725" s="1485">
        <v>6.9910057236300001E-8</v>
      </c>
      <c r="F725" s="1485">
        <v>1.7100000000000001E-9</v>
      </c>
      <c r="G725" s="1486" t="s">
        <v>1199</v>
      </c>
      <c r="H725" s="1485">
        <v>9.0800000000000003E-7</v>
      </c>
      <c r="I725" s="1486" t="s">
        <v>1883</v>
      </c>
      <c r="J725" s="1487">
        <v>92</v>
      </c>
      <c r="K725" s="1488" t="s">
        <v>1883</v>
      </c>
      <c r="L725" s="1489">
        <v>1.25</v>
      </c>
      <c r="M725" s="1490" t="s">
        <v>1884</v>
      </c>
      <c r="N725" s="1491">
        <v>2.6510787168079999E-2</v>
      </c>
      <c r="O725" s="1491">
        <v>6.8588021650399999E-6</v>
      </c>
      <c r="P725" s="1492" t="s">
        <v>1885</v>
      </c>
      <c r="Q725" s="1493" t="s">
        <v>635</v>
      </c>
      <c r="R725" s="1494"/>
      <c r="S725" s="1493">
        <v>175.9</v>
      </c>
      <c r="T725" s="1493" t="s">
        <v>1199</v>
      </c>
      <c r="U725" s="1493">
        <v>3.07</v>
      </c>
      <c r="V725" s="1495" t="s">
        <v>1883</v>
      </c>
      <c r="W725" s="1496">
        <v>152</v>
      </c>
      <c r="X725" s="1497" t="s">
        <v>1883</v>
      </c>
      <c r="Y725" s="1498">
        <v>5.8502145816099999E-2</v>
      </c>
      <c r="Z725" s="1498">
        <v>1.7502365527877199</v>
      </c>
      <c r="AA725" s="1498">
        <v>4.2005677266905304</v>
      </c>
      <c r="AB725" s="1498">
        <v>1.03E-2</v>
      </c>
      <c r="AC725" s="1499" t="s">
        <v>1199</v>
      </c>
      <c r="AD725" s="1500" t="s">
        <v>635</v>
      </c>
      <c r="AE725" s="1501"/>
      <c r="AF725" s="1502" t="s">
        <v>635</v>
      </c>
      <c r="AG725" s="1501"/>
      <c r="AH725" s="1502">
        <v>5.0000000000000001E-3</v>
      </c>
      <c r="AI725" s="1503" t="s">
        <v>1119</v>
      </c>
      <c r="AJ725" s="1502" t="s">
        <v>635</v>
      </c>
      <c r="AK725" s="1501"/>
      <c r="AL725" s="1501"/>
      <c r="AM725" s="1501"/>
      <c r="AN725" s="1504">
        <v>1</v>
      </c>
      <c r="AO725" s="1505">
        <v>0.1</v>
      </c>
      <c r="AP725" s="1506" t="s">
        <v>635</v>
      </c>
    </row>
    <row r="726" spans="1:42" ht="30">
      <c r="A726" s="1507" t="s">
        <v>3237</v>
      </c>
      <c r="B726" s="1508" t="s">
        <v>3238</v>
      </c>
      <c r="C726" s="1509">
        <v>350.48</v>
      </c>
      <c r="D726" s="1510" t="s">
        <v>1883</v>
      </c>
      <c r="E726" s="1511">
        <v>2.6165167620000001E-5</v>
      </c>
      <c r="F726" s="1511">
        <v>6.4000000000000001E-7</v>
      </c>
      <c r="G726" s="1512" t="s">
        <v>1199</v>
      </c>
      <c r="H726" s="1511">
        <v>2.9999999999999999E-7</v>
      </c>
      <c r="I726" s="1512" t="s">
        <v>1883</v>
      </c>
      <c r="J726" s="1513">
        <v>173.22</v>
      </c>
      <c r="K726" s="1514" t="s">
        <v>1199</v>
      </c>
      <c r="L726" s="1515">
        <v>1.1000000000000001</v>
      </c>
      <c r="M726" s="1516" t="s">
        <v>1884</v>
      </c>
      <c r="N726" s="1517">
        <v>1.943980139679E-2</v>
      </c>
      <c r="O726" s="1517">
        <v>4.77869638613E-6</v>
      </c>
      <c r="P726" s="1518" t="s">
        <v>1885</v>
      </c>
      <c r="Q726" s="1519" t="s">
        <v>635</v>
      </c>
      <c r="R726" s="1520"/>
      <c r="S726" s="1519">
        <v>36650</v>
      </c>
      <c r="T726" s="1519" t="s">
        <v>1199</v>
      </c>
      <c r="U726" s="1519">
        <v>5</v>
      </c>
      <c r="V726" s="1521" t="s">
        <v>1883</v>
      </c>
      <c r="W726" s="1522">
        <v>0.215</v>
      </c>
      <c r="X726" s="1523" t="s">
        <v>1883</v>
      </c>
      <c r="Y726" s="1524">
        <v>0.25633521322373998</v>
      </c>
      <c r="Z726" s="1524">
        <v>9.6502096757460905</v>
      </c>
      <c r="AA726" s="1524">
        <v>23.160503221790599</v>
      </c>
      <c r="AB726" s="1524">
        <v>3.56E-2</v>
      </c>
      <c r="AC726" s="1525" t="s">
        <v>1199</v>
      </c>
      <c r="AD726" s="1526">
        <v>0.192</v>
      </c>
      <c r="AE726" s="1529" t="s">
        <v>1116</v>
      </c>
      <c r="AF726" s="1528" t="s">
        <v>635</v>
      </c>
      <c r="AG726" s="1527"/>
      <c r="AH726" s="1528">
        <v>0.04</v>
      </c>
      <c r="AI726" s="1529" t="s">
        <v>1116</v>
      </c>
      <c r="AJ726" s="1528" t="s">
        <v>635</v>
      </c>
      <c r="AK726" s="1527"/>
      <c r="AL726" s="1527"/>
      <c r="AM726" s="1527"/>
      <c r="AN726" s="1530">
        <v>1</v>
      </c>
      <c r="AO726" s="1531">
        <v>0.1</v>
      </c>
      <c r="AP726" s="1532" t="s">
        <v>635</v>
      </c>
    </row>
    <row r="727" spans="1:42" ht="30">
      <c r="A727" s="1481" t="s">
        <v>3239</v>
      </c>
      <c r="B727" s="1482" t="s">
        <v>3240</v>
      </c>
      <c r="C727" s="1483">
        <v>56.064999999999998</v>
      </c>
      <c r="D727" s="1484" t="s">
        <v>1883</v>
      </c>
      <c r="E727" s="1485">
        <v>4.701553557E-5</v>
      </c>
      <c r="F727" s="1485">
        <v>1.15E-6</v>
      </c>
      <c r="G727" s="1486" t="s">
        <v>1199</v>
      </c>
      <c r="H727" s="1485">
        <v>15.6</v>
      </c>
      <c r="I727" s="1486" t="s">
        <v>1883</v>
      </c>
      <c r="J727" s="1487">
        <v>-50</v>
      </c>
      <c r="K727" s="1488" t="s">
        <v>1883</v>
      </c>
      <c r="L727" s="1489">
        <v>0.94779999999999998</v>
      </c>
      <c r="M727" s="1490" t="s">
        <v>1884</v>
      </c>
      <c r="N727" s="1491">
        <v>0.11738742930309</v>
      </c>
      <c r="O727" s="1491">
        <v>1.31246188E-5</v>
      </c>
      <c r="P727" s="1492" t="s">
        <v>1885</v>
      </c>
      <c r="Q727" s="1493" t="s">
        <v>635</v>
      </c>
      <c r="R727" s="1494"/>
      <c r="S727" s="1493">
        <v>1.9039999999999999</v>
      </c>
      <c r="T727" s="1493" t="s">
        <v>1199</v>
      </c>
      <c r="U727" s="1493">
        <v>-0.38</v>
      </c>
      <c r="V727" s="1495" t="s">
        <v>1883</v>
      </c>
      <c r="W727" s="1496">
        <v>1000000</v>
      </c>
      <c r="X727" s="1497" t="s">
        <v>1883</v>
      </c>
      <c r="Y727" s="1498">
        <v>1.2210639845800001E-3</v>
      </c>
      <c r="Z727" s="1498">
        <v>0.21667696791015001</v>
      </c>
      <c r="AA727" s="1498">
        <v>0.52002472298434999</v>
      </c>
      <c r="AB727" s="1498">
        <v>4.2400000000000001E-4</v>
      </c>
      <c r="AC727" s="1499" t="s">
        <v>1199</v>
      </c>
      <c r="AD727" s="1500" t="s">
        <v>635</v>
      </c>
      <c r="AE727" s="1501"/>
      <c r="AF727" s="1502" t="s">
        <v>635</v>
      </c>
      <c r="AG727" s="1501"/>
      <c r="AH727" s="1502">
        <v>2E-3</v>
      </c>
      <c r="AI727" s="1503" t="s">
        <v>1119</v>
      </c>
      <c r="AJ727" s="1502" t="s">
        <v>635</v>
      </c>
      <c r="AK727" s="1501"/>
      <c r="AL727" s="1503" t="s">
        <v>1127</v>
      </c>
      <c r="AM727" s="1501"/>
      <c r="AN727" s="1504">
        <v>1</v>
      </c>
      <c r="AO727" s="1504" t="s">
        <v>635</v>
      </c>
      <c r="AP727" s="1506">
        <v>111000</v>
      </c>
    </row>
    <row r="728" spans="1:42" ht="30">
      <c r="A728" s="1481" t="s">
        <v>3241</v>
      </c>
      <c r="B728" s="1482" t="s">
        <v>3242</v>
      </c>
      <c r="C728" s="1483">
        <v>229.71</v>
      </c>
      <c r="D728" s="1484" t="s">
        <v>1883</v>
      </c>
      <c r="E728" s="1485">
        <v>1.8806214227300001E-7</v>
      </c>
      <c r="F728" s="1485">
        <v>4.5999999999999998E-9</v>
      </c>
      <c r="G728" s="1486" t="s">
        <v>1199</v>
      </c>
      <c r="H728" s="1485">
        <v>1.31E-7</v>
      </c>
      <c r="I728" s="1486" t="s">
        <v>1883</v>
      </c>
      <c r="J728" s="1487">
        <v>213</v>
      </c>
      <c r="K728" s="1488" t="s">
        <v>1883</v>
      </c>
      <c r="L728" s="1489">
        <v>1.1619999999999999</v>
      </c>
      <c r="M728" s="1490" t="s">
        <v>1884</v>
      </c>
      <c r="N728" s="1491">
        <v>2.4935429434920001E-2</v>
      </c>
      <c r="O728" s="1491">
        <v>6.3633748521399999E-6</v>
      </c>
      <c r="P728" s="1492" t="s">
        <v>1885</v>
      </c>
      <c r="Q728" s="1493" t="s">
        <v>635</v>
      </c>
      <c r="R728" s="1494"/>
      <c r="S728" s="1493">
        <v>344.1</v>
      </c>
      <c r="T728" s="1493" t="s">
        <v>1199</v>
      </c>
      <c r="U728" s="1493">
        <v>2.93</v>
      </c>
      <c r="V728" s="1495" t="s">
        <v>1883</v>
      </c>
      <c r="W728" s="1496">
        <v>8.6</v>
      </c>
      <c r="X728" s="1497" t="s">
        <v>1883</v>
      </c>
      <c r="Y728" s="1498">
        <v>4.1562927800000003E-2</v>
      </c>
      <c r="Z728" s="1498">
        <v>2.0334090382787702</v>
      </c>
      <c r="AA728" s="1498">
        <v>4.8801816918690504</v>
      </c>
      <c r="AB728" s="1498">
        <v>7.1300000000000001E-3</v>
      </c>
      <c r="AC728" s="1499" t="s">
        <v>1199</v>
      </c>
      <c r="AD728" s="1500" t="s">
        <v>635</v>
      </c>
      <c r="AE728" s="1501"/>
      <c r="AF728" s="1502" t="s">
        <v>635</v>
      </c>
      <c r="AG728" s="1501"/>
      <c r="AH728" s="1502">
        <v>0.02</v>
      </c>
      <c r="AI728" s="1503" t="s">
        <v>1119</v>
      </c>
      <c r="AJ728" s="1502" t="s">
        <v>635</v>
      </c>
      <c r="AK728" s="1501"/>
      <c r="AL728" s="1501"/>
      <c r="AM728" s="1501"/>
      <c r="AN728" s="1504">
        <v>1</v>
      </c>
      <c r="AO728" s="1505">
        <v>0.1</v>
      </c>
      <c r="AP728" s="1506" t="s">
        <v>635</v>
      </c>
    </row>
    <row r="729" spans="1:42" ht="30">
      <c r="A729" s="1507" t="s">
        <v>3243</v>
      </c>
      <c r="B729" s="1508" t="s">
        <v>3244</v>
      </c>
      <c r="C729" s="1509">
        <v>179.22</v>
      </c>
      <c r="D729" s="1510" t="s">
        <v>1883</v>
      </c>
      <c r="E729" s="1511">
        <v>7.5224856909199997E-6</v>
      </c>
      <c r="F729" s="1511">
        <v>1.8400000000000001E-7</v>
      </c>
      <c r="G729" s="1512" t="s">
        <v>1199</v>
      </c>
      <c r="H729" s="1511">
        <v>1.3999999999999999E-4</v>
      </c>
      <c r="I729" s="1512" t="s">
        <v>1883</v>
      </c>
      <c r="J729" s="1513">
        <v>87.3</v>
      </c>
      <c r="K729" s="1514" t="s">
        <v>1883</v>
      </c>
      <c r="L729" s="1515">
        <v>1.0900000000000001</v>
      </c>
      <c r="M729" s="1516" t="s">
        <v>1884</v>
      </c>
      <c r="N729" s="1517">
        <v>3.5750039167720002E-2</v>
      </c>
      <c r="O729" s="1517">
        <v>7.1071549910599998E-6</v>
      </c>
      <c r="P729" s="1518" t="s">
        <v>1885</v>
      </c>
      <c r="Q729" s="1519" t="s">
        <v>635</v>
      </c>
      <c r="R729" s="1520"/>
      <c r="S729" s="1519">
        <v>218.6</v>
      </c>
      <c r="T729" s="1519" t="s">
        <v>1199</v>
      </c>
      <c r="U729" s="1519">
        <v>2.6</v>
      </c>
      <c r="V729" s="1521" t="s">
        <v>1883</v>
      </c>
      <c r="W729" s="1522">
        <v>179</v>
      </c>
      <c r="X729" s="1523" t="s">
        <v>1883</v>
      </c>
      <c r="Y729" s="1524">
        <v>4.2530445885490001E-2</v>
      </c>
      <c r="Z729" s="1524">
        <v>1.0604269332212899</v>
      </c>
      <c r="AA729" s="1524">
        <v>2.5450246397310901</v>
      </c>
      <c r="AB729" s="1524">
        <v>8.26E-3</v>
      </c>
      <c r="AC729" s="1525" t="s">
        <v>1199</v>
      </c>
      <c r="AD729" s="1526" t="s">
        <v>635</v>
      </c>
      <c r="AE729" s="1527"/>
      <c r="AF729" s="1528" t="s">
        <v>635</v>
      </c>
      <c r="AG729" s="1527"/>
      <c r="AH729" s="1528">
        <v>0.02</v>
      </c>
      <c r="AI729" s="1529" t="s">
        <v>1119</v>
      </c>
      <c r="AJ729" s="1528" t="s">
        <v>635</v>
      </c>
      <c r="AK729" s="1527"/>
      <c r="AL729" s="1527"/>
      <c r="AM729" s="1527"/>
      <c r="AN729" s="1530">
        <v>1</v>
      </c>
      <c r="AO729" s="1531">
        <v>0.1</v>
      </c>
      <c r="AP729" s="1532" t="s">
        <v>635</v>
      </c>
    </row>
    <row r="730" spans="1:42" ht="30">
      <c r="A730" s="1481" t="s">
        <v>3245</v>
      </c>
      <c r="B730" s="1482" t="s">
        <v>3246</v>
      </c>
      <c r="C730" s="1483">
        <v>342.23</v>
      </c>
      <c r="D730" s="1484" t="s">
        <v>1883</v>
      </c>
      <c r="E730" s="1485">
        <v>7.0318887980400002E-8</v>
      </c>
      <c r="F730" s="1485">
        <v>1.7200000000000001E-9</v>
      </c>
      <c r="G730" s="1486" t="s">
        <v>1199</v>
      </c>
      <c r="H730" s="1485">
        <v>4.2E-7</v>
      </c>
      <c r="I730" s="1486" t="s">
        <v>1883</v>
      </c>
      <c r="J730" s="1487">
        <v>172.86</v>
      </c>
      <c r="K730" s="1488" t="s">
        <v>1199</v>
      </c>
      <c r="L730" s="1489">
        <v>1.27</v>
      </c>
      <c r="M730" s="1490" t="s">
        <v>1884</v>
      </c>
      <c r="N730" s="1491">
        <v>2.1110900591200001E-2</v>
      </c>
      <c r="O730" s="1491">
        <v>5.2840042440900001E-6</v>
      </c>
      <c r="P730" s="1492" t="s">
        <v>1885</v>
      </c>
      <c r="Q730" s="1493" t="s">
        <v>635</v>
      </c>
      <c r="R730" s="1494"/>
      <c r="S730" s="1493">
        <v>1556</v>
      </c>
      <c r="T730" s="1493" t="s">
        <v>1199</v>
      </c>
      <c r="U730" s="1493">
        <v>3.72</v>
      </c>
      <c r="V730" s="1495" t="s">
        <v>1883</v>
      </c>
      <c r="W730" s="1496">
        <v>110</v>
      </c>
      <c r="X730" s="1497" t="s">
        <v>1883</v>
      </c>
      <c r="Y730" s="1498">
        <v>3.9702686053739999E-2</v>
      </c>
      <c r="Z730" s="1498">
        <v>8.6763437404766002</v>
      </c>
      <c r="AA730" s="1498">
        <v>20.823224977143798</v>
      </c>
      <c r="AB730" s="1498">
        <v>5.5799999999999999E-3</v>
      </c>
      <c r="AC730" s="1499" t="s">
        <v>1199</v>
      </c>
      <c r="AD730" s="1500" t="s">
        <v>635</v>
      </c>
      <c r="AE730" s="1501"/>
      <c r="AF730" s="1502" t="s">
        <v>635</v>
      </c>
      <c r="AG730" s="1501"/>
      <c r="AH730" s="1502">
        <v>0.1</v>
      </c>
      <c r="AI730" s="1503" t="s">
        <v>1116</v>
      </c>
      <c r="AJ730" s="1502" t="s">
        <v>635</v>
      </c>
      <c r="AK730" s="1501"/>
      <c r="AL730" s="1501"/>
      <c r="AM730" s="1501"/>
      <c r="AN730" s="1504">
        <v>1</v>
      </c>
      <c r="AO730" s="1505">
        <v>0.1</v>
      </c>
      <c r="AP730" s="1506" t="s">
        <v>635</v>
      </c>
    </row>
    <row r="731" spans="1:42" ht="30">
      <c r="A731" s="1481" t="s">
        <v>3247</v>
      </c>
      <c r="B731" s="1482" t="s">
        <v>3248</v>
      </c>
      <c r="C731" s="1483">
        <v>58.081000000000003</v>
      </c>
      <c r="D731" s="1484" t="s">
        <v>1883</v>
      </c>
      <c r="E731" s="1485">
        <v>3.0008176614900002E-3</v>
      </c>
      <c r="F731" s="1485">
        <v>7.3399999999999995E-5</v>
      </c>
      <c r="G731" s="1486" t="s">
        <v>1883</v>
      </c>
      <c r="H731" s="1485">
        <v>316.8</v>
      </c>
      <c r="I731" s="1486" t="s">
        <v>1883</v>
      </c>
      <c r="J731" s="1487">
        <v>-80</v>
      </c>
      <c r="K731" s="1488" t="s">
        <v>1883</v>
      </c>
      <c r="L731" s="1489">
        <v>0.86570000000000003</v>
      </c>
      <c r="M731" s="1490" t="s">
        <v>1884</v>
      </c>
      <c r="N731" s="1491">
        <v>0.11037670384569</v>
      </c>
      <c r="O731" s="1491">
        <v>1.2169472990000001E-5</v>
      </c>
      <c r="P731" s="1492" t="s">
        <v>1885</v>
      </c>
      <c r="Q731" s="1493" t="s">
        <v>635</v>
      </c>
      <c r="R731" s="1494"/>
      <c r="S731" s="1493">
        <v>1</v>
      </c>
      <c r="T731" s="1493" t="s">
        <v>1199</v>
      </c>
      <c r="U731" s="1493">
        <v>0.59</v>
      </c>
      <c r="V731" s="1495" t="s">
        <v>1883</v>
      </c>
      <c r="W731" s="1496">
        <v>306000</v>
      </c>
      <c r="X731" s="1497" t="s">
        <v>1883</v>
      </c>
      <c r="Y731" s="1498">
        <v>5.3347624126999999E-3</v>
      </c>
      <c r="Z731" s="1498">
        <v>0.22238339169509</v>
      </c>
      <c r="AA731" s="1498">
        <v>0.53372014006821</v>
      </c>
      <c r="AB731" s="1498">
        <v>1.82E-3</v>
      </c>
      <c r="AC731" s="1499" t="s">
        <v>1199</v>
      </c>
      <c r="AD731" s="1500" t="s">
        <v>635</v>
      </c>
      <c r="AE731" s="1501"/>
      <c r="AF731" s="1502" t="s">
        <v>635</v>
      </c>
      <c r="AG731" s="1501"/>
      <c r="AH731" s="1502" t="s">
        <v>635</v>
      </c>
      <c r="AI731" s="1501"/>
      <c r="AJ731" s="1502">
        <v>8.0000000000000002E-3</v>
      </c>
      <c r="AK731" s="1503" t="s">
        <v>1119</v>
      </c>
      <c r="AL731" s="1503" t="s">
        <v>1127</v>
      </c>
      <c r="AM731" s="1501"/>
      <c r="AN731" s="1504">
        <v>1</v>
      </c>
      <c r="AO731" s="1504" t="s">
        <v>635</v>
      </c>
      <c r="AP731" s="1506">
        <v>32600</v>
      </c>
    </row>
    <row r="732" spans="1:42" ht="30">
      <c r="A732" s="1507" t="s">
        <v>3249</v>
      </c>
      <c r="B732" s="1508" t="s">
        <v>3250</v>
      </c>
      <c r="C732" s="1509">
        <v>120.2</v>
      </c>
      <c r="D732" s="1510" t="s">
        <v>1883</v>
      </c>
      <c r="E732" s="1511">
        <v>0.42927228127555001</v>
      </c>
      <c r="F732" s="1511">
        <v>1.0500000000000001E-2</v>
      </c>
      <c r="G732" s="1512" t="s">
        <v>1883</v>
      </c>
      <c r="H732" s="1511">
        <v>3.42</v>
      </c>
      <c r="I732" s="1512" t="s">
        <v>1883</v>
      </c>
      <c r="J732" s="1513">
        <v>-99.5</v>
      </c>
      <c r="K732" s="1514" t="s">
        <v>1883</v>
      </c>
      <c r="L732" s="1515">
        <v>0.85929999999999995</v>
      </c>
      <c r="M732" s="1516" t="s">
        <v>1884</v>
      </c>
      <c r="N732" s="1517">
        <v>6.0155772979650003E-2</v>
      </c>
      <c r="O732" s="1517">
        <v>7.8309775339400005E-6</v>
      </c>
      <c r="P732" s="1518" t="s">
        <v>1885</v>
      </c>
      <c r="Q732" s="1519" t="s">
        <v>635</v>
      </c>
      <c r="R732" s="1520"/>
      <c r="S732" s="1519">
        <v>813.1</v>
      </c>
      <c r="T732" s="1519" t="s">
        <v>1199</v>
      </c>
      <c r="U732" s="1519">
        <v>3.69</v>
      </c>
      <c r="V732" s="1521" t="s">
        <v>1883</v>
      </c>
      <c r="W732" s="1522">
        <v>52.2</v>
      </c>
      <c r="X732" s="1523" t="s">
        <v>1883</v>
      </c>
      <c r="Y732" s="1524">
        <v>0.39595376612837002</v>
      </c>
      <c r="Z732" s="1524">
        <v>0.49541454114276001</v>
      </c>
      <c r="AA732" s="1524">
        <v>1.18899489874263</v>
      </c>
      <c r="AB732" s="1524">
        <v>9.3899999999999997E-2</v>
      </c>
      <c r="AC732" s="1525" t="s">
        <v>1199</v>
      </c>
      <c r="AD732" s="1526" t="s">
        <v>635</v>
      </c>
      <c r="AE732" s="1527"/>
      <c r="AF732" s="1528" t="s">
        <v>635</v>
      </c>
      <c r="AG732" s="1527"/>
      <c r="AH732" s="1528">
        <v>0.1</v>
      </c>
      <c r="AI732" s="1529" t="s">
        <v>1893</v>
      </c>
      <c r="AJ732" s="1528">
        <v>1</v>
      </c>
      <c r="AK732" s="1529" t="s">
        <v>1893</v>
      </c>
      <c r="AL732" s="1529" t="s">
        <v>1127</v>
      </c>
      <c r="AM732" s="1527"/>
      <c r="AN732" s="1530">
        <v>1</v>
      </c>
      <c r="AO732" s="1530" t="s">
        <v>635</v>
      </c>
      <c r="AP732" s="1532">
        <v>264</v>
      </c>
    </row>
    <row r="733" spans="1:42" ht="30">
      <c r="A733" s="1481" t="s">
        <v>3251</v>
      </c>
      <c r="B733" s="1482" t="s">
        <v>3252</v>
      </c>
      <c r="C733" s="1483">
        <v>42.081000000000003</v>
      </c>
      <c r="D733" s="1484" t="s">
        <v>1883</v>
      </c>
      <c r="E733" s="1485">
        <v>8.0130825838103004</v>
      </c>
      <c r="F733" s="1485">
        <v>0.19600000000000001</v>
      </c>
      <c r="G733" s="1486" t="s">
        <v>1883</v>
      </c>
      <c r="H733" s="1485">
        <v>8690</v>
      </c>
      <c r="I733" s="1486" t="s">
        <v>1883</v>
      </c>
      <c r="J733" s="1487">
        <v>-185</v>
      </c>
      <c r="K733" s="1488" t="s">
        <v>1883</v>
      </c>
      <c r="L733" s="1489">
        <v>0.505</v>
      </c>
      <c r="M733" s="1490" t="s">
        <v>1884</v>
      </c>
      <c r="N733" s="1491">
        <v>0.10969671150322</v>
      </c>
      <c r="O733" s="1491">
        <v>1.0685502919999999E-5</v>
      </c>
      <c r="P733" s="1492" t="s">
        <v>1885</v>
      </c>
      <c r="Q733" s="1493" t="s">
        <v>635</v>
      </c>
      <c r="R733" s="1494"/>
      <c r="S733" s="1493">
        <v>21.73</v>
      </c>
      <c r="T733" s="1493" t="s">
        <v>1199</v>
      </c>
      <c r="U733" s="1493">
        <v>1.77</v>
      </c>
      <c r="V733" s="1495" t="s">
        <v>1883</v>
      </c>
      <c r="W733" s="1496">
        <v>200</v>
      </c>
      <c r="X733" s="1497" t="s">
        <v>1883</v>
      </c>
      <c r="Y733" s="1498">
        <v>3.3931931863660003E-2</v>
      </c>
      <c r="Z733" s="1498">
        <v>0.18092656987014</v>
      </c>
      <c r="AA733" s="1498">
        <v>0.43422376768833998</v>
      </c>
      <c r="AB733" s="1498">
        <v>1.3599999999999999E-2</v>
      </c>
      <c r="AC733" s="1499" t="s">
        <v>1199</v>
      </c>
      <c r="AD733" s="1500" t="s">
        <v>635</v>
      </c>
      <c r="AE733" s="1501"/>
      <c r="AF733" s="1502" t="s">
        <v>635</v>
      </c>
      <c r="AG733" s="1501"/>
      <c r="AH733" s="1502" t="s">
        <v>635</v>
      </c>
      <c r="AI733" s="1501"/>
      <c r="AJ733" s="1502">
        <v>3</v>
      </c>
      <c r="AK733" s="1503" t="s">
        <v>1900</v>
      </c>
      <c r="AL733" s="1503" t="s">
        <v>1127</v>
      </c>
      <c r="AM733" s="1501"/>
      <c r="AN733" s="1504">
        <v>1</v>
      </c>
      <c r="AO733" s="1504" t="s">
        <v>635</v>
      </c>
      <c r="AP733" s="1506">
        <v>349</v>
      </c>
    </row>
    <row r="734" spans="1:42" ht="30">
      <c r="A734" s="1481" t="s">
        <v>3253</v>
      </c>
      <c r="B734" s="1482" t="s">
        <v>3254</v>
      </c>
      <c r="C734" s="1483">
        <v>76.096000000000004</v>
      </c>
      <c r="D734" s="1484" t="s">
        <v>1883</v>
      </c>
      <c r="E734" s="1485">
        <v>5.2739165985300003E-7</v>
      </c>
      <c r="F734" s="1485">
        <v>1.29E-8</v>
      </c>
      <c r="G734" s="1486" t="s">
        <v>1199</v>
      </c>
      <c r="H734" s="1485">
        <v>0.129</v>
      </c>
      <c r="I734" s="1486" t="s">
        <v>1883</v>
      </c>
      <c r="J734" s="1487">
        <v>-60</v>
      </c>
      <c r="K734" s="1488" t="s">
        <v>1883</v>
      </c>
      <c r="L734" s="1489">
        <v>1.0361</v>
      </c>
      <c r="M734" s="1490" t="s">
        <v>1884</v>
      </c>
      <c r="N734" s="1491">
        <v>9.8068553756100005E-2</v>
      </c>
      <c r="O734" s="1491">
        <v>1.1526452859999999E-5</v>
      </c>
      <c r="P734" s="1492" t="s">
        <v>1885</v>
      </c>
      <c r="Q734" s="1493" t="s">
        <v>635</v>
      </c>
      <c r="R734" s="1494"/>
      <c r="S734" s="1493">
        <v>1</v>
      </c>
      <c r="T734" s="1493" t="s">
        <v>1199</v>
      </c>
      <c r="U734" s="1493">
        <v>-0.92</v>
      </c>
      <c r="V734" s="1495" t="s">
        <v>1883</v>
      </c>
      <c r="W734" s="1496">
        <v>1000000</v>
      </c>
      <c r="X734" s="1497" t="s">
        <v>1883</v>
      </c>
      <c r="Y734" s="1498">
        <v>4.7978161698999998E-4</v>
      </c>
      <c r="Z734" s="1498">
        <v>0.28053454612762002</v>
      </c>
      <c r="AA734" s="1498">
        <v>0.67328291070627999</v>
      </c>
      <c r="AB734" s="1498">
        <v>1.4300000000000001E-4</v>
      </c>
      <c r="AC734" s="1499" t="s">
        <v>1199</v>
      </c>
      <c r="AD734" s="1500" t="s">
        <v>635</v>
      </c>
      <c r="AE734" s="1501"/>
      <c r="AF734" s="1502" t="s">
        <v>635</v>
      </c>
      <c r="AG734" s="1501"/>
      <c r="AH734" s="1502">
        <v>20</v>
      </c>
      <c r="AI734" s="1503" t="s">
        <v>1909</v>
      </c>
      <c r="AJ734" s="1502" t="s">
        <v>635</v>
      </c>
      <c r="AK734" s="1501"/>
      <c r="AL734" s="1501"/>
      <c r="AM734" s="1501"/>
      <c r="AN734" s="1504">
        <v>1</v>
      </c>
      <c r="AO734" s="1505">
        <v>0.1</v>
      </c>
      <c r="AP734" s="1506" t="s">
        <v>635</v>
      </c>
    </row>
    <row r="735" spans="1:42" ht="30">
      <c r="A735" s="1507" t="s">
        <v>3255</v>
      </c>
      <c r="B735" s="1508" t="s">
        <v>3256</v>
      </c>
      <c r="C735" s="1509">
        <v>166.09</v>
      </c>
      <c r="D735" s="1510" t="s">
        <v>1883</v>
      </c>
      <c r="E735" s="1511">
        <v>3.8511856090000001E-5</v>
      </c>
      <c r="F735" s="1511">
        <v>9.4200000000000004E-7</v>
      </c>
      <c r="G735" s="1512" t="s">
        <v>1883</v>
      </c>
      <c r="H735" s="1511">
        <v>0.378</v>
      </c>
      <c r="I735" s="1512" t="s">
        <v>1883</v>
      </c>
      <c r="J735" s="1513">
        <v>-9.6300000000000008</v>
      </c>
      <c r="K735" s="1514" t="s">
        <v>1199</v>
      </c>
      <c r="L735" s="1515" t="s">
        <v>635</v>
      </c>
      <c r="M735" s="1538"/>
      <c r="N735" s="1517">
        <v>6.2881748735540005E-2</v>
      </c>
      <c r="O735" s="1517">
        <v>7.3472359048899999E-6</v>
      </c>
      <c r="P735" s="1518" t="s">
        <v>1885</v>
      </c>
      <c r="Q735" s="1519" t="s">
        <v>635</v>
      </c>
      <c r="R735" s="1520"/>
      <c r="S735" s="1519">
        <v>60.7</v>
      </c>
      <c r="T735" s="1519" t="s">
        <v>1199</v>
      </c>
      <c r="U735" s="1519">
        <v>1.83</v>
      </c>
      <c r="V735" s="1521" t="s">
        <v>1883</v>
      </c>
      <c r="W735" s="1522">
        <v>3261.9</v>
      </c>
      <c r="X735" s="1523" t="s">
        <v>1199</v>
      </c>
      <c r="Y735" s="1524">
        <v>1.031007274465E-2</v>
      </c>
      <c r="Z735" s="1524">
        <v>0.89526735692687998</v>
      </c>
      <c r="AA735" s="1524">
        <v>2.1486416566245099</v>
      </c>
      <c r="AB735" s="1524">
        <v>2.0799999999999998E-3</v>
      </c>
      <c r="AC735" s="1525" t="s">
        <v>1199</v>
      </c>
      <c r="AD735" s="1526" t="s">
        <v>635</v>
      </c>
      <c r="AE735" s="1527"/>
      <c r="AF735" s="1528" t="s">
        <v>635</v>
      </c>
      <c r="AG735" s="1527"/>
      <c r="AH735" s="1528" t="s">
        <v>635</v>
      </c>
      <c r="AI735" s="1527"/>
      <c r="AJ735" s="1528">
        <v>2.72E-4</v>
      </c>
      <c r="AK735" s="1529" t="s">
        <v>1960</v>
      </c>
      <c r="AL735" s="1527"/>
      <c r="AM735" s="1527"/>
      <c r="AN735" s="1530">
        <v>1</v>
      </c>
      <c r="AO735" s="1531">
        <v>0.1</v>
      </c>
      <c r="AP735" s="1532" t="s">
        <v>635</v>
      </c>
    </row>
    <row r="736" spans="1:42" ht="30">
      <c r="A736" s="1481" t="s">
        <v>3257</v>
      </c>
      <c r="B736" s="1482" t="s">
        <v>3258</v>
      </c>
      <c r="C736" s="1483">
        <v>90.123000000000005</v>
      </c>
      <c r="D736" s="1484" t="s">
        <v>1883</v>
      </c>
      <c r="E736" s="1485">
        <v>3.7612428449999998E-5</v>
      </c>
      <c r="F736" s="1485">
        <v>9.1999999999999998E-7</v>
      </c>
      <c r="G736" s="1486" t="s">
        <v>1883</v>
      </c>
      <c r="H736" s="1485">
        <v>12.5</v>
      </c>
      <c r="I736" s="1486" t="s">
        <v>1883</v>
      </c>
      <c r="J736" s="1487">
        <v>-95</v>
      </c>
      <c r="K736" s="1488" t="s">
        <v>1883</v>
      </c>
      <c r="L736" s="1489">
        <v>0.96199999999999997</v>
      </c>
      <c r="M736" s="1490" t="s">
        <v>1884</v>
      </c>
      <c r="N736" s="1491">
        <v>8.3145042640749997E-2</v>
      </c>
      <c r="O736" s="1491">
        <v>9.9603690646800006E-6</v>
      </c>
      <c r="P736" s="1492" t="s">
        <v>1885</v>
      </c>
      <c r="Q736" s="1493" t="s">
        <v>635</v>
      </c>
      <c r="R736" s="1494"/>
      <c r="S736" s="1493">
        <v>1</v>
      </c>
      <c r="T736" s="1493" t="s">
        <v>1199</v>
      </c>
      <c r="U736" s="1493">
        <v>-0.49</v>
      </c>
      <c r="V736" s="1495" t="s">
        <v>1883</v>
      </c>
      <c r="W736" s="1496">
        <v>1000000</v>
      </c>
      <c r="X736" s="1497" t="s">
        <v>1883</v>
      </c>
      <c r="Y736" s="1498">
        <v>8.4344438607000002E-4</v>
      </c>
      <c r="Z736" s="1498">
        <v>0.33615343201532999</v>
      </c>
      <c r="AA736" s="1498">
        <v>0.80676823683679</v>
      </c>
      <c r="AB736" s="1498">
        <v>2.31E-4</v>
      </c>
      <c r="AC736" s="1499" t="s">
        <v>1199</v>
      </c>
      <c r="AD736" s="1500" t="s">
        <v>635</v>
      </c>
      <c r="AE736" s="1501"/>
      <c r="AF736" s="1502" t="s">
        <v>635</v>
      </c>
      <c r="AG736" s="1501"/>
      <c r="AH736" s="1502">
        <v>0.7</v>
      </c>
      <c r="AI736" s="1503" t="s">
        <v>1073</v>
      </c>
      <c r="AJ736" s="1502">
        <v>2</v>
      </c>
      <c r="AK736" s="1503" t="s">
        <v>1119</v>
      </c>
      <c r="AL736" s="1503" t="s">
        <v>1127</v>
      </c>
      <c r="AM736" s="1501"/>
      <c r="AN736" s="1504">
        <v>1</v>
      </c>
      <c r="AO736" s="1504" t="s">
        <v>635</v>
      </c>
      <c r="AP736" s="1506">
        <v>106000</v>
      </c>
    </row>
    <row r="737" spans="1:42" ht="30">
      <c r="A737" s="1481" t="s">
        <v>3259</v>
      </c>
      <c r="B737" s="1482" t="s">
        <v>3260</v>
      </c>
      <c r="C737" s="1483">
        <v>58.081000000000003</v>
      </c>
      <c r="D737" s="1484" t="s">
        <v>1883</v>
      </c>
      <c r="E737" s="1485">
        <v>2.8454619787400002E-3</v>
      </c>
      <c r="F737" s="1485">
        <v>6.9599999999999998E-5</v>
      </c>
      <c r="G737" s="1486" t="s">
        <v>1199</v>
      </c>
      <c r="H737" s="1485">
        <v>538</v>
      </c>
      <c r="I737" s="1486" t="s">
        <v>1883</v>
      </c>
      <c r="J737" s="1487">
        <v>-111.9</v>
      </c>
      <c r="K737" s="1488" t="s">
        <v>1883</v>
      </c>
      <c r="L737" s="1489">
        <v>0.83099999999999996</v>
      </c>
      <c r="M737" s="1490" t="s">
        <v>1949</v>
      </c>
      <c r="N737" s="1491">
        <v>0.1085105424214</v>
      </c>
      <c r="O737" s="1491">
        <v>1.187440712E-5</v>
      </c>
      <c r="P737" s="1492" t="s">
        <v>1885</v>
      </c>
      <c r="Q737" s="1493" t="s">
        <v>635</v>
      </c>
      <c r="R737" s="1494"/>
      <c r="S737" s="1493">
        <v>5.194</v>
      </c>
      <c r="T737" s="1493" t="s">
        <v>1199</v>
      </c>
      <c r="U737" s="1493">
        <v>0.03</v>
      </c>
      <c r="V737" s="1495" t="s">
        <v>1883</v>
      </c>
      <c r="W737" s="1496">
        <v>590000</v>
      </c>
      <c r="X737" s="1497" t="s">
        <v>1883</v>
      </c>
      <c r="Y737" s="1498">
        <v>2.2687396194700001E-3</v>
      </c>
      <c r="Z737" s="1498">
        <v>0.22238339169509</v>
      </c>
      <c r="AA737" s="1498">
        <v>0.53372014006821</v>
      </c>
      <c r="AB737" s="1498">
        <v>7.7399999999999995E-4</v>
      </c>
      <c r="AC737" s="1499" t="s">
        <v>1199</v>
      </c>
      <c r="AD737" s="1500">
        <v>0.24</v>
      </c>
      <c r="AE737" s="1503" t="s">
        <v>1119</v>
      </c>
      <c r="AF737" s="1502">
        <v>3.7000000000000002E-6</v>
      </c>
      <c r="AG737" s="1503" t="s">
        <v>1119</v>
      </c>
      <c r="AH737" s="1502" t="s">
        <v>635</v>
      </c>
      <c r="AI737" s="1501"/>
      <c r="AJ737" s="1502">
        <v>0.03</v>
      </c>
      <c r="AK737" s="1503" t="s">
        <v>1119</v>
      </c>
      <c r="AL737" s="1503" t="s">
        <v>1127</v>
      </c>
      <c r="AM737" s="1501"/>
      <c r="AN737" s="1504">
        <v>1</v>
      </c>
      <c r="AO737" s="1504" t="s">
        <v>635</v>
      </c>
      <c r="AP737" s="1506">
        <v>77700</v>
      </c>
    </row>
    <row r="738" spans="1:42" ht="30">
      <c r="A738" s="1507" t="s">
        <v>3261</v>
      </c>
      <c r="B738" s="1508" t="s">
        <v>3262</v>
      </c>
      <c r="C738" s="1509">
        <v>79.102000000000004</v>
      </c>
      <c r="D738" s="1510" t="s">
        <v>1883</v>
      </c>
      <c r="E738" s="1511">
        <v>4.4971381848E-4</v>
      </c>
      <c r="F738" s="1511">
        <v>1.1E-5</v>
      </c>
      <c r="G738" s="1512" t="s">
        <v>1883</v>
      </c>
      <c r="H738" s="1511">
        <v>20.8</v>
      </c>
      <c r="I738" s="1512" t="s">
        <v>1883</v>
      </c>
      <c r="J738" s="1513">
        <v>-41.6</v>
      </c>
      <c r="K738" s="1514" t="s">
        <v>1883</v>
      </c>
      <c r="L738" s="1515">
        <v>0.9819</v>
      </c>
      <c r="M738" s="1516" t="s">
        <v>1884</v>
      </c>
      <c r="N738" s="1517">
        <v>9.3088316402879998E-2</v>
      </c>
      <c r="O738" s="1517">
        <v>1.090434664E-5</v>
      </c>
      <c r="P738" s="1518" t="s">
        <v>1885</v>
      </c>
      <c r="Q738" s="1519" t="s">
        <v>635</v>
      </c>
      <c r="R738" s="1520"/>
      <c r="S738" s="1519">
        <v>71.72</v>
      </c>
      <c r="T738" s="1519" t="s">
        <v>1199</v>
      </c>
      <c r="U738" s="1519">
        <v>0.65</v>
      </c>
      <c r="V738" s="1521" t="s">
        <v>1883</v>
      </c>
      <c r="W738" s="1522">
        <v>1000000</v>
      </c>
      <c r="X738" s="1523" t="s">
        <v>1883</v>
      </c>
      <c r="Y738" s="1524">
        <v>5.1995286085799999E-3</v>
      </c>
      <c r="Z738" s="1524">
        <v>0.29162177539169998</v>
      </c>
      <c r="AA738" s="1524">
        <v>0.69989226094009005</v>
      </c>
      <c r="AB738" s="1524">
        <v>1.5200000000000001E-3</v>
      </c>
      <c r="AC738" s="1525" t="s">
        <v>1199</v>
      </c>
      <c r="AD738" s="1526" t="s">
        <v>635</v>
      </c>
      <c r="AE738" s="1527"/>
      <c r="AF738" s="1528" t="s">
        <v>635</v>
      </c>
      <c r="AG738" s="1527"/>
      <c r="AH738" s="1528">
        <v>1E-3</v>
      </c>
      <c r="AI738" s="1529" t="s">
        <v>1119</v>
      </c>
      <c r="AJ738" s="1528" t="s">
        <v>635</v>
      </c>
      <c r="AK738" s="1527"/>
      <c r="AL738" s="1529" t="s">
        <v>1127</v>
      </c>
      <c r="AM738" s="1527"/>
      <c r="AN738" s="1530">
        <v>1</v>
      </c>
      <c r="AO738" s="1530" t="s">
        <v>635</v>
      </c>
      <c r="AP738" s="1532">
        <v>530000</v>
      </c>
    </row>
    <row r="739" spans="1:42" ht="30">
      <c r="A739" s="1481" t="s">
        <v>3263</v>
      </c>
      <c r="B739" s="1482" t="s">
        <v>3264</v>
      </c>
      <c r="C739" s="1483">
        <v>298.3</v>
      </c>
      <c r="D739" s="1484" t="s">
        <v>1883</v>
      </c>
      <c r="E739" s="1485">
        <v>1.89697465249E-6</v>
      </c>
      <c r="F739" s="1485">
        <v>4.6399999999999999E-8</v>
      </c>
      <c r="G739" s="1486" t="s">
        <v>1199</v>
      </c>
      <c r="H739" s="1485">
        <v>2.6000000000000001E-6</v>
      </c>
      <c r="I739" s="1486" t="s">
        <v>1883</v>
      </c>
      <c r="J739" s="1487">
        <v>31.5</v>
      </c>
      <c r="K739" s="1488" t="s">
        <v>1883</v>
      </c>
      <c r="L739" s="1489" t="s">
        <v>635</v>
      </c>
      <c r="M739" s="1533"/>
      <c r="N739" s="1491">
        <v>4.2558348382319998E-2</v>
      </c>
      <c r="O739" s="1491">
        <v>4.9726070215099998E-6</v>
      </c>
      <c r="P739" s="1492" t="s">
        <v>1885</v>
      </c>
      <c r="Q739" s="1493" t="s">
        <v>635</v>
      </c>
      <c r="R739" s="1494"/>
      <c r="S739" s="1493">
        <v>4185</v>
      </c>
      <c r="T739" s="1493" t="s">
        <v>1199</v>
      </c>
      <c r="U739" s="1493">
        <v>4.4400000000000004</v>
      </c>
      <c r="V739" s="1495" t="s">
        <v>1883</v>
      </c>
      <c r="W739" s="1496">
        <v>22</v>
      </c>
      <c r="X739" s="1497" t="s">
        <v>1883</v>
      </c>
      <c r="Y739" s="1498">
        <v>0.19662783155498001</v>
      </c>
      <c r="Z739" s="1498">
        <v>4.9241213780744202</v>
      </c>
      <c r="AA739" s="1498">
        <v>11.8178913073786</v>
      </c>
      <c r="AB739" s="1498">
        <v>2.9600000000000001E-2</v>
      </c>
      <c r="AC739" s="1499" t="s">
        <v>1199</v>
      </c>
      <c r="AD739" s="1500" t="s">
        <v>635</v>
      </c>
      <c r="AE739" s="1501"/>
      <c r="AF739" s="1502" t="s">
        <v>635</v>
      </c>
      <c r="AG739" s="1501"/>
      <c r="AH739" s="1502">
        <v>5.0000000000000001E-4</v>
      </c>
      <c r="AI739" s="1503" t="s">
        <v>1119</v>
      </c>
      <c r="AJ739" s="1502" t="s">
        <v>635</v>
      </c>
      <c r="AK739" s="1501"/>
      <c r="AL739" s="1501"/>
      <c r="AM739" s="1501"/>
      <c r="AN739" s="1504">
        <v>1</v>
      </c>
      <c r="AO739" s="1505">
        <v>0.1</v>
      </c>
      <c r="AP739" s="1506" t="s">
        <v>635</v>
      </c>
    </row>
    <row r="740" spans="1:42" ht="30">
      <c r="A740" s="1481" t="s">
        <v>3265</v>
      </c>
      <c r="B740" s="1482" t="s">
        <v>3266</v>
      </c>
      <c r="C740" s="1483">
        <v>129.16</v>
      </c>
      <c r="D740" s="1484" t="s">
        <v>1883</v>
      </c>
      <c r="E740" s="1485">
        <v>6.8274734260000001E-5</v>
      </c>
      <c r="F740" s="1485">
        <v>1.6700000000000001E-6</v>
      </c>
      <c r="G740" s="1486" t="s">
        <v>1199</v>
      </c>
      <c r="H740" s="1485">
        <v>0.06</v>
      </c>
      <c r="I740" s="1486" t="s">
        <v>1883</v>
      </c>
      <c r="J740" s="1487">
        <v>-14.78</v>
      </c>
      <c r="K740" s="1488" t="s">
        <v>1883</v>
      </c>
      <c r="L740" s="1489">
        <v>1.0976999999999999</v>
      </c>
      <c r="M740" s="1490" t="s">
        <v>1884</v>
      </c>
      <c r="N740" s="1491">
        <v>6.1800427638409997E-2</v>
      </c>
      <c r="O740" s="1491">
        <v>8.6873065798599994E-6</v>
      </c>
      <c r="P740" s="1492" t="s">
        <v>1885</v>
      </c>
      <c r="Q740" s="1493" t="s">
        <v>635</v>
      </c>
      <c r="R740" s="1494"/>
      <c r="S740" s="1493">
        <v>1544</v>
      </c>
      <c r="T740" s="1493" t="s">
        <v>1199</v>
      </c>
      <c r="U740" s="1493">
        <v>2.0299999999999998</v>
      </c>
      <c r="V740" s="1495" t="s">
        <v>1883</v>
      </c>
      <c r="W740" s="1496">
        <v>6110</v>
      </c>
      <c r="X740" s="1497" t="s">
        <v>1883</v>
      </c>
      <c r="Y740" s="1498">
        <v>2.8805544225139999E-2</v>
      </c>
      <c r="Z740" s="1498">
        <v>0.55608957009974003</v>
      </c>
      <c r="AA740" s="1498">
        <v>1.33461496823937</v>
      </c>
      <c r="AB740" s="1498">
        <v>6.5900000000000004E-3</v>
      </c>
      <c r="AC740" s="1499" t="s">
        <v>1199</v>
      </c>
      <c r="AD740" s="1500">
        <v>3</v>
      </c>
      <c r="AE740" s="1503" t="s">
        <v>1119</v>
      </c>
      <c r="AF740" s="1502" t="s">
        <v>635</v>
      </c>
      <c r="AG740" s="1501"/>
      <c r="AH740" s="1502" t="s">
        <v>635</v>
      </c>
      <c r="AI740" s="1501"/>
      <c r="AJ740" s="1502" t="s">
        <v>635</v>
      </c>
      <c r="AK740" s="1501"/>
      <c r="AL740" s="1501"/>
      <c r="AM740" s="1501"/>
      <c r="AN740" s="1504">
        <v>1</v>
      </c>
      <c r="AO740" s="1505">
        <v>0.1</v>
      </c>
      <c r="AP740" s="1506" t="s">
        <v>635</v>
      </c>
    </row>
    <row r="741" spans="1:42" ht="30">
      <c r="A741" s="1507" t="s">
        <v>3267</v>
      </c>
      <c r="B741" s="1508" t="s">
        <v>3268</v>
      </c>
      <c r="C741" s="1509">
        <v>372.81</v>
      </c>
      <c r="D741" s="1510" t="s">
        <v>1883</v>
      </c>
      <c r="E741" s="1511">
        <v>4.3336058871599999E-7</v>
      </c>
      <c r="F741" s="1511">
        <v>1.0600000000000001E-8</v>
      </c>
      <c r="G741" s="1512" t="s">
        <v>1199</v>
      </c>
      <c r="H741" s="1511">
        <v>6.4899999999999997E-9</v>
      </c>
      <c r="I741" s="1512" t="s">
        <v>1883</v>
      </c>
      <c r="J741" s="1513">
        <v>92</v>
      </c>
      <c r="K741" s="1514" t="s">
        <v>1883</v>
      </c>
      <c r="L741" s="1515" t="s">
        <v>635</v>
      </c>
      <c r="M741" s="1538"/>
      <c r="N741" s="1517">
        <v>3.6679935691789997E-2</v>
      </c>
      <c r="O741" s="1517">
        <v>4.2857609071499997E-6</v>
      </c>
      <c r="P741" s="1518" t="s">
        <v>1885</v>
      </c>
      <c r="Q741" s="1519" t="s">
        <v>635</v>
      </c>
      <c r="R741" s="1520"/>
      <c r="S741" s="1519">
        <v>7736</v>
      </c>
      <c r="T741" s="1519" t="s">
        <v>1199</v>
      </c>
      <c r="U741" s="1519">
        <v>4.28</v>
      </c>
      <c r="V741" s="1521" t="s">
        <v>1883</v>
      </c>
      <c r="W741" s="1522">
        <v>0.3</v>
      </c>
      <c r="X741" s="1523" t="s">
        <v>1883</v>
      </c>
      <c r="Y741" s="1524">
        <v>6.5796705772649997E-2</v>
      </c>
      <c r="Z741" s="1524">
        <v>12.8701838141548</v>
      </c>
      <c r="AA741" s="1524">
        <v>30.888441153971499</v>
      </c>
      <c r="AB741" s="1524">
        <v>8.8599999999999998E-3</v>
      </c>
      <c r="AC741" s="1525" t="s">
        <v>1199</v>
      </c>
      <c r="AD741" s="1526" t="s">
        <v>635</v>
      </c>
      <c r="AE741" s="1527"/>
      <c r="AF741" s="1528" t="s">
        <v>635</v>
      </c>
      <c r="AG741" s="1527"/>
      <c r="AH741" s="1528">
        <v>8.9999999999999993E-3</v>
      </c>
      <c r="AI741" s="1529" t="s">
        <v>1119</v>
      </c>
      <c r="AJ741" s="1528" t="s">
        <v>635</v>
      </c>
      <c r="AK741" s="1527"/>
      <c r="AL741" s="1527"/>
      <c r="AM741" s="1527"/>
      <c r="AN741" s="1530">
        <v>1</v>
      </c>
      <c r="AO741" s="1531">
        <v>0.1</v>
      </c>
      <c r="AP741" s="1532" t="s">
        <v>635</v>
      </c>
    </row>
    <row r="742" spans="1:42" ht="30">
      <c r="A742" s="1481" t="s">
        <v>3269</v>
      </c>
      <c r="B742" s="1482" t="s">
        <v>3270</v>
      </c>
      <c r="C742" s="1483" t="s">
        <v>635</v>
      </c>
      <c r="D742" s="1543"/>
      <c r="E742" s="1485" t="s">
        <v>635</v>
      </c>
      <c r="F742" s="1485" t="s">
        <v>635</v>
      </c>
      <c r="G742" s="1536"/>
      <c r="H742" s="1485" t="s">
        <v>635</v>
      </c>
      <c r="I742" s="1536"/>
      <c r="J742" s="1487" t="s">
        <v>635</v>
      </c>
      <c r="K742" s="1542"/>
      <c r="L742" s="1489" t="s">
        <v>635</v>
      </c>
      <c r="M742" s="1533"/>
      <c r="N742" s="1491" t="s">
        <v>635</v>
      </c>
      <c r="O742" s="1491" t="s">
        <v>635</v>
      </c>
      <c r="P742" s="1544"/>
      <c r="Q742" s="1493" t="s">
        <v>635</v>
      </c>
      <c r="R742" s="1494"/>
      <c r="S742" s="1493" t="s">
        <v>635</v>
      </c>
      <c r="T742" s="1494"/>
      <c r="U742" s="1493" t="s">
        <v>635</v>
      </c>
      <c r="V742" s="1481"/>
      <c r="W742" s="1496" t="s">
        <v>635</v>
      </c>
      <c r="X742" s="1537"/>
      <c r="Y742" s="1498" t="s">
        <v>635</v>
      </c>
      <c r="Z742" s="1498" t="s">
        <v>635</v>
      </c>
      <c r="AA742" s="1498" t="s">
        <v>635</v>
      </c>
      <c r="AB742" s="1498">
        <v>1E-3</v>
      </c>
      <c r="AC742" s="1499" t="s">
        <v>1203</v>
      </c>
      <c r="AD742" s="1500" t="s">
        <v>635</v>
      </c>
      <c r="AE742" s="1501"/>
      <c r="AF742" s="1502" t="s">
        <v>635</v>
      </c>
      <c r="AG742" s="1501"/>
      <c r="AH742" s="1502" t="s">
        <v>635</v>
      </c>
      <c r="AI742" s="1501"/>
      <c r="AJ742" s="1502">
        <v>30000</v>
      </c>
      <c r="AK742" s="1503" t="s">
        <v>1960</v>
      </c>
      <c r="AL742" s="1501"/>
      <c r="AM742" s="1501"/>
      <c r="AN742" s="1504">
        <v>1</v>
      </c>
      <c r="AO742" s="1504" t="s">
        <v>635</v>
      </c>
      <c r="AP742" s="1506" t="s">
        <v>635</v>
      </c>
    </row>
    <row r="743" spans="1:42" ht="30">
      <c r="A743" s="1481" t="s">
        <v>3271</v>
      </c>
      <c r="B743" s="1482" t="s">
        <v>3272</v>
      </c>
      <c r="C743" s="1483">
        <v>338.45</v>
      </c>
      <c r="D743" s="1484" t="s">
        <v>1883</v>
      </c>
      <c r="E743" s="1485">
        <v>5.4374488961599996E-6</v>
      </c>
      <c r="F743" s="1485">
        <v>1.3300000000000001E-7</v>
      </c>
      <c r="G743" s="1486" t="s">
        <v>1199</v>
      </c>
      <c r="H743" s="1485">
        <v>1.13E-8</v>
      </c>
      <c r="I743" s="1486" t="s">
        <v>1883</v>
      </c>
      <c r="J743" s="1487">
        <v>56.5</v>
      </c>
      <c r="K743" s="1488" t="s">
        <v>1883</v>
      </c>
      <c r="L743" s="1489" t="s">
        <v>635</v>
      </c>
      <c r="M743" s="1533"/>
      <c r="N743" s="1491">
        <v>3.9122258828639997E-2</v>
      </c>
      <c r="O743" s="1491">
        <v>4.5711270841900002E-6</v>
      </c>
      <c r="P743" s="1492" t="s">
        <v>1885</v>
      </c>
      <c r="Q743" s="1493" t="s">
        <v>635</v>
      </c>
      <c r="R743" s="1494"/>
      <c r="S743" s="1493">
        <v>311400</v>
      </c>
      <c r="T743" s="1493" t="s">
        <v>1199</v>
      </c>
      <c r="U743" s="1493">
        <v>6.14</v>
      </c>
      <c r="V743" s="1495" t="s">
        <v>1883</v>
      </c>
      <c r="W743" s="1496">
        <v>3.7900000000000003E-2</v>
      </c>
      <c r="X743" s="1497" t="s">
        <v>1883</v>
      </c>
      <c r="Y743" s="1498">
        <v>1.6840340496775501</v>
      </c>
      <c r="Z743" s="1498">
        <v>8.2635897753819307</v>
      </c>
      <c r="AA743" s="1498">
        <v>33.173156601340501</v>
      </c>
      <c r="AB743" s="1498">
        <v>0.23799999999999999</v>
      </c>
      <c r="AC743" s="1499" t="s">
        <v>1199</v>
      </c>
      <c r="AD743" s="1500" t="s">
        <v>635</v>
      </c>
      <c r="AE743" s="1501"/>
      <c r="AF743" s="1502" t="s">
        <v>635</v>
      </c>
      <c r="AG743" s="1501"/>
      <c r="AH743" s="1502">
        <v>0.03</v>
      </c>
      <c r="AI743" s="1503" t="s">
        <v>1119</v>
      </c>
      <c r="AJ743" s="1502" t="s">
        <v>635</v>
      </c>
      <c r="AK743" s="1501"/>
      <c r="AL743" s="1501"/>
      <c r="AM743" s="1501"/>
      <c r="AN743" s="1504">
        <v>1</v>
      </c>
      <c r="AO743" s="1505">
        <v>0.1</v>
      </c>
      <c r="AP743" s="1506" t="s">
        <v>635</v>
      </c>
    </row>
    <row r="744" spans="1:42" ht="30">
      <c r="A744" s="1507" t="s">
        <v>3273</v>
      </c>
      <c r="B744" s="1508" t="s">
        <v>3274</v>
      </c>
      <c r="C744" s="1509">
        <v>321.55</v>
      </c>
      <c r="D744" s="1510" t="s">
        <v>1883</v>
      </c>
      <c r="E744" s="1511">
        <v>1.3082583810299999E-3</v>
      </c>
      <c r="F744" s="1511">
        <v>3.1999999999999999E-5</v>
      </c>
      <c r="G744" s="1512" t="s">
        <v>1199</v>
      </c>
      <c r="H744" s="1511">
        <v>7.4999999999999993E-5</v>
      </c>
      <c r="I744" s="1512" t="s">
        <v>1883</v>
      </c>
      <c r="J744" s="1513">
        <v>41</v>
      </c>
      <c r="K744" s="1514" t="s">
        <v>1883</v>
      </c>
      <c r="L744" s="1515">
        <v>1.44</v>
      </c>
      <c r="M744" s="1516" t="s">
        <v>1884</v>
      </c>
      <c r="N744" s="1517">
        <v>2.3157702624669999E-2</v>
      </c>
      <c r="O744" s="1517">
        <v>5.9148012838E-6</v>
      </c>
      <c r="P744" s="1518" t="s">
        <v>1885</v>
      </c>
      <c r="Q744" s="1519" t="s">
        <v>635</v>
      </c>
      <c r="R744" s="1520"/>
      <c r="S744" s="1519">
        <v>4457</v>
      </c>
      <c r="T744" s="1519" t="s">
        <v>1199</v>
      </c>
      <c r="U744" s="1519">
        <v>4.88</v>
      </c>
      <c r="V744" s="1521" t="s">
        <v>1883</v>
      </c>
      <c r="W744" s="1522">
        <v>1</v>
      </c>
      <c r="X744" s="1523" t="s">
        <v>1883</v>
      </c>
      <c r="Y744" s="1524">
        <v>0.29656463767537999</v>
      </c>
      <c r="Z744" s="1524">
        <v>6.6455166373384502</v>
      </c>
      <c r="AA744" s="1524">
        <v>15.9492399296123</v>
      </c>
      <c r="AB744" s="1524">
        <v>4.2999999999999997E-2</v>
      </c>
      <c r="AC744" s="1525" t="s">
        <v>1199</v>
      </c>
      <c r="AD744" s="1526" t="s">
        <v>635</v>
      </c>
      <c r="AE744" s="1527"/>
      <c r="AF744" s="1528" t="s">
        <v>635</v>
      </c>
      <c r="AG744" s="1527"/>
      <c r="AH744" s="1528">
        <v>0.05</v>
      </c>
      <c r="AI744" s="1529" t="s">
        <v>1073</v>
      </c>
      <c r="AJ744" s="1528" t="s">
        <v>635</v>
      </c>
      <c r="AK744" s="1527"/>
      <c r="AL744" s="1529" t="s">
        <v>1127</v>
      </c>
      <c r="AM744" s="1527"/>
      <c r="AN744" s="1530">
        <v>1</v>
      </c>
      <c r="AO744" s="1530" t="s">
        <v>635</v>
      </c>
      <c r="AP744" s="1532" t="s">
        <v>635</v>
      </c>
    </row>
    <row r="745" spans="1:42" ht="30">
      <c r="A745" s="1481" t="s">
        <v>3275</v>
      </c>
      <c r="B745" s="1482" t="s">
        <v>3276</v>
      </c>
      <c r="C745" s="1483">
        <v>394.43</v>
      </c>
      <c r="D745" s="1484" t="s">
        <v>1883</v>
      </c>
      <c r="E745" s="1485">
        <v>4.5789043336E-12</v>
      </c>
      <c r="F745" s="1485">
        <v>1.12E-13</v>
      </c>
      <c r="G745" s="1486" t="s">
        <v>1883</v>
      </c>
      <c r="H745" s="1485">
        <v>6.9399999999999998E-10</v>
      </c>
      <c r="I745" s="1486" t="s">
        <v>1883</v>
      </c>
      <c r="J745" s="1487">
        <v>176</v>
      </c>
      <c r="K745" s="1488" t="s">
        <v>1883</v>
      </c>
      <c r="L745" s="1489" t="s">
        <v>635</v>
      </c>
      <c r="M745" s="1533"/>
      <c r="N745" s="1491">
        <v>3.5327017589210002E-2</v>
      </c>
      <c r="O745" s="1491">
        <v>4.1276831077899998E-6</v>
      </c>
      <c r="P745" s="1492" t="s">
        <v>1885</v>
      </c>
      <c r="Q745" s="1493" t="s">
        <v>635</v>
      </c>
      <c r="R745" s="1494"/>
      <c r="S745" s="1493">
        <v>261100</v>
      </c>
      <c r="T745" s="1493" t="s">
        <v>1199</v>
      </c>
      <c r="U745" s="1493">
        <v>4.0999999999999996</v>
      </c>
      <c r="V745" s="1495" t="s">
        <v>1883</v>
      </c>
      <c r="W745" s="1496">
        <v>0.2</v>
      </c>
      <c r="X745" s="1497" t="s">
        <v>1883</v>
      </c>
      <c r="Y745" s="1498">
        <v>3.8880281815510002E-2</v>
      </c>
      <c r="Z745" s="1498">
        <v>17.008137164282498</v>
      </c>
      <c r="AA745" s="1498">
        <v>40.819529194277997</v>
      </c>
      <c r="AB745" s="1498">
        <v>5.0899999999999999E-3</v>
      </c>
      <c r="AC745" s="1499" t="s">
        <v>1199</v>
      </c>
      <c r="AD745" s="1500" t="s">
        <v>635</v>
      </c>
      <c r="AE745" s="1501"/>
      <c r="AF745" s="1502" t="s">
        <v>635</v>
      </c>
      <c r="AG745" s="1501"/>
      <c r="AH745" s="1502">
        <v>4.0000000000000001E-3</v>
      </c>
      <c r="AI745" s="1503" t="s">
        <v>1119</v>
      </c>
      <c r="AJ745" s="1502" t="s">
        <v>635</v>
      </c>
      <c r="AK745" s="1501"/>
      <c r="AL745" s="1501"/>
      <c r="AM745" s="1501"/>
      <c r="AN745" s="1504">
        <v>1</v>
      </c>
      <c r="AO745" s="1505">
        <v>0.1</v>
      </c>
      <c r="AP745" s="1506" t="s">
        <v>635</v>
      </c>
    </row>
    <row r="746" spans="1:42" ht="30">
      <c r="A746" s="1481" t="s">
        <v>3277</v>
      </c>
      <c r="B746" s="1482" t="s">
        <v>3278</v>
      </c>
      <c r="C746" s="1483">
        <v>162.19</v>
      </c>
      <c r="D746" s="1484" t="s">
        <v>1883</v>
      </c>
      <c r="E746" s="1485">
        <v>3.7080948486999999E-4</v>
      </c>
      <c r="F746" s="1485">
        <v>9.0699999999999996E-6</v>
      </c>
      <c r="G746" s="1486" t="s">
        <v>1883</v>
      </c>
      <c r="H746" s="1485">
        <v>7.4999999999999997E-2</v>
      </c>
      <c r="I746" s="1486" t="s">
        <v>1884</v>
      </c>
      <c r="J746" s="1487">
        <v>11.2</v>
      </c>
      <c r="K746" s="1488" t="s">
        <v>1883</v>
      </c>
      <c r="L746" s="1489">
        <v>1.1000000000000001</v>
      </c>
      <c r="M746" s="1490" t="s">
        <v>1884</v>
      </c>
      <c r="N746" s="1491">
        <v>4.4227163745570001E-2</v>
      </c>
      <c r="O746" s="1491">
        <v>7.5873992687099998E-6</v>
      </c>
      <c r="P746" s="1492" t="s">
        <v>1885</v>
      </c>
      <c r="Q746" s="1493" t="s">
        <v>635</v>
      </c>
      <c r="R746" s="1494"/>
      <c r="S746" s="1493">
        <v>207.2</v>
      </c>
      <c r="T746" s="1493" t="s">
        <v>1199</v>
      </c>
      <c r="U746" s="1493">
        <v>3.45</v>
      </c>
      <c r="V746" s="1495" t="s">
        <v>1883</v>
      </c>
      <c r="W746" s="1496">
        <v>121</v>
      </c>
      <c r="X746" s="1497" t="s">
        <v>1883</v>
      </c>
      <c r="Y746" s="1498">
        <v>5.5276663219169998E-2</v>
      </c>
      <c r="Z746" s="1498">
        <v>0.85135903558876003</v>
      </c>
      <c r="AA746" s="1498">
        <v>2.0432616854130101</v>
      </c>
      <c r="AB746" s="1498">
        <v>1.1285040707299999E-2</v>
      </c>
      <c r="AC746" s="1499" t="s">
        <v>1203</v>
      </c>
      <c r="AD746" s="1500">
        <v>0.22</v>
      </c>
      <c r="AE746" s="1503" t="s">
        <v>1900</v>
      </c>
      <c r="AF746" s="1502">
        <v>6.3E-5</v>
      </c>
      <c r="AG746" s="1503" t="s">
        <v>1900</v>
      </c>
      <c r="AH746" s="1502" t="s">
        <v>635</v>
      </c>
      <c r="AI746" s="1501"/>
      <c r="AJ746" s="1502" t="s">
        <v>635</v>
      </c>
      <c r="AK746" s="1501"/>
      <c r="AL746" s="1501"/>
      <c r="AM746" s="1503" t="s">
        <v>1906</v>
      </c>
      <c r="AN746" s="1504">
        <v>1</v>
      </c>
      <c r="AO746" s="1505">
        <v>0.1</v>
      </c>
      <c r="AP746" s="1506" t="s">
        <v>635</v>
      </c>
    </row>
    <row r="747" spans="1:42" ht="30">
      <c r="A747" s="1507" t="s">
        <v>3279</v>
      </c>
      <c r="B747" s="1508" t="s">
        <v>3280</v>
      </c>
      <c r="C747" s="1509">
        <v>128.97</v>
      </c>
      <c r="D747" s="1510" t="s">
        <v>1883</v>
      </c>
      <c r="E747" s="1511" t="s">
        <v>635</v>
      </c>
      <c r="F747" s="1511" t="s">
        <v>635</v>
      </c>
      <c r="G747" s="1534"/>
      <c r="H747" s="1511" t="s">
        <v>635</v>
      </c>
      <c r="I747" s="1534"/>
      <c r="J747" s="1513">
        <v>70</v>
      </c>
      <c r="K747" s="1514" t="s">
        <v>1199</v>
      </c>
      <c r="L747" s="1515">
        <v>3</v>
      </c>
      <c r="M747" s="1516" t="s">
        <v>1884</v>
      </c>
      <c r="N747" s="1517">
        <v>9.4302302311259995E-2</v>
      </c>
      <c r="O747" s="1517">
        <v>1.589466227E-5</v>
      </c>
      <c r="P747" s="1518" t="s">
        <v>1885</v>
      </c>
      <c r="Q747" s="1519" t="s">
        <v>635</v>
      </c>
      <c r="R747" s="1520"/>
      <c r="S747" s="1519" t="s">
        <v>635</v>
      </c>
      <c r="T747" s="1520"/>
      <c r="U747" s="1519" t="s">
        <v>635</v>
      </c>
      <c r="V747" s="1507"/>
      <c r="W747" s="1522">
        <v>900000</v>
      </c>
      <c r="X747" s="1523" t="s">
        <v>1949</v>
      </c>
      <c r="Y747" s="1524">
        <v>4.3678830532500003E-3</v>
      </c>
      <c r="Z747" s="1524">
        <v>0.55472884569213998</v>
      </c>
      <c r="AA747" s="1524">
        <v>1.33134922966113</v>
      </c>
      <c r="AB747" s="1524">
        <v>1E-3</v>
      </c>
      <c r="AC747" s="1525" t="s">
        <v>1203</v>
      </c>
      <c r="AD747" s="1526" t="s">
        <v>635</v>
      </c>
      <c r="AE747" s="1527"/>
      <c r="AF747" s="1528" t="s">
        <v>635</v>
      </c>
      <c r="AG747" s="1527"/>
      <c r="AH747" s="1528">
        <v>5.0000000000000001E-3</v>
      </c>
      <c r="AI747" s="1529" t="s">
        <v>1119</v>
      </c>
      <c r="AJ747" s="1528" t="s">
        <v>635</v>
      </c>
      <c r="AK747" s="1527"/>
      <c r="AL747" s="1527"/>
      <c r="AM747" s="1527"/>
      <c r="AN747" s="1530">
        <v>1</v>
      </c>
      <c r="AO747" s="1530" t="s">
        <v>635</v>
      </c>
      <c r="AP747" s="1532" t="s">
        <v>635</v>
      </c>
    </row>
    <row r="748" spans="1:42" ht="30">
      <c r="A748" s="1481" t="s">
        <v>306</v>
      </c>
      <c r="B748" s="1482" t="s">
        <v>305</v>
      </c>
      <c r="C748" s="1483">
        <v>78.959999999999994</v>
      </c>
      <c r="D748" s="1484" t="s">
        <v>1883</v>
      </c>
      <c r="E748" s="1485" t="s">
        <v>635</v>
      </c>
      <c r="F748" s="1485" t="s">
        <v>635</v>
      </c>
      <c r="G748" s="1536"/>
      <c r="H748" s="1485">
        <v>1.42E-10</v>
      </c>
      <c r="I748" s="1486" t="s">
        <v>1199</v>
      </c>
      <c r="J748" s="1487">
        <v>221</v>
      </c>
      <c r="K748" s="1488" t="s">
        <v>1883</v>
      </c>
      <c r="L748" s="1489">
        <v>4.8090000000000002</v>
      </c>
      <c r="M748" s="1490" t="s">
        <v>1884</v>
      </c>
      <c r="N748" s="1491">
        <v>0.17126393562896</v>
      </c>
      <c r="O748" s="1491">
        <v>2.8317855019999999E-5</v>
      </c>
      <c r="P748" s="1492" t="s">
        <v>1885</v>
      </c>
      <c r="Q748" s="1493">
        <v>5</v>
      </c>
      <c r="R748" s="1493" t="s">
        <v>1959</v>
      </c>
      <c r="S748" s="1493" t="s">
        <v>635</v>
      </c>
      <c r="T748" s="1494"/>
      <c r="U748" s="1493" t="s">
        <v>635</v>
      </c>
      <c r="V748" s="1481"/>
      <c r="W748" s="1496" t="s">
        <v>635</v>
      </c>
      <c r="X748" s="1537"/>
      <c r="Y748" s="1498">
        <v>3.4176707525400002E-3</v>
      </c>
      <c r="Z748" s="1498">
        <v>0.29108829990245999</v>
      </c>
      <c r="AA748" s="1498">
        <v>0.69861191976590997</v>
      </c>
      <c r="AB748" s="1498">
        <v>1E-3</v>
      </c>
      <c r="AC748" s="1499" t="s">
        <v>1203</v>
      </c>
      <c r="AD748" s="1500" t="s">
        <v>635</v>
      </c>
      <c r="AE748" s="1501"/>
      <c r="AF748" s="1502" t="s">
        <v>635</v>
      </c>
      <c r="AG748" s="1501"/>
      <c r="AH748" s="1502">
        <v>5.0000000000000001E-3</v>
      </c>
      <c r="AI748" s="1503" t="s">
        <v>1119</v>
      </c>
      <c r="AJ748" s="1502">
        <v>0.02</v>
      </c>
      <c r="AK748" s="1503" t="s">
        <v>1900</v>
      </c>
      <c r="AL748" s="1501"/>
      <c r="AM748" s="1501"/>
      <c r="AN748" s="1504">
        <v>1</v>
      </c>
      <c r="AO748" s="1504" t="s">
        <v>635</v>
      </c>
      <c r="AP748" s="1506" t="s">
        <v>635</v>
      </c>
    </row>
    <row r="749" spans="1:42" ht="30">
      <c r="A749" s="1481" t="s">
        <v>3281</v>
      </c>
      <c r="B749" s="1482" t="s">
        <v>3282</v>
      </c>
      <c r="C749" s="1483">
        <v>111.02</v>
      </c>
      <c r="D749" s="1484" t="s">
        <v>1199</v>
      </c>
      <c r="E749" s="1485" t="s">
        <v>635</v>
      </c>
      <c r="F749" s="1485" t="s">
        <v>635</v>
      </c>
      <c r="G749" s="1536"/>
      <c r="H749" s="1485" t="s">
        <v>635</v>
      </c>
      <c r="I749" s="1536"/>
      <c r="J749" s="1487" t="s">
        <v>635</v>
      </c>
      <c r="K749" s="1542"/>
      <c r="L749" s="1489" t="s">
        <v>635</v>
      </c>
      <c r="M749" s="1533"/>
      <c r="N749" s="1491">
        <v>8.2253196735870004E-2</v>
      </c>
      <c r="O749" s="1491">
        <v>9.6106366712399997E-6</v>
      </c>
      <c r="P749" s="1492" t="s">
        <v>1885</v>
      </c>
      <c r="Q749" s="1493" t="s">
        <v>635</v>
      </c>
      <c r="R749" s="1494"/>
      <c r="S749" s="1493" t="s">
        <v>635</v>
      </c>
      <c r="T749" s="1494"/>
      <c r="U749" s="1493" t="s">
        <v>635</v>
      </c>
      <c r="V749" s="1481"/>
      <c r="W749" s="1496" t="s">
        <v>635</v>
      </c>
      <c r="X749" s="1537"/>
      <c r="Y749" s="1498">
        <v>4.0525395646500003E-3</v>
      </c>
      <c r="Z749" s="1498">
        <v>0.44010950655919001</v>
      </c>
      <c r="AA749" s="1498">
        <v>1.0562628157420499</v>
      </c>
      <c r="AB749" s="1498">
        <v>1E-3</v>
      </c>
      <c r="AC749" s="1499" t="s">
        <v>1203</v>
      </c>
      <c r="AD749" s="1500" t="s">
        <v>635</v>
      </c>
      <c r="AE749" s="1501"/>
      <c r="AF749" s="1502" t="s">
        <v>635</v>
      </c>
      <c r="AG749" s="1501"/>
      <c r="AH749" s="1502">
        <v>5.0000000000000001E-3</v>
      </c>
      <c r="AI749" s="1503" t="s">
        <v>1900</v>
      </c>
      <c r="AJ749" s="1502">
        <v>0.02</v>
      </c>
      <c r="AK749" s="1503" t="s">
        <v>1900</v>
      </c>
      <c r="AL749" s="1501"/>
      <c r="AM749" s="1501"/>
      <c r="AN749" s="1504">
        <v>1</v>
      </c>
      <c r="AO749" s="1504" t="s">
        <v>635</v>
      </c>
      <c r="AP749" s="1506" t="s">
        <v>635</v>
      </c>
    </row>
    <row r="750" spans="1:42" ht="30">
      <c r="A750" s="1507" t="s">
        <v>3283</v>
      </c>
      <c r="B750" s="1508" t="s">
        <v>3284</v>
      </c>
      <c r="C750" s="1509">
        <v>327.49</v>
      </c>
      <c r="D750" s="1510" t="s">
        <v>1883</v>
      </c>
      <c r="E750" s="1511">
        <v>8.8307440719999997E-10</v>
      </c>
      <c r="F750" s="1511">
        <v>2.1599999999999998E-11</v>
      </c>
      <c r="G750" s="1512" t="s">
        <v>1883</v>
      </c>
      <c r="H750" s="1511">
        <v>1.6E-7</v>
      </c>
      <c r="I750" s="1512" t="s">
        <v>1883</v>
      </c>
      <c r="J750" s="1513">
        <v>161.06</v>
      </c>
      <c r="K750" s="1514" t="s">
        <v>1199</v>
      </c>
      <c r="L750" s="1515">
        <v>1.0429999999999999</v>
      </c>
      <c r="M750" s="1516" t="s">
        <v>1884</v>
      </c>
      <c r="N750" s="1517">
        <v>1.9632869824089998E-2</v>
      </c>
      <c r="O750" s="1517">
        <v>4.8208490230799999E-6</v>
      </c>
      <c r="P750" s="1518" t="s">
        <v>1885</v>
      </c>
      <c r="Q750" s="1519" t="s">
        <v>635</v>
      </c>
      <c r="R750" s="1520"/>
      <c r="S750" s="1519">
        <v>4374</v>
      </c>
      <c r="T750" s="1519" t="s">
        <v>1199</v>
      </c>
      <c r="U750" s="1519">
        <v>4.38</v>
      </c>
      <c r="V750" s="1521" t="s">
        <v>1883</v>
      </c>
      <c r="W750" s="1522">
        <v>25</v>
      </c>
      <c r="X750" s="1523" t="s">
        <v>1883</v>
      </c>
      <c r="Y750" s="1524">
        <v>0.12876487246783</v>
      </c>
      <c r="Z750" s="1524">
        <v>7.1745183319663504</v>
      </c>
      <c r="AA750" s="1524">
        <v>17.218843996719201</v>
      </c>
      <c r="AB750" s="1524">
        <v>1.8499999999999999E-2</v>
      </c>
      <c r="AC750" s="1525" t="s">
        <v>1199</v>
      </c>
      <c r="AD750" s="1526" t="s">
        <v>635</v>
      </c>
      <c r="AE750" s="1527"/>
      <c r="AF750" s="1528" t="s">
        <v>635</v>
      </c>
      <c r="AG750" s="1527"/>
      <c r="AH750" s="1528">
        <v>0.14000000000000001</v>
      </c>
      <c r="AI750" s="1529" t="s">
        <v>1116</v>
      </c>
      <c r="AJ750" s="1528" t="s">
        <v>635</v>
      </c>
      <c r="AK750" s="1527"/>
      <c r="AL750" s="1527"/>
      <c r="AM750" s="1527"/>
      <c r="AN750" s="1530">
        <v>1</v>
      </c>
      <c r="AO750" s="1531">
        <v>0.1</v>
      </c>
      <c r="AP750" s="1532" t="s">
        <v>635</v>
      </c>
    </row>
    <row r="751" spans="1:42" ht="30">
      <c r="A751" s="1481" t="s">
        <v>3285</v>
      </c>
      <c r="B751" s="1482" t="s">
        <v>3286</v>
      </c>
      <c r="C751" s="1483">
        <v>60.08</v>
      </c>
      <c r="D751" s="1484" t="s">
        <v>1199</v>
      </c>
      <c r="E751" s="1485" t="s">
        <v>635</v>
      </c>
      <c r="F751" s="1485" t="s">
        <v>635</v>
      </c>
      <c r="G751" s="1536"/>
      <c r="H751" s="1485" t="s">
        <v>635</v>
      </c>
      <c r="I751" s="1536"/>
      <c r="J751" s="1487">
        <v>1710</v>
      </c>
      <c r="K751" s="1488" t="s">
        <v>1949</v>
      </c>
      <c r="L751" s="1489">
        <v>2.3199999999999998</v>
      </c>
      <c r="M751" s="1490" t="s">
        <v>1949</v>
      </c>
      <c r="N751" s="1491">
        <v>0.15857318838661</v>
      </c>
      <c r="O751" s="1491">
        <v>2.154401328E-5</v>
      </c>
      <c r="P751" s="1492" t="s">
        <v>1885</v>
      </c>
      <c r="Q751" s="1493" t="s">
        <v>635</v>
      </c>
      <c r="R751" s="1494"/>
      <c r="S751" s="1493" t="s">
        <v>635</v>
      </c>
      <c r="T751" s="1494"/>
      <c r="U751" s="1493" t="s">
        <v>635</v>
      </c>
      <c r="V751" s="1481"/>
      <c r="W751" s="1496" t="s">
        <v>635</v>
      </c>
      <c r="X751" s="1537"/>
      <c r="Y751" s="1498">
        <v>2.98120344232E-3</v>
      </c>
      <c r="Z751" s="1498">
        <v>0.22819007422213999</v>
      </c>
      <c r="AA751" s="1498">
        <v>0.54765617813314005</v>
      </c>
      <c r="AB751" s="1498">
        <v>1E-3</v>
      </c>
      <c r="AC751" s="1499" t="s">
        <v>1203</v>
      </c>
      <c r="AD751" s="1500" t="s">
        <v>635</v>
      </c>
      <c r="AE751" s="1501"/>
      <c r="AF751" s="1502" t="s">
        <v>635</v>
      </c>
      <c r="AG751" s="1501"/>
      <c r="AH751" s="1502" t="s">
        <v>635</v>
      </c>
      <c r="AI751" s="1501"/>
      <c r="AJ751" s="1502">
        <v>3.0000000000000001E-3</v>
      </c>
      <c r="AK751" s="1503" t="s">
        <v>1900</v>
      </c>
      <c r="AL751" s="1501"/>
      <c r="AM751" s="1501"/>
      <c r="AN751" s="1504">
        <v>1</v>
      </c>
      <c r="AO751" s="1504" t="s">
        <v>635</v>
      </c>
      <c r="AP751" s="1506" t="s">
        <v>635</v>
      </c>
    </row>
    <row r="752" spans="1:42" ht="30">
      <c r="A752" s="1481" t="s">
        <v>308</v>
      </c>
      <c r="B752" s="1482" t="s">
        <v>307</v>
      </c>
      <c r="C752" s="1483">
        <v>107.87</v>
      </c>
      <c r="D752" s="1484" t="s">
        <v>1883</v>
      </c>
      <c r="E752" s="1485" t="s">
        <v>635</v>
      </c>
      <c r="F752" s="1485" t="s">
        <v>635</v>
      </c>
      <c r="G752" s="1536"/>
      <c r="H752" s="1485">
        <v>0</v>
      </c>
      <c r="I752" s="1486" t="s">
        <v>1929</v>
      </c>
      <c r="J752" s="1487">
        <v>960.5</v>
      </c>
      <c r="K752" s="1488" t="s">
        <v>1883</v>
      </c>
      <c r="L752" s="1489">
        <v>10.5</v>
      </c>
      <c r="M752" s="1490" t="s">
        <v>1884</v>
      </c>
      <c r="N752" s="1491">
        <v>0.17502234991880999</v>
      </c>
      <c r="O752" s="1491">
        <v>3.751845481E-5</v>
      </c>
      <c r="P752" s="1492" t="s">
        <v>1885</v>
      </c>
      <c r="Q752" s="1493">
        <v>8.3000000000000007</v>
      </c>
      <c r="R752" s="1493" t="s">
        <v>1959</v>
      </c>
      <c r="S752" s="1493" t="s">
        <v>635</v>
      </c>
      <c r="T752" s="1494"/>
      <c r="U752" s="1493" t="s">
        <v>635</v>
      </c>
      <c r="V752" s="1481"/>
      <c r="W752" s="1496" t="s">
        <v>635</v>
      </c>
      <c r="X752" s="1537"/>
      <c r="Y752" s="1498">
        <v>2.3967803848100001E-3</v>
      </c>
      <c r="Z752" s="1498">
        <v>0.42259149241587002</v>
      </c>
      <c r="AA752" s="1498">
        <v>1.0142195817980899</v>
      </c>
      <c r="AB752" s="1498">
        <v>5.9999999999999995E-4</v>
      </c>
      <c r="AC752" s="1499" t="s">
        <v>1203</v>
      </c>
      <c r="AD752" s="1500" t="s">
        <v>635</v>
      </c>
      <c r="AE752" s="1501"/>
      <c r="AF752" s="1502" t="s">
        <v>635</v>
      </c>
      <c r="AG752" s="1501"/>
      <c r="AH752" s="1502">
        <v>5.0000000000000001E-3</v>
      </c>
      <c r="AI752" s="1503" t="s">
        <v>1119</v>
      </c>
      <c r="AJ752" s="1502" t="s">
        <v>635</v>
      </c>
      <c r="AK752" s="1501"/>
      <c r="AL752" s="1501"/>
      <c r="AM752" s="1501"/>
      <c r="AN752" s="1539">
        <v>0.04</v>
      </c>
      <c r="AO752" s="1504" t="s">
        <v>635</v>
      </c>
      <c r="AP752" s="1506" t="s">
        <v>635</v>
      </c>
    </row>
    <row r="753" spans="1:42" ht="30">
      <c r="A753" s="1507" t="s">
        <v>3287</v>
      </c>
      <c r="B753" s="1508" t="s">
        <v>3288</v>
      </c>
      <c r="C753" s="1509">
        <v>201.66</v>
      </c>
      <c r="D753" s="1510" t="s">
        <v>1883</v>
      </c>
      <c r="E753" s="1511">
        <v>3.8511856091599997E-8</v>
      </c>
      <c r="F753" s="1511">
        <v>9.4200000000000006E-10</v>
      </c>
      <c r="G753" s="1512" t="s">
        <v>1199</v>
      </c>
      <c r="H753" s="1511">
        <v>2.2099999999999999E-8</v>
      </c>
      <c r="I753" s="1512" t="s">
        <v>1883</v>
      </c>
      <c r="J753" s="1513">
        <v>226</v>
      </c>
      <c r="K753" s="1514" t="s">
        <v>1883</v>
      </c>
      <c r="L753" s="1515">
        <v>1.302</v>
      </c>
      <c r="M753" s="1516" t="s">
        <v>1884</v>
      </c>
      <c r="N753" s="1517">
        <v>2.813938185216E-2</v>
      </c>
      <c r="O753" s="1517">
        <v>7.3665900890800004E-6</v>
      </c>
      <c r="P753" s="1518" t="s">
        <v>1885</v>
      </c>
      <c r="Q753" s="1519" t="s">
        <v>635</v>
      </c>
      <c r="R753" s="1520"/>
      <c r="S753" s="1519">
        <v>146.5</v>
      </c>
      <c r="T753" s="1519" t="s">
        <v>1199</v>
      </c>
      <c r="U753" s="1519">
        <v>2.1800000000000002</v>
      </c>
      <c r="V753" s="1521" t="s">
        <v>1883</v>
      </c>
      <c r="W753" s="1522">
        <v>6.2</v>
      </c>
      <c r="X753" s="1523" t="s">
        <v>1883</v>
      </c>
      <c r="Y753" s="1524">
        <v>1.7750880259860002E-2</v>
      </c>
      <c r="Z753" s="1524">
        <v>1.41626574027702</v>
      </c>
      <c r="AA753" s="1524">
        <v>3.3990377766648598</v>
      </c>
      <c r="AB753" s="1524">
        <v>3.2499999999999999E-3</v>
      </c>
      <c r="AC753" s="1525" t="s">
        <v>1199</v>
      </c>
      <c r="AD753" s="1526">
        <v>0.12</v>
      </c>
      <c r="AE753" s="1529" t="s">
        <v>1073</v>
      </c>
      <c r="AF753" s="1528" t="s">
        <v>635</v>
      </c>
      <c r="AG753" s="1527"/>
      <c r="AH753" s="1528">
        <v>5.0000000000000001E-3</v>
      </c>
      <c r="AI753" s="1529" t="s">
        <v>1119</v>
      </c>
      <c r="AJ753" s="1528" t="s">
        <v>635</v>
      </c>
      <c r="AK753" s="1527"/>
      <c r="AL753" s="1527"/>
      <c r="AM753" s="1527"/>
      <c r="AN753" s="1530">
        <v>1</v>
      </c>
      <c r="AO753" s="1531">
        <v>0.1</v>
      </c>
      <c r="AP753" s="1532" t="s">
        <v>635</v>
      </c>
    </row>
    <row r="754" spans="1:42" ht="30">
      <c r="A754" s="1481" t="s">
        <v>3289</v>
      </c>
      <c r="B754" s="1482" t="s">
        <v>3290</v>
      </c>
      <c r="C754" s="1483">
        <v>383.65</v>
      </c>
      <c r="D754" s="1484" t="s">
        <v>1883</v>
      </c>
      <c r="E754" s="1485">
        <v>2.4734260016399999E-9</v>
      </c>
      <c r="F754" s="1485">
        <v>6.0499999999999998E-11</v>
      </c>
      <c r="G754" s="1486" t="s">
        <v>1883</v>
      </c>
      <c r="H754" s="1485">
        <v>9.7499999999999996E-9</v>
      </c>
      <c r="I754" s="1486" t="s">
        <v>1199</v>
      </c>
      <c r="J754" s="1487">
        <v>277.47000000000003</v>
      </c>
      <c r="K754" s="1488" t="s">
        <v>1199</v>
      </c>
      <c r="L754" s="1489" t="s">
        <v>635</v>
      </c>
      <c r="M754" s="1533"/>
      <c r="N754" s="1491">
        <v>3.5985714709219997E-2</v>
      </c>
      <c r="O754" s="1491">
        <v>4.2046466660300002E-6</v>
      </c>
      <c r="P754" s="1492" t="s">
        <v>1885</v>
      </c>
      <c r="Q754" s="1493" t="s">
        <v>635</v>
      </c>
      <c r="R754" s="1494"/>
      <c r="S754" s="1493">
        <v>3880</v>
      </c>
      <c r="T754" s="1493" t="s">
        <v>1199</v>
      </c>
      <c r="U754" s="1493">
        <v>0.37</v>
      </c>
      <c r="V754" s="1495" t="s">
        <v>1883</v>
      </c>
      <c r="W754" s="1496">
        <v>250000</v>
      </c>
      <c r="X754" s="1497" t="s">
        <v>1883</v>
      </c>
      <c r="Y754" s="1498">
        <v>1.4690239106E-4</v>
      </c>
      <c r="Z754" s="1498">
        <v>14.8009213078836</v>
      </c>
      <c r="AA754" s="1498">
        <v>35.522211138920703</v>
      </c>
      <c r="AB754" s="1498">
        <v>1.95E-5</v>
      </c>
      <c r="AC754" s="1499" t="s">
        <v>1199</v>
      </c>
      <c r="AD754" s="1500" t="s">
        <v>635</v>
      </c>
      <c r="AE754" s="1501"/>
      <c r="AF754" s="1502" t="s">
        <v>635</v>
      </c>
      <c r="AG754" s="1501"/>
      <c r="AH754" s="1502">
        <v>1.2999999999999999E-2</v>
      </c>
      <c r="AI754" s="1503" t="s">
        <v>1119</v>
      </c>
      <c r="AJ754" s="1502" t="s">
        <v>635</v>
      </c>
      <c r="AK754" s="1501"/>
      <c r="AL754" s="1501"/>
      <c r="AM754" s="1501"/>
      <c r="AN754" s="1504">
        <v>1</v>
      </c>
      <c r="AO754" s="1505">
        <v>0.1</v>
      </c>
      <c r="AP754" s="1506" t="s">
        <v>635</v>
      </c>
    </row>
    <row r="755" spans="1:42" ht="30">
      <c r="A755" s="1481" t="s">
        <v>3291</v>
      </c>
      <c r="B755" s="1482" t="s">
        <v>3292</v>
      </c>
      <c r="C755" s="1483">
        <v>65.010000000000005</v>
      </c>
      <c r="D755" s="1484" t="s">
        <v>1199</v>
      </c>
      <c r="E755" s="1485" t="s">
        <v>635</v>
      </c>
      <c r="F755" s="1485" t="s">
        <v>635</v>
      </c>
      <c r="G755" s="1536"/>
      <c r="H755" s="1485" t="s">
        <v>635</v>
      </c>
      <c r="I755" s="1536"/>
      <c r="J755" s="1487">
        <v>300</v>
      </c>
      <c r="K755" s="1488" t="s">
        <v>1884</v>
      </c>
      <c r="L755" s="1489">
        <v>1.8460000000000001</v>
      </c>
      <c r="M755" s="1490" t="s">
        <v>1884</v>
      </c>
      <c r="N755" s="1491">
        <v>0.13825265188436001</v>
      </c>
      <c r="O755" s="1491">
        <v>1.7915242450000001E-5</v>
      </c>
      <c r="P755" s="1492" t="s">
        <v>1885</v>
      </c>
      <c r="Q755" s="1493" t="s">
        <v>635</v>
      </c>
      <c r="R755" s="1494"/>
      <c r="S755" s="1493" t="s">
        <v>635</v>
      </c>
      <c r="T755" s="1494"/>
      <c r="U755" s="1493" t="s">
        <v>635</v>
      </c>
      <c r="V755" s="1481"/>
      <c r="W755" s="1496">
        <v>408000</v>
      </c>
      <c r="X755" s="1497" t="s">
        <v>1884</v>
      </c>
      <c r="Y755" s="1498">
        <v>3.10110688389E-3</v>
      </c>
      <c r="Z755" s="1498">
        <v>0.24316706314430001</v>
      </c>
      <c r="AA755" s="1498">
        <v>0.58360095154632996</v>
      </c>
      <c r="AB755" s="1498">
        <v>1E-3</v>
      </c>
      <c r="AC755" s="1499" t="s">
        <v>1203</v>
      </c>
      <c r="AD755" s="1500" t="s">
        <v>635</v>
      </c>
      <c r="AE755" s="1501"/>
      <c r="AF755" s="1502" t="s">
        <v>635</v>
      </c>
      <c r="AG755" s="1501"/>
      <c r="AH755" s="1502">
        <v>4.0000000000000001E-3</v>
      </c>
      <c r="AI755" s="1503" t="s">
        <v>1119</v>
      </c>
      <c r="AJ755" s="1502" t="s">
        <v>635</v>
      </c>
      <c r="AK755" s="1501"/>
      <c r="AL755" s="1501"/>
      <c r="AM755" s="1501"/>
      <c r="AN755" s="1504">
        <v>1</v>
      </c>
      <c r="AO755" s="1504" t="s">
        <v>635</v>
      </c>
      <c r="AP755" s="1506" t="s">
        <v>635</v>
      </c>
    </row>
    <row r="756" spans="1:42" ht="30">
      <c r="A756" s="1507" t="s">
        <v>3293</v>
      </c>
      <c r="B756" s="1508" t="s">
        <v>3294</v>
      </c>
      <c r="C756" s="1509">
        <v>172.27</v>
      </c>
      <c r="D756" s="1510" t="s">
        <v>1883</v>
      </c>
      <c r="E756" s="1511" t="s">
        <v>635</v>
      </c>
      <c r="F756" s="1511" t="s">
        <v>635</v>
      </c>
      <c r="G756" s="1534"/>
      <c r="H756" s="1511">
        <v>8.1499999999999998E-10</v>
      </c>
      <c r="I756" s="1512" t="s">
        <v>1883</v>
      </c>
      <c r="J756" s="1513">
        <v>94</v>
      </c>
      <c r="K756" s="1514" t="s">
        <v>1883</v>
      </c>
      <c r="L756" s="1515" t="s">
        <v>635</v>
      </c>
      <c r="M756" s="1538"/>
      <c r="N756" s="1517">
        <v>6.1368734141100001E-2</v>
      </c>
      <c r="O756" s="1517">
        <v>7.1704520943799996E-6</v>
      </c>
      <c r="P756" s="1518" t="s">
        <v>1885</v>
      </c>
      <c r="Q756" s="1519" t="s">
        <v>635</v>
      </c>
      <c r="R756" s="1520"/>
      <c r="S756" s="1519">
        <v>204.5</v>
      </c>
      <c r="T756" s="1519" t="s">
        <v>1199</v>
      </c>
      <c r="U756" s="1519">
        <v>-1.43</v>
      </c>
      <c r="V756" s="1521" t="s">
        <v>1883</v>
      </c>
      <c r="W756" s="1522">
        <v>364100</v>
      </c>
      <c r="X756" s="1523" t="s">
        <v>1883</v>
      </c>
      <c r="Y756" s="1524">
        <v>9.6924307680000004E-5</v>
      </c>
      <c r="Z756" s="1524">
        <v>0.96952887864062998</v>
      </c>
      <c r="AA756" s="1524">
        <v>2.3268693087375198</v>
      </c>
      <c r="AB756" s="1524">
        <v>1.9199999999999999E-5</v>
      </c>
      <c r="AC756" s="1525" t="s">
        <v>1199</v>
      </c>
      <c r="AD756" s="1526">
        <v>0.27</v>
      </c>
      <c r="AE756" s="1529" t="s">
        <v>1073</v>
      </c>
      <c r="AF756" s="1528" t="s">
        <v>635</v>
      </c>
      <c r="AG756" s="1527"/>
      <c r="AH756" s="1528">
        <v>0.03</v>
      </c>
      <c r="AI756" s="1529" t="s">
        <v>1119</v>
      </c>
      <c r="AJ756" s="1528" t="s">
        <v>635</v>
      </c>
      <c r="AK756" s="1527"/>
      <c r="AL756" s="1527"/>
      <c r="AM756" s="1527"/>
      <c r="AN756" s="1530">
        <v>1</v>
      </c>
      <c r="AO756" s="1531">
        <v>0.1</v>
      </c>
      <c r="AP756" s="1532" t="s">
        <v>635</v>
      </c>
    </row>
    <row r="757" spans="1:42" ht="30">
      <c r="A757" s="1481" t="s">
        <v>3295</v>
      </c>
      <c r="B757" s="1482" t="s">
        <v>3296</v>
      </c>
      <c r="C757" s="1483">
        <v>41.988</v>
      </c>
      <c r="D757" s="1484" t="s">
        <v>1883</v>
      </c>
      <c r="E757" s="1485" t="s">
        <v>635</v>
      </c>
      <c r="F757" s="1485" t="s">
        <v>635</v>
      </c>
      <c r="G757" s="1536"/>
      <c r="H757" s="1485">
        <v>0</v>
      </c>
      <c r="I757" s="1486" t="s">
        <v>1929</v>
      </c>
      <c r="J757" s="1487">
        <v>993</v>
      </c>
      <c r="K757" s="1488" t="s">
        <v>1883</v>
      </c>
      <c r="L757" s="1489">
        <v>2.78</v>
      </c>
      <c r="M757" s="1490" t="s">
        <v>1884</v>
      </c>
      <c r="N757" s="1491">
        <v>0.21058604159194999</v>
      </c>
      <c r="O757" s="1491">
        <v>2.977306434E-5</v>
      </c>
      <c r="P757" s="1492" t="s">
        <v>1885</v>
      </c>
      <c r="Q757" s="1493">
        <v>150</v>
      </c>
      <c r="R757" s="1493" t="s">
        <v>1930</v>
      </c>
      <c r="S757" s="1493" t="s">
        <v>635</v>
      </c>
      <c r="T757" s="1494"/>
      <c r="U757" s="1493" t="s">
        <v>635</v>
      </c>
      <c r="V757" s="1481"/>
      <c r="W757" s="1496">
        <v>42200</v>
      </c>
      <c r="X757" s="1497" t="s">
        <v>1883</v>
      </c>
      <c r="Y757" s="1498">
        <v>2.4922364662200002E-3</v>
      </c>
      <c r="Z757" s="1498">
        <v>0.18070973524181999</v>
      </c>
      <c r="AA757" s="1498">
        <v>0.43370336458037001</v>
      </c>
      <c r="AB757" s="1498">
        <v>1E-3</v>
      </c>
      <c r="AC757" s="1499" t="s">
        <v>1203</v>
      </c>
      <c r="AD757" s="1500" t="s">
        <v>635</v>
      </c>
      <c r="AE757" s="1501"/>
      <c r="AF757" s="1502" t="s">
        <v>635</v>
      </c>
      <c r="AG757" s="1501"/>
      <c r="AH757" s="1502">
        <v>0.05</v>
      </c>
      <c r="AI757" s="1503" t="s">
        <v>1960</v>
      </c>
      <c r="AJ757" s="1502">
        <v>1.4E-2</v>
      </c>
      <c r="AK757" s="1503" t="s">
        <v>1900</v>
      </c>
      <c r="AL757" s="1501"/>
      <c r="AM757" s="1501"/>
      <c r="AN757" s="1504">
        <v>1</v>
      </c>
      <c r="AO757" s="1504" t="s">
        <v>635</v>
      </c>
      <c r="AP757" s="1506" t="s">
        <v>635</v>
      </c>
    </row>
    <row r="758" spans="1:42" ht="30">
      <c r="A758" s="1481" t="s">
        <v>3297</v>
      </c>
      <c r="B758" s="1482" t="s">
        <v>3298</v>
      </c>
      <c r="C758" s="1483">
        <v>100.03</v>
      </c>
      <c r="D758" s="1484" t="s">
        <v>1883</v>
      </c>
      <c r="E758" s="1485">
        <v>4.4562551099999997E-5</v>
      </c>
      <c r="F758" s="1485">
        <v>1.0899999999999999E-6</v>
      </c>
      <c r="G758" s="1486" t="s">
        <v>1883</v>
      </c>
      <c r="H758" s="1485">
        <v>6.5400000000000001E-7</v>
      </c>
      <c r="I758" s="1486" t="s">
        <v>1883</v>
      </c>
      <c r="J758" s="1487">
        <v>201</v>
      </c>
      <c r="K758" s="1488" t="s">
        <v>1883</v>
      </c>
      <c r="L758" s="1489" t="s">
        <v>635</v>
      </c>
      <c r="M758" s="1533"/>
      <c r="N758" s="1491">
        <v>8.8172554209410003E-2</v>
      </c>
      <c r="O758" s="1491">
        <v>1.030226686E-5</v>
      </c>
      <c r="P758" s="1492" t="s">
        <v>1885</v>
      </c>
      <c r="Q758" s="1493" t="s">
        <v>635</v>
      </c>
      <c r="R758" s="1494"/>
      <c r="S758" s="1493">
        <v>1.44</v>
      </c>
      <c r="T758" s="1493" t="s">
        <v>1199</v>
      </c>
      <c r="U758" s="1493">
        <v>-3.78</v>
      </c>
      <c r="V758" s="1495" t="s">
        <v>1883</v>
      </c>
      <c r="W758" s="1496">
        <v>1110000</v>
      </c>
      <c r="X758" s="1497" t="s">
        <v>1883</v>
      </c>
      <c r="Y758" s="1498">
        <v>5.0776845582800001E-6</v>
      </c>
      <c r="Z758" s="1498">
        <v>0.38195900172804997</v>
      </c>
      <c r="AA758" s="1498">
        <v>0.91670160414732005</v>
      </c>
      <c r="AB758" s="1498">
        <v>1.3200000000000001E-6</v>
      </c>
      <c r="AC758" s="1499" t="s">
        <v>1199</v>
      </c>
      <c r="AD758" s="1500" t="s">
        <v>635</v>
      </c>
      <c r="AE758" s="1501"/>
      <c r="AF758" s="1502" t="s">
        <v>635</v>
      </c>
      <c r="AG758" s="1501"/>
      <c r="AH758" s="1502">
        <v>2.0000000000000002E-5</v>
      </c>
      <c r="AI758" s="1503" t="s">
        <v>1119</v>
      </c>
      <c r="AJ758" s="1502" t="s">
        <v>635</v>
      </c>
      <c r="AK758" s="1501"/>
      <c r="AL758" s="1501"/>
      <c r="AM758" s="1501"/>
      <c r="AN758" s="1504">
        <v>1</v>
      </c>
      <c r="AO758" s="1505">
        <v>0.1</v>
      </c>
      <c r="AP758" s="1506" t="s">
        <v>635</v>
      </c>
    </row>
    <row r="759" spans="1:42" ht="30">
      <c r="A759" s="1507" t="s">
        <v>3299</v>
      </c>
      <c r="B759" s="1508" t="s">
        <v>3300</v>
      </c>
      <c r="C759" s="1509">
        <v>121.93</v>
      </c>
      <c r="D759" s="1510" t="s">
        <v>1884</v>
      </c>
      <c r="E759" s="1511" t="s">
        <v>635</v>
      </c>
      <c r="F759" s="1511" t="s">
        <v>635</v>
      </c>
      <c r="G759" s="1534"/>
      <c r="H759" s="1511" t="s">
        <v>635</v>
      </c>
      <c r="I759" s="1534"/>
      <c r="J759" s="1513">
        <v>630</v>
      </c>
      <c r="K759" s="1514" t="s">
        <v>1884</v>
      </c>
      <c r="L759" s="1515" t="s">
        <v>635</v>
      </c>
      <c r="M759" s="1538"/>
      <c r="N759" s="1517">
        <v>7.7270410317219998E-2</v>
      </c>
      <c r="O759" s="1517">
        <v>9.0284374160099992E-6</v>
      </c>
      <c r="P759" s="1518" t="s">
        <v>1885</v>
      </c>
      <c r="Q759" s="1519" t="s">
        <v>635</v>
      </c>
      <c r="R759" s="1520"/>
      <c r="S759" s="1519" t="s">
        <v>635</v>
      </c>
      <c r="T759" s="1520"/>
      <c r="U759" s="1519" t="s">
        <v>635</v>
      </c>
      <c r="V759" s="1507"/>
      <c r="W759" s="1522">
        <v>210000</v>
      </c>
      <c r="X759" s="1523" t="s">
        <v>1884</v>
      </c>
      <c r="Y759" s="1524">
        <v>4.2469968505399998E-3</v>
      </c>
      <c r="Z759" s="1524">
        <v>0.50659015977801003</v>
      </c>
      <c r="AA759" s="1524">
        <v>1.21581638346721</v>
      </c>
      <c r="AB759" s="1524">
        <v>1E-3</v>
      </c>
      <c r="AC759" s="1525" t="s">
        <v>1203</v>
      </c>
      <c r="AD759" s="1526" t="s">
        <v>635</v>
      </c>
      <c r="AE759" s="1527"/>
      <c r="AF759" s="1528" t="s">
        <v>635</v>
      </c>
      <c r="AG759" s="1527"/>
      <c r="AH759" s="1528">
        <v>1E-3</v>
      </c>
      <c r="AI759" s="1529" t="s">
        <v>1073</v>
      </c>
      <c r="AJ759" s="1528" t="s">
        <v>635</v>
      </c>
      <c r="AK759" s="1527"/>
      <c r="AL759" s="1527"/>
      <c r="AM759" s="1527"/>
      <c r="AN759" s="1530">
        <v>1</v>
      </c>
      <c r="AO759" s="1530" t="s">
        <v>635</v>
      </c>
      <c r="AP759" s="1532" t="s">
        <v>635</v>
      </c>
    </row>
    <row r="760" spans="1:42" ht="30">
      <c r="A760" s="1481" t="s">
        <v>3301</v>
      </c>
      <c r="B760" s="1482" t="s">
        <v>3302</v>
      </c>
      <c r="C760" s="1483">
        <v>293.82</v>
      </c>
      <c r="D760" s="1484" t="s">
        <v>1884</v>
      </c>
      <c r="E760" s="1485" t="s">
        <v>635</v>
      </c>
      <c r="F760" s="1485" t="s">
        <v>635</v>
      </c>
      <c r="G760" s="1536"/>
      <c r="H760" s="1485" t="s">
        <v>635</v>
      </c>
      <c r="I760" s="1536"/>
      <c r="J760" s="1487">
        <v>695</v>
      </c>
      <c r="K760" s="1488" t="s">
        <v>1884</v>
      </c>
      <c r="L760" s="1489">
        <v>4.18</v>
      </c>
      <c r="M760" s="1490" t="s">
        <v>1884</v>
      </c>
      <c r="N760" s="1491">
        <v>3.8975984957929997E-2</v>
      </c>
      <c r="O760" s="1491">
        <v>1.18339227E-5</v>
      </c>
      <c r="P760" s="1492" t="s">
        <v>1885</v>
      </c>
      <c r="Q760" s="1493" t="s">
        <v>635</v>
      </c>
      <c r="R760" s="1494"/>
      <c r="S760" s="1493" t="s">
        <v>635</v>
      </c>
      <c r="T760" s="1494"/>
      <c r="U760" s="1493" t="s">
        <v>635</v>
      </c>
      <c r="V760" s="1481"/>
      <c r="W760" s="1496">
        <v>742000</v>
      </c>
      <c r="X760" s="1497" t="s">
        <v>1884</v>
      </c>
      <c r="Y760" s="1498">
        <v>6.5927609574E-3</v>
      </c>
      <c r="Z760" s="1498">
        <v>4.6477284901540399</v>
      </c>
      <c r="AA760" s="1498">
        <v>11.1545483763697</v>
      </c>
      <c r="AB760" s="1498">
        <v>1E-3</v>
      </c>
      <c r="AC760" s="1499" t="s">
        <v>1203</v>
      </c>
      <c r="AD760" s="1500" t="s">
        <v>635</v>
      </c>
      <c r="AE760" s="1501"/>
      <c r="AF760" s="1502" t="s">
        <v>635</v>
      </c>
      <c r="AG760" s="1501"/>
      <c r="AH760" s="1502">
        <v>8.0000000000000004E-4</v>
      </c>
      <c r="AI760" s="1503" t="s">
        <v>1909</v>
      </c>
      <c r="AJ760" s="1502" t="s">
        <v>635</v>
      </c>
      <c r="AK760" s="1501"/>
      <c r="AL760" s="1501"/>
      <c r="AM760" s="1501"/>
      <c r="AN760" s="1504">
        <v>1</v>
      </c>
      <c r="AO760" s="1504" t="s">
        <v>635</v>
      </c>
      <c r="AP760" s="1506" t="s">
        <v>635</v>
      </c>
    </row>
    <row r="761" spans="1:42" ht="30">
      <c r="A761" s="1481" t="s">
        <v>3303</v>
      </c>
      <c r="B761" s="1482" t="s">
        <v>3304</v>
      </c>
      <c r="C761" s="1483">
        <v>329.85</v>
      </c>
      <c r="D761" s="1484" t="s">
        <v>1884</v>
      </c>
      <c r="E761" s="1485" t="s">
        <v>635</v>
      </c>
      <c r="F761" s="1485" t="s">
        <v>635</v>
      </c>
      <c r="G761" s="1536"/>
      <c r="H761" s="1485" t="s">
        <v>635</v>
      </c>
      <c r="I761" s="1536"/>
      <c r="J761" s="1487">
        <v>100</v>
      </c>
      <c r="K761" s="1488" t="s">
        <v>1884</v>
      </c>
      <c r="L761" s="1489">
        <v>3.25</v>
      </c>
      <c r="M761" s="1490" t="s">
        <v>1884</v>
      </c>
      <c r="N761" s="1491">
        <v>3.3144739464890001E-2</v>
      </c>
      <c r="O761" s="1491">
        <v>9.4931839235800001E-6</v>
      </c>
      <c r="P761" s="1492" t="s">
        <v>1885</v>
      </c>
      <c r="Q761" s="1493" t="s">
        <v>635</v>
      </c>
      <c r="R761" s="1494"/>
      <c r="S761" s="1493" t="s">
        <v>635</v>
      </c>
      <c r="T761" s="1494"/>
      <c r="U761" s="1493" t="s">
        <v>635</v>
      </c>
      <c r="V761" s="1481"/>
      <c r="W761" s="1496">
        <v>742000</v>
      </c>
      <c r="X761" s="1497" t="s">
        <v>1884</v>
      </c>
      <c r="Y761" s="1498">
        <v>6.98529732354E-3</v>
      </c>
      <c r="Z761" s="1498">
        <v>7.3962017584069999</v>
      </c>
      <c r="AA761" s="1498">
        <v>17.7508842201768</v>
      </c>
      <c r="AB761" s="1498">
        <v>1E-3</v>
      </c>
      <c r="AC761" s="1499" t="s">
        <v>1203</v>
      </c>
      <c r="AD761" s="1500" t="s">
        <v>635</v>
      </c>
      <c r="AE761" s="1501"/>
      <c r="AF761" s="1502" t="s">
        <v>635</v>
      </c>
      <c r="AG761" s="1501"/>
      <c r="AH761" s="1502">
        <v>8.0000000000000004E-4</v>
      </c>
      <c r="AI761" s="1503" t="s">
        <v>1909</v>
      </c>
      <c r="AJ761" s="1502" t="s">
        <v>635</v>
      </c>
      <c r="AK761" s="1501"/>
      <c r="AL761" s="1501"/>
      <c r="AM761" s="1501"/>
      <c r="AN761" s="1504">
        <v>1</v>
      </c>
      <c r="AO761" s="1504" t="s">
        <v>635</v>
      </c>
      <c r="AP761" s="1506" t="s">
        <v>635</v>
      </c>
    </row>
    <row r="762" spans="1:42" ht="30">
      <c r="A762" s="1507" t="s">
        <v>3305</v>
      </c>
      <c r="B762" s="1508" t="s">
        <v>3306</v>
      </c>
      <c r="C762" s="1509">
        <v>365.97</v>
      </c>
      <c r="D762" s="1510" t="s">
        <v>1883</v>
      </c>
      <c r="E762" s="1511">
        <v>7.5224856909199998E-8</v>
      </c>
      <c r="F762" s="1511">
        <v>1.8400000000000001E-9</v>
      </c>
      <c r="G762" s="1512" t="s">
        <v>1199</v>
      </c>
      <c r="H762" s="1511">
        <v>4.1999999999999999E-8</v>
      </c>
      <c r="I762" s="1512" t="s">
        <v>1883</v>
      </c>
      <c r="J762" s="1513">
        <v>97.5</v>
      </c>
      <c r="K762" s="1514" t="s">
        <v>1883</v>
      </c>
      <c r="L762" s="1515" t="s">
        <v>635</v>
      </c>
      <c r="M762" s="1538"/>
      <c r="N762" s="1517">
        <v>3.7135557108919998E-2</v>
      </c>
      <c r="O762" s="1517">
        <v>4.3389966727300002E-6</v>
      </c>
      <c r="P762" s="1518" t="s">
        <v>1885</v>
      </c>
      <c r="Q762" s="1519" t="s">
        <v>635</v>
      </c>
      <c r="R762" s="1520"/>
      <c r="S762" s="1519">
        <v>1375</v>
      </c>
      <c r="T762" s="1519" t="s">
        <v>1199</v>
      </c>
      <c r="U762" s="1519">
        <v>3.53</v>
      </c>
      <c r="V762" s="1521" t="s">
        <v>1883</v>
      </c>
      <c r="W762" s="1522">
        <v>11</v>
      </c>
      <c r="X762" s="1523" t="s">
        <v>1883</v>
      </c>
      <c r="Y762" s="1524">
        <v>2.2588519669470002E-2</v>
      </c>
      <c r="Z762" s="1524">
        <v>11.783674828751201</v>
      </c>
      <c r="AA762" s="1524">
        <v>28.280819589002999</v>
      </c>
      <c r="AB762" s="1524">
        <v>3.0699999999999998E-3</v>
      </c>
      <c r="AC762" s="1525" t="s">
        <v>1199</v>
      </c>
      <c r="AD762" s="1526">
        <v>2.4E-2</v>
      </c>
      <c r="AE762" s="1529" t="s">
        <v>1073</v>
      </c>
      <c r="AF762" s="1528" t="s">
        <v>635</v>
      </c>
      <c r="AG762" s="1527"/>
      <c r="AH762" s="1528">
        <v>0.03</v>
      </c>
      <c r="AI762" s="1529" t="s">
        <v>1119</v>
      </c>
      <c r="AJ762" s="1528" t="s">
        <v>635</v>
      </c>
      <c r="AK762" s="1527"/>
      <c r="AL762" s="1527"/>
      <c r="AM762" s="1527"/>
      <c r="AN762" s="1530">
        <v>1</v>
      </c>
      <c r="AO762" s="1531">
        <v>0.1</v>
      </c>
      <c r="AP762" s="1532" t="s">
        <v>635</v>
      </c>
    </row>
    <row r="763" spans="1:42" ht="30">
      <c r="A763" s="1481" t="s">
        <v>3307</v>
      </c>
      <c r="B763" s="1482" t="s">
        <v>3308</v>
      </c>
      <c r="C763" s="1483">
        <v>87.62</v>
      </c>
      <c r="D763" s="1484" t="s">
        <v>1883</v>
      </c>
      <c r="E763" s="1485" t="s">
        <v>635</v>
      </c>
      <c r="F763" s="1485" t="s">
        <v>635</v>
      </c>
      <c r="G763" s="1536"/>
      <c r="H763" s="1485" t="s">
        <v>635</v>
      </c>
      <c r="I763" s="1536"/>
      <c r="J763" s="1487">
        <v>777</v>
      </c>
      <c r="K763" s="1488" t="s">
        <v>1883</v>
      </c>
      <c r="L763" s="1489">
        <v>2.64</v>
      </c>
      <c r="M763" s="1490" t="s">
        <v>1884</v>
      </c>
      <c r="N763" s="1491">
        <v>0.12810523103804</v>
      </c>
      <c r="O763" s="1491">
        <v>1.8564026440000001E-5</v>
      </c>
      <c r="P763" s="1492" t="s">
        <v>1885</v>
      </c>
      <c r="Q763" s="1493">
        <v>35</v>
      </c>
      <c r="R763" s="1493" t="s">
        <v>1930</v>
      </c>
      <c r="S763" s="1493" t="s">
        <v>635</v>
      </c>
      <c r="T763" s="1494"/>
      <c r="U763" s="1493" t="s">
        <v>635</v>
      </c>
      <c r="V763" s="1481"/>
      <c r="W763" s="1496" t="s">
        <v>635</v>
      </c>
      <c r="X763" s="1537"/>
      <c r="Y763" s="1498">
        <v>3.6002136688699999E-3</v>
      </c>
      <c r="Z763" s="1498">
        <v>0.32547733370361998</v>
      </c>
      <c r="AA763" s="1498">
        <v>0.7811456008887</v>
      </c>
      <c r="AB763" s="1498">
        <v>1E-3</v>
      </c>
      <c r="AC763" s="1499" t="s">
        <v>1203</v>
      </c>
      <c r="AD763" s="1500" t="s">
        <v>635</v>
      </c>
      <c r="AE763" s="1501"/>
      <c r="AF763" s="1502" t="s">
        <v>635</v>
      </c>
      <c r="AG763" s="1501"/>
      <c r="AH763" s="1502">
        <v>0.6</v>
      </c>
      <c r="AI763" s="1503" t="s">
        <v>1119</v>
      </c>
      <c r="AJ763" s="1502" t="s">
        <v>635</v>
      </c>
      <c r="AK763" s="1501"/>
      <c r="AL763" s="1501"/>
      <c r="AM763" s="1501"/>
      <c r="AN763" s="1504">
        <v>1</v>
      </c>
      <c r="AO763" s="1504" t="s">
        <v>635</v>
      </c>
      <c r="AP763" s="1506" t="s">
        <v>635</v>
      </c>
    </row>
    <row r="764" spans="1:42" ht="30">
      <c r="A764" s="1481" t="s">
        <v>3309</v>
      </c>
      <c r="B764" s="1482" t="s">
        <v>3310</v>
      </c>
      <c r="C764" s="1483">
        <v>334.42</v>
      </c>
      <c r="D764" s="1484" t="s">
        <v>1883</v>
      </c>
      <c r="E764" s="1485">
        <v>3.0907604251999999E-12</v>
      </c>
      <c r="F764" s="1485">
        <v>7.5600000000000001E-14</v>
      </c>
      <c r="G764" s="1486" t="s">
        <v>1883</v>
      </c>
      <c r="H764" s="1485">
        <v>2.93E-9</v>
      </c>
      <c r="I764" s="1486" t="s">
        <v>1883</v>
      </c>
      <c r="J764" s="1487">
        <v>287</v>
      </c>
      <c r="K764" s="1488" t="s">
        <v>1883</v>
      </c>
      <c r="L764" s="1489">
        <v>1.36</v>
      </c>
      <c r="M764" s="1490" t="s">
        <v>1884</v>
      </c>
      <c r="N764" s="1491">
        <v>2.2081697590089999E-2</v>
      </c>
      <c r="O764" s="1491">
        <v>5.5823848189000003E-6</v>
      </c>
      <c r="P764" s="1492" t="s">
        <v>1885</v>
      </c>
      <c r="Q764" s="1493" t="s">
        <v>635</v>
      </c>
      <c r="R764" s="1494"/>
      <c r="S764" s="1493">
        <v>5403</v>
      </c>
      <c r="T764" s="1493" t="s">
        <v>1199</v>
      </c>
      <c r="U764" s="1493">
        <v>1.93</v>
      </c>
      <c r="V764" s="1495" t="s">
        <v>1883</v>
      </c>
      <c r="W764" s="1496">
        <v>160</v>
      </c>
      <c r="X764" s="1497" t="s">
        <v>1883</v>
      </c>
      <c r="Y764" s="1498">
        <v>2.80637478097E-3</v>
      </c>
      <c r="Z764" s="1498">
        <v>7.8451409293394798</v>
      </c>
      <c r="AA764" s="1498">
        <v>18.828338230414701</v>
      </c>
      <c r="AB764" s="1498">
        <v>3.9899999999999999E-4</v>
      </c>
      <c r="AC764" s="1499" t="s">
        <v>1199</v>
      </c>
      <c r="AD764" s="1500" t="s">
        <v>635</v>
      </c>
      <c r="AE764" s="1501"/>
      <c r="AF764" s="1502" t="s">
        <v>635</v>
      </c>
      <c r="AG764" s="1501"/>
      <c r="AH764" s="1502">
        <v>2.9999999999999997E-4</v>
      </c>
      <c r="AI764" s="1503" t="s">
        <v>1119</v>
      </c>
      <c r="AJ764" s="1502" t="s">
        <v>635</v>
      </c>
      <c r="AK764" s="1501"/>
      <c r="AL764" s="1501"/>
      <c r="AM764" s="1501"/>
      <c r="AN764" s="1504">
        <v>1</v>
      </c>
      <c r="AO764" s="1505">
        <v>0.1</v>
      </c>
      <c r="AP764" s="1506" t="s">
        <v>635</v>
      </c>
    </row>
    <row r="765" spans="1:42" ht="30">
      <c r="A765" s="1507" t="s">
        <v>310</v>
      </c>
      <c r="B765" s="1508" t="s">
        <v>309</v>
      </c>
      <c r="C765" s="1509">
        <v>104.15</v>
      </c>
      <c r="D765" s="1510" t="s">
        <v>1883</v>
      </c>
      <c r="E765" s="1511">
        <v>0.11242845461978999</v>
      </c>
      <c r="F765" s="1511">
        <v>2.7499999999999998E-3</v>
      </c>
      <c r="G765" s="1512" t="s">
        <v>1883</v>
      </c>
      <c r="H765" s="1511">
        <v>6.4</v>
      </c>
      <c r="I765" s="1512" t="s">
        <v>1883</v>
      </c>
      <c r="J765" s="1513">
        <v>-31</v>
      </c>
      <c r="K765" s="1514" t="s">
        <v>1883</v>
      </c>
      <c r="L765" s="1515">
        <v>0.90159999999999996</v>
      </c>
      <c r="M765" s="1516" t="s">
        <v>1884</v>
      </c>
      <c r="N765" s="1517">
        <v>7.1114019006519993E-2</v>
      </c>
      <c r="O765" s="1517">
        <v>8.7838426783500005E-6</v>
      </c>
      <c r="P765" s="1518" t="s">
        <v>1885</v>
      </c>
      <c r="Q765" s="1519" t="s">
        <v>635</v>
      </c>
      <c r="R765" s="1520"/>
      <c r="S765" s="1519">
        <v>446.1</v>
      </c>
      <c r="T765" s="1519" t="s">
        <v>1199</v>
      </c>
      <c r="U765" s="1519">
        <v>2.95</v>
      </c>
      <c r="V765" s="1521" t="s">
        <v>1883</v>
      </c>
      <c r="W765" s="1522">
        <v>310</v>
      </c>
      <c r="X765" s="1523" t="s">
        <v>1883</v>
      </c>
      <c r="Y765" s="1524">
        <v>0.14601559047828</v>
      </c>
      <c r="Z765" s="1524">
        <v>0.40279933938787998</v>
      </c>
      <c r="AA765" s="1524">
        <v>0.96671841453092</v>
      </c>
      <c r="AB765" s="1524">
        <v>3.7199999999999997E-2</v>
      </c>
      <c r="AC765" s="1525" t="s">
        <v>1199</v>
      </c>
      <c r="AD765" s="1526" t="s">
        <v>635</v>
      </c>
      <c r="AE765" s="1527"/>
      <c r="AF765" s="1528" t="s">
        <v>635</v>
      </c>
      <c r="AG765" s="1527"/>
      <c r="AH765" s="1528">
        <v>0.2</v>
      </c>
      <c r="AI765" s="1529" t="s">
        <v>1119</v>
      </c>
      <c r="AJ765" s="1528">
        <v>1</v>
      </c>
      <c r="AK765" s="1529" t="s">
        <v>1119</v>
      </c>
      <c r="AL765" s="1529" t="s">
        <v>1127</v>
      </c>
      <c r="AM765" s="1527"/>
      <c r="AN765" s="1530">
        <v>1</v>
      </c>
      <c r="AO765" s="1530" t="s">
        <v>635</v>
      </c>
      <c r="AP765" s="1532">
        <v>867</v>
      </c>
    </row>
    <row r="766" spans="1:42" ht="45">
      <c r="A766" s="1481" t="s">
        <v>3311</v>
      </c>
      <c r="B766" s="1482" t="s">
        <v>3312</v>
      </c>
      <c r="C766" s="1483">
        <v>210</v>
      </c>
      <c r="D766" s="1484" t="s">
        <v>1247</v>
      </c>
      <c r="E766" s="1485" t="s">
        <v>635</v>
      </c>
      <c r="F766" s="1485" t="s">
        <v>635</v>
      </c>
      <c r="G766" s="1536"/>
      <c r="H766" s="1485" t="s">
        <v>635</v>
      </c>
      <c r="I766" s="1536"/>
      <c r="J766" s="1487">
        <v>119</v>
      </c>
      <c r="K766" s="1488" t="s">
        <v>1199</v>
      </c>
      <c r="L766" s="1489">
        <v>1.103</v>
      </c>
      <c r="M766" s="1490" t="s">
        <v>1247</v>
      </c>
      <c r="N766" s="1491">
        <v>2.5513078058659999E-2</v>
      </c>
      <c r="O766" s="1491">
        <v>6.5085688327599997E-6</v>
      </c>
      <c r="P766" s="1492" t="s">
        <v>1885</v>
      </c>
      <c r="Q766" s="1493" t="s">
        <v>635</v>
      </c>
      <c r="R766" s="1494"/>
      <c r="S766" s="1493" t="s">
        <v>635</v>
      </c>
      <c r="T766" s="1494"/>
      <c r="U766" s="1493">
        <v>2.76</v>
      </c>
      <c r="V766" s="1495" t="s">
        <v>1199</v>
      </c>
      <c r="W766" s="1496">
        <v>4.37E-4</v>
      </c>
      <c r="X766" s="1497" t="s">
        <v>1199</v>
      </c>
      <c r="Y766" s="1498">
        <v>6.6498745038920004E-2</v>
      </c>
      <c r="Z766" s="1498">
        <v>1.57706193560966</v>
      </c>
      <c r="AA766" s="1498">
        <v>3.78494864546317</v>
      </c>
      <c r="AB766" s="1498">
        <v>1.193100835962E-2</v>
      </c>
      <c r="AC766" s="1499" t="s">
        <v>1203</v>
      </c>
      <c r="AD766" s="1500" t="s">
        <v>635</v>
      </c>
      <c r="AE766" s="1501"/>
      <c r="AF766" s="1502" t="s">
        <v>635</v>
      </c>
      <c r="AG766" s="1501"/>
      <c r="AH766" s="1502">
        <v>3.0000000000000001E-3</v>
      </c>
      <c r="AI766" s="1503" t="s">
        <v>1909</v>
      </c>
      <c r="AJ766" s="1502" t="s">
        <v>635</v>
      </c>
      <c r="AK766" s="1501"/>
      <c r="AL766" s="1501"/>
      <c r="AM766" s="1501"/>
      <c r="AN766" s="1504">
        <v>1</v>
      </c>
      <c r="AO766" s="1505">
        <v>0.1</v>
      </c>
      <c r="AP766" s="1506" t="s">
        <v>635</v>
      </c>
    </row>
    <row r="767" spans="1:42" ht="45">
      <c r="A767" s="1481" t="s">
        <v>3313</v>
      </c>
      <c r="B767" s="1482" t="s">
        <v>3314</v>
      </c>
      <c r="C767" s="1483">
        <v>210</v>
      </c>
      <c r="D767" s="1484" t="s">
        <v>1247</v>
      </c>
      <c r="E767" s="1485" t="s">
        <v>635</v>
      </c>
      <c r="F767" s="1485" t="s">
        <v>635</v>
      </c>
      <c r="G767" s="1536"/>
      <c r="H767" s="1485">
        <v>1.14E-7</v>
      </c>
      <c r="I767" s="1486" t="s">
        <v>3315</v>
      </c>
      <c r="J767" s="1487" t="s">
        <v>635</v>
      </c>
      <c r="K767" s="1542"/>
      <c r="L767" s="1489">
        <v>1.103</v>
      </c>
      <c r="M767" s="1490" t="s">
        <v>1247</v>
      </c>
      <c r="N767" s="1491">
        <v>2.5513078058659999E-2</v>
      </c>
      <c r="O767" s="1491">
        <v>6.5085688327599997E-6</v>
      </c>
      <c r="P767" s="1492" t="s">
        <v>1885</v>
      </c>
      <c r="Q767" s="1493" t="s">
        <v>635</v>
      </c>
      <c r="R767" s="1494"/>
      <c r="S767" s="1493" t="s">
        <v>635</v>
      </c>
      <c r="T767" s="1494"/>
      <c r="U767" s="1493">
        <v>3.1</v>
      </c>
      <c r="V767" s="1495" t="s">
        <v>3316</v>
      </c>
      <c r="W767" s="1496">
        <v>84.9</v>
      </c>
      <c r="X767" s="1497" t="s">
        <v>1247</v>
      </c>
      <c r="Y767" s="1498">
        <v>6.6498745038920004E-2</v>
      </c>
      <c r="Z767" s="1498">
        <v>1.57706193560966</v>
      </c>
      <c r="AA767" s="1498">
        <v>3.78494864546317</v>
      </c>
      <c r="AB767" s="1498">
        <v>1.193100835962E-2</v>
      </c>
      <c r="AC767" s="1499" t="s">
        <v>1203</v>
      </c>
      <c r="AD767" s="1500" t="s">
        <v>635</v>
      </c>
      <c r="AE767" s="1501"/>
      <c r="AF767" s="1502" t="s">
        <v>635</v>
      </c>
      <c r="AG767" s="1501"/>
      <c r="AH767" s="1502">
        <v>3.0000000000000001E-3</v>
      </c>
      <c r="AI767" s="1503" t="s">
        <v>1909</v>
      </c>
      <c r="AJ767" s="1502" t="s">
        <v>635</v>
      </c>
      <c r="AK767" s="1501"/>
      <c r="AL767" s="1501"/>
      <c r="AM767" s="1501"/>
      <c r="AN767" s="1504">
        <v>1</v>
      </c>
      <c r="AO767" s="1505">
        <v>0.1</v>
      </c>
      <c r="AP767" s="1506" t="s">
        <v>635</v>
      </c>
    </row>
    <row r="768" spans="1:42" ht="30">
      <c r="A768" s="1507" t="s">
        <v>3317</v>
      </c>
      <c r="B768" s="1508" t="s">
        <v>3318</v>
      </c>
      <c r="C768" s="1509">
        <v>120.17</v>
      </c>
      <c r="D768" s="1510" t="s">
        <v>1883</v>
      </c>
      <c r="E768" s="1511">
        <v>1.9828291086999999E-4</v>
      </c>
      <c r="F768" s="1511">
        <v>4.8500000000000002E-6</v>
      </c>
      <c r="G768" s="1512" t="s">
        <v>1883</v>
      </c>
      <c r="H768" s="1511">
        <v>4.0899999999999999E-3</v>
      </c>
      <c r="I768" s="1512" t="s">
        <v>1199</v>
      </c>
      <c r="J768" s="1513">
        <v>27.6</v>
      </c>
      <c r="K768" s="1514" t="s">
        <v>1883</v>
      </c>
      <c r="L768" s="1515">
        <v>1.2723</v>
      </c>
      <c r="M768" s="1516" t="s">
        <v>1884</v>
      </c>
      <c r="N768" s="1517">
        <v>7.1599814202510007E-2</v>
      </c>
      <c r="O768" s="1517">
        <v>9.9116932103099997E-6</v>
      </c>
      <c r="P768" s="1518" t="s">
        <v>1885</v>
      </c>
      <c r="Q768" s="1519" t="s">
        <v>635</v>
      </c>
      <c r="R768" s="1520"/>
      <c r="S768" s="1519">
        <v>9.0790000000000006</v>
      </c>
      <c r="T768" s="1519" t="s">
        <v>1199</v>
      </c>
      <c r="U768" s="1519">
        <v>-0.77</v>
      </c>
      <c r="V768" s="1521" t="s">
        <v>1883</v>
      </c>
      <c r="W768" s="1522">
        <v>1000000</v>
      </c>
      <c r="X768" s="1523" t="s">
        <v>1883</v>
      </c>
      <c r="Y768" s="1524">
        <v>4.3005584473000002E-4</v>
      </c>
      <c r="Z768" s="1524">
        <v>0.49522293487003</v>
      </c>
      <c r="AA768" s="1524">
        <v>1.1885350436880699</v>
      </c>
      <c r="AB768" s="1524">
        <v>1.02E-4</v>
      </c>
      <c r="AC768" s="1525" t="s">
        <v>1199</v>
      </c>
      <c r="AD768" s="1526" t="s">
        <v>635</v>
      </c>
      <c r="AE768" s="1527"/>
      <c r="AF768" s="1528" t="s">
        <v>635</v>
      </c>
      <c r="AG768" s="1527"/>
      <c r="AH768" s="1528">
        <v>1E-3</v>
      </c>
      <c r="AI768" s="1529" t="s">
        <v>1909</v>
      </c>
      <c r="AJ768" s="1528">
        <v>2E-3</v>
      </c>
      <c r="AK768" s="1529" t="s">
        <v>1893</v>
      </c>
      <c r="AL768" s="1527"/>
      <c r="AM768" s="1527"/>
      <c r="AN768" s="1530">
        <v>1</v>
      </c>
      <c r="AO768" s="1531">
        <v>0.1</v>
      </c>
      <c r="AP768" s="1532" t="s">
        <v>635</v>
      </c>
    </row>
    <row r="769" spans="1:42" ht="30">
      <c r="A769" s="1481" t="s">
        <v>3319</v>
      </c>
      <c r="B769" s="1482" t="s">
        <v>3320</v>
      </c>
      <c r="C769" s="1483">
        <v>287.17</v>
      </c>
      <c r="D769" s="1484" t="s">
        <v>1883</v>
      </c>
      <c r="E769" s="1485">
        <v>5.6009811937899998E-6</v>
      </c>
      <c r="F769" s="1485">
        <v>1.37E-7</v>
      </c>
      <c r="G769" s="1486" t="s">
        <v>1883</v>
      </c>
      <c r="H769" s="1485">
        <v>8.09E-7</v>
      </c>
      <c r="I769" s="1486" t="s">
        <v>1883</v>
      </c>
      <c r="J769" s="1487">
        <v>147.9</v>
      </c>
      <c r="K769" s="1488" t="s">
        <v>1883</v>
      </c>
      <c r="L769" s="1489" t="s">
        <v>635</v>
      </c>
      <c r="M769" s="1533"/>
      <c r="N769" s="1491">
        <v>4.365100248934E-2</v>
      </c>
      <c r="O769" s="1491">
        <v>5.1002750277000001E-6</v>
      </c>
      <c r="P769" s="1492" t="s">
        <v>1885</v>
      </c>
      <c r="Q769" s="1493" t="s">
        <v>635</v>
      </c>
      <c r="R769" s="1494"/>
      <c r="S769" s="1493">
        <v>2855</v>
      </c>
      <c r="T769" s="1493" t="s">
        <v>1199</v>
      </c>
      <c r="U769" s="1493">
        <v>3.9</v>
      </c>
      <c r="V769" s="1495" t="s">
        <v>1883</v>
      </c>
      <c r="W769" s="1496">
        <v>2.391</v>
      </c>
      <c r="X769" s="1497" t="s">
        <v>1883</v>
      </c>
      <c r="Y769" s="1498">
        <v>9.7114136854130007E-2</v>
      </c>
      <c r="Z769" s="1498">
        <v>4.2658025510212996</v>
      </c>
      <c r="AA769" s="1498">
        <v>10.2379261224511</v>
      </c>
      <c r="AB769" s="1498">
        <v>1.49E-2</v>
      </c>
      <c r="AC769" s="1499" t="s">
        <v>1199</v>
      </c>
      <c r="AD769" s="1500" t="s">
        <v>635</v>
      </c>
      <c r="AE769" s="1501"/>
      <c r="AF769" s="1502" t="s">
        <v>635</v>
      </c>
      <c r="AG769" s="1501"/>
      <c r="AH769" s="1502">
        <v>8.0000000000000004E-4</v>
      </c>
      <c r="AI769" s="1503" t="s">
        <v>1909</v>
      </c>
      <c r="AJ769" s="1502" t="s">
        <v>635</v>
      </c>
      <c r="AK769" s="1501"/>
      <c r="AL769" s="1501"/>
      <c r="AM769" s="1501"/>
      <c r="AN769" s="1504">
        <v>1</v>
      </c>
      <c r="AO769" s="1505">
        <v>0.1</v>
      </c>
      <c r="AP769" s="1506" t="s">
        <v>635</v>
      </c>
    </row>
    <row r="770" spans="1:42" ht="30">
      <c r="A770" s="1481" t="s">
        <v>3321</v>
      </c>
      <c r="B770" s="1482" t="s">
        <v>3322</v>
      </c>
      <c r="C770" s="1483">
        <v>80.061999999999998</v>
      </c>
      <c r="D770" s="1484" t="s">
        <v>1883</v>
      </c>
      <c r="E770" s="1485" t="s">
        <v>635</v>
      </c>
      <c r="F770" s="1485" t="s">
        <v>635</v>
      </c>
      <c r="G770" s="1536"/>
      <c r="H770" s="1485">
        <v>263.10000000000002</v>
      </c>
      <c r="I770" s="1486" t="s">
        <v>1883</v>
      </c>
      <c r="J770" s="1487">
        <v>16.8</v>
      </c>
      <c r="K770" s="1488" t="s">
        <v>1883</v>
      </c>
      <c r="L770" s="1489">
        <v>1.9</v>
      </c>
      <c r="M770" s="1490" t="s">
        <v>1884</v>
      </c>
      <c r="N770" s="1491">
        <v>0.1207833212445</v>
      </c>
      <c r="O770" s="1491">
        <v>1.6086741060000001E-5</v>
      </c>
      <c r="P770" s="1492" t="s">
        <v>1885</v>
      </c>
      <c r="Q770" s="1493" t="s">
        <v>635</v>
      </c>
      <c r="R770" s="1494"/>
      <c r="S770" s="1493" t="s">
        <v>635</v>
      </c>
      <c r="T770" s="1494"/>
      <c r="U770" s="1493" t="s">
        <v>635</v>
      </c>
      <c r="V770" s="1481"/>
      <c r="W770" s="1496" t="s">
        <v>635</v>
      </c>
      <c r="X770" s="1537"/>
      <c r="Y770" s="1498">
        <v>3.4414373631200001E-3</v>
      </c>
      <c r="Z770" s="1498">
        <v>0.29525410851602002</v>
      </c>
      <c r="AA770" s="1498">
        <v>0.70860986043843999</v>
      </c>
      <c r="AB770" s="1498">
        <v>1E-3</v>
      </c>
      <c r="AC770" s="1499" t="s">
        <v>1203</v>
      </c>
      <c r="AD770" s="1500" t="s">
        <v>635</v>
      </c>
      <c r="AE770" s="1501"/>
      <c r="AF770" s="1502" t="s">
        <v>635</v>
      </c>
      <c r="AG770" s="1501"/>
      <c r="AH770" s="1502" t="s">
        <v>635</v>
      </c>
      <c r="AI770" s="1501"/>
      <c r="AJ770" s="1502">
        <v>1E-3</v>
      </c>
      <c r="AK770" s="1503" t="s">
        <v>1900</v>
      </c>
      <c r="AL770" s="1503" t="s">
        <v>1127</v>
      </c>
      <c r="AM770" s="1501"/>
      <c r="AN770" s="1504">
        <v>1</v>
      </c>
      <c r="AO770" s="1504" t="s">
        <v>635</v>
      </c>
      <c r="AP770" s="1506" t="s">
        <v>635</v>
      </c>
    </row>
    <row r="771" spans="1:42" ht="30">
      <c r="A771" s="1507" t="s">
        <v>3323</v>
      </c>
      <c r="B771" s="1508" t="s">
        <v>3324</v>
      </c>
      <c r="C771" s="1509">
        <v>98.078000000000003</v>
      </c>
      <c r="D771" s="1510" t="s">
        <v>1883</v>
      </c>
      <c r="E771" s="1511" t="s">
        <v>635</v>
      </c>
      <c r="F771" s="1511" t="s">
        <v>635</v>
      </c>
      <c r="G771" s="1534"/>
      <c r="H771" s="1511">
        <v>5.9330000000000003E-5</v>
      </c>
      <c r="I771" s="1512" t="s">
        <v>1883</v>
      </c>
      <c r="J771" s="1513">
        <v>10.31</v>
      </c>
      <c r="K771" s="1514" t="s">
        <v>1883</v>
      </c>
      <c r="L771" s="1515">
        <v>1.8302</v>
      </c>
      <c r="M771" s="1516" t="s">
        <v>1884</v>
      </c>
      <c r="N771" s="1517">
        <v>0.10133053693915001</v>
      </c>
      <c r="O771" s="1517">
        <v>1.392604972E-5</v>
      </c>
      <c r="P771" s="1518" t="s">
        <v>1885</v>
      </c>
      <c r="Q771" s="1519" t="s">
        <v>635</v>
      </c>
      <c r="R771" s="1520"/>
      <c r="S771" s="1519" t="s">
        <v>635</v>
      </c>
      <c r="T771" s="1520"/>
      <c r="U771" s="1519" t="s">
        <v>635</v>
      </c>
      <c r="V771" s="1507"/>
      <c r="W771" s="1522">
        <v>1000000</v>
      </c>
      <c r="X771" s="1523" t="s">
        <v>1883</v>
      </c>
      <c r="Y771" s="1524">
        <v>3.80901297998E-3</v>
      </c>
      <c r="Z771" s="1524">
        <v>0.37246506916133998</v>
      </c>
      <c r="AA771" s="1524">
        <v>0.89391616598721002</v>
      </c>
      <c r="AB771" s="1524">
        <v>1E-3</v>
      </c>
      <c r="AC771" s="1525" t="s">
        <v>1203</v>
      </c>
      <c r="AD771" s="1526" t="s">
        <v>635</v>
      </c>
      <c r="AE771" s="1527"/>
      <c r="AF771" s="1528" t="s">
        <v>635</v>
      </c>
      <c r="AG771" s="1527"/>
      <c r="AH771" s="1528" t="s">
        <v>635</v>
      </c>
      <c r="AI771" s="1527"/>
      <c r="AJ771" s="1528">
        <v>1E-3</v>
      </c>
      <c r="AK771" s="1529" t="s">
        <v>1900</v>
      </c>
      <c r="AL771" s="1527"/>
      <c r="AM771" s="1527"/>
      <c r="AN771" s="1530">
        <v>1</v>
      </c>
      <c r="AO771" s="1530" t="s">
        <v>635</v>
      </c>
      <c r="AP771" s="1532" t="s">
        <v>635</v>
      </c>
    </row>
    <row r="772" spans="1:42" ht="60">
      <c r="A772" s="1481" t="s">
        <v>3325</v>
      </c>
      <c r="B772" s="1482" t="s">
        <v>3326</v>
      </c>
      <c r="C772" s="1483">
        <v>334.87</v>
      </c>
      <c r="D772" s="1484" t="s">
        <v>1883</v>
      </c>
      <c r="E772" s="1485">
        <v>7.7677841373699992E-6</v>
      </c>
      <c r="F772" s="1485">
        <v>1.9000000000000001E-7</v>
      </c>
      <c r="G772" s="1486" t="s">
        <v>1883</v>
      </c>
      <c r="H772" s="1485">
        <v>2.1799999999999999E-7</v>
      </c>
      <c r="I772" s="1486" t="s">
        <v>1883</v>
      </c>
      <c r="J772" s="1487">
        <v>-31.7</v>
      </c>
      <c r="K772" s="1488" t="s">
        <v>1883</v>
      </c>
      <c r="L772" s="1489">
        <v>1.143</v>
      </c>
      <c r="M772" s="1490" t="s">
        <v>1884</v>
      </c>
      <c r="N772" s="1491">
        <v>2.02897168448E-2</v>
      </c>
      <c r="O772" s="1491">
        <v>5.0254362081200003E-6</v>
      </c>
      <c r="P772" s="1492" t="s">
        <v>1885</v>
      </c>
      <c r="Q772" s="1493" t="s">
        <v>635</v>
      </c>
      <c r="R772" s="1494"/>
      <c r="S772" s="1493">
        <v>5550</v>
      </c>
      <c r="T772" s="1493" t="s">
        <v>1199</v>
      </c>
      <c r="U772" s="1493">
        <v>4.82</v>
      </c>
      <c r="V772" s="1495" t="s">
        <v>1883</v>
      </c>
      <c r="W772" s="1496">
        <v>0.59019999999999995</v>
      </c>
      <c r="X772" s="1497" t="s">
        <v>1883</v>
      </c>
      <c r="Y772" s="1498">
        <v>0.23085464470582001</v>
      </c>
      <c r="Z772" s="1498">
        <v>7.89079479834444</v>
      </c>
      <c r="AA772" s="1498">
        <v>18.937907516026701</v>
      </c>
      <c r="AB772" s="1498">
        <v>3.2800000000000003E-2</v>
      </c>
      <c r="AC772" s="1499" t="s">
        <v>1199</v>
      </c>
      <c r="AD772" s="1500">
        <v>2.5000000000000001E-2</v>
      </c>
      <c r="AE772" s="1503" t="s">
        <v>1119</v>
      </c>
      <c r="AF772" s="1502">
        <v>7.0999999999999998E-6</v>
      </c>
      <c r="AG772" s="1503" t="s">
        <v>1119</v>
      </c>
      <c r="AH772" s="1502">
        <v>0.05</v>
      </c>
      <c r="AI772" s="1503" t="s">
        <v>1073</v>
      </c>
      <c r="AJ772" s="1502" t="s">
        <v>635</v>
      </c>
      <c r="AK772" s="1501"/>
      <c r="AL772" s="1501"/>
      <c r="AM772" s="1501"/>
      <c r="AN772" s="1504">
        <v>1</v>
      </c>
      <c r="AO772" s="1505">
        <v>0.1</v>
      </c>
      <c r="AP772" s="1506" t="s">
        <v>635</v>
      </c>
    </row>
    <row r="773" spans="1:42" ht="30">
      <c r="A773" s="1481" t="s">
        <v>3327</v>
      </c>
      <c r="B773" s="1482" t="s">
        <v>3328</v>
      </c>
      <c r="C773" s="1483">
        <v>228.32</v>
      </c>
      <c r="D773" s="1484" t="s">
        <v>1883</v>
      </c>
      <c r="E773" s="1485">
        <v>4.9059689288600001E-9</v>
      </c>
      <c r="F773" s="1485">
        <v>1.2E-10</v>
      </c>
      <c r="G773" s="1486" t="s">
        <v>1883</v>
      </c>
      <c r="H773" s="1485">
        <v>2.9999999999999999E-7</v>
      </c>
      <c r="I773" s="1486" t="s">
        <v>1883</v>
      </c>
      <c r="J773" s="1487">
        <v>162.85</v>
      </c>
      <c r="K773" s="1488" t="s">
        <v>1883</v>
      </c>
      <c r="L773" s="1489" t="s">
        <v>635</v>
      </c>
      <c r="M773" s="1533"/>
      <c r="N773" s="1491">
        <v>5.0861710756150001E-2</v>
      </c>
      <c r="O773" s="1491">
        <v>5.9427893620299996E-6</v>
      </c>
      <c r="P773" s="1492" t="s">
        <v>1885</v>
      </c>
      <c r="Q773" s="1493" t="s">
        <v>635</v>
      </c>
      <c r="R773" s="1494"/>
      <c r="S773" s="1493">
        <v>42.35</v>
      </c>
      <c r="T773" s="1493" t="s">
        <v>1199</v>
      </c>
      <c r="U773" s="1493">
        <v>1.79</v>
      </c>
      <c r="V773" s="1495" t="s">
        <v>1883</v>
      </c>
      <c r="W773" s="1496">
        <v>2500</v>
      </c>
      <c r="X773" s="1497" t="s">
        <v>1883</v>
      </c>
      <c r="Y773" s="1498">
        <v>7.3807815368499997E-3</v>
      </c>
      <c r="Z773" s="1498">
        <v>1.9972882617138299</v>
      </c>
      <c r="AA773" s="1498">
        <v>4.7934918281131802</v>
      </c>
      <c r="AB773" s="1498">
        <v>1.2700000000000001E-3</v>
      </c>
      <c r="AC773" s="1499" t="s">
        <v>1199</v>
      </c>
      <c r="AD773" s="1500" t="s">
        <v>635</v>
      </c>
      <c r="AE773" s="1501"/>
      <c r="AF773" s="1502" t="s">
        <v>635</v>
      </c>
      <c r="AG773" s="1501"/>
      <c r="AH773" s="1502">
        <v>7.0000000000000007E-2</v>
      </c>
      <c r="AI773" s="1503" t="s">
        <v>1119</v>
      </c>
      <c r="AJ773" s="1502" t="s">
        <v>635</v>
      </c>
      <c r="AK773" s="1501"/>
      <c r="AL773" s="1501"/>
      <c r="AM773" s="1501"/>
      <c r="AN773" s="1504">
        <v>1</v>
      </c>
      <c r="AO773" s="1505">
        <v>0.1</v>
      </c>
      <c r="AP773" s="1506" t="s">
        <v>635</v>
      </c>
    </row>
    <row r="774" spans="1:42" ht="30">
      <c r="A774" s="1507" t="s">
        <v>3329</v>
      </c>
      <c r="B774" s="1508" t="s">
        <v>3330</v>
      </c>
      <c r="C774" s="1509">
        <v>466.47</v>
      </c>
      <c r="D774" s="1510" t="s">
        <v>1883</v>
      </c>
      <c r="E774" s="1511">
        <v>8.0130825838099997E-8</v>
      </c>
      <c r="F774" s="1511">
        <v>1.9599999999999998E-9</v>
      </c>
      <c r="G774" s="1512" t="s">
        <v>1883</v>
      </c>
      <c r="H774" s="1511">
        <v>7.91E-8</v>
      </c>
      <c r="I774" s="1512" t="s">
        <v>1883</v>
      </c>
      <c r="J774" s="1513">
        <v>30</v>
      </c>
      <c r="K774" s="1514" t="s">
        <v>1883</v>
      </c>
      <c r="L774" s="1515">
        <v>1.32</v>
      </c>
      <c r="M774" s="1516" t="s">
        <v>1884</v>
      </c>
      <c r="N774" s="1517">
        <v>1.8294313763009998E-2</v>
      </c>
      <c r="O774" s="1517">
        <v>4.4907812356599997E-6</v>
      </c>
      <c r="P774" s="1518" t="s">
        <v>1885</v>
      </c>
      <c r="Q774" s="1519" t="s">
        <v>635</v>
      </c>
      <c r="R774" s="1520"/>
      <c r="S774" s="1519">
        <v>95060</v>
      </c>
      <c r="T774" s="1519" t="s">
        <v>1199</v>
      </c>
      <c r="U774" s="1519">
        <v>5.96</v>
      </c>
      <c r="V774" s="1521" t="s">
        <v>1883</v>
      </c>
      <c r="W774" s="1522">
        <v>0.27</v>
      </c>
      <c r="X774" s="1523" t="s">
        <v>1883</v>
      </c>
      <c r="Y774" s="1524">
        <v>0.28658773905134</v>
      </c>
      <c r="Z774" s="1524">
        <v>43.060666697928298</v>
      </c>
      <c r="AA774" s="1524">
        <v>103.345600075028</v>
      </c>
      <c r="AB774" s="1524">
        <v>3.4500000000000003E-2</v>
      </c>
      <c r="AC774" s="1525" t="s">
        <v>1199</v>
      </c>
      <c r="AD774" s="1526" t="s">
        <v>635</v>
      </c>
      <c r="AE774" s="1527"/>
      <c r="AF774" s="1528" t="s">
        <v>635</v>
      </c>
      <c r="AG774" s="1527"/>
      <c r="AH774" s="1528">
        <v>0.02</v>
      </c>
      <c r="AI774" s="1529" t="s">
        <v>1073</v>
      </c>
      <c r="AJ774" s="1528" t="s">
        <v>635</v>
      </c>
      <c r="AK774" s="1527"/>
      <c r="AL774" s="1527"/>
      <c r="AM774" s="1527"/>
      <c r="AN774" s="1530">
        <v>1</v>
      </c>
      <c r="AO774" s="1531">
        <v>0.1</v>
      </c>
      <c r="AP774" s="1532" t="s">
        <v>635</v>
      </c>
    </row>
    <row r="775" spans="1:42" ht="30">
      <c r="A775" s="1481" t="s">
        <v>3331</v>
      </c>
      <c r="B775" s="1482" t="s">
        <v>3332</v>
      </c>
      <c r="C775" s="1483">
        <v>216.67</v>
      </c>
      <c r="D775" s="1484" t="s">
        <v>1883</v>
      </c>
      <c r="E775" s="1485">
        <v>4.9059689288600001E-9</v>
      </c>
      <c r="F775" s="1485">
        <v>1.2E-10</v>
      </c>
      <c r="G775" s="1486" t="s">
        <v>1199</v>
      </c>
      <c r="H775" s="1485">
        <v>4.7E-7</v>
      </c>
      <c r="I775" s="1486" t="s">
        <v>1883</v>
      </c>
      <c r="J775" s="1487">
        <v>176</v>
      </c>
      <c r="K775" s="1488" t="s">
        <v>1883</v>
      </c>
      <c r="L775" s="1489">
        <v>1.34</v>
      </c>
      <c r="M775" s="1490" t="s">
        <v>1884</v>
      </c>
      <c r="N775" s="1491">
        <v>2.7467710554500001E-2</v>
      </c>
      <c r="O775" s="1491">
        <v>7.1788582916299998E-6</v>
      </c>
      <c r="P775" s="1492" t="s">
        <v>1885</v>
      </c>
      <c r="Q775" s="1493" t="s">
        <v>635</v>
      </c>
      <c r="R775" s="1494"/>
      <c r="S775" s="1493">
        <v>50.1</v>
      </c>
      <c r="T775" s="1493" t="s">
        <v>1199</v>
      </c>
      <c r="U775" s="1493">
        <v>1.89</v>
      </c>
      <c r="V775" s="1495" t="s">
        <v>1883</v>
      </c>
      <c r="W775" s="1496">
        <v>710</v>
      </c>
      <c r="X775" s="1497" t="s">
        <v>1883</v>
      </c>
      <c r="Y775" s="1498">
        <v>9.7376573978400008E-3</v>
      </c>
      <c r="Z775" s="1498">
        <v>1.71870266197127</v>
      </c>
      <c r="AA775" s="1498">
        <v>4.1248863887310501</v>
      </c>
      <c r="AB775" s="1498">
        <v>1.72E-3</v>
      </c>
      <c r="AC775" s="1499" t="s">
        <v>1199</v>
      </c>
      <c r="AD775" s="1500" t="s">
        <v>635</v>
      </c>
      <c r="AE775" s="1501"/>
      <c r="AF775" s="1502" t="s">
        <v>635</v>
      </c>
      <c r="AG775" s="1501"/>
      <c r="AH775" s="1502">
        <v>1.2999999999999999E-2</v>
      </c>
      <c r="AI775" s="1503" t="s">
        <v>1119</v>
      </c>
      <c r="AJ775" s="1502" t="s">
        <v>635</v>
      </c>
      <c r="AK775" s="1501"/>
      <c r="AL775" s="1501"/>
      <c r="AM775" s="1501"/>
      <c r="AN775" s="1504">
        <v>1</v>
      </c>
      <c r="AO775" s="1505">
        <v>0.1</v>
      </c>
      <c r="AP775" s="1506" t="s">
        <v>635</v>
      </c>
    </row>
    <row r="776" spans="1:42" ht="30">
      <c r="A776" s="1481" t="s">
        <v>3333</v>
      </c>
      <c r="B776" s="1482" t="s">
        <v>3334</v>
      </c>
      <c r="C776" s="1483">
        <v>288.43</v>
      </c>
      <c r="D776" s="1484" t="s">
        <v>1883</v>
      </c>
      <c r="E776" s="1485">
        <v>9.8119378577000006E-4</v>
      </c>
      <c r="F776" s="1485">
        <v>2.4000000000000001E-5</v>
      </c>
      <c r="G776" s="1486" t="s">
        <v>1199</v>
      </c>
      <c r="H776" s="1485">
        <v>3.2000000000000003E-4</v>
      </c>
      <c r="I776" s="1486" t="s">
        <v>1883</v>
      </c>
      <c r="J776" s="1487">
        <v>-29.2</v>
      </c>
      <c r="K776" s="1488" t="s">
        <v>1883</v>
      </c>
      <c r="L776" s="1489">
        <v>1.105</v>
      </c>
      <c r="M776" s="1490" t="s">
        <v>1884</v>
      </c>
      <c r="N776" s="1491">
        <v>2.159545075558E-2</v>
      </c>
      <c r="O776" s="1491">
        <v>5.3859817858600002E-6</v>
      </c>
      <c r="P776" s="1492" t="s">
        <v>1885</v>
      </c>
      <c r="Q776" s="1493" t="s">
        <v>635</v>
      </c>
      <c r="R776" s="1494"/>
      <c r="S776" s="1493">
        <v>998.9</v>
      </c>
      <c r="T776" s="1493" t="s">
        <v>1199</v>
      </c>
      <c r="U776" s="1493">
        <v>4.4800000000000004</v>
      </c>
      <c r="V776" s="1495" t="s">
        <v>1883</v>
      </c>
      <c r="W776" s="1496">
        <v>5.07</v>
      </c>
      <c r="X776" s="1497" t="s">
        <v>1883</v>
      </c>
      <c r="Y776" s="1498">
        <v>0.2338459720394</v>
      </c>
      <c r="Z776" s="1498">
        <v>4.3356752931100102</v>
      </c>
      <c r="AA776" s="1498">
        <v>10.405620703464001</v>
      </c>
      <c r="AB776" s="1498">
        <v>3.5799999999999998E-2</v>
      </c>
      <c r="AC776" s="1499" t="s">
        <v>1199</v>
      </c>
      <c r="AD776" s="1500" t="s">
        <v>635</v>
      </c>
      <c r="AE776" s="1501"/>
      <c r="AF776" s="1502" t="s">
        <v>635</v>
      </c>
      <c r="AG776" s="1501"/>
      <c r="AH776" s="1502">
        <v>2.5000000000000001E-5</v>
      </c>
      <c r="AI776" s="1503" t="s">
        <v>1073</v>
      </c>
      <c r="AJ776" s="1502" t="s">
        <v>635</v>
      </c>
      <c r="AK776" s="1501"/>
      <c r="AL776" s="1503" t="s">
        <v>1127</v>
      </c>
      <c r="AM776" s="1501"/>
      <c r="AN776" s="1504">
        <v>1</v>
      </c>
      <c r="AO776" s="1504" t="s">
        <v>635</v>
      </c>
      <c r="AP776" s="1506">
        <v>30.9</v>
      </c>
    </row>
    <row r="777" spans="1:42" ht="30">
      <c r="A777" s="1507" t="s">
        <v>3335</v>
      </c>
      <c r="B777" s="1508" t="s">
        <v>3336</v>
      </c>
      <c r="C777" s="1509">
        <v>241.36</v>
      </c>
      <c r="D777" s="1510" t="s">
        <v>1883</v>
      </c>
      <c r="E777" s="1511">
        <v>8.7898609975500001E-7</v>
      </c>
      <c r="F777" s="1511">
        <v>2.1500000000000001E-8</v>
      </c>
      <c r="G777" s="1512" t="s">
        <v>1199</v>
      </c>
      <c r="H777" s="1511">
        <v>1.6899999999999999E-6</v>
      </c>
      <c r="I777" s="1512" t="s">
        <v>1883</v>
      </c>
      <c r="J777" s="1513">
        <v>104</v>
      </c>
      <c r="K777" s="1514" t="s">
        <v>1883</v>
      </c>
      <c r="L777" s="1515">
        <v>1.115</v>
      </c>
      <c r="M777" s="1516" t="s">
        <v>1884</v>
      </c>
      <c r="N777" s="1517">
        <v>2.382617706996E-2</v>
      </c>
      <c r="O777" s="1517">
        <v>6.0261163649300001E-6</v>
      </c>
      <c r="P777" s="1518" t="s">
        <v>1885</v>
      </c>
      <c r="Q777" s="1519" t="s">
        <v>635</v>
      </c>
      <c r="R777" s="1520"/>
      <c r="S777" s="1519">
        <v>607</v>
      </c>
      <c r="T777" s="1519" t="s">
        <v>1199</v>
      </c>
      <c r="U777" s="1519">
        <v>3.74</v>
      </c>
      <c r="V777" s="1521" t="s">
        <v>1883</v>
      </c>
      <c r="W777" s="1522">
        <v>25</v>
      </c>
      <c r="X777" s="1523" t="s">
        <v>1883</v>
      </c>
      <c r="Y777" s="1524">
        <v>0.12667623923134999</v>
      </c>
      <c r="Z777" s="1524">
        <v>2.3630055932763101</v>
      </c>
      <c r="AA777" s="1524">
        <v>5.67121342386314</v>
      </c>
      <c r="AB777" s="1524">
        <v>2.12E-2</v>
      </c>
      <c r="AC777" s="1525" t="s">
        <v>1199</v>
      </c>
      <c r="AD777" s="1526" t="s">
        <v>635</v>
      </c>
      <c r="AE777" s="1527"/>
      <c r="AF777" s="1528" t="s">
        <v>635</v>
      </c>
      <c r="AG777" s="1527"/>
      <c r="AH777" s="1528">
        <v>1E-3</v>
      </c>
      <c r="AI777" s="1529" t="s">
        <v>1119</v>
      </c>
      <c r="AJ777" s="1528" t="s">
        <v>635</v>
      </c>
      <c r="AK777" s="1527"/>
      <c r="AL777" s="1527"/>
      <c r="AM777" s="1527"/>
      <c r="AN777" s="1530">
        <v>1</v>
      </c>
      <c r="AO777" s="1531">
        <v>0.1</v>
      </c>
      <c r="AP777" s="1532" t="s">
        <v>635</v>
      </c>
    </row>
    <row r="778" spans="1:42" ht="30">
      <c r="A778" s="1481" t="s">
        <v>3337</v>
      </c>
      <c r="B778" s="1482" t="s">
        <v>3338</v>
      </c>
      <c r="C778" s="1483">
        <v>116.16</v>
      </c>
      <c r="D778" s="1484" t="s">
        <v>1883</v>
      </c>
      <c r="E778" s="1485">
        <v>3.524E-2</v>
      </c>
      <c r="F778" s="1485">
        <v>8.6200000000000003E-4</v>
      </c>
      <c r="G778" s="1486" t="s">
        <v>1199</v>
      </c>
      <c r="H778" s="1485">
        <v>47</v>
      </c>
      <c r="I778" s="1486" t="s">
        <v>1883</v>
      </c>
      <c r="J778" s="1487">
        <v>25</v>
      </c>
      <c r="K778" s="1488" t="s">
        <v>1883</v>
      </c>
      <c r="L778" s="1489" t="s">
        <v>635</v>
      </c>
      <c r="M778" s="1533"/>
      <c r="N778" s="1491">
        <v>7.9808509260140006E-2</v>
      </c>
      <c r="O778" s="1491">
        <v>9.3249942398699999E-6</v>
      </c>
      <c r="P778" s="1492" t="s">
        <v>1885</v>
      </c>
      <c r="Q778" s="1493" t="s">
        <v>635</v>
      </c>
      <c r="R778" s="1494"/>
      <c r="S778" s="1493">
        <v>12.13</v>
      </c>
      <c r="T778" s="1493" t="s">
        <v>1199</v>
      </c>
      <c r="U778" s="1493">
        <v>1.76</v>
      </c>
      <c r="V778" s="1495" t="s">
        <v>1883</v>
      </c>
      <c r="W778" s="1496">
        <v>8333</v>
      </c>
      <c r="X778" s="1497" t="s">
        <v>1883</v>
      </c>
      <c r="Y778" s="1498">
        <v>2.1389698123130001E-2</v>
      </c>
      <c r="Z778" s="1498">
        <v>0.47026726584027001</v>
      </c>
      <c r="AA778" s="1498">
        <v>1.1286414380166501</v>
      </c>
      <c r="AB778" s="1498">
        <v>5.1599999999999997E-3</v>
      </c>
      <c r="AC778" s="1499" t="s">
        <v>1199</v>
      </c>
      <c r="AD778" s="1500">
        <v>5.0000000000000001E-3</v>
      </c>
      <c r="AE778" s="1503" t="s">
        <v>1900</v>
      </c>
      <c r="AF778" s="1502">
        <v>1.3E-6</v>
      </c>
      <c r="AG778" s="1503" t="s">
        <v>1900</v>
      </c>
      <c r="AH778" s="1502" t="s">
        <v>635</v>
      </c>
      <c r="AI778" s="1501"/>
      <c r="AJ778" s="1502" t="s">
        <v>635</v>
      </c>
      <c r="AK778" s="1501"/>
      <c r="AL778" s="1503" t="s">
        <v>1127</v>
      </c>
      <c r="AM778" s="1501"/>
      <c r="AN778" s="1504">
        <v>1</v>
      </c>
      <c r="AO778" s="1504" t="s">
        <v>635</v>
      </c>
      <c r="AP778" s="1506" t="s">
        <v>635</v>
      </c>
    </row>
    <row r="779" spans="1:42" ht="30">
      <c r="A779" s="1481" t="s">
        <v>3339</v>
      </c>
      <c r="B779" s="1482" t="s">
        <v>3340</v>
      </c>
      <c r="C779" s="1483">
        <v>485.8</v>
      </c>
      <c r="D779" s="1484" t="s">
        <v>1883</v>
      </c>
      <c r="E779" s="1485">
        <v>1.2142273098999999E-4</v>
      </c>
      <c r="F779" s="1485">
        <v>2.9699999999999999E-6</v>
      </c>
      <c r="G779" s="1486" t="s">
        <v>1883</v>
      </c>
      <c r="H779" s="1485">
        <v>7.0000000000000005E-8</v>
      </c>
      <c r="I779" s="1486" t="s">
        <v>1199</v>
      </c>
      <c r="J779" s="1487">
        <v>161.72999999999999</v>
      </c>
      <c r="K779" s="1488" t="s">
        <v>1199</v>
      </c>
      <c r="L779" s="1489" t="s">
        <v>635</v>
      </c>
      <c r="M779" s="1533"/>
      <c r="N779" s="1491">
        <v>3.07455259911E-2</v>
      </c>
      <c r="O779" s="1491">
        <v>3.59237198422E-6</v>
      </c>
      <c r="P779" s="1492" t="s">
        <v>1885</v>
      </c>
      <c r="Q779" s="1493" t="s">
        <v>635</v>
      </c>
      <c r="R779" s="1494"/>
      <c r="S779" s="1493">
        <v>13230</v>
      </c>
      <c r="T779" s="1493" t="s">
        <v>1199</v>
      </c>
      <c r="U779" s="1493">
        <v>6.77</v>
      </c>
      <c r="V779" s="1495" t="s">
        <v>1883</v>
      </c>
      <c r="W779" s="1496">
        <v>1.4610000000000001E-3</v>
      </c>
      <c r="X779" s="1497" t="s">
        <v>1883</v>
      </c>
      <c r="Y779" s="1498">
        <v>0.78753727985394995</v>
      </c>
      <c r="Z779" s="1498">
        <v>55.2495505742232</v>
      </c>
      <c r="AA779" s="1498">
        <v>212.66558248201699</v>
      </c>
      <c r="AB779" s="1498">
        <v>9.2899999999999996E-2</v>
      </c>
      <c r="AC779" s="1499" t="s">
        <v>1199</v>
      </c>
      <c r="AD779" s="1500" t="s">
        <v>635</v>
      </c>
      <c r="AE779" s="1501"/>
      <c r="AF779" s="1502" t="s">
        <v>635</v>
      </c>
      <c r="AG779" s="1501"/>
      <c r="AH779" s="1502">
        <v>1E-4</v>
      </c>
      <c r="AI779" s="1503" t="s">
        <v>1119</v>
      </c>
      <c r="AJ779" s="1502" t="s">
        <v>635</v>
      </c>
      <c r="AK779" s="1501"/>
      <c r="AL779" s="1501"/>
      <c r="AM779" s="1501"/>
      <c r="AN779" s="1504">
        <v>1</v>
      </c>
      <c r="AO779" s="1505">
        <v>0.1</v>
      </c>
      <c r="AP779" s="1506" t="s">
        <v>635</v>
      </c>
    </row>
    <row r="780" spans="1:42" ht="30">
      <c r="A780" s="1507" t="s">
        <v>3341</v>
      </c>
      <c r="B780" s="1508" t="s">
        <v>3342</v>
      </c>
      <c r="C780" s="1509">
        <v>215.89</v>
      </c>
      <c r="D780" s="1510" t="s">
        <v>1883</v>
      </c>
      <c r="E780" s="1511">
        <v>4.0883074407200001E-2</v>
      </c>
      <c r="F780" s="1511">
        <v>1E-3</v>
      </c>
      <c r="G780" s="1512" t="s">
        <v>1883</v>
      </c>
      <c r="H780" s="1511">
        <v>5.4000000000000003E-3</v>
      </c>
      <c r="I780" s="1512" t="s">
        <v>1199</v>
      </c>
      <c r="J780" s="1513">
        <v>139.5</v>
      </c>
      <c r="K780" s="1514" t="s">
        <v>1883</v>
      </c>
      <c r="L780" s="1515">
        <v>1.8580000000000001</v>
      </c>
      <c r="M780" s="1516" t="s">
        <v>1884</v>
      </c>
      <c r="N780" s="1517">
        <v>3.1895837522179997E-2</v>
      </c>
      <c r="O780" s="1517">
        <v>8.7530554873799994E-6</v>
      </c>
      <c r="P780" s="1518" t="s">
        <v>1885</v>
      </c>
      <c r="Q780" s="1519" t="s">
        <v>635</v>
      </c>
      <c r="R780" s="1520"/>
      <c r="S780" s="1519">
        <v>2220</v>
      </c>
      <c r="T780" s="1519" t="s">
        <v>1199</v>
      </c>
      <c r="U780" s="1519">
        <v>4.6399999999999997</v>
      </c>
      <c r="V780" s="1521" t="s">
        <v>1883</v>
      </c>
      <c r="W780" s="1522">
        <v>0.59499999999999997</v>
      </c>
      <c r="X780" s="1523" t="s">
        <v>1883</v>
      </c>
      <c r="Y780" s="1524">
        <v>0.66119380668605998</v>
      </c>
      <c r="Z780" s="1524">
        <v>1.7015031193332499</v>
      </c>
      <c r="AA780" s="1524">
        <v>6.6750776208917202</v>
      </c>
      <c r="AB780" s="1524">
        <v>0.11700000000000001</v>
      </c>
      <c r="AC780" s="1525" t="s">
        <v>1199</v>
      </c>
      <c r="AD780" s="1526" t="s">
        <v>635</v>
      </c>
      <c r="AE780" s="1527"/>
      <c r="AF780" s="1528" t="s">
        <v>635</v>
      </c>
      <c r="AG780" s="1527"/>
      <c r="AH780" s="1528">
        <v>3.0000000000000001E-5</v>
      </c>
      <c r="AI780" s="1529" t="s">
        <v>1909</v>
      </c>
      <c r="AJ780" s="1528" t="s">
        <v>635</v>
      </c>
      <c r="AK780" s="1527"/>
      <c r="AL780" s="1529" t="s">
        <v>1127</v>
      </c>
      <c r="AM780" s="1527"/>
      <c r="AN780" s="1530">
        <v>1</v>
      </c>
      <c r="AO780" s="1530" t="s">
        <v>635</v>
      </c>
      <c r="AP780" s="1532" t="s">
        <v>635</v>
      </c>
    </row>
    <row r="781" spans="1:42" ht="30">
      <c r="A781" s="1481" t="s">
        <v>314</v>
      </c>
      <c r="B781" s="1482" t="s">
        <v>3343</v>
      </c>
      <c r="C781" s="1483">
        <v>167.85</v>
      </c>
      <c r="D781" s="1484" t="s">
        <v>1883</v>
      </c>
      <c r="E781" s="1485">
        <v>0.10220768601799</v>
      </c>
      <c r="F781" s="1485">
        <v>2.5000000000000001E-3</v>
      </c>
      <c r="G781" s="1486" t="s">
        <v>1883</v>
      </c>
      <c r="H781" s="1485">
        <v>12</v>
      </c>
      <c r="I781" s="1486" t="s">
        <v>1883</v>
      </c>
      <c r="J781" s="1487">
        <v>-70.2</v>
      </c>
      <c r="K781" s="1488" t="s">
        <v>1883</v>
      </c>
      <c r="L781" s="1489">
        <v>1.5406</v>
      </c>
      <c r="M781" s="1490" t="s">
        <v>1884</v>
      </c>
      <c r="N781" s="1491">
        <v>4.8176070236370001E-2</v>
      </c>
      <c r="O781" s="1491">
        <v>9.0977269942199995E-6</v>
      </c>
      <c r="P781" s="1492" t="s">
        <v>1885</v>
      </c>
      <c r="Q781" s="1493" t="s">
        <v>635</v>
      </c>
      <c r="R781" s="1494"/>
      <c r="S781" s="1493">
        <v>86.03</v>
      </c>
      <c r="T781" s="1493" t="s">
        <v>1199</v>
      </c>
      <c r="U781" s="1493">
        <v>2.93</v>
      </c>
      <c r="V781" s="1495" t="s">
        <v>1883</v>
      </c>
      <c r="W781" s="1496">
        <v>1070</v>
      </c>
      <c r="X781" s="1497" t="s">
        <v>1883</v>
      </c>
      <c r="Y781" s="1498">
        <v>7.9229050112039998E-2</v>
      </c>
      <c r="Z781" s="1498">
        <v>0.91581710267245997</v>
      </c>
      <c r="AA781" s="1498">
        <v>2.1979610464139001</v>
      </c>
      <c r="AB781" s="1498">
        <v>1.5900000000000001E-2</v>
      </c>
      <c r="AC781" s="1499" t="s">
        <v>1199</v>
      </c>
      <c r="AD781" s="1500">
        <v>2.5999999999999999E-2</v>
      </c>
      <c r="AE781" s="1503" t="s">
        <v>1119</v>
      </c>
      <c r="AF781" s="1502">
        <v>7.4000000000000003E-6</v>
      </c>
      <c r="AG781" s="1503" t="s">
        <v>1119</v>
      </c>
      <c r="AH781" s="1502">
        <v>0.03</v>
      </c>
      <c r="AI781" s="1503" t="s">
        <v>1119</v>
      </c>
      <c r="AJ781" s="1502" t="s">
        <v>635</v>
      </c>
      <c r="AK781" s="1501"/>
      <c r="AL781" s="1503" t="s">
        <v>1127</v>
      </c>
      <c r="AM781" s="1501"/>
      <c r="AN781" s="1504">
        <v>1</v>
      </c>
      <c r="AO781" s="1504" t="s">
        <v>635</v>
      </c>
      <c r="AP781" s="1506">
        <v>680</v>
      </c>
    </row>
    <row r="782" spans="1:42" ht="30">
      <c r="A782" s="1481" t="s">
        <v>316</v>
      </c>
      <c r="B782" s="1482" t="s">
        <v>3344</v>
      </c>
      <c r="C782" s="1483">
        <v>167.85</v>
      </c>
      <c r="D782" s="1484" t="s">
        <v>1883</v>
      </c>
      <c r="E782" s="1485">
        <v>1.5004088307439999E-2</v>
      </c>
      <c r="F782" s="1485">
        <v>3.6699999999999998E-4</v>
      </c>
      <c r="G782" s="1486" t="s">
        <v>1883</v>
      </c>
      <c r="H782" s="1485">
        <v>4.62</v>
      </c>
      <c r="I782" s="1486" t="s">
        <v>1883</v>
      </c>
      <c r="J782" s="1487">
        <v>-43.8</v>
      </c>
      <c r="K782" s="1488" t="s">
        <v>1883</v>
      </c>
      <c r="L782" s="1489">
        <v>1.5952999999999999</v>
      </c>
      <c r="M782" s="1490" t="s">
        <v>1884</v>
      </c>
      <c r="N782" s="1491">
        <v>4.8920615325250001E-2</v>
      </c>
      <c r="O782" s="1491">
        <v>9.2901854476699995E-6</v>
      </c>
      <c r="P782" s="1492" t="s">
        <v>1885</v>
      </c>
      <c r="Q782" s="1493" t="s">
        <v>635</v>
      </c>
      <c r="R782" s="1494"/>
      <c r="S782" s="1493">
        <v>94.94</v>
      </c>
      <c r="T782" s="1493" t="s">
        <v>1199</v>
      </c>
      <c r="U782" s="1493">
        <v>2.39</v>
      </c>
      <c r="V782" s="1495" t="s">
        <v>1883</v>
      </c>
      <c r="W782" s="1496">
        <v>2830</v>
      </c>
      <c r="X782" s="1497" t="s">
        <v>1883</v>
      </c>
      <c r="Y782" s="1498">
        <v>3.4581736338209997E-2</v>
      </c>
      <c r="Z782" s="1498">
        <v>0.91581710267245997</v>
      </c>
      <c r="AA782" s="1498">
        <v>2.1979610464139001</v>
      </c>
      <c r="AB782" s="1498">
        <v>6.94E-3</v>
      </c>
      <c r="AC782" s="1499" t="s">
        <v>1199</v>
      </c>
      <c r="AD782" s="1500">
        <v>0.2</v>
      </c>
      <c r="AE782" s="1503" t="s">
        <v>1119</v>
      </c>
      <c r="AF782" s="1502">
        <v>5.8E-5</v>
      </c>
      <c r="AG782" s="1503" t="s">
        <v>1900</v>
      </c>
      <c r="AH782" s="1502">
        <v>0.02</v>
      </c>
      <c r="AI782" s="1503" t="s">
        <v>1119</v>
      </c>
      <c r="AJ782" s="1502" t="s">
        <v>635</v>
      </c>
      <c r="AK782" s="1501"/>
      <c r="AL782" s="1503" t="s">
        <v>1127</v>
      </c>
      <c r="AM782" s="1501"/>
      <c r="AN782" s="1504">
        <v>1</v>
      </c>
      <c r="AO782" s="1504" t="s">
        <v>635</v>
      </c>
      <c r="AP782" s="1506">
        <v>1900</v>
      </c>
    </row>
    <row r="783" spans="1:42" ht="30">
      <c r="A783" s="1507" t="s">
        <v>318</v>
      </c>
      <c r="B783" s="1508" t="s">
        <v>3345</v>
      </c>
      <c r="C783" s="1509">
        <v>165.83</v>
      </c>
      <c r="D783" s="1510" t="s">
        <v>1883</v>
      </c>
      <c r="E783" s="1511">
        <v>0.72363041700735997</v>
      </c>
      <c r="F783" s="1511">
        <v>1.77E-2</v>
      </c>
      <c r="G783" s="1512" t="s">
        <v>1883</v>
      </c>
      <c r="H783" s="1511">
        <v>18.5</v>
      </c>
      <c r="I783" s="1512" t="s">
        <v>1883</v>
      </c>
      <c r="J783" s="1513">
        <v>-22.3</v>
      </c>
      <c r="K783" s="1514" t="s">
        <v>1883</v>
      </c>
      <c r="L783" s="1515">
        <v>1.623</v>
      </c>
      <c r="M783" s="1516" t="s">
        <v>1884</v>
      </c>
      <c r="N783" s="1517">
        <v>5.0466374151020003E-2</v>
      </c>
      <c r="O783" s="1517">
        <v>9.4550759772300007E-6</v>
      </c>
      <c r="P783" s="1518" t="s">
        <v>1885</v>
      </c>
      <c r="Q783" s="1519" t="s">
        <v>635</v>
      </c>
      <c r="R783" s="1520"/>
      <c r="S783" s="1519">
        <v>94.94</v>
      </c>
      <c r="T783" s="1519" t="s">
        <v>1199</v>
      </c>
      <c r="U783" s="1519">
        <v>3.4</v>
      </c>
      <c r="V783" s="1521" t="s">
        <v>1883</v>
      </c>
      <c r="W783" s="1522">
        <v>206</v>
      </c>
      <c r="X783" s="1523" t="s">
        <v>1883</v>
      </c>
      <c r="Y783" s="1524">
        <v>0.16542634303645001</v>
      </c>
      <c r="Z783" s="1524">
        <v>0.89227094155288</v>
      </c>
      <c r="AA783" s="1524">
        <v>2.1414502597269101</v>
      </c>
      <c r="AB783" s="1524">
        <v>3.3399999999999999E-2</v>
      </c>
      <c r="AC783" s="1525" t="s">
        <v>1199</v>
      </c>
      <c r="AD783" s="1526">
        <v>2.0999999999999999E-3</v>
      </c>
      <c r="AE783" s="1529" t="s">
        <v>1119</v>
      </c>
      <c r="AF783" s="1528">
        <v>2.6E-7</v>
      </c>
      <c r="AG783" s="1529" t="s">
        <v>1119</v>
      </c>
      <c r="AH783" s="1528">
        <v>6.0000000000000001E-3</v>
      </c>
      <c r="AI783" s="1529" t="s">
        <v>1119</v>
      </c>
      <c r="AJ783" s="1528">
        <v>0.04</v>
      </c>
      <c r="AK783" s="1529" t="s">
        <v>1119</v>
      </c>
      <c r="AL783" s="1529" t="s">
        <v>1127</v>
      </c>
      <c r="AM783" s="1527"/>
      <c r="AN783" s="1530">
        <v>1</v>
      </c>
      <c r="AO783" s="1530" t="s">
        <v>635</v>
      </c>
      <c r="AP783" s="1532">
        <v>166</v>
      </c>
    </row>
    <row r="784" spans="1:42" ht="30">
      <c r="A784" s="1481" t="s">
        <v>3346</v>
      </c>
      <c r="B784" s="1482" t="s">
        <v>3347</v>
      </c>
      <c r="C784" s="1483">
        <v>231.89</v>
      </c>
      <c r="D784" s="1484" t="s">
        <v>1883</v>
      </c>
      <c r="E784" s="1485">
        <v>3.6140637775999997E-4</v>
      </c>
      <c r="F784" s="1485">
        <v>8.8400000000000001E-6</v>
      </c>
      <c r="G784" s="1486" t="s">
        <v>1199</v>
      </c>
      <c r="H784" s="1485">
        <v>6.6600000000000003E-4</v>
      </c>
      <c r="I784" s="1486" t="s">
        <v>1199</v>
      </c>
      <c r="J784" s="1487">
        <v>70</v>
      </c>
      <c r="K784" s="1488" t="s">
        <v>1883</v>
      </c>
      <c r="L784" s="1489" t="s">
        <v>635</v>
      </c>
      <c r="M784" s="1533"/>
      <c r="N784" s="1491">
        <v>5.0338343568569997E-2</v>
      </c>
      <c r="O784" s="1491">
        <v>5.8816380380099999E-6</v>
      </c>
      <c r="P784" s="1492" t="s">
        <v>1885</v>
      </c>
      <c r="Q784" s="1493" t="s">
        <v>635</v>
      </c>
      <c r="R784" s="1494"/>
      <c r="S784" s="1493">
        <v>280</v>
      </c>
      <c r="T784" s="1493" t="s">
        <v>1959</v>
      </c>
      <c r="U784" s="1493">
        <v>4.45</v>
      </c>
      <c r="V784" s="1495" t="s">
        <v>1883</v>
      </c>
      <c r="W784" s="1496">
        <v>23</v>
      </c>
      <c r="X784" s="1497" t="s">
        <v>1883</v>
      </c>
      <c r="Y784" s="1498">
        <v>0.41583975954843999</v>
      </c>
      <c r="Z784" s="1498">
        <v>2.0913790325471999</v>
      </c>
      <c r="AA784" s="1498">
        <v>5.0193096781132898</v>
      </c>
      <c r="AB784" s="1498">
        <v>7.0999999999999994E-2</v>
      </c>
      <c r="AC784" s="1499" t="s">
        <v>1199</v>
      </c>
      <c r="AD784" s="1500" t="s">
        <v>635</v>
      </c>
      <c r="AE784" s="1501"/>
      <c r="AF784" s="1502" t="s">
        <v>635</v>
      </c>
      <c r="AG784" s="1501"/>
      <c r="AH784" s="1502">
        <v>0.03</v>
      </c>
      <c r="AI784" s="1503" t="s">
        <v>1119</v>
      </c>
      <c r="AJ784" s="1502" t="s">
        <v>635</v>
      </c>
      <c r="AK784" s="1501"/>
      <c r="AL784" s="1501"/>
      <c r="AM784" s="1501"/>
      <c r="AN784" s="1504">
        <v>1</v>
      </c>
      <c r="AO784" s="1505">
        <v>0.1</v>
      </c>
      <c r="AP784" s="1506" t="s">
        <v>635</v>
      </c>
    </row>
    <row r="785" spans="1:42" ht="30">
      <c r="A785" s="1481" t="s">
        <v>3348</v>
      </c>
      <c r="B785" s="1482" t="s">
        <v>3349</v>
      </c>
      <c r="C785" s="1483">
        <v>229.92</v>
      </c>
      <c r="D785" s="1484" t="s">
        <v>1883</v>
      </c>
      <c r="E785" s="1485">
        <v>7.8904333605899993E-3</v>
      </c>
      <c r="F785" s="1485">
        <v>1.93E-4</v>
      </c>
      <c r="G785" s="1486" t="s">
        <v>1883</v>
      </c>
      <c r="H785" s="1485">
        <v>3.8300000000000001E-2</v>
      </c>
      <c r="I785" s="1486" t="s">
        <v>1883</v>
      </c>
      <c r="J785" s="1487">
        <v>40.49</v>
      </c>
      <c r="K785" s="1488" t="s">
        <v>1199</v>
      </c>
      <c r="L785" s="1489">
        <v>1.4462999999999999</v>
      </c>
      <c r="M785" s="1490" t="s">
        <v>1884</v>
      </c>
      <c r="N785" s="1491">
        <v>2.7587260445030001E-2</v>
      </c>
      <c r="O785" s="1491">
        <v>7.2523833604900001E-6</v>
      </c>
      <c r="P785" s="1492" t="s">
        <v>1885</v>
      </c>
      <c r="Q785" s="1493" t="s">
        <v>635</v>
      </c>
      <c r="R785" s="1494"/>
      <c r="S785" s="1493">
        <v>1606</v>
      </c>
      <c r="T785" s="1493" t="s">
        <v>1199</v>
      </c>
      <c r="U785" s="1493">
        <v>4.54</v>
      </c>
      <c r="V785" s="1495" t="s">
        <v>1883</v>
      </c>
      <c r="W785" s="1496">
        <v>4.0389999999999997</v>
      </c>
      <c r="X785" s="1497" t="s">
        <v>1883</v>
      </c>
      <c r="Y785" s="1498">
        <v>0.48755240701467001</v>
      </c>
      <c r="Z785" s="1498">
        <v>2.0389226463654802</v>
      </c>
      <c r="AA785" s="1498">
        <v>4.8934143512771504</v>
      </c>
      <c r="AB785" s="1498">
        <v>8.3599999999999994E-2</v>
      </c>
      <c r="AC785" s="1499" t="s">
        <v>1199</v>
      </c>
      <c r="AD785" s="1500">
        <v>16</v>
      </c>
      <c r="AE785" s="1503" t="s">
        <v>1893</v>
      </c>
      <c r="AF785" s="1502" t="s">
        <v>635</v>
      </c>
      <c r="AG785" s="1501"/>
      <c r="AH785" s="1502">
        <v>6.0000000000000002E-5</v>
      </c>
      <c r="AI785" s="1503" t="s">
        <v>1893</v>
      </c>
      <c r="AJ785" s="1502" t="s">
        <v>635</v>
      </c>
      <c r="AK785" s="1501"/>
      <c r="AL785" s="1503" t="s">
        <v>1127</v>
      </c>
      <c r="AM785" s="1501"/>
      <c r="AN785" s="1504">
        <v>1</v>
      </c>
      <c r="AO785" s="1504" t="s">
        <v>635</v>
      </c>
      <c r="AP785" s="1506" t="s">
        <v>635</v>
      </c>
    </row>
    <row r="786" spans="1:42" ht="30">
      <c r="A786" s="1507" t="s">
        <v>3350</v>
      </c>
      <c r="B786" s="1508" t="s">
        <v>3351</v>
      </c>
      <c r="C786" s="1509">
        <v>322.32</v>
      </c>
      <c r="D786" s="1510" t="s">
        <v>1883</v>
      </c>
      <c r="E786" s="1511">
        <v>1.8192968111E-4</v>
      </c>
      <c r="F786" s="1511">
        <v>4.4499999999999997E-6</v>
      </c>
      <c r="G786" s="1512" t="s">
        <v>1199</v>
      </c>
      <c r="H786" s="1511">
        <v>1.05E-4</v>
      </c>
      <c r="I786" s="1512" t="s">
        <v>1883</v>
      </c>
      <c r="J786" s="1513">
        <v>-32.32</v>
      </c>
      <c r="K786" s="1514" t="s">
        <v>1199</v>
      </c>
      <c r="L786" s="1515">
        <v>1.196</v>
      </c>
      <c r="M786" s="1516" t="s">
        <v>1884</v>
      </c>
      <c r="N786" s="1517">
        <v>2.116145668345E-2</v>
      </c>
      <c r="O786" s="1517">
        <v>5.2836997034299999E-6</v>
      </c>
      <c r="P786" s="1518" t="s">
        <v>1885</v>
      </c>
      <c r="Q786" s="1519" t="s">
        <v>635</v>
      </c>
      <c r="R786" s="1520"/>
      <c r="S786" s="1519">
        <v>265.60000000000002</v>
      </c>
      <c r="T786" s="1519" t="s">
        <v>1199</v>
      </c>
      <c r="U786" s="1519">
        <v>3.99</v>
      </c>
      <c r="V786" s="1521" t="s">
        <v>1883</v>
      </c>
      <c r="W786" s="1522">
        <v>30</v>
      </c>
      <c r="X786" s="1523" t="s">
        <v>1883</v>
      </c>
      <c r="Y786" s="1524">
        <v>7.5265643167520005E-2</v>
      </c>
      <c r="Z786" s="1524">
        <v>6.7118269345310697</v>
      </c>
      <c r="AA786" s="1524">
        <v>16.108384642874601</v>
      </c>
      <c r="AB786" s="1524">
        <v>1.09E-2</v>
      </c>
      <c r="AC786" s="1525" t="s">
        <v>1199</v>
      </c>
      <c r="AD786" s="1526" t="s">
        <v>635</v>
      </c>
      <c r="AE786" s="1527"/>
      <c r="AF786" s="1528" t="s">
        <v>635</v>
      </c>
      <c r="AG786" s="1527"/>
      <c r="AH786" s="1528">
        <v>5.0000000000000001E-4</v>
      </c>
      <c r="AI786" s="1529" t="s">
        <v>1119</v>
      </c>
      <c r="AJ786" s="1528" t="s">
        <v>635</v>
      </c>
      <c r="AK786" s="1527"/>
      <c r="AL786" s="1527"/>
      <c r="AM786" s="1527"/>
      <c r="AN786" s="1530">
        <v>1</v>
      </c>
      <c r="AO786" s="1531">
        <v>0.1</v>
      </c>
      <c r="AP786" s="1532" t="s">
        <v>635</v>
      </c>
    </row>
    <row r="787" spans="1:42" ht="30">
      <c r="A787" s="1481" t="s">
        <v>3352</v>
      </c>
      <c r="B787" s="1482" t="s">
        <v>3353</v>
      </c>
      <c r="C787" s="1483">
        <v>102.03</v>
      </c>
      <c r="D787" s="1484" t="s">
        <v>1883</v>
      </c>
      <c r="E787" s="1485">
        <v>2.0441537203597702</v>
      </c>
      <c r="F787" s="1485">
        <v>0.05</v>
      </c>
      <c r="G787" s="1486" t="s">
        <v>1883</v>
      </c>
      <c r="H787" s="1485">
        <v>4990</v>
      </c>
      <c r="I787" s="1486" t="s">
        <v>1883</v>
      </c>
      <c r="J787" s="1487">
        <v>-101</v>
      </c>
      <c r="K787" s="1488" t="s">
        <v>1883</v>
      </c>
      <c r="L787" s="1489">
        <v>1.2072000000000001</v>
      </c>
      <c r="M787" s="1490" t="s">
        <v>1884</v>
      </c>
      <c r="N787" s="1491">
        <v>8.2306639888049996E-2</v>
      </c>
      <c r="O787" s="1491">
        <v>1.0595039389999999E-5</v>
      </c>
      <c r="P787" s="1492" t="s">
        <v>1885</v>
      </c>
      <c r="Q787" s="1493" t="s">
        <v>635</v>
      </c>
      <c r="R787" s="1494"/>
      <c r="S787" s="1493">
        <v>86.03</v>
      </c>
      <c r="T787" s="1493" t="s">
        <v>1199</v>
      </c>
      <c r="U787" s="1493">
        <v>1.68</v>
      </c>
      <c r="V787" s="1495" t="s">
        <v>1883</v>
      </c>
      <c r="W787" s="1496">
        <v>2040</v>
      </c>
      <c r="X787" s="1497" t="s">
        <v>1883</v>
      </c>
      <c r="Y787" s="1498">
        <v>2.128977902948E-2</v>
      </c>
      <c r="Z787" s="1498">
        <v>0.39193743817808002</v>
      </c>
      <c r="AA787" s="1498">
        <v>0.94064985162739001</v>
      </c>
      <c r="AB787" s="1498">
        <v>5.4799999999999996E-3</v>
      </c>
      <c r="AC787" s="1499" t="s">
        <v>1199</v>
      </c>
      <c r="AD787" s="1500" t="s">
        <v>635</v>
      </c>
      <c r="AE787" s="1501"/>
      <c r="AF787" s="1502" t="s">
        <v>635</v>
      </c>
      <c r="AG787" s="1501"/>
      <c r="AH787" s="1502" t="s">
        <v>635</v>
      </c>
      <c r="AI787" s="1501"/>
      <c r="AJ787" s="1502">
        <v>80</v>
      </c>
      <c r="AK787" s="1503" t="s">
        <v>1119</v>
      </c>
      <c r="AL787" s="1503" t="s">
        <v>1127</v>
      </c>
      <c r="AM787" s="1501"/>
      <c r="AN787" s="1504">
        <v>1</v>
      </c>
      <c r="AO787" s="1504" t="s">
        <v>635</v>
      </c>
      <c r="AP787" s="1506">
        <v>2050</v>
      </c>
    </row>
    <row r="788" spans="1:42" ht="30">
      <c r="A788" s="1481" t="s">
        <v>3354</v>
      </c>
      <c r="B788" s="1482" t="s">
        <v>3355</v>
      </c>
      <c r="C788" s="1483">
        <v>151.15</v>
      </c>
      <c r="D788" s="1484" t="s">
        <v>2932</v>
      </c>
      <c r="E788" s="1485">
        <v>3.5240000000000001E-6</v>
      </c>
      <c r="F788" s="1485">
        <v>8.6900000000000004E-8</v>
      </c>
      <c r="G788" s="1486" t="s">
        <v>2932</v>
      </c>
      <c r="H788" s="1485">
        <v>0.36299999999999999</v>
      </c>
      <c r="I788" s="1486" t="s">
        <v>2932</v>
      </c>
      <c r="J788" s="1487">
        <v>25.6</v>
      </c>
      <c r="K788" s="1488" t="s">
        <v>1199</v>
      </c>
      <c r="L788" s="1489">
        <v>1.1200000000000001</v>
      </c>
      <c r="M788" s="1490" t="s">
        <v>2932</v>
      </c>
      <c r="N788" s="1491">
        <v>5.0262062598510002E-2</v>
      </c>
      <c r="O788" s="1491">
        <v>8.0012473110699996E-6</v>
      </c>
      <c r="P788" s="1492" t="s">
        <v>1885</v>
      </c>
      <c r="Q788" s="1493" t="s">
        <v>635</v>
      </c>
      <c r="R788" s="1494"/>
      <c r="S788" s="1493" t="s">
        <v>635</v>
      </c>
      <c r="T788" s="1494"/>
      <c r="U788" s="1493">
        <v>-1.32</v>
      </c>
      <c r="V788" s="1495" t="s">
        <v>1199</v>
      </c>
      <c r="W788" s="1496">
        <v>6.6</v>
      </c>
      <c r="X788" s="1497" t="s">
        <v>1199</v>
      </c>
      <c r="Y788" s="1498">
        <v>1.3937663588E-4</v>
      </c>
      <c r="Z788" s="1498">
        <v>0.73839500406195002</v>
      </c>
      <c r="AA788" s="1498">
        <v>1.7721480097486799</v>
      </c>
      <c r="AB788" s="1498">
        <v>2.9475368949999998E-5</v>
      </c>
      <c r="AC788" s="1499" t="s">
        <v>1203</v>
      </c>
      <c r="AD788" s="1500" t="s">
        <v>635</v>
      </c>
      <c r="AE788" s="1501"/>
      <c r="AF788" s="1502" t="s">
        <v>635</v>
      </c>
      <c r="AG788" s="1501"/>
      <c r="AH788" s="1502">
        <v>1E-4</v>
      </c>
      <c r="AI788" s="1503" t="s">
        <v>1893</v>
      </c>
      <c r="AJ788" s="1502" t="s">
        <v>635</v>
      </c>
      <c r="AK788" s="1501"/>
      <c r="AL788" s="1501"/>
      <c r="AM788" s="1501"/>
      <c r="AN788" s="1504">
        <v>1</v>
      </c>
      <c r="AO788" s="1505">
        <v>0.1</v>
      </c>
      <c r="AP788" s="1506" t="s">
        <v>635</v>
      </c>
    </row>
    <row r="789" spans="1:42" ht="45">
      <c r="A789" s="1507" t="s">
        <v>3356</v>
      </c>
      <c r="B789" s="1508" t="s">
        <v>3357</v>
      </c>
      <c r="C789" s="1509">
        <v>287.14999999999998</v>
      </c>
      <c r="D789" s="1510" t="s">
        <v>1883</v>
      </c>
      <c r="E789" s="1511">
        <v>1.10793131644E-7</v>
      </c>
      <c r="F789" s="1511">
        <v>2.7099999999999999E-9</v>
      </c>
      <c r="G789" s="1512" t="s">
        <v>1883</v>
      </c>
      <c r="H789" s="1511">
        <v>5.6599999999999997E-8</v>
      </c>
      <c r="I789" s="1512" t="s">
        <v>1883</v>
      </c>
      <c r="J789" s="1513">
        <v>131.5</v>
      </c>
      <c r="K789" s="1514" t="s">
        <v>1883</v>
      </c>
      <c r="L789" s="1515">
        <v>1.57</v>
      </c>
      <c r="M789" s="1516" t="s">
        <v>1884</v>
      </c>
      <c r="N789" s="1517">
        <v>2.5562607113559999E-2</v>
      </c>
      <c r="O789" s="1517">
        <v>6.6672427936E-6</v>
      </c>
      <c r="P789" s="1518" t="s">
        <v>1885</v>
      </c>
      <c r="Q789" s="1519" t="s">
        <v>635</v>
      </c>
      <c r="R789" s="1520"/>
      <c r="S789" s="1519">
        <v>4605</v>
      </c>
      <c r="T789" s="1519" t="s">
        <v>1199</v>
      </c>
      <c r="U789" s="1519">
        <v>1.64</v>
      </c>
      <c r="V789" s="1521" t="s">
        <v>1883</v>
      </c>
      <c r="W789" s="1522">
        <v>74</v>
      </c>
      <c r="X789" s="1523" t="s">
        <v>1883</v>
      </c>
      <c r="Y789" s="1524">
        <v>3.0892951600299998E-3</v>
      </c>
      <c r="Z789" s="1524">
        <v>4.2647025870452699</v>
      </c>
      <c r="AA789" s="1524">
        <v>10.235286208908599</v>
      </c>
      <c r="AB789" s="1524">
        <v>4.7399999999999997E-4</v>
      </c>
      <c r="AC789" s="1525" t="s">
        <v>1199</v>
      </c>
      <c r="AD789" s="1526" t="s">
        <v>635</v>
      </c>
      <c r="AE789" s="1527"/>
      <c r="AF789" s="1528" t="s">
        <v>635</v>
      </c>
      <c r="AG789" s="1527"/>
      <c r="AH789" s="1528">
        <v>2E-3</v>
      </c>
      <c r="AI789" s="1529" t="s">
        <v>1909</v>
      </c>
      <c r="AJ789" s="1528" t="s">
        <v>635</v>
      </c>
      <c r="AK789" s="1527"/>
      <c r="AL789" s="1527"/>
      <c r="AM789" s="1527"/>
      <c r="AN789" s="1530">
        <v>1</v>
      </c>
      <c r="AO789" s="1558">
        <v>6.4999999999999997E-4</v>
      </c>
      <c r="AP789" s="1532" t="s">
        <v>635</v>
      </c>
    </row>
    <row r="790" spans="1:42" ht="30">
      <c r="A790" s="1481" t="s">
        <v>3358</v>
      </c>
      <c r="B790" s="1482" t="s">
        <v>3359</v>
      </c>
      <c r="C790" s="1483">
        <v>456.76499999999999</v>
      </c>
      <c r="D790" s="1484" t="s">
        <v>1884</v>
      </c>
      <c r="E790" s="1485" t="s">
        <v>635</v>
      </c>
      <c r="F790" s="1485" t="s">
        <v>635</v>
      </c>
      <c r="G790" s="1536"/>
      <c r="H790" s="1485" t="s">
        <v>635</v>
      </c>
      <c r="I790" s="1536"/>
      <c r="J790" s="1487">
        <v>834</v>
      </c>
      <c r="K790" s="1488" t="s">
        <v>1884</v>
      </c>
      <c r="L790" s="1489">
        <v>10.199999999999999</v>
      </c>
      <c r="M790" s="1490" t="s">
        <v>1884</v>
      </c>
      <c r="N790" s="1491">
        <v>4.6047054061000001E-2</v>
      </c>
      <c r="O790" s="1491">
        <v>1.5510156630000001E-5</v>
      </c>
      <c r="P790" s="1492" t="s">
        <v>1885</v>
      </c>
      <c r="Q790" s="1493" t="s">
        <v>635</v>
      </c>
      <c r="R790" s="1494"/>
      <c r="S790" s="1493" t="s">
        <v>635</v>
      </c>
      <c r="T790" s="1494"/>
      <c r="U790" s="1493" t="s">
        <v>635</v>
      </c>
      <c r="V790" s="1481"/>
      <c r="W790" s="1496" t="s">
        <v>635</v>
      </c>
      <c r="X790" s="1537"/>
      <c r="Y790" s="1498">
        <v>8.2200235390299994E-3</v>
      </c>
      <c r="Z790" s="1498">
        <v>37.995551237714501</v>
      </c>
      <c r="AA790" s="1498">
        <v>91.189322970514695</v>
      </c>
      <c r="AB790" s="1498">
        <v>1E-3</v>
      </c>
      <c r="AC790" s="1499" t="s">
        <v>1203</v>
      </c>
      <c r="AD790" s="1500" t="s">
        <v>635</v>
      </c>
      <c r="AE790" s="1501"/>
      <c r="AF790" s="1502" t="s">
        <v>635</v>
      </c>
      <c r="AG790" s="1501"/>
      <c r="AH790" s="1502">
        <v>2.0000000000000002E-5</v>
      </c>
      <c r="AI790" s="1503" t="s">
        <v>2111</v>
      </c>
      <c r="AJ790" s="1502" t="s">
        <v>635</v>
      </c>
      <c r="AK790" s="1501"/>
      <c r="AL790" s="1501"/>
      <c r="AM790" s="1501"/>
      <c r="AN790" s="1504">
        <v>1</v>
      </c>
      <c r="AO790" s="1504" t="s">
        <v>635</v>
      </c>
      <c r="AP790" s="1506" t="s">
        <v>635</v>
      </c>
    </row>
    <row r="791" spans="1:42" ht="30">
      <c r="A791" s="1481" t="s">
        <v>3360</v>
      </c>
      <c r="B791" s="1482" t="s">
        <v>3361</v>
      </c>
      <c r="C791" s="1483">
        <v>267.38</v>
      </c>
      <c r="D791" s="1484" t="s">
        <v>1883</v>
      </c>
      <c r="E791" s="1485" t="s">
        <v>635</v>
      </c>
      <c r="F791" s="1485" t="s">
        <v>635</v>
      </c>
      <c r="G791" s="1536"/>
      <c r="H791" s="1485" t="s">
        <v>635</v>
      </c>
      <c r="I791" s="1536"/>
      <c r="J791" s="1487">
        <v>206</v>
      </c>
      <c r="K791" s="1488" t="s">
        <v>1883</v>
      </c>
      <c r="L791" s="1489">
        <v>5.55</v>
      </c>
      <c r="M791" s="1490" t="s">
        <v>1884</v>
      </c>
      <c r="N791" s="1491">
        <v>4.568049428649E-2</v>
      </c>
      <c r="O791" s="1491">
        <v>1.4844658459999999E-5</v>
      </c>
      <c r="P791" s="1492" t="s">
        <v>1885</v>
      </c>
      <c r="Q791" s="1493" t="s">
        <v>635</v>
      </c>
      <c r="R791" s="1494"/>
      <c r="S791" s="1493" t="s">
        <v>635</v>
      </c>
      <c r="T791" s="1494"/>
      <c r="U791" s="1493" t="s">
        <v>635</v>
      </c>
      <c r="V791" s="1481"/>
      <c r="W791" s="1496">
        <v>95500</v>
      </c>
      <c r="X791" s="1497" t="s">
        <v>1883</v>
      </c>
      <c r="Y791" s="1498">
        <v>6.2891378135500001E-3</v>
      </c>
      <c r="Z791" s="1498">
        <v>3.3050402253736002</v>
      </c>
      <c r="AA791" s="1498">
        <v>7.93209654089664</v>
      </c>
      <c r="AB791" s="1498">
        <v>1E-3</v>
      </c>
      <c r="AC791" s="1499" t="s">
        <v>1203</v>
      </c>
      <c r="AD791" s="1500" t="s">
        <v>635</v>
      </c>
      <c r="AE791" s="1501"/>
      <c r="AF791" s="1502" t="s">
        <v>635</v>
      </c>
      <c r="AG791" s="1501"/>
      <c r="AH791" s="1502">
        <v>1.0000000000000001E-5</v>
      </c>
      <c r="AI791" s="1503" t="s">
        <v>1893</v>
      </c>
      <c r="AJ791" s="1502" t="s">
        <v>635</v>
      </c>
      <c r="AK791" s="1501"/>
      <c r="AL791" s="1501"/>
      <c r="AM791" s="1501"/>
      <c r="AN791" s="1504">
        <v>1</v>
      </c>
      <c r="AO791" s="1504" t="s">
        <v>635</v>
      </c>
      <c r="AP791" s="1506" t="s">
        <v>635</v>
      </c>
    </row>
    <row r="792" spans="1:42" ht="30">
      <c r="A792" s="1507" t="s">
        <v>320</v>
      </c>
      <c r="B792" s="1508" t="s">
        <v>3362</v>
      </c>
      <c r="C792" s="1509">
        <v>204.38</v>
      </c>
      <c r="D792" s="1510" t="s">
        <v>1199</v>
      </c>
      <c r="E792" s="1511" t="s">
        <v>635</v>
      </c>
      <c r="F792" s="1511" t="s">
        <v>635</v>
      </c>
      <c r="G792" s="1534"/>
      <c r="H792" s="1511" t="s">
        <v>635</v>
      </c>
      <c r="I792" s="1534"/>
      <c r="J792" s="1513">
        <v>303.5</v>
      </c>
      <c r="K792" s="1514" t="s">
        <v>1883</v>
      </c>
      <c r="L792" s="1515">
        <v>11.8</v>
      </c>
      <c r="M792" s="1516" t="s">
        <v>1884</v>
      </c>
      <c r="N792" s="1517">
        <v>6.7748058159589994E-2</v>
      </c>
      <c r="O792" s="1517">
        <v>2.7424450790000001E-5</v>
      </c>
      <c r="P792" s="1518" t="s">
        <v>1885</v>
      </c>
      <c r="Q792" s="1519">
        <v>71</v>
      </c>
      <c r="R792" s="1519" t="s">
        <v>1959</v>
      </c>
      <c r="S792" s="1519" t="s">
        <v>635</v>
      </c>
      <c r="T792" s="1520"/>
      <c r="U792" s="1519" t="s">
        <v>635</v>
      </c>
      <c r="V792" s="1507"/>
      <c r="W792" s="1522" t="s">
        <v>635</v>
      </c>
      <c r="X792" s="1535"/>
      <c r="Y792" s="1524">
        <v>5.4985205110700004E-3</v>
      </c>
      <c r="Z792" s="1524">
        <v>1.46681975246134</v>
      </c>
      <c r="AA792" s="1524">
        <v>3.5203674059072099</v>
      </c>
      <c r="AB792" s="1524">
        <v>1E-3</v>
      </c>
      <c r="AC792" s="1525" t="s">
        <v>1203</v>
      </c>
      <c r="AD792" s="1526" t="s">
        <v>635</v>
      </c>
      <c r="AE792" s="1527"/>
      <c r="AF792" s="1528" t="s">
        <v>635</v>
      </c>
      <c r="AG792" s="1527"/>
      <c r="AH792" s="1528">
        <v>1.0000000000000001E-5</v>
      </c>
      <c r="AI792" s="1529" t="s">
        <v>1893</v>
      </c>
      <c r="AJ792" s="1528" t="s">
        <v>635</v>
      </c>
      <c r="AK792" s="1527"/>
      <c r="AL792" s="1527"/>
      <c r="AM792" s="1527"/>
      <c r="AN792" s="1530">
        <v>1</v>
      </c>
      <c r="AO792" s="1530" t="s">
        <v>635</v>
      </c>
      <c r="AP792" s="1532" t="s">
        <v>635</v>
      </c>
    </row>
    <row r="793" spans="1:42" ht="30">
      <c r="A793" s="1481" t="s">
        <v>3363</v>
      </c>
      <c r="B793" s="1482" t="s">
        <v>3364</v>
      </c>
      <c r="C793" s="1483">
        <v>263.42</v>
      </c>
      <c r="D793" s="1484" t="s">
        <v>1883</v>
      </c>
      <c r="E793" s="1485" t="s">
        <v>635</v>
      </c>
      <c r="F793" s="1485" t="s">
        <v>635</v>
      </c>
      <c r="G793" s="1536"/>
      <c r="H793" s="1485">
        <v>14.7</v>
      </c>
      <c r="I793" s="1486" t="s">
        <v>1883</v>
      </c>
      <c r="J793" s="1487">
        <v>131</v>
      </c>
      <c r="K793" s="1488" t="s">
        <v>1884</v>
      </c>
      <c r="L793" s="1489">
        <v>3.68</v>
      </c>
      <c r="M793" s="1490" t="s">
        <v>1884</v>
      </c>
      <c r="N793" s="1491">
        <v>3.8883008188120002E-2</v>
      </c>
      <c r="O793" s="1491">
        <v>1.170553359E-5</v>
      </c>
      <c r="P793" s="1492" t="s">
        <v>1885</v>
      </c>
      <c r="Q793" s="1493" t="s">
        <v>635</v>
      </c>
      <c r="R793" s="1494"/>
      <c r="S793" s="1493">
        <v>1.508</v>
      </c>
      <c r="T793" s="1493" t="s">
        <v>1199</v>
      </c>
      <c r="U793" s="1493">
        <v>-0.17</v>
      </c>
      <c r="V793" s="1495" t="s">
        <v>1883</v>
      </c>
      <c r="W793" s="1496">
        <v>28030</v>
      </c>
      <c r="X793" s="1497" t="s">
        <v>1883</v>
      </c>
      <c r="Y793" s="1498">
        <v>2.4907143357999999E-4</v>
      </c>
      <c r="Z793" s="1498">
        <v>3.14051411457304</v>
      </c>
      <c r="AA793" s="1498">
        <v>7.5372338749752901</v>
      </c>
      <c r="AB793" s="1498">
        <v>3.9900000000000001E-5</v>
      </c>
      <c r="AC793" s="1499" t="s">
        <v>1199</v>
      </c>
      <c r="AD793" s="1500" t="s">
        <v>635</v>
      </c>
      <c r="AE793" s="1501"/>
      <c r="AF793" s="1502" t="s">
        <v>635</v>
      </c>
      <c r="AG793" s="1501"/>
      <c r="AH793" s="1502">
        <v>1.0000000000000001E-5</v>
      </c>
      <c r="AI793" s="1503" t="s">
        <v>1893</v>
      </c>
      <c r="AJ793" s="1502" t="s">
        <v>635</v>
      </c>
      <c r="AK793" s="1501"/>
      <c r="AL793" s="1503" t="s">
        <v>1127</v>
      </c>
      <c r="AM793" s="1501"/>
      <c r="AN793" s="1504">
        <v>1</v>
      </c>
      <c r="AO793" s="1504" t="s">
        <v>635</v>
      </c>
      <c r="AP793" s="1506" t="s">
        <v>635</v>
      </c>
    </row>
    <row r="794" spans="1:42" ht="30">
      <c r="A794" s="1481" t="s">
        <v>3365</v>
      </c>
      <c r="B794" s="1482" t="s">
        <v>3366</v>
      </c>
      <c r="C794" s="1483">
        <v>468.75</v>
      </c>
      <c r="D794" s="1484" t="s">
        <v>1883</v>
      </c>
      <c r="E794" s="1485" t="s">
        <v>635</v>
      </c>
      <c r="F794" s="1485" t="s">
        <v>635</v>
      </c>
      <c r="G794" s="1536"/>
      <c r="H794" s="1485">
        <v>9.9999999999999995E-7</v>
      </c>
      <c r="I794" s="1486" t="s">
        <v>1890</v>
      </c>
      <c r="J794" s="1487">
        <v>272</v>
      </c>
      <c r="K794" s="1488" t="s">
        <v>1883</v>
      </c>
      <c r="L794" s="1489">
        <v>7.11</v>
      </c>
      <c r="M794" s="1490" t="s">
        <v>1884</v>
      </c>
      <c r="N794" s="1491">
        <v>3.934489979598E-2</v>
      </c>
      <c r="O794" s="1491">
        <v>1.229783788E-5</v>
      </c>
      <c r="P794" s="1492" t="s">
        <v>1885</v>
      </c>
      <c r="Q794" s="1493" t="s">
        <v>635</v>
      </c>
      <c r="R794" s="1494"/>
      <c r="S794" s="1493">
        <v>2.8769999999999998</v>
      </c>
      <c r="T794" s="1493" t="s">
        <v>1199</v>
      </c>
      <c r="U794" s="1493">
        <v>-0.86</v>
      </c>
      <c r="V794" s="1495" t="s">
        <v>1883</v>
      </c>
      <c r="W794" s="1496">
        <v>52000</v>
      </c>
      <c r="X794" s="1497" t="s">
        <v>1883</v>
      </c>
      <c r="Y794" s="1498">
        <v>8.1772783318899994E-6</v>
      </c>
      <c r="Z794" s="1498">
        <v>44.345417663313498</v>
      </c>
      <c r="AA794" s="1498">
        <v>106.429002391952</v>
      </c>
      <c r="AB794" s="1498">
        <v>9.8200000000000008E-7</v>
      </c>
      <c r="AC794" s="1499" t="s">
        <v>1199</v>
      </c>
      <c r="AD794" s="1500" t="s">
        <v>635</v>
      </c>
      <c r="AE794" s="1501"/>
      <c r="AF794" s="1502" t="s">
        <v>635</v>
      </c>
      <c r="AG794" s="1501"/>
      <c r="AH794" s="1502">
        <v>2.0000000000000002E-5</v>
      </c>
      <c r="AI794" s="1503" t="s">
        <v>1893</v>
      </c>
      <c r="AJ794" s="1502" t="s">
        <v>635</v>
      </c>
      <c r="AK794" s="1501"/>
      <c r="AL794" s="1501"/>
      <c r="AM794" s="1501"/>
      <c r="AN794" s="1504">
        <v>1</v>
      </c>
      <c r="AO794" s="1505">
        <v>0.1</v>
      </c>
      <c r="AP794" s="1506" t="s">
        <v>635</v>
      </c>
    </row>
    <row r="795" spans="1:42" ht="30">
      <c r="A795" s="1507" t="s">
        <v>3367</v>
      </c>
      <c r="B795" s="1508" t="s">
        <v>3368</v>
      </c>
      <c r="C795" s="1509">
        <v>239.82</v>
      </c>
      <c r="D795" s="1510" t="s">
        <v>1883</v>
      </c>
      <c r="E795" s="1511" t="s">
        <v>635</v>
      </c>
      <c r="F795" s="1511" t="s">
        <v>635</v>
      </c>
      <c r="G795" s="1534"/>
      <c r="H795" s="1511" t="s">
        <v>635</v>
      </c>
      <c r="I795" s="1534"/>
      <c r="J795" s="1513">
        <v>430</v>
      </c>
      <c r="K795" s="1514" t="s">
        <v>1883</v>
      </c>
      <c r="L795" s="1515">
        <v>7</v>
      </c>
      <c r="M795" s="1516" t="s">
        <v>1884</v>
      </c>
      <c r="N795" s="1517">
        <v>5.2457170942000003E-2</v>
      </c>
      <c r="O795" s="1517">
        <v>1.8213749379999999E-5</v>
      </c>
      <c r="P795" s="1518" t="s">
        <v>1885</v>
      </c>
      <c r="Q795" s="1519" t="s">
        <v>635</v>
      </c>
      <c r="R795" s="1520"/>
      <c r="S795" s="1519" t="s">
        <v>635</v>
      </c>
      <c r="T795" s="1520"/>
      <c r="U795" s="1519" t="s">
        <v>635</v>
      </c>
      <c r="V795" s="1507"/>
      <c r="W795" s="1522">
        <v>2900</v>
      </c>
      <c r="X795" s="1523" t="s">
        <v>1883</v>
      </c>
      <c r="Y795" s="1524">
        <v>5.9562010846599999E-3</v>
      </c>
      <c r="Z795" s="1524">
        <v>2.3165450459591699</v>
      </c>
      <c r="AA795" s="1524">
        <v>5.5597081103020098</v>
      </c>
      <c r="AB795" s="1524">
        <v>1E-3</v>
      </c>
      <c r="AC795" s="1525" t="s">
        <v>1203</v>
      </c>
      <c r="AD795" s="1526" t="s">
        <v>635</v>
      </c>
      <c r="AE795" s="1527"/>
      <c r="AF795" s="1528" t="s">
        <v>635</v>
      </c>
      <c r="AG795" s="1527"/>
      <c r="AH795" s="1528">
        <v>1.0000000000000001E-5</v>
      </c>
      <c r="AI795" s="1529" t="s">
        <v>1893</v>
      </c>
      <c r="AJ795" s="1528" t="s">
        <v>635</v>
      </c>
      <c r="AK795" s="1527"/>
      <c r="AL795" s="1527"/>
      <c r="AM795" s="1527"/>
      <c r="AN795" s="1530">
        <v>1</v>
      </c>
      <c r="AO795" s="1530" t="s">
        <v>635</v>
      </c>
      <c r="AP795" s="1532" t="s">
        <v>635</v>
      </c>
    </row>
    <row r="796" spans="1:42" ht="30">
      <c r="A796" s="1481" t="s">
        <v>3369</v>
      </c>
      <c r="B796" s="1482" t="s">
        <v>3370</v>
      </c>
      <c r="C796" s="1483">
        <v>283.33999999999997</v>
      </c>
      <c r="D796" s="1484" t="s">
        <v>1199</v>
      </c>
      <c r="E796" s="1485" t="s">
        <v>635</v>
      </c>
      <c r="F796" s="1485" t="s">
        <v>635</v>
      </c>
      <c r="G796" s="1536"/>
      <c r="H796" s="1485" t="s">
        <v>635</v>
      </c>
      <c r="I796" s="1536"/>
      <c r="J796" s="1487">
        <v>330</v>
      </c>
      <c r="K796" s="1488" t="s">
        <v>1884</v>
      </c>
      <c r="L796" s="1489" t="s">
        <v>635</v>
      </c>
      <c r="M796" s="1533"/>
      <c r="N796" s="1491">
        <v>4.4043484876239998E-2</v>
      </c>
      <c r="O796" s="1491">
        <v>5.1461334960699998E-6</v>
      </c>
      <c r="P796" s="1492" t="s">
        <v>1885</v>
      </c>
      <c r="Q796" s="1493" t="s">
        <v>635</v>
      </c>
      <c r="R796" s="1494"/>
      <c r="S796" s="1493" t="s">
        <v>635</v>
      </c>
      <c r="T796" s="1494"/>
      <c r="U796" s="1493" t="s">
        <v>635</v>
      </c>
      <c r="V796" s="1481"/>
      <c r="W796" s="1496" t="s">
        <v>635</v>
      </c>
      <c r="X796" s="1537"/>
      <c r="Y796" s="1498">
        <v>6.4741177919000002E-3</v>
      </c>
      <c r="Z796" s="1498">
        <v>4.0602497624533997</v>
      </c>
      <c r="AA796" s="1498">
        <v>9.7445994298881509</v>
      </c>
      <c r="AB796" s="1498">
        <v>1E-3</v>
      </c>
      <c r="AC796" s="1499" t="s">
        <v>1203</v>
      </c>
      <c r="AD796" s="1500" t="s">
        <v>635</v>
      </c>
      <c r="AE796" s="1501"/>
      <c r="AF796" s="1502" t="s">
        <v>635</v>
      </c>
      <c r="AG796" s="1501"/>
      <c r="AH796" s="1502">
        <v>1.0000000000000001E-5</v>
      </c>
      <c r="AI796" s="1503" t="s">
        <v>2111</v>
      </c>
      <c r="AJ796" s="1502" t="s">
        <v>635</v>
      </c>
      <c r="AK796" s="1501"/>
      <c r="AL796" s="1501"/>
      <c r="AM796" s="1501"/>
      <c r="AN796" s="1504">
        <v>1</v>
      </c>
      <c r="AO796" s="1504" t="s">
        <v>635</v>
      </c>
      <c r="AP796" s="1506" t="s">
        <v>635</v>
      </c>
    </row>
    <row r="797" spans="1:42" ht="30">
      <c r="A797" s="1481" t="s">
        <v>3371</v>
      </c>
      <c r="B797" s="1482" t="s">
        <v>3372</v>
      </c>
      <c r="C797" s="1483">
        <v>504.8</v>
      </c>
      <c r="D797" s="1484" t="s">
        <v>1883</v>
      </c>
      <c r="E797" s="1485" t="s">
        <v>635</v>
      </c>
      <c r="F797" s="1485" t="s">
        <v>635</v>
      </c>
      <c r="G797" s="1536"/>
      <c r="H797" s="1485" t="s">
        <v>635</v>
      </c>
      <c r="I797" s="1536"/>
      <c r="J797" s="1487">
        <v>632</v>
      </c>
      <c r="K797" s="1488" t="s">
        <v>1883</v>
      </c>
      <c r="L797" s="1489">
        <v>6.77</v>
      </c>
      <c r="M797" s="1490" t="s">
        <v>1884</v>
      </c>
      <c r="N797" s="1491">
        <v>3.7292588762760003E-2</v>
      </c>
      <c r="O797" s="1491">
        <v>1.142229481E-5</v>
      </c>
      <c r="P797" s="1492" t="s">
        <v>1885</v>
      </c>
      <c r="Q797" s="1493" t="s">
        <v>635</v>
      </c>
      <c r="R797" s="1494"/>
      <c r="S797" s="1493" t="s">
        <v>635</v>
      </c>
      <c r="T797" s="1494"/>
      <c r="U797" s="1493" t="s">
        <v>635</v>
      </c>
      <c r="V797" s="1481"/>
      <c r="W797" s="1496">
        <v>54700</v>
      </c>
      <c r="X797" s="1497" t="s">
        <v>1884</v>
      </c>
      <c r="Y797" s="1498">
        <v>8.6414441046099993E-3</v>
      </c>
      <c r="Z797" s="1498">
        <v>70.587654223775303</v>
      </c>
      <c r="AA797" s="1498">
        <v>169.41037013706099</v>
      </c>
      <c r="AB797" s="1498">
        <v>1E-3</v>
      </c>
      <c r="AC797" s="1499" t="s">
        <v>1203</v>
      </c>
      <c r="AD797" s="1500" t="s">
        <v>635</v>
      </c>
      <c r="AE797" s="1501"/>
      <c r="AF797" s="1502" t="s">
        <v>635</v>
      </c>
      <c r="AG797" s="1501"/>
      <c r="AH797" s="1502">
        <v>2.0000000000000002E-5</v>
      </c>
      <c r="AI797" s="1503" t="s">
        <v>1893</v>
      </c>
      <c r="AJ797" s="1502" t="s">
        <v>635</v>
      </c>
      <c r="AK797" s="1501"/>
      <c r="AL797" s="1501"/>
      <c r="AM797" s="1501"/>
      <c r="AN797" s="1504">
        <v>1</v>
      </c>
      <c r="AO797" s="1504" t="s">
        <v>635</v>
      </c>
      <c r="AP797" s="1506" t="s">
        <v>635</v>
      </c>
    </row>
    <row r="798" spans="1:42" ht="30">
      <c r="A798" s="1507" t="s">
        <v>3373</v>
      </c>
      <c r="B798" s="1508" t="s">
        <v>3374</v>
      </c>
      <c r="C798" s="1509">
        <v>387.4</v>
      </c>
      <c r="D798" s="1510" t="s">
        <v>1883</v>
      </c>
      <c r="E798" s="1511">
        <v>1.6680294358E-12</v>
      </c>
      <c r="F798" s="1511">
        <v>4.08E-14</v>
      </c>
      <c r="G798" s="1512" t="s">
        <v>1883</v>
      </c>
      <c r="H798" s="1511">
        <v>1.28E-10</v>
      </c>
      <c r="I798" s="1512" t="s">
        <v>1883</v>
      </c>
      <c r="J798" s="1513">
        <v>176</v>
      </c>
      <c r="K798" s="1514" t="s">
        <v>1883</v>
      </c>
      <c r="L798" s="1515" t="s">
        <v>635</v>
      </c>
      <c r="M798" s="1538"/>
      <c r="N798" s="1517">
        <v>3.5753112603159998E-2</v>
      </c>
      <c r="O798" s="1517">
        <v>4.1774689462600002E-6</v>
      </c>
      <c r="P798" s="1518" t="s">
        <v>1885</v>
      </c>
      <c r="Q798" s="1519" t="s">
        <v>635</v>
      </c>
      <c r="R798" s="1520"/>
      <c r="S798" s="1519">
        <v>50.76</v>
      </c>
      <c r="T798" s="1519" t="s">
        <v>1199</v>
      </c>
      <c r="U798" s="1519">
        <v>1.56</v>
      </c>
      <c r="V798" s="1521" t="s">
        <v>1883</v>
      </c>
      <c r="W798" s="1522">
        <v>2240</v>
      </c>
      <c r="X798" s="1523" t="s">
        <v>1883</v>
      </c>
      <c r="Y798" s="1524">
        <v>8.6300102505000001E-4</v>
      </c>
      <c r="Z798" s="1524">
        <v>15.534194895768101</v>
      </c>
      <c r="AA798" s="1524">
        <v>37.282067749843499</v>
      </c>
      <c r="AB798" s="1524">
        <v>1.1400000000000001E-4</v>
      </c>
      <c r="AC798" s="1525" t="s">
        <v>1199</v>
      </c>
      <c r="AD798" s="1526" t="s">
        <v>635</v>
      </c>
      <c r="AE798" s="1527"/>
      <c r="AF798" s="1528" t="s">
        <v>635</v>
      </c>
      <c r="AG798" s="1527"/>
      <c r="AH798" s="1528">
        <v>4.2999999999999997E-2</v>
      </c>
      <c r="AI798" s="1529" t="s">
        <v>1116</v>
      </c>
      <c r="AJ798" s="1528" t="s">
        <v>635</v>
      </c>
      <c r="AK798" s="1527"/>
      <c r="AL798" s="1527"/>
      <c r="AM798" s="1527"/>
      <c r="AN798" s="1530">
        <v>1</v>
      </c>
      <c r="AO798" s="1531">
        <v>0.1</v>
      </c>
      <c r="AP798" s="1532" t="s">
        <v>635</v>
      </c>
    </row>
    <row r="799" spans="1:42" ht="30">
      <c r="A799" s="1481" t="s">
        <v>3375</v>
      </c>
      <c r="B799" s="1482" t="s">
        <v>3376</v>
      </c>
      <c r="C799" s="1483">
        <v>257.77999999999997</v>
      </c>
      <c r="D799" s="1484" t="s">
        <v>1883</v>
      </c>
      <c r="E799" s="1485">
        <v>1.091578087E-5</v>
      </c>
      <c r="F799" s="1485">
        <v>2.67E-7</v>
      </c>
      <c r="G799" s="1486" t="s">
        <v>1199</v>
      </c>
      <c r="H799" s="1485">
        <v>2.1999999999999999E-5</v>
      </c>
      <c r="I799" s="1486" t="s">
        <v>1883</v>
      </c>
      <c r="J799" s="1487">
        <v>3.3</v>
      </c>
      <c r="K799" s="1488" t="s">
        <v>1883</v>
      </c>
      <c r="L799" s="1489">
        <v>1.1599999999999999</v>
      </c>
      <c r="M799" s="1490" t="s">
        <v>1884</v>
      </c>
      <c r="N799" s="1491">
        <v>2.3450125516459999E-2</v>
      </c>
      <c r="O799" s="1491">
        <v>5.9319438774400003E-6</v>
      </c>
      <c r="P799" s="1492" t="s">
        <v>1885</v>
      </c>
      <c r="Q799" s="1493" t="s">
        <v>635</v>
      </c>
      <c r="R799" s="1494"/>
      <c r="S799" s="1493">
        <v>1628</v>
      </c>
      <c r="T799" s="1493" t="s">
        <v>1199</v>
      </c>
      <c r="U799" s="1493">
        <v>3.4</v>
      </c>
      <c r="V799" s="1495" t="s">
        <v>1883</v>
      </c>
      <c r="W799" s="1496">
        <v>28</v>
      </c>
      <c r="X799" s="1497" t="s">
        <v>1883</v>
      </c>
      <c r="Y799" s="1498">
        <v>6.2987073906400001E-2</v>
      </c>
      <c r="Z799" s="1498">
        <v>2.9202279248702698</v>
      </c>
      <c r="AA799" s="1498">
        <v>7.0085470196886401</v>
      </c>
      <c r="AB799" s="1498">
        <v>1.0200000000000001E-2</v>
      </c>
      <c r="AC799" s="1499" t="s">
        <v>1199</v>
      </c>
      <c r="AD799" s="1500" t="s">
        <v>635</v>
      </c>
      <c r="AE799" s="1501"/>
      <c r="AF799" s="1502" t="s">
        <v>635</v>
      </c>
      <c r="AG799" s="1501"/>
      <c r="AH799" s="1502">
        <v>0.01</v>
      </c>
      <c r="AI799" s="1503" t="s">
        <v>1119</v>
      </c>
      <c r="AJ799" s="1502" t="s">
        <v>635</v>
      </c>
      <c r="AK799" s="1501"/>
      <c r="AL799" s="1501"/>
      <c r="AM799" s="1501"/>
      <c r="AN799" s="1504">
        <v>1</v>
      </c>
      <c r="AO799" s="1505">
        <v>0.1</v>
      </c>
      <c r="AP799" s="1506" t="s">
        <v>635</v>
      </c>
    </row>
    <row r="800" spans="1:42" ht="30">
      <c r="A800" s="1481" t="s">
        <v>3377</v>
      </c>
      <c r="B800" s="1482" t="s">
        <v>3378</v>
      </c>
      <c r="C800" s="1483" t="s">
        <v>635</v>
      </c>
      <c r="D800" s="1543"/>
      <c r="E800" s="1485" t="s">
        <v>635</v>
      </c>
      <c r="F800" s="1485" t="s">
        <v>635</v>
      </c>
      <c r="G800" s="1536"/>
      <c r="H800" s="1485" t="s">
        <v>635</v>
      </c>
      <c r="I800" s="1536"/>
      <c r="J800" s="1487" t="s">
        <v>635</v>
      </c>
      <c r="K800" s="1542"/>
      <c r="L800" s="1489" t="s">
        <v>635</v>
      </c>
      <c r="M800" s="1533"/>
      <c r="N800" s="1491" t="s">
        <v>635</v>
      </c>
      <c r="O800" s="1491" t="s">
        <v>635</v>
      </c>
      <c r="P800" s="1544"/>
      <c r="Q800" s="1493" t="s">
        <v>635</v>
      </c>
      <c r="R800" s="1494"/>
      <c r="S800" s="1493" t="s">
        <v>635</v>
      </c>
      <c r="T800" s="1494"/>
      <c r="U800" s="1493" t="s">
        <v>635</v>
      </c>
      <c r="V800" s="1481"/>
      <c r="W800" s="1496" t="s">
        <v>635</v>
      </c>
      <c r="X800" s="1537"/>
      <c r="Y800" s="1498" t="s">
        <v>635</v>
      </c>
      <c r="Z800" s="1498" t="s">
        <v>635</v>
      </c>
      <c r="AA800" s="1498" t="s">
        <v>635</v>
      </c>
      <c r="AB800" s="1498">
        <v>1E-3</v>
      </c>
      <c r="AC800" s="1499" t="s">
        <v>1203</v>
      </c>
      <c r="AD800" s="1500" t="s">
        <v>635</v>
      </c>
      <c r="AE800" s="1501"/>
      <c r="AF800" s="1502" t="s">
        <v>635</v>
      </c>
      <c r="AG800" s="1501"/>
      <c r="AH800" s="1502">
        <v>2.0000000000000001E-4</v>
      </c>
      <c r="AI800" s="1503" t="s">
        <v>1909</v>
      </c>
      <c r="AJ800" s="1502" t="s">
        <v>635</v>
      </c>
      <c r="AK800" s="1501"/>
      <c r="AL800" s="1501"/>
      <c r="AM800" s="1501"/>
      <c r="AN800" s="1504">
        <v>1</v>
      </c>
      <c r="AO800" s="1504" t="s">
        <v>635</v>
      </c>
      <c r="AP800" s="1506" t="s">
        <v>635</v>
      </c>
    </row>
    <row r="801" spans="1:42" ht="30">
      <c r="A801" s="1507" t="s">
        <v>3379</v>
      </c>
      <c r="B801" s="1508" t="s">
        <v>3380</v>
      </c>
      <c r="C801" s="1509">
        <v>59.09</v>
      </c>
      <c r="D801" s="1510" t="s">
        <v>1883</v>
      </c>
      <c r="E801" s="1511" t="s">
        <v>635</v>
      </c>
      <c r="F801" s="1511" t="s">
        <v>635</v>
      </c>
      <c r="G801" s="1534"/>
      <c r="H801" s="1511">
        <v>4.7300000000000004</v>
      </c>
      <c r="I801" s="1512" t="s">
        <v>1247</v>
      </c>
      <c r="J801" s="1513">
        <v>5</v>
      </c>
      <c r="K801" s="1514" t="s">
        <v>1247</v>
      </c>
      <c r="L801" s="1515">
        <v>1.1259999999999999</v>
      </c>
      <c r="M801" s="1516" t="s">
        <v>1247</v>
      </c>
      <c r="N801" s="1517">
        <v>0.12147512770016</v>
      </c>
      <c r="O801" s="1517">
        <v>1.410218514E-5</v>
      </c>
      <c r="P801" s="1518" t="s">
        <v>1885</v>
      </c>
      <c r="Q801" s="1519" t="s">
        <v>635</v>
      </c>
      <c r="R801" s="1520"/>
      <c r="S801" s="1519" t="s">
        <v>635</v>
      </c>
      <c r="T801" s="1520"/>
      <c r="U801" s="1519">
        <v>0.57999999999999996</v>
      </c>
      <c r="V801" s="1521" t="s">
        <v>1890</v>
      </c>
      <c r="W801" s="1522" t="s">
        <v>635</v>
      </c>
      <c r="X801" s="1535"/>
      <c r="Y801" s="1524">
        <v>2.9565392370700001E-3</v>
      </c>
      <c r="Z801" s="1524">
        <v>0.22529562051002999</v>
      </c>
      <c r="AA801" s="1524">
        <v>0.54070948922407003</v>
      </c>
      <c r="AB801" s="1524">
        <v>1E-3</v>
      </c>
      <c r="AC801" s="1525" t="s">
        <v>1203</v>
      </c>
      <c r="AD801" s="1526" t="s">
        <v>635</v>
      </c>
      <c r="AE801" s="1527"/>
      <c r="AF801" s="1528" t="s">
        <v>635</v>
      </c>
      <c r="AG801" s="1527"/>
      <c r="AH801" s="1528">
        <v>2.0000000000000001E-4</v>
      </c>
      <c r="AI801" s="1529" t="s">
        <v>1893</v>
      </c>
      <c r="AJ801" s="1528" t="s">
        <v>635</v>
      </c>
      <c r="AK801" s="1527"/>
      <c r="AL801" s="1529" t="s">
        <v>1127</v>
      </c>
      <c r="AM801" s="1527"/>
      <c r="AN801" s="1530">
        <v>1</v>
      </c>
      <c r="AO801" s="1530" t="s">
        <v>635</v>
      </c>
      <c r="AP801" s="1532" t="s">
        <v>635</v>
      </c>
    </row>
    <row r="802" spans="1:42" ht="45">
      <c r="A802" s="1481" t="s">
        <v>3381</v>
      </c>
      <c r="B802" s="1482" t="s">
        <v>3382</v>
      </c>
      <c r="C802" s="1483">
        <v>238.35</v>
      </c>
      <c r="D802" s="1484" t="s">
        <v>1883</v>
      </c>
      <c r="E802" s="1485">
        <v>2.6533115290000001E-10</v>
      </c>
      <c r="F802" s="1485">
        <v>6.49E-12</v>
      </c>
      <c r="G802" s="1486" t="s">
        <v>1883</v>
      </c>
      <c r="H802" s="1485">
        <v>3.1199999999999999E-7</v>
      </c>
      <c r="I802" s="1486" t="s">
        <v>1883</v>
      </c>
      <c r="J802" s="1487">
        <v>153.22</v>
      </c>
      <c r="K802" s="1488" t="s">
        <v>1199</v>
      </c>
      <c r="L802" s="1489" t="s">
        <v>635</v>
      </c>
      <c r="M802" s="1533"/>
      <c r="N802" s="1491">
        <v>4.9424637963069999E-2</v>
      </c>
      <c r="O802" s="1491">
        <v>5.77487875147E-6</v>
      </c>
      <c r="P802" s="1492" t="s">
        <v>1885</v>
      </c>
      <c r="Q802" s="1493" t="s">
        <v>635</v>
      </c>
      <c r="R802" s="1494"/>
      <c r="S802" s="1493">
        <v>3374</v>
      </c>
      <c r="T802" s="1493" t="s">
        <v>1199</v>
      </c>
      <c r="U802" s="1493">
        <v>3.3</v>
      </c>
      <c r="V802" s="1495" t="s">
        <v>1883</v>
      </c>
      <c r="W802" s="1496">
        <v>125</v>
      </c>
      <c r="X802" s="1497" t="s">
        <v>1883</v>
      </c>
      <c r="Y802" s="1498">
        <v>6.6504686848229994E-2</v>
      </c>
      <c r="Z802" s="1498">
        <v>2.27304874734314</v>
      </c>
      <c r="AA802" s="1498">
        <v>5.45531699362353</v>
      </c>
      <c r="AB802" s="1498">
        <v>1.12E-2</v>
      </c>
      <c r="AC802" s="1499" t="s">
        <v>1199</v>
      </c>
      <c r="AD802" s="1500" t="s">
        <v>635</v>
      </c>
      <c r="AE802" s="1501"/>
      <c r="AF802" s="1502" t="s">
        <v>635</v>
      </c>
      <c r="AG802" s="1501"/>
      <c r="AH802" s="1502">
        <v>0.03</v>
      </c>
      <c r="AI802" s="1503" t="s">
        <v>1073</v>
      </c>
      <c r="AJ802" s="1502" t="s">
        <v>635</v>
      </c>
      <c r="AK802" s="1501"/>
      <c r="AL802" s="1501"/>
      <c r="AM802" s="1501"/>
      <c r="AN802" s="1504">
        <v>1</v>
      </c>
      <c r="AO802" s="1505">
        <v>0.1</v>
      </c>
      <c r="AP802" s="1506" t="s">
        <v>635</v>
      </c>
    </row>
    <row r="803" spans="1:42" ht="30">
      <c r="A803" s="1481" t="s">
        <v>3383</v>
      </c>
      <c r="B803" s="1482" t="s">
        <v>3384</v>
      </c>
      <c r="C803" s="1483">
        <v>122.19</v>
      </c>
      <c r="D803" s="1484" t="s">
        <v>1883</v>
      </c>
      <c r="E803" s="1485">
        <v>7.5633687653299999E-8</v>
      </c>
      <c r="F803" s="1485">
        <v>1.85E-9</v>
      </c>
      <c r="G803" s="1486" t="s">
        <v>1883</v>
      </c>
      <c r="H803" s="1485">
        <v>3.2299999999999998E-3</v>
      </c>
      <c r="I803" s="1486" t="s">
        <v>1883</v>
      </c>
      <c r="J803" s="1487">
        <v>-10.199999999999999</v>
      </c>
      <c r="K803" s="1488" t="s">
        <v>1883</v>
      </c>
      <c r="L803" s="1489">
        <v>1.1793</v>
      </c>
      <c r="M803" s="1490" t="s">
        <v>1884</v>
      </c>
      <c r="N803" s="1491">
        <v>6.8014389996880004E-2</v>
      </c>
      <c r="O803" s="1491">
        <v>9.3761587482600001E-6</v>
      </c>
      <c r="P803" s="1492" t="s">
        <v>1885</v>
      </c>
      <c r="Q803" s="1493" t="s">
        <v>635</v>
      </c>
      <c r="R803" s="1494"/>
      <c r="S803" s="1493">
        <v>1</v>
      </c>
      <c r="T803" s="1493" t="s">
        <v>1199</v>
      </c>
      <c r="U803" s="1493">
        <v>-0.63</v>
      </c>
      <c r="V803" s="1495" t="s">
        <v>1883</v>
      </c>
      <c r="W803" s="1496">
        <v>1000000</v>
      </c>
      <c r="X803" s="1497" t="s">
        <v>1883</v>
      </c>
      <c r="Y803" s="1498">
        <v>5.2293727066999999E-4</v>
      </c>
      <c r="Z803" s="1498">
        <v>0.50829138579847</v>
      </c>
      <c r="AA803" s="1498">
        <v>1.21989932591633</v>
      </c>
      <c r="AB803" s="1498">
        <v>1.2300000000000001E-4</v>
      </c>
      <c r="AC803" s="1499" t="s">
        <v>1199</v>
      </c>
      <c r="AD803" s="1500" t="s">
        <v>635</v>
      </c>
      <c r="AE803" s="1501"/>
      <c r="AF803" s="1502" t="s">
        <v>635</v>
      </c>
      <c r="AG803" s="1501"/>
      <c r="AH803" s="1502">
        <v>7.0000000000000007E-2</v>
      </c>
      <c r="AI803" s="1503" t="s">
        <v>1893</v>
      </c>
      <c r="AJ803" s="1502" t="s">
        <v>635</v>
      </c>
      <c r="AK803" s="1501"/>
      <c r="AL803" s="1501"/>
      <c r="AM803" s="1501"/>
      <c r="AN803" s="1504">
        <v>1</v>
      </c>
      <c r="AO803" s="1559">
        <v>7.4999999999999997E-3</v>
      </c>
      <c r="AP803" s="1506" t="s">
        <v>635</v>
      </c>
    </row>
    <row r="804" spans="1:42" ht="30">
      <c r="A804" s="1507" t="s">
        <v>3385</v>
      </c>
      <c r="B804" s="1508" t="s">
        <v>3386</v>
      </c>
      <c r="C804" s="1509">
        <v>218.32</v>
      </c>
      <c r="D804" s="1510" t="s">
        <v>1883</v>
      </c>
      <c r="E804" s="1511">
        <v>3.8389206868399998E-7</v>
      </c>
      <c r="F804" s="1511">
        <v>9.39E-9</v>
      </c>
      <c r="G804" s="1512" t="s">
        <v>1199</v>
      </c>
      <c r="H804" s="1511">
        <v>1.7000000000000001E-4</v>
      </c>
      <c r="I804" s="1512" t="s">
        <v>1883</v>
      </c>
      <c r="J804" s="1513">
        <v>57</v>
      </c>
      <c r="K804" s="1514" t="s">
        <v>1883</v>
      </c>
      <c r="L804" s="1515" t="s">
        <v>635</v>
      </c>
      <c r="M804" s="1538"/>
      <c r="N804" s="1517">
        <v>5.2403213418180002E-2</v>
      </c>
      <c r="O804" s="1517">
        <v>6.1229017783300004E-6</v>
      </c>
      <c r="P804" s="1518" t="s">
        <v>1885</v>
      </c>
      <c r="Q804" s="1519" t="s">
        <v>635</v>
      </c>
      <c r="R804" s="1520"/>
      <c r="S804" s="1519">
        <v>72.400000000000006</v>
      </c>
      <c r="T804" s="1519" t="s">
        <v>1199</v>
      </c>
      <c r="U804" s="1519">
        <v>2.16</v>
      </c>
      <c r="V804" s="1521" t="s">
        <v>1883</v>
      </c>
      <c r="W804" s="1522">
        <v>5200</v>
      </c>
      <c r="X804" s="1523" t="s">
        <v>1883</v>
      </c>
      <c r="Y804" s="1524">
        <v>3.5632061903609999E-2</v>
      </c>
      <c r="Z804" s="1524">
        <v>1.7556613546484701</v>
      </c>
      <c r="AA804" s="1524">
        <v>4.2135872511563299</v>
      </c>
      <c r="AB804" s="1524">
        <v>6.2700000000000004E-3</v>
      </c>
      <c r="AC804" s="1525" t="s">
        <v>1199</v>
      </c>
      <c r="AD804" s="1526" t="s">
        <v>635</v>
      </c>
      <c r="AE804" s="1527"/>
      <c r="AF804" s="1528" t="s">
        <v>635</v>
      </c>
      <c r="AG804" s="1527"/>
      <c r="AH804" s="1528">
        <v>2.9999999999999997E-4</v>
      </c>
      <c r="AI804" s="1529" t="s">
        <v>1073</v>
      </c>
      <c r="AJ804" s="1528" t="s">
        <v>635</v>
      </c>
      <c r="AK804" s="1527"/>
      <c r="AL804" s="1527"/>
      <c r="AM804" s="1527"/>
      <c r="AN804" s="1530">
        <v>1</v>
      </c>
      <c r="AO804" s="1531">
        <v>0.1</v>
      </c>
      <c r="AP804" s="1532" t="s">
        <v>635</v>
      </c>
    </row>
    <row r="805" spans="1:42" ht="30">
      <c r="A805" s="1481" t="s">
        <v>3387</v>
      </c>
      <c r="B805" s="1482" t="s">
        <v>3388</v>
      </c>
      <c r="C805" s="1483">
        <v>342.4</v>
      </c>
      <c r="D805" s="1484" t="s">
        <v>1883</v>
      </c>
      <c r="E805" s="1485">
        <v>4.9468520032700002E-8</v>
      </c>
      <c r="F805" s="1485">
        <v>1.21E-9</v>
      </c>
      <c r="G805" s="1486" t="s">
        <v>1199</v>
      </c>
      <c r="H805" s="1485">
        <v>7.1299999999999997E-8</v>
      </c>
      <c r="I805" s="1486" t="s">
        <v>1883</v>
      </c>
      <c r="J805" s="1487">
        <v>172</v>
      </c>
      <c r="K805" s="1488" t="s">
        <v>1199</v>
      </c>
      <c r="L805" s="1489" t="s">
        <v>635</v>
      </c>
      <c r="M805" s="1533"/>
      <c r="N805" s="1491">
        <v>3.8820795477900003E-2</v>
      </c>
      <c r="O805" s="1491">
        <v>4.5359034716299999E-6</v>
      </c>
      <c r="P805" s="1492" t="s">
        <v>1885</v>
      </c>
      <c r="Q805" s="1493" t="s">
        <v>635</v>
      </c>
      <c r="R805" s="1494"/>
      <c r="S805" s="1493">
        <v>327.39999999999998</v>
      </c>
      <c r="T805" s="1493" t="s">
        <v>1199</v>
      </c>
      <c r="U805" s="1493">
        <v>1.4</v>
      </c>
      <c r="V805" s="1495" t="s">
        <v>1883</v>
      </c>
      <c r="W805" s="1496">
        <v>26.6</v>
      </c>
      <c r="X805" s="1497" t="s">
        <v>1883</v>
      </c>
      <c r="Y805" s="1498">
        <v>1.13871099138E-3</v>
      </c>
      <c r="Z805" s="1498">
        <v>8.6953836760127299</v>
      </c>
      <c r="AA805" s="1498">
        <v>20.8689208224305</v>
      </c>
      <c r="AB805" s="1498">
        <v>1.6000000000000001E-4</v>
      </c>
      <c r="AC805" s="1499" t="s">
        <v>1199</v>
      </c>
      <c r="AD805" s="1500">
        <v>1.1599999999999999E-2</v>
      </c>
      <c r="AE805" s="1503" t="s">
        <v>1116</v>
      </c>
      <c r="AF805" s="1502" t="s">
        <v>635</v>
      </c>
      <c r="AG805" s="1501"/>
      <c r="AH805" s="1502">
        <v>0.16</v>
      </c>
      <c r="AI805" s="1503" t="s">
        <v>1116</v>
      </c>
      <c r="AJ805" s="1502" t="s">
        <v>635</v>
      </c>
      <c r="AK805" s="1501"/>
      <c r="AL805" s="1501"/>
      <c r="AM805" s="1501"/>
      <c r="AN805" s="1504">
        <v>1</v>
      </c>
      <c r="AO805" s="1505">
        <v>0.1</v>
      </c>
      <c r="AP805" s="1506" t="s">
        <v>635</v>
      </c>
    </row>
    <row r="806" spans="1:42" ht="30">
      <c r="A806" s="1481" t="s">
        <v>3389</v>
      </c>
      <c r="B806" s="1482" t="s">
        <v>3390</v>
      </c>
      <c r="C806" s="1483">
        <v>240.43</v>
      </c>
      <c r="D806" s="1484" t="s">
        <v>1883</v>
      </c>
      <c r="E806" s="1485">
        <v>7.4407195421099996E-6</v>
      </c>
      <c r="F806" s="1485">
        <v>1.8199999999999999E-7</v>
      </c>
      <c r="G806" s="1486" t="s">
        <v>1199</v>
      </c>
      <c r="H806" s="1485">
        <v>1.7249999999999999E-5</v>
      </c>
      <c r="I806" s="1486" t="s">
        <v>1883</v>
      </c>
      <c r="J806" s="1487">
        <v>155.6</v>
      </c>
      <c r="K806" s="1488" t="s">
        <v>1883</v>
      </c>
      <c r="L806" s="1489">
        <v>1.29</v>
      </c>
      <c r="M806" s="1490" t="s">
        <v>1949</v>
      </c>
      <c r="N806" s="1491">
        <v>2.5566740837389999E-2</v>
      </c>
      <c r="O806" s="1491">
        <v>6.5922307981699998E-6</v>
      </c>
      <c r="P806" s="1492" t="s">
        <v>1885</v>
      </c>
      <c r="Q806" s="1493" t="s">
        <v>635</v>
      </c>
      <c r="R806" s="1494"/>
      <c r="S806" s="1493">
        <v>611.4</v>
      </c>
      <c r="T806" s="1493" t="s">
        <v>1199</v>
      </c>
      <c r="U806" s="1493">
        <v>1.73</v>
      </c>
      <c r="V806" s="1495" t="s">
        <v>1883</v>
      </c>
      <c r="W806" s="1496">
        <v>30</v>
      </c>
      <c r="X806" s="1497" t="s">
        <v>1883</v>
      </c>
      <c r="Y806" s="1498">
        <v>5.9041335810799999E-3</v>
      </c>
      <c r="Z806" s="1498">
        <v>2.3348379821665701</v>
      </c>
      <c r="AA806" s="1498">
        <v>5.6036111571997704</v>
      </c>
      <c r="AB806" s="1498">
        <v>9.8999999999999999E-4</v>
      </c>
      <c r="AC806" s="1499" t="s">
        <v>1199</v>
      </c>
      <c r="AD806" s="1500" t="s">
        <v>635</v>
      </c>
      <c r="AE806" s="1501"/>
      <c r="AF806" s="1502" t="s">
        <v>635</v>
      </c>
      <c r="AG806" s="1501"/>
      <c r="AH806" s="1502">
        <v>1.4999999999999999E-2</v>
      </c>
      <c r="AI806" s="1503" t="s">
        <v>1116</v>
      </c>
      <c r="AJ806" s="1502" t="s">
        <v>635</v>
      </c>
      <c r="AK806" s="1501"/>
      <c r="AL806" s="1501"/>
      <c r="AM806" s="1501"/>
      <c r="AN806" s="1504">
        <v>1</v>
      </c>
      <c r="AO806" s="1505">
        <v>0.1</v>
      </c>
      <c r="AP806" s="1506" t="s">
        <v>635</v>
      </c>
    </row>
    <row r="807" spans="1:42" ht="30">
      <c r="A807" s="1507" t="s">
        <v>3391</v>
      </c>
      <c r="B807" s="1508" t="s">
        <v>3392</v>
      </c>
      <c r="C807" s="1509">
        <v>118.71</v>
      </c>
      <c r="D807" s="1510" t="s">
        <v>1884</v>
      </c>
      <c r="E807" s="1511" t="s">
        <v>635</v>
      </c>
      <c r="F807" s="1511" t="s">
        <v>635</v>
      </c>
      <c r="G807" s="1534"/>
      <c r="H807" s="1511">
        <v>0</v>
      </c>
      <c r="I807" s="1512" t="s">
        <v>1929</v>
      </c>
      <c r="J807" s="1513">
        <v>13.2</v>
      </c>
      <c r="K807" s="1514" t="s">
        <v>1884</v>
      </c>
      <c r="L807" s="1515">
        <v>7.2869999999999999</v>
      </c>
      <c r="M807" s="1516" t="s">
        <v>1884</v>
      </c>
      <c r="N807" s="1517">
        <v>0.14244412829143999</v>
      </c>
      <c r="O807" s="1517">
        <v>2.8451728140000002E-5</v>
      </c>
      <c r="P807" s="1518" t="s">
        <v>1885</v>
      </c>
      <c r="Q807" s="1519">
        <v>250</v>
      </c>
      <c r="R807" s="1519" t="s">
        <v>1930</v>
      </c>
      <c r="S807" s="1519" t="s">
        <v>635</v>
      </c>
      <c r="T807" s="1520"/>
      <c r="U807" s="1519" t="s">
        <v>635</v>
      </c>
      <c r="V807" s="1507"/>
      <c r="W807" s="1522" t="s">
        <v>635</v>
      </c>
      <c r="X807" s="1535"/>
      <c r="Y807" s="1524">
        <v>4.1905430301500003E-3</v>
      </c>
      <c r="Z807" s="1524">
        <v>0.48598710903796999</v>
      </c>
      <c r="AA807" s="1524">
        <v>1.16636906169113</v>
      </c>
      <c r="AB807" s="1524">
        <v>1E-3</v>
      </c>
      <c r="AC807" s="1525" t="s">
        <v>1203</v>
      </c>
      <c r="AD807" s="1526" t="s">
        <v>635</v>
      </c>
      <c r="AE807" s="1527"/>
      <c r="AF807" s="1528" t="s">
        <v>635</v>
      </c>
      <c r="AG807" s="1527"/>
      <c r="AH807" s="1528">
        <v>0.6</v>
      </c>
      <c r="AI807" s="1529" t="s">
        <v>1073</v>
      </c>
      <c r="AJ807" s="1528" t="s">
        <v>635</v>
      </c>
      <c r="AK807" s="1527"/>
      <c r="AL807" s="1527"/>
      <c r="AM807" s="1527"/>
      <c r="AN807" s="1530">
        <v>1</v>
      </c>
      <c r="AO807" s="1530" t="s">
        <v>635</v>
      </c>
      <c r="AP807" s="1532" t="s">
        <v>635</v>
      </c>
    </row>
    <row r="808" spans="1:42" ht="30">
      <c r="A808" s="1481" t="s">
        <v>3393</v>
      </c>
      <c r="B808" s="1482" t="s">
        <v>3394</v>
      </c>
      <c r="C808" s="1483">
        <v>189.679</v>
      </c>
      <c r="D808" s="1484" t="s">
        <v>1884</v>
      </c>
      <c r="E808" s="1485" t="s">
        <v>635</v>
      </c>
      <c r="F808" s="1485" t="s">
        <v>635</v>
      </c>
      <c r="G808" s="1536"/>
      <c r="H808" s="1485">
        <v>10</v>
      </c>
      <c r="I808" s="1486" t="s">
        <v>2347</v>
      </c>
      <c r="J808" s="1487">
        <v>-24.12</v>
      </c>
      <c r="K808" s="1488" t="s">
        <v>1884</v>
      </c>
      <c r="L808" s="1489">
        <v>1.73</v>
      </c>
      <c r="M808" s="1490" t="s">
        <v>1884</v>
      </c>
      <c r="N808" s="1491">
        <v>3.7971613154699997E-2</v>
      </c>
      <c r="O808" s="1491">
        <v>9.0633318675000008E-6</v>
      </c>
      <c r="P808" s="1492" t="s">
        <v>1885</v>
      </c>
      <c r="Q808" s="1493" t="s">
        <v>635</v>
      </c>
      <c r="R808" s="1494"/>
      <c r="S808" s="1493" t="s">
        <v>635</v>
      </c>
      <c r="T808" s="1494"/>
      <c r="U808" s="1493" t="s">
        <v>635</v>
      </c>
      <c r="V808" s="1481"/>
      <c r="W808" s="1496" t="s">
        <v>635</v>
      </c>
      <c r="X808" s="1537"/>
      <c r="Y808" s="1498">
        <v>5.2970768984999996E-3</v>
      </c>
      <c r="Z808" s="1498">
        <v>1.21353176738375</v>
      </c>
      <c r="AA808" s="1498">
        <v>2.9124762417209999</v>
      </c>
      <c r="AB808" s="1498">
        <v>1E-3</v>
      </c>
      <c r="AC808" s="1499" t="s">
        <v>1203</v>
      </c>
      <c r="AD808" s="1500" t="s">
        <v>635</v>
      </c>
      <c r="AE808" s="1501"/>
      <c r="AF808" s="1502" t="s">
        <v>635</v>
      </c>
      <c r="AG808" s="1501"/>
      <c r="AH808" s="1502" t="s">
        <v>635</v>
      </c>
      <c r="AI808" s="1501"/>
      <c r="AJ808" s="1502">
        <v>1E-4</v>
      </c>
      <c r="AK808" s="1503" t="s">
        <v>1960</v>
      </c>
      <c r="AL808" s="1503" t="s">
        <v>1127</v>
      </c>
      <c r="AM808" s="1501"/>
      <c r="AN808" s="1504">
        <v>1</v>
      </c>
      <c r="AO808" s="1504" t="s">
        <v>635</v>
      </c>
      <c r="AP808" s="1506" t="s">
        <v>635</v>
      </c>
    </row>
    <row r="809" spans="1:42" ht="30">
      <c r="A809" s="1481" t="s">
        <v>322</v>
      </c>
      <c r="B809" s="1482" t="s">
        <v>321</v>
      </c>
      <c r="C809" s="1483">
        <v>92.141999999999996</v>
      </c>
      <c r="D809" s="1484" t="s">
        <v>1883</v>
      </c>
      <c r="E809" s="1485">
        <v>0.27146361406378</v>
      </c>
      <c r="F809" s="1485">
        <v>6.6400000000000001E-3</v>
      </c>
      <c r="G809" s="1486" t="s">
        <v>1883</v>
      </c>
      <c r="H809" s="1485">
        <v>28.4</v>
      </c>
      <c r="I809" s="1486" t="s">
        <v>1883</v>
      </c>
      <c r="J809" s="1487">
        <v>-94.9</v>
      </c>
      <c r="K809" s="1488" t="s">
        <v>1883</v>
      </c>
      <c r="L809" s="1489">
        <v>0.86229999999999996</v>
      </c>
      <c r="M809" s="1490" t="s">
        <v>1884</v>
      </c>
      <c r="N809" s="1491">
        <v>7.7803873565410006E-2</v>
      </c>
      <c r="O809" s="1491">
        <v>9.2043308800900001E-6</v>
      </c>
      <c r="P809" s="1492" t="s">
        <v>1885</v>
      </c>
      <c r="Q809" s="1493" t="s">
        <v>635</v>
      </c>
      <c r="R809" s="1494"/>
      <c r="S809" s="1493">
        <v>233.9</v>
      </c>
      <c r="T809" s="1493" t="s">
        <v>1199</v>
      </c>
      <c r="U809" s="1493">
        <v>2.73</v>
      </c>
      <c r="V809" s="1495" t="s">
        <v>1883</v>
      </c>
      <c r="W809" s="1496">
        <v>526</v>
      </c>
      <c r="X809" s="1497" t="s">
        <v>1883</v>
      </c>
      <c r="Y809" s="1498">
        <v>0.11481955474085</v>
      </c>
      <c r="Z809" s="1498">
        <v>0.34501974481163</v>
      </c>
      <c r="AA809" s="1498">
        <v>0.82804738754789997</v>
      </c>
      <c r="AB809" s="1498">
        <v>3.1099999999999999E-2</v>
      </c>
      <c r="AC809" s="1499" t="s">
        <v>1199</v>
      </c>
      <c r="AD809" s="1500" t="s">
        <v>635</v>
      </c>
      <c r="AE809" s="1501"/>
      <c r="AF809" s="1502" t="s">
        <v>635</v>
      </c>
      <c r="AG809" s="1501"/>
      <c r="AH809" s="1502">
        <v>0.08</v>
      </c>
      <c r="AI809" s="1503" t="s">
        <v>1119</v>
      </c>
      <c r="AJ809" s="1502">
        <v>5</v>
      </c>
      <c r="AK809" s="1503" t="s">
        <v>1119</v>
      </c>
      <c r="AL809" s="1503" t="s">
        <v>1127</v>
      </c>
      <c r="AM809" s="1501"/>
      <c r="AN809" s="1504">
        <v>1</v>
      </c>
      <c r="AO809" s="1504" t="s">
        <v>635</v>
      </c>
      <c r="AP809" s="1506">
        <v>818</v>
      </c>
    </row>
    <row r="810" spans="1:42" ht="30">
      <c r="A810" s="1507" t="s">
        <v>3395</v>
      </c>
      <c r="B810" s="1508" t="s">
        <v>3396</v>
      </c>
      <c r="C810" s="1509">
        <v>174.16</v>
      </c>
      <c r="D810" s="1510" t="s">
        <v>1883</v>
      </c>
      <c r="E810" s="1511">
        <v>4.53802E-4</v>
      </c>
      <c r="F810" s="1511">
        <v>1.11E-5</v>
      </c>
      <c r="G810" s="1512" t="s">
        <v>1883</v>
      </c>
      <c r="H810" s="1511">
        <v>8.0000000000000002E-3</v>
      </c>
      <c r="I810" s="1512" t="s">
        <v>1883</v>
      </c>
      <c r="J810" s="1513">
        <v>20.5</v>
      </c>
      <c r="K810" s="1514" t="s">
        <v>1883</v>
      </c>
      <c r="L810" s="1515">
        <v>1.2243999999999999</v>
      </c>
      <c r="M810" s="1516" t="s">
        <v>1884</v>
      </c>
      <c r="N810" s="1517">
        <v>4.025674508128E-2</v>
      </c>
      <c r="O810" s="1517">
        <v>7.7527666880000008E-6</v>
      </c>
      <c r="P810" s="1518" t="s">
        <v>1885</v>
      </c>
      <c r="Q810" s="1519" t="s">
        <v>635</v>
      </c>
      <c r="R810" s="1520"/>
      <c r="S810" s="1519">
        <v>7424</v>
      </c>
      <c r="T810" s="1519" t="s">
        <v>1199</v>
      </c>
      <c r="U810" s="1519">
        <v>3.74</v>
      </c>
      <c r="V810" s="1521" t="s">
        <v>1883</v>
      </c>
      <c r="W810" s="1522">
        <v>37.57</v>
      </c>
      <c r="X810" s="1523" t="s">
        <v>1883</v>
      </c>
      <c r="Y810" s="1524">
        <v>2.5632575081825899</v>
      </c>
      <c r="Z810" s="1524">
        <v>0.99344710748800003</v>
      </c>
      <c r="AA810" s="1524">
        <v>4.1421548251470499</v>
      </c>
      <c r="AB810" s="1524">
        <v>0.505</v>
      </c>
      <c r="AC810" s="1525" t="s">
        <v>1199</v>
      </c>
      <c r="AD810" s="1526">
        <v>3.9E-2</v>
      </c>
      <c r="AE810" s="1529" t="s">
        <v>1900</v>
      </c>
      <c r="AF810" s="1528">
        <v>1.1E-5</v>
      </c>
      <c r="AG810" s="1529" t="s">
        <v>1900</v>
      </c>
      <c r="AH810" s="1528" t="s">
        <v>635</v>
      </c>
      <c r="AI810" s="1527"/>
      <c r="AJ810" s="1528">
        <v>7.9999999999999996E-6</v>
      </c>
      <c r="AK810" s="1529" t="s">
        <v>1900</v>
      </c>
      <c r="AL810" s="1529" t="s">
        <v>1127</v>
      </c>
      <c r="AM810" s="1527"/>
      <c r="AN810" s="1530">
        <v>1</v>
      </c>
      <c r="AO810" s="1530" t="s">
        <v>635</v>
      </c>
      <c r="AP810" s="1532" t="s">
        <v>635</v>
      </c>
    </row>
    <row r="811" spans="1:42" ht="30">
      <c r="A811" s="1481" t="s">
        <v>3397</v>
      </c>
      <c r="B811" s="1482" t="s">
        <v>3398</v>
      </c>
      <c r="C811" s="1483">
        <v>174.16</v>
      </c>
      <c r="D811" s="1484" t="s">
        <v>1883</v>
      </c>
      <c r="E811" s="1485">
        <v>4.53802E-4</v>
      </c>
      <c r="F811" s="1485">
        <v>1.11E-5</v>
      </c>
      <c r="G811" s="1486" t="s">
        <v>1883</v>
      </c>
      <c r="H811" s="1485">
        <v>2.0899999999999998E-2</v>
      </c>
      <c r="I811" s="1486" t="s">
        <v>1883</v>
      </c>
      <c r="J811" s="1487">
        <v>18.3</v>
      </c>
      <c r="K811" s="1488" t="s">
        <v>1883</v>
      </c>
      <c r="L811" s="1489" t="s">
        <v>635</v>
      </c>
      <c r="M811" s="1533"/>
      <c r="N811" s="1491">
        <v>6.0923941195189998E-2</v>
      </c>
      <c r="O811" s="1491">
        <v>7.1184815501800003E-6</v>
      </c>
      <c r="P811" s="1492" t="s">
        <v>1885</v>
      </c>
      <c r="Q811" s="1493" t="s">
        <v>635</v>
      </c>
      <c r="R811" s="1494"/>
      <c r="S811" s="1493">
        <v>7576</v>
      </c>
      <c r="T811" s="1493" t="s">
        <v>1199</v>
      </c>
      <c r="U811" s="1493">
        <v>3.74</v>
      </c>
      <c r="V811" s="1495" t="s">
        <v>1883</v>
      </c>
      <c r="W811" s="1496">
        <v>37.57</v>
      </c>
      <c r="X811" s="1497" t="s">
        <v>1883</v>
      </c>
      <c r="Y811" s="1498">
        <v>0.25632575081825998</v>
      </c>
      <c r="Z811" s="1498">
        <v>0.99344710748800003</v>
      </c>
      <c r="AA811" s="1498">
        <v>2.3842730579712001</v>
      </c>
      <c r="AB811" s="1498">
        <v>5.0500000000000003E-2</v>
      </c>
      <c r="AC811" s="1499" t="s">
        <v>1199</v>
      </c>
      <c r="AD811" s="1500">
        <v>3.9E-2</v>
      </c>
      <c r="AE811" s="1503" t="s">
        <v>1900</v>
      </c>
      <c r="AF811" s="1502">
        <v>1.1E-5</v>
      </c>
      <c r="AG811" s="1503" t="s">
        <v>1900</v>
      </c>
      <c r="AH811" s="1502" t="s">
        <v>635</v>
      </c>
      <c r="AI811" s="1501"/>
      <c r="AJ811" s="1502">
        <v>7.9999999999999996E-6</v>
      </c>
      <c r="AK811" s="1503" t="s">
        <v>1900</v>
      </c>
      <c r="AL811" s="1503" t="s">
        <v>1127</v>
      </c>
      <c r="AM811" s="1501"/>
      <c r="AN811" s="1504">
        <v>1</v>
      </c>
      <c r="AO811" s="1504" t="s">
        <v>635</v>
      </c>
      <c r="AP811" s="1506">
        <v>1710</v>
      </c>
    </row>
    <row r="812" spans="1:42" ht="30">
      <c r="A812" s="1481" t="s">
        <v>3399</v>
      </c>
      <c r="B812" s="1482" t="s">
        <v>3400</v>
      </c>
      <c r="C812" s="1483">
        <v>122.17</v>
      </c>
      <c r="D812" s="1484" t="s">
        <v>1883</v>
      </c>
      <c r="E812" s="1485">
        <v>3.0376124284499998E-7</v>
      </c>
      <c r="F812" s="1485">
        <v>7.4300000000000002E-9</v>
      </c>
      <c r="G812" s="1486" t="s">
        <v>1883</v>
      </c>
      <c r="H812" s="1485">
        <v>5.53E-4</v>
      </c>
      <c r="I812" s="1486" t="s">
        <v>1199</v>
      </c>
      <c r="J812" s="1487">
        <v>63.5</v>
      </c>
      <c r="K812" s="1488" t="s">
        <v>1883</v>
      </c>
      <c r="L812" s="1489" t="s">
        <v>635</v>
      </c>
      <c r="M812" s="1533"/>
      <c r="N812" s="1491">
        <v>7.7169179924510001E-2</v>
      </c>
      <c r="O812" s="1491">
        <v>9.0166094438099997E-6</v>
      </c>
      <c r="P812" s="1492" t="s">
        <v>1885</v>
      </c>
      <c r="Q812" s="1493" t="s">
        <v>635</v>
      </c>
      <c r="R812" s="1494"/>
      <c r="S812" s="1493">
        <v>56.52</v>
      </c>
      <c r="T812" s="1493" t="s">
        <v>1199</v>
      </c>
      <c r="U812" s="1493">
        <v>0.71</v>
      </c>
      <c r="V812" s="1495" t="s">
        <v>1883</v>
      </c>
      <c r="W812" s="1496">
        <v>24570</v>
      </c>
      <c r="X812" s="1497" t="s">
        <v>1883</v>
      </c>
      <c r="Y812" s="1498">
        <v>4.0471181886800002E-3</v>
      </c>
      <c r="Z812" s="1498">
        <v>0.50816031967269004</v>
      </c>
      <c r="AA812" s="1498">
        <v>1.21958476721446</v>
      </c>
      <c r="AB812" s="1498">
        <v>9.5200000000000005E-4</v>
      </c>
      <c r="AC812" s="1499" t="s">
        <v>1199</v>
      </c>
      <c r="AD812" s="1500" t="s">
        <v>635</v>
      </c>
      <c r="AE812" s="1501"/>
      <c r="AF812" s="1502" t="s">
        <v>635</v>
      </c>
      <c r="AG812" s="1501"/>
      <c r="AH812" s="1502">
        <v>1E-4</v>
      </c>
      <c r="AI812" s="1503" t="s">
        <v>1893</v>
      </c>
      <c r="AJ812" s="1502" t="s">
        <v>635</v>
      </c>
      <c r="AK812" s="1501"/>
      <c r="AL812" s="1501"/>
      <c r="AM812" s="1501"/>
      <c r="AN812" s="1504">
        <v>1</v>
      </c>
      <c r="AO812" s="1505">
        <v>0.1</v>
      </c>
      <c r="AP812" s="1506" t="s">
        <v>635</v>
      </c>
    </row>
    <row r="813" spans="1:42" ht="30">
      <c r="A813" s="1507" t="s">
        <v>3401</v>
      </c>
      <c r="B813" s="1508" t="s">
        <v>3402</v>
      </c>
      <c r="C813" s="1509">
        <v>122.17</v>
      </c>
      <c r="D813" s="1510" t="s">
        <v>1883</v>
      </c>
      <c r="E813" s="1511">
        <v>3.0376124284499998E-7</v>
      </c>
      <c r="F813" s="1511">
        <v>7.4300000000000002E-9</v>
      </c>
      <c r="G813" s="1512" t="s">
        <v>1883</v>
      </c>
      <c r="H813" s="1511">
        <v>3.3999999999999998E-3</v>
      </c>
      <c r="I813" s="1512" t="s">
        <v>1883</v>
      </c>
      <c r="J813" s="1513">
        <v>64</v>
      </c>
      <c r="K813" s="1514" t="s">
        <v>1883</v>
      </c>
      <c r="L813" s="1515" t="s">
        <v>635</v>
      </c>
      <c r="M813" s="1538"/>
      <c r="N813" s="1517">
        <v>7.7169179924510001E-2</v>
      </c>
      <c r="O813" s="1517">
        <v>9.0166094438099997E-6</v>
      </c>
      <c r="P813" s="1518" t="s">
        <v>1885</v>
      </c>
      <c r="Q813" s="1519" t="s">
        <v>635</v>
      </c>
      <c r="R813" s="1520"/>
      <c r="S813" s="1519">
        <v>55.39</v>
      </c>
      <c r="T813" s="1519" t="s">
        <v>1199</v>
      </c>
      <c r="U813" s="1519">
        <v>0.16</v>
      </c>
      <c r="V813" s="1521" t="s">
        <v>1883</v>
      </c>
      <c r="W813" s="1522">
        <v>77200</v>
      </c>
      <c r="X813" s="1523" t="s">
        <v>1883</v>
      </c>
      <c r="Y813" s="1524">
        <v>1.7429815728600001E-3</v>
      </c>
      <c r="Z813" s="1524">
        <v>0.50816031967269004</v>
      </c>
      <c r="AA813" s="1524">
        <v>1.21958476721446</v>
      </c>
      <c r="AB813" s="1524">
        <v>4.0999999999999999E-4</v>
      </c>
      <c r="AC813" s="1525" t="s">
        <v>1199</v>
      </c>
      <c r="AD813" s="1526">
        <v>0.18</v>
      </c>
      <c r="AE813" s="1529" t="s">
        <v>1893</v>
      </c>
      <c r="AF813" s="1528" t="s">
        <v>635</v>
      </c>
      <c r="AG813" s="1527"/>
      <c r="AH813" s="1528">
        <v>2.0000000000000001E-4</v>
      </c>
      <c r="AI813" s="1529" t="s">
        <v>1893</v>
      </c>
      <c r="AJ813" s="1528" t="s">
        <v>635</v>
      </c>
      <c r="AK813" s="1527"/>
      <c r="AL813" s="1527"/>
      <c r="AM813" s="1527"/>
      <c r="AN813" s="1530">
        <v>1</v>
      </c>
      <c r="AO813" s="1531">
        <v>0.1</v>
      </c>
      <c r="AP813" s="1532" t="s">
        <v>635</v>
      </c>
    </row>
    <row r="814" spans="1:42" ht="30">
      <c r="A814" s="1481" t="s">
        <v>3403</v>
      </c>
      <c r="B814" s="1482" t="s">
        <v>3404</v>
      </c>
      <c r="C814" s="1483">
        <v>122.17</v>
      </c>
      <c r="D814" s="1484" t="s">
        <v>1883</v>
      </c>
      <c r="E814" s="1485">
        <v>3.0621422731E-7</v>
      </c>
      <c r="F814" s="1485">
        <v>7.4899999999999996E-9</v>
      </c>
      <c r="G814" s="1486" t="s">
        <v>1883</v>
      </c>
      <c r="H814" s="1485">
        <v>6.29E-4</v>
      </c>
      <c r="I814" s="1486" t="s">
        <v>1199</v>
      </c>
      <c r="J814" s="1487">
        <v>89.5</v>
      </c>
      <c r="K814" s="1488" t="s">
        <v>1883</v>
      </c>
      <c r="L814" s="1489">
        <v>1.02885</v>
      </c>
      <c r="M814" s="1490" t="s">
        <v>2006</v>
      </c>
      <c r="N814" s="1491">
        <v>6.4050430712379994E-2</v>
      </c>
      <c r="O814" s="1491">
        <v>8.6398114416200003E-6</v>
      </c>
      <c r="P814" s="1492" t="s">
        <v>1885</v>
      </c>
      <c r="Q814" s="1493" t="s">
        <v>635</v>
      </c>
      <c r="R814" s="1494"/>
      <c r="S814" s="1493">
        <v>55.39</v>
      </c>
      <c r="T814" s="1493" t="s">
        <v>1199</v>
      </c>
      <c r="U814" s="1493">
        <v>0.66</v>
      </c>
      <c r="V814" s="1495" t="s">
        <v>1883</v>
      </c>
      <c r="W814" s="1496">
        <v>26910</v>
      </c>
      <c r="X814" s="1497" t="s">
        <v>1883</v>
      </c>
      <c r="Y814" s="1498">
        <v>3.7707918417600001E-3</v>
      </c>
      <c r="Z814" s="1498">
        <v>0.50816031967269004</v>
      </c>
      <c r="AA814" s="1498">
        <v>1.21958476721446</v>
      </c>
      <c r="AB814" s="1498">
        <v>8.8699999999999998E-4</v>
      </c>
      <c r="AC814" s="1499" t="s">
        <v>1199</v>
      </c>
      <c r="AD814" s="1500" t="s">
        <v>635</v>
      </c>
      <c r="AE814" s="1501"/>
      <c r="AF814" s="1502" t="s">
        <v>635</v>
      </c>
      <c r="AG814" s="1501"/>
      <c r="AH814" s="1502">
        <v>1E-4</v>
      </c>
      <c r="AI814" s="1503" t="s">
        <v>1893</v>
      </c>
      <c r="AJ814" s="1502" t="s">
        <v>635</v>
      </c>
      <c r="AK814" s="1501"/>
      <c r="AL814" s="1501"/>
      <c r="AM814" s="1501"/>
      <c r="AN814" s="1504">
        <v>1</v>
      </c>
      <c r="AO814" s="1505">
        <v>0.1</v>
      </c>
      <c r="AP814" s="1506" t="s">
        <v>635</v>
      </c>
    </row>
    <row r="815" spans="1:42" ht="30">
      <c r="A815" s="1481" t="s">
        <v>3405</v>
      </c>
      <c r="B815" s="1482" t="s">
        <v>3406</v>
      </c>
      <c r="C815" s="1483">
        <v>136.15</v>
      </c>
      <c r="D815" s="1484" t="s">
        <v>1199</v>
      </c>
      <c r="E815" s="1485">
        <v>1.148E-5</v>
      </c>
      <c r="F815" s="1485">
        <v>2.8098060000000002E-7</v>
      </c>
      <c r="G815" s="1486" t="s">
        <v>2006</v>
      </c>
      <c r="H815" s="1485">
        <v>5.0800000000000002E-5</v>
      </c>
      <c r="I815" s="1486" t="s">
        <v>1199</v>
      </c>
      <c r="J815" s="1487">
        <v>179.6</v>
      </c>
      <c r="K815" s="1488" t="s">
        <v>1199</v>
      </c>
      <c r="L815" s="1489">
        <v>1.1083799999999999</v>
      </c>
      <c r="M815" s="1490" t="s">
        <v>2006</v>
      </c>
      <c r="N815" s="1491">
        <v>5.8099694261710001E-2</v>
      </c>
      <c r="O815" s="1491">
        <v>8.4659245283199995E-6</v>
      </c>
      <c r="P815" s="1492" t="s">
        <v>1885</v>
      </c>
      <c r="Q815" s="1493" t="s">
        <v>635</v>
      </c>
      <c r="R815" s="1494"/>
      <c r="S815" s="1493">
        <v>27</v>
      </c>
      <c r="T815" s="1493" t="s">
        <v>1247</v>
      </c>
      <c r="U815" s="1493">
        <v>2.27</v>
      </c>
      <c r="V815" s="1495" t="s">
        <v>1199</v>
      </c>
      <c r="W815" s="1496">
        <v>340</v>
      </c>
      <c r="X815" s="1497" t="s">
        <v>1199</v>
      </c>
      <c r="Y815" s="1498">
        <v>3.904403806324E-2</v>
      </c>
      <c r="Z815" s="1498">
        <v>0.60853946678263005</v>
      </c>
      <c r="AA815" s="1498">
        <v>1.4604947202783201</v>
      </c>
      <c r="AB815" s="1498">
        <v>8.6999999999999994E-3</v>
      </c>
      <c r="AC815" s="1499" t="s">
        <v>1199</v>
      </c>
      <c r="AD815" s="1500" t="s">
        <v>635</v>
      </c>
      <c r="AE815" s="1501"/>
      <c r="AF815" s="1502" t="s">
        <v>635</v>
      </c>
      <c r="AG815" s="1501"/>
      <c r="AH815" s="1502">
        <v>5.0000000000000001E-3</v>
      </c>
      <c r="AI815" s="1503" t="s">
        <v>1909</v>
      </c>
      <c r="AJ815" s="1502" t="s">
        <v>635</v>
      </c>
      <c r="AK815" s="1501"/>
      <c r="AL815" s="1501"/>
      <c r="AM815" s="1501"/>
      <c r="AN815" s="1504">
        <v>1</v>
      </c>
      <c r="AO815" s="1505">
        <v>0.1</v>
      </c>
      <c r="AP815" s="1506" t="s">
        <v>635</v>
      </c>
    </row>
    <row r="816" spans="1:42" ht="30">
      <c r="A816" s="1507" t="s">
        <v>3407</v>
      </c>
      <c r="B816" s="1508" t="s">
        <v>3408</v>
      </c>
      <c r="C816" s="1509">
        <v>107.16</v>
      </c>
      <c r="D816" s="1510" t="s">
        <v>1883</v>
      </c>
      <c r="E816" s="1511">
        <v>8.0948487330000001E-5</v>
      </c>
      <c r="F816" s="1511">
        <v>1.9800000000000001E-6</v>
      </c>
      <c r="G816" s="1512" t="s">
        <v>1883</v>
      </c>
      <c r="H816" s="1511">
        <v>0.26</v>
      </c>
      <c r="I816" s="1512" t="s">
        <v>1883</v>
      </c>
      <c r="J816" s="1513">
        <v>-14.4</v>
      </c>
      <c r="K816" s="1514" t="s">
        <v>1883</v>
      </c>
      <c r="L816" s="1515">
        <v>0.99839999999999995</v>
      </c>
      <c r="M816" s="1516" t="s">
        <v>1884</v>
      </c>
      <c r="N816" s="1517">
        <v>7.2397367274429997E-2</v>
      </c>
      <c r="O816" s="1517">
        <v>9.1798353554499992E-6</v>
      </c>
      <c r="P816" s="1518" t="s">
        <v>1885</v>
      </c>
      <c r="Q816" s="1519" t="s">
        <v>635</v>
      </c>
      <c r="R816" s="1520"/>
      <c r="S816" s="1519">
        <v>115</v>
      </c>
      <c r="T816" s="1519" t="s">
        <v>1199</v>
      </c>
      <c r="U816" s="1519">
        <v>1.32</v>
      </c>
      <c r="V816" s="1521" t="s">
        <v>1883</v>
      </c>
      <c r="W816" s="1522">
        <v>16600</v>
      </c>
      <c r="X816" s="1523" t="s">
        <v>1883</v>
      </c>
      <c r="Y816" s="1524">
        <v>1.178513917293E-2</v>
      </c>
      <c r="Z816" s="1524">
        <v>0.41874029012976999</v>
      </c>
      <c r="AA816" s="1524">
        <v>1.0049766963114399</v>
      </c>
      <c r="AB816" s="1524">
        <v>2.96E-3</v>
      </c>
      <c r="AC816" s="1525" t="s">
        <v>1199</v>
      </c>
      <c r="AD816" s="1526">
        <v>1.6E-2</v>
      </c>
      <c r="AE816" s="1529" t="s">
        <v>1909</v>
      </c>
      <c r="AF816" s="1528">
        <v>5.1E-5</v>
      </c>
      <c r="AG816" s="1529" t="s">
        <v>1900</v>
      </c>
      <c r="AH816" s="1528" t="s">
        <v>635</v>
      </c>
      <c r="AI816" s="1527"/>
      <c r="AJ816" s="1528" t="s">
        <v>635</v>
      </c>
      <c r="AK816" s="1527"/>
      <c r="AL816" s="1527"/>
      <c r="AM816" s="1527"/>
      <c r="AN816" s="1530">
        <v>1</v>
      </c>
      <c r="AO816" s="1531">
        <v>0.1</v>
      </c>
      <c r="AP816" s="1532" t="s">
        <v>635</v>
      </c>
    </row>
    <row r="817" spans="1:42" ht="30">
      <c r="A817" s="1481" t="s">
        <v>3409</v>
      </c>
      <c r="B817" s="1482" t="s">
        <v>3410</v>
      </c>
      <c r="C817" s="1483">
        <v>107.16</v>
      </c>
      <c r="D817" s="1484" t="s">
        <v>1883</v>
      </c>
      <c r="E817" s="1485">
        <v>8.2583810299999996E-5</v>
      </c>
      <c r="F817" s="1485">
        <v>2.0200000000000001E-6</v>
      </c>
      <c r="G817" s="1486" t="s">
        <v>1883</v>
      </c>
      <c r="H817" s="1485">
        <v>0.28625</v>
      </c>
      <c r="I817" s="1486" t="s">
        <v>1883</v>
      </c>
      <c r="J817" s="1487">
        <v>43.6</v>
      </c>
      <c r="K817" s="1488" t="s">
        <v>1883</v>
      </c>
      <c r="L817" s="1489">
        <v>0.96189999999999998</v>
      </c>
      <c r="M817" s="1490" t="s">
        <v>1884</v>
      </c>
      <c r="N817" s="1491">
        <v>7.1219014478170001E-2</v>
      </c>
      <c r="O817" s="1491">
        <v>8.9769768132200001E-6</v>
      </c>
      <c r="P817" s="1492" t="s">
        <v>1885</v>
      </c>
      <c r="Q817" s="1493" t="s">
        <v>635</v>
      </c>
      <c r="R817" s="1494"/>
      <c r="S817" s="1493">
        <v>112.7</v>
      </c>
      <c r="T817" s="1493" t="s">
        <v>1199</v>
      </c>
      <c r="U817" s="1493">
        <v>1.39</v>
      </c>
      <c r="V817" s="1495" t="s">
        <v>1883</v>
      </c>
      <c r="W817" s="1496">
        <v>6500</v>
      </c>
      <c r="X817" s="1497" t="s">
        <v>1883</v>
      </c>
      <c r="Y817" s="1498">
        <v>1.309902293208E-2</v>
      </c>
      <c r="Z817" s="1498">
        <v>0.41874029012976999</v>
      </c>
      <c r="AA817" s="1498">
        <v>1.0049766963114399</v>
      </c>
      <c r="AB817" s="1498">
        <v>3.29E-3</v>
      </c>
      <c r="AC817" s="1499" t="s">
        <v>1199</v>
      </c>
      <c r="AD817" s="1500">
        <v>0.03</v>
      </c>
      <c r="AE817" s="1503" t="s">
        <v>1909</v>
      </c>
      <c r="AF817" s="1502" t="s">
        <v>635</v>
      </c>
      <c r="AG817" s="1501"/>
      <c r="AH817" s="1502">
        <v>4.0000000000000001E-3</v>
      </c>
      <c r="AI817" s="1503" t="s">
        <v>1893</v>
      </c>
      <c r="AJ817" s="1502" t="s">
        <v>635</v>
      </c>
      <c r="AK817" s="1501"/>
      <c r="AL817" s="1501"/>
      <c r="AM817" s="1501"/>
      <c r="AN817" s="1504">
        <v>1</v>
      </c>
      <c r="AO817" s="1505">
        <v>0.1</v>
      </c>
      <c r="AP817" s="1506" t="s">
        <v>635</v>
      </c>
    </row>
    <row r="818" spans="1:42" ht="45">
      <c r="A818" s="1481" t="s">
        <v>3411</v>
      </c>
      <c r="B818" s="1482" t="s">
        <v>3412</v>
      </c>
      <c r="C818" s="1483">
        <v>170.34</v>
      </c>
      <c r="D818" s="1484" t="s">
        <v>1199</v>
      </c>
      <c r="E818" s="1485">
        <v>334.423548650859</v>
      </c>
      <c r="F818" s="1485">
        <v>8.18</v>
      </c>
      <c r="G818" s="1486" t="s">
        <v>1199</v>
      </c>
      <c r="H818" s="1485">
        <v>0.13500000000000001</v>
      </c>
      <c r="I818" s="1486" t="s">
        <v>1199</v>
      </c>
      <c r="J818" s="1487">
        <v>-9.6</v>
      </c>
      <c r="K818" s="1488" t="s">
        <v>1199</v>
      </c>
      <c r="L818" s="1489">
        <v>0.877</v>
      </c>
      <c r="M818" s="1490" t="s">
        <v>1989</v>
      </c>
      <c r="N818" s="1491">
        <v>3.6194044102260001E-2</v>
      </c>
      <c r="O818" s="1491">
        <v>6.4310449015000002E-6</v>
      </c>
      <c r="P818" s="1492" t="s">
        <v>1885</v>
      </c>
      <c r="Q818" s="1493" t="s">
        <v>635</v>
      </c>
      <c r="R818" s="1494"/>
      <c r="S818" s="1493">
        <v>4818</v>
      </c>
      <c r="T818" s="1493" t="s">
        <v>1199</v>
      </c>
      <c r="U818" s="1493">
        <v>6.1</v>
      </c>
      <c r="V818" s="1495" t="s">
        <v>1199</v>
      </c>
      <c r="W818" s="1496">
        <v>3.7000000000000002E-3</v>
      </c>
      <c r="X818" s="1497" t="s">
        <v>1199</v>
      </c>
      <c r="Y818" s="1498">
        <v>9.8387753603645205</v>
      </c>
      <c r="Z818" s="1498">
        <v>0.94569860762913005</v>
      </c>
      <c r="AA818" s="1498">
        <v>4.2817373398877798</v>
      </c>
      <c r="AB818" s="1498">
        <v>1.96</v>
      </c>
      <c r="AC818" s="1499" t="s">
        <v>1199</v>
      </c>
      <c r="AD818" s="1500" t="s">
        <v>635</v>
      </c>
      <c r="AE818" s="1501"/>
      <c r="AF818" s="1502" t="s">
        <v>635</v>
      </c>
      <c r="AG818" s="1501"/>
      <c r="AH818" s="1502">
        <v>3</v>
      </c>
      <c r="AI818" s="1503" t="s">
        <v>1909</v>
      </c>
      <c r="AJ818" s="1502" t="s">
        <v>635</v>
      </c>
      <c r="AK818" s="1501"/>
      <c r="AL818" s="1503" t="s">
        <v>1127</v>
      </c>
      <c r="AM818" s="1501"/>
      <c r="AN818" s="1504">
        <v>1</v>
      </c>
      <c r="AO818" s="1504" t="s">
        <v>635</v>
      </c>
      <c r="AP818" s="1506">
        <v>0.34200000000000003</v>
      </c>
    </row>
    <row r="819" spans="1:42" ht="45">
      <c r="A819" s="1507" t="s">
        <v>3413</v>
      </c>
      <c r="B819" s="1508" t="s">
        <v>3414</v>
      </c>
      <c r="C819" s="1509">
        <v>89.5</v>
      </c>
      <c r="D819" s="1510" t="s">
        <v>3415</v>
      </c>
      <c r="E819" s="1511">
        <v>1.86</v>
      </c>
      <c r="F819" s="1511">
        <v>4.5499999999999999E-2</v>
      </c>
      <c r="G819" s="1512" t="s">
        <v>3415</v>
      </c>
      <c r="H819" s="1511">
        <v>95.43</v>
      </c>
      <c r="I819" s="1512" t="s">
        <v>3415</v>
      </c>
      <c r="J819" s="1513">
        <v>-96.47</v>
      </c>
      <c r="K819" s="1514" t="s">
        <v>3415</v>
      </c>
      <c r="L819" s="1515">
        <v>0.71699999999999997</v>
      </c>
      <c r="M819" s="1516" t="s">
        <v>1884</v>
      </c>
      <c r="N819" s="1517">
        <v>7.3483287836679997E-2</v>
      </c>
      <c r="O819" s="1517">
        <v>8.3847369791600002E-6</v>
      </c>
      <c r="P819" s="1518" t="s">
        <v>1885</v>
      </c>
      <c r="Q819" s="1519" t="s">
        <v>635</v>
      </c>
      <c r="R819" s="1520"/>
      <c r="S819" s="1519">
        <v>172.4</v>
      </c>
      <c r="T819" s="1519" t="s">
        <v>1199</v>
      </c>
      <c r="U819" s="1519">
        <v>3.81</v>
      </c>
      <c r="V819" s="1521" t="s">
        <v>3415</v>
      </c>
      <c r="W819" s="1522">
        <v>75.3</v>
      </c>
      <c r="X819" s="1523" t="s">
        <v>3415</v>
      </c>
      <c r="Y819" s="1524">
        <v>0.94604439642122995</v>
      </c>
      <c r="Z819" s="1524">
        <v>0.33346384202540003</v>
      </c>
      <c r="AA819" s="1524">
        <v>1.28390082056411</v>
      </c>
      <c r="AB819" s="1524">
        <v>0.26</v>
      </c>
      <c r="AC819" s="1525" t="s">
        <v>1199</v>
      </c>
      <c r="AD819" s="1526" t="s">
        <v>635</v>
      </c>
      <c r="AE819" s="1527"/>
      <c r="AF819" s="1528" t="s">
        <v>635</v>
      </c>
      <c r="AG819" s="1527"/>
      <c r="AH819" s="1528">
        <v>5.0000000000000001E-3</v>
      </c>
      <c r="AI819" s="1529" t="s">
        <v>1909</v>
      </c>
      <c r="AJ819" s="1528">
        <v>0.4</v>
      </c>
      <c r="AK819" s="1529" t="s">
        <v>1909</v>
      </c>
      <c r="AL819" s="1529" t="s">
        <v>1127</v>
      </c>
      <c r="AM819" s="1527"/>
      <c r="AN819" s="1530">
        <v>1</v>
      </c>
      <c r="AO819" s="1530" t="s">
        <v>635</v>
      </c>
      <c r="AP819" s="1532">
        <v>112</v>
      </c>
    </row>
    <row r="820" spans="1:42" ht="45">
      <c r="A820" s="1481" t="s">
        <v>3416</v>
      </c>
      <c r="B820" s="1482" t="s">
        <v>3417</v>
      </c>
      <c r="C820" s="1483">
        <v>128.26</v>
      </c>
      <c r="D820" s="1484" t="s">
        <v>3415</v>
      </c>
      <c r="E820" s="1485">
        <v>139.00245298446401</v>
      </c>
      <c r="F820" s="1485">
        <v>3.4</v>
      </c>
      <c r="G820" s="1486" t="s">
        <v>1199</v>
      </c>
      <c r="H820" s="1485">
        <v>4.45</v>
      </c>
      <c r="I820" s="1486" t="s">
        <v>3415</v>
      </c>
      <c r="J820" s="1487">
        <v>-53.5</v>
      </c>
      <c r="K820" s="1488" t="s">
        <v>3415</v>
      </c>
      <c r="L820" s="1489">
        <v>0.71919999999999995</v>
      </c>
      <c r="M820" s="1490" t="s">
        <v>1884</v>
      </c>
      <c r="N820" s="1491">
        <v>5.1431994696579997E-2</v>
      </c>
      <c r="O820" s="1491">
        <v>6.7690362122699998E-6</v>
      </c>
      <c r="P820" s="1492" t="s">
        <v>1885</v>
      </c>
      <c r="Q820" s="1493" t="s">
        <v>635</v>
      </c>
      <c r="R820" s="1494"/>
      <c r="S820" s="1493">
        <v>796</v>
      </c>
      <c r="T820" s="1493" t="s">
        <v>1199</v>
      </c>
      <c r="U820" s="1493">
        <v>5.65</v>
      </c>
      <c r="V820" s="1495" t="s">
        <v>3415</v>
      </c>
      <c r="W820" s="1496">
        <v>0.22</v>
      </c>
      <c r="X820" s="1497" t="s">
        <v>3415</v>
      </c>
      <c r="Y820" s="1498">
        <v>7.4049339860175696</v>
      </c>
      <c r="Z820" s="1498">
        <v>0.54967343630260002</v>
      </c>
      <c r="AA820" s="1498">
        <v>2.4597368290978299</v>
      </c>
      <c r="AB820" s="1498">
        <v>1.7</v>
      </c>
      <c r="AC820" s="1499" t="s">
        <v>1199</v>
      </c>
      <c r="AD820" s="1500" t="s">
        <v>635</v>
      </c>
      <c r="AE820" s="1501"/>
      <c r="AF820" s="1502" t="s">
        <v>635</v>
      </c>
      <c r="AG820" s="1501"/>
      <c r="AH820" s="1502">
        <v>0.01</v>
      </c>
      <c r="AI820" s="1503" t="s">
        <v>1893</v>
      </c>
      <c r="AJ820" s="1502">
        <v>0.1</v>
      </c>
      <c r="AK820" s="1503" t="s">
        <v>1909</v>
      </c>
      <c r="AL820" s="1503" t="s">
        <v>1127</v>
      </c>
      <c r="AM820" s="1501"/>
      <c r="AN820" s="1504">
        <v>1</v>
      </c>
      <c r="AO820" s="1504" t="s">
        <v>635</v>
      </c>
      <c r="AP820" s="1506">
        <v>6.86</v>
      </c>
    </row>
    <row r="821" spans="1:42" ht="45">
      <c r="A821" s="1481" t="s">
        <v>3418</v>
      </c>
      <c r="B821" s="1482" t="s">
        <v>3419</v>
      </c>
      <c r="C821" s="1483">
        <v>252.32</v>
      </c>
      <c r="D821" s="1484" t="s">
        <v>3415</v>
      </c>
      <c r="E821" s="1485">
        <v>1.8683564999999999E-5</v>
      </c>
      <c r="F821" s="1485">
        <v>4.5699999999999998E-7</v>
      </c>
      <c r="G821" s="1486" t="s">
        <v>3415</v>
      </c>
      <c r="H821" s="1485">
        <v>5.4899999999999999E-9</v>
      </c>
      <c r="I821" s="1486" t="s">
        <v>1199</v>
      </c>
      <c r="J821" s="1487">
        <v>176.5</v>
      </c>
      <c r="K821" s="1488" t="s">
        <v>3415</v>
      </c>
      <c r="L821" s="1489">
        <v>1.351</v>
      </c>
      <c r="M821" s="1490" t="s">
        <v>3415</v>
      </c>
      <c r="N821" s="1491">
        <v>2.547643760558E-2</v>
      </c>
      <c r="O821" s="1491">
        <v>6.58406296339E-6</v>
      </c>
      <c r="P821" s="1492" t="s">
        <v>1885</v>
      </c>
      <c r="Q821" s="1493" t="s">
        <v>635</v>
      </c>
      <c r="R821" s="1494"/>
      <c r="S821" s="1493">
        <v>587400</v>
      </c>
      <c r="T821" s="1493" t="s">
        <v>1199</v>
      </c>
      <c r="U821" s="1493">
        <v>6.13</v>
      </c>
      <c r="V821" s="1495" t="s">
        <v>3415</v>
      </c>
      <c r="W821" s="1496">
        <v>1.6199999999999999E-3</v>
      </c>
      <c r="X821" s="1497" t="s">
        <v>3415</v>
      </c>
      <c r="Y821" s="1498">
        <v>4.3560416128113797</v>
      </c>
      <c r="Z821" s="1498">
        <v>2.72170311040471</v>
      </c>
      <c r="AA821" s="1498">
        <v>11.8221045485476</v>
      </c>
      <c r="AB821" s="1498">
        <v>0.71299999999999997</v>
      </c>
      <c r="AC821" s="1499" t="s">
        <v>1199</v>
      </c>
      <c r="AD821" s="1500" t="s">
        <v>635</v>
      </c>
      <c r="AE821" s="1501"/>
      <c r="AF821" s="1502" t="s">
        <v>635</v>
      </c>
      <c r="AG821" s="1501"/>
      <c r="AH821" s="1502">
        <v>2.9999999999999997E-4</v>
      </c>
      <c r="AI821" s="1503" t="s">
        <v>1909</v>
      </c>
      <c r="AJ821" s="1502">
        <v>1.9999999999999999E-6</v>
      </c>
      <c r="AK821" s="1503" t="s">
        <v>1909</v>
      </c>
      <c r="AL821" s="1501"/>
      <c r="AM821" s="1503" t="s">
        <v>1906</v>
      </c>
      <c r="AN821" s="1504">
        <v>1</v>
      </c>
      <c r="AO821" s="1539">
        <v>0.13</v>
      </c>
      <c r="AP821" s="1506" t="s">
        <v>635</v>
      </c>
    </row>
    <row r="822" spans="1:42" ht="45">
      <c r="A822" s="1507" t="s">
        <v>3420</v>
      </c>
      <c r="B822" s="1508" t="s">
        <v>3421</v>
      </c>
      <c r="C822" s="1509">
        <v>120.2</v>
      </c>
      <c r="D822" s="1510" t="s">
        <v>3415</v>
      </c>
      <c r="E822" s="1511">
        <v>0.26287816800000002</v>
      </c>
      <c r="F822" s="1511">
        <v>6.43E-3</v>
      </c>
      <c r="G822" s="1512" t="s">
        <v>3415</v>
      </c>
      <c r="H822" s="1511">
        <v>2.0895333329999999</v>
      </c>
      <c r="I822" s="1512" t="s">
        <v>3415</v>
      </c>
      <c r="J822" s="1513">
        <v>-37.966666670000002</v>
      </c>
      <c r="K822" s="1514" t="s">
        <v>3415</v>
      </c>
      <c r="L822" s="1515">
        <v>0.87723333299999995</v>
      </c>
      <c r="M822" s="1516" t="s">
        <v>1884</v>
      </c>
      <c r="N822" s="1517">
        <v>6.072024173019E-2</v>
      </c>
      <c r="O822" s="1517">
        <v>7.9286302722500004E-6</v>
      </c>
      <c r="P822" s="1518" t="s">
        <v>1885</v>
      </c>
      <c r="Q822" s="1519" t="s">
        <v>635</v>
      </c>
      <c r="R822" s="1520"/>
      <c r="S822" s="1519">
        <v>614.43333329999996</v>
      </c>
      <c r="T822" s="1519" t="s">
        <v>1199</v>
      </c>
      <c r="U822" s="1519">
        <v>3.57</v>
      </c>
      <c r="V822" s="1521" t="s">
        <v>3415</v>
      </c>
      <c r="W822" s="1522">
        <v>60.133333329999999</v>
      </c>
      <c r="X822" s="1523" t="s">
        <v>3415</v>
      </c>
      <c r="Y822" s="1524">
        <v>0.33382683653334</v>
      </c>
      <c r="Z822" s="1524">
        <v>0.49541454114276001</v>
      </c>
      <c r="AA822" s="1524">
        <v>1.18899489874263</v>
      </c>
      <c r="AB822" s="1524">
        <v>7.9166666999999996E-2</v>
      </c>
      <c r="AC822" s="1525" t="s">
        <v>1199</v>
      </c>
      <c r="AD822" s="1526" t="s">
        <v>635</v>
      </c>
      <c r="AE822" s="1527"/>
      <c r="AF822" s="1528" t="s">
        <v>635</v>
      </c>
      <c r="AG822" s="1527"/>
      <c r="AH822" s="1528">
        <v>0.01</v>
      </c>
      <c r="AI822" s="1529" t="s">
        <v>1909</v>
      </c>
      <c r="AJ822" s="1528">
        <v>0.06</v>
      </c>
      <c r="AK822" s="1529" t="s">
        <v>1909</v>
      </c>
      <c r="AL822" s="1529" t="s">
        <v>1127</v>
      </c>
      <c r="AM822" s="1527"/>
      <c r="AN822" s="1530">
        <v>1</v>
      </c>
      <c r="AO822" s="1530" t="s">
        <v>635</v>
      </c>
      <c r="AP822" s="1532">
        <v>231</v>
      </c>
    </row>
    <row r="823" spans="1:42" ht="30">
      <c r="A823" s="1481" t="s">
        <v>324</v>
      </c>
      <c r="B823" s="1482" t="s">
        <v>323</v>
      </c>
      <c r="C823" s="1483">
        <v>448.26</v>
      </c>
      <c r="D823" s="1484" t="s">
        <v>1883</v>
      </c>
      <c r="E823" s="1485">
        <v>2.4529844644000001E-4</v>
      </c>
      <c r="F823" s="1485">
        <v>6.0000000000000002E-6</v>
      </c>
      <c r="G823" s="1486" t="s">
        <v>1883</v>
      </c>
      <c r="H823" s="1485">
        <v>6.6900000000000003E-6</v>
      </c>
      <c r="I823" s="1486" t="s">
        <v>1883</v>
      </c>
      <c r="J823" s="1487">
        <v>77</v>
      </c>
      <c r="K823" s="1488" t="s">
        <v>1883</v>
      </c>
      <c r="L823" s="1489">
        <v>1.65</v>
      </c>
      <c r="M823" s="1490" t="s">
        <v>2347</v>
      </c>
      <c r="N823" s="1491">
        <v>2.083036168457E-2</v>
      </c>
      <c r="O823" s="1491">
        <v>5.2582852998400003E-6</v>
      </c>
      <c r="P823" s="1492" t="s">
        <v>1885</v>
      </c>
      <c r="Q823" s="1493" t="s">
        <v>635</v>
      </c>
      <c r="R823" s="1494"/>
      <c r="S823" s="1493">
        <v>77200</v>
      </c>
      <c r="T823" s="1493" t="s">
        <v>1199</v>
      </c>
      <c r="U823" s="1493">
        <v>5.9</v>
      </c>
      <c r="V823" s="1495" t="s">
        <v>1883</v>
      </c>
      <c r="W823" s="1496">
        <v>0.55000000000000004</v>
      </c>
      <c r="X823" s="1497" t="s">
        <v>1883</v>
      </c>
      <c r="Y823" s="1498">
        <v>0.42181440336665998</v>
      </c>
      <c r="Z823" s="1498">
        <v>34.049030432443402</v>
      </c>
      <c r="AA823" s="1498">
        <v>81.717673037864103</v>
      </c>
      <c r="AB823" s="1498">
        <v>5.1799999999999999E-2</v>
      </c>
      <c r="AC823" s="1499" t="s">
        <v>1199</v>
      </c>
      <c r="AD823" s="1500">
        <v>1.1000000000000001</v>
      </c>
      <c r="AE823" s="1503" t="s">
        <v>1119</v>
      </c>
      <c r="AF823" s="1502">
        <v>3.2000000000000003E-4</v>
      </c>
      <c r="AG823" s="1503" t="s">
        <v>1119</v>
      </c>
      <c r="AH823" s="1502">
        <v>9.0000000000000006E-5</v>
      </c>
      <c r="AI823" s="1503" t="s">
        <v>1909</v>
      </c>
      <c r="AJ823" s="1502" t="s">
        <v>635</v>
      </c>
      <c r="AK823" s="1501"/>
      <c r="AL823" s="1501"/>
      <c r="AM823" s="1501"/>
      <c r="AN823" s="1504">
        <v>1</v>
      </c>
      <c r="AO823" s="1505">
        <v>0.1</v>
      </c>
      <c r="AP823" s="1506" t="s">
        <v>635</v>
      </c>
    </row>
    <row r="824" spans="1:42" ht="30">
      <c r="A824" s="1481" t="s">
        <v>3422</v>
      </c>
      <c r="B824" s="1482" t="s">
        <v>3423</v>
      </c>
      <c r="C824" s="1483">
        <v>448.26</v>
      </c>
      <c r="D824" s="1484" t="s">
        <v>1883</v>
      </c>
      <c r="E824" s="1485">
        <v>2.4529800000000002E-4</v>
      </c>
      <c r="F824" s="1485">
        <v>6.0000000000000002E-6</v>
      </c>
      <c r="G824" s="1486" t="s">
        <v>1883</v>
      </c>
      <c r="H824" s="1485">
        <v>6.6900000000000003E-6</v>
      </c>
      <c r="I824" s="1486" t="s">
        <v>1883</v>
      </c>
      <c r="J824" s="1487">
        <v>77</v>
      </c>
      <c r="K824" s="1488" t="s">
        <v>1883</v>
      </c>
      <c r="L824" s="1489">
        <v>1.65</v>
      </c>
      <c r="M824" s="1490" t="s">
        <v>3415</v>
      </c>
      <c r="N824" s="1491">
        <v>2.083036168457E-2</v>
      </c>
      <c r="O824" s="1491">
        <v>5.2582852998400003E-6</v>
      </c>
      <c r="P824" s="1492" t="s">
        <v>1885</v>
      </c>
      <c r="Q824" s="1493" t="s">
        <v>635</v>
      </c>
      <c r="R824" s="1494"/>
      <c r="S824" s="1493">
        <v>77200</v>
      </c>
      <c r="T824" s="1493" t="s">
        <v>1199</v>
      </c>
      <c r="U824" s="1493">
        <v>5.9</v>
      </c>
      <c r="V824" s="1495" t="s">
        <v>1883</v>
      </c>
      <c r="W824" s="1496">
        <v>0.55000000000000004</v>
      </c>
      <c r="X824" s="1497" t="s">
        <v>1883</v>
      </c>
      <c r="Y824" s="1498">
        <v>0.42181440336665998</v>
      </c>
      <c r="Z824" s="1498">
        <v>34.049030432443402</v>
      </c>
      <c r="AA824" s="1498">
        <v>81.717673037864103</v>
      </c>
      <c r="AB824" s="1498">
        <v>5.1799999999999999E-2</v>
      </c>
      <c r="AC824" s="1499" t="s">
        <v>1199</v>
      </c>
      <c r="AD824" s="1500" t="s">
        <v>635</v>
      </c>
      <c r="AE824" s="1501"/>
      <c r="AF824" s="1502" t="s">
        <v>635</v>
      </c>
      <c r="AG824" s="1501"/>
      <c r="AH824" s="1502">
        <v>3.0000000000000001E-5</v>
      </c>
      <c r="AI824" s="1503" t="s">
        <v>1893</v>
      </c>
      <c r="AJ824" s="1502" t="s">
        <v>635</v>
      </c>
      <c r="AK824" s="1501"/>
      <c r="AL824" s="1501"/>
      <c r="AM824" s="1501"/>
      <c r="AN824" s="1504">
        <v>1</v>
      </c>
      <c r="AO824" s="1505">
        <v>0.1</v>
      </c>
      <c r="AP824" s="1506" t="s">
        <v>635</v>
      </c>
    </row>
    <row r="825" spans="1:42" ht="30">
      <c r="A825" s="1507" t="s">
        <v>3424</v>
      </c>
      <c r="B825" s="1508" t="s">
        <v>3425</v>
      </c>
      <c r="C825" s="1509">
        <v>665.02</v>
      </c>
      <c r="D825" s="1510" t="s">
        <v>1883</v>
      </c>
      <c r="E825" s="1511">
        <v>1.6107931316400001E-8</v>
      </c>
      <c r="F825" s="1511">
        <v>3.9399999999999998E-10</v>
      </c>
      <c r="G825" s="1512" t="s">
        <v>1199</v>
      </c>
      <c r="H825" s="1511">
        <v>3.5999999999999998E-11</v>
      </c>
      <c r="I825" s="1512" t="s">
        <v>1883</v>
      </c>
      <c r="J825" s="1513">
        <v>143</v>
      </c>
      <c r="K825" s="1514" t="s">
        <v>1883</v>
      </c>
      <c r="L825" s="1515" t="s">
        <v>635</v>
      </c>
      <c r="M825" s="1538"/>
      <c r="N825" s="1517">
        <v>2.4938124947649999E-2</v>
      </c>
      <c r="O825" s="1517">
        <v>2.9138230202000002E-6</v>
      </c>
      <c r="P825" s="1518" t="s">
        <v>1885</v>
      </c>
      <c r="Q825" s="1519" t="s">
        <v>635</v>
      </c>
      <c r="R825" s="1520"/>
      <c r="S825" s="1519">
        <v>191100</v>
      </c>
      <c r="T825" s="1519" t="s">
        <v>1199</v>
      </c>
      <c r="U825" s="1519">
        <v>7.56</v>
      </c>
      <c r="V825" s="1521" t="s">
        <v>1883</v>
      </c>
      <c r="W825" s="1522">
        <v>0.08</v>
      </c>
      <c r="X825" s="1523" t="s">
        <v>1883</v>
      </c>
      <c r="Y825" s="1524">
        <v>0.30251286221370999</v>
      </c>
      <c r="Z825" s="1524">
        <v>557.13539423694203</v>
      </c>
      <c r="AA825" s="1524">
        <v>1337.12494616866</v>
      </c>
      <c r="AB825" s="1524">
        <v>3.0499999999999999E-2</v>
      </c>
      <c r="AC825" s="1525" t="s">
        <v>1199</v>
      </c>
      <c r="AD825" s="1526" t="s">
        <v>635</v>
      </c>
      <c r="AE825" s="1527"/>
      <c r="AF825" s="1528" t="s">
        <v>635</v>
      </c>
      <c r="AG825" s="1527"/>
      <c r="AH825" s="1528">
        <v>7.4999999999999997E-3</v>
      </c>
      <c r="AI825" s="1529" t="s">
        <v>1119</v>
      </c>
      <c r="AJ825" s="1528" t="s">
        <v>635</v>
      </c>
      <c r="AK825" s="1527"/>
      <c r="AL825" s="1527"/>
      <c r="AM825" s="1527"/>
      <c r="AN825" s="1530">
        <v>1</v>
      </c>
      <c r="AO825" s="1531">
        <v>0.1</v>
      </c>
      <c r="AP825" s="1532" t="s">
        <v>635</v>
      </c>
    </row>
    <row r="826" spans="1:42" ht="30">
      <c r="A826" s="1481" t="s">
        <v>3426</v>
      </c>
      <c r="B826" s="1482" t="s">
        <v>3427</v>
      </c>
      <c r="C826" s="1483">
        <v>291.05</v>
      </c>
      <c r="D826" s="1484" t="s">
        <v>1883</v>
      </c>
      <c r="E826" s="1485">
        <v>62.142273098936997</v>
      </c>
      <c r="F826" s="1485">
        <v>1.52</v>
      </c>
      <c r="G826" s="1486" t="s">
        <v>1883</v>
      </c>
      <c r="H826" s="1485">
        <v>3.9899999999999998E-2</v>
      </c>
      <c r="I826" s="1486" t="s">
        <v>1883</v>
      </c>
      <c r="J826" s="1487">
        <v>28.89</v>
      </c>
      <c r="K826" s="1488" t="s">
        <v>1199</v>
      </c>
      <c r="L826" s="1489">
        <v>1.103</v>
      </c>
      <c r="M826" s="1490" t="s">
        <v>1884</v>
      </c>
      <c r="N826" s="1491">
        <v>2.1473848558709999E-2</v>
      </c>
      <c r="O826" s="1491">
        <v>5.35101929341E-6</v>
      </c>
      <c r="P826" s="1492" t="s">
        <v>1885</v>
      </c>
      <c r="Q826" s="1493" t="s">
        <v>635</v>
      </c>
      <c r="R826" s="1494"/>
      <c r="S826" s="1493">
        <v>8091</v>
      </c>
      <c r="T826" s="1493" t="s">
        <v>1199</v>
      </c>
      <c r="U826" s="1493">
        <v>4.0999999999999996</v>
      </c>
      <c r="V826" s="1495" t="s">
        <v>1883</v>
      </c>
      <c r="W826" s="1496">
        <v>7.3000000000000001E-3</v>
      </c>
      <c r="X826" s="1497" t="s">
        <v>1883</v>
      </c>
      <c r="Y826" s="1498">
        <v>0.12663908467085999</v>
      </c>
      <c r="Z826" s="1498">
        <v>4.4846520135219796</v>
      </c>
      <c r="AA826" s="1498">
        <v>10.7631648324528</v>
      </c>
      <c r="AB826" s="1498">
        <v>1.9300000000000001E-2</v>
      </c>
      <c r="AC826" s="1499" t="s">
        <v>1199</v>
      </c>
      <c r="AD826" s="1500" t="s">
        <v>635</v>
      </c>
      <c r="AE826" s="1501"/>
      <c r="AF826" s="1502" t="s">
        <v>635</v>
      </c>
      <c r="AG826" s="1501"/>
      <c r="AH826" s="1502">
        <v>2.9999999999999997E-4</v>
      </c>
      <c r="AI826" s="1503" t="s">
        <v>1960</v>
      </c>
      <c r="AJ826" s="1502" t="s">
        <v>635</v>
      </c>
      <c r="AK826" s="1501"/>
      <c r="AL826" s="1503" t="s">
        <v>1127</v>
      </c>
      <c r="AM826" s="1501"/>
      <c r="AN826" s="1504">
        <v>1</v>
      </c>
      <c r="AO826" s="1504" t="s">
        <v>635</v>
      </c>
      <c r="AP826" s="1506" t="s">
        <v>635</v>
      </c>
    </row>
    <row r="827" spans="1:42" ht="30">
      <c r="A827" s="1481" t="s">
        <v>3428</v>
      </c>
      <c r="B827" s="1482" t="s">
        <v>3429</v>
      </c>
      <c r="C827" s="1483">
        <v>218.21</v>
      </c>
      <c r="D827" s="1484" t="s">
        <v>1883</v>
      </c>
      <c r="E827" s="1485">
        <v>5.0299999999999999E-7</v>
      </c>
      <c r="F827" s="1485">
        <v>1.2299999999999999E-8</v>
      </c>
      <c r="G827" s="1486" t="s">
        <v>1199</v>
      </c>
      <c r="H827" s="1485">
        <v>2.48E-3</v>
      </c>
      <c r="I827" s="1486" t="s">
        <v>1883</v>
      </c>
      <c r="J827" s="1487">
        <v>78</v>
      </c>
      <c r="K827" s="1488" t="s">
        <v>1883</v>
      </c>
      <c r="L827" s="1489">
        <v>1.1583000000000001</v>
      </c>
      <c r="M827" s="1490" t="s">
        <v>1884</v>
      </c>
      <c r="N827" s="1491">
        <v>2.5580004674949999E-2</v>
      </c>
      <c r="O827" s="1491">
        <v>6.5499745989500003E-6</v>
      </c>
      <c r="P827" s="1492" t="s">
        <v>1885</v>
      </c>
      <c r="Q827" s="1493" t="s">
        <v>635</v>
      </c>
      <c r="R827" s="1494"/>
      <c r="S827" s="1493">
        <v>40.729999999999997</v>
      </c>
      <c r="T827" s="1493" t="s">
        <v>1199</v>
      </c>
      <c r="U827" s="1493">
        <v>0.25</v>
      </c>
      <c r="V827" s="1495" t="s">
        <v>1883</v>
      </c>
      <c r="W827" s="1496">
        <v>58000</v>
      </c>
      <c r="X827" s="1497" t="s">
        <v>1883</v>
      </c>
      <c r="Y827" s="1498">
        <v>7.7836723072000004E-4</v>
      </c>
      <c r="Z827" s="1498">
        <v>1.7531729031133101</v>
      </c>
      <c r="AA827" s="1498">
        <v>4.2076149674719403</v>
      </c>
      <c r="AB827" s="1498">
        <v>1.37E-4</v>
      </c>
      <c r="AC827" s="1499" t="s">
        <v>1199</v>
      </c>
      <c r="AD827" s="1500" t="s">
        <v>635</v>
      </c>
      <c r="AE827" s="1501"/>
      <c r="AF827" s="1502" t="s">
        <v>635</v>
      </c>
      <c r="AG827" s="1501"/>
      <c r="AH827" s="1502">
        <v>80</v>
      </c>
      <c r="AI827" s="1503" t="s">
        <v>1893</v>
      </c>
      <c r="AJ827" s="1502" t="s">
        <v>635</v>
      </c>
      <c r="AK827" s="1501"/>
      <c r="AL827" s="1501"/>
      <c r="AM827" s="1501"/>
      <c r="AN827" s="1504">
        <v>1</v>
      </c>
      <c r="AO827" s="1505">
        <v>0.1</v>
      </c>
      <c r="AP827" s="1506" t="s">
        <v>635</v>
      </c>
    </row>
    <row r="828" spans="1:42" ht="30">
      <c r="A828" s="1507" t="s">
        <v>3430</v>
      </c>
      <c r="B828" s="1508" t="s">
        <v>3431</v>
      </c>
      <c r="C828" s="1509">
        <v>293.76</v>
      </c>
      <c r="D828" s="1510" t="s">
        <v>1883</v>
      </c>
      <c r="E828" s="1511">
        <v>3.31561733442E-9</v>
      </c>
      <c r="F828" s="1511">
        <v>8.1099999999999997E-11</v>
      </c>
      <c r="G828" s="1512" t="s">
        <v>1199</v>
      </c>
      <c r="H828" s="1511">
        <v>1.4999999999999999E-8</v>
      </c>
      <c r="I828" s="1512" t="s">
        <v>1883</v>
      </c>
      <c r="J828" s="1513">
        <v>82.3</v>
      </c>
      <c r="K828" s="1514" t="s">
        <v>1883</v>
      </c>
      <c r="L828" s="1515">
        <v>1.22</v>
      </c>
      <c r="M828" s="1516" t="s">
        <v>1884</v>
      </c>
      <c r="N828" s="1517">
        <v>2.242914016312E-2</v>
      </c>
      <c r="O828" s="1517">
        <v>5.6531703730000004E-6</v>
      </c>
      <c r="P828" s="1518" t="s">
        <v>1885</v>
      </c>
      <c r="Q828" s="1519" t="s">
        <v>635</v>
      </c>
      <c r="R828" s="1520"/>
      <c r="S828" s="1519">
        <v>298.5</v>
      </c>
      <c r="T828" s="1519" t="s">
        <v>1199</v>
      </c>
      <c r="U828" s="1519">
        <v>2.77</v>
      </c>
      <c r="V828" s="1521" t="s">
        <v>1883</v>
      </c>
      <c r="W828" s="1522">
        <v>71.5</v>
      </c>
      <c r="X828" s="1523" t="s">
        <v>1883</v>
      </c>
      <c r="Y828" s="1524">
        <v>1.6084694183669999E-2</v>
      </c>
      <c r="Z828" s="1524">
        <v>4.6441340792212698</v>
      </c>
      <c r="AA828" s="1524">
        <v>11.1459217901311</v>
      </c>
      <c r="AB828" s="1524">
        <v>2.4399999999999999E-3</v>
      </c>
      <c r="AC828" s="1525" t="s">
        <v>1199</v>
      </c>
      <c r="AD828" s="1526" t="s">
        <v>635</v>
      </c>
      <c r="AE828" s="1527"/>
      <c r="AF828" s="1528" t="s">
        <v>635</v>
      </c>
      <c r="AG828" s="1527"/>
      <c r="AH828" s="1528">
        <v>3.4000000000000002E-2</v>
      </c>
      <c r="AI828" s="1529" t="s">
        <v>1116</v>
      </c>
      <c r="AJ828" s="1528" t="s">
        <v>635</v>
      </c>
      <c r="AK828" s="1527"/>
      <c r="AL828" s="1527"/>
      <c r="AM828" s="1527"/>
      <c r="AN828" s="1530">
        <v>1</v>
      </c>
      <c r="AO828" s="1531">
        <v>0.1</v>
      </c>
      <c r="AP828" s="1532" t="s">
        <v>635</v>
      </c>
    </row>
    <row r="829" spans="1:42" ht="30">
      <c r="A829" s="1481" t="s">
        <v>3432</v>
      </c>
      <c r="B829" s="1482" t="s">
        <v>3433</v>
      </c>
      <c r="C829" s="1483">
        <v>304.67</v>
      </c>
      <c r="D829" s="1484" t="s">
        <v>1883</v>
      </c>
      <c r="E829" s="1485">
        <v>4.9059689289000005E-4</v>
      </c>
      <c r="F829" s="1485">
        <v>1.2E-5</v>
      </c>
      <c r="G829" s="1486" t="s">
        <v>1199</v>
      </c>
      <c r="H829" s="1485">
        <v>1.2E-4</v>
      </c>
      <c r="I829" s="1486" t="s">
        <v>1883</v>
      </c>
      <c r="J829" s="1487">
        <v>29</v>
      </c>
      <c r="K829" s="1488" t="s">
        <v>1883</v>
      </c>
      <c r="L829" s="1489">
        <v>1.2729999999999999</v>
      </c>
      <c r="M829" s="1490" t="s">
        <v>1884</v>
      </c>
      <c r="N829" s="1491">
        <v>2.2457495897E-2</v>
      </c>
      <c r="O829" s="1491">
        <v>5.6737604835700003E-6</v>
      </c>
      <c r="P829" s="1492" t="s">
        <v>1885</v>
      </c>
      <c r="Q829" s="1493" t="s">
        <v>635</v>
      </c>
      <c r="R829" s="1494"/>
      <c r="S829" s="1493">
        <v>1008</v>
      </c>
      <c r="T829" s="1493" t="s">
        <v>1199</v>
      </c>
      <c r="U829" s="1493">
        <v>4.5999999999999996</v>
      </c>
      <c r="V829" s="1495" t="s">
        <v>1883</v>
      </c>
      <c r="W829" s="1496">
        <v>4</v>
      </c>
      <c r="X829" s="1497" t="s">
        <v>1883</v>
      </c>
      <c r="Y829" s="1498">
        <v>0.23429710652763</v>
      </c>
      <c r="Z829" s="1498">
        <v>5.3456528208549301</v>
      </c>
      <c r="AA829" s="1498">
        <v>12.8295667700518</v>
      </c>
      <c r="AB829" s="1498">
        <v>3.49E-2</v>
      </c>
      <c r="AC829" s="1499" t="s">
        <v>1199</v>
      </c>
      <c r="AD829" s="1500">
        <v>7.17E-2</v>
      </c>
      <c r="AE829" s="1503" t="s">
        <v>1116</v>
      </c>
      <c r="AF829" s="1502" t="s">
        <v>635</v>
      </c>
      <c r="AG829" s="1501"/>
      <c r="AH829" s="1502">
        <v>2.5000000000000001E-2</v>
      </c>
      <c r="AI829" s="1503" t="s">
        <v>1116</v>
      </c>
      <c r="AJ829" s="1502" t="s">
        <v>635</v>
      </c>
      <c r="AK829" s="1501"/>
      <c r="AL829" s="1503" t="s">
        <v>1127</v>
      </c>
      <c r="AM829" s="1501"/>
      <c r="AN829" s="1504">
        <v>1</v>
      </c>
      <c r="AO829" s="1504" t="s">
        <v>635</v>
      </c>
      <c r="AP829" s="1506" t="s">
        <v>635</v>
      </c>
    </row>
    <row r="830" spans="1:42" ht="30">
      <c r="A830" s="1481" t="s">
        <v>3434</v>
      </c>
      <c r="B830" s="1482" t="s">
        <v>3435</v>
      </c>
      <c r="C830" s="1483">
        <v>401.83</v>
      </c>
      <c r="D830" s="1484" t="s">
        <v>1883</v>
      </c>
      <c r="E830" s="1485">
        <v>1.3205233034000001E-11</v>
      </c>
      <c r="F830" s="1485">
        <v>3.2299999999999999E-13</v>
      </c>
      <c r="G830" s="1486" t="s">
        <v>1883</v>
      </c>
      <c r="H830" s="1485">
        <v>5.5300000000000001E-12</v>
      </c>
      <c r="I830" s="1486" t="s">
        <v>1883</v>
      </c>
      <c r="J830" s="1487">
        <v>186</v>
      </c>
      <c r="K830" s="1488" t="s">
        <v>1883</v>
      </c>
      <c r="L830" s="1489" t="s">
        <v>635</v>
      </c>
      <c r="M830" s="1533"/>
      <c r="N830" s="1491">
        <v>3.4891959740929998E-2</v>
      </c>
      <c r="O830" s="1491">
        <v>4.0768500328900003E-6</v>
      </c>
      <c r="P830" s="1492" t="s">
        <v>1885</v>
      </c>
      <c r="Q830" s="1493" t="s">
        <v>635</v>
      </c>
      <c r="R830" s="1494"/>
      <c r="S830" s="1493">
        <v>427.2</v>
      </c>
      <c r="T830" s="1493" t="s">
        <v>1199</v>
      </c>
      <c r="U830" s="1493">
        <v>1.1000000000000001</v>
      </c>
      <c r="V830" s="1495" t="s">
        <v>1883</v>
      </c>
      <c r="W830" s="1496">
        <v>32</v>
      </c>
      <c r="X830" s="1497" t="s">
        <v>1883</v>
      </c>
      <c r="Y830" s="1498">
        <v>3.6159354865E-4</v>
      </c>
      <c r="Z830" s="1498">
        <v>18.7109892655156</v>
      </c>
      <c r="AA830" s="1498">
        <v>44.906374237237401</v>
      </c>
      <c r="AB830" s="1498">
        <v>4.6900000000000002E-5</v>
      </c>
      <c r="AC830" s="1499" t="s">
        <v>1199</v>
      </c>
      <c r="AD830" s="1500" t="s">
        <v>635</v>
      </c>
      <c r="AE830" s="1501"/>
      <c r="AF830" s="1502" t="s">
        <v>635</v>
      </c>
      <c r="AG830" s="1501"/>
      <c r="AH830" s="1502">
        <v>0.01</v>
      </c>
      <c r="AI830" s="1503" t="s">
        <v>1119</v>
      </c>
      <c r="AJ830" s="1502" t="s">
        <v>635</v>
      </c>
      <c r="AK830" s="1501"/>
      <c r="AL830" s="1501"/>
      <c r="AM830" s="1501"/>
      <c r="AN830" s="1504">
        <v>1</v>
      </c>
      <c r="AO830" s="1505">
        <v>0.1</v>
      </c>
      <c r="AP830" s="1506" t="s">
        <v>635</v>
      </c>
    </row>
    <row r="831" spans="1:42" ht="30">
      <c r="A831" s="1507" t="s">
        <v>3436</v>
      </c>
      <c r="B831" s="1508" t="s">
        <v>3437</v>
      </c>
      <c r="C831" s="1509">
        <v>395.4</v>
      </c>
      <c r="D831" s="1510" t="s">
        <v>1883</v>
      </c>
      <c r="E831" s="1511">
        <v>4.1700735895000002E-12</v>
      </c>
      <c r="F831" s="1511">
        <v>1.0199999999999999E-13</v>
      </c>
      <c r="G831" s="1512" t="s">
        <v>1883</v>
      </c>
      <c r="H831" s="1511">
        <v>3.9E-10</v>
      </c>
      <c r="I831" s="1512" t="s">
        <v>1883</v>
      </c>
      <c r="J831" s="1513">
        <v>141</v>
      </c>
      <c r="K831" s="1514" t="s">
        <v>1883</v>
      </c>
      <c r="L831" s="1515" t="s">
        <v>635</v>
      </c>
      <c r="M831" s="1538"/>
      <c r="N831" s="1517">
        <v>3.5269217499599999E-2</v>
      </c>
      <c r="O831" s="1517">
        <v>4.1209296236399997E-6</v>
      </c>
      <c r="P831" s="1518" t="s">
        <v>1885</v>
      </c>
      <c r="Q831" s="1519" t="s">
        <v>635</v>
      </c>
      <c r="R831" s="1520"/>
      <c r="S831" s="1519">
        <v>94.69</v>
      </c>
      <c r="T831" s="1519" t="s">
        <v>1199</v>
      </c>
      <c r="U831" s="1519">
        <v>0.78</v>
      </c>
      <c r="V831" s="1521" t="s">
        <v>1883</v>
      </c>
      <c r="W831" s="1522">
        <v>50</v>
      </c>
      <c r="X831" s="1523" t="s">
        <v>1883</v>
      </c>
      <c r="Y831" s="1524">
        <v>3.5792401428200002E-3</v>
      </c>
      <c r="Z831" s="1524">
        <v>17.222204808863601</v>
      </c>
      <c r="AA831" s="1524">
        <v>41.333291541272601</v>
      </c>
      <c r="AB831" s="1524">
        <v>4.6799999999999999E-4</v>
      </c>
      <c r="AC831" s="1525" t="s">
        <v>1199</v>
      </c>
      <c r="AD831" s="1526" t="s">
        <v>635</v>
      </c>
      <c r="AE831" s="1527"/>
      <c r="AF831" s="1528" t="s">
        <v>635</v>
      </c>
      <c r="AG831" s="1527"/>
      <c r="AH831" s="1528">
        <v>8.0000000000000002E-3</v>
      </c>
      <c r="AI831" s="1529" t="s">
        <v>1119</v>
      </c>
      <c r="AJ831" s="1528" t="s">
        <v>635</v>
      </c>
      <c r="AK831" s="1527"/>
      <c r="AL831" s="1527"/>
      <c r="AM831" s="1527"/>
      <c r="AN831" s="1530">
        <v>1</v>
      </c>
      <c r="AO831" s="1531">
        <v>0.1</v>
      </c>
      <c r="AP831" s="1532" t="s">
        <v>635</v>
      </c>
    </row>
    <row r="832" spans="1:42" ht="30">
      <c r="A832" s="1481" t="s">
        <v>3438</v>
      </c>
      <c r="B832" s="1482" t="s">
        <v>3439</v>
      </c>
      <c r="C832" s="1483">
        <v>314.8</v>
      </c>
      <c r="D832" s="1484" t="s">
        <v>1883</v>
      </c>
      <c r="E832" s="1485">
        <v>1.394112837285E-2</v>
      </c>
      <c r="F832" s="1485">
        <v>3.4099999999999999E-4</v>
      </c>
      <c r="G832" s="1486" t="s">
        <v>1883</v>
      </c>
      <c r="H832" s="1485">
        <v>5.4799999999999996E-3</v>
      </c>
      <c r="I832" s="1486" t="s">
        <v>1883</v>
      </c>
      <c r="J832" s="1487">
        <v>44.5</v>
      </c>
      <c r="K832" s="1488" t="s">
        <v>1883</v>
      </c>
      <c r="L832" s="1489">
        <v>2.2810000000000001</v>
      </c>
      <c r="M832" s="1490" t="s">
        <v>1989</v>
      </c>
      <c r="N832" s="1491">
        <v>2.896888695206E-2</v>
      </c>
      <c r="O832" s="1491">
        <v>7.8945268929500001E-6</v>
      </c>
      <c r="P832" s="1492" t="s">
        <v>1885</v>
      </c>
      <c r="Q832" s="1493" t="s">
        <v>635</v>
      </c>
      <c r="R832" s="1494"/>
      <c r="S832" s="1493">
        <v>614.29999999999995</v>
      </c>
      <c r="T832" s="1493" t="s">
        <v>1199</v>
      </c>
      <c r="U832" s="1493">
        <v>4.66</v>
      </c>
      <c r="V832" s="1495" t="s">
        <v>1883</v>
      </c>
      <c r="W832" s="1496">
        <v>4.8979999999999997</v>
      </c>
      <c r="X832" s="1497" t="s">
        <v>1883</v>
      </c>
      <c r="Y832" s="1498">
        <v>0.22997144535892999</v>
      </c>
      <c r="Z832" s="1498">
        <v>6.0915631332310598</v>
      </c>
      <c r="AA832" s="1498">
        <v>14.619751519754599</v>
      </c>
      <c r="AB832" s="1498">
        <v>3.3700000000000001E-2</v>
      </c>
      <c r="AC832" s="1499" t="s">
        <v>1199</v>
      </c>
      <c r="AD832" s="1500" t="s">
        <v>635</v>
      </c>
      <c r="AE832" s="1501"/>
      <c r="AF832" s="1502" t="s">
        <v>635</v>
      </c>
      <c r="AG832" s="1501"/>
      <c r="AH832" s="1502">
        <v>5.0000000000000001E-3</v>
      </c>
      <c r="AI832" s="1503" t="s">
        <v>1119</v>
      </c>
      <c r="AJ832" s="1502" t="s">
        <v>635</v>
      </c>
      <c r="AK832" s="1501"/>
      <c r="AL832" s="1503" t="s">
        <v>1127</v>
      </c>
      <c r="AM832" s="1501"/>
      <c r="AN832" s="1504">
        <v>1</v>
      </c>
      <c r="AO832" s="1504" t="s">
        <v>635</v>
      </c>
      <c r="AP832" s="1506" t="s">
        <v>635</v>
      </c>
    </row>
    <row r="833" spans="1:42" ht="30">
      <c r="A833" s="1481" t="s">
        <v>3440</v>
      </c>
      <c r="B833" s="1482" t="s">
        <v>3441</v>
      </c>
      <c r="C833" s="1483">
        <v>330.8</v>
      </c>
      <c r="D833" s="1484" t="s">
        <v>1883</v>
      </c>
      <c r="E833" s="1485">
        <v>1.4513491414599999E-6</v>
      </c>
      <c r="F833" s="1485">
        <v>3.55E-8</v>
      </c>
      <c r="G833" s="1486" t="s">
        <v>1883</v>
      </c>
      <c r="H833" s="1485">
        <v>3.0299999999999999E-4</v>
      </c>
      <c r="I833" s="1486" t="s">
        <v>1883</v>
      </c>
      <c r="J833" s="1487">
        <v>95.5</v>
      </c>
      <c r="K833" s="1488" t="s">
        <v>1883</v>
      </c>
      <c r="L833" s="1489">
        <v>2.5499999999999998</v>
      </c>
      <c r="M833" s="1490" t="s">
        <v>1884</v>
      </c>
      <c r="N833" s="1491">
        <v>2.9726549447260001E-2</v>
      </c>
      <c r="O833" s="1491">
        <v>8.1932570300300004E-6</v>
      </c>
      <c r="P833" s="1492" t="s">
        <v>1885</v>
      </c>
      <c r="Q833" s="1493" t="s">
        <v>635</v>
      </c>
      <c r="R833" s="1494"/>
      <c r="S833" s="1493">
        <v>805.2</v>
      </c>
      <c r="T833" s="1493" t="s">
        <v>1199</v>
      </c>
      <c r="U833" s="1493">
        <v>4.13</v>
      </c>
      <c r="V833" s="1495" t="s">
        <v>1883</v>
      </c>
      <c r="W833" s="1496">
        <v>70</v>
      </c>
      <c r="X833" s="1497" t="s">
        <v>1883</v>
      </c>
      <c r="Y833" s="1498">
        <v>8.4643726022839996E-2</v>
      </c>
      <c r="Z833" s="1498">
        <v>7.48736059753403</v>
      </c>
      <c r="AA833" s="1498">
        <v>17.969665434081701</v>
      </c>
      <c r="AB833" s="1498">
        <v>1.21E-2</v>
      </c>
      <c r="AC833" s="1499" t="s">
        <v>1199</v>
      </c>
      <c r="AD833" s="1500" t="s">
        <v>635</v>
      </c>
      <c r="AE833" s="1501"/>
      <c r="AF833" s="1502" t="s">
        <v>635</v>
      </c>
      <c r="AG833" s="1501"/>
      <c r="AH833" s="1502">
        <v>8.9999999999999993E-3</v>
      </c>
      <c r="AI833" s="1503" t="s">
        <v>1893</v>
      </c>
      <c r="AJ833" s="1502" t="s">
        <v>635</v>
      </c>
      <c r="AK833" s="1501"/>
      <c r="AL833" s="1501"/>
      <c r="AM833" s="1501"/>
      <c r="AN833" s="1504">
        <v>1</v>
      </c>
      <c r="AO833" s="1505">
        <v>0.1</v>
      </c>
      <c r="AP833" s="1506" t="s">
        <v>635</v>
      </c>
    </row>
    <row r="834" spans="1:42" ht="30">
      <c r="A834" s="1507" t="s">
        <v>3442</v>
      </c>
      <c r="B834" s="1508" t="s">
        <v>3443</v>
      </c>
      <c r="C834" s="1509">
        <v>314.51</v>
      </c>
      <c r="D834" s="1510" t="s">
        <v>1883</v>
      </c>
      <c r="E834" s="1511">
        <v>1.201962388E-5</v>
      </c>
      <c r="F834" s="1511">
        <v>2.9400000000000001E-7</v>
      </c>
      <c r="G834" s="1512" t="s">
        <v>1883</v>
      </c>
      <c r="H834" s="1511">
        <v>5.3000000000000001E-6</v>
      </c>
      <c r="I834" s="1512" t="s">
        <v>1883</v>
      </c>
      <c r="J834" s="1513">
        <v>-25</v>
      </c>
      <c r="K834" s="1514" t="s">
        <v>1884</v>
      </c>
      <c r="L834" s="1515">
        <v>1.0569999999999999</v>
      </c>
      <c r="M834" s="1516" t="s">
        <v>1884</v>
      </c>
      <c r="N834" s="1517">
        <v>2.0189730325010001E-2</v>
      </c>
      <c r="O834" s="1517">
        <v>4.9789307831799999E-6</v>
      </c>
      <c r="P834" s="1518" t="s">
        <v>1885</v>
      </c>
      <c r="Q834" s="1519" t="s">
        <v>635</v>
      </c>
      <c r="R834" s="1520"/>
      <c r="S834" s="1519">
        <v>2350</v>
      </c>
      <c r="T834" s="1519" t="s">
        <v>1199</v>
      </c>
      <c r="U834" s="1519">
        <v>5.7</v>
      </c>
      <c r="V834" s="1521" t="s">
        <v>1883</v>
      </c>
      <c r="W834" s="1522">
        <v>2.2999999999999998</v>
      </c>
      <c r="X834" s="1523" t="s">
        <v>1883</v>
      </c>
      <c r="Y834" s="1524">
        <v>1.1254541982536901</v>
      </c>
      <c r="Z834" s="1524">
        <v>6.0688268894980997</v>
      </c>
      <c r="AA834" s="1524">
        <v>23.5714114653092</v>
      </c>
      <c r="AB834" s="1524">
        <v>0.16500000000000001</v>
      </c>
      <c r="AC834" s="1525" t="s">
        <v>1199</v>
      </c>
      <c r="AD834" s="1526" t="s">
        <v>635</v>
      </c>
      <c r="AE834" s="1527"/>
      <c r="AF834" s="1528" t="s">
        <v>635</v>
      </c>
      <c r="AG834" s="1527"/>
      <c r="AH834" s="1528">
        <v>2.0000000000000001E-4</v>
      </c>
      <c r="AI834" s="1529" t="s">
        <v>1116</v>
      </c>
      <c r="AJ834" s="1528" t="s">
        <v>635</v>
      </c>
      <c r="AK834" s="1527"/>
      <c r="AL834" s="1527"/>
      <c r="AM834" s="1527"/>
      <c r="AN834" s="1530">
        <v>1</v>
      </c>
      <c r="AO834" s="1531">
        <v>0.1</v>
      </c>
      <c r="AP834" s="1532" t="s">
        <v>635</v>
      </c>
    </row>
    <row r="835" spans="1:42" ht="30">
      <c r="A835" s="1481" t="s">
        <v>3444</v>
      </c>
      <c r="B835" s="1482" t="s">
        <v>3445</v>
      </c>
      <c r="C835" s="1483">
        <v>266.32</v>
      </c>
      <c r="D835" s="1484" t="s">
        <v>1883</v>
      </c>
      <c r="E835" s="1485">
        <v>5.7645134910000002E-5</v>
      </c>
      <c r="F835" s="1485">
        <v>1.4100000000000001E-6</v>
      </c>
      <c r="G835" s="1486" t="s">
        <v>1199</v>
      </c>
      <c r="H835" s="1485">
        <v>1.1299999999999999E-3</v>
      </c>
      <c r="I835" s="1486" t="s">
        <v>1883</v>
      </c>
      <c r="J835" s="1487">
        <v>-79</v>
      </c>
      <c r="K835" s="1488" t="s">
        <v>1883</v>
      </c>
      <c r="L835" s="1489">
        <v>0.97270000000000001</v>
      </c>
      <c r="M835" s="1490" t="s">
        <v>1884</v>
      </c>
      <c r="N835" s="1491">
        <v>2.1184112234189999E-2</v>
      </c>
      <c r="O835" s="1491">
        <v>5.2337967333400004E-6</v>
      </c>
      <c r="P835" s="1492" t="s">
        <v>1885</v>
      </c>
      <c r="Q835" s="1493" t="s">
        <v>635</v>
      </c>
      <c r="R835" s="1494"/>
      <c r="S835" s="1493">
        <v>2350</v>
      </c>
      <c r="T835" s="1493" t="s">
        <v>1199</v>
      </c>
      <c r="U835" s="1493">
        <v>4</v>
      </c>
      <c r="V835" s="1495" t="s">
        <v>1883</v>
      </c>
      <c r="W835" s="1496">
        <v>280</v>
      </c>
      <c r="X835" s="1497" t="s">
        <v>1883</v>
      </c>
      <c r="Y835" s="1498">
        <v>0.14310782792776</v>
      </c>
      <c r="Z835" s="1498">
        <v>3.26017377503601</v>
      </c>
      <c r="AA835" s="1498">
        <v>7.82441706008641</v>
      </c>
      <c r="AB835" s="1498">
        <v>2.2800000000000001E-2</v>
      </c>
      <c r="AC835" s="1499" t="s">
        <v>1199</v>
      </c>
      <c r="AD835" s="1500">
        <v>8.9999999999999993E-3</v>
      </c>
      <c r="AE835" s="1503" t="s">
        <v>1909</v>
      </c>
      <c r="AF835" s="1502" t="s">
        <v>635</v>
      </c>
      <c r="AG835" s="1501"/>
      <c r="AH835" s="1502">
        <v>0.01</v>
      </c>
      <c r="AI835" s="1503" t="s">
        <v>1909</v>
      </c>
      <c r="AJ835" s="1502" t="s">
        <v>635</v>
      </c>
      <c r="AK835" s="1501"/>
      <c r="AL835" s="1501"/>
      <c r="AM835" s="1501"/>
      <c r="AN835" s="1504">
        <v>1</v>
      </c>
      <c r="AO835" s="1505">
        <v>0.1</v>
      </c>
      <c r="AP835" s="1506" t="s">
        <v>635</v>
      </c>
    </row>
    <row r="836" spans="1:42" ht="30">
      <c r="A836" s="1481" t="s">
        <v>3446</v>
      </c>
      <c r="B836" s="1482" t="s">
        <v>3447</v>
      </c>
      <c r="C836" s="1483" t="s">
        <v>635</v>
      </c>
      <c r="D836" s="1543"/>
      <c r="E836" s="1485" t="s">
        <v>635</v>
      </c>
      <c r="F836" s="1485" t="s">
        <v>635</v>
      </c>
      <c r="G836" s="1536"/>
      <c r="H836" s="1485" t="s">
        <v>635</v>
      </c>
      <c r="I836" s="1536"/>
      <c r="J836" s="1487" t="s">
        <v>635</v>
      </c>
      <c r="K836" s="1542"/>
      <c r="L836" s="1489" t="s">
        <v>635</v>
      </c>
      <c r="M836" s="1533"/>
      <c r="N836" s="1491" t="s">
        <v>635</v>
      </c>
      <c r="O836" s="1491" t="s">
        <v>635</v>
      </c>
      <c r="P836" s="1544"/>
      <c r="Q836" s="1493" t="s">
        <v>635</v>
      </c>
      <c r="R836" s="1494"/>
      <c r="S836" s="1493" t="s">
        <v>635</v>
      </c>
      <c r="T836" s="1494"/>
      <c r="U836" s="1493" t="s">
        <v>635</v>
      </c>
      <c r="V836" s="1481"/>
      <c r="W836" s="1496" t="s">
        <v>635</v>
      </c>
      <c r="X836" s="1537"/>
      <c r="Y836" s="1498" t="s">
        <v>635</v>
      </c>
      <c r="Z836" s="1498" t="s">
        <v>635</v>
      </c>
      <c r="AA836" s="1498" t="s">
        <v>635</v>
      </c>
      <c r="AB836" s="1498" t="s">
        <v>635</v>
      </c>
      <c r="AC836" s="1547"/>
      <c r="AD836" s="1500" t="s">
        <v>635</v>
      </c>
      <c r="AE836" s="1501"/>
      <c r="AF836" s="1502" t="s">
        <v>635</v>
      </c>
      <c r="AG836" s="1501"/>
      <c r="AH836" s="1502">
        <v>2.9999999999999997E-4</v>
      </c>
      <c r="AI836" s="1503" t="s">
        <v>1909</v>
      </c>
      <c r="AJ836" s="1502" t="s">
        <v>635</v>
      </c>
      <c r="AK836" s="1501"/>
      <c r="AL836" s="1501"/>
      <c r="AM836" s="1501"/>
      <c r="AN836" s="1504">
        <v>1</v>
      </c>
      <c r="AO836" s="1505">
        <v>0.1</v>
      </c>
      <c r="AP836" s="1506" t="s">
        <v>635</v>
      </c>
    </row>
    <row r="837" spans="1:42" ht="30">
      <c r="A837" s="1507" t="s">
        <v>3448</v>
      </c>
      <c r="B837" s="1508" t="s">
        <v>3449</v>
      </c>
      <c r="C837" s="1509">
        <v>596.08000000000004</v>
      </c>
      <c r="D837" s="1510" t="s">
        <v>1883</v>
      </c>
      <c r="E837" s="1511">
        <v>1.2346688470000001E-5</v>
      </c>
      <c r="F837" s="1511">
        <v>3.0199999999999998E-7</v>
      </c>
      <c r="G837" s="1512" t="s">
        <v>1199</v>
      </c>
      <c r="H837" s="1511">
        <v>7.5000000000000002E-6</v>
      </c>
      <c r="I837" s="1512" t="s">
        <v>1883</v>
      </c>
      <c r="J837" s="1513">
        <v>-45</v>
      </c>
      <c r="K837" s="1514" t="s">
        <v>1883</v>
      </c>
      <c r="L837" s="1515">
        <v>1.17</v>
      </c>
      <c r="M837" s="1516" t="s">
        <v>1884</v>
      </c>
      <c r="N837" s="1517">
        <v>1.51247916464E-2</v>
      </c>
      <c r="O837" s="1517">
        <v>3.6057910661899999E-6</v>
      </c>
      <c r="P837" s="1518" t="s">
        <v>1885</v>
      </c>
      <c r="Q837" s="1519" t="s">
        <v>635</v>
      </c>
      <c r="R837" s="1520"/>
      <c r="S837" s="1519">
        <v>25930000</v>
      </c>
      <c r="T837" s="1519" t="s">
        <v>1199</v>
      </c>
      <c r="U837" s="1519">
        <v>4.05</v>
      </c>
      <c r="V837" s="1521" t="s">
        <v>1883</v>
      </c>
      <c r="W837" s="1522">
        <v>19.5</v>
      </c>
      <c r="X837" s="1523" t="s">
        <v>1883</v>
      </c>
      <c r="Y837" s="1524">
        <v>2.3663526574500002E-3</v>
      </c>
      <c r="Z837" s="1524">
        <v>229.032308022747</v>
      </c>
      <c r="AA837" s="1524">
        <v>549.67753925459203</v>
      </c>
      <c r="AB837" s="1524">
        <v>2.52E-4</v>
      </c>
      <c r="AC837" s="1525" t="s">
        <v>1199</v>
      </c>
      <c r="AD837" s="1526" t="s">
        <v>635</v>
      </c>
      <c r="AE837" s="1527"/>
      <c r="AF837" s="1528" t="s">
        <v>635</v>
      </c>
      <c r="AG837" s="1527"/>
      <c r="AH837" s="1528">
        <v>2.9999999999999997E-4</v>
      </c>
      <c r="AI837" s="1529" t="s">
        <v>1119</v>
      </c>
      <c r="AJ837" s="1528" t="s">
        <v>635</v>
      </c>
      <c r="AK837" s="1527"/>
      <c r="AL837" s="1527"/>
      <c r="AM837" s="1527"/>
      <c r="AN837" s="1530">
        <v>1</v>
      </c>
      <c r="AO837" s="1531">
        <v>0.1</v>
      </c>
      <c r="AP837" s="1532" t="s">
        <v>635</v>
      </c>
    </row>
    <row r="838" spans="1:42" ht="30">
      <c r="A838" s="1481" t="s">
        <v>3450</v>
      </c>
      <c r="B838" s="1482" t="s">
        <v>3451</v>
      </c>
      <c r="C838" s="1483" t="s">
        <v>635</v>
      </c>
      <c r="D838" s="1543"/>
      <c r="E838" s="1485" t="s">
        <v>635</v>
      </c>
      <c r="F838" s="1485" t="s">
        <v>635</v>
      </c>
      <c r="G838" s="1536"/>
      <c r="H838" s="1485" t="s">
        <v>635</v>
      </c>
      <c r="I838" s="1536"/>
      <c r="J838" s="1487" t="s">
        <v>635</v>
      </c>
      <c r="K838" s="1542"/>
      <c r="L838" s="1489" t="s">
        <v>635</v>
      </c>
      <c r="M838" s="1533"/>
      <c r="N838" s="1491" t="s">
        <v>635</v>
      </c>
      <c r="O838" s="1491" t="s">
        <v>635</v>
      </c>
      <c r="P838" s="1544"/>
      <c r="Q838" s="1493" t="s">
        <v>635</v>
      </c>
      <c r="R838" s="1494"/>
      <c r="S838" s="1493" t="s">
        <v>635</v>
      </c>
      <c r="T838" s="1494"/>
      <c r="U838" s="1493" t="s">
        <v>635</v>
      </c>
      <c r="V838" s="1481"/>
      <c r="W838" s="1496" t="s">
        <v>635</v>
      </c>
      <c r="X838" s="1537"/>
      <c r="Y838" s="1498" t="s">
        <v>635</v>
      </c>
      <c r="Z838" s="1498" t="s">
        <v>635</v>
      </c>
      <c r="AA838" s="1498" t="s">
        <v>635</v>
      </c>
      <c r="AB838" s="1498" t="s">
        <v>635</v>
      </c>
      <c r="AC838" s="1547"/>
      <c r="AD838" s="1500" t="s">
        <v>635</v>
      </c>
      <c r="AE838" s="1501"/>
      <c r="AF838" s="1502" t="s">
        <v>635</v>
      </c>
      <c r="AG838" s="1501"/>
      <c r="AH838" s="1502" t="s">
        <v>635</v>
      </c>
      <c r="AI838" s="1501"/>
      <c r="AJ838" s="1502" t="s">
        <v>635</v>
      </c>
      <c r="AK838" s="1501"/>
      <c r="AL838" s="1501"/>
      <c r="AM838" s="1501"/>
      <c r="AN838" s="1504">
        <v>1</v>
      </c>
      <c r="AO838" s="1505">
        <v>0.1</v>
      </c>
      <c r="AP838" s="1506" t="s">
        <v>635</v>
      </c>
    </row>
    <row r="839" spans="1:42" ht="30">
      <c r="A839" s="1481" t="s">
        <v>3452</v>
      </c>
      <c r="B839" s="1482" t="s">
        <v>3453</v>
      </c>
      <c r="C839" s="1483">
        <v>187.38</v>
      </c>
      <c r="D839" s="1484" t="s">
        <v>1883</v>
      </c>
      <c r="E839" s="1485">
        <v>21.504497138184799</v>
      </c>
      <c r="F839" s="1485">
        <v>0.52600000000000002</v>
      </c>
      <c r="G839" s="1486" t="s">
        <v>1199</v>
      </c>
      <c r="H839" s="1485">
        <v>362.5</v>
      </c>
      <c r="I839" s="1486" t="s">
        <v>1883</v>
      </c>
      <c r="J839" s="1487">
        <v>-35</v>
      </c>
      <c r="K839" s="1488" t="s">
        <v>1883</v>
      </c>
      <c r="L839" s="1489">
        <v>1.5634999999999999</v>
      </c>
      <c r="M839" s="1490" t="s">
        <v>1884</v>
      </c>
      <c r="N839" s="1491">
        <v>3.7565816171520001E-2</v>
      </c>
      <c r="O839" s="1491">
        <v>8.5920453798899992E-6</v>
      </c>
      <c r="P839" s="1492" t="s">
        <v>1885</v>
      </c>
      <c r="Q839" s="1493" t="s">
        <v>635</v>
      </c>
      <c r="R839" s="1494"/>
      <c r="S839" s="1493">
        <v>196.8</v>
      </c>
      <c r="T839" s="1493" t="s">
        <v>1199</v>
      </c>
      <c r="U839" s="1493">
        <v>3.16</v>
      </c>
      <c r="V839" s="1495" t="s">
        <v>1883</v>
      </c>
      <c r="W839" s="1496">
        <v>170</v>
      </c>
      <c r="X839" s="1497" t="s">
        <v>1883</v>
      </c>
      <c r="Y839" s="1498">
        <v>9.2135355952899997E-2</v>
      </c>
      <c r="Z839" s="1498">
        <v>1.1780853343537501</v>
      </c>
      <c r="AA839" s="1498">
        <v>2.8274048024490002</v>
      </c>
      <c r="AB839" s="1498">
        <v>1.7500000000000002E-2</v>
      </c>
      <c r="AC839" s="1499" t="s">
        <v>1199</v>
      </c>
      <c r="AD839" s="1500" t="s">
        <v>635</v>
      </c>
      <c r="AE839" s="1501"/>
      <c r="AF839" s="1502" t="s">
        <v>635</v>
      </c>
      <c r="AG839" s="1501"/>
      <c r="AH839" s="1502">
        <v>30</v>
      </c>
      <c r="AI839" s="1503" t="s">
        <v>1119</v>
      </c>
      <c r="AJ839" s="1502">
        <v>5</v>
      </c>
      <c r="AK839" s="1503" t="s">
        <v>1909</v>
      </c>
      <c r="AL839" s="1503" t="s">
        <v>1127</v>
      </c>
      <c r="AM839" s="1501"/>
      <c r="AN839" s="1504">
        <v>1</v>
      </c>
      <c r="AO839" s="1504" t="s">
        <v>635</v>
      </c>
      <c r="AP839" s="1506">
        <v>910</v>
      </c>
    </row>
    <row r="840" spans="1:42" ht="30">
      <c r="A840" s="1507" t="s">
        <v>3454</v>
      </c>
      <c r="B840" s="1508" t="s">
        <v>3455</v>
      </c>
      <c r="C840" s="1509">
        <v>163.38999999999999</v>
      </c>
      <c r="D840" s="1510" t="s">
        <v>1883</v>
      </c>
      <c r="E840" s="1511">
        <v>5.5192150449700001E-7</v>
      </c>
      <c r="F840" s="1511">
        <v>1.35E-8</v>
      </c>
      <c r="G840" s="1512" t="s">
        <v>1883</v>
      </c>
      <c r="H840" s="1511">
        <v>0.06</v>
      </c>
      <c r="I840" s="1512" t="s">
        <v>1199</v>
      </c>
      <c r="J840" s="1513">
        <v>57.5</v>
      </c>
      <c r="K840" s="1514" t="s">
        <v>1883</v>
      </c>
      <c r="L840" s="1515">
        <v>1.6126</v>
      </c>
      <c r="M840" s="1516" t="s">
        <v>1884</v>
      </c>
      <c r="N840" s="1517">
        <v>5.1748813278470002E-2</v>
      </c>
      <c r="O840" s="1517">
        <v>9.5028195213799992E-6</v>
      </c>
      <c r="P840" s="1518" t="s">
        <v>1885</v>
      </c>
      <c r="Q840" s="1519" t="s">
        <v>635</v>
      </c>
      <c r="R840" s="1520"/>
      <c r="S840" s="1519">
        <v>3.2309999999999999</v>
      </c>
      <c r="T840" s="1519" t="s">
        <v>1199</v>
      </c>
      <c r="U840" s="1519">
        <v>1.33</v>
      </c>
      <c r="V840" s="1521" t="s">
        <v>1883</v>
      </c>
      <c r="W840" s="1522">
        <v>54600</v>
      </c>
      <c r="X840" s="1523" t="s">
        <v>1883</v>
      </c>
      <c r="Y840" s="1524">
        <v>7.1286516127899999E-3</v>
      </c>
      <c r="Z840" s="1524">
        <v>0.86463487663544003</v>
      </c>
      <c r="AA840" s="1524">
        <v>2.0751237039250499</v>
      </c>
      <c r="AB840" s="1524">
        <v>1.4499999999999999E-3</v>
      </c>
      <c r="AC840" s="1525" t="s">
        <v>1199</v>
      </c>
      <c r="AD840" s="1526">
        <v>7.0000000000000007E-2</v>
      </c>
      <c r="AE840" s="1529" t="s">
        <v>1119</v>
      </c>
      <c r="AF840" s="1528" t="s">
        <v>635</v>
      </c>
      <c r="AG840" s="1527"/>
      <c r="AH840" s="1528">
        <v>0.02</v>
      </c>
      <c r="AI840" s="1529" t="s">
        <v>1119</v>
      </c>
      <c r="AJ840" s="1528" t="s">
        <v>635</v>
      </c>
      <c r="AK840" s="1527"/>
      <c r="AL840" s="1527"/>
      <c r="AM840" s="1527"/>
      <c r="AN840" s="1530">
        <v>1</v>
      </c>
      <c r="AO840" s="1531">
        <v>0.1</v>
      </c>
      <c r="AP840" s="1532" t="s">
        <v>635</v>
      </c>
    </row>
    <row r="841" spans="1:42" ht="30">
      <c r="A841" s="1481" t="s">
        <v>3456</v>
      </c>
      <c r="B841" s="1482" t="s">
        <v>3457</v>
      </c>
      <c r="C841" s="1483">
        <v>232.93</v>
      </c>
      <c r="D841" s="1484" t="s">
        <v>1199</v>
      </c>
      <c r="E841" s="1485">
        <v>2.9354047423999999E-12</v>
      </c>
      <c r="F841" s="1485">
        <v>7.1799999999999994E-14</v>
      </c>
      <c r="G841" s="1486" t="s">
        <v>1199</v>
      </c>
      <c r="H841" s="1485">
        <v>6.13E-8</v>
      </c>
      <c r="I841" s="1486" t="s">
        <v>1199</v>
      </c>
      <c r="J841" s="1487">
        <v>176.57</v>
      </c>
      <c r="K841" s="1488" t="s">
        <v>1199</v>
      </c>
      <c r="L841" s="1489" t="s">
        <v>635</v>
      </c>
      <c r="M841" s="1533"/>
      <c r="N841" s="1491">
        <v>5.0188396053220001E-2</v>
      </c>
      <c r="O841" s="1491">
        <v>5.8641178546400004E-6</v>
      </c>
      <c r="P841" s="1492" t="s">
        <v>1885</v>
      </c>
      <c r="Q841" s="1493" t="s">
        <v>635</v>
      </c>
      <c r="R841" s="1494"/>
      <c r="S841" s="1493">
        <v>1271</v>
      </c>
      <c r="T841" s="1493" t="s">
        <v>1199</v>
      </c>
      <c r="U841" s="1493">
        <v>-0.67</v>
      </c>
      <c r="V841" s="1495" t="s">
        <v>1199</v>
      </c>
      <c r="W841" s="1496">
        <v>20.963999999999999</v>
      </c>
      <c r="X841" s="1497" t="s">
        <v>1199</v>
      </c>
      <c r="Y841" s="1498">
        <v>1.6201247157999999E-4</v>
      </c>
      <c r="Z841" s="1498">
        <v>2.1196138548506198</v>
      </c>
      <c r="AA841" s="1498">
        <v>5.0870732516414803</v>
      </c>
      <c r="AB841" s="1498">
        <v>2.76E-5</v>
      </c>
      <c r="AC841" s="1499" t="s">
        <v>1199</v>
      </c>
      <c r="AD841" s="1500">
        <v>2.9000000000000001E-2</v>
      </c>
      <c r="AE841" s="1503" t="s">
        <v>1073</v>
      </c>
      <c r="AF841" s="1502" t="s">
        <v>635</v>
      </c>
      <c r="AG841" s="1501"/>
      <c r="AH841" s="1502" t="s">
        <v>635</v>
      </c>
      <c r="AI841" s="1501"/>
      <c r="AJ841" s="1502" t="s">
        <v>635</v>
      </c>
      <c r="AK841" s="1501"/>
      <c r="AL841" s="1501"/>
      <c r="AM841" s="1501"/>
      <c r="AN841" s="1504">
        <v>1</v>
      </c>
      <c r="AO841" s="1505">
        <v>0.1</v>
      </c>
      <c r="AP841" s="1506" t="s">
        <v>635</v>
      </c>
    </row>
    <row r="842" spans="1:42" ht="30">
      <c r="A842" s="1481" t="s">
        <v>3458</v>
      </c>
      <c r="B842" s="1482" t="s">
        <v>3459</v>
      </c>
      <c r="C842" s="1483">
        <v>196.46</v>
      </c>
      <c r="D842" s="1484" t="s">
        <v>1883</v>
      </c>
      <c r="E842" s="1485">
        <v>5.4783319709999997E-5</v>
      </c>
      <c r="F842" s="1485">
        <v>1.3400000000000001E-6</v>
      </c>
      <c r="G842" s="1486" t="s">
        <v>1883</v>
      </c>
      <c r="H842" s="1485">
        <v>4.4400000000000004E-3</v>
      </c>
      <c r="I842" s="1486" t="s">
        <v>1883</v>
      </c>
      <c r="J842" s="1487">
        <v>78.5</v>
      </c>
      <c r="K842" s="1488" t="s">
        <v>1883</v>
      </c>
      <c r="L842" s="1489" t="s">
        <v>635</v>
      </c>
      <c r="M842" s="1533"/>
      <c r="N842" s="1491">
        <v>5.6221726027999998E-2</v>
      </c>
      <c r="O842" s="1491">
        <v>6.5690648306400003E-6</v>
      </c>
      <c r="P842" s="1492" t="s">
        <v>1885</v>
      </c>
      <c r="Q842" s="1493" t="s">
        <v>635</v>
      </c>
      <c r="R842" s="1494"/>
      <c r="S842" s="1493">
        <v>4440</v>
      </c>
      <c r="T842" s="1493" t="s">
        <v>1199</v>
      </c>
      <c r="U842" s="1493">
        <v>3.52</v>
      </c>
      <c r="V842" s="1495" t="s">
        <v>1883</v>
      </c>
      <c r="W842" s="1496">
        <v>40</v>
      </c>
      <c r="X842" s="1497" t="s">
        <v>1883</v>
      </c>
      <c r="Y842" s="1498">
        <v>0.14555511979798999</v>
      </c>
      <c r="Z842" s="1498">
        <v>1.3244170090499701</v>
      </c>
      <c r="AA842" s="1498">
        <v>3.1786008217199302</v>
      </c>
      <c r="AB842" s="1498">
        <v>2.7E-2</v>
      </c>
      <c r="AC842" s="1499" t="s">
        <v>1199</v>
      </c>
      <c r="AD842" s="1500">
        <v>7.0000000000000001E-3</v>
      </c>
      <c r="AE842" s="1503" t="s">
        <v>1893</v>
      </c>
      <c r="AF842" s="1502" t="s">
        <v>635</v>
      </c>
      <c r="AG842" s="1501"/>
      <c r="AH842" s="1502">
        <v>3.0000000000000001E-5</v>
      </c>
      <c r="AI842" s="1503" t="s">
        <v>1893</v>
      </c>
      <c r="AJ842" s="1502" t="s">
        <v>635</v>
      </c>
      <c r="AK842" s="1501"/>
      <c r="AL842" s="1501"/>
      <c r="AM842" s="1501"/>
      <c r="AN842" s="1504">
        <v>1</v>
      </c>
      <c r="AO842" s="1505">
        <v>0.1</v>
      </c>
      <c r="AP842" s="1506" t="s">
        <v>635</v>
      </c>
    </row>
    <row r="843" spans="1:42" ht="30">
      <c r="A843" s="1507" t="s">
        <v>3460</v>
      </c>
      <c r="B843" s="1508" t="s">
        <v>3461</v>
      </c>
      <c r="C843" s="1509">
        <v>181.45</v>
      </c>
      <c r="D843" s="1510" t="s">
        <v>1883</v>
      </c>
      <c r="E843" s="1511">
        <v>5.1103843008989999E-2</v>
      </c>
      <c r="F843" s="1511">
        <v>1.25E-3</v>
      </c>
      <c r="G843" s="1512" t="s">
        <v>1883</v>
      </c>
      <c r="H843" s="1511">
        <v>0.21</v>
      </c>
      <c r="I843" s="1512" t="s">
        <v>1883</v>
      </c>
      <c r="J843" s="1513">
        <v>53.5</v>
      </c>
      <c r="K843" s="1514" t="s">
        <v>1883</v>
      </c>
      <c r="L843" s="1515">
        <v>1.4533</v>
      </c>
      <c r="M843" s="1516" t="s">
        <v>1884</v>
      </c>
      <c r="N843" s="1517">
        <v>3.9530010679209998E-2</v>
      </c>
      <c r="O843" s="1517">
        <v>8.3836039221799997E-6</v>
      </c>
      <c r="P843" s="1518" t="s">
        <v>1885</v>
      </c>
      <c r="Q843" s="1519" t="s">
        <v>635</v>
      </c>
      <c r="R843" s="1520"/>
      <c r="S843" s="1519">
        <v>1383</v>
      </c>
      <c r="T843" s="1519" t="s">
        <v>1199</v>
      </c>
      <c r="U843" s="1519">
        <v>4.05</v>
      </c>
      <c r="V843" s="1521" t="s">
        <v>1883</v>
      </c>
      <c r="W843" s="1522">
        <v>18</v>
      </c>
      <c r="X843" s="1523" t="s">
        <v>1883</v>
      </c>
      <c r="Y843" s="1524">
        <v>0.38235035708382997</v>
      </c>
      <c r="Z843" s="1524">
        <v>1.0913618028648799</v>
      </c>
      <c r="AA843" s="1524">
        <v>2.61926832687571</v>
      </c>
      <c r="AB843" s="1524">
        <v>7.3800000000000004E-2</v>
      </c>
      <c r="AC843" s="1525" t="s">
        <v>1199</v>
      </c>
      <c r="AD843" s="1526" t="s">
        <v>635</v>
      </c>
      <c r="AE843" s="1527"/>
      <c r="AF843" s="1528" t="s">
        <v>635</v>
      </c>
      <c r="AG843" s="1527"/>
      <c r="AH843" s="1528">
        <v>8.0000000000000004E-4</v>
      </c>
      <c r="AI843" s="1529" t="s">
        <v>1893</v>
      </c>
      <c r="AJ843" s="1528" t="s">
        <v>635</v>
      </c>
      <c r="AK843" s="1527"/>
      <c r="AL843" s="1529" t="s">
        <v>1127</v>
      </c>
      <c r="AM843" s="1527"/>
      <c r="AN843" s="1530">
        <v>1</v>
      </c>
      <c r="AO843" s="1530" t="s">
        <v>635</v>
      </c>
      <c r="AP843" s="1532" t="s">
        <v>635</v>
      </c>
    </row>
    <row r="844" spans="1:42" ht="30">
      <c r="A844" s="1481" t="s">
        <v>326</v>
      </c>
      <c r="B844" s="1482" t="s">
        <v>3462</v>
      </c>
      <c r="C844" s="1483">
        <v>181.45</v>
      </c>
      <c r="D844" s="1484" t="s">
        <v>1883</v>
      </c>
      <c r="E844" s="1485">
        <v>5.8053965658219998E-2</v>
      </c>
      <c r="F844" s="1485">
        <v>1.42E-3</v>
      </c>
      <c r="G844" s="1486" t="s">
        <v>1883</v>
      </c>
      <c r="H844" s="1485">
        <v>0.46</v>
      </c>
      <c r="I844" s="1486" t="s">
        <v>1883</v>
      </c>
      <c r="J844" s="1487">
        <v>17</v>
      </c>
      <c r="K844" s="1488" t="s">
        <v>1883</v>
      </c>
      <c r="L844" s="1489">
        <v>1.4590000000000001</v>
      </c>
      <c r="M844" s="1490" t="s">
        <v>1884</v>
      </c>
      <c r="N844" s="1491">
        <v>3.9599247847320003E-2</v>
      </c>
      <c r="O844" s="1491">
        <v>8.4033173162499994E-6</v>
      </c>
      <c r="P844" s="1492" t="s">
        <v>1885</v>
      </c>
      <c r="Q844" s="1493" t="s">
        <v>635</v>
      </c>
      <c r="R844" s="1494"/>
      <c r="S844" s="1493">
        <v>1356</v>
      </c>
      <c r="T844" s="1493" t="s">
        <v>1199</v>
      </c>
      <c r="U844" s="1493">
        <v>4.0199999999999996</v>
      </c>
      <c r="V844" s="1495" t="s">
        <v>1883</v>
      </c>
      <c r="W844" s="1496">
        <v>49</v>
      </c>
      <c r="X844" s="1497" t="s">
        <v>1883</v>
      </c>
      <c r="Y844" s="1498">
        <v>0.36525338989715</v>
      </c>
      <c r="Z844" s="1498">
        <v>1.0913618028648799</v>
      </c>
      <c r="AA844" s="1498">
        <v>2.61926832687571</v>
      </c>
      <c r="AB844" s="1498">
        <v>7.0499999999999993E-2</v>
      </c>
      <c r="AC844" s="1499" t="s">
        <v>1199</v>
      </c>
      <c r="AD844" s="1500">
        <v>2.9000000000000001E-2</v>
      </c>
      <c r="AE844" s="1503" t="s">
        <v>1909</v>
      </c>
      <c r="AF844" s="1502" t="s">
        <v>635</v>
      </c>
      <c r="AG844" s="1501"/>
      <c r="AH844" s="1502">
        <v>0.01</v>
      </c>
      <c r="AI844" s="1503" t="s">
        <v>1119</v>
      </c>
      <c r="AJ844" s="1502">
        <v>2E-3</v>
      </c>
      <c r="AK844" s="1503" t="s">
        <v>1909</v>
      </c>
      <c r="AL844" s="1503" t="s">
        <v>1127</v>
      </c>
      <c r="AM844" s="1501"/>
      <c r="AN844" s="1504">
        <v>1</v>
      </c>
      <c r="AO844" s="1504" t="s">
        <v>635</v>
      </c>
      <c r="AP844" s="1506">
        <v>404</v>
      </c>
    </row>
    <row r="845" spans="1:42" ht="30">
      <c r="A845" s="1481" t="s">
        <v>328</v>
      </c>
      <c r="B845" s="1482" t="s">
        <v>3463</v>
      </c>
      <c r="C845" s="1483">
        <v>133.41</v>
      </c>
      <c r="D845" s="1484" t="s">
        <v>1883</v>
      </c>
      <c r="E845" s="1485">
        <v>0.70318887980375999</v>
      </c>
      <c r="F845" s="1485">
        <v>1.72E-2</v>
      </c>
      <c r="G845" s="1486" t="s">
        <v>1883</v>
      </c>
      <c r="H845" s="1485">
        <v>124</v>
      </c>
      <c r="I845" s="1486" t="s">
        <v>1883</v>
      </c>
      <c r="J845" s="1487">
        <v>-30.41</v>
      </c>
      <c r="K845" s="1488" t="s">
        <v>1883</v>
      </c>
      <c r="L845" s="1489">
        <v>1.339</v>
      </c>
      <c r="M845" s="1490" t="s">
        <v>1884</v>
      </c>
      <c r="N845" s="1491">
        <v>6.4817409072139995E-2</v>
      </c>
      <c r="O845" s="1491">
        <v>9.5990242153400001E-6</v>
      </c>
      <c r="P845" s="1492" t="s">
        <v>1885</v>
      </c>
      <c r="Q845" s="1493" t="s">
        <v>635</v>
      </c>
      <c r="R845" s="1494"/>
      <c r="S845" s="1493">
        <v>43.89</v>
      </c>
      <c r="T845" s="1493" t="s">
        <v>1199</v>
      </c>
      <c r="U845" s="1493">
        <v>2.4900000000000002</v>
      </c>
      <c r="V845" s="1495" t="s">
        <v>1883</v>
      </c>
      <c r="W845" s="1496">
        <v>1290</v>
      </c>
      <c r="X845" s="1497" t="s">
        <v>1883</v>
      </c>
      <c r="Y845" s="1498">
        <v>5.5974650327540003E-2</v>
      </c>
      <c r="Z845" s="1498">
        <v>0.58741461764628999</v>
      </c>
      <c r="AA845" s="1498">
        <v>1.4097950823510901</v>
      </c>
      <c r="AB845" s="1498">
        <v>1.26E-2</v>
      </c>
      <c r="AC845" s="1499" t="s">
        <v>1199</v>
      </c>
      <c r="AD845" s="1500" t="s">
        <v>635</v>
      </c>
      <c r="AE845" s="1501"/>
      <c r="AF845" s="1502" t="s">
        <v>635</v>
      </c>
      <c r="AG845" s="1501"/>
      <c r="AH845" s="1502">
        <v>2</v>
      </c>
      <c r="AI845" s="1503" t="s">
        <v>1119</v>
      </c>
      <c r="AJ845" s="1502">
        <v>5</v>
      </c>
      <c r="AK845" s="1503" t="s">
        <v>1119</v>
      </c>
      <c r="AL845" s="1503" t="s">
        <v>1127</v>
      </c>
      <c r="AM845" s="1501"/>
      <c r="AN845" s="1504">
        <v>1</v>
      </c>
      <c r="AO845" s="1504" t="s">
        <v>635</v>
      </c>
      <c r="AP845" s="1506">
        <v>640</v>
      </c>
    </row>
    <row r="846" spans="1:42" ht="30">
      <c r="A846" s="1507" t="s">
        <v>330</v>
      </c>
      <c r="B846" s="1508" t="s">
        <v>3464</v>
      </c>
      <c r="C846" s="1509">
        <v>133.41</v>
      </c>
      <c r="D846" s="1510" t="s">
        <v>1883</v>
      </c>
      <c r="E846" s="1511">
        <v>3.3687653311530001E-2</v>
      </c>
      <c r="F846" s="1511">
        <v>8.2399999999999997E-4</v>
      </c>
      <c r="G846" s="1512" t="s">
        <v>1883</v>
      </c>
      <c r="H846" s="1511">
        <v>23</v>
      </c>
      <c r="I846" s="1512" t="s">
        <v>1883</v>
      </c>
      <c r="J846" s="1513">
        <v>-36.6</v>
      </c>
      <c r="K846" s="1514" t="s">
        <v>1883</v>
      </c>
      <c r="L846" s="1515">
        <v>1.4397</v>
      </c>
      <c r="M846" s="1516" t="s">
        <v>1884</v>
      </c>
      <c r="N846" s="1517">
        <v>6.6890387936720003E-2</v>
      </c>
      <c r="O846" s="1517">
        <v>1.0025867109999999E-5</v>
      </c>
      <c r="P846" s="1518" t="s">
        <v>1885</v>
      </c>
      <c r="Q846" s="1519" t="s">
        <v>635</v>
      </c>
      <c r="R846" s="1520"/>
      <c r="S846" s="1519">
        <v>60.7</v>
      </c>
      <c r="T846" s="1519" t="s">
        <v>1199</v>
      </c>
      <c r="U846" s="1519">
        <v>1.89</v>
      </c>
      <c r="V846" s="1521" t="s">
        <v>1883</v>
      </c>
      <c r="W846" s="1522">
        <v>4590</v>
      </c>
      <c r="X846" s="1523" t="s">
        <v>1883</v>
      </c>
      <c r="Y846" s="1524">
        <v>2.2389860131009999E-2</v>
      </c>
      <c r="Z846" s="1524">
        <v>0.58741461764628999</v>
      </c>
      <c r="AA846" s="1524">
        <v>1.4097950823510901</v>
      </c>
      <c r="AB846" s="1524">
        <v>5.0400000000000002E-3</v>
      </c>
      <c r="AC846" s="1525" t="s">
        <v>1199</v>
      </c>
      <c r="AD846" s="1526">
        <v>5.7000000000000002E-2</v>
      </c>
      <c r="AE846" s="1529" t="s">
        <v>1119</v>
      </c>
      <c r="AF846" s="1528">
        <v>1.5999999999999999E-5</v>
      </c>
      <c r="AG846" s="1529" t="s">
        <v>1119</v>
      </c>
      <c r="AH846" s="1528">
        <v>4.0000000000000001E-3</v>
      </c>
      <c r="AI846" s="1529" t="s">
        <v>1119</v>
      </c>
      <c r="AJ846" s="1528">
        <v>2.0000000000000001E-4</v>
      </c>
      <c r="AK846" s="1529" t="s">
        <v>1893</v>
      </c>
      <c r="AL846" s="1529" t="s">
        <v>1127</v>
      </c>
      <c r="AM846" s="1527"/>
      <c r="AN846" s="1530">
        <v>1</v>
      </c>
      <c r="AO846" s="1530" t="s">
        <v>635</v>
      </c>
      <c r="AP846" s="1532">
        <v>2160</v>
      </c>
    </row>
    <row r="847" spans="1:42" ht="30">
      <c r="A847" s="1481" t="s">
        <v>332</v>
      </c>
      <c r="B847" s="1482" t="s">
        <v>3465</v>
      </c>
      <c r="C847" s="1483">
        <v>131.38999999999999</v>
      </c>
      <c r="D847" s="1484" t="s">
        <v>1883</v>
      </c>
      <c r="E847" s="1485">
        <v>0.40269828291088</v>
      </c>
      <c r="F847" s="1485">
        <v>9.8499999999999994E-3</v>
      </c>
      <c r="G847" s="1486" t="s">
        <v>1883</v>
      </c>
      <c r="H847" s="1485">
        <v>69</v>
      </c>
      <c r="I847" s="1486" t="s">
        <v>1883</v>
      </c>
      <c r="J847" s="1487">
        <v>-84.7</v>
      </c>
      <c r="K847" s="1488" t="s">
        <v>1883</v>
      </c>
      <c r="L847" s="1489">
        <v>1.4641999999999999</v>
      </c>
      <c r="M847" s="1490" t="s">
        <v>1884</v>
      </c>
      <c r="N847" s="1491">
        <v>6.8661810409549995E-2</v>
      </c>
      <c r="O847" s="1491">
        <v>1.022102912E-5</v>
      </c>
      <c r="P847" s="1492" t="s">
        <v>1885</v>
      </c>
      <c r="Q847" s="1493" t="s">
        <v>635</v>
      </c>
      <c r="R847" s="1494"/>
      <c r="S847" s="1493">
        <v>60.7</v>
      </c>
      <c r="T847" s="1493" t="s">
        <v>1199</v>
      </c>
      <c r="U847" s="1493">
        <v>2.42</v>
      </c>
      <c r="V847" s="1495" t="s">
        <v>1883</v>
      </c>
      <c r="W847" s="1496">
        <v>1280</v>
      </c>
      <c r="X847" s="1497" t="s">
        <v>1883</v>
      </c>
      <c r="Y847" s="1498">
        <v>5.1140597474600001E-2</v>
      </c>
      <c r="Z847" s="1498">
        <v>0.57231186493427</v>
      </c>
      <c r="AA847" s="1498">
        <v>1.37354847584226</v>
      </c>
      <c r="AB847" s="1498">
        <v>1.1599999999999999E-2</v>
      </c>
      <c r="AC847" s="1499" t="s">
        <v>1199</v>
      </c>
      <c r="AD847" s="1500">
        <v>4.5999999999999999E-2</v>
      </c>
      <c r="AE847" s="1503" t="s">
        <v>1119</v>
      </c>
      <c r="AF847" s="1502">
        <v>4.0999999999999997E-6</v>
      </c>
      <c r="AG847" s="1503" t="s">
        <v>1119</v>
      </c>
      <c r="AH847" s="1502">
        <v>5.0000000000000001E-4</v>
      </c>
      <c r="AI847" s="1503" t="s">
        <v>1119</v>
      </c>
      <c r="AJ847" s="1502">
        <v>2E-3</v>
      </c>
      <c r="AK847" s="1503" t="s">
        <v>1119</v>
      </c>
      <c r="AL847" s="1503" t="s">
        <v>1127</v>
      </c>
      <c r="AM847" s="1503" t="s">
        <v>1906</v>
      </c>
      <c r="AN847" s="1504">
        <v>1</v>
      </c>
      <c r="AO847" s="1504" t="s">
        <v>635</v>
      </c>
      <c r="AP847" s="1506">
        <v>692</v>
      </c>
    </row>
    <row r="848" spans="1:42" ht="30">
      <c r="A848" s="1481" t="s">
        <v>3466</v>
      </c>
      <c r="B848" s="1482" t="s">
        <v>3467</v>
      </c>
      <c r="C848" s="1483">
        <v>137.37</v>
      </c>
      <c r="D848" s="1484" t="s">
        <v>1883</v>
      </c>
      <c r="E848" s="1485">
        <v>3.96565821749796</v>
      </c>
      <c r="F848" s="1485">
        <v>9.7000000000000003E-2</v>
      </c>
      <c r="G848" s="1486" t="s">
        <v>1883</v>
      </c>
      <c r="H848" s="1485">
        <v>802.8</v>
      </c>
      <c r="I848" s="1486" t="s">
        <v>1883</v>
      </c>
      <c r="J848" s="1487">
        <v>-111.1</v>
      </c>
      <c r="K848" s="1488" t="s">
        <v>1883</v>
      </c>
      <c r="L848" s="1489">
        <v>1.4879</v>
      </c>
      <c r="M848" s="1490" t="s">
        <v>1884</v>
      </c>
      <c r="N848" s="1491">
        <v>6.5355970052699996E-2</v>
      </c>
      <c r="O848" s="1491">
        <v>1.0048028980000001E-5</v>
      </c>
      <c r="P848" s="1492" t="s">
        <v>1885</v>
      </c>
      <c r="Q848" s="1493" t="s">
        <v>635</v>
      </c>
      <c r="R848" s="1494"/>
      <c r="S848" s="1493">
        <v>43.89</v>
      </c>
      <c r="T848" s="1493" t="s">
        <v>1199</v>
      </c>
      <c r="U848" s="1493">
        <v>2.5299999999999998</v>
      </c>
      <c r="V848" s="1495" t="s">
        <v>1883</v>
      </c>
      <c r="W848" s="1496">
        <v>1100</v>
      </c>
      <c r="X848" s="1497" t="s">
        <v>1883</v>
      </c>
      <c r="Y848" s="1498">
        <v>5.7250109557790002E-2</v>
      </c>
      <c r="Z848" s="1498">
        <v>0.61818825500084995</v>
      </c>
      <c r="AA848" s="1498">
        <v>1.4836518120020299</v>
      </c>
      <c r="AB848" s="1498">
        <v>1.2699999999999999E-2</v>
      </c>
      <c r="AC848" s="1499" t="s">
        <v>1199</v>
      </c>
      <c r="AD848" s="1500" t="s">
        <v>635</v>
      </c>
      <c r="AE848" s="1501"/>
      <c r="AF848" s="1502" t="s">
        <v>635</v>
      </c>
      <c r="AG848" s="1501"/>
      <c r="AH848" s="1502">
        <v>0.3</v>
      </c>
      <c r="AI848" s="1503" t="s">
        <v>1119</v>
      </c>
      <c r="AJ848" s="1502" t="s">
        <v>635</v>
      </c>
      <c r="AK848" s="1501"/>
      <c r="AL848" s="1503" t="s">
        <v>1127</v>
      </c>
      <c r="AM848" s="1501"/>
      <c r="AN848" s="1504">
        <v>1</v>
      </c>
      <c r="AO848" s="1504" t="s">
        <v>635</v>
      </c>
      <c r="AP848" s="1506">
        <v>1230</v>
      </c>
    </row>
    <row r="849" spans="1:42" ht="30">
      <c r="A849" s="1507" t="s">
        <v>334</v>
      </c>
      <c r="B849" s="1508" t="s">
        <v>3468</v>
      </c>
      <c r="C849" s="1509">
        <v>197.45</v>
      </c>
      <c r="D849" s="1510" t="s">
        <v>1883</v>
      </c>
      <c r="E849" s="1511">
        <v>6.6230580540000005E-5</v>
      </c>
      <c r="F849" s="1511">
        <v>1.6199999999999999E-6</v>
      </c>
      <c r="G849" s="1512" t="s">
        <v>1199</v>
      </c>
      <c r="H849" s="1511">
        <v>7.4999999999999997E-3</v>
      </c>
      <c r="I849" s="1512" t="s">
        <v>1199</v>
      </c>
      <c r="J849" s="1513">
        <v>69</v>
      </c>
      <c r="K849" s="1514" t="s">
        <v>1883</v>
      </c>
      <c r="L849" s="1515">
        <v>1.49</v>
      </c>
      <c r="M849" s="1516" t="s">
        <v>1949</v>
      </c>
      <c r="N849" s="1517">
        <v>3.1393813646519997E-2</v>
      </c>
      <c r="O849" s="1517">
        <v>8.0892684804699997E-6</v>
      </c>
      <c r="P849" s="1518" t="s">
        <v>1885</v>
      </c>
      <c r="Q849" s="1519" t="s">
        <v>635</v>
      </c>
      <c r="R849" s="1520"/>
      <c r="S849" s="1519">
        <v>1597</v>
      </c>
      <c r="T849" s="1519" t="s">
        <v>1959</v>
      </c>
      <c r="U849" s="1519">
        <v>3.72</v>
      </c>
      <c r="V849" s="1521" t="s">
        <v>1883</v>
      </c>
      <c r="W849" s="1522">
        <v>1200</v>
      </c>
      <c r="X849" s="1523" t="s">
        <v>1883</v>
      </c>
      <c r="Y849" s="1524">
        <v>0.19564276480390999</v>
      </c>
      <c r="Z849" s="1524">
        <v>1.34143226979738</v>
      </c>
      <c r="AA849" s="1524">
        <v>3.21943744751372</v>
      </c>
      <c r="AB849" s="1524">
        <v>3.6200000000000003E-2</v>
      </c>
      <c r="AC849" s="1525" t="s">
        <v>1199</v>
      </c>
      <c r="AD849" s="1526" t="s">
        <v>635</v>
      </c>
      <c r="AE849" s="1527"/>
      <c r="AF849" s="1528" t="s">
        <v>635</v>
      </c>
      <c r="AG849" s="1527"/>
      <c r="AH849" s="1528">
        <v>0.1</v>
      </c>
      <c r="AI849" s="1529" t="s">
        <v>1119</v>
      </c>
      <c r="AJ849" s="1528" t="s">
        <v>635</v>
      </c>
      <c r="AK849" s="1527"/>
      <c r="AL849" s="1527"/>
      <c r="AM849" s="1527"/>
      <c r="AN849" s="1530">
        <v>1</v>
      </c>
      <c r="AO849" s="1531">
        <v>0.1</v>
      </c>
      <c r="AP849" s="1532" t="s">
        <v>635</v>
      </c>
    </row>
    <row r="850" spans="1:42" ht="30">
      <c r="A850" s="1481" t="s">
        <v>336</v>
      </c>
      <c r="B850" s="1482" t="s">
        <v>3469</v>
      </c>
      <c r="C850" s="1483">
        <v>197.45</v>
      </c>
      <c r="D850" s="1484" t="s">
        <v>1883</v>
      </c>
      <c r="E850" s="1485">
        <v>1.0629599346E-4</v>
      </c>
      <c r="F850" s="1485">
        <v>2.6000000000000001E-6</v>
      </c>
      <c r="G850" s="1486" t="s">
        <v>1199</v>
      </c>
      <c r="H850" s="1485">
        <v>8.0000000000000002E-3</v>
      </c>
      <c r="I850" s="1486" t="s">
        <v>1199</v>
      </c>
      <c r="J850" s="1487">
        <v>69</v>
      </c>
      <c r="K850" s="1488" t="s">
        <v>1883</v>
      </c>
      <c r="L850" s="1489">
        <v>1.4901</v>
      </c>
      <c r="M850" s="1490" t="s">
        <v>1884</v>
      </c>
      <c r="N850" s="1491">
        <v>3.1394761881899998E-2</v>
      </c>
      <c r="O850" s="1491">
        <v>8.0895942184600003E-6</v>
      </c>
      <c r="P850" s="1492" t="s">
        <v>1885</v>
      </c>
      <c r="Q850" s="1493" t="s">
        <v>635</v>
      </c>
      <c r="R850" s="1494"/>
      <c r="S850" s="1493">
        <v>381</v>
      </c>
      <c r="T850" s="1493" t="s">
        <v>1959</v>
      </c>
      <c r="U850" s="1493">
        <v>3.69</v>
      </c>
      <c r="V850" s="1495" t="s">
        <v>1883</v>
      </c>
      <c r="W850" s="1496">
        <v>800</v>
      </c>
      <c r="X850" s="1497" t="s">
        <v>1883</v>
      </c>
      <c r="Y850" s="1498">
        <v>0.18699557077942999</v>
      </c>
      <c r="Z850" s="1498">
        <v>1.34143226979738</v>
      </c>
      <c r="AA850" s="1498">
        <v>3.21943744751372</v>
      </c>
      <c r="AB850" s="1498">
        <v>3.4599999999999999E-2</v>
      </c>
      <c r="AC850" s="1499" t="s">
        <v>1199</v>
      </c>
      <c r="AD850" s="1500">
        <v>1.0999999999999999E-2</v>
      </c>
      <c r="AE850" s="1503" t="s">
        <v>1119</v>
      </c>
      <c r="AF850" s="1502">
        <v>3.1E-6</v>
      </c>
      <c r="AG850" s="1503" t="s">
        <v>1119</v>
      </c>
      <c r="AH850" s="1502">
        <v>1E-3</v>
      </c>
      <c r="AI850" s="1503" t="s">
        <v>1909</v>
      </c>
      <c r="AJ850" s="1502" t="s">
        <v>635</v>
      </c>
      <c r="AK850" s="1501"/>
      <c r="AL850" s="1501"/>
      <c r="AM850" s="1501"/>
      <c r="AN850" s="1504">
        <v>1</v>
      </c>
      <c r="AO850" s="1505">
        <v>0.1</v>
      </c>
      <c r="AP850" s="1506" t="s">
        <v>635</v>
      </c>
    </row>
    <row r="851" spans="1:42" ht="30">
      <c r="A851" s="1481" t="s">
        <v>3470</v>
      </c>
      <c r="B851" s="1482" t="s">
        <v>3471</v>
      </c>
      <c r="C851" s="1483">
        <v>255.49</v>
      </c>
      <c r="D851" s="1484" t="s">
        <v>1883</v>
      </c>
      <c r="E851" s="1485">
        <v>3.5486508585400002E-7</v>
      </c>
      <c r="F851" s="1485">
        <v>8.6800000000000006E-9</v>
      </c>
      <c r="G851" s="1486" t="s">
        <v>1883</v>
      </c>
      <c r="H851" s="1485">
        <v>3.7499999999999997E-5</v>
      </c>
      <c r="I851" s="1486" t="s">
        <v>1199</v>
      </c>
      <c r="J851" s="1487">
        <v>153</v>
      </c>
      <c r="K851" s="1488" t="s">
        <v>1883</v>
      </c>
      <c r="L851" s="1489">
        <v>1.8</v>
      </c>
      <c r="M851" s="1490" t="s">
        <v>1890</v>
      </c>
      <c r="N851" s="1491">
        <v>2.888534623817E-2</v>
      </c>
      <c r="O851" s="1491">
        <v>7.76266654376E-6</v>
      </c>
      <c r="P851" s="1492" t="s">
        <v>1885</v>
      </c>
      <c r="Q851" s="1493" t="s">
        <v>635</v>
      </c>
      <c r="R851" s="1494"/>
      <c r="S851" s="1493">
        <v>107</v>
      </c>
      <c r="T851" s="1493" t="s">
        <v>1199</v>
      </c>
      <c r="U851" s="1493">
        <v>3.31</v>
      </c>
      <c r="V851" s="1495" t="s">
        <v>1883</v>
      </c>
      <c r="W851" s="1496">
        <v>278</v>
      </c>
      <c r="X851" s="1497" t="s">
        <v>1883</v>
      </c>
      <c r="Y851" s="1498">
        <v>5.619009947222E-2</v>
      </c>
      <c r="Z851" s="1498">
        <v>2.8352590777776498</v>
      </c>
      <c r="AA851" s="1498">
        <v>6.8046217866663703</v>
      </c>
      <c r="AB851" s="1498">
        <v>9.1400000000000006E-3</v>
      </c>
      <c r="AC851" s="1499" t="s">
        <v>1199</v>
      </c>
      <c r="AD851" s="1500" t="s">
        <v>635</v>
      </c>
      <c r="AE851" s="1501"/>
      <c r="AF851" s="1502" t="s">
        <v>635</v>
      </c>
      <c r="AG851" s="1501"/>
      <c r="AH851" s="1502">
        <v>0.01</v>
      </c>
      <c r="AI851" s="1503" t="s">
        <v>1119</v>
      </c>
      <c r="AJ851" s="1502" t="s">
        <v>635</v>
      </c>
      <c r="AK851" s="1501"/>
      <c r="AL851" s="1501"/>
      <c r="AM851" s="1501"/>
      <c r="AN851" s="1504">
        <v>1</v>
      </c>
      <c r="AO851" s="1505">
        <v>0.1</v>
      </c>
      <c r="AP851" s="1506" t="s">
        <v>635</v>
      </c>
    </row>
    <row r="852" spans="1:42" ht="30">
      <c r="A852" s="1507" t="s">
        <v>3472</v>
      </c>
      <c r="B852" s="1508" t="s">
        <v>3473</v>
      </c>
      <c r="C852" s="1509">
        <v>269.51</v>
      </c>
      <c r="D852" s="1510" t="s">
        <v>1883</v>
      </c>
      <c r="E852" s="1511">
        <v>3.7040065412900002E-7</v>
      </c>
      <c r="F852" s="1511">
        <v>9.0599999999999997E-9</v>
      </c>
      <c r="G852" s="1512" t="s">
        <v>1883</v>
      </c>
      <c r="H852" s="1511">
        <v>9.9699999999999994E-6</v>
      </c>
      <c r="I852" s="1512" t="s">
        <v>1883</v>
      </c>
      <c r="J852" s="1513">
        <v>181.6</v>
      </c>
      <c r="K852" s="1514" t="s">
        <v>1883</v>
      </c>
      <c r="L852" s="1515">
        <v>1.2084999999999999</v>
      </c>
      <c r="M852" s="1516" t="s">
        <v>1890</v>
      </c>
      <c r="N852" s="1517">
        <v>2.3358549298540001E-2</v>
      </c>
      <c r="O852" s="1517">
        <v>5.9193610978500004E-6</v>
      </c>
      <c r="P852" s="1518" t="s">
        <v>1885</v>
      </c>
      <c r="Q852" s="1519" t="s">
        <v>635</v>
      </c>
      <c r="R852" s="1520"/>
      <c r="S852" s="1519">
        <v>175.3</v>
      </c>
      <c r="T852" s="1519" t="s">
        <v>1199</v>
      </c>
      <c r="U852" s="1519">
        <v>3.8</v>
      </c>
      <c r="V852" s="1521" t="s">
        <v>1883</v>
      </c>
      <c r="W852" s="1522">
        <v>71</v>
      </c>
      <c r="X852" s="1523" t="s">
        <v>1883</v>
      </c>
      <c r="Y852" s="1524">
        <v>0.10165762755271</v>
      </c>
      <c r="Z852" s="1524">
        <v>3.39707198355448</v>
      </c>
      <c r="AA852" s="1524">
        <v>8.1529727605307496</v>
      </c>
      <c r="AB852" s="1524">
        <v>1.61E-2</v>
      </c>
      <c r="AC852" s="1525" t="s">
        <v>1199</v>
      </c>
      <c r="AD852" s="1526" t="s">
        <v>635</v>
      </c>
      <c r="AE852" s="1527"/>
      <c r="AF852" s="1528" t="s">
        <v>635</v>
      </c>
      <c r="AG852" s="1527"/>
      <c r="AH852" s="1528">
        <v>8.0000000000000002E-3</v>
      </c>
      <c r="AI852" s="1529" t="s">
        <v>1119</v>
      </c>
      <c r="AJ852" s="1528" t="s">
        <v>635</v>
      </c>
      <c r="AK852" s="1527"/>
      <c r="AL852" s="1527"/>
      <c r="AM852" s="1527"/>
      <c r="AN852" s="1530">
        <v>1</v>
      </c>
      <c r="AO852" s="1531">
        <v>0.1</v>
      </c>
      <c r="AP852" s="1532" t="s">
        <v>635</v>
      </c>
    </row>
    <row r="853" spans="1:42" ht="30">
      <c r="A853" s="1481" t="s">
        <v>3474</v>
      </c>
      <c r="B853" s="1482" t="s">
        <v>3475</v>
      </c>
      <c r="C853" s="1483">
        <v>147.43</v>
      </c>
      <c r="D853" s="1484" t="s">
        <v>1883</v>
      </c>
      <c r="E853" s="1485">
        <v>1.295993458708E-2</v>
      </c>
      <c r="F853" s="1485">
        <v>3.1700000000000001E-4</v>
      </c>
      <c r="G853" s="1486" t="s">
        <v>1199</v>
      </c>
      <c r="H853" s="1485">
        <v>3.0979999999999999</v>
      </c>
      <c r="I853" s="1486" t="s">
        <v>1883</v>
      </c>
      <c r="J853" s="1487">
        <v>-65.45</v>
      </c>
      <c r="K853" s="1488" t="s">
        <v>1199</v>
      </c>
      <c r="L853" s="1489">
        <v>1.3720000000000001</v>
      </c>
      <c r="M853" s="1490" t="s">
        <v>1884</v>
      </c>
      <c r="N853" s="1491">
        <v>5.7157722843600003E-2</v>
      </c>
      <c r="O853" s="1491">
        <v>9.1734504411299997E-6</v>
      </c>
      <c r="P853" s="1492" t="s">
        <v>1885</v>
      </c>
      <c r="Q853" s="1493" t="s">
        <v>635</v>
      </c>
      <c r="R853" s="1494"/>
      <c r="S853" s="1493">
        <v>94.94</v>
      </c>
      <c r="T853" s="1493" t="s">
        <v>1199</v>
      </c>
      <c r="U853" s="1493">
        <v>2.4300000000000002</v>
      </c>
      <c r="V853" s="1495" t="s">
        <v>1883</v>
      </c>
      <c r="W853" s="1496">
        <v>1900</v>
      </c>
      <c r="X853" s="1497" t="s">
        <v>1883</v>
      </c>
      <c r="Y853" s="1498">
        <v>4.4832279157300002E-2</v>
      </c>
      <c r="Z853" s="1498">
        <v>0.70381213342263005</v>
      </c>
      <c r="AA853" s="1498">
        <v>1.6891491202143201</v>
      </c>
      <c r="AB853" s="1498">
        <v>9.5999999999999992E-3</v>
      </c>
      <c r="AC853" s="1499" t="s">
        <v>1199</v>
      </c>
      <c r="AD853" s="1500" t="s">
        <v>635</v>
      </c>
      <c r="AE853" s="1501"/>
      <c r="AF853" s="1502" t="s">
        <v>635</v>
      </c>
      <c r="AG853" s="1501"/>
      <c r="AH853" s="1502">
        <v>5.0000000000000001E-3</v>
      </c>
      <c r="AI853" s="1503" t="s">
        <v>1119</v>
      </c>
      <c r="AJ853" s="1502" t="s">
        <v>635</v>
      </c>
      <c r="AK853" s="1501"/>
      <c r="AL853" s="1503" t="s">
        <v>1127</v>
      </c>
      <c r="AM853" s="1501"/>
      <c r="AN853" s="1504">
        <v>1</v>
      </c>
      <c r="AO853" s="1504" t="s">
        <v>635</v>
      </c>
      <c r="AP853" s="1506">
        <v>1280</v>
      </c>
    </row>
    <row r="854" spans="1:42" ht="30">
      <c r="A854" s="1481" t="s">
        <v>338</v>
      </c>
      <c r="B854" s="1482" t="s">
        <v>3476</v>
      </c>
      <c r="C854" s="1483">
        <v>147.43</v>
      </c>
      <c r="D854" s="1484" t="s">
        <v>1883</v>
      </c>
      <c r="E854" s="1485">
        <v>1.402289452167E-2</v>
      </c>
      <c r="F854" s="1485">
        <v>3.4299999999999999E-4</v>
      </c>
      <c r="G854" s="1486" t="s">
        <v>1883</v>
      </c>
      <c r="H854" s="1485">
        <v>3.69</v>
      </c>
      <c r="I854" s="1486" t="s">
        <v>1883</v>
      </c>
      <c r="J854" s="1487">
        <v>-14.7</v>
      </c>
      <c r="K854" s="1488" t="s">
        <v>1883</v>
      </c>
      <c r="L854" s="1489">
        <v>1.3889</v>
      </c>
      <c r="M854" s="1490" t="s">
        <v>1884</v>
      </c>
      <c r="N854" s="1491">
        <v>5.7466054964980001E-2</v>
      </c>
      <c r="O854" s="1491">
        <v>9.2410823201399999E-6</v>
      </c>
      <c r="P854" s="1492" t="s">
        <v>1885</v>
      </c>
      <c r="Q854" s="1493" t="s">
        <v>635</v>
      </c>
      <c r="R854" s="1494"/>
      <c r="S854" s="1493">
        <v>115.8</v>
      </c>
      <c r="T854" s="1493" t="s">
        <v>1199</v>
      </c>
      <c r="U854" s="1493">
        <v>2.27</v>
      </c>
      <c r="V854" s="1495" t="s">
        <v>1883</v>
      </c>
      <c r="W854" s="1496">
        <v>1750</v>
      </c>
      <c r="X854" s="1497" t="s">
        <v>1883</v>
      </c>
      <c r="Y854" s="1498">
        <v>3.5118618673219998E-2</v>
      </c>
      <c r="Z854" s="1498">
        <v>0.70381213342263005</v>
      </c>
      <c r="AA854" s="1498">
        <v>1.6891491202143201</v>
      </c>
      <c r="AB854" s="1498">
        <v>7.5199999999999998E-3</v>
      </c>
      <c r="AC854" s="1499" t="s">
        <v>1199</v>
      </c>
      <c r="AD854" s="1500">
        <v>30</v>
      </c>
      <c r="AE854" s="1503" t="s">
        <v>1119</v>
      </c>
      <c r="AF854" s="1502" t="s">
        <v>635</v>
      </c>
      <c r="AG854" s="1501"/>
      <c r="AH854" s="1502">
        <v>4.0000000000000001E-3</v>
      </c>
      <c r="AI854" s="1503" t="s">
        <v>1119</v>
      </c>
      <c r="AJ854" s="1502">
        <v>2.9999999999999997E-4</v>
      </c>
      <c r="AK854" s="1503" t="s">
        <v>1119</v>
      </c>
      <c r="AL854" s="1503" t="s">
        <v>1127</v>
      </c>
      <c r="AM854" s="1503" t="s">
        <v>1906</v>
      </c>
      <c r="AN854" s="1504">
        <v>1</v>
      </c>
      <c r="AO854" s="1504" t="s">
        <v>635</v>
      </c>
      <c r="AP854" s="1506">
        <v>1400</v>
      </c>
    </row>
    <row r="855" spans="1:42" ht="30">
      <c r="A855" s="1507" t="s">
        <v>3477</v>
      </c>
      <c r="B855" s="1508" t="s">
        <v>3478</v>
      </c>
      <c r="C855" s="1509">
        <v>145.41999999999999</v>
      </c>
      <c r="D855" s="1510" t="s">
        <v>1883</v>
      </c>
      <c r="E855" s="1511">
        <v>0.71954210956664</v>
      </c>
      <c r="F855" s="1511">
        <v>1.7600000000000001E-2</v>
      </c>
      <c r="G855" s="1512" t="s">
        <v>1883</v>
      </c>
      <c r="H855" s="1511">
        <v>4.4000000000000004</v>
      </c>
      <c r="I855" s="1512" t="s">
        <v>1883</v>
      </c>
      <c r="J855" s="1513">
        <v>-56.49</v>
      </c>
      <c r="K855" s="1514" t="s">
        <v>1199</v>
      </c>
      <c r="L855" s="1515">
        <v>1.4119999999999999</v>
      </c>
      <c r="M855" s="1516" t="s">
        <v>1884</v>
      </c>
      <c r="N855" s="1517">
        <v>5.906315230577E-2</v>
      </c>
      <c r="O855" s="1517">
        <v>9.4101837835499999E-6</v>
      </c>
      <c r="P855" s="1518" t="s">
        <v>1885</v>
      </c>
      <c r="Q855" s="1519" t="s">
        <v>635</v>
      </c>
      <c r="R855" s="1520"/>
      <c r="S855" s="1519">
        <v>115.8</v>
      </c>
      <c r="T855" s="1519" t="s">
        <v>1199</v>
      </c>
      <c r="U855" s="1519">
        <v>2.78</v>
      </c>
      <c r="V855" s="1521" t="s">
        <v>1883</v>
      </c>
      <c r="W855" s="1522">
        <v>334.2</v>
      </c>
      <c r="X855" s="1523" t="s">
        <v>1883</v>
      </c>
      <c r="Y855" s="1524">
        <v>7.8383639874660002E-2</v>
      </c>
      <c r="Z855" s="1524">
        <v>0.68580516188263996</v>
      </c>
      <c r="AA855" s="1524">
        <v>1.6459323885183399</v>
      </c>
      <c r="AB855" s="1524">
        <v>1.6899999999999998E-2</v>
      </c>
      <c r="AC855" s="1525" t="s">
        <v>1199</v>
      </c>
      <c r="AD855" s="1526" t="s">
        <v>635</v>
      </c>
      <c r="AE855" s="1527"/>
      <c r="AF855" s="1528" t="s">
        <v>635</v>
      </c>
      <c r="AG855" s="1527"/>
      <c r="AH855" s="1528">
        <v>3.0000000000000001E-3</v>
      </c>
      <c r="AI855" s="1529" t="s">
        <v>1893</v>
      </c>
      <c r="AJ855" s="1528">
        <v>2.9999999999999997E-4</v>
      </c>
      <c r="AK855" s="1529" t="s">
        <v>1909</v>
      </c>
      <c r="AL855" s="1529" t="s">
        <v>1127</v>
      </c>
      <c r="AM855" s="1527"/>
      <c r="AN855" s="1530">
        <v>1</v>
      </c>
      <c r="AO855" s="1530" t="s">
        <v>635</v>
      </c>
      <c r="AP855" s="1532">
        <v>311</v>
      </c>
    </row>
    <row r="856" spans="1:42" ht="30">
      <c r="A856" s="1481" t="s">
        <v>3479</v>
      </c>
      <c r="B856" s="1482" t="s">
        <v>3480</v>
      </c>
      <c r="C856" s="1483">
        <v>368.37</v>
      </c>
      <c r="D856" s="1484" t="s">
        <v>1883</v>
      </c>
      <c r="E856" s="1485">
        <v>3.3034000000000003E-5</v>
      </c>
      <c r="F856" s="1485">
        <v>8.0800000000000004E-7</v>
      </c>
      <c r="G856" s="1486" t="s">
        <v>1199</v>
      </c>
      <c r="H856" s="1485">
        <v>5.9999999999999997E-7</v>
      </c>
      <c r="I856" s="1486" t="s">
        <v>1199</v>
      </c>
      <c r="J856" s="1487">
        <v>-33</v>
      </c>
      <c r="K856" s="1488" t="s">
        <v>1883</v>
      </c>
      <c r="L856" s="1489">
        <v>1.167</v>
      </c>
      <c r="M856" s="1490" t="s">
        <v>2006</v>
      </c>
      <c r="N856" s="1491">
        <v>1.9492267182229999E-2</v>
      </c>
      <c r="O856" s="1491">
        <v>4.8055569981699998E-6</v>
      </c>
      <c r="P856" s="1492" t="s">
        <v>1885</v>
      </c>
      <c r="Q856" s="1493" t="s">
        <v>635</v>
      </c>
      <c r="R856" s="1494"/>
      <c r="S856" s="1493">
        <v>47110</v>
      </c>
      <c r="T856" s="1493" t="s">
        <v>1199</v>
      </c>
      <c r="U856" s="1493">
        <v>5.1100000000000003</v>
      </c>
      <c r="V856" s="1495" t="s">
        <v>1883</v>
      </c>
      <c r="W856" s="1496">
        <v>0.36</v>
      </c>
      <c r="X856" s="1497" t="s">
        <v>1883</v>
      </c>
      <c r="Y856" s="1498">
        <v>0.24655581278194999</v>
      </c>
      <c r="Z856" s="1498">
        <v>12.1540424711915</v>
      </c>
      <c r="AA856" s="1498">
        <v>29.169701930859599</v>
      </c>
      <c r="AB856" s="1498">
        <v>3.3399999999999999E-2</v>
      </c>
      <c r="AC856" s="1499" t="s">
        <v>1199</v>
      </c>
      <c r="AD856" s="1500" t="s">
        <v>635</v>
      </c>
      <c r="AE856" s="1501"/>
      <c r="AF856" s="1502" t="s">
        <v>635</v>
      </c>
      <c r="AG856" s="1501"/>
      <c r="AH856" s="1502">
        <v>0.02</v>
      </c>
      <c r="AI856" s="1503" t="s">
        <v>1960</v>
      </c>
      <c r="AJ856" s="1502" t="s">
        <v>635</v>
      </c>
      <c r="AK856" s="1501"/>
      <c r="AL856" s="1501"/>
      <c r="AM856" s="1501"/>
      <c r="AN856" s="1504">
        <v>1</v>
      </c>
      <c r="AO856" s="1505">
        <v>0.1</v>
      </c>
      <c r="AP856" s="1506" t="s">
        <v>635</v>
      </c>
    </row>
    <row r="857" spans="1:42" ht="30">
      <c r="A857" s="1481" t="s">
        <v>3481</v>
      </c>
      <c r="B857" s="1482" t="s">
        <v>3482</v>
      </c>
      <c r="C857" s="1483">
        <v>320.43</v>
      </c>
      <c r="D857" s="1484" t="s">
        <v>1883</v>
      </c>
      <c r="E857" s="1485">
        <v>1.6762060509999998E-5</v>
      </c>
      <c r="F857" s="1485">
        <v>4.0999999999999999E-7</v>
      </c>
      <c r="G857" s="1486" t="s">
        <v>1883</v>
      </c>
      <c r="H857" s="1485">
        <v>3.8999999999999999E-4</v>
      </c>
      <c r="I857" s="1486" t="s">
        <v>1883</v>
      </c>
      <c r="J857" s="1487">
        <v>42.8</v>
      </c>
      <c r="K857" s="1488" t="s">
        <v>1883</v>
      </c>
      <c r="L857" s="1489" t="s">
        <v>635</v>
      </c>
      <c r="M857" s="1533"/>
      <c r="N857" s="1491">
        <v>4.0575587905200002E-2</v>
      </c>
      <c r="O857" s="1491">
        <v>4.7409371131300001E-6</v>
      </c>
      <c r="P857" s="1492" t="s">
        <v>1885</v>
      </c>
      <c r="Q857" s="1493" t="s">
        <v>635</v>
      </c>
      <c r="R857" s="1494"/>
      <c r="S857" s="1493">
        <v>3447</v>
      </c>
      <c r="T857" s="1493" t="s">
        <v>1199</v>
      </c>
      <c r="U857" s="1493">
        <v>5.18</v>
      </c>
      <c r="V857" s="1495" t="s">
        <v>1883</v>
      </c>
      <c r="W857" s="1496">
        <v>1.1419999999999999</v>
      </c>
      <c r="X857" s="1497" t="s">
        <v>1883</v>
      </c>
      <c r="Y857" s="1498">
        <v>0.47436480423826</v>
      </c>
      <c r="Z857" s="1498">
        <v>6.5502330143373904</v>
      </c>
      <c r="AA857" s="1498">
        <v>15.7205592344097</v>
      </c>
      <c r="AB857" s="1498">
        <v>6.8900000000000003E-2</v>
      </c>
      <c r="AC857" s="1499" t="s">
        <v>1199</v>
      </c>
      <c r="AD857" s="1500" t="s">
        <v>635</v>
      </c>
      <c r="AE857" s="1501"/>
      <c r="AF857" s="1502" t="s">
        <v>635</v>
      </c>
      <c r="AG857" s="1501"/>
      <c r="AH857" s="1502">
        <v>3.0000000000000001E-3</v>
      </c>
      <c r="AI857" s="1503" t="s">
        <v>1119</v>
      </c>
      <c r="AJ857" s="1502" t="s">
        <v>635</v>
      </c>
      <c r="AK857" s="1501"/>
      <c r="AL857" s="1501"/>
      <c r="AM857" s="1501"/>
      <c r="AN857" s="1504">
        <v>1</v>
      </c>
      <c r="AO857" s="1505">
        <v>0.1</v>
      </c>
      <c r="AP857" s="1506" t="s">
        <v>635</v>
      </c>
    </row>
    <row r="858" spans="1:42" ht="30">
      <c r="A858" s="1507" t="s">
        <v>3483</v>
      </c>
      <c r="B858" s="1508" t="s">
        <v>3484</v>
      </c>
      <c r="C858" s="1509">
        <v>101.19</v>
      </c>
      <c r="D858" s="1510" t="s">
        <v>1883</v>
      </c>
      <c r="E858" s="1511">
        <v>6.0915780866699996E-3</v>
      </c>
      <c r="F858" s="1511">
        <v>1.4899999999999999E-4</v>
      </c>
      <c r="G858" s="1512" t="s">
        <v>1883</v>
      </c>
      <c r="H858" s="1511">
        <v>57.07</v>
      </c>
      <c r="I858" s="1512" t="s">
        <v>1883</v>
      </c>
      <c r="J858" s="1513">
        <v>-114.7</v>
      </c>
      <c r="K858" s="1514" t="s">
        <v>1883</v>
      </c>
      <c r="L858" s="1515">
        <v>0.72750000000000004</v>
      </c>
      <c r="M858" s="1516" t="s">
        <v>1884</v>
      </c>
      <c r="N858" s="1517">
        <v>6.6363129017280004E-2</v>
      </c>
      <c r="O858" s="1517">
        <v>7.8575836408999995E-6</v>
      </c>
      <c r="P858" s="1518" t="s">
        <v>1885</v>
      </c>
      <c r="Q858" s="1519" t="s">
        <v>635</v>
      </c>
      <c r="R858" s="1520"/>
      <c r="S858" s="1519">
        <v>50.81</v>
      </c>
      <c r="T858" s="1519" t="s">
        <v>1199</v>
      </c>
      <c r="U858" s="1519">
        <v>1.45</v>
      </c>
      <c r="V858" s="1521" t="s">
        <v>1883</v>
      </c>
      <c r="W858" s="1522">
        <v>68600</v>
      </c>
      <c r="X858" s="1523" t="s">
        <v>1883</v>
      </c>
      <c r="Y858" s="1524">
        <v>1.508898604943E-2</v>
      </c>
      <c r="Z858" s="1524">
        <v>0.38771513052607998</v>
      </c>
      <c r="AA858" s="1524">
        <v>0.93051631326259998</v>
      </c>
      <c r="AB858" s="1524">
        <v>3.8999999999999998E-3</v>
      </c>
      <c r="AC858" s="1525" t="s">
        <v>1199</v>
      </c>
      <c r="AD858" s="1526" t="s">
        <v>635</v>
      </c>
      <c r="AE858" s="1527"/>
      <c r="AF858" s="1528" t="s">
        <v>635</v>
      </c>
      <c r="AG858" s="1527"/>
      <c r="AH858" s="1528" t="s">
        <v>635</v>
      </c>
      <c r="AI858" s="1527"/>
      <c r="AJ858" s="1528">
        <v>7.0000000000000001E-3</v>
      </c>
      <c r="AK858" s="1529" t="s">
        <v>1119</v>
      </c>
      <c r="AL858" s="1529" t="s">
        <v>1127</v>
      </c>
      <c r="AM858" s="1527"/>
      <c r="AN858" s="1530">
        <v>1</v>
      </c>
      <c r="AO858" s="1530" t="s">
        <v>635</v>
      </c>
      <c r="AP858" s="1532">
        <v>27900</v>
      </c>
    </row>
    <row r="859" spans="1:42" ht="30">
      <c r="A859" s="1481" t="s">
        <v>3485</v>
      </c>
      <c r="B859" s="1482" t="s">
        <v>3486</v>
      </c>
      <c r="C859" s="1483">
        <v>150.18</v>
      </c>
      <c r="D859" s="1484" t="s">
        <v>1883</v>
      </c>
      <c r="E859" s="1485">
        <v>1.29190515127E-9</v>
      </c>
      <c r="F859" s="1485">
        <v>3.1599999999999999E-11</v>
      </c>
      <c r="G859" s="1486" t="s">
        <v>1883</v>
      </c>
      <c r="H859" s="1485">
        <v>1.32E-3</v>
      </c>
      <c r="I859" s="1486" t="s">
        <v>1883</v>
      </c>
      <c r="J859" s="1487">
        <v>-7</v>
      </c>
      <c r="K859" s="1488" t="s">
        <v>1883</v>
      </c>
      <c r="L859" s="1489">
        <v>1.1274</v>
      </c>
      <c r="M859" s="1490" t="s">
        <v>1884</v>
      </c>
      <c r="N859" s="1491">
        <v>5.0921903116939997E-2</v>
      </c>
      <c r="O859" s="1491">
        <v>8.06401505412E-6</v>
      </c>
      <c r="P859" s="1492" t="s">
        <v>1885</v>
      </c>
      <c r="Q859" s="1493" t="s">
        <v>635</v>
      </c>
      <c r="R859" s="1494"/>
      <c r="S859" s="1493">
        <v>10</v>
      </c>
      <c r="T859" s="1493" t="s">
        <v>1199</v>
      </c>
      <c r="U859" s="1493">
        <v>-1.75</v>
      </c>
      <c r="V859" s="1495" t="s">
        <v>1883</v>
      </c>
      <c r="W859" s="1496">
        <v>1000000</v>
      </c>
      <c r="X859" s="1497" t="s">
        <v>1883</v>
      </c>
      <c r="Y859" s="1498">
        <v>7.3057431609999994E-5</v>
      </c>
      <c r="Z859" s="1498">
        <v>0.72921694114583002</v>
      </c>
      <c r="AA859" s="1498">
        <v>1.75012065875</v>
      </c>
      <c r="AB859" s="1498">
        <v>1.5500000000000001E-5</v>
      </c>
      <c r="AC859" s="1499" t="s">
        <v>1199</v>
      </c>
      <c r="AD859" s="1500" t="s">
        <v>635</v>
      </c>
      <c r="AE859" s="1501"/>
      <c r="AF859" s="1502" t="s">
        <v>635</v>
      </c>
      <c r="AG859" s="1501"/>
      <c r="AH859" s="1502">
        <v>2</v>
      </c>
      <c r="AI859" s="1503" t="s">
        <v>1909</v>
      </c>
      <c r="AJ859" s="1502" t="s">
        <v>635</v>
      </c>
      <c r="AK859" s="1501"/>
      <c r="AL859" s="1501"/>
      <c r="AM859" s="1501"/>
      <c r="AN859" s="1504">
        <v>1</v>
      </c>
      <c r="AO859" s="1505">
        <v>0.1</v>
      </c>
      <c r="AP859" s="1506" t="s">
        <v>635</v>
      </c>
    </row>
    <row r="860" spans="1:42" ht="30">
      <c r="A860" s="1481" t="s">
        <v>3487</v>
      </c>
      <c r="B860" s="1482" t="s">
        <v>3488</v>
      </c>
      <c r="C860" s="1483">
        <v>84.040999999999997</v>
      </c>
      <c r="D860" s="1484" t="s">
        <v>1883</v>
      </c>
      <c r="E860" s="1485">
        <v>31.479967293540501</v>
      </c>
      <c r="F860" s="1485">
        <v>0.77</v>
      </c>
      <c r="G860" s="1486" t="s">
        <v>1883</v>
      </c>
      <c r="H860" s="1485">
        <v>9536</v>
      </c>
      <c r="I860" s="1486" t="s">
        <v>1883</v>
      </c>
      <c r="J860" s="1487">
        <v>-111.3</v>
      </c>
      <c r="K860" s="1488" t="s">
        <v>1883</v>
      </c>
      <c r="L860" s="1489" t="s">
        <v>635</v>
      </c>
      <c r="M860" s="1533"/>
      <c r="N860" s="1491">
        <v>9.9028331089880003E-2</v>
      </c>
      <c r="O860" s="1491">
        <v>1.157067869E-5</v>
      </c>
      <c r="P860" s="1492" t="s">
        <v>1885</v>
      </c>
      <c r="Q860" s="1493" t="s">
        <v>635</v>
      </c>
      <c r="R860" s="1494"/>
      <c r="S860" s="1493">
        <v>43.89</v>
      </c>
      <c r="T860" s="1493" t="s">
        <v>1199</v>
      </c>
      <c r="U860" s="1493">
        <v>1.74</v>
      </c>
      <c r="V860" s="1495" t="s">
        <v>1883</v>
      </c>
      <c r="W860" s="1496">
        <v>760.9</v>
      </c>
      <c r="X860" s="1497" t="s">
        <v>1883</v>
      </c>
      <c r="Y860" s="1498">
        <v>2.6691202318329998E-2</v>
      </c>
      <c r="Z860" s="1498">
        <v>0.31079809602747999</v>
      </c>
      <c r="AA860" s="1498">
        <v>0.74591543046595998</v>
      </c>
      <c r="AB860" s="1498">
        <v>7.5700000000000003E-3</v>
      </c>
      <c r="AC860" s="1499" t="s">
        <v>1199</v>
      </c>
      <c r="AD860" s="1500" t="s">
        <v>635</v>
      </c>
      <c r="AE860" s="1501"/>
      <c r="AF860" s="1502" t="s">
        <v>635</v>
      </c>
      <c r="AG860" s="1501"/>
      <c r="AH860" s="1502" t="s">
        <v>635</v>
      </c>
      <c r="AI860" s="1501"/>
      <c r="AJ860" s="1502">
        <v>20</v>
      </c>
      <c r="AK860" s="1503" t="s">
        <v>1909</v>
      </c>
      <c r="AL860" s="1503" t="s">
        <v>1127</v>
      </c>
      <c r="AM860" s="1501"/>
      <c r="AN860" s="1504">
        <v>1</v>
      </c>
      <c r="AO860" s="1504" t="s">
        <v>635</v>
      </c>
      <c r="AP860" s="1506">
        <v>4810</v>
      </c>
    </row>
    <row r="861" spans="1:42" ht="30">
      <c r="A861" s="1507" t="s">
        <v>3489</v>
      </c>
      <c r="B861" s="1508" t="s">
        <v>3490</v>
      </c>
      <c r="C861" s="1509">
        <v>335.29</v>
      </c>
      <c r="D861" s="1510" t="s">
        <v>1883</v>
      </c>
      <c r="E861" s="1511">
        <v>4.2109566639400003E-3</v>
      </c>
      <c r="F861" s="1511">
        <v>1.03E-4</v>
      </c>
      <c r="G861" s="1512" t="s">
        <v>1883</v>
      </c>
      <c r="H861" s="1511">
        <v>4.5800000000000002E-5</v>
      </c>
      <c r="I861" s="1512" t="s">
        <v>1883</v>
      </c>
      <c r="J861" s="1513">
        <v>49</v>
      </c>
      <c r="K861" s="1514" t="s">
        <v>1883</v>
      </c>
      <c r="L861" s="1515">
        <v>1.36</v>
      </c>
      <c r="M861" s="1516" t="s">
        <v>1890</v>
      </c>
      <c r="N861" s="1517">
        <v>2.2051920147909999E-2</v>
      </c>
      <c r="O861" s="1517">
        <v>5.57368930474E-6</v>
      </c>
      <c r="P861" s="1518" t="s">
        <v>1885</v>
      </c>
      <c r="Q861" s="1519" t="s">
        <v>635</v>
      </c>
      <c r="R861" s="1520"/>
      <c r="S861" s="1519">
        <v>16390</v>
      </c>
      <c r="T861" s="1519" t="s">
        <v>1199</v>
      </c>
      <c r="U861" s="1519">
        <v>5.34</v>
      </c>
      <c r="V861" s="1521" t="s">
        <v>1883</v>
      </c>
      <c r="W861" s="1522">
        <v>0.184</v>
      </c>
      <c r="X861" s="1523" t="s">
        <v>1883</v>
      </c>
      <c r="Y861" s="1524">
        <v>0.51270591960694001</v>
      </c>
      <c r="Z861" s="1524">
        <v>7.9336447450844201</v>
      </c>
      <c r="AA861" s="1524">
        <v>19.0407473882026</v>
      </c>
      <c r="AB861" s="1524">
        <v>7.2800000000000004E-2</v>
      </c>
      <c r="AC861" s="1525" t="s">
        <v>1199</v>
      </c>
      <c r="AD861" s="1526">
        <v>7.7000000000000002E-3</v>
      </c>
      <c r="AE861" s="1529" t="s">
        <v>1119</v>
      </c>
      <c r="AF861" s="1528" t="s">
        <v>635</v>
      </c>
      <c r="AG861" s="1527"/>
      <c r="AH861" s="1528">
        <v>7.4999999999999997E-3</v>
      </c>
      <c r="AI861" s="1529" t="s">
        <v>1119</v>
      </c>
      <c r="AJ861" s="1528" t="s">
        <v>635</v>
      </c>
      <c r="AK861" s="1527"/>
      <c r="AL861" s="1529" t="s">
        <v>1127</v>
      </c>
      <c r="AM861" s="1527"/>
      <c r="AN861" s="1530">
        <v>1</v>
      </c>
      <c r="AO861" s="1530" t="s">
        <v>635</v>
      </c>
      <c r="AP861" s="1532" t="s">
        <v>635</v>
      </c>
    </row>
    <row r="862" spans="1:42" ht="30">
      <c r="A862" s="1481" t="s">
        <v>3491</v>
      </c>
      <c r="B862" s="1482" t="s">
        <v>3492</v>
      </c>
      <c r="C862" s="1483">
        <v>140.08000000000001</v>
      </c>
      <c r="D862" s="1484" t="s">
        <v>1883</v>
      </c>
      <c r="E862" s="1485">
        <v>2.94358135732E-7</v>
      </c>
      <c r="F862" s="1485">
        <v>7.2E-9</v>
      </c>
      <c r="G862" s="1486" t="s">
        <v>1883</v>
      </c>
      <c r="H862" s="1485">
        <v>0.85</v>
      </c>
      <c r="I862" s="1486" t="s">
        <v>1199</v>
      </c>
      <c r="J862" s="1487">
        <v>-46</v>
      </c>
      <c r="K862" s="1488" t="s">
        <v>1883</v>
      </c>
      <c r="L862" s="1489">
        <v>1.2143999999999999</v>
      </c>
      <c r="M862" s="1490" t="s">
        <v>1884</v>
      </c>
      <c r="N862" s="1491">
        <v>5.8254687379680002E-2</v>
      </c>
      <c r="O862" s="1491">
        <v>8.7915033686199993E-6</v>
      </c>
      <c r="P862" s="1492" t="s">
        <v>1885</v>
      </c>
      <c r="Q862" s="1493" t="s">
        <v>635</v>
      </c>
      <c r="R862" s="1494"/>
      <c r="S862" s="1493">
        <v>10.6</v>
      </c>
      <c r="T862" s="1493" t="s">
        <v>1199</v>
      </c>
      <c r="U862" s="1493">
        <v>-0.65</v>
      </c>
      <c r="V862" s="1495" t="s">
        <v>1883</v>
      </c>
      <c r="W862" s="1496">
        <v>500000</v>
      </c>
      <c r="X862" s="1497" t="s">
        <v>1883</v>
      </c>
      <c r="Y862" s="1498">
        <v>4.3154198599999998E-4</v>
      </c>
      <c r="Z862" s="1498">
        <v>0.64017211006949004</v>
      </c>
      <c r="AA862" s="1498">
        <v>1.5364130641667899</v>
      </c>
      <c r="AB862" s="1498">
        <v>9.48E-5</v>
      </c>
      <c r="AC862" s="1499" t="s">
        <v>1199</v>
      </c>
      <c r="AD862" s="1500">
        <v>0.02</v>
      </c>
      <c r="AE862" s="1503" t="s">
        <v>1909</v>
      </c>
      <c r="AF862" s="1502" t="s">
        <v>635</v>
      </c>
      <c r="AG862" s="1501"/>
      <c r="AH862" s="1502">
        <v>0.01</v>
      </c>
      <c r="AI862" s="1503" t="s">
        <v>1909</v>
      </c>
      <c r="AJ862" s="1502" t="s">
        <v>635</v>
      </c>
      <c r="AK862" s="1501"/>
      <c r="AL862" s="1501"/>
      <c r="AM862" s="1501"/>
      <c r="AN862" s="1504">
        <v>1</v>
      </c>
      <c r="AO862" s="1505">
        <v>0.1</v>
      </c>
      <c r="AP862" s="1506" t="s">
        <v>635</v>
      </c>
    </row>
    <row r="863" spans="1:42" ht="30">
      <c r="A863" s="1481" t="s">
        <v>3493</v>
      </c>
      <c r="B863" s="1482" t="s">
        <v>3494</v>
      </c>
      <c r="C863" s="1483">
        <v>120.2</v>
      </c>
      <c r="D863" s="1484" t="s">
        <v>1883</v>
      </c>
      <c r="E863" s="1485">
        <v>0.17825020441537001</v>
      </c>
      <c r="F863" s="1485">
        <v>4.3600000000000002E-3</v>
      </c>
      <c r="G863" s="1486" t="s">
        <v>1883</v>
      </c>
      <c r="H863" s="1485">
        <v>1.6886000000000001</v>
      </c>
      <c r="I863" s="1486" t="s">
        <v>1883</v>
      </c>
      <c r="J863" s="1487">
        <v>-25.4</v>
      </c>
      <c r="K863" s="1488" t="s">
        <v>1883</v>
      </c>
      <c r="L863" s="1489">
        <v>0.89439999999999997</v>
      </c>
      <c r="M863" s="1490" t="s">
        <v>1884</v>
      </c>
      <c r="N863" s="1491">
        <v>6.125353674148E-2</v>
      </c>
      <c r="O863" s="1491">
        <v>8.0213629052599997E-6</v>
      </c>
      <c r="P863" s="1492" t="s">
        <v>1885</v>
      </c>
      <c r="Q863" s="1493" t="s">
        <v>635</v>
      </c>
      <c r="R863" s="1494"/>
      <c r="S863" s="1493">
        <v>626.9</v>
      </c>
      <c r="T863" s="1493" t="s">
        <v>1199</v>
      </c>
      <c r="U863" s="1493">
        <v>3.66</v>
      </c>
      <c r="V863" s="1495" t="s">
        <v>1883</v>
      </c>
      <c r="W863" s="1496">
        <v>75.2</v>
      </c>
      <c r="X863" s="1497" t="s">
        <v>1883</v>
      </c>
      <c r="Y863" s="1498">
        <v>0.37824337403316999</v>
      </c>
      <c r="Z863" s="1498">
        <v>0.49541454114276001</v>
      </c>
      <c r="AA863" s="1498">
        <v>1.18899489874263</v>
      </c>
      <c r="AB863" s="1498">
        <v>8.9700000000000002E-2</v>
      </c>
      <c r="AC863" s="1499" t="s">
        <v>1199</v>
      </c>
      <c r="AD863" s="1500" t="s">
        <v>635</v>
      </c>
      <c r="AE863" s="1501"/>
      <c r="AF863" s="1502" t="s">
        <v>635</v>
      </c>
      <c r="AG863" s="1501"/>
      <c r="AH863" s="1502">
        <v>0.01</v>
      </c>
      <c r="AI863" s="1503" t="s">
        <v>1119</v>
      </c>
      <c r="AJ863" s="1502">
        <v>0.06</v>
      </c>
      <c r="AK863" s="1503" t="s">
        <v>1119</v>
      </c>
      <c r="AL863" s="1503" t="s">
        <v>1127</v>
      </c>
      <c r="AM863" s="1501"/>
      <c r="AN863" s="1504">
        <v>1</v>
      </c>
      <c r="AO863" s="1504" t="s">
        <v>635</v>
      </c>
      <c r="AP863" s="1506">
        <v>293</v>
      </c>
    </row>
    <row r="864" spans="1:42" ht="30">
      <c r="A864" s="1507" t="s">
        <v>3495</v>
      </c>
      <c r="B864" s="1508" t="s">
        <v>3496</v>
      </c>
      <c r="C864" s="1509">
        <v>120.2</v>
      </c>
      <c r="D864" s="1510" t="s">
        <v>1883</v>
      </c>
      <c r="E864" s="1511">
        <v>0.25183973834832002</v>
      </c>
      <c r="F864" s="1511">
        <v>6.1599999999999997E-3</v>
      </c>
      <c r="G864" s="1512" t="s">
        <v>1883</v>
      </c>
      <c r="H864" s="1511">
        <v>2.1</v>
      </c>
      <c r="I864" s="1512" t="s">
        <v>1883</v>
      </c>
      <c r="J864" s="1513">
        <v>-43.8</v>
      </c>
      <c r="K864" s="1514" t="s">
        <v>1883</v>
      </c>
      <c r="L864" s="1515">
        <v>0.87580000000000002</v>
      </c>
      <c r="M864" s="1516" t="s">
        <v>1884</v>
      </c>
      <c r="N864" s="1517">
        <v>6.0675405634019998E-2</v>
      </c>
      <c r="O864" s="1517">
        <v>7.9208548604900001E-6</v>
      </c>
      <c r="P864" s="1518" t="s">
        <v>1885</v>
      </c>
      <c r="Q864" s="1519" t="s">
        <v>635</v>
      </c>
      <c r="R864" s="1520"/>
      <c r="S864" s="1519">
        <v>614.29999999999995</v>
      </c>
      <c r="T864" s="1519" t="s">
        <v>1199</v>
      </c>
      <c r="U864" s="1519">
        <v>3.63</v>
      </c>
      <c r="V864" s="1521" t="s">
        <v>1883</v>
      </c>
      <c r="W864" s="1522">
        <v>57</v>
      </c>
      <c r="X864" s="1523" t="s">
        <v>1883</v>
      </c>
      <c r="Y864" s="1524">
        <v>0.36137633394251001</v>
      </c>
      <c r="Z864" s="1524">
        <v>0.49541454114276001</v>
      </c>
      <c r="AA864" s="1524">
        <v>1.18899489874263</v>
      </c>
      <c r="AB864" s="1524">
        <v>8.5699999999999998E-2</v>
      </c>
      <c r="AC864" s="1525" t="s">
        <v>1199</v>
      </c>
      <c r="AD864" s="1526" t="s">
        <v>635</v>
      </c>
      <c r="AE864" s="1527"/>
      <c r="AF864" s="1528" t="s">
        <v>635</v>
      </c>
      <c r="AG864" s="1527"/>
      <c r="AH864" s="1528">
        <v>0.01</v>
      </c>
      <c r="AI864" s="1529" t="s">
        <v>1119</v>
      </c>
      <c r="AJ864" s="1528">
        <v>0.06</v>
      </c>
      <c r="AK864" s="1529" t="s">
        <v>1119</v>
      </c>
      <c r="AL864" s="1529" t="s">
        <v>1127</v>
      </c>
      <c r="AM864" s="1527"/>
      <c r="AN864" s="1530">
        <v>1</v>
      </c>
      <c r="AO864" s="1530" t="s">
        <v>635</v>
      </c>
      <c r="AP864" s="1532">
        <v>219</v>
      </c>
    </row>
    <row r="865" spans="1:42" ht="30">
      <c r="A865" s="1481" t="s">
        <v>3497</v>
      </c>
      <c r="B865" s="1482" t="s">
        <v>3498</v>
      </c>
      <c r="C865" s="1483">
        <v>120.2</v>
      </c>
      <c r="D865" s="1484" t="s">
        <v>1883</v>
      </c>
      <c r="E865" s="1485">
        <v>0.35854456255110001</v>
      </c>
      <c r="F865" s="1485">
        <v>8.77E-3</v>
      </c>
      <c r="G865" s="1486" t="s">
        <v>1883</v>
      </c>
      <c r="H865" s="1485">
        <v>2.48</v>
      </c>
      <c r="I865" s="1486" t="s">
        <v>1883</v>
      </c>
      <c r="J865" s="1487">
        <v>-44.7</v>
      </c>
      <c r="K865" s="1488" t="s">
        <v>1883</v>
      </c>
      <c r="L865" s="1489">
        <v>0.86150000000000004</v>
      </c>
      <c r="M865" s="1490" t="s">
        <v>1884</v>
      </c>
      <c r="N865" s="1491">
        <v>6.0225432515719997E-2</v>
      </c>
      <c r="O865" s="1491">
        <v>7.8430008130199997E-6</v>
      </c>
      <c r="P865" s="1492" t="s">
        <v>1885</v>
      </c>
      <c r="Q865" s="1493" t="s">
        <v>635</v>
      </c>
      <c r="R865" s="1494"/>
      <c r="S865" s="1493">
        <v>602.1</v>
      </c>
      <c r="T865" s="1493" t="s">
        <v>1199</v>
      </c>
      <c r="U865" s="1493">
        <v>3.42</v>
      </c>
      <c r="V865" s="1495" t="s">
        <v>1883</v>
      </c>
      <c r="W865" s="1496">
        <v>48.2</v>
      </c>
      <c r="X865" s="1497" t="s">
        <v>1883</v>
      </c>
      <c r="Y865" s="1498">
        <v>0.26186079740758</v>
      </c>
      <c r="Z865" s="1498">
        <v>0.49541454114276001</v>
      </c>
      <c r="AA865" s="1498">
        <v>1.18899489874263</v>
      </c>
      <c r="AB865" s="1498">
        <v>6.2100000000000002E-2</v>
      </c>
      <c r="AC865" s="1499" t="s">
        <v>1199</v>
      </c>
      <c r="AD865" s="1500" t="s">
        <v>635</v>
      </c>
      <c r="AE865" s="1501"/>
      <c r="AF865" s="1502" t="s">
        <v>635</v>
      </c>
      <c r="AG865" s="1501"/>
      <c r="AH865" s="1502">
        <v>0.01</v>
      </c>
      <c r="AI865" s="1503" t="s">
        <v>1119</v>
      </c>
      <c r="AJ865" s="1502">
        <v>0.06</v>
      </c>
      <c r="AK865" s="1503" t="s">
        <v>1119</v>
      </c>
      <c r="AL865" s="1503" t="s">
        <v>1127</v>
      </c>
      <c r="AM865" s="1501"/>
      <c r="AN865" s="1504">
        <v>1</v>
      </c>
      <c r="AO865" s="1504" t="s">
        <v>635</v>
      </c>
      <c r="AP865" s="1506">
        <v>182</v>
      </c>
    </row>
    <row r="866" spans="1:42" ht="30">
      <c r="A866" s="1481" t="s">
        <v>3499</v>
      </c>
      <c r="B866" s="1482" t="s">
        <v>3500</v>
      </c>
      <c r="C866" s="1483">
        <v>112.22</v>
      </c>
      <c r="D866" s="1484" t="s">
        <v>1883</v>
      </c>
      <c r="E866" s="1485">
        <v>30.498773507767801</v>
      </c>
      <c r="F866" s="1485">
        <v>0.746</v>
      </c>
      <c r="G866" s="1486" t="s">
        <v>1883</v>
      </c>
      <c r="H866" s="1485">
        <v>71</v>
      </c>
      <c r="I866" s="1486" t="s">
        <v>1883</v>
      </c>
      <c r="J866" s="1487">
        <v>-84.49</v>
      </c>
      <c r="K866" s="1488" t="s">
        <v>1199</v>
      </c>
      <c r="L866" s="1489">
        <v>0.71499999999999997</v>
      </c>
      <c r="M866" s="1490" t="s">
        <v>1890</v>
      </c>
      <c r="N866" s="1491">
        <v>5.9521700348819997E-2</v>
      </c>
      <c r="O866" s="1491">
        <v>7.3082473542600004E-6</v>
      </c>
      <c r="P866" s="1492" t="s">
        <v>1885</v>
      </c>
      <c r="Q866" s="1493" t="s">
        <v>635</v>
      </c>
      <c r="R866" s="1494"/>
      <c r="S866" s="1493">
        <v>240.3</v>
      </c>
      <c r="T866" s="1493" t="s">
        <v>1199</v>
      </c>
      <c r="U866" s="1493">
        <v>4.08</v>
      </c>
      <c r="V866" s="1495" t="s">
        <v>1883</v>
      </c>
      <c r="W866" s="1496">
        <v>4.04</v>
      </c>
      <c r="X866" s="1497" t="s">
        <v>1883</v>
      </c>
      <c r="Y866" s="1498">
        <v>1.5808603604651299</v>
      </c>
      <c r="Z866" s="1498">
        <v>0.44697244406025</v>
      </c>
      <c r="AA866" s="1498">
        <v>1.7840959447849201</v>
      </c>
      <c r="AB866" s="1498">
        <v>0.38800000000000001</v>
      </c>
      <c r="AC866" s="1499" t="s">
        <v>1199</v>
      </c>
      <c r="AD866" s="1500" t="s">
        <v>635</v>
      </c>
      <c r="AE866" s="1501"/>
      <c r="AF866" s="1502" t="s">
        <v>635</v>
      </c>
      <c r="AG866" s="1501"/>
      <c r="AH866" s="1502">
        <v>0.01</v>
      </c>
      <c r="AI866" s="1503" t="s">
        <v>1893</v>
      </c>
      <c r="AJ866" s="1502" t="s">
        <v>635</v>
      </c>
      <c r="AK866" s="1501"/>
      <c r="AL866" s="1503" t="s">
        <v>1127</v>
      </c>
      <c r="AM866" s="1501"/>
      <c r="AN866" s="1504">
        <v>1</v>
      </c>
      <c r="AO866" s="1504" t="s">
        <v>635</v>
      </c>
      <c r="AP866" s="1506">
        <v>29.6</v>
      </c>
    </row>
    <row r="867" spans="1:42" ht="30">
      <c r="A867" s="1507" t="s">
        <v>3501</v>
      </c>
      <c r="B867" s="1508" t="s">
        <v>3502</v>
      </c>
      <c r="C867" s="1509">
        <v>213.11</v>
      </c>
      <c r="D867" s="1510" t="s">
        <v>1883</v>
      </c>
      <c r="E867" s="1511">
        <v>2.6573998364700002E-7</v>
      </c>
      <c r="F867" s="1511">
        <v>6.5000000000000003E-9</v>
      </c>
      <c r="G867" s="1512" t="s">
        <v>1199</v>
      </c>
      <c r="H867" s="1511">
        <v>6.4400000000000002E-6</v>
      </c>
      <c r="I867" s="1512" t="s">
        <v>1199</v>
      </c>
      <c r="J867" s="1513">
        <v>121.5</v>
      </c>
      <c r="K867" s="1514" t="s">
        <v>1883</v>
      </c>
      <c r="L867" s="1515">
        <v>1.4775</v>
      </c>
      <c r="M867" s="1516" t="s">
        <v>1884</v>
      </c>
      <c r="N867" s="1517">
        <v>2.896845941775E-2</v>
      </c>
      <c r="O867" s="1517">
        <v>7.6882229312099996E-6</v>
      </c>
      <c r="P867" s="1518" t="s">
        <v>1885</v>
      </c>
      <c r="Q867" s="1519" t="s">
        <v>635</v>
      </c>
      <c r="R867" s="1520"/>
      <c r="S867" s="1519">
        <v>1683</v>
      </c>
      <c r="T867" s="1519" t="s">
        <v>1199</v>
      </c>
      <c r="U867" s="1519">
        <v>1.18</v>
      </c>
      <c r="V867" s="1521" t="s">
        <v>1883</v>
      </c>
      <c r="W867" s="1522">
        <v>278</v>
      </c>
      <c r="X867" s="1523" t="s">
        <v>1883</v>
      </c>
      <c r="Y867" s="1524">
        <v>3.4081386751799998E-3</v>
      </c>
      <c r="Z867" s="1524">
        <v>1.64159019560513</v>
      </c>
      <c r="AA867" s="1524">
        <v>3.9398164694523201</v>
      </c>
      <c r="AB867" s="1524">
        <v>6.0700000000000001E-4</v>
      </c>
      <c r="AC867" s="1525" t="s">
        <v>1199</v>
      </c>
      <c r="AD867" s="1526" t="s">
        <v>635</v>
      </c>
      <c r="AE867" s="1527"/>
      <c r="AF867" s="1528" t="s">
        <v>635</v>
      </c>
      <c r="AG867" s="1527"/>
      <c r="AH867" s="1528">
        <v>0.03</v>
      </c>
      <c r="AI867" s="1529" t="s">
        <v>1119</v>
      </c>
      <c r="AJ867" s="1528" t="s">
        <v>635</v>
      </c>
      <c r="AK867" s="1527"/>
      <c r="AL867" s="1527"/>
      <c r="AM867" s="1527"/>
      <c r="AN867" s="1530">
        <v>1</v>
      </c>
      <c r="AO867" s="1546">
        <v>1.9E-2</v>
      </c>
      <c r="AP867" s="1532" t="s">
        <v>635</v>
      </c>
    </row>
    <row r="868" spans="1:42" ht="30">
      <c r="A868" s="1481" t="s">
        <v>3503</v>
      </c>
      <c r="B868" s="1482" t="s">
        <v>3504</v>
      </c>
      <c r="C868" s="1483">
        <v>227.13</v>
      </c>
      <c r="D868" s="1484" t="s">
        <v>1883</v>
      </c>
      <c r="E868" s="1485">
        <v>8.5036794767000002E-7</v>
      </c>
      <c r="F868" s="1485">
        <v>2.0800000000000001E-8</v>
      </c>
      <c r="G868" s="1486" t="s">
        <v>1199</v>
      </c>
      <c r="H868" s="1485">
        <v>8.0199999999999994E-6</v>
      </c>
      <c r="I868" s="1486" t="s">
        <v>1883</v>
      </c>
      <c r="J868" s="1487">
        <v>80.099999999999994</v>
      </c>
      <c r="K868" s="1488" t="s">
        <v>1883</v>
      </c>
      <c r="L868" s="1489">
        <v>1.6539999999999999</v>
      </c>
      <c r="M868" s="1490" t="s">
        <v>1884</v>
      </c>
      <c r="N868" s="1491">
        <v>2.950930215056E-2</v>
      </c>
      <c r="O868" s="1491">
        <v>7.9182347703500003E-6</v>
      </c>
      <c r="P868" s="1492" t="s">
        <v>1885</v>
      </c>
      <c r="Q868" s="1493" t="s">
        <v>635</v>
      </c>
      <c r="R868" s="1494"/>
      <c r="S868" s="1493">
        <v>2812</v>
      </c>
      <c r="T868" s="1493" t="s">
        <v>1199</v>
      </c>
      <c r="U868" s="1493">
        <v>1.6</v>
      </c>
      <c r="V868" s="1495" t="s">
        <v>1883</v>
      </c>
      <c r="W868" s="1496">
        <v>115</v>
      </c>
      <c r="X868" s="1497" t="s">
        <v>1883</v>
      </c>
      <c r="Y868" s="1498">
        <v>5.5820045943600002E-3</v>
      </c>
      <c r="Z868" s="1498">
        <v>1.96687495180828</v>
      </c>
      <c r="AA868" s="1498">
        <v>4.7204998843398798</v>
      </c>
      <c r="AB868" s="1498">
        <v>9.6299999999999999E-4</v>
      </c>
      <c r="AC868" s="1499" t="s">
        <v>1199</v>
      </c>
      <c r="AD868" s="1500">
        <v>0.03</v>
      </c>
      <c r="AE868" s="1503" t="s">
        <v>1119</v>
      </c>
      <c r="AF868" s="1502" t="s">
        <v>635</v>
      </c>
      <c r="AG868" s="1501"/>
      <c r="AH868" s="1502">
        <v>5.0000000000000001E-4</v>
      </c>
      <c r="AI868" s="1503" t="s">
        <v>1119</v>
      </c>
      <c r="AJ868" s="1502" t="s">
        <v>635</v>
      </c>
      <c r="AK868" s="1501"/>
      <c r="AL868" s="1501"/>
      <c r="AM868" s="1501"/>
      <c r="AN868" s="1504">
        <v>1</v>
      </c>
      <c r="AO868" s="1545">
        <v>3.2000000000000001E-2</v>
      </c>
      <c r="AP868" s="1506" t="s">
        <v>635</v>
      </c>
    </row>
    <row r="869" spans="1:42" ht="30">
      <c r="A869" s="1481" t="s">
        <v>3505</v>
      </c>
      <c r="B869" s="1482" t="s">
        <v>3506</v>
      </c>
      <c r="C869" s="1483">
        <v>278.29000000000002</v>
      </c>
      <c r="D869" s="1484" t="s">
        <v>1883</v>
      </c>
      <c r="E869" s="1485">
        <v>2.1504497138200001E-8</v>
      </c>
      <c r="F869" s="1485">
        <v>5.2600000000000004E-10</v>
      </c>
      <c r="G869" s="1486" t="s">
        <v>1883</v>
      </c>
      <c r="H869" s="1485">
        <v>2.6000000000000001E-9</v>
      </c>
      <c r="I869" s="1486" t="s">
        <v>1199</v>
      </c>
      <c r="J869" s="1487">
        <v>156.5</v>
      </c>
      <c r="K869" s="1488" t="s">
        <v>1883</v>
      </c>
      <c r="L869" s="1489">
        <v>1.2123999999999999</v>
      </c>
      <c r="M869" s="1490" t="s">
        <v>1884</v>
      </c>
      <c r="N869" s="1491">
        <v>2.300486133541E-2</v>
      </c>
      <c r="O869" s="1491">
        <v>5.8178265292899999E-6</v>
      </c>
      <c r="P869" s="1492" t="s">
        <v>1885</v>
      </c>
      <c r="Q869" s="1493" t="s">
        <v>635</v>
      </c>
      <c r="R869" s="1494"/>
      <c r="S869" s="1493">
        <v>1954</v>
      </c>
      <c r="T869" s="1493" t="s">
        <v>1199</v>
      </c>
      <c r="U869" s="1493">
        <v>2.83</v>
      </c>
      <c r="V869" s="1495" t="s">
        <v>1883</v>
      </c>
      <c r="W869" s="1496">
        <v>62.76</v>
      </c>
      <c r="X869" s="1497" t="s">
        <v>1883</v>
      </c>
      <c r="Y869" s="1498">
        <v>2.0980856098669998E-2</v>
      </c>
      <c r="Z869" s="1498">
        <v>3.8042824135624098</v>
      </c>
      <c r="AA869" s="1498">
        <v>9.1302777925497693</v>
      </c>
      <c r="AB869" s="1498">
        <v>3.2699999999999999E-3</v>
      </c>
      <c r="AC869" s="1499" t="s">
        <v>1199</v>
      </c>
      <c r="AD869" s="1500" t="s">
        <v>635</v>
      </c>
      <c r="AE869" s="1501"/>
      <c r="AF869" s="1502" t="s">
        <v>635</v>
      </c>
      <c r="AG869" s="1501"/>
      <c r="AH869" s="1502">
        <v>0.02</v>
      </c>
      <c r="AI869" s="1503" t="s">
        <v>1909</v>
      </c>
      <c r="AJ869" s="1502" t="s">
        <v>635</v>
      </c>
      <c r="AK869" s="1501"/>
      <c r="AL869" s="1501"/>
      <c r="AM869" s="1501"/>
      <c r="AN869" s="1504">
        <v>1</v>
      </c>
      <c r="AO869" s="1505">
        <v>0.1</v>
      </c>
      <c r="AP869" s="1506" t="s">
        <v>635</v>
      </c>
    </row>
    <row r="870" spans="1:42" ht="30">
      <c r="A870" s="1507" t="s">
        <v>3507</v>
      </c>
      <c r="B870" s="1508" t="s">
        <v>3508</v>
      </c>
      <c r="C870" s="1509">
        <v>430.91</v>
      </c>
      <c r="D870" s="1510" t="s">
        <v>1883</v>
      </c>
      <c r="E870" s="1511">
        <v>1.0670482420299999E-7</v>
      </c>
      <c r="F870" s="1511">
        <v>2.6099999999999999E-9</v>
      </c>
      <c r="G870" s="1512" t="s">
        <v>1883</v>
      </c>
      <c r="H870" s="1511">
        <v>7.3599999999999997E-8</v>
      </c>
      <c r="I870" s="1512" t="s">
        <v>1883</v>
      </c>
      <c r="J870" s="1513">
        <v>27</v>
      </c>
      <c r="K870" s="1514" t="s">
        <v>1883</v>
      </c>
      <c r="L870" s="1515" t="s">
        <v>635</v>
      </c>
      <c r="M870" s="1538"/>
      <c r="N870" s="1517">
        <v>3.3303960730160002E-2</v>
      </c>
      <c r="O870" s="1517">
        <v>3.8913048853099998E-6</v>
      </c>
      <c r="P870" s="1518" t="s">
        <v>1885</v>
      </c>
      <c r="Q870" s="1519" t="s">
        <v>635</v>
      </c>
      <c r="R870" s="1520"/>
      <c r="S870" s="1519">
        <v>11130</v>
      </c>
      <c r="T870" s="1519" t="s">
        <v>1199</v>
      </c>
      <c r="U870" s="1519">
        <v>3.65</v>
      </c>
      <c r="V870" s="1521" t="s">
        <v>1883</v>
      </c>
      <c r="W870" s="1522">
        <v>7</v>
      </c>
      <c r="X870" s="1523" t="s">
        <v>1883</v>
      </c>
      <c r="Y870" s="1524">
        <v>1.269454275775E-2</v>
      </c>
      <c r="Z870" s="1524">
        <v>27.2235495156242</v>
      </c>
      <c r="AA870" s="1524">
        <v>65.336518837498105</v>
      </c>
      <c r="AB870" s="1524">
        <v>1.5900000000000001E-3</v>
      </c>
      <c r="AC870" s="1525" t="s">
        <v>1199</v>
      </c>
      <c r="AD870" s="1526" t="s">
        <v>635</v>
      </c>
      <c r="AE870" s="1527"/>
      <c r="AF870" s="1528" t="s">
        <v>635</v>
      </c>
      <c r="AG870" s="1527"/>
      <c r="AH870" s="1528">
        <v>0.02</v>
      </c>
      <c r="AI870" s="1529" t="s">
        <v>1960</v>
      </c>
      <c r="AJ870" s="1528" t="s">
        <v>635</v>
      </c>
      <c r="AK870" s="1527"/>
      <c r="AL870" s="1527"/>
      <c r="AM870" s="1527"/>
      <c r="AN870" s="1530">
        <v>1</v>
      </c>
      <c r="AO870" s="1531">
        <v>0.1</v>
      </c>
      <c r="AP870" s="1532" t="s">
        <v>635</v>
      </c>
    </row>
    <row r="871" spans="1:42" ht="30">
      <c r="A871" s="1481" t="s">
        <v>3509</v>
      </c>
      <c r="B871" s="1482" t="s">
        <v>3510</v>
      </c>
      <c r="C871" s="1483">
        <v>327.57</v>
      </c>
      <c r="D871" s="1484" t="s">
        <v>1883</v>
      </c>
      <c r="E871" s="1485">
        <v>2.4366312346700002E-6</v>
      </c>
      <c r="F871" s="1485">
        <v>5.9599999999999998E-8</v>
      </c>
      <c r="G871" s="1486" t="s">
        <v>1883</v>
      </c>
      <c r="H871" s="1485">
        <v>2.02E-5</v>
      </c>
      <c r="I871" s="1486" t="s">
        <v>1883</v>
      </c>
      <c r="J871" s="1487">
        <v>-40</v>
      </c>
      <c r="K871" s="1488" t="s">
        <v>1883</v>
      </c>
      <c r="L871" s="1489" t="s">
        <v>635</v>
      </c>
      <c r="M871" s="1533"/>
      <c r="N871" s="1491">
        <v>3.9983811113329999E-2</v>
      </c>
      <c r="O871" s="1491">
        <v>4.67179266693E-6</v>
      </c>
      <c r="P871" s="1492" t="s">
        <v>1885</v>
      </c>
      <c r="Q871" s="1493" t="s">
        <v>635</v>
      </c>
      <c r="R871" s="1494"/>
      <c r="S871" s="1493">
        <v>1604</v>
      </c>
      <c r="T871" s="1493" t="s">
        <v>1199</v>
      </c>
      <c r="U871" s="1493">
        <v>2.59</v>
      </c>
      <c r="V871" s="1495" t="s">
        <v>1883</v>
      </c>
      <c r="W871" s="1496">
        <v>1200</v>
      </c>
      <c r="X871" s="1497" t="s">
        <v>1883</v>
      </c>
      <c r="Y871" s="1498">
        <v>8.3533361510300004E-3</v>
      </c>
      <c r="Z871" s="1498">
        <v>7.1819230831796999</v>
      </c>
      <c r="AA871" s="1498">
        <v>17.236615399631301</v>
      </c>
      <c r="AB871" s="1498">
        <v>1.1999999999999999E-3</v>
      </c>
      <c r="AC871" s="1499" t="s">
        <v>1199</v>
      </c>
      <c r="AD871" s="1500" t="s">
        <v>635</v>
      </c>
      <c r="AE871" s="1501"/>
      <c r="AF871" s="1502" t="s">
        <v>635</v>
      </c>
      <c r="AG871" s="1501"/>
      <c r="AH871" s="1502">
        <v>0.01</v>
      </c>
      <c r="AI871" s="1503" t="s">
        <v>1893</v>
      </c>
      <c r="AJ871" s="1502" t="s">
        <v>635</v>
      </c>
      <c r="AK871" s="1501"/>
      <c r="AL871" s="1501"/>
      <c r="AM871" s="1501"/>
      <c r="AN871" s="1504">
        <v>1</v>
      </c>
      <c r="AO871" s="1505">
        <v>0.1</v>
      </c>
      <c r="AP871" s="1506" t="s">
        <v>635</v>
      </c>
    </row>
    <row r="872" spans="1:42" ht="45">
      <c r="A872" s="1481" t="s">
        <v>3511</v>
      </c>
      <c r="B872" s="1482" t="s">
        <v>3512</v>
      </c>
      <c r="C872" s="1483">
        <v>697.62</v>
      </c>
      <c r="D872" s="1484" t="s">
        <v>1883</v>
      </c>
      <c r="E872" s="1485">
        <v>8.9125102207999996E-4</v>
      </c>
      <c r="F872" s="1485">
        <v>2.1800000000000001E-5</v>
      </c>
      <c r="G872" s="1486" t="s">
        <v>1199</v>
      </c>
      <c r="H872" s="1485">
        <v>1.9000000000000001E-4</v>
      </c>
      <c r="I872" s="1486" t="s">
        <v>1883</v>
      </c>
      <c r="J872" s="1487">
        <v>5.5</v>
      </c>
      <c r="K872" s="1488" t="s">
        <v>1883</v>
      </c>
      <c r="L872" s="1489">
        <v>2.27</v>
      </c>
      <c r="M872" s="1490" t="s">
        <v>1890</v>
      </c>
      <c r="N872" s="1491">
        <v>1.9401518581170001E-2</v>
      </c>
      <c r="O872" s="1491">
        <v>4.8833284105300002E-6</v>
      </c>
      <c r="P872" s="1492" t="s">
        <v>1885</v>
      </c>
      <c r="Q872" s="1493" t="s">
        <v>635</v>
      </c>
      <c r="R872" s="1494"/>
      <c r="S872" s="1493">
        <v>9706</v>
      </c>
      <c r="T872" s="1493" t="s">
        <v>1199</v>
      </c>
      <c r="U872" s="1493">
        <v>4.29</v>
      </c>
      <c r="V872" s="1495" t="s">
        <v>1883</v>
      </c>
      <c r="W872" s="1496">
        <v>8</v>
      </c>
      <c r="X872" s="1497" t="s">
        <v>1883</v>
      </c>
      <c r="Y872" s="1498">
        <v>1.3714181156499999E-3</v>
      </c>
      <c r="Z872" s="1498">
        <v>848.24390867587601</v>
      </c>
      <c r="AA872" s="1498">
        <v>2035.7853808221</v>
      </c>
      <c r="AB872" s="1498">
        <v>1.35E-4</v>
      </c>
      <c r="AC872" s="1499" t="s">
        <v>1199</v>
      </c>
      <c r="AD872" s="1500">
        <v>2.2999999999999998</v>
      </c>
      <c r="AE872" s="1503" t="s">
        <v>1900</v>
      </c>
      <c r="AF872" s="1502">
        <v>6.6E-4</v>
      </c>
      <c r="AG872" s="1503" t="s">
        <v>1900</v>
      </c>
      <c r="AH872" s="1502" t="s">
        <v>635</v>
      </c>
      <c r="AI872" s="1501"/>
      <c r="AJ872" s="1502" t="s">
        <v>635</v>
      </c>
      <c r="AK872" s="1501"/>
      <c r="AL872" s="1503" t="s">
        <v>1127</v>
      </c>
      <c r="AM872" s="1501"/>
      <c r="AN872" s="1504">
        <v>1</v>
      </c>
      <c r="AO872" s="1504" t="s">
        <v>635</v>
      </c>
      <c r="AP872" s="1506">
        <v>467</v>
      </c>
    </row>
    <row r="873" spans="1:42" ht="30">
      <c r="A873" s="1507" t="s">
        <v>3513</v>
      </c>
      <c r="B873" s="1508" t="s">
        <v>3514</v>
      </c>
      <c r="C873" s="1509">
        <v>285.49</v>
      </c>
      <c r="D873" s="1510" t="s">
        <v>1883</v>
      </c>
      <c r="E873" s="1511">
        <v>1.3450531479999999E-4</v>
      </c>
      <c r="F873" s="1511">
        <v>3.2899999999999998E-6</v>
      </c>
      <c r="G873" s="1512" t="s">
        <v>1199</v>
      </c>
      <c r="H873" s="1511">
        <v>6.13E-2</v>
      </c>
      <c r="I873" s="1512" t="s">
        <v>1883</v>
      </c>
      <c r="J873" s="1513">
        <v>-55</v>
      </c>
      <c r="K873" s="1514" t="s">
        <v>1883</v>
      </c>
      <c r="L873" s="1515">
        <v>1.39</v>
      </c>
      <c r="M873" s="1516" t="s">
        <v>1884</v>
      </c>
      <c r="N873" s="1517">
        <v>2.421840168156E-2</v>
      </c>
      <c r="O873" s="1517">
        <v>6.2190795402600004E-6</v>
      </c>
      <c r="P873" s="1518" t="s">
        <v>1885</v>
      </c>
      <c r="Q873" s="1519" t="s">
        <v>635</v>
      </c>
      <c r="R873" s="1520"/>
      <c r="S873" s="1519">
        <v>388.3</v>
      </c>
      <c r="T873" s="1519" t="s">
        <v>1199</v>
      </c>
      <c r="U873" s="1519">
        <v>1.44</v>
      </c>
      <c r="V873" s="1521" t="s">
        <v>1883</v>
      </c>
      <c r="W873" s="1522">
        <v>7000</v>
      </c>
      <c r="X873" s="1523" t="s">
        <v>1883</v>
      </c>
      <c r="Y873" s="1524">
        <v>2.30701519714E-3</v>
      </c>
      <c r="Z873" s="1524">
        <v>4.1743873878478999</v>
      </c>
      <c r="AA873" s="1524">
        <v>10.018529730835001</v>
      </c>
      <c r="AB873" s="1524">
        <v>3.5500000000000001E-4</v>
      </c>
      <c r="AC873" s="1525" t="s">
        <v>1199</v>
      </c>
      <c r="AD873" s="1526">
        <v>0.02</v>
      </c>
      <c r="AE873" s="1529" t="s">
        <v>1909</v>
      </c>
      <c r="AF873" s="1528" t="s">
        <v>635</v>
      </c>
      <c r="AG873" s="1527"/>
      <c r="AH873" s="1528">
        <v>7.0000000000000001E-3</v>
      </c>
      <c r="AI873" s="1529" t="s">
        <v>1909</v>
      </c>
      <c r="AJ873" s="1528" t="s">
        <v>635</v>
      </c>
      <c r="AK873" s="1527"/>
      <c r="AL873" s="1527"/>
      <c r="AM873" s="1527"/>
      <c r="AN873" s="1530">
        <v>1</v>
      </c>
      <c r="AO873" s="1531">
        <v>0.1</v>
      </c>
      <c r="AP873" s="1532" t="s">
        <v>635</v>
      </c>
    </row>
    <row r="874" spans="1:42" ht="30">
      <c r="A874" s="1481" t="s">
        <v>3515</v>
      </c>
      <c r="B874" s="1482" t="s">
        <v>3516</v>
      </c>
      <c r="C874" s="1483">
        <v>434.65</v>
      </c>
      <c r="D874" s="1484" t="s">
        <v>1883</v>
      </c>
      <c r="E874" s="1485">
        <v>3.2134096484099998E-6</v>
      </c>
      <c r="F874" s="1485">
        <v>7.8600000000000002E-8</v>
      </c>
      <c r="G874" s="1486" t="s">
        <v>1199</v>
      </c>
      <c r="H874" s="1485">
        <v>8.2500000000000004E-8</v>
      </c>
      <c r="I874" s="1486" t="s">
        <v>1883</v>
      </c>
      <c r="J874" s="1487">
        <v>-74</v>
      </c>
      <c r="K874" s="1488" t="s">
        <v>1883</v>
      </c>
      <c r="L874" s="1489">
        <v>0.99</v>
      </c>
      <c r="M874" s="1490" t="s">
        <v>1884</v>
      </c>
      <c r="N874" s="1491">
        <v>1.6451123701110001E-2</v>
      </c>
      <c r="O874" s="1491">
        <v>3.9424761790100001E-6</v>
      </c>
      <c r="P874" s="1492" t="s">
        <v>1885</v>
      </c>
      <c r="Q874" s="1493" t="s">
        <v>635</v>
      </c>
      <c r="R874" s="1494"/>
      <c r="S874" s="1493">
        <v>2468000</v>
      </c>
      <c r="T874" s="1493" t="s">
        <v>1199</v>
      </c>
      <c r="U874" s="1493">
        <v>9.49</v>
      </c>
      <c r="V874" s="1495" t="s">
        <v>1883</v>
      </c>
      <c r="W874" s="1496">
        <v>0.6</v>
      </c>
      <c r="X874" s="1497" t="s">
        <v>1883</v>
      </c>
      <c r="Y874" s="1498">
        <v>93.015319728214706</v>
      </c>
      <c r="Z874" s="1498">
        <v>28.568586268004701</v>
      </c>
      <c r="AA874" s="1498">
        <v>134.01228515897299</v>
      </c>
      <c r="AB874" s="1498">
        <v>11.6</v>
      </c>
      <c r="AC874" s="1499" t="s">
        <v>1199</v>
      </c>
      <c r="AD874" s="1500">
        <v>3.2000000000000002E-3</v>
      </c>
      <c r="AE874" s="1503" t="s">
        <v>1909</v>
      </c>
      <c r="AF874" s="1502" t="s">
        <v>635</v>
      </c>
      <c r="AG874" s="1501"/>
      <c r="AH874" s="1502">
        <v>0.1</v>
      </c>
      <c r="AI874" s="1503" t="s">
        <v>1909</v>
      </c>
      <c r="AJ874" s="1502" t="s">
        <v>635</v>
      </c>
      <c r="AK874" s="1501"/>
      <c r="AL874" s="1501"/>
      <c r="AM874" s="1501"/>
      <c r="AN874" s="1504">
        <v>1</v>
      </c>
      <c r="AO874" s="1505">
        <v>0.1</v>
      </c>
      <c r="AP874" s="1506" t="s">
        <v>635</v>
      </c>
    </row>
    <row r="875" spans="1:42" ht="30">
      <c r="A875" s="1481" t="s">
        <v>3517</v>
      </c>
      <c r="B875" s="1482" t="s">
        <v>3518</v>
      </c>
      <c r="C875" s="1483">
        <v>183.85</v>
      </c>
      <c r="D875" s="1484" t="s">
        <v>1883</v>
      </c>
      <c r="E875" s="1485" t="s">
        <v>635</v>
      </c>
      <c r="F875" s="1485" t="s">
        <v>635</v>
      </c>
      <c r="G875" s="1536"/>
      <c r="H875" s="1485">
        <v>0</v>
      </c>
      <c r="I875" s="1486" t="s">
        <v>1929</v>
      </c>
      <c r="J875" s="1487">
        <v>3410</v>
      </c>
      <c r="K875" s="1488" t="s">
        <v>1883</v>
      </c>
      <c r="L875" s="1489">
        <v>19.3</v>
      </c>
      <c r="M875" s="1490" t="s">
        <v>1884</v>
      </c>
      <c r="N875" s="1491">
        <v>0.10216873663326</v>
      </c>
      <c r="O875" s="1491">
        <v>3.9257982439999999E-5</v>
      </c>
      <c r="P875" s="1492" t="s">
        <v>1885</v>
      </c>
      <c r="Q875" s="1493">
        <v>150</v>
      </c>
      <c r="R875" s="1493" t="s">
        <v>1930</v>
      </c>
      <c r="S875" s="1493" t="s">
        <v>635</v>
      </c>
      <c r="T875" s="1494"/>
      <c r="U875" s="1493" t="s">
        <v>635</v>
      </c>
      <c r="V875" s="1481"/>
      <c r="W875" s="1496" t="s">
        <v>635</v>
      </c>
      <c r="X875" s="1537"/>
      <c r="Y875" s="1498">
        <v>5.2150499098399996E-3</v>
      </c>
      <c r="Z875" s="1498">
        <v>1.1256639288018799</v>
      </c>
      <c r="AA875" s="1498">
        <v>2.7015934291244998</v>
      </c>
      <c r="AB875" s="1498">
        <v>1E-3</v>
      </c>
      <c r="AC875" s="1499" t="s">
        <v>1203</v>
      </c>
      <c r="AD875" s="1500" t="s">
        <v>635</v>
      </c>
      <c r="AE875" s="1501"/>
      <c r="AF875" s="1502" t="s">
        <v>635</v>
      </c>
      <c r="AG875" s="1501"/>
      <c r="AH875" s="1502">
        <v>8.0000000000000004E-4</v>
      </c>
      <c r="AI875" s="1503" t="s">
        <v>1909</v>
      </c>
      <c r="AJ875" s="1502" t="s">
        <v>635</v>
      </c>
      <c r="AK875" s="1501"/>
      <c r="AL875" s="1501"/>
      <c r="AM875" s="1501"/>
      <c r="AN875" s="1504">
        <v>1</v>
      </c>
      <c r="AO875" s="1504" t="s">
        <v>635</v>
      </c>
      <c r="AP875" s="1506" t="s">
        <v>635</v>
      </c>
    </row>
    <row r="876" spans="1:42" ht="30">
      <c r="A876" s="1507" t="s">
        <v>3519</v>
      </c>
      <c r="B876" s="1508" t="s">
        <v>3520</v>
      </c>
      <c r="C876" s="1509">
        <v>238.03</v>
      </c>
      <c r="D876" s="1510" t="s">
        <v>1884</v>
      </c>
      <c r="E876" s="1511" t="s">
        <v>635</v>
      </c>
      <c r="F876" s="1511" t="s">
        <v>635</v>
      </c>
      <c r="G876" s="1534"/>
      <c r="H876" s="1511">
        <v>0</v>
      </c>
      <c r="I876" s="1512" t="s">
        <v>1929</v>
      </c>
      <c r="J876" s="1513">
        <v>1132.3</v>
      </c>
      <c r="K876" s="1514" t="s">
        <v>1884</v>
      </c>
      <c r="L876" s="1515">
        <v>19.100000000000001</v>
      </c>
      <c r="M876" s="1516" t="s">
        <v>1884</v>
      </c>
      <c r="N876" s="1517">
        <v>7.4929326938400001E-2</v>
      </c>
      <c r="O876" s="1517">
        <v>3.3412792520000002E-5</v>
      </c>
      <c r="P876" s="1518" t="s">
        <v>1885</v>
      </c>
      <c r="Q876" s="1519">
        <v>450</v>
      </c>
      <c r="R876" s="1519" t="s">
        <v>1930</v>
      </c>
      <c r="S876" s="1519" t="s">
        <v>635</v>
      </c>
      <c r="T876" s="1520"/>
      <c r="U876" s="1519" t="s">
        <v>635</v>
      </c>
      <c r="V876" s="1507"/>
      <c r="W876" s="1522" t="s">
        <v>635</v>
      </c>
      <c r="X876" s="1535"/>
      <c r="Y876" s="1524">
        <v>5.9339311136499999E-3</v>
      </c>
      <c r="Z876" s="1524">
        <v>2.2636889434015099</v>
      </c>
      <c r="AA876" s="1524">
        <v>5.4328534641636201</v>
      </c>
      <c r="AB876" s="1524">
        <v>1E-3</v>
      </c>
      <c r="AC876" s="1525" t="s">
        <v>1203</v>
      </c>
      <c r="AD876" s="1526" t="s">
        <v>635</v>
      </c>
      <c r="AE876" s="1527"/>
      <c r="AF876" s="1528" t="s">
        <v>635</v>
      </c>
      <c r="AG876" s="1527"/>
      <c r="AH876" s="1528">
        <v>2.0000000000000001E-4</v>
      </c>
      <c r="AI876" s="1529" t="s">
        <v>1960</v>
      </c>
      <c r="AJ876" s="1528">
        <v>4.0000000000000003E-5</v>
      </c>
      <c r="AK876" s="1529" t="s">
        <v>1960</v>
      </c>
      <c r="AL876" s="1527"/>
      <c r="AM876" s="1527"/>
      <c r="AN876" s="1530">
        <v>1</v>
      </c>
      <c r="AO876" s="1530" t="s">
        <v>635</v>
      </c>
      <c r="AP876" s="1532" t="s">
        <v>635</v>
      </c>
    </row>
    <row r="877" spans="1:42" ht="30">
      <c r="A877" s="1481" t="s">
        <v>3521</v>
      </c>
      <c r="B877" s="1482" t="s">
        <v>3522</v>
      </c>
      <c r="C877" s="1483">
        <v>89.094999999999999</v>
      </c>
      <c r="D877" s="1484" t="s">
        <v>1883</v>
      </c>
      <c r="E877" s="1485">
        <v>2.6287816843799999E-6</v>
      </c>
      <c r="F877" s="1485">
        <v>6.43E-8</v>
      </c>
      <c r="G877" s="1486" t="s">
        <v>1199</v>
      </c>
      <c r="H877" s="1485">
        <v>0.26200000000000001</v>
      </c>
      <c r="I877" s="1486" t="s">
        <v>1199</v>
      </c>
      <c r="J877" s="1487">
        <v>49</v>
      </c>
      <c r="K877" s="1488" t="s">
        <v>1883</v>
      </c>
      <c r="L877" s="1489">
        <v>0.98619999999999997</v>
      </c>
      <c r="M877" s="1490" t="s">
        <v>1884</v>
      </c>
      <c r="N877" s="1491">
        <v>8.4845629383749996E-2</v>
      </c>
      <c r="O877" s="1491">
        <v>1.0179788880000001E-5</v>
      </c>
      <c r="P877" s="1492" t="s">
        <v>1885</v>
      </c>
      <c r="Q877" s="1493" t="s">
        <v>635</v>
      </c>
      <c r="R877" s="1494"/>
      <c r="S877" s="1493">
        <v>12.13</v>
      </c>
      <c r="T877" s="1493" t="s">
        <v>1199</v>
      </c>
      <c r="U877" s="1493">
        <v>-0.15</v>
      </c>
      <c r="V877" s="1495" t="s">
        <v>1883</v>
      </c>
      <c r="W877" s="1496">
        <v>480000</v>
      </c>
      <c r="X877" s="1497" t="s">
        <v>1883</v>
      </c>
      <c r="Y877" s="1498">
        <v>1.4303737780600001E-3</v>
      </c>
      <c r="Z877" s="1498">
        <v>0.33172694535737002</v>
      </c>
      <c r="AA877" s="1498">
        <v>0.79614466885767998</v>
      </c>
      <c r="AB877" s="1498">
        <v>3.9399999999999998E-4</v>
      </c>
      <c r="AC877" s="1499" t="s">
        <v>1199</v>
      </c>
      <c r="AD877" s="1500">
        <v>1</v>
      </c>
      <c r="AE877" s="1503" t="s">
        <v>1900</v>
      </c>
      <c r="AF877" s="1502">
        <v>2.9E-4</v>
      </c>
      <c r="AG877" s="1503" t="s">
        <v>1900</v>
      </c>
      <c r="AH877" s="1502" t="s">
        <v>635</v>
      </c>
      <c r="AI877" s="1501"/>
      <c r="AJ877" s="1502" t="s">
        <v>635</v>
      </c>
      <c r="AK877" s="1501"/>
      <c r="AL877" s="1501"/>
      <c r="AM877" s="1503" t="s">
        <v>1906</v>
      </c>
      <c r="AN877" s="1504">
        <v>1</v>
      </c>
      <c r="AO877" s="1505">
        <v>0.1</v>
      </c>
      <c r="AP877" s="1506" t="s">
        <v>635</v>
      </c>
    </row>
    <row r="878" spans="1:42" ht="30">
      <c r="A878" s="1481" t="s">
        <v>3523</v>
      </c>
      <c r="B878" s="1482" t="s">
        <v>3524</v>
      </c>
      <c r="C878" s="1483">
        <v>181.88</v>
      </c>
      <c r="D878" s="1484" t="s">
        <v>1199</v>
      </c>
      <c r="E878" s="1485" t="s">
        <v>635</v>
      </c>
      <c r="F878" s="1485" t="s">
        <v>635</v>
      </c>
      <c r="G878" s="1536"/>
      <c r="H878" s="1485">
        <v>0</v>
      </c>
      <c r="I878" s="1486" t="s">
        <v>1929</v>
      </c>
      <c r="J878" s="1487">
        <v>681</v>
      </c>
      <c r="K878" s="1488" t="s">
        <v>1884</v>
      </c>
      <c r="L878" s="1489">
        <v>3.35</v>
      </c>
      <c r="M878" s="1490" t="s">
        <v>1884</v>
      </c>
      <c r="N878" s="1491">
        <v>5.610130284756E-2</v>
      </c>
      <c r="O878" s="1491">
        <v>1.381744322E-5</v>
      </c>
      <c r="P878" s="1492" t="s">
        <v>1885</v>
      </c>
      <c r="Q878" s="1493" t="s">
        <v>635</v>
      </c>
      <c r="R878" s="1494"/>
      <c r="S878" s="1493" t="s">
        <v>635</v>
      </c>
      <c r="T878" s="1494"/>
      <c r="U878" s="1493" t="s">
        <v>635</v>
      </c>
      <c r="V878" s="1481"/>
      <c r="W878" s="1496">
        <v>700</v>
      </c>
      <c r="X878" s="1497" t="s">
        <v>1884</v>
      </c>
      <c r="Y878" s="1498">
        <v>5.18703435923E-3</v>
      </c>
      <c r="Z878" s="1498">
        <v>1.0974298015388899</v>
      </c>
      <c r="AA878" s="1498">
        <v>2.6338315236933498</v>
      </c>
      <c r="AB878" s="1498">
        <v>1E-3</v>
      </c>
      <c r="AC878" s="1499" t="s">
        <v>1203</v>
      </c>
      <c r="AD878" s="1500" t="s">
        <v>635</v>
      </c>
      <c r="AE878" s="1501"/>
      <c r="AF878" s="1502">
        <v>8.3000000000000001E-3</v>
      </c>
      <c r="AG878" s="1503" t="s">
        <v>1909</v>
      </c>
      <c r="AH878" s="1502">
        <v>8.9999999999999993E-3</v>
      </c>
      <c r="AI878" s="1503" t="s">
        <v>1119</v>
      </c>
      <c r="AJ878" s="1502">
        <v>6.9999999999999999E-6</v>
      </c>
      <c r="AK878" s="1503" t="s">
        <v>1909</v>
      </c>
      <c r="AL878" s="1501"/>
      <c r="AM878" s="1501"/>
      <c r="AN878" s="1545">
        <v>2.5999999999999999E-2</v>
      </c>
      <c r="AO878" s="1504" t="s">
        <v>635</v>
      </c>
      <c r="AP878" s="1506" t="s">
        <v>635</v>
      </c>
    </row>
    <row r="879" spans="1:42" ht="30">
      <c r="A879" s="1507" t="s">
        <v>340</v>
      </c>
      <c r="B879" s="1508" t="s">
        <v>3525</v>
      </c>
      <c r="C879" s="1509">
        <v>50.94</v>
      </c>
      <c r="D879" s="1510" t="s">
        <v>1199</v>
      </c>
      <c r="E879" s="1511" t="s">
        <v>635</v>
      </c>
      <c r="F879" s="1511" t="s">
        <v>635</v>
      </c>
      <c r="G879" s="1534"/>
      <c r="H879" s="1511" t="s">
        <v>635</v>
      </c>
      <c r="I879" s="1534"/>
      <c r="J879" s="1513">
        <v>1910</v>
      </c>
      <c r="K879" s="1514" t="s">
        <v>1884</v>
      </c>
      <c r="L879" s="1515">
        <v>6</v>
      </c>
      <c r="M879" s="1516" t="s">
        <v>1884</v>
      </c>
      <c r="N879" s="1517">
        <v>0.24059783064699999</v>
      </c>
      <c r="O879" s="1517">
        <v>4.2065606740000003E-5</v>
      </c>
      <c r="P879" s="1518" t="s">
        <v>1885</v>
      </c>
      <c r="Q879" s="1519">
        <v>1000</v>
      </c>
      <c r="R879" s="1519" t="s">
        <v>1959</v>
      </c>
      <c r="S879" s="1519" t="s">
        <v>635</v>
      </c>
      <c r="T879" s="1520"/>
      <c r="U879" s="1519" t="s">
        <v>635</v>
      </c>
      <c r="V879" s="1507"/>
      <c r="W879" s="1522" t="s">
        <v>635</v>
      </c>
      <c r="X879" s="1535"/>
      <c r="Y879" s="1524">
        <v>2.7450870584699999E-3</v>
      </c>
      <c r="Z879" s="1524">
        <v>0.20282092058974999</v>
      </c>
      <c r="AA879" s="1524">
        <v>0.48677020941540999</v>
      </c>
      <c r="AB879" s="1524">
        <v>1E-3</v>
      </c>
      <c r="AC879" s="1525" t="s">
        <v>1203</v>
      </c>
      <c r="AD879" s="1526" t="s">
        <v>635</v>
      </c>
      <c r="AE879" s="1527"/>
      <c r="AF879" s="1528" t="s">
        <v>635</v>
      </c>
      <c r="AG879" s="1527"/>
      <c r="AH879" s="1528">
        <v>5.0400000000000002E-3</v>
      </c>
      <c r="AI879" s="1529" t="s">
        <v>2111</v>
      </c>
      <c r="AJ879" s="1528">
        <v>1E-4</v>
      </c>
      <c r="AK879" s="1529" t="s">
        <v>1960</v>
      </c>
      <c r="AL879" s="1527"/>
      <c r="AM879" s="1527"/>
      <c r="AN879" s="1546">
        <v>2.5999999999999999E-2</v>
      </c>
      <c r="AO879" s="1530" t="s">
        <v>635</v>
      </c>
      <c r="AP879" s="1532" t="s">
        <v>635</v>
      </c>
    </row>
    <row r="880" spans="1:42" ht="30">
      <c r="A880" s="1481" t="s">
        <v>3526</v>
      </c>
      <c r="B880" s="1482" t="s">
        <v>3527</v>
      </c>
      <c r="C880" s="1483">
        <v>203.35</v>
      </c>
      <c r="D880" s="1484" t="s">
        <v>1883</v>
      </c>
      <c r="E880" s="1485">
        <v>1.26328699918E-3</v>
      </c>
      <c r="F880" s="1485">
        <v>3.0899999999999999E-5</v>
      </c>
      <c r="G880" s="1486" t="s">
        <v>1199</v>
      </c>
      <c r="H880" s="1485">
        <v>1.04E-2</v>
      </c>
      <c r="I880" s="1486" t="s">
        <v>1883</v>
      </c>
      <c r="J880" s="1487">
        <v>70.540000000000006</v>
      </c>
      <c r="K880" s="1488" t="s">
        <v>1199</v>
      </c>
      <c r="L880" s="1489">
        <v>0.95199999999999996</v>
      </c>
      <c r="M880" s="1490" t="s">
        <v>1884</v>
      </c>
      <c r="N880" s="1491">
        <v>2.4218867981749999E-2</v>
      </c>
      <c r="O880" s="1491">
        <v>6.0744566143899998E-6</v>
      </c>
      <c r="P880" s="1492" t="s">
        <v>1885</v>
      </c>
      <c r="Q880" s="1493" t="s">
        <v>635</v>
      </c>
      <c r="R880" s="1494"/>
      <c r="S880" s="1493">
        <v>299.10000000000002</v>
      </c>
      <c r="T880" s="1493" t="s">
        <v>1199</v>
      </c>
      <c r="U880" s="1493">
        <v>3.84</v>
      </c>
      <c r="V880" s="1495" t="s">
        <v>1883</v>
      </c>
      <c r="W880" s="1496">
        <v>90</v>
      </c>
      <c r="X880" s="1497" t="s">
        <v>1883</v>
      </c>
      <c r="Y880" s="1498">
        <v>0.22103130434398</v>
      </c>
      <c r="Z880" s="1498">
        <v>1.44746726111346</v>
      </c>
      <c r="AA880" s="1498">
        <v>3.4739214266723</v>
      </c>
      <c r="AB880" s="1498">
        <v>4.0300000000000002E-2</v>
      </c>
      <c r="AC880" s="1499" t="s">
        <v>1199</v>
      </c>
      <c r="AD880" s="1500" t="s">
        <v>635</v>
      </c>
      <c r="AE880" s="1501"/>
      <c r="AF880" s="1502" t="s">
        <v>635</v>
      </c>
      <c r="AG880" s="1501"/>
      <c r="AH880" s="1502">
        <v>1E-3</v>
      </c>
      <c r="AI880" s="1503" t="s">
        <v>1119</v>
      </c>
      <c r="AJ880" s="1502" t="s">
        <v>635</v>
      </c>
      <c r="AK880" s="1501"/>
      <c r="AL880" s="1503" t="s">
        <v>1127</v>
      </c>
      <c r="AM880" s="1501"/>
      <c r="AN880" s="1504">
        <v>1</v>
      </c>
      <c r="AO880" s="1504" t="s">
        <v>635</v>
      </c>
      <c r="AP880" s="1506" t="s">
        <v>635</v>
      </c>
    </row>
    <row r="881" spans="1:42" ht="30">
      <c r="A881" s="1481" t="s">
        <v>3528</v>
      </c>
      <c r="B881" s="1482" t="s">
        <v>3529</v>
      </c>
      <c r="C881" s="1483">
        <v>286.12</v>
      </c>
      <c r="D881" s="1484" t="s">
        <v>1883</v>
      </c>
      <c r="E881" s="1485">
        <v>7.1136549468499995E-7</v>
      </c>
      <c r="F881" s="1485">
        <v>1.74E-8</v>
      </c>
      <c r="G881" s="1486" t="s">
        <v>1199</v>
      </c>
      <c r="H881" s="1485">
        <v>1.1999999999999999E-7</v>
      </c>
      <c r="I881" s="1486" t="s">
        <v>1883</v>
      </c>
      <c r="J881" s="1487">
        <v>108</v>
      </c>
      <c r="K881" s="1488" t="s">
        <v>1883</v>
      </c>
      <c r="L881" s="1489">
        <v>1.51</v>
      </c>
      <c r="M881" s="1490" t="s">
        <v>1884</v>
      </c>
      <c r="N881" s="1491">
        <v>2.5148692464589999E-2</v>
      </c>
      <c r="O881" s="1491">
        <v>6.5272314114500003E-6</v>
      </c>
      <c r="P881" s="1492" t="s">
        <v>1885</v>
      </c>
      <c r="Q881" s="1493" t="s">
        <v>635</v>
      </c>
      <c r="R881" s="1494"/>
      <c r="S881" s="1493">
        <v>283.60000000000002</v>
      </c>
      <c r="T881" s="1493" t="s">
        <v>1199</v>
      </c>
      <c r="U881" s="1493">
        <v>3.1</v>
      </c>
      <c r="V881" s="1495" t="s">
        <v>1883</v>
      </c>
      <c r="W881" s="1496">
        <v>2.6</v>
      </c>
      <c r="X881" s="1497" t="s">
        <v>1883</v>
      </c>
      <c r="Y881" s="1498">
        <v>2.901587147809E-2</v>
      </c>
      <c r="Z881" s="1498">
        <v>4.2084362190893003</v>
      </c>
      <c r="AA881" s="1498">
        <v>10.1002469258143</v>
      </c>
      <c r="AB881" s="1498">
        <v>4.4600000000000004E-3</v>
      </c>
      <c r="AC881" s="1499" t="s">
        <v>1199</v>
      </c>
      <c r="AD881" s="1500" t="s">
        <v>635</v>
      </c>
      <c r="AE881" s="1501"/>
      <c r="AF881" s="1502" t="s">
        <v>635</v>
      </c>
      <c r="AG881" s="1501"/>
      <c r="AH881" s="1502">
        <v>1.1999999999999999E-3</v>
      </c>
      <c r="AI881" s="1503" t="s">
        <v>1116</v>
      </c>
      <c r="AJ881" s="1502" t="s">
        <v>635</v>
      </c>
      <c r="AK881" s="1501"/>
      <c r="AL881" s="1501"/>
      <c r="AM881" s="1501"/>
      <c r="AN881" s="1504">
        <v>1</v>
      </c>
      <c r="AO881" s="1505">
        <v>0.1</v>
      </c>
      <c r="AP881" s="1506" t="s">
        <v>635</v>
      </c>
    </row>
    <row r="882" spans="1:42" ht="30">
      <c r="A882" s="1507" t="s">
        <v>3530</v>
      </c>
      <c r="B882" s="1508" t="s">
        <v>3531</v>
      </c>
      <c r="C882" s="1509">
        <v>86.090999999999994</v>
      </c>
      <c r="D882" s="1510" t="s">
        <v>1883</v>
      </c>
      <c r="E882" s="1511">
        <v>2.0891251022080001E-2</v>
      </c>
      <c r="F882" s="1511">
        <v>5.1099999999999995E-4</v>
      </c>
      <c r="G882" s="1512" t="s">
        <v>1199</v>
      </c>
      <c r="H882" s="1511">
        <v>90.16</v>
      </c>
      <c r="I882" s="1512" t="s">
        <v>1883</v>
      </c>
      <c r="J882" s="1513">
        <v>-93.2</v>
      </c>
      <c r="K882" s="1514" t="s">
        <v>1883</v>
      </c>
      <c r="L882" s="1515">
        <v>0.92559999999999998</v>
      </c>
      <c r="M882" s="1516" t="s">
        <v>1884</v>
      </c>
      <c r="N882" s="1517">
        <v>8.4901607533209994E-2</v>
      </c>
      <c r="O882" s="1517">
        <v>1.0003480449999999E-5</v>
      </c>
      <c r="P882" s="1518" t="s">
        <v>1885</v>
      </c>
      <c r="Q882" s="1519" t="s">
        <v>635</v>
      </c>
      <c r="R882" s="1520"/>
      <c r="S882" s="1519">
        <v>5.5830000000000002</v>
      </c>
      <c r="T882" s="1519" t="s">
        <v>1199</v>
      </c>
      <c r="U882" s="1519">
        <v>0.73</v>
      </c>
      <c r="V882" s="1521" t="s">
        <v>1883</v>
      </c>
      <c r="W882" s="1522">
        <v>20000</v>
      </c>
      <c r="X882" s="1523" t="s">
        <v>1883</v>
      </c>
      <c r="Y882" s="1524">
        <v>5.6028007828599997E-3</v>
      </c>
      <c r="Z882" s="1524">
        <v>0.31912317899590997</v>
      </c>
      <c r="AA882" s="1524">
        <v>0.76589562959018997</v>
      </c>
      <c r="AB882" s="1524">
        <v>1.57E-3</v>
      </c>
      <c r="AC882" s="1525" t="s">
        <v>1199</v>
      </c>
      <c r="AD882" s="1526" t="s">
        <v>635</v>
      </c>
      <c r="AE882" s="1527"/>
      <c r="AF882" s="1528" t="s">
        <v>635</v>
      </c>
      <c r="AG882" s="1527"/>
      <c r="AH882" s="1528">
        <v>1</v>
      </c>
      <c r="AI882" s="1529" t="s">
        <v>1073</v>
      </c>
      <c r="AJ882" s="1528">
        <v>0.2</v>
      </c>
      <c r="AK882" s="1529" t="s">
        <v>1119</v>
      </c>
      <c r="AL882" s="1529" t="s">
        <v>1127</v>
      </c>
      <c r="AM882" s="1527"/>
      <c r="AN882" s="1530">
        <v>1</v>
      </c>
      <c r="AO882" s="1530" t="s">
        <v>635</v>
      </c>
      <c r="AP882" s="1532">
        <v>2750</v>
      </c>
    </row>
    <row r="883" spans="1:42" ht="30">
      <c r="A883" s="1481" t="s">
        <v>3532</v>
      </c>
      <c r="B883" s="1482" t="s">
        <v>3533</v>
      </c>
      <c r="C883" s="1483">
        <v>106.95</v>
      </c>
      <c r="D883" s="1484" t="s">
        <v>1883</v>
      </c>
      <c r="E883" s="1485">
        <v>0.50286181520850004</v>
      </c>
      <c r="F883" s="1485">
        <v>1.23E-2</v>
      </c>
      <c r="G883" s="1486" t="s">
        <v>1883</v>
      </c>
      <c r="H883" s="1485">
        <v>1033</v>
      </c>
      <c r="I883" s="1486" t="s">
        <v>1883</v>
      </c>
      <c r="J883" s="1487">
        <v>-137.80000000000001</v>
      </c>
      <c r="K883" s="1488" t="s">
        <v>1883</v>
      </c>
      <c r="L883" s="1489">
        <v>1.4933000000000001</v>
      </c>
      <c r="M883" s="1490" t="s">
        <v>1884</v>
      </c>
      <c r="N883" s="1491">
        <v>8.6223753129309993E-2</v>
      </c>
      <c r="O883" s="1491">
        <v>1.1701769449999999E-5</v>
      </c>
      <c r="P883" s="1492" t="s">
        <v>1885</v>
      </c>
      <c r="Q883" s="1493" t="s">
        <v>635</v>
      </c>
      <c r="R883" s="1494"/>
      <c r="S883" s="1493">
        <v>21.73</v>
      </c>
      <c r="T883" s="1493" t="s">
        <v>1199</v>
      </c>
      <c r="U883" s="1493">
        <v>1.57</v>
      </c>
      <c r="V883" s="1495" t="s">
        <v>1883</v>
      </c>
      <c r="W883" s="1496">
        <v>7600</v>
      </c>
      <c r="X883" s="1497" t="s">
        <v>1883</v>
      </c>
      <c r="Y883" s="1498">
        <v>1.7302398228779999E-2</v>
      </c>
      <c r="Z883" s="1498">
        <v>0.41760794219396002</v>
      </c>
      <c r="AA883" s="1498">
        <v>1.0022590612655</v>
      </c>
      <c r="AB883" s="1498">
        <v>4.3499999999999997E-3</v>
      </c>
      <c r="AC883" s="1499" t="s">
        <v>1199</v>
      </c>
      <c r="AD883" s="1500" t="s">
        <v>635</v>
      </c>
      <c r="AE883" s="1501"/>
      <c r="AF883" s="1502">
        <v>1.5E-5</v>
      </c>
      <c r="AG883" s="1503" t="s">
        <v>1909</v>
      </c>
      <c r="AH883" s="1502" t="s">
        <v>635</v>
      </c>
      <c r="AI883" s="1501"/>
      <c r="AJ883" s="1502">
        <v>3.0000000000000001E-3</v>
      </c>
      <c r="AK883" s="1503" t="s">
        <v>1119</v>
      </c>
      <c r="AL883" s="1503" t="s">
        <v>1127</v>
      </c>
      <c r="AM883" s="1501"/>
      <c r="AN883" s="1504">
        <v>1</v>
      </c>
      <c r="AO883" s="1504" t="s">
        <v>635</v>
      </c>
      <c r="AP883" s="1506">
        <v>2470</v>
      </c>
    </row>
    <row r="884" spans="1:42" ht="30">
      <c r="A884" s="1481" t="s">
        <v>342</v>
      </c>
      <c r="B884" s="1482" t="s">
        <v>3534</v>
      </c>
      <c r="C884" s="1483">
        <v>62.499000000000002</v>
      </c>
      <c r="D884" s="1484" t="s">
        <v>1883</v>
      </c>
      <c r="E884" s="1485">
        <v>1.1365494685200299</v>
      </c>
      <c r="F884" s="1485">
        <v>2.7799999999999998E-2</v>
      </c>
      <c r="G884" s="1486" t="s">
        <v>1883</v>
      </c>
      <c r="H884" s="1485">
        <v>2980</v>
      </c>
      <c r="I884" s="1486" t="s">
        <v>1199</v>
      </c>
      <c r="J884" s="1487">
        <v>-153.69999999999999</v>
      </c>
      <c r="K884" s="1488" t="s">
        <v>1883</v>
      </c>
      <c r="L884" s="1489">
        <v>0.91059999999999997</v>
      </c>
      <c r="M884" s="1490" t="s">
        <v>1884</v>
      </c>
      <c r="N884" s="1491">
        <v>0.10712015187484999</v>
      </c>
      <c r="O884" s="1491">
        <v>1.2004512220000001E-5</v>
      </c>
      <c r="P884" s="1492" t="s">
        <v>1885</v>
      </c>
      <c r="Q884" s="1493" t="s">
        <v>635</v>
      </c>
      <c r="R884" s="1494"/>
      <c r="S884" s="1493">
        <v>21.73</v>
      </c>
      <c r="T884" s="1493" t="s">
        <v>1199</v>
      </c>
      <c r="U884" s="1493">
        <v>1.38</v>
      </c>
      <c r="V884" s="1495" t="s">
        <v>1884</v>
      </c>
      <c r="W884" s="1496">
        <v>8800</v>
      </c>
      <c r="X884" s="1497" t="s">
        <v>1883</v>
      </c>
      <c r="Y884" s="1498">
        <v>2.548045653103E-2</v>
      </c>
      <c r="Z884" s="1498">
        <v>0.23541988846799999</v>
      </c>
      <c r="AA884" s="1498">
        <v>0.56500773232319002</v>
      </c>
      <c r="AB884" s="1498">
        <v>8.3800000000000003E-3</v>
      </c>
      <c r="AC884" s="1499" t="s">
        <v>1199</v>
      </c>
      <c r="AD884" s="1500">
        <v>0.72</v>
      </c>
      <c r="AE884" s="1503" t="s">
        <v>1119</v>
      </c>
      <c r="AF884" s="1502">
        <v>4.4000000000000002E-6</v>
      </c>
      <c r="AG884" s="1503" t="s">
        <v>1119</v>
      </c>
      <c r="AH884" s="1502">
        <v>3.0000000000000001E-3</v>
      </c>
      <c r="AI884" s="1503" t="s">
        <v>1119</v>
      </c>
      <c r="AJ884" s="1502">
        <v>5.11E-2</v>
      </c>
      <c r="AK884" s="1503" t="s">
        <v>1960</v>
      </c>
      <c r="AL884" s="1503" t="s">
        <v>1127</v>
      </c>
      <c r="AM884" s="1503" t="s">
        <v>1906</v>
      </c>
      <c r="AN884" s="1504">
        <v>1</v>
      </c>
      <c r="AO884" s="1504" t="s">
        <v>635</v>
      </c>
      <c r="AP884" s="1506">
        <v>3920</v>
      </c>
    </row>
    <row r="885" spans="1:42" ht="30">
      <c r="A885" s="1507" t="s">
        <v>3535</v>
      </c>
      <c r="B885" s="1508" t="s">
        <v>3536</v>
      </c>
      <c r="C885" s="1509">
        <v>308.33999999999997</v>
      </c>
      <c r="D885" s="1510" t="s">
        <v>1883</v>
      </c>
      <c r="E885" s="1511">
        <v>1.13246116108E-7</v>
      </c>
      <c r="F885" s="1511">
        <v>2.7700000000000002E-9</v>
      </c>
      <c r="G885" s="1512" t="s">
        <v>1199</v>
      </c>
      <c r="H885" s="1511">
        <v>1.1600000000000001E-7</v>
      </c>
      <c r="I885" s="1512" t="s">
        <v>1883</v>
      </c>
      <c r="J885" s="1513">
        <v>161</v>
      </c>
      <c r="K885" s="1514" t="s">
        <v>1883</v>
      </c>
      <c r="L885" s="1515" t="s">
        <v>635</v>
      </c>
      <c r="M885" s="1538"/>
      <c r="N885" s="1517">
        <v>4.1629419562210002E-2</v>
      </c>
      <c r="O885" s="1517">
        <v>4.8640690225299997E-6</v>
      </c>
      <c r="P885" s="1518" t="s">
        <v>1885</v>
      </c>
      <c r="Q885" s="1519" t="s">
        <v>635</v>
      </c>
      <c r="R885" s="1520"/>
      <c r="S885" s="1519">
        <v>426.1</v>
      </c>
      <c r="T885" s="1519" t="s">
        <v>1199</v>
      </c>
      <c r="U885" s="1519">
        <v>2.7</v>
      </c>
      <c r="V885" s="1521" t="s">
        <v>1883</v>
      </c>
      <c r="W885" s="1522">
        <v>17</v>
      </c>
      <c r="X885" s="1523" t="s">
        <v>1883</v>
      </c>
      <c r="Y885" s="1524">
        <v>1.22917289264E-2</v>
      </c>
      <c r="Z885" s="1524">
        <v>5.6047048824482797</v>
      </c>
      <c r="AA885" s="1524">
        <v>13.4512917178759</v>
      </c>
      <c r="AB885" s="1524">
        <v>1.82E-3</v>
      </c>
      <c r="AC885" s="1525" t="s">
        <v>1199</v>
      </c>
      <c r="AD885" s="1526" t="s">
        <v>635</v>
      </c>
      <c r="AE885" s="1527"/>
      <c r="AF885" s="1528" t="s">
        <v>635</v>
      </c>
      <c r="AG885" s="1527"/>
      <c r="AH885" s="1528">
        <v>2.9999999999999997E-4</v>
      </c>
      <c r="AI885" s="1529" t="s">
        <v>1119</v>
      </c>
      <c r="AJ885" s="1528" t="s">
        <v>635</v>
      </c>
      <c r="AK885" s="1527"/>
      <c r="AL885" s="1527"/>
      <c r="AM885" s="1527"/>
      <c r="AN885" s="1530">
        <v>1</v>
      </c>
      <c r="AO885" s="1531">
        <v>0.1</v>
      </c>
      <c r="AP885" s="1532" t="s">
        <v>635</v>
      </c>
    </row>
    <row r="886" spans="1:42" ht="30">
      <c r="A886" s="1481" t="s">
        <v>3537</v>
      </c>
      <c r="B886" s="1482" t="s">
        <v>3538</v>
      </c>
      <c r="C886" s="1483">
        <v>106.17</v>
      </c>
      <c r="D886" s="1484" t="s">
        <v>1883</v>
      </c>
      <c r="E886" s="1485">
        <v>0.29354047424365998</v>
      </c>
      <c r="F886" s="1485">
        <v>7.1799999999999998E-3</v>
      </c>
      <c r="G886" s="1486" t="s">
        <v>1883</v>
      </c>
      <c r="H886" s="1485">
        <v>8.2899999999999991</v>
      </c>
      <c r="I886" s="1486" t="s">
        <v>1883</v>
      </c>
      <c r="J886" s="1487">
        <v>-47.8</v>
      </c>
      <c r="K886" s="1488" t="s">
        <v>1883</v>
      </c>
      <c r="L886" s="1489">
        <v>0.86409999999999998</v>
      </c>
      <c r="M886" s="1490" t="s">
        <v>1884</v>
      </c>
      <c r="N886" s="1491">
        <v>6.8518327165540002E-2</v>
      </c>
      <c r="O886" s="1491">
        <v>8.4646515359700006E-6</v>
      </c>
      <c r="P886" s="1492" t="s">
        <v>1885</v>
      </c>
      <c r="Q886" s="1493" t="s">
        <v>635</v>
      </c>
      <c r="R886" s="1494"/>
      <c r="S886" s="1493">
        <v>375.3</v>
      </c>
      <c r="T886" s="1493" t="s">
        <v>1199</v>
      </c>
      <c r="U886" s="1493">
        <v>3.2</v>
      </c>
      <c r="V886" s="1495" t="s">
        <v>1883</v>
      </c>
      <c r="W886" s="1496">
        <v>161</v>
      </c>
      <c r="X886" s="1497" t="s">
        <v>1883</v>
      </c>
      <c r="Y886" s="1498">
        <v>0.21083329346460999</v>
      </c>
      <c r="Z886" s="1498">
        <v>0.41342882164758998</v>
      </c>
      <c r="AA886" s="1498">
        <v>0.99222917195421001</v>
      </c>
      <c r="AB886" s="1498">
        <v>5.3199999999999997E-2</v>
      </c>
      <c r="AC886" s="1499" t="s">
        <v>1199</v>
      </c>
      <c r="AD886" s="1500" t="s">
        <v>635</v>
      </c>
      <c r="AE886" s="1501"/>
      <c r="AF886" s="1502" t="s">
        <v>635</v>
      </c>
      <c r="AG886" s="1501"/>
      <c r="AH886" s="1502">
        <v>0.2</v>
      </c>
      <c r="AI886" s="1503" t="s">
        <v>2111</v>
      </c>
      <c r="AJ886" s="1502">
        <v>0.1</v>
      </c>
      <c r="AK886" s="1503" t="s">
        <v>2111</v>
      </c>
      <c r="AL886" s="1503" t="s">
        <v>1127</v>
      </c>
      <c r="AM886" s="1501"/>
      <c r="AN886" s="1504">
        <v>1</v>
      </c>
      <c r="AO886" s="1504" t="s">
        <v>635</v>
      </c>
      <c r="AP886" s="1506">
        <v>388</v>
      </c>
    </row>
    <row r="887" spans="1:42" ht="30">
      <c r="A887" s="1481" t="s">
        <v>3539</v>
      </c>
      <c r="B887" s="1482" t="s">
        <v>3540</v>
      </c>
      <c r="C887" s="1483">
        <v>106.17</v>
      </c>
      <c r="D887" s="1484" t="s">
        <v>1883</v>
      </c>
      <c r="E887" s="1485">
        <v>0.21177432542926999</v>
      </c>
      <c r="F887" s="1485">
        <v>5.1799999999999997E-3</v>
      </c>
      <c r="G887" s="1486" t="s">
        <v>1883</v>
      </c>
      <c r="H887" s="1485">
        <v>6.61</v>
      </c>
      <c r="I887" s="1486" t="s">
        <v>1883</v>
      </c>
      <c r="J887" s="1487">
        <v>-25.2</v>
      </c>
      <c r="K887" s="1488" t="s">
        <v>1883</v>
      </c>
      <c r="L887" s="1489">
        <v>0.88019999999999998</v>
      </c>
      <c r="M887" s="1490" t="s">
        <v>1884</v>
      </c>
      <c r="N887" s="1491">
        <v>6.9084689612440006E-2</v>
      </c>
      <c r="O887" s="1491">
        <v>8.5589304967799996E-6</v>
      </c>
      <c r="P887" s="1492" t="s">
        <v>1885</v>
      </c>
      <c r="Q887" s="1493" t="s">
        <v>635</v>
      </c>
      <c r="R887" s="1494"/>
      <c r="S887" s="1493">
        <v>382.9</v>
      </c>
      <c r="T887" s="1493" t="s">
        <v>1199</v>
      </c>
      <c r="U887" s="1493">
        <v>3.12</v>
      </c>
      <c r="V887" s="1495" t="s">
        <v>1883</v>
      </c>
      <c r="W887" s="1496">
        <v>178</v>
      </c>
      <c r="X887" s="1497" t="s">
        <v>1883</v>
      </c>
      <c r="Y887" s="1498">
        <v>0.18665879928915999</v>
      </c>
      <c r="Z887" s="1498">
        <v>0.41342882164758998</v>
      </c>
      <c r="AA887" s="1498">
        <v>0.99222917195421001</v>
      </c>
      <c r="AB887" s="1498">
        <v>4.7100000000000003E-2</v>
      </c>
      <c r="AC887" s="1499" t="s">
        <v>1199</v>
      </c>
      <c r="AD887" s="1500" t="s">
        <v>635</v>
      </c>
      <c r="AE887" s="1501"/>
      <c r="AF887" s="1502" t="s">
        <v>635</v>
      </c>
      <c r="AG887" s="1501"/>
      <c r="AH887" s="1502">
        <v>0.2</v>
      </c>
      <c r="AI887" s="1503" t="s">
        <v>2111</v>
      </c>
      <c r="AJ887" s="1502">
        <v>0.1</v>
      </c>
      <c r="AK887" s="1503" t="s">
        <v>2111</v>
      </c>
      <c r="AL887" s="1503" t="s">
        <v>1127</v>
      </c>
      <c r="AM887" s="1501"/>
      <c r="AN887" s="1504">
        <v>1</v>
      </c>
      <c r="AO887" s="1504" t="s">
        <v>635</v>
      </c>
      <c r="AP887" s="1506">
        <v>434</v>
      </c>
    </row>
    <row r="888" spans="1:42" ht="30">
      <c r="A888" s="1507" t="s">
        <v>3541</v>
      </c>
      <c r="B888" s="1508" t="s">
        <v>3542</v>
      </c>
      <c r="C888" s="1509">
        <v>106.17</v>
      </c>
      <c r="D888" s="1510" t="s">
        <v>1883</v>
      </c>
      <c r="E888" s="1511">
        <v>0.28209321340964999</v>
      </c>
      <c r="F888" s="1511">
        <v>6.8999999999999999E-3</v>
      </c>
      <c r="G888" s="1512" t="s">
        <v>1883</v>
      </c>
      <c r="H888" s="1511">
        <v>8.84</v>
      </c>
      <c r="I888" s="1512" t="s">
        <v>1883</v>
      </c>
      <c r="J888" s="1513">
        <v>13.25</v>
      </c>
      <c r="K888" s="1514" t="s">
        <v>1883</v>
      </c>
      <c r="L888" s="1515">
        <v>0.86099999999999999</v>
      </c>
      <c r="M888" s="1516" t="s">
        <v>1884</v>
      </c>
      <c r="N888" s="1517">
        <v>6.8408473487300003E-2</v>
      </c>
      <c r="O888" s="1517">
        <v>8.4464180358400005E-6</v>
      </c>
      <c r="P888" s="1518" t="s">
        <v>1885</v>
      </c>
      <c r="Q888" s="1519" t="s">
        <v>635</v>
      </c>
      <c r="R888" s="1520"/>
      <c r="S888" s="1519">
        <v>375.3</v>
      </c>
      <c r="T888" s="1519" t="s">
        <v>1199</v>
      </c>
      <c r="U888" s="1519">
        <v>3.15</v>
      </c>
      <c r="V888" s="1521" t="s">
        <v>1883</v>
      </c>
      <c r="W888" s="1522">
        <v>162</v>
      </c>
      <c r="X888" s="1523" t="s">
        <v>1883</v>
      </c>
      <c r="Y888" s="1524">
        <v>0.19537746931965</v>
      </c>
      <c r="Z888" s="1524">
        <v>0.41342882164758998</v>
      </c>
      <c r="AA888" s="1524">
        <v>0.99222917195421001</v>
      </c>
      <c r="AB888" s="1524">
        <v>4.9299999999999997E-2</v>
      </c>
      <c r="AC888" s="1525" t="s">
        <v>1199</v>
      </c>
      <c r="AD888" s="1526" t="s">
        <v>635</v>
      </c>
      <c r="AE888" s="1527"/>
      <c r="AF888" s="1528" t="s">
        <v>635</v>
      </c>
      <c r="AG888" s="1527"/>
      <c r="AH888" s="1528">
        <v>0.2</v>
      </c>
      <c r="AI888" s="1529" t="s">
        <v>2111</v>
      </c>
      <c r="AJ888" s="1528">
        <v>0.1</v>
      </c>
      <c r="AK888" s="1529" t="s">
        <v>2111</v>
      </c>
      <c r="AL888" s="1529" t="s">
        <v>1127</v>
      </c>
      <c r="AM888" s="1527"/>
      <c r="AN888" s="1530">
        <v>1</v>
      </c>
      <c r="AO888" s="1530" t="s">
        <v>635</v>
      </c>
      <c r="AP888" s="1532">
        <v>390</v>
      </c>
    </row>
    <row r="889" spans="1:42" ht="30">
      <c r="A889" s="1481" t="s">
        <v>344</v>
      </c>
      <c r="B889" s="1482" t="s">
        <v>343</v>
      </c>
      <c r="C889" s="1483">
        <v>106.17</v>
      </c>
      <c r="D889" s="1484" t="s">
        <v>1883</v>
      </c>
      <c r="E889" s="1485">
        <v>0.27105478331971</v>
      </c>
      <c r="F889" s="1485">
        <v>6.6299999999999996E-3</v>
      </c>
      <c r="G889" s="1486" t="s">
        <v>1883</v>
      </c>
      <c r="H889" s="1485">
        <v>7.99</v>
      </c>
      <c r="I889" s="1486" t="s">
        <v>1883</v>
      </c>
      <c r="J889" s="1487">
        <v>-25.2</v>
      </c>
      <c r="K889" s="1488" t="s">
        <v>1199</v>
      </c>
      <c r="L889" s="1489">
        <v>0.86399999999999999</v>
      </c>
      <c r="M889" s="1490" t="s">
        <v>2347</v>
      </c>
      <c r="N889" s="1491">
        <v>6.8514787582670003E-2</v>
      </c>
      <c r="O889" s="1491">
        <v>8.4640637673699996E-6</v>
      </c>
      <c r="P889" s="1492" t="s">
        <v>1885</v>
      </c>
      <c r="Q889" s="1493" t="s">
        <v>635</v>
      </c>
      <c r="R889" s="1494"/>
      <c r="S889" s="1493">
        <v>382.9</v>
      </c>
      <c r="T889" s="1493" t="s">
        <v>1199</v>
      </c>
      <c r="U889" s="1493">
        <v>3.16</v>
      </c>
      <c r="V889" s="1495" t="s">
        <v>1883</v>
      </c>
      <c r="W889" s="1496">
        <v>106</v>
      </c>
      <c r="X889" s="1497" t="s">
        <v>1883</v>
      </c>
      <c r="Y889" s="1498">
        <v>0.19815159160208001</v>
      </c>
      <c r="Z889" s="1498">
        <v>0.41342882164758998</v>
      </c>
      <c r="AA889" s="1498">
        <v>0.99222917195421001</v>
      </c>
      <c r="AB889" s="1498">
        <v>0.05</v>
      </c>
      <c r="AC889" s="1499" t="s">
        <v>1199</v>
      </c>
      <c r="AD889" s="1500" t="s">
        <v>635</v>
      </c>
      <c r="AE889" s="1501"/>
      <c r="AF889" s="1502" t="s">
        <v>635</v>
      </c>
      <c r="AG889" s="1501"/>
      <c r="AH889" s="1502">
        <v>0.2</v>
      </c>
      <c r="AI889" s="1503" t="s">
        <v>1119</v>
      </c>
      <c r="AJ889" s="1502">
        <v>0.1</v>
      </c>
      <c r="AK889" s="1503" t="s">
        <v>1119</v>
      </c>
      <c r="AL889" s="1503" t="s">
        <v>1127</v>
      </c>
      <c r="AM889" s="1501"/>
      <c r="AN889" s="1504">
        <v>1</v>
      </c>
      <c r="AO889" s="1504" t="s">
        <v>635</v>
      </c>
      <c r="AP889" s="1506">
        <v>260</v>
      </c>
    </row>
    <row r="890" spans="1:42" ht="30">
      <c r="A890" s="1481" t="s">
        <v>3543</v>
      </c>
      <c r="B890" s="1482" t="s">
        <v>3544</v>
      </c>
      <c r="C890" s="1483">
        <v>258.17500000000001</v>
      </c>
      <c r="D890" s="1484" t="s">
        <v>1884</v>
      </c>
      <c r="E890" s="1485" t="s">
        <v>635</v>
      </c>
      <c r="F890" s="1485" t="s">
        <v>635</v>
      </c>
      <c r="G890" s="1536"/>
      <c r="H890" s="1485" t="s">
        <v>635</v>
      </c>
      <c r="I890" s="1536"/>
      <c r="J890" s="1487">
        <v>420</v>
      </c>
      <c r="K890" s="1488" t="s">
        <v>1949</v>
      </c>
      <c r="L890" s="1489">
        <v>4.55</v>
      </c>
      <c r="M890" s="1490" t="s">
        <v>1884</v>
      </c>
      <c r="N890" s="1491">
        <v>4.2843108116310001E-2</v>
      </c>
      <c r="O890" s="1491">
        <v>1.345643749E-5</v>
      </c>
      <c r="P890" s="1492" t="s">
        <v>1885</v>
      </c>
      <c r="Q890" s="1493" t="s">
        <v>635</v>
      </c>
      <c r="R890" s="1494"/>
      <c r="S890" s="1493" t="s">
        <v>635</v>
      </c>
      <c r="T890" s="1494"/>
      <c r="U890" s="1493" t="s">
        <v>635</v>
      </c>
      <c r="V890" s="1481"/>
      <c r="W890" s="1496" t="s">
        <v>635</v>
      </c>
      <c r="X890" s="1537"/>
      <c r="Y890" s="1498">
        <v>3.7079596137299998E-3</v>
      </c>
      <c r="Z890" s="1498">
        <v>2.93513951749022</v>
      </c>
      <c r="AA890" s="1498">
        <v>7.0443348419765304</v>
      </c>
      <c r="AB890" s="1498">
        <v>5.9999999999999995E-4</v>
      </c>
      <c r="AC890" s="1499" t="s">
        <v>1203</v>
      </c>
      <c r="AD890" s="1500" t="s">
        <v>635</v>
      </c>
      <c r="AE890" s="1501"/>
      <c r="AF890" s="1502" t="s">
        <v>635</v>
      </c>
      <c r="AG890" s="1501"/>
      <c r="AH890" s="1502">
        <v>2.9999999999999997E-4</v>
      </c>
      <c r="AI890" s="1503" t="s">
        <v>1119</v>
      </c>
      <c r="AJ890" s="1502" t="s">
        <v>635</v>
      </c>
      <c r="AK890" s="1501"/>
      <c r="AL890" s="1501"/>
      <c r="AM890" s="1501"/>
      <c r="AN890" s="1504">
        <v>1</v>
      </c>
      <c r="AO890" s="1504" t="s">
        <v>635</v>
      </c>
      <c r="AP890" s="1506" t="s">
        <v>635</v>
      </c>
    </row>
    <row r="891" spans="1:42" ht="30">
      <c r="A891" s="1507" t="s">
        <v>346</v>
      </c>
      <c r="B891" s="1508" t="s">
        <v>3545</v>
      </c>
      <c r="C891" s="1509">
        <v>65.37</v>
      </c>
      <c r="D891" s="1510" t="s">
        <v>1883</v>
      </c>
      <c r="E891" s="1511" t="s">
        <v>635</v>
      </c>
      <c r="F891" s="1511" t="s">
        <v>635</v>
      </c>
      <c r="G891" s="1534"/>
      <c r="H891" s="1511" t="s">
        <v>635</v>
      </c>
      <c r="I891" s="1534"/>
      <c r="J891" s="1513">
        <v>419.5</v>
      </c>
      <c r="K891" s="1514" t="s">
        <v>1883</v>
      </c>
      <c r="L891" s="1515">
        <v>7.1340000000000003</v>
      </c>
      <c r="M891" s="1516" t="s">
        <v>1884</v>
      </c>
      <c r="N891" s="1517">
        <v>0.21946149089093001</v>
      </c>
      <c r="O891" s="1517">
        <v>4.0183202279999999E-5</v>
      </c>
      <c r="P891" s="1518" t="s">
        <v>1885</v>
      </c>
      <c r="Q891" s="1519">
        <v>62</v>
      </c>
      <c r="R891" s="1519" t="s">
        <v>1959</v>
      </c>
      <c r="S891" s="1519" t="s">
        <v>635</v>
      </c>
      <c r="T891" s="1520"/>
      <c r="U891" s="1519" t="s">
        <v>635</v>
      </c>
      <c r="V891" s="1507"/>
      <c r="W891" s="1522" t="s">
        <v>635</v>
      </c>
      <c r="X891" s="1535"/>
      <c r="Y891" s="1524">
        <v>1.8658088336000001E-3</v>
      </c>
      <c r="Z891" s="1524">
        <v>0.24429847143290001</v>
      </c>
      <c r="AA891" s="1524">
        <v>0.58631633143895001</v>
      </c>
      <c r="AB891" s="1524">
        <v>5.9999999999999995E-4</v>
      </c>
      <c r="AC891" s="1525" t="s">
        <v>1203</v>
      </c>
      <c r="AD891" s="1526" t="s">
        <v>635</v>
      </c>
      <c r="AE891" s="1527"/>
      <c r="AF891" s="1528" t="s">
        <v>635</v>
      </c>
      <c r="AG891" s="1527"/>
      <c r="AH891" s="1528">
        <v>0.3</v>
      </c>
      <c r="AI891" s="1529" t="s">
        <v>1119</v>
      </c>
      <c r="AJ891" s="1528" t="s">
        <v>635</v>
      </c>
      <c r="AK891" s="1527"/>
      <c r="AL891" s="1527"/>
      <c r="AM891" s="1527"/>
      <c r="AN891" s="1530">
        <v>1</v>
      </c>
      <c r="AO891" s="1530" t="s">
        <v>635</v>
      </c>
      <c r="AP891" s="1532" t="s">
        <v>635</v>
      </c>
    </row>
    <row r="892" spans="1:42" ht="30">
      <c r="A892" s="1481" t="s">
        <v>3546</v>
      </c>
      <c r="B892" s="1482" t="s">
        <v>3547</v>
      </c>
      <c r="C892" s="1483">
        <v>275.73</v>
      </c>
      <c r="D892" s="1484" t="s">
        <v>1883</v>
      </c>
      <c r="E892" s="1485">
        <v>1.11201962388E-7</v>
      </c>
      <c r="F892" s="1485">
        <v>2.7200000000000001E-9</v>
      </c>
      <c r="G892" s="1486" t="s">
        <v>1883</v>
      </c>
      <c r="H892" s="1485">
        <v>7.4999999999999997E-8</v>
      </c>
      <c r="I892" s="1486" t="s">
        <v>1883</v>
      </c>
      <c r="J892" s="1487">
        <v>157</v>
      </c>
      <c r="K892" s="1488" t="s">
        <v>1199</v>
      </c>
      <c r="L892" s="1489" t="s">
        <v>635</v>
      </c>
      <c r="M892" s="1533"/>
      <c r="N892" s="1491">
        <v>4.4850186544589998E-2</v>
      </c>
      <c r="O892" s="1491">
        <v>5.24039021732E-6</v>
      </c>
      <c r="P892" s="1492" t="s">
        <v>1885</v>
      </c>
      <c r="Q892" s="1493" t="s">
        <v>635</v>
      </c>
      <c r="R892" s="1494"/>
      <c r="S892" s="1493">
        <v>1345</v>
      </c>
      <c r="T892" s="1493" t="s">
        <v>1199</v>
      </c>
      <c r="U892" s="1493">
        <v>1.3</v>
      </c>
      <c r="V892" s="1495" t="s">
        <v>1883</v>
      </c>
      <c r="W892" s="1496">
        <v>10</v>
      </c>
      <c r="X892" s="1497" t="s">
        <v>1883</v>
      </c>
      <c r="Y892" s="1498">
        <v>2.07563996155E-3</v>
      </c>
      <c r="Z892" s="1498">
        <v>3.6807536346715501</v>
      </c>
      <c r="AA892" s="1498">
        <v>8.8338087232117193</v>
      </c>
      <c r="AB892" s="1498">
        <v>3.2499999999999999E-4</v>
      </c>
      <c r="AC892" s="1499" t="s">
        <v>1199</v>
      </c>
      <c r="AD892" s="1500" t="s">
        <v>635</v>
      </c>
      <c r="AE892" s="1501"/>
      <c r="AF892" s="1502" t="s">
        <v>635</v>
      </c>
      <c r="AG892" s="1501"/>
      <c r="AH892" s="1502">
        <v>0.05</v>
      </c>
      <c r="AI892" s="1503" t="s">
        <v>1119</v>
      </c>
      <c r="AJ892" s="1502" t="s">
        <v>635</v>
      </c>
      <c r="AK892" s="1501"/>
      <c r="AL892" s="1501"/>
      <c r="AM892" s="1501"/>
      <c r="AN892" s="1504">
        <v>1</v>
      </c>
      <c r="AO892" s="1505">
        <v>0.1</v>
      </c>
      <c r="AP892" s="1506" t="s">
        <v>635</v>
      </c>
    </row>
    <row r="893" spans="1:42" ht="30">
      <c r="A893" s="1507" t="s">
        <v>3548</v>
      </c>
      <c r="B893" s="1508" t="s">
        <v>3549</v>
      </c>
      <c r="C893" s="1509">
        <v>91.22</v>
      </c>
      <c r="D893" s="1510" t="s">
        <v>1199</v>
      </c>
      <c r="E893" s="1511" t="s">
        <v>635</v>
      </c>
      <c r="F893" s="1511" t="s">
        <v>635</v>
      </c>
      <c r="G893" s="1534"/>
      <c r="H893" s="1511">
        <v>0</v>
      </c>
      <c r="I893" s="1512" t="s">
        <v>1929</v>
      </c>
      <c r="J893" s="1513">
        <v>1854.7</v>
      </c>
      <c r="K893" s="1514" t="s">
        <v>1884</v>
      </c>
      <c r="L893" s="1515">
        <v>6.52</v>
      </c>
      <c r="M893" s="1516" t="s">
        <v>1884</v>
      </c>
      <c r="N893" s="1517">
        <v>0.17124887620525001</v>
      </c>
      <c r="O893" s="1517">
        <v>3.1172116330000001E-5</v>
      </c>
      <c r="P893" s="1518" t="s">
        <v>1885</v>
      </c>
      <c r="Q893" s="1519">
        <v>3000</v>
      </c>
      <c r="R893" s="1519" t="s">
        <v>1930</v>
      </c>
      <c r="S893" s="1519" t="s">
        <v>635</v>
      </c>
      <c r="T893" s="1520"/>
      <c r="U893" s="1519" t="s">
        <v>635</v>
      </c>
      <c r="V893" s="1507"/>
      <c r="W893" s="1522" t="s">
        <v>635</v>
      </c>
      <c r="X893" s="1535"/>
      <c r="Y893" s="1524">
        <v>3.6734293024700002E-3</v>
      </c>
      <c r="Z893" s="1524">
        <v>0.34094219247518998</v>
      </c>
      <c r="AA893" s="1524">
        <v>0.81826126194045001</v>
      </c>
      <c r="AB893" s="1524">
        <v>1E-3</v>
      </c>
      <c r="AC893" s="1525" t="s">
        <v>1203</v>
      </c>
      <c r="AD893" s="1526" t="s">
        <v>635</v>
      </c>
      <c r="AE893" s="1527"/>
      <c r="AF893" s="1528" t="s">
        <v>635</v>
      </c>
      <c r="AG893" s="1527"/>
      <c r="AH893" s="1528">
        <v>8.0000000000000007E-5</v>
      </c>
      <c r="AI893" s="1529" t="s">
        <v>1893</v>
      </c>
      <c r="AJ893" s="1528" t="s">
        <v>635</v>
      </c>
      <c r="AK893" s="1527"/>
      <c r="AL893" s="1527"/>
      <c r="AM893" s="1527"/>
      <c r="AN893" s="1530">
        <v>1</v>
      </c>
      <c r="AO893" s="1530" t="s">
        <v>635</v>
      </c>
      <c r="AP893" s="1532" t="s">
        <v>635</v>
      </c>
    </row>
  </sheetData>
  <mergeCells count="9">
    <mergeCell ref="W2:X2"/>
    <mergeCell ref="Y2:AC2"/>
    <mergeCell ref="AD2:AP2"/>
    <mergeCell ref="C2:D2"/>
    <mergeCell ref="E2:I2"/>
    <mergeCell ref="J2:K2"/>
    <mergeCell ref="L2:M2"/>
    <mergeCell ref="N2:P2"/>
    <mergeCell ref="Q2:V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E5F86-C82D-4150-ABC1-E8EADEE949D9}">
  <dimension ref="A1:CU157"/>
  <sheetViews>
    <sheetView workbookViewId="0">
      <pane xSplit="2" ySplit="5" topLeftCell="BB102" activePane="bottomRight" state="frozen"/>
      <selection activeCell="AA14" sqref="AA14"/>
      <selection pane="topRight" activeCell="AA14" sqref="AA14"/>
      <selection pane="bottomLeft" activeCell="AA14" sqref="AA14"/>
      <selection pane="bottomRight" activeCell="BN103" sqref="BN103"/>
    </sheetView>
  </sheetViews>
  <sheetFormatPr defaultRowHeight="12.75"/>
  <cols>
    <col min="1" max="1" width="40.85546875" bestFit="1" customWidth="1"/>
    <col min="3" max="3" width="9.140625" style="1563"/>
    <col min="5" max="5" width="9.140625" style="1563"/>
    <col min="7" max="7" width="9.140625" style="1160"/>
    <col min="8" max="8" width="9.140625" style="1563"/>
    <col min="10" max="10" width="9.140625" style="1160"/>
    <col min="11" max="11" width="9.140625" style="1563"/>
    <col min="13" max="13" width="9.140625" style="1160"/>
    <col min="14" max="14" width="9.140625" style="1563"/>
    <col min="16" max="16" width="9.140625" style="1160"/>
    <col min="17" max="17" width="9.140625" style="1563"/>
    <col min="19" max="19" width="9.140625" style="1160"/>
    <col min="20" max="20" width="9.140625" style="1563"/>
    <col min="22" max="22" width="9.140625" style="1160"/>
    <col min="23" max="23" width="9.140625" style="1563"/>
    <col min="25" max="25" width="9.140625" style="1160"/>
    <col min="26" max="26" width="9.140625" style="1563"/>
    <col min="28" max="28" width="9.140625" style="1160"/>
    <col min="29" max="29" width="9.140625" style="1563"/>
    <col min="31" max="31" width="9.140625" style="1160"/>
    <col min="32" max="32" width="9.140625" style="1563"/>
    <col min="34" max="34" width="9.140625" style="1160"/>
    <col min="35" max="35" width="12.5703125" style="1563" bestFit="1" customWidth="1"/>
    <col min="36" max="36" width="12.5703125" style="1577" customWidth="1"/>
    <col min="37" max="37" width="9.140625" style="1160"/>
    <col min="38" max="38" width="11" style="1563" bestFit="1" customWidth="1"/>
    <col min="39" max="39" width="11" style="1577" customWidth="1"/>
    <col min="40" max="40" width="9.28515625" style="1563" bestFit="1" customWidth="1"/>
    <col min="41" max="41" width="11" style="1577" customWidth="1"/>
    <col min="42" max="42" width="9.140625" style="1160"/>
    <col min="43" max="43" width="11.5703125" style="1563" bestFit="1" customWidth="1"/>
    <col min="44" max="44" width="11" style="1577" customWidth="1"/>
    <col min="45" max="45" width="9.28515625" style="1563" bestFit="1" customWidth="1"/>
    <col min="46" max="46" width="11" style="1577" customWidth="1"/>
    <col min="47" max="47" width="9.28515625" style="1563" bestFit="1" customWidth="1"/>
    <col min="48" max="48" width="11" style="1577" customWidth="1"/>
    <col min="49" max="49" width="9.28515625" style="1563" bestFit="1" customWidth="1"/>
    <col min="50" max="50" width="9.140625" style="1577"/>
    <col min="51" max="51" width="9.140625" style="1592"/>
    <col min="52" max="52" width="9.140625" style="821"/>
    <col min="53" max="53" width="9.140625" style="1137"/>
    <col min="54" max="54" width="9.140625" style="1592"/>
    <col min="55" max="55" width="9.140625" style="821"/>
    <col min="56" max="56" width="9.140625" style="1137"/>
    <col min="57" max="58" width="9.140625" style="1592"/>
    <col min="59" max="59" width="9.140625" style="821"/>
    <col min="60" max="60" width="9.140625" style="1137"/>
    <col min="61" max="62" width="9.140625" style="1592"/>
    <col min="63" max="63" width="9.140625" style="821"/>
    <col min="64" max="64" width="9.140625" style="1137"/>
    <col min="65" max="65" width="9.140625" style="1592"/>
    <col min="66" max="66" width="9.140625" style="821"/>
    <col min="67" max="67" width="9.140625" style="1137"/>
    <col min="68" max="68" width="9.140625" style="1592"/>
    <col min="69" max="69" width="9.140625" style="821"/>
    <col min="70" max="70" width="9.140625" style="1137"/>
    <col min="71" max="71" width="9.140625" style="1592"/>
    <col min="72" max="72" width="9.140625" style="821"/>
    <col min="73" max="73" width="9.140625" style="1137"/>
    <col min="76" max="76" width="18" bestFit="1" customWidth="1"/>
    <col min="77" max="78" width="9.140625" style="75"/>
    <col min="79" max="79" width="9.140625" style="1668"/>
    <col min="81" max="81" width="12.140625" bestFit="1" customWidth="1"/>
    <col min="84" max="84" width="9.140625" style="1668"/>
    <col min="86" max="86" width="18" bestFit="1" customWidth="1"/>
    <col min="89" max="89" width="9.140625" style="1668"/>
    <col min="91" max="91" width="13.5703125" bestFit="1" customWidth="1"/>
    <col min="94" max="94" width="9.140625" style="1668"/>
  </cols>
  <sheetData>
    <row r="1" spans="1:99">
      <c r="AY1" s="1581" t="s">
        <v>707</v>
      </c>
      <c r="AZ1" s="1593"/>
      <c r="BA1" s="1603"/>
      <c r="BB1" s="1581" t="s">
        <v>1153</v>
      </c>
      <c r="BC1" s="1593"/>
      <c r="BD1" s="1603"/>
      <c r="BE1" s="1581" t="s">
        <v>683</v>
      </c>
      <c r="BF1" s="1582" t="s">
        <v>1154</v>
      </c>
      <c r="BG1" s="1593"/>
      <c r="BH1" s="1603"/>
      <c r="BI1" s="1583" t="s">
        <v>760</v>
      </c>
      <c r="BJ1" s="1581" t="s">
        <v>1155</v>
      </c>
      <c r="BK1" s="1593"/>
      <c r="BL1" s="1603"/>
      <c r="BM1" s="1582" t="s">
        <v>1156</v>
      </c>
      <c r="BN1" s="1593"/>
      <c r="BO1" s="1603"/>
      <c r="BP1" s="1581" t="s">
        <v>1157</v>
      </c>
      <c r="BQ1" s="1593"/>
      <c r="BR1" s="1603"/>
      <c r="BS1" s="1582" t="s">
        <v>1158</v>
      </c>
      <c r="BT1" s="1593"/>
      <c r="BU1" s="1603"/>
      <c r="CR1" s="55" t="s">
        <v>3550</v>
      </c>
      <c r="CS1" s="55" t="s">
        <v>3551</v>
      </c>
      <c r="CT1" s="55" t="s">
        <v>3552</v>
      </c>
      <c r="CU1" s="55" t="s">
        <v>3553</v>
      </c>
    </row>
    <row r="2" spans="1:99" ht="13.5" thickBot="1">
      <c r="C2" s="1563" t="s">
        <v>59</v>
      </c>
      <c r="D2" s="821" t="s">
        <v>1275</v>
      </c>
      <c r="E2" s="1563" t="s">
        <v>59</v>
      </c>
      <c r="F2" s="821" t="s">
        <v>1275</v>
      </c>
      <c r="G2" s="1137"/>
      <c r="H2" s="1563" t="s">
        <v>59</v>
      </c>
      <c r="I2" s="821" t="s">
        <v>1275</v>
      </c>
      <c r="J2" s="1137"/>
      <c r="K2" s="1563" t="s">
        <v>59</v>
      </c>
      <c r="L2" s="821" t="s">
        <v>1275</v>
      </c>
      <c r="M2" s="1137"/>
      <c r="N2" s="1563" t="s">
        <v>59</v>
      </c>
      <c r="O2" s="821" t="s">
        <v>1275</v>
      </c>
      <c r="P2" s="1137"/>
      <c r="Q2" s="1563" t="s">
        <v>59</v>
      </c>
      <c r="R2" s="821" t="s">
        <v>1275</v>
      </c>
      <c r="S2" s="1137"/>
      <c r="T2" s="1563" t="s">
        <v>59</v>
      </c>
      <c r="U2" s="821" t="s">
        <v>1275</v>
      </c>
      <c r="V2" s="1137"/>
      <c r="W2" s="1563" t="s">
        <v>59</v>
      </c>
      <c r="X2" s="821" t="s">
        <v>1275</v>
      </c>
      <c r="Y2" s="1137"/>
      <c r="Z2" s="1563" t="s">
        <v>59</v>
      </c>
      <c r="AA2" s="821" t="s">
        <v>1275</v>
      </c>
      <c r="AB2" s="1137"/>
      <c r="AC2" s="1563" t="s">
        <v>59</v>
      </c>
      <c r="AD2" s="821" t="s">
        <v>1275</v>
      </c>
      <c r="AE2" s="1137"/>
      <c r="AF2" s="1563" t="s">
        <v>59</v>
      </c>
      <c r="AG2" s="821" t="s">
        <v>1275</v>
      </c>
      <c r="AH2" s="1137"/>
      <c r="AI2" s="1563" t="s">
        <v>59</v>
      </c>
      <c r="AJ2" s="1577" t="s">
        <v>1275</v>
      </c>
      <c r="AK2" s="1137"/>
      <c r="AL2" s="1563" t="s">
        <v>59</v>
      </c>
      <c r="AM2" s="1577" t="s">
        <v>1275</v>
      </c>
      <c r="AN2" s="1563" t="s">
        <v>59</v>
      </c>
      <c r="AO2" s="1577" t="s">
        <v>1275</v>
      </c>
      <c r="AP2" s="1137"/>
      <c r="AQ2" s="1563" t="s">
        <v>59</v>
      </c>
      <c r="AR2" s="1577" t="s">
        <v>1275</v>
      </c>
      <c r="AS2" s="1563" t="s">
        <v>59</v>
      </c>
      <c r="AT2" s="1577" t="s">
        <v>1275</v>
      </c>
      <c r="AU2" s="1563" t="s">
        <v>59</v>
      </c>
      <c r="AV2" s="1577" t="s">
        <v>1275</v>
      </c>
      <c r="AW2" s="1563" t="s">
        <v>59</v>
      </c>
      <c r="AX2" s="1577" t="s">
        <v>1275</v>
      </c>
      <c r="AY2" s="1581" t="s">
        <v>61</v>
      </c>
      <c r="AZ2" s="1593" t="s">
        <v>1275</v>
      </c>
      <c r="BA2" s="1603" t="s">
        <v>3554</v>
      </c>
      <c r="BB2" s="1581" t="s">
        <v>61</v>
      </c>
      <c r="BC2" s="1593" t="s">
        <v>1275</v>
      </c>
      <c r="BD2" s="1603" t="s">
        <v>3554</v>
      </c>
      <c r="BE2" s="1581" t="s">
        <v>61</v>
      </c>
      <c r="BF2" s="1581" t="s">
        <v>61</v>
      </c>
      <c r="BG2" s="1593" t="s">
        <v>1275</v>
      </c>
      <c r="BH2" s="1603" t="s">
        <v>3554</v>
      </c>
      <c r="BI2" s="1581" t="s">
        <v>61</v>
      </c>
      <c r="BJ2" s="1581" t="s">
        <v>61</v>
      </c>
      <c r="BK2" s="1593" t="s">
        <v>1275</v>
      </c>
      <c r="BL2" s="1603" t="s">
        <v>3554</v>
      </c>
      <c r="BM2" s="1581" t="s">
        <v>61</v>
      </c>
      <c r="BN2" s="1593" t="s">
        <v>1275</v>
      </c>
      <c r="BO2" s="1603" t="s">
        <v>3554</v>
      </c>
      <c r="BP2" s="1581" t="s">
        <v>61</v>
      </c>
      <c r="BQ2" s="1593" t="s">
        <v>1275</v>
      </c>
      <c r="BR2" s="1603" t="s">
        <v>3554</v>
      </c>
      <c r="BS2" s="1581" t="s">
        <v>61</v>
      </c>
      <c r="BT2" s="1593" t="s">
        <v>1275</v>
      </c>
      <c r="BU2" s="1603" t="s">
        <v>3554</v>
      </c>
    </row>
    <row r="3" spans="1:99" ht="80.25" thickTop="1" thickBot="1">
      <c r="A3" s="2882" t="s">
        <v>661</v>
      </c>
      <c r="B3" s="2646" t="s">
        <v>80</v>
      </c>
      <c r="C3" s="3013" t="s">
        <v>1093</v>
      </c>
      <c r="D3" s="1564" t="s">
        <v>1093</v>
      </c>
      <c r="E3" s="3016" t="s">
        <v>1094</v>
      </c>
      <c r="F3" s="1564" t="s">
        <v>1094</v>
      </c>
      <c r="G3" s="1578" t="s">
        <v>3555</v>
      </c>
      <c r="H3" s="3019" t="s">
        <v>3556</v>
      </c>
      <c r="I3" s="1564" t="s">
        <v>3557</v>
      </c>
      <c r="J3" s="1578" t="s">
        <v>3555</v>
      </c>
      <c r="K3" s="3019" t="s">
        <v>1096</v>
      </c>
      <c r="L3" s="1564" t="s">
        <v>1096</v>
      </c>
      <c r="M3" s="1578" t="s">
        <v>3555</v>
      </c>
      <c r="N3" s="3022" t="s">
        <v>1097</v>
      </c>
      <c r="O3" s="1564" t="s">
        <v>1097</v>
      </c>
      <c r="P3" s="1578" t="s">
        <v>3555</v>
      </c>
      <c r="Q3" s="3022" t="s">
        <v>1098</v>
      </c>
      <c r="R3" s="1564" t="s">
        <v>1098</v>
      </c>
      <c r="S3" s="1578" t="s">
        <v>3555</v>
      </c>
      <c r="T3" s="3022" t="s">
        <v>3558</v>
      </c>
      <c r="U3" s="1564" t="s">
        <v>3559</v>
      </c>
      <c r="V3" s="1578" t="s">
        <v>3555</v>
      </c>
      <c r="W3" s="3022" t="s">
        <v>1100</v>
      </c>
      <c r="X3" s="1564" t="s">
        <v>1100</v>
      </c>
      <c r="Y3" s="1578" t="s">
        <v>3555</v>
      </c>
      <c r="Z3" s="3022" t="s">
        <v>1101</v>
      </c>
      <c r="AA3" s="1564" t="s">
        <v>1101</v>
      </c>
      <c r="AB3" s="1578" t="s">
        <v>3555</v>
      </c>
      <c r="AC3" s="3019" t="s">
        <v>1102</v>
      </c>
      <c r="AD3" s="1601" t="s">
        <v>1102</v>
      </c>
      <c r="AE3" s="1578" t="s">
        <v>3555</v>
      </c>
      <c r="AF3" s="3022" t="s">
        <v>3560</v>
      </c>
      <c r="AG3" s="2016" t="s">
        <v>3561</v>
      </c>
      <c r="AH3" s="1578" t="s">
        <v>3555</v>
      </c>
      <c r="AI3" s="3022" t="s">
        <v>3562</v>
      </c>
      <c r="AJ3" s="3007" t="s">
        <v>3563</v>
      </c>
      <c r="AK3" s="1578" t="s">
        <v>3555</v>
      </c>
      <c r="AL3" s="3022" t="s">
        <v>1105</v>
      </c>
      <c r="AM3" s="2031" t="s">
        <v>1105</v>
      </c>
      <c r="AN3" s="3019" t="s">
        <v>3564</v>
      </c>
      <c r="AO3" s="3010" t="s">
        <v>3564</v>
      </c>
      <c r="AP3" s="1578" t="s">
        <v>3555</v>
      </c>
      <c r="AQ3" s="3022" t="s">
        <v>3565</v>
      </c>
      <c r="AR3" s="3007" t="s">
        <v>3566</v>
      </c>
      <c r="AS3" s="3022" t="s">
        <v>3567</v>
      </c>
      <c r="AT3" s="3007" t="s">
        <v>3568</v>
      </c>
      <c r="AU3" s="3022" t="s">
        <v>3569</v>
      </c>
      <c r="AV3" s="3007" t="s">
        <v>3570</v>
      </c>
      <c r="AW3" s="3025" t="s">
        <v>3571</v>
      </c>
      <c r="AX3" s="2994" t="s">
        <v>3572</v>
      </c>
      <c r="AY3" s="1585"/>
      <c r="AZ3" s="1594"/>
      <c r="BA3" s="1604"/>
      <c r="BB3" s="1585"/>
      <c r="BC3" s="1594"/>
      <c r="BD3" s="1604"/>
      <c r="BE3" s="1586"/>
      <c r="BF3" s="1587"/>
      <c r="BG3" s="1596"/>
      <c r="BH3" s="1604"/>
      <c r="BI3" s="1587"/>
      <c r="BJ3" s="1587"/>
      <c r="BK3" s="1596"/>
      <c r="BL3" s="1604"/>
      <c r="BM3" s="1587"/>
      <c r="BN3" s="1596"/>
      <c r="BO3" s="1604"/>
      <c r="BP3" s="1587"/>
      <c r="BQ3" s="1596"/>
      <c r="BR3" s="1604"/>
      <c r="BS3" s="1584"/>
      <c r="BT3" s="1596"/>
      <c r="BU3" s="1604"/>
      <c r="CR3" s="3028" t="s">
        <v>3573</v>
      </c>
      <c r="CS3" s="3029"/>
      <c r="CT3" s="3029"/>
      <c r="CU3" s="3029"/>
    </row>
    <row r="4" spans="1:99" ht="13.5" customHeight="1" thickTop="1" thickBot="1">
      <c r="A4" s="2461"/>
      <c r="B4" s="3006"/>
      <c r="C4" s="3014"/>
      <c r="D4" s="1565"/>
      <c r="E4" s="3017"/>
      <c r="F4" s="1565"/>
      <c r="G4" s="1579"/>
      <c r="H4" s="3020"/>
      <c r="I4" s="1565"/>
      <c r="J4" s="1579"/>
      <c r="K4" s="3020"/>
      <c r="L4" s="1565"/>
      <c r="M4" s="1579"/>
      <c r="N4" s="3023"/>
      <c r="O4" s="1565"/>
      <c r="P4" s="1579"/>
      <c r="Q4" s="3023"/>
      <c r="R4" s="1565"/>
      <c r="S4" s="1579"/>
      <c r="T4" s="3023"/>
      <c r="U4" s="1565"/>
      <c r="V4" s="1579"/>
      <c r="W4" s="3023"/>
      <c r="X4" s="1565"/>
      <c r="Y4" s="1579"/>
      <c r="Z4" s="3023"/>
      <c r="AA4" s="1565"/>
      <c r="AB4" s="1579"/>
      <c r="AC4" s="3020"/>
      <c r="AD4" s="1565"/>
      <c r="AE4" s="1579"/>
      <c r="AF4" s="3023"/>
      <c r="AG4" s="1565"/>
      <c r="AH4" s="1579"/>
      <c r="AI4" s="3023"/>
      <c r="AJ4" s="3008"/>
      <c r="AK4" s="1579"/>
      <c r="AL4" s="3023"/>
      <c r="AM4" s="2032"/>
      <c r="AN4" s="3020"/>
      <c r="AO4" s="3011"/>
      <c r="AP4" s="1579"/>
      <c r="AQ4" s="3023"/>
      <c r="AR4" s="3008"/>
      <c r="AS4" s="3023"/>
      <c r="AT4" s="3008"/>
      <c r="AU4" s="3023"/>
      <c r="AV4" s="3008"/>
      <c r="AW4" s="3026"/>
      <c r="AX4" s="2995"/>
      <c r="AY4" s="3002" t="s">
        <v>1164</v>
      </c>
      <c r="AZ4" s="3003"/>
      <c r="BA4" s="3003"/>
      <c r="BB4" s="3003"/>
      <c r="BC4" s="3003"/>
      <c r="BD4" s="1599"/>
      <c r="BE4" s="2997" t="s">
        <v>1165</v>
      </c>
      <c r="BF4" s="2998"/>
      <c r="BG4" s="2998"/>
      <c r="BH4" s="2998"/>
      <c r="BI4" s="2998"/>
      <c r="BJ4" s="2998"/>
      <c r="BK4" s="2998"/>
      <c r="BL4" s="2998"/>
      <c r="BM4" s="2998"/>
      <c r="BN4" s="2998"/>
      <c r="BO4" s="2998"/>
      <c r="BP4" s="2999"/>
      <c r="BQ4" s="1599"/>
      <c r="BR4" s="1599"/>
      <c r="BS4" s="3000" t="s">
        <v>677</v>
      </c>
      <c r="BT4" s="3004" t="s">
        <v>677</v>
      </c>
      <c r="BU4" s="1599"/>
      <c r="CR4" s="2463" t="s">
        <v>878</v>
      </c>
      <c r="CS4" s="2463" t="s">
        <v>879</v>
      </c>
      <c r="CT4" s="2463" t="s">
        <v>880</v>
      </c>
      <c r="CU4" s="2463" t="s">
        <v>881</v>
      </c>
    </row>
    <row r="5" spans="1:99" ht="90.75" thickBot="1">
      <c r="A5" s="2462"/>
      <c r="B5" s="2647"/>
      <c r="C5" s="3015"/>
      <c r="D5" s="1566"/>
      <c r="E5" s="3018"/>
      <c r="F5" s="1566"/>
      <c r="G5" s="1580"/>
      <c r="H5" s="3021"/>
      <c r="I5" s="1566"/>
      <c r="J5" s="1580"/>
      <c r="K5" s="3021"/>
      <c r="L5" s="1566"/>
      <c r="M5" s="1580"/>
      <c r="N5" s="3024"/>
      <c r="O5" s="1566"/>
      <c r="P5" s="1580"/>
      <c r="Q5" s="3024"/>
      <c r="R5" s="1566"/>
      <c r="S5" s="1580"/>
      <c r="T5" s="3024"/>
      <c r="U5" s="1566"/>
      <c r="V5" s="1580"/>
      <c r="W5" s="3024"/>
      <c r="X5" s="1566"/>
      <c r="Y5" s="1580"/>
      <c r="Z5" s="3024"/>
      <c r="AA5" s="1566"/>
      <c r="AB5" s="1580"/>
      <c r="AC5" s="3021"/>
      <c r="AD5" s="1566"/>
      <c r="AE5" s="1580"/>
      <c r="AF5" s="3024"/>
      <c r="AG5" s="1566"/>
      <c r="AH5" s="1580"/>
      <c r="AI5" s="3024"/>
      <c r="AJ5" s="3009"/>
      <c r="AK5" s="1580"/>
      <c r="AL5" s="3024"/>
      <c r="AM5" s="2033"/>
      <c r="AN5" s="3021"/>
      <c r="AO5" s="3012"/>
      <c r="AP5" s="1580"/>
      <c r="AQ5" s="3024"/>
      <c r="AR5" s="3009"/>
      <c r="AS5" s="3024"/>
      <c r="AT5" s="3009"/>
      <c r="AU5" s="3024"/>
      <c r="AV5" s="3009"/>
      <c r="AW5" s="3027"/>
      <c r="AX5" s="2996"/>
      <c r="AY5" s="1588" t="s">
        <v>1188</v>
      </c>
      <c r="AZ5" s="1595" t="s">
        <v>1188</v>
      </c>
      <c r="BA5" s="1605" t="s">
        <v>3554</v>
      </c>
      <c r="BB5" s="1597" t="s">
        <v>1189</v>
      </c>
      <c r="BC5" s="1598" t="s">
        <v>1189</v>
      </c>
      <c r="BD5" s="1605" t="s">
        <v>3554</v>
      </c>
      <c r="BE5" s="1590" t="s">
        <v>3574</v>
      </c>
      <c r="BF5" s="1591" t="s">
        <v>1191</v>
      </c>
      <c r="BG5" s="1595" t="s">
        <v>1191</v>
      </c>
      <c r="BH5" s="1605" t="s">
        <v>3554</v>
      </c>
      <c r="BI5" s="1591" t="s">
        <v>1193</v>
      </c>
      <c r="BJ5" s="1591" t="s">
        <v>1194</v>
      </c>
      <c r="BK5" s="1595" t="s">
        <v>1194</v>
      </c>
      <c r="BL5" s="1605" t="s">
        <v>3554</v>
      </c>
      <c r="BM5" s="1591" t="s">
        <v>3575</v>
      </c>
      <c r="BN5" s="1595" t="s">
        <v>3576</v>
      </c>
      <c r="BO5" s="1605" t="s">
        <v>3554</v>
      </c>
      <c r="BP5" s="1589" t="s">
        <v>1196</v>
      </c>
      <c r="BQ5" s="1595" t="s">
        <v>1196</v>
      </c>
      <c r="BR5" s="1605" t="s">
        <v>3554</v>
      </c>
      <c r="BS5" s="3001"/>
      <c r="BT5" s="3005"/>
      <c r="BU5" s="1605" t="s">
        <v>3554</v>
      </c>
      <c r="BW5" s="1424" t="s">
        <v>1166</v>
      </c>
      <c r="BX5" s="1425" t="s">
        <v>1167</v>
      </c>
      <c r="BY5" s="908" t="s">
        <v>3577</v>
      </c>
      <c r="BZ5" s="1426" t="s">
        <v>1169</v>
      </c>
      <c r="CA5" s="1669" t="s">
        <v>3554</v>
      </c>
      <c r="CB5" s="1424" t="s">
        <v>1173</v>
      </c>
      <c r="CC5" s="1425" t="s">
        <v>1174</v>
      </c>
      <c r="CD5" s="908" t="s">
        <v>3578</v>
      </c>
      <c r="CE5" s="908" t="s">
        <v>1169</v>
      </c>
      <c r="CF5" s="1669" t="s">
        <v>3554</v>
      </c>
      <c r="CG5" s="1424" t="s">
        <v>1178</v>
      </c>
      <c r="CH5" s="1425" t="s">
        <v>1179</v>
      </c>
      <c r="CI5" s="1428" t="s">
        <v>3579</v>
      </c>
      <c r="CJ5" s="1426" t="s">
        <v>1169</v>
      </c>
      <c r="CK5" s="1669" t="s">
        <v>3554</v>
      </c>
      <c r="CL5" s="1424" t="s">
        <v>1183</v>
      </c>
      <c r="CM5" s="1425" t="s">
        <v>1184</v>
      </c>
      <c r="CN5" s="1428" t="s">
        <v>3580</v>
      </c>
      <c r="CO5" s="1426" t="s">
        <v>1169</v>
      </c>
      <c r="CP5" s="1669" t="s">
        <v>3554</v>
      </c>
      <c r="CR5" s="2429"/>
      <c r="CS5" s="2429"/>
      <c r="CT5" s="2429"/>
      <c r="CU5" s="2429"/>
    </row>
    <row r="6" spans="1:99">
      <c r="A6" s="1561" t="s">
        <v>391</v>
      </c>
      <c r="B6" s="1562" t="s">
        <v>392</v>
      </c>
      <c r="C6" s="1563" t="str">
        <f t="shared" ref="C6:C38" si="0">VLOOKUP($A6,Table_IP_1, MATCH("OI", heading_IP_1, 0), FALSE)</f>
        <v>O</v>
      </c>
      <c r="D6" t="e">
        <f t="shared" ref="D6:D38" si="1">VLOOKUP($B6,Table_RSL, MATCH("OI", Heading_RSL, 0), FALSE)</f>
        <v>#N/A</v>
      </c>
      <c r="E6" s="1563">
        <f t="shared" ref="E6:E38" si="2">VLOOKUP($A6,Table_IP_1, MATCH("mt", heading_IP_1, 0), FALSE)</f>
        <v>-94.8</v>
      </c>
      <c r="F6">
        <f t="shared" ref="F6:F38" si="3">VLOOKUP($B6,Table_RSL, MATCH("mt", Heading_RSL, 0), FALSE)</f>
        <v>-94.8</v>
      </c>
      <c r="G6" s="1160">
        <f>IF(F6=E6,,1)</f>
        <v>0</v>
      </c>
      <c r="H6" s="1563" t="str">
        <f t="shared" ref="H6:H38" si="4">VLOOKUP($A6,Table_IP_1, MATCH("volatility", heading_IP_1, 0), FALSE)</f>
        <v>V</v>
      </c>
      <c r="I6" t="str">
        <f t="shared" ref="I6:I38" si="5">VLOOKUP($B6,Table_RSL, MATCH("v", Heading_RSL, 0), FALSE)</f>
        <v>V</v>
      </c>
      <c r="J6" s="1160">
        <f>IF(I6=H6,,IF(AND(H6="NV",I6=0),,1))</f>
        <v>0</v>
      </c>
      <c r="K6" s="1563">
        <f t="shared" ref="K6:K38" si="6">VLOOKUP($A6,Table_IP_1, MATCH("mw", heading_IP_1, 0), FALSE)</f>
        <v>58.081000000000003</v>
      </c>
      <c r="L6">
        <f t="shared" ref="L6:L38" si="7">VLOOKUP($B6,Table_RSL, MATCH("mw", Heading_RSL, 0), FALSE)</f>
        <v>58.081000000000003</v>
      </c>
      <c r="M6" s="1160">
        <f>IF(L6=K6,,1)</f>
        <v>0</v>
      </c>
      <c r="N6" s="1563">
        <f t="shared" ref="N6:N38" si="8">VLOOKUP($A6,Table_IP_1, MATCH("vp", heading_IP_1, 0), FALSE)</f>
        <v>231.5</v>
      </c>
      <c r="O6">
        <f t="shared" ref="O6:O38" si="9">VLOOKUP($B6,Table_RSL, MATCH("VP", Heading_RSL, 0), FALSE)</f>
        <v>231.5</v>
      </c>
      <c r="P6" s="1160">
        <f>IF(O6=N6,,IF(AND(N6="--",OR(O6="",O6=0)),,1))</f>
        <v>0</v>
      </c>
      <c r="Q6" s="1563">
        <f t="shared" ref="Q6:Q38" si="10">VLOOKUP($A6,Table_IP_1, MATCH("sol", heading_IP_1, 0), FALSE)</f>
        <v>1000000</v>
      </c>
      <c r="R6">
        <f t="shared" ref="R6:R38" si="11">VLOOKUP($B6,Table_RSL, MATCH("S", Heading_RSL, 0), FALSE)</f>
        <v>1000000</v>
      </c>
      <c r="S6" s="1160">
        <f>IF(R6=Q6,,IF(AND(Q6="--",OR(R6="",R6=0)),,1))</f>
        <v>0</v>
      </c>
      <c r="T6" s="1563">
        <f t="shared" ref="T6:T38" si="12">VLOOKUP($A6,Table_IP_1, MATCH("H", heading_IP_1, 0), FALSE)</f>
        <v>3.4999999999999997E-5</v>
      </c>
      <c r="U6">
        <f t="shared" ref="U6:U38" si="13">VLOOKUP($B6,Table_RSL, MATCH("H", Heading_RSL, 0), FALSE)</f>
        <v>3.4999999999999997E-5</v>
      </c>
      <c r="V6" s="1160">
        <f>IF(U6=T6,,IF(AND(T6="--",OR(U6="",U6=0)),,1))</f>
        <v>0</v>
      </c>
      <c r="W6" s="1563">
        <f t="shared" ref="W6:W38" si="14">VLOOKUP($A6,Table_IP_1, MATCH("H'", heading_IP_1, 0), FALSE)</f>
        <v>1.43090760425E-3</v>
      </c>
      <c r="X6">
        <f t="shared" ref="X6:X38" si="15">VLOOKUP($B6,Table_RSL, MATCH("H'", Heading_RSL, 0), FALSE)</f>
        <v>1.43090760425E-3</v>
      </c>
      <c r="Y6" s="1160">
        <f>IF(X6=W6,,IF(AND(W6="--",OR(X6="",X6=0)),,1))</f>
        <v>0</v>
      </c>
      <c r="Z6" s="1563">
        <f t="shared" ref="Z6:Z38" si="16">VLOOKUP($A6,Table_IP_1, MATCH("koc", heading_IP_1, 0), FALSE)</f>
        <v>2.3639999999999999</v>
      </c>
      <c r="AA6">
        <f t="shared" ref="AA6:AA38" si="17">VLOOKUP($B6,Table_RSL, MATCH("koc", Heading_RSL, 0), FALSE)</f>
        <v>2.3639999999999999</v>
      </c>
      <c r="AB6" s="1160">
        <f>IF(AA6=Z6,,IF(AND(Z6="--",OR(AA6="",AA6=0)),,1))</f>
        <v>0</v>
      </c>
      <c r="AC6" s="1563">
        <f t="shared" ref="AC6:AC38" si="18">VLOOKUP($A6,Table_IP_1, MATCH("kd", heading_IP_1, 0), FALSE)</f>
        <v>1.4184E-2</v>
      </c>
      <c r="AD6" t="str">
        <f t="shared" ref="AD6:AD38" si="19">VLOOKUP($B6,Table_RSL, MATCH("kd", Heading_RSL, 0), FALSE)</f>
        <v/>
      </c>
      <c r="AE6" s="1160">
        <f>IF(AD6=AC6,,IF(AND(AC6="--",OR(AD6="",AD6=0)),,1))</f>
        <v>1</v>
      </c>
      <c r="AF6" s="1563">
        <f t="shared" ref="AF6:AF38" si="20">VLOOKUP($A6,Table_IP_1, MATCH("da", heading_IP_1, 0), FALSE)</f>
        <v>0.10592149838195999</v>
      </c>
      <c r="AG6">
        <f t="shared" ref="AG6:AG38" si="21">VLOOKUP($B6,Table_RSL, MATCH("dia", Heading_RSL, 0), FALSE)</f>
        <v>0.10592149838195999</v>
      </c>
      <c r="AH6" s="1160">
        <f>IF(AG6=AF6,,1)</f>
        <v>0</v>
      </c>
      <c r="AI6" s="1563">
        <f t="shared" ref="AI6:AI38" si="22">VLOOKUP($A6,Table_IP_1, MATCH("dw", heading_IP_1, 0), FALSE)</f>
        <v>1.147115345E-5</v>
      </c>
      <c r="AJ6">
        <f t="shared" ref="AJ6:AJ38" si="23">VLOOKUP($B6,Table_RSL, MATCH("diw", Heading_RSL, 0), FALSE)</f>
        <v>1.147115345E-5</v>
      </c>
      <c r="AK6" s="1160">
        <f>IF(AJ6=AI6,,1)</f>
        <v>0</v>
      </c>
      <c r="AL6" s="1563">
        <f t="shared" ref="AL6:AL38" si="24">VLOOKUP($A6,Table_IP_1, MATCH("daf", heading_IP_1, 0), FALSE)</f>
        <v>0.60966900000000002</v>
      </c>
      <c r="AM6" t="e">
        <f t="shared" ref="AM6:AM38" si="25">VLOOKUP($B6,Table_RSL, MATCH("daf", Heading_RSL, 0), FALSE)</f>
        <v>#N/A</v>
      </c>
      <c r="AN6" s="1563">
        <f t="shared" ref="AN6:AN38" si="26">VLOOKUP($A6,Table_IP_1, MATCH("sat lim", heading_IP_1, 0), FALSE)</f>
        <v>114454.88250872909</v>
      </c>
      <c r="AO6">
        <f t="shared" ref="AO6:AO38" si="27">VLOOKUP($B6,Table_RSL, MATCH("csat", Heading_RSL, 0), FALSE)</f>
        <v>114000</v>
      </c>
      <c r="AP6" s="1160">
        <f t="shared" ref="AP6:AP38" si="28">IF(AO6=AN6,,1)</f>
        <v>1</v>
      </c>
      <c r="AQ6" s="1563">
        <f t="shared" ref="AQ6:AQ38" si="29">VLOOKUP($A6,Table_IP_1, MATCH("app diffus", heading_IP_1, 0), FALSE)</f>
        <v>7.1186979959614967E-5</v>
      </c>
      <c r="AR6" t="e">
        <f>VLOOKUP($B6,Table_RSL, MATCH("da", Heading_RSL, 0), FALSE)</f>
        <v>#N/A</v>
      </c>
      <c r="AS6" s="1563">
        <f t="shared" ref="AS6:AS38" si="30">VLOOKUP($A6,Table_IP_1, MATCH("VFr", heading_IP_1, 0), FALSE)</f>
        <v>13671.002778744038</v>
      </c>
      <c r="AU6" s="1563">
        <f t="shared" ref="AU6:AU38" si="31">VLOOKUP($A6,Table_IP_1, MATCH("VFc", heading_IP_1, 0), FALSE)</f>
        <v>13405.521142153275</v>
      </c>
      <c r="AW6" s="1563">
        <f t="shared" ref="AW6:AW38" si="32">VLOOKUP($A6,Table_IP_1, MATCH("VFcw", heading_IP_1, 0), FALSE)</f>
        <v>3028.0088326911941</v>
      </c>
      <c r="AY6" s="1592">
        <f t="shared" ref="AY6:AY38" si="33">VLOOKUP($A6,Table_IP_2, MATCH("giabs", heading_IP_2, 0), FALSE)</f>
        <v>1</v>
      </c>
      <c r="AZ6" s="821">
        <f t="shared" ref="AZ6:AZ38" si="34">VLOOKUP($B6,Table_RSL, MATCH("giabs", Heading_RSL, 0), FALSE)</f>
        <v>1</v>
      </c>
      <c r="BA6" s="1160">
        <f>IF(AZ6=AY6,,IF(AND(AY6="--",OR(AZ6="",AZ6=0)),,1))</f>
        <v>0</v>
      </c>
      <c r="BB6" s="1592" t="str">
        <f t="shared" ref="BB6:BB38" si="35">VLOOKUP($A6,Table_IP_2, MATCH("abs", heading_IP_2, 0), FALSE)</f>
        <v>--</v>
      </c>
      <c r="BC6" s="821" t="str">
        <f t="shared" ref="BC6:BC38" si="36">VLOOKUP($B6,Table_RSL, MATCH("abs", Heading_RSL, 0), FALSE)</f>
        <v/>
      </c>
      <c r="BD6" s="1160">
        <f>IF(BC6=BB6,,IF(AND(BB6="--",OR(BC6="",BC6=0)),,1))</f>
        <v>0</v>
      </c>
      <c r="BE6" s="1592" t="str">
        <f t="shared" ref="BE6:BE38" si="37">VLOOKUP($A6,Table_IP_2, MATCH("epd", heading_IP_2, 0), FALSE)</f>
        <v>Yes</v>
      </c>
      <c r="BF6" s="1592">
        <f t="shared" ref="BF6:BF38" si="38">VLOOKUP($A6,Table_IP_2, MATCH("kp", heading_IP_2, 0), FALSE)</f>
        <v>5.1199999999999998E-4</v>
      </c>
      <c r="BG6" s="821">
        <f t="shared" ref="BG6:BG38" si="39">VLOOKUP($B6,Table_RSL, MATCH("kp", Heading_RSL, 0), FALSE)</f>
        <v>5.1199999999999998E-4</v>
      </c>
      <c r="BH6" s="1160">
        <f>IF(BG6=BF6,,IF(AND(BF6="--",OR(BG6="",BG6=0)),,1))</f>
        <v>0</v>
      </c>
      <c r="BI6" s="1592">
        <f t="shared" ref="BI6:BI38" si="40">VLOOKUP($A6,Table_IP_2, MATCH("fa", heading_IP_2, 0), FALSE)</f>
        <v>1</v>
      </c>
      <c r="BJ6" s="1592">
        <f t="shared" ref="BJ6:BJ38" si="41">VLOOKUP($A6,Table_IP_2, MATCH("b", heading_IP_2, 0), FALSE)</f>
        <v>1.50076832709E-3</v>
      </c>
      <c r="BK6" s="821">
        <f t="shared" ref="BK6:BK38" si="42">VLOOKUP($B6,Table_RSL, MATCH("b", Heading_RSL, 0), FALSE)</f>
        <v>1.50076832709E-3</v>
      </c>
      <c r="BL6" s="1160">
        <f>IF(BK6=BJ6,,IF(AND(BJ6="--",OR(BK6="",BK6=0)),,1))</f>
        <v>0</v>
      </c>
      <c r="BM6" s="1592">
        <f t="shared" ref="BM6:BM38" si="43">VLOOKUP($A6,Table_IP_2, MATCH("t_event", heading_IP_2, 0), FALSE)</f>
        <v>0.22238339169509</v>
      </c>
      <c r="BN6" s="821">
        <f t="shared" ref="BN6:BN38" si="44">VLOOKUP($B6,Table_RSL, MATCH("t_event", Heading_RSL, 0), FALSE)</f>
        <v>0.22238339169509</v>
      </c>
      <c r="BO6" s="1160">
        <f>IF(BN6=BM6,,IF(AND(BM6="--",OR(BN6="",BN6=0)),,1))</f>
        <v>0</v>
      </c>
      <c r="BP6" s="1592">
        <f t="shared" ref="BP6:BP38" si="45">VLOOKUP($A6,Table_IP_2, MATCH("t", heading_IP_2, 0), FALSE)</f>
        <v>0.53372014006821</v>
      </c>
      <c r="BQ6" s="821">
        <f t="shared" ref="BQ6:BQ38" si="46">VLOOKUP($B6,Table_RSL, MATCH("t", Heading_RSL, 0), FALSE)</f>
        <v>0.53372014006821</v>
      </c>
      <c r="BR6" s="1160">
        <f>IF(BQ6=BP6,,IF(AND(BP6="--",OR(BQ6="",BQ6=0)),,1))</f>
        <v>0</v>
      </c>
      <c r="BS6" s="1592" t="str">
        <f>VLOOKUP($A6,Table_IP_2, MATCH("mut", heading_IP_2, 0), FALSE)</f>
        <v>--</v>
      </c>
      <c r="BT6" s="821">
        <f>VLOOKUP($B6,Table_RSL, MATCH("mut", Heading_RSL, 0), FALSE)</f>
        <v>0</v>
      </c>
      <c r="BU6" s="1160">
        <f>IF(AND(BT6="M",BS6="yes"),,IF(AND(BS6="--",OR(BT6="",BT6=0)),,1))</f>
        <v>0</v>
      </c>
      <c r="BW6" s="75" t="str">
        <f t="shared" ref="BW6:BW38" si="47">VLOOKUP($A6,Table_IP_2, MATCH("sfo", heading_IP_2, 0), FALSE)</f>
        <v>--</v>
      </c>
      <c r="BX6" s="75" t="str">
        <f t="shared" ref="BX6:BX38" si="48">VLOOKUP($A6,Table_IP_2, MATCH("sfo-r", heading_IP_2, 0), FALSE)</f>
        <v xml:space="preserve"> </v>
      </c>
      <c r="BY6" s="75" t="str">
        <f t="shared" ref="BY6:BY38" si="49">VLOOKUP($B6,Table_RSL, MATCH("Sfo", Heading_RSL, 0), FALSE)</f>
        <v/>
      </c>
      <c r="BZ6" s="75" t="str">
        <f t="shared" ref="BZ6:BZ38" si="50">IF(VLOOKUP($B6,Table_RSL, MATCH("Sfo-r", Heading_RSL, 0), FALSE)=0,"",VLOOKUP($B6,Table_RSL, MATCH("Sfo-r", Heading_RSL, 0), FALSE))</f>
        <v/>
      </c>
      <c r="CA6" s="1670" t="str">
        <f>IF(AND(BW6="--",BY6=""),"--",IF(AND(BW6="--",BY6&lt;&gt;""),"R",IF(AND(BY6="",BW6&lt;&gt;"--"),"N",IF(BW6=BY6,"--",IF(BY6&gt;BW6,"&gt;","check")))))</f>
        <v>--</v>
      </c>
      <c r="CB6" s="75" t="str">
        <f t="shared" ref="CB6:CB38" si="51">VLOOKUP($A6,Table_IP_2, MATCH("IUR", heading_IP_2, 0), FALSE)</f>
        <v>--</v>
      </c>
      <c r="CC6" s="75" t="str">
        <f t="shared" ref="CC6:CC38" si="52">VLOOKUP($A6,Table_IP_2, MATCH("IUR-r", heading_IP_2, 0), FALSE)</f>
        <v xml:space="preserve"> </v>
      </c>
      <c r="CD6" s="75" t="str">
        <f t="shared" ref="CD6:CD38" si="53">VLOOKUP($B6,Table_RSL, MATCH("IUR", Heading_RSL, 0), FALSE)</f>
        <v/>
      </c>
      <c r="CE6" s="75" t="str">
        <f t="shared" ref="CE6:CE38" si="54">IF(VLOOKUP($B6,Table_RSL, MATCH("IUR-r", Heading_RSL, 0), FALSE)=0,"",VLOOKUP($B6,Table_RSL, MATCH("IUR-r", Heading_RSL, 0), FALSE))</f>
        <v/>
      </c>
      <c r="CF6" s="1670" t="str">
        <f>IF(AND(CB6="--",CD6=""),"--",IF(AND(CB6="--",CD6&lt;&gt;""),"R",IF(AND(CD6="",CB6&lt;&gt;"--"),"N",IF(CB6=CD6,"--",IF(CD6&gt;CB6,"&gt;","check")))))</f>
        <v>--</v>
      </c>
      <c r="CG6" s="75">
        <f t="shared" ref="CG6:CG38" si="55">VLOOKUP($A6,Table_IP_2, MATCH("RfDo", heading_IP_2, 0), FALSE)</f>
        <v>0.9</v>
      </c>
      <c r="CH6" s="75" t="str">
        <f t="shared" ref="CH6:CH38" si="56">VLOOKUP($A6,Table_IP_2, MATCH("Rfdo-r", heading_IP_2, 0), FALSE)</f>
        <v>IRIS 2023</v>
      </c>
      <c r="CI6" s="75">
        <f t="shared" ref="CI6:CI38" si="57">VLOOKUP($B6,Table_RSL, MATCH("RFDo", Heading_RSL, 0), FALSE)</f>
        <v>0.9</v>
      </c>
      <c r="CJ6" s="75" t="str">
        <f t="shared" ref="CJ6:CJ38" si="58">IF(VLOOKUP($B6,Table_RSL, MATCH("RFDO-r", Heading_RSL, 0), FALSE)=0,"",VLOOKUP($B6,Table_RSL, MATCH("RFDo-r", Heading_RSL, 0), FALSE))</f>
        <v>I</v>
      </c>
      <c r="CK6" s="1670" t="str">
        <f>IF(AND(CG6="--",CI6=""),"--",IF(AND(CG6="--",CI6&lt;&gt;""),"R",IF(AND(CI6="",CG6&lt;&gt;"--"),"N",IF(CG6=CI6,"--",IF(CI6&lt;CG6,"&lt;","check")))))</f>
        <v>--</v>
      </c>
      <c r="CL6" s="75">
        <f t="shared" ref="CL6:CL38" si="59">VLOOKUP($A6,Table_IP_2, MATCH("Rfc", heading_IP_2, 0), FALSE)</f>
        <v>31000</v>
      </c>
      <c r="CM6" s="75" t="str">
        <f t="shared" ref="CM6:CM38" si="60">VLOOKUP($A6,Table_IP_2, MATCH("Rfc-r", heading_IP_2, 0), FALSE)</f>
        <v>ATSDR 1994</v>
      </c>
      <c r="CN6" s="75" t="str">
        <f t="shared" ref="CN6:CN38" si="61">IF(VLOOKUP($B6,Table_RSL,MATCH("RFC",Heading_RSL,0),FALSE)="","",VLOOKUP($B6,Table_RSL,MATCH("RFC",Heading_RSL,0),FALSE)*1000)</f>
        <v/>
      </c>
      <c r="CO6" s="75" t="str">
        <f t="shared" ref="CO6:CO38" si="62">IF(VLOOKUP($B6,Table_RSL, MATCH("RFC-r", Heading_RSL, 0), FALSE)=0,"",VLOOKUP($B6,Table_RSL, MATCH("RFC-r", Heading_RSL, 0), FALSE))</f>
        <v/>
      </c>
      <c r="CP6" s="1671" t="str">
        <f>IF(AND(CL6="--",CN6=""),"--",IF(AND(CL6="--",CN6&lt;&gt;""),"R",IF(AND(CN6="",CL6&lt;&gt;"--"),"N",IF(CL6=CN6,"--",IF(CN6&lt;CL6,"&lt;","check")))))</f>
        <v>N</v>
      </c>
      <c r="CR6" s="1686" t="str">
        <f>IF(OR(AND(BW6="--",BY6=""),BW6=BY6),"--","x")</f>
        <v>--</v>
      </c>
      <c r="CS6" s="1686" t="str">
        <f>IF(OR(AND(CB6="--",CD6=""),CB6=CD6),"--","x")</f>
        <v>--</v>
      </c>
      <c r="CT6" s="1686" t="str">
        <f>IF(OR(AND(CG6="--",CI6=""),CG6=CI6),"--","x")</f>
        <v>--</v>
      </c>
      <c r="CU6" s="1686" t="str">
        <f>IF(OR(AND(CL6="--",CN6=""),CL6=CN6),"--","x")</f>
        <v>x</v>
      </c>
    </row>
    <row r="7" spans="1:99">
      <c r="A7" s="309" t="s">
        <v>85</v>
      </c>
      <c r="B7" s="427" t="s">
        <v>86</v>
      </c>
      <c r="C7" s="1563" t="str">
        <f t="shared" si="0"/>
        <v>O</v>
      </c>
      <c r="D7" t="e">
        <f t="shared" si="1"/>
        <v>#N/A</v>
      </c>
      <c r="E7" s="1563">
        <f t="shared" si="2"/>
        <v>104</v>
      </c>
      <c r="F7">
        <f t="shared" si="3"/>
        <v>104</v>
      </c>
      <c r="G7" s="1160">
        <f t="shared" ref="G7:G71" si="63">IF(F7=E7,,1)</f>
        <v>0</v>
      </c>
      <c r="H7" s="1563" t="str">
        <f t="shared" si="4"/>
        <v>V</v>
      </c>
      <c r="I7" t="str">
        <f t="shared" si="5"/>
        <v>V</v>
      </c>
      <c r="J7" s="1160">
        <f t="shared" ref="J7:J71" si="64">IF(I7=H7,,IF(AND(H7="NV",I7=0),,1))</f>
        <v>0</v>
      </c>
      <c r="K7" s="1563">
        <f t="shared" si="6"/>
        <v>364.92</v>
      </c>
      <c r="L7">
        <f t="shared" si="7"/>
        <v>364.92</v>
      </c>
      <c r="M7" s="1160">
        <f t="shared" ref="M7:M71" si="65">IF(L7=K7,,1)</f>
        <v>0</v>
      </c>
      <c r="N7" s="1563">
        <f t="shared" si="8"/>
        <v>1.2E-4</v>
      </c>
      <c r="O7">
        <f t="shared" si="9"/>
        <v>1.2E-4</v>
      </c>
      <c r="P7" s="1160">
        <f t="shared" ref="P7:P71" si="66">IF(O7=N7,,IF(AND(N7="--",OR(O7="",O7=0)),,1))</f>
        <v>0</v>
      </c>
      <c r="Q7" s="1563">
        <f t="shared" si="10"/>
        <v>1.7000000000000001E-2</v>
      </c>
      <c r="R7">
        <f t="shared" si="11"/>
        <v>1.7000000000000001E-2</v>
      </c>
      <c r="S7" s="1160">
        <f t="shared" ref="S7:S71" si="67">IF(R7=Q7,,IF(AND(Q7="--",OR(R7="",R7=0)),,1))</f>
        <v>0</v>
      </c>
      <c r="T7" s="1563">
        <f t="shared" si="12"/>
        <v>4.3999999999999999E-5</v>
      </c>
      <c r="U7">
        <f t="shared" si="13"/>
        <v>4.3999999999999999E-5</v>
      </c>
      <c r="V7" s="1160">
        <f t="shared" ref="V7:V71" si="68">IF(U7=T7,,IF(AND(T7="--",OR(U7="",U7=0)),,1))</f>
        <v>0</v>
      </c>
      <c r="W7" s="1563">
        <f t="shared" si="14"/>
        <v>1.79885527392E-3</v>
      </c>
      <c r="X7">
        <f t="shared" si="15"/>
        <v>1.79885527392E-3</v>
      </c>
      <c r="Y7" s="1160">
        <f t="shared" ref="Y7:Y71" si="69">IF(X7=W7,,IF(AND(W7="--",OR(X7="",X7=0)),,1))</f>
        <v>0</v>
      </c>
      <c r="Z7" s="1563">
        <f t="shared" si="16"/>
        <v>82020</v>
      </c>
      <c r="AA7">
        <f t="shared" si="17"/>
        <v>82020</v>
      </c>
      <c r="AB7" s="1160">
        <f t="shared" ref="AB7:AB71" si="70">IF(AA7=Z7,,IF(AND(Z7="--",OR(AA7="",AA7=0)),,1))</f>
        <v>0</v>
      </c>
      <c r="AC7" s="1563">
        <f t="shared" si="18"/>
        <v>492.12</v>
      </c>
      <c r="AD7" t="str">
        <f t="shared" si="19"/>
        <v/>
      </c>
      <c r="AE7" s="1160">
        <f t="shared" ref="AE7:AE71" si="71">IF(AD7=AC7,,IF(AND(AC7="--",OR(AD7="",AD7=0)),,1))</f>
        <v>1</v>
      </c>
      <c r="AF7" s="1563">
        <f t="shared" si="20"/>
        <v>2.281156491601E-2</v>
      </c>
      <c r="AG7">
        <f t="shared" si="21"/>
        <v>2.281156491601E-2</v>
      </c>
      <c r="AH7" s="1160">
        <f t="shared" ref="AH7:AH71" si="72">IF(AG7=AF7,,1)</f>
        <v>0</v>
      </c>
      <c r="AI7" s="1563">
        <f t="shared" si="22"/>
        <v>5.8401655942800002E-6</v>
      </c>
      <c r="AJ7">
        <f t="shared" si="23"/>
        <v>5.8401655942800002E-6</v>
      </c>
      <c r="AK7" s="1160">
        <f t="shared" ref="AK7:AK71" si="73">IF(AJ7=AI7,,1)</f>
        <v>0</v>
      </c>
      <c r="AL7" s="1563">
        <f t="shared" si="24"/>
        <v>13615.593108000001</v>
      </c>
      <c r="AM7" t="e">
        <f t="shared" si="25"/>
        <v>#N/A</v>
      </c>
      <c r="AN7" s="1563">
        <f t="shared" si="26"/>
        <v>8.3677457891461877</v>
      </c>
      <c r="AO7" t="str">
        <f t="shared" si="27"/>
        <v/>
      </c>
      <c r="AP7" s="1160">
        <f t="shared" si="28"/>
        <v>1</v>
      </c>
      <c r="AQ7" s="1563">
        <f t="shared" si="29"/>
        <v>4.5168433470315454E-9</v>
      </c>
      <c r="AS7" s="1563">
        <f t="shared" si="30"/>
        <v>1716260.2407893832</v>
      </c>
      <c r="AU7" s="1563">
        <f t="shared" si="31"/>
        <v>1682931.6265747147</v>
      </c>
      <c r="AW7" s="1563">
        <f t="shared" si="32"/>
        <v>380136.79408998013</v>
      </c>
      <c r="AY7" s="1592">
        <f t="shared" si="33"/>
        <v>1</v>
      </c>
      <c r="AZ7" s="821">
        <f t="shared" si="34"/>
        <v>1</v>
      </c>
      <c r="BA7" s="1160">
        <f t="shared" ref="BA7:BA71" si="74">IF(AZ7=AY7,,IF(AND(AY7="--",OR(AZ7="",AZ7=0)),,1))</f>
        <v>0</v>
      </c>
      <c r="BB7" s="1592" t="str">
        <f t="shared" si="35"/>
        <v>--</v>
      </c>
      <c r="BC7" s="821" t="str">
        <f t="shared" si="36"/>
        <v/>
      </c>
      <c r="BD7" s="1160">
        <f t="shared" ref="BD7:BD71" si="75">IF(BC7=BB7,,IF(AND(BB7="--",OR(BC7="",BC7=0)),,1))</f>
        <v>0</v>
      </c>
      <c r="BE7" s="1592" t="str">
        <f t="shared" si="37"/>
        <v>No</v>
      </c>
      <c r="BF7" s="1592">
        <f t="shared" si="38"/>
        <v>0.29299999999999998</v>
      </c>
      <c r="BG7" s="821">
        <f t="shared" si="39"/>
        <v>0.29299999999999998</v>
      </c>
      <c r="BH7" s="1160">
        <f t="shared" ref="BH7:BH71" si="76">IF(BG7=BF7,,IF(AND(BF7="--",OR(BG7="",BG7=0)),,1))</f>
        <v>0</v>
      </c>
      <c r="BI7" s="1592">
        <f t="shared" si="40"/>
        <v>1</v>
      </c>
      <c r="BJ7" s="1592">
        <f t="shared" si="41"/>
        <v>2.15274755911009</v>
      </c>
      <c r="BK7" s="821">
        <f t="shared" si="42"/>
        <v>2.15274755911009</v>
      </c>
      <c r="BL7" s="1160">
        <f t="shared" ref="BL7:BL71" si="77">IF(BK7=BJ7,,IF(AND(BJ7="--",OR(BK7="",BK7=0)),,1))</f>
        <v>0</v>
      </c>
      <c r="BM7" s="1592">
        <f t="shared" si="43"/>
        <v>11.6252084690171</v>
      </c>
      <c r="BN7" s="821">
        <f t="shared" si="44"/>
        <v>11.6252084690171</v>
      </c>
      <c r="BO7" s="1160">
        <f t="shared" ref="BO7:BO71" si="78">IF(BN7=BM7,,IF(AND(BM7="--",OR(BN7="",BN7=0)),,1))</f>
        <v>0</v>
      </c>
      <c r="BP7" s="1592">
        <f t="shared" si="45"/>
        <v>47.726506161858701</v>
      </c>
      <c r="BQ7" s="821">
        <f t="shared" si="46"/>
        <v>47.726506161858701</v>
      </c>
      <c r="BR7" s="1160">
        <f t="shared" ref="BR7:BR71" si="79">IF(BQ7=BP7,,IF(AND(BP7="--",OR(BQ7="",BQ7=0)),,1))</f>
        <v>0</v>
      </c>
      <c r="BS7" s="1592" t="str">
        <f t="shared" ref="BS7:BS38" si="80">VLOOKUP($A7,Table_IP_2, MATCH("mut", heading_IP_2, 0), FALSE)</f>
        <v>--</v>
      </c>
      <c r="BT7" s="821">
        <f t="shared" ref="BT7:BT38" si="81">VLOOKUP($B7,Table_RSL, MATCH("mut", Heading_RSL, 0), FALSE)</f>
        <v>0</v>
      </c>
      <c r="BU7" s="1160">
        <f t="shared" ref="BU7:BU71" si="82">IF(AND(BT7="M",BS7="yes"),,IF(AND(BS7="--",OR(BT7="",BT7=0)),,1))</f>
        <v>0</v>
      </c>
      <c r="BW7" s="75">
        <f t="shared" si="47"/>
        <v>17</v>
      </c>
      <c r="BX7" s="75" t="str">
        <f t="shared" si="48"/>
        <v>IRIS 1991</v>
      </c>
      <c r="BY7" s="75">
        <f t="shared" si="49"/>
        <v>17</v>
      </c>
      <c r="BZ7" s="75" t="str">
        <f t="shared" si="50"/>
        <v>I</v>
      </c>
      <c r="CA7" s="1670" t="str">
        <f t="shared" ref="CA7:CA71" si="83">IF(AND(BW7="--",BY7=""),"--",IF(AND(BW7="--",BY7&lt;&gt;""),"R",IF(AND(BY7="",BW7&lt;&gt;"--"),"N",IF(BW7=BY7,"--",IF(BY7&gt;BW7,"&gt;","check")))))</f>
        <v>--</v>
      </c>
      <c r="CB7" s="75">
        <f t="shared" si="51"/>
        <v>4.8999999999999998E-3</v>
      </c>
      <c r="CC7" s="75" t="str">
        <f t="shared" si="52"/>
        <v>IRIS 1991</v>
      </c>
      <c r="CD7" s="75">
        <f t="shared" si="53"/>
        <v>4.8999999999999998E-3</v>
      </c>
      <c r="CE7" s="75" t="str">
        <f t="shared" si="54"/>
        <v>I</v>
      </c>
      <c r="CF7" s="1670" t="str">
        <f t="shared" ref="CF7:CF71" si="84">IF(AND(CB7="--",CD7=""),"--",IF(AND(CB7="--",CD7&lt;&gt;""),"R",IF(AND(CD7="",CB7&lt;&gt;"--"),"N",IF(CB7=CD7,"--",IF(CD7&gt;CB7,"&gt;","check")))))</f>
        <v>--</v>
      </c>
      <c r="CG7" s="75">
        <f t="shared" si="55"/>
        <v>3.0000000000000001E-5</v>
      </c>
      <c r="CH7" s="75" t="str">
        <f t="shared" si="56"/>
        <v>IRIS 1991</v>
      </c>
      <c r="CI7" s="75">
        <f t="shared" si="57"/>
        <v>3.0000000000000001E-5</v>
      </c>
      <c r="CJ7" s="75" t="str">
        <f t="shared" si="58"/>
        <v>I</v>
      </c>
      <c r="CK7" s="1670" t="str">
        <f t="shared" ref="CK7:CK71" si="85">IF(AND(CG7="--",CI7=""),"--",IF(AND(CG7="--",CI7&lt;&gt;""),"R",IF(AND(CI7="",CG7&lt;&gt;"--"),"N",IF(CG7=CI7,"--",IF(CI7&lt;CG7,"&lt;","check")))))</f>
        <v>--</v>
      </c>
      <c r="CL7" s="75" t="str">
        <f t="shared" si="59"/>
        <v>--</v>
      </c>
      <c r="CM7" s="75" t="str">
        <f t="shared" si="60"/>
        <v xml:space="preserve"> </v>
      </c>
      <c r="CN7" s="75" t="str">
        <f t="shared" si="61"/>
        <v/>
      </c>
      <c r="CO7" s="75" t="str">
        <f t="shared" si="62"/>
        <v/>
      </c>
      <c r="CP7" s="1670" t="str">
        <f t="shared" ref="CP7:CP71" si="86">IF(AND(CL7="--",CN7=""),"--",IF(AND(CL7="--",CN7&lt;&gt;""),"R",IF(AND(CN7="",CL7&lt;&gt;"--"),"N",IF(CL7=CN7,"--",IF(CN7&lt;CL7,"&lt;","check")))))</f>
        <v>--</v>
      </c>
      <c r="CR7" s="1686" t="str">
        <f t="shared" ref="CR7:CR71" si="87">IF(OR(AND(BW7="--",BY7=""),BW7=BY7),"--","x")</f>
        <v>--</v>
      </c>
      <c r="CS7" s="1686" t="str">
        <f t="shared" ref="CS7:CS71" si="88">IF(OR(AND(CB7="--",CD7=""),CB7=CD7),"--","x")</f>
        <v>--</v>
      </c>
      <c r="CT7" s="1686" t="str">
        <f t="shared" ref="CT7:CT71" si="89">IF(OR(AND(CG7="--",CI7=""),CG7=CI7),"--","x")</f>
        <v>--</v>
      </c>
      <c r="CU7" s="1686" t="str">
        <f t="shared" ref="CU7:CU71" si="90">IF(OR(AND(CL7="--",CN7=""),CL7=CN7),"--","x")</f>
        <v>--</v>
      </c>
    </row>
    <row r="8" spans="1:99">
      <c r="A8" s="309" t="s">
        <v>87</v>
      </c>
      <c r="B8" s="427" t="s">
        <v>88</v>
      </c>
      <c r="C8" s="1563" t="str">
        <f t="shared" si="0"/>
        <v>I</v>
      </c>
      <c r="D8" t="e">
        <f t="shared" si="1"/>
        <v>#N/A</v>
      </c>
      <c r="E8" s="1563">
        <f t="shared" si="2"/>
        <v>630</v>
      </c>
      <c r="F8">
        <f t="shared" si="3"/>
        <v>630</v>
      </c>
      <c r="G8" s="1160">
        <f t="shared" si="63"/>
        <v>0</v>
      </c>
      <c r="H8" s="1563" t="str">
        <f t="shared" si="4"/>
        <v>NV</v>
      </c>
      <c r="I8">
        <f t="shared" si="5"/>
        <v>0</v>
      </c>
      <c r="J8" s="1160">
        <f t="shared" si="64"/>
        <v>0</v>
      </c>
      <c r="K8" s="1563">
        <f t="shared" si="6"/>
        <v>121.76</v>
      </c>
      <c r="L8">
        <f t="shared" si="7"/>
        <v>121.76</v>
      </c>
      <c r="M8" s="1160">
        <f t="shared" si="65"/>
        <v>0</v>
      </c>
      <c r="N8" s="1563" t="str">
        <f t="shared" si="8"/>
        <v>--</v>
      </c>
      <c r="O8">
        <f t="shared" si="9"/>
        <v>0</v>
      </c>
      <c r="P8" s="1160">
        <f t="shared" si="66"/>
        <v>0</v>
      </c>
      <c r="Q8" s="1563" t="str">
        <f t="shared" si="10"/>
        <v>--</v>
      </c>
      <c r="R8" t="str">
        <f t="shared" si="11"/>
        <v/>
      </c>
      <c r="S8" s="1160">
        <f t="shared" si="67"/>
        <v>0</v>
      </c>
      <c r="T8" s="1563" t="str">
        <f t="shared" si="12"/>
        <v>--</v>
      </c>
      <c r="U8" t="str">
        <f t="shared" si="13"/>
        <v/>
      </c>
      <c r="V8" s="1160">
        <f t="shared" si="68"/>
        <v>0</v>
      </c>
      <c r="W8" s="1563" t="str">
        <f t="shared" si="14"/>
        <v>--</v>
      </c>
      <c r="X8" t="str">
        <f t="shared" si="15"/>
        <v/>
      </c>
      <c r="Y8" s="1160">
        <f t="shared" si="69"/>
        <v>0</v>
      </c>
      <c r="Z8" s="1563" t="str">
        <f t="shared" si="16"/>
        <v>--</v>
      </c>
      <c r="AA8" t="str">
        <f t="shared" si="17"/>
        <v/>
      </c>
      <c r="AB8" s="1160">
        <f t="shared" si="70"/>
        <v>0</v>
      </c>
      <c r="AC8" s="1563">
        <f t="shared" si="18"/>
        <v>45</v>
      </c>
      <c r="AD8">
        <f t="shared" si="19"/>
        <v>45</v>
      </c>
      <c r="AE8" s="1160">
        <f t="shared" si="71"/>
        <v>0</v>
      </c>
      <c r="AF8" s="1563">
        <f t="shared" si="20"/>
        <v>0.1348237704145</v>
      </c>
      <c r="AG8">
        <f t="shared" si="21"/>
        <v>0.1348237704145</v>
      </c>
      <c r="AH8" s="1160">
        <f t="shared" si="72"/>
        <v>0</v>
      </c>
      <c r="AI8" s="1563">
        <f t="shared" si="22"/>
        <v>2.6597135470000001E-5</v>
      </c>
      <c r="AJ8">
        <f t="shared" si="23"/>
        <v>2.6597135470000001E-5</v>
      </c>
      <c r="AK8" s="1160">
        <f t="shared" si="73"/>
        <v>0</v>
      </c>
      <c r="AL8" s="1563" t="str">
        <f t="shared" si="24"/>
        <v>--</v>
      </c>
      <c r="AM8" t="e">
        <f t="shared" si="25"/>
        <v>#N/A</v>
      </c>
      <c r="AN8" s="1563" t="str">
        <f t="shared" si="26"/>
        <v>--</v>
      </c>
      <c r="AO8" t="str">
        <f t="shared" si="27"/>
        <v/>
      </c>
      <c r="AP8" s="1160">
        <f t="shared" si="28"/>
        <v>1</v>
      </c>
      <c r="AQ8" s="1563" t="str">
        <f t="shared" si="29"/>
        <v>--</v>
      </c>
      <c r="AS8" s="1563" t="str">
        <f t="shared" si="30"/>
        <v>--</v>
      </c>
      <c r="AU8" s="1563" t="str">
        <f t="shared" si="31"/>
        <v>--</v>
      </c>
      <c r="AW8" s="1563" t="str">
        <f t="shared" si="32"/>
        <v>--</v>
      </c>
      <c r="AY8" s="1592">
        <f t="shared" si="33"/>
        <v>0.15</v>
      </c>
      <c r="AZ8" s="821">
        <f t="shared" si="34"/>
        <v>0.15</v>
      </c>
      <c r="BA8" s="1160">
        <f t="shared" si="74"/>
        <v>0</v>
      </c>
      <c r="BB8" s="1592" t="str">
        <f t="shared" si="35"/>
        <v>--</v>
      </c>
      <c r="BC8" s="821" t="str">
        <f t="shared" si="36"/>
        <v/>
      </c>
      <c r="BD8" s="1160">
        <f t="shared" si="75"/>
        <v>0</v>
      </c>
      <c r="BE8" s="1592" t="str">
        <f t="shared" si="37"/>
        <v>Yes</v>
      </c>
      <c r="BF8" s="1592">
        <f t="shared" si="38"/>
        <v>1E-3</v>
      </c>
      <c r="BG8" s="821">
        <f t="shared" si="39"/>
        <v>1E-3</v>
      </c>
      <c r="BH8" s="1160">
        <f t="shared" si="76"/>
        <v>0</v>
      </c>
      <c r="BI8" s="1592">
        <f t="shared" si="40"/>
        <v>1</v>
      </c>
      <c r="BJ8" s="1592">
        <f t="shared" si="41"/>
        <v>4.2440351458899999E-3</v>
      </c>
      <c r="BK8" s="821">
        <f t="shared" si="42"/>
        <v>4.2440351458899999E-3</v>
      </c>
      <c r="BL8" s="1160">
        <f t="shared" si="77"/>
        <v>0</v>
      </c>
      <c r="BM8" s="1592">
        <f t="shared" si="43"/>
        <v>0.50548089946876995</v>
      </c>
      <c r="BN8" s="821">
        <f t="shared" si="44"/>
        <v>0.50548089946876995</v>
      </c>
      <c r="BO8" s="1160">
        <f t="shared" si="78"/>
        <v>0</v>
      </c>
      <c r="BP8" s="1592">
        <f t="shared" si="45"/>
        <v>1.2131541587250401</v>
      </c>
      <c r="BQ8" s="821">
        <f t="shared" si="46"/>
        <v>1.2131541587250401</v>
      </c>
      <c r="BR8" s="1160">
        <f t="shared" si="79"/>
        <v>0</v>
      </c>
      <c r="BS8" s="1592" t="str">
        <f t="shared" si="80"/>
        <v>--</v>
      </c>
      <c r="BT8" s="821">
        <f t="shared" si="81"/>
        <v>0</v>
      </c>
      <c r="BU8" s="1160">
        <f t="shared" si="82"/>
        <v>0</v>
      </c>
      <c r="BW8" s="75" t="str">
        <f t="shared" si="47"/>
        <v>--</v>
      </c>
      <c r="BX8" s="75" t="str">
        <f t="shared" si="48"/>
        <v xml:space="preserve"> </v>
      </c>
      <c r="BY8" s="75" t="str">
        <f t="shared" si="49"/>
        <v/>
      </c>
      <c r="BZ8" s="75" t="str">
        <f t="shared" si="50"/>
        <v/>
      </c>
      <c r="CA8" s="1670" t="str">
        <f t="shared" si="83"/>
        <v>--</v>
      </c>
      <c r="CB8" s="75" t="str">
        <f t="shared" si="51"/>
        <v>--</v>
      </c>
      <c r="CC8" s="75" t="str">
        <f t="shared" si="52"/>
        <v xml:space="preserve"> </v>
      </c>
      <c r="CD8" s="75" t="str">
        <f t="shared" si="53"/>
        <v/>
      </c>
      <c r="CE8" s="75" t="str">
        <f t="shared" si="54"/>
        <v/>
      </c>
      <c r="CF8" s="1670" t="str">
        <f t="shared" si="84"/>
        <v>--</v>
      </c>
      <c r="CG8" s="75">
        <f t="shared" si="55"/>
        <v>4.0000000000000002E-4</v>
      </c>
      <c r="CH8" s="75" t="str">
        <f t="shared" si="56"/>
        <v>IRIS 1991</v>
      </c>
      <c r="CI8" s="75">
        <f t="shared" si="57"/>
        <v>4.0000000000000002E-4</v>
      </c>
      <c r="CJ8" s="75" t="str">
        <f t="shared" si="58"/>
        <v>I</v>
      </c>
      <c r="CK8" s="1670" t="str">
        <f t="shared" si="85"/>
        <v>--</v>
      </c>
      <c r="CL8" s="75">
        <f t="shared" si="59"/>
        <v>0.3</v>
      </c>
      <c r="CM8" s="75" t="str">
        <f t="shared" si="60"/>
        <v>ATSDR 2019</v>
      </c>
      <c r="CN8" s="75">
        <f t="shared" si="61"/>
        <v>0.3</v>
      </c>
      <c r="CO8" s="75" t="str">
        <f t="shared" si="62"/>
        <v>A</v>
      </c>
      <c r="CP8" s="1670" t="str">
        <f t="shared" si="86"/>
        <v>--</v>
      </c>
      <c r="CR8" s="1686" t="str">
        <f t="shared" si="87"/>
        <v>--</v>
      </c>
      <c r="CS8" s="1686" t="str">
        <f t="shared" si="88"/>
        <v>--</v>
      </c>
      <c r="CT8" s="1686" t="str">
        <f t="shared" si="89"/>
        <v>--</v>
      </c>
      <c r="CU8" s="1686" t="str">
        <f t="shared" si="90"/>
        <v>--</v>
      </c>
    </row>
    <row r="9" spans="1:99">
      <c r="A9" s="309" t="s">
        <v>89</v>
      </c>
      <c r="B9" s="427" t="s">
        <v>90</v>
      </c>
      <c r="C9" s="1563" t="str">
        <f t="shared" si="0"/>
        <v>I</v>
      </c>
      <c r="D9" t="e">
        <f t="shared" si="1"/>
        <v>#N/A</v>
      </c>
      <c r="E9" s="1563">
        <f t="shared" si="2"/>
        <v>270</v>
      </c>
      <c r="F9">
        <f t="shared" si="3"/>
        <v>270</v>
      </c>
      <c r="G9" s="1160">
        <f t="shared" si="63"/>
        <v>0</v>
      </c>
      <c r="H9" s="1563" t="str">
        <f t="shared" si="4"/>
        <v>NV</v>
      </c>
      <c r="I9">
        <f t="shared" si="5"/>
        <v>0</v>
      </c>
      <c r="J9" s="1160">
        <f t="shared" si="64"/>
        <v>0</v>
      </c>
      <c r="K9" s="1563">
        <f t="shared" si="6"/>
        <v>74.921999999999997</v>
      </c>
      <c r="L9">
        <f t="shared" si="7"/>
        <v>74.921999999999997</v>
      </c>
      <c r="M9" s="1160">
        <f t="shared" si="65"/>
        <v>0</v>
      </c>
      <c r="N9" s="1563" t="str">
        <f t="shared" si="8"/>
        <v>--</v>
      </c>
      <c r="O9" t="str">
        <f t="shared" si="9"/>
        <v/>
      </c>
      <c r="P9" s="1160">
        <f t="shared" si="66"/>
        <v>0</v>
      </c>
      <c r="Q9" s="1563" t="str">
        <f t="shared" si="10"/>
        <v>--</v>
      </c>
      <c r="R9" t="str">
        <f t="shared" si="11"/>
        <v/>
      </c>
      <c r="S9" s="1160">
        <f t="shared" si="67"/>
        <v>0</v>
      </c>
      <c r="T9" s="1563" t="str">
        <f t="shared" si="12"/>
        <v>--</v>
      </c>
      <c r="U9" t="str">
        <f t="shared" si="13"/>
        <v/>
      </c>
      <c r="V9" s="1160">
        <f t="shared" si="68"/>
        <v>0</v>
      </c>
      <c r="W9" s="1563" t="str">
        <f t="shared" si="14"/>
        <v>--</v>
      </c>
      <c r="X9" t="str">
        <f t="shared" si="15"/>
        <v/>
      </c>
      <c r="Y9" s="1160">
        <f t="shared" si="69"/>
        <v>0</v>
      </c>
      <c r="Z9" s="1563" t="str">
        <f t="shared" si="16"/>
        <v>--</v>
      </c>
      <c r="AA9" t="str">
        <f t="shared" si="17"/>
        <v/>
      </c>
      <c r="AB9" s="1160">
        <f t="shared" si="70"/>
        <v>0</v>
      </c>
      <c r="AC9" s="1563">
        <f t="shared" si="18"/>
        <v>29</v>
      </c>
      <c r="AD9">
        <f t="shared" si="19"/>
        <v>29</v>
      </c>
      <c r="AE9" s="1160">
        <f t="shared" si="71"/>
        <v>0</v>
      </c>
      <c r="AF9" s="1563">
        <f t="shared" si="20"/>
        <v>0.17852714281411</v>
      </c>
      <c r="AG9">
        <f t="shared" si="21"/>
        <v>0.17852714281411</v>
      </c>
      <c r="AH9" s="1160">
        <f t="shared" si="72"/>
        <v>0</v>
      </c>
      <c r="AI9" s="1563">
        <f t="shared" si="22"/>
        <v>2.9554512650000001E-5</v>
      </c>
      <c r="AJ9">
        <f t="shared" si="23"/>
        <v>2.9554512650000001E-5</v>
      </c>
      <c r="AK9" s="1160">
        <f t="shared" si="73"/>
        <v>0</v>
      </c>
      <c r="AL9" s="1563" t="str">
        <f t="shared" si="24"/>
        <v>--</v>
      </c>
      <c r="AM9" t="e">
        <f t="shared" si="25"/>
        <v>#N/A</v>
      </c>
      <c r="AN9" s="1563" t="str">
        <f t="shared" si="26"/>
        <v>--</v>
      </c>
      <c r="AO9" t="str">
        <f t="shared" si="27"/>
        <v/>
      </c>
      <c r="AP9" s="1160">
        <f t="shared" si="28"/>
        <v>1</v>
      </c>
      <c r="AQ9" s="1563" t="str">
        <f t="shared" si="29"/>
        <v>--</v>
      </c>
      <c r="AS9" s="1563" t="str">
        <f t="shared" si="30"/>
        <v>--</v>
      </c>
      <c r="AU9" s="1563" t="str">
        <f t="shared" si="31"/>
        <v>--</v>
      </c>
      <c r="AW9" s="1563" t="str">
        <f t="shared" si="32"/>
        <v>--</v>
      </c>
      <c r="AY9" s="1592">
        <f t="shared" si="33"/>
        <v>1</v>
      </c>
      <c r="AZ9" s="821">
        <f t="shared" si="34"/>
        <v>1</v>
      </c>
      <c r="BA9" s="1160">
        <f t="shared" si="74"/>
        <v>0</v>
      </c>
      <c r="BB9" s="1592">
        <f t="shared" si="35"/>
        <v>0.03</v>
      </c>
      <c r="BC9" s="821">
        <f t="shared" si="36"/>
        <v>0.03</v>
      </c>
      <c r="BD9" s="1160">
        <f t="shared" si="75"/>
        <v>0</v>
      </c>
      <c r="BE9" s="1592" t="str">
        <f t="shared" si="37"/>
        <v>Yes</v>
      </c>
      <c r="BF9" s="1592">
        <f t="shared" si="38"/>
        <v>1E-3</v>
      </c>
      <c r="BG9" s="821">
        <f t="shared" si="39"/>
        <v>1E-3</v>
      </c>
      <c r="BH9" s="1160">
        <f t="shared" si="76"/>
        <v>0</v>
      </c>
      <c r="BI9" s="1592">
        <f t="shared" si="40"/>
        <v>1</v>
      </c>
      <c r="BJ9" s="1592">
        <f t="shared" si="41"/>
        <v>3.32913443626E-3</v>
      </c>
      <c r="BK9" s="821">
        <f t="shared" si="42"/>
        <v>3.32913443626E-3</v>
      </c>
      <c r="BL9" s="1160">
        <f t="shared" si="77"/>
        <v>0</v>
      </c>
      <c r="BM9" s="1592">
        <f t="shared" si="43"/>
        <v>0.27631976420125998</v>
      </c>
      <c r="BN9" s="821">
        <f t="shared" si="44"/>
        <v>0.27631976420125998</v>
      </c>
      <c r="BO9" s="1160">
        <f t="shared" si="78"/>
        <v>0</v>
      </c>
      <c r="BP9" s="1592">
        <f t="shared" si="45"/>
        <v>0.66316743408303003</v>
      </c>
      <c r="BQ9" s="821">
        <f t="shared" si="46"/>
        <v>0.66316743408303003</v>
      </c>
      <c r="BR9" s="1160">
        <f t="shared" si="79"/>
        <v>0</v>
      </c>
      <c r="BS9" s="1592" t="str">
        <f t="shared" si="80"/>
        <v>--</v>
      </c>
      <c r="BT9" s="821">
        <f t="shared" si="81"/>
        <v>0</v>
      </c>
      <c r="BU9" s="1160">
        <f t="shared" si="82"/>
        <v>0</v>
      </c>
      <c r="BW9" s="75">
        <f t="shared" si="47"/>
        <v>32</v>
      </c>
      <c r="BX9" s="75" t="str">
        <f t="shared" si="48"/>
        <v>IRIS 2025</v>
      </c>
      <c r="BY9" s="75">
        <f t="shared" si="49"/>
        <v>1.5</v>
      </c>
      <c r="BZ9" s="75" t="str">
        <f t="shared" si="50"/>
        <v>I</v>
      </c>
      <c r="CA9" s="1671" t="str">
        <f t="shared" si="83"/>
        <v>check</v>
      </c>
      <c r="CB9" s="75">
        <f t="shared" si="51"/>
        <v>4.3E-3</v>
      </c>
      <c r="CC9" s="75" t="str">
        <f t="shared" si="52"/>
        <v>IRIS 1995</v>
      </c>
      <c r="CD9" s="75">
        <f t="shared" si="53"/>
        <v>4.3E-3</v>
      </c>
      <c r="CE9" s="75" t="str">
        <f t="shared" si="54"/>
        <v>I</v>
      </c>
      <c r="CF9" s="1670" t="str">
        <f t="shared" si="84"/>
        <v>--</v>
      </c>
      <c r="CG9" s="75">
        <f t="shared" si="55"/>
        <v>3.4999999999999999E-6</v>
      </c>
      <c r="CH9" s="75" t="str">
        <f t="shared" si="56"/>
        <v>OEHHA 2008</v>
      </c>
      <c r="CI9" s="75">
        <f t="shared" si="57"/>
        <v>2.9999999999999997E-4</v>
      </c>
      <c r="CJ9" s="75" t="str">
        <f t="shared" si="58"/>
        <v>I</v>
      </c>
      <c r="CK9" s="1671" t="str">
        <f t="shared" si="85"/>
        <v>check</v>
      </c>
      <c r="CL9" s="75">
        <f t="shared" si="59"/>
        <v>1.4999999999999999E-2</v>
      </c>
      <c r="CM9" s="75" t="str">
        <f t="shared" si="60"/>
        <v>OEHHA 2008</v>
      </c>
      <c r="CN9" s="75">
        <f t="shared" si="61"/>
        <v>1.5000000000000001E-2</v>
      </c>
      <c r="CO9" s="75" t="str">
        <f t="shared" si="62"/>
        <v>C</v>
      </c>
      <c r="CP9" s="1670" t="str">
        <f t="shared" si="86"/>
        <v>--</v>
      </c>
      <c r="CR9" s="1686" t="str">
        <f t="shared" si="87"/>
        <v>x</v>
      </c>
      <c r="CS9" s="1686" t="str">
        <f t="shared" si="88"/>
        <v>--</v>
      </c>
      <c r="CT9" s="1686" t="str">
        <f t="shared" si="89"/>
        <v>x</v>
      </c>
      <c r="CU9" s="1686" t="str">
        <f t="shared" si="90"/>
        <v>--</v>
      </c>
    </row>
    <row r="10" spans="1:99">
      <c r="A10" s="309" t="s">
        <v>91</v>
      </c>
      <c r="B10" s="427" t="s">
        <v>92</v>
      </c>
      <c r="C10" s="1563" t="str">
        <f t="shared" si="0"/>
        <v>I</v>
      </c>
      <c r="D10" t="e">
        <f t="shared" si="1"/>
        <v>#N/A</v>
      </c>
      <c r="E10" s="1563">
        <f t="shared" si="2"/>
        <v>710</v>
      </c>
      <c r="F10">
        <f t="shared" si="3"/>
        <v>710</v>
      </c>
      <c r="G10" s="1160">
        <f t="shared" si="63"/>
        <v>0</v>
      </c>
      <c r="H10" s="1563" t="str">
        <f t="shared" si="4"/>
        <v>NV</v>
      </c>
      <c r="I10">
        <f t="shared" si="5"/>
        <v>0</v>
      </c>
      <c r="J10" s="1160">
        <f t="shared" si="64"/>
        <v>0</v>
      </c>
      <c r="K10" s="1563">
        <f t="shared" si="6"/>
        <v>137.33000000000001</v>
      </c>
      <c r="L10">
        <f t="shared" si="7"/>
        <v>137.33000000000001</v>
      </c>
      <c r="M10" s="1160">
        <f t="shared" si="65"/>
        <v>0</v>
      </c>
      <c r="N10" s="1563" t="str">
        <f t="shared" si="8"/>
        <v>--</v>
      </c>
      <c r="O10" t="str">
        <f t="shared" si="9"/>
        <v/>
      </c>
      <c r="P10" s="1160">
        <f t="shared" si="66"/>
        <v>0</v>
      </c>
      <c r="Q10" s="1563" t="str">
        <f t="shared" si="10"/>
        <v>--</v>
      </c>
      <c r="R10" t="str">
        <f t="shared" si="11"/>
        <v/>
      </c>
      <c r="S10" s="1160">
        <f t="shared" si="67"/>
        <v>0</v>
      </c>
      <c r="T10" s="1563" t="str">
        <f t="shared" si="12"/>
        <v>--</v>
      </c>
      <c r="U10" t="str">
        <f t="shared" si="13"/>
        <v/>
      </c>
      <c r="V10" s="1160">
        <f t="shared" si="68"/>
        <v>0</v>
      </c>
      <c r="W10" s="1563" t="str">
        <f t="shared" si="14"/>
        <v>--</v>
      </c>
      <c r="X10" t="str">
        <f t="shared" si="15"/>
        <v/>
      </c>
      <c r="Y10" s="1160">
        <f t="shared" si="69"/>
        <v>0</v>
      </c>
      <c r="Z10" s="1563" t="str">
        <f t="shared" si="16"/>
        <v>--</v>
      </c>
      <c r="AA10" t="str">
        <f t="shared" si="17"/>
        <v/>
      </c>
      <c r="AB10" s="1160">
        <f t="shared" si="70"/>
        <v>0</v>
      </c>
      <c r="AC10" s="1563">
        <f t="shared" si="18"/>
        <v>41</v>
      </c>
      <c r="AD10">
        <f t="shared" si="19"/>
        <v>41</v>
      </c>
      <c r="AE10" s="1160">
        <f t="shared" si="71"/>
        <v>0</v>
      </c>
      <c r="AF10" s="1563">
        <f t="shared" si="20"/>
        <v>9.4060025145760007E-2</v>
      </c>
      <c r="AG10">
        <f t="shared" si="21"/>
        <v>9.4060025145760007E-2</v>
      </c>
      <c r="AH10" s="1160">
        <f t="shared" si="72"/>
        <v>0</v>
      </c>
      <c r="AI10" s="1563">
        <f t="shared" si="22"/>
        <v>1.7133167540000001E-5</v>
      </c>
      <c r="AJ10">
        <f t="shared" si="23"/>
        <v>1.7133167540000001E-5</v>
      </c>
      <c r="AK10" s="1160">
        <f t="shared" si="73"/>
        <v>0</v>
      </c>
      <c r="AL10" s="1563" t="str">
        <f t="shared" si="24"/>
        <v>--</v>
      </c>
      <c r="AM10" t="e">
        <f t="shared" si="25"/>
        <v>#N/A</v>
      </c>
      <c r="AN10" s="1563" t="str">
        <f t="shared" si="26"/>
        <v>--</v>
      </c>
      <c r="AO10" t="str">
        <f t="shared" si="27"/>
        <v/>
      </c>
      <c r="AP10" s="1160">
        <f t="shared" si="28"/>
        <v>1</v>
      </c>
      <c r="AQ10" s="1563" t="str">
        <f t="shared" si="29"/>
        <v>--</v>
      </c>
      <c r="AS10" s="1563" t="str">
        <f t="shared" si="30"/>
        <v>--</v>
      </c>
      <c r="AU10" s="1563" t="str">
        <f t="shared" si="31"/>
        <v>--</v>
      </c>
      <c r="AW10" s="1563" t="str">
        <f t="shared" si="32"/>
        <v>--</v>
      </c>
      <c r="AY10" s="1592">
        <f t="shared" si="33"/>
        <v>7.0000000000000007E-2</v>
      </c>
      <c r="AZ10" s="821">
        <f t="shared" si="34"/>
        <v>7.0000000000000007E-2</v>
      </c>
      <c r="BA10" s="1160">
        <f t="shared" si="74"/>
        <v>0</v>
      </c>
      <c r="BB10" s="1592" t="str">
        <f t="shared" si="35"/>
        <v>--</v>
      </c>
      <c r="BC10" s="821" t="str">
        <f t="shared" si="36"/>
        <v/>
      </c>
      <c r="BD10" s="1160">
        <f t="shared" si="75"/>
        <v>0</v>
      </c>
      <c r="BE10" s="1592" t="str">
        <f t="shared" si="37"/>
        <v>Yes</v>
      </c>
      <c r="BF10" s="1592">
        <f t="shared" si="38"/>
        <v>1E-3</v>
      </c>
      <c r="BG10" s="821">
        <f t="shared" si="39"/>
        <v>1E-3</v>
      </c>
      <c r="BH10" s="1160">
        <f t="shared" si="76"/>
        <v>0</v>
      </c>
      <c r="BI10" s="1592">
        <f t="shared" si="40"/>
        <v>1</v>
      </c>
      <c r="BJ10" s="1592">
        <f t="shared" si="41"/>
        <v>4.5072262820299996E-3</v>
      </c>
      <c r="BK10" s="821">
        <f t="shared" si="42"/>
        <v>4.5072262820299996E-3</v>
      </c>
      <c r="BL10" s="1160">
        <f t="shared" si="77"/>
        <v>0</v>
      </c>
      <c r="BM10" s="1592">
        <f t="shared" si="43"/>
        <v>0.61786948865683999</v>
      </c>
      <c r="BN10" s="821">
        <f t="shared" si="44"/>
        <v>0.61786948865683999</v>
      </c>
      <c r="BO10" s="1160">
        <f t="shared" si="78"/>
        <v>0</v>
      </c>
      <c r="BP10" s="1592">
        <f t="shared" si="45"/>
        <v>1.4828867727764099</v>
      </c>
      <c r="BQ10" s="821">
        <f t="shared" si="46"/>
        <v>1.4828867727764099</v>
      </c>
      <c r="BR10" s="1160">
        <f t="shared" si="79"/>
        <v>0</v>
      </c>
      <c r="BS10" s="1592" t="str">
        <f t="shared" si="80"/>
        <v>--</v>
      </c>
      <c r="BT10" s="821">
        <f t="shared" si="81"/>
        <v>0</v>
      </c>
      <c r="BU10" s="1160">
        <f t="shared" si="82"/>
        <v>0</v>
      </c>
      <c r="BW10" s="75" t="str">
        <f t="shared" si="47"/>
        <v>--</v>
      </c>
      <c r="BX10" s="75" t="str">
        <f t="shared" si="48"/>
        <v xml:space="preserve"> </v>
      </c>
      <c r="BY10" s="75" t="str">
        <f t="shared" si="49"/>
        <v/>
      </c>
      <c r="BZ10" s="75" t="str">
        <f t="shared" si="50"/>
        <v/>
      </c>
      <c r="CA10" s="1670" t="str">
        <f t="shared" si="83"/>
        <v>--</v>
      </c>
      <c r="CB10" s="75" t="str">
        <f t="shared" si="51"/>
        <v>--</v>
      </c>
      <c r="CC10" s="75" t="str">
        <f t="shared" si="52"/>
        <v xml:space="preserve"> </v>
      </c>
      <c r="CD10" s="75" t="str">
        <f t="shared" si="53"/>
        <v/>
      </c>
      <c r="CE10" s="75" t="str">
        <f t="shared" si="54"/>
        <v/>
      </c>
      <c r="CF10" s="1670" t="str">
        <f t="shared" si="84"/>
        <v>--</v>
      </c>
      <c r="CG10" s="75">
        <f t="shared" si="55"/>
        <v>0.2</v>
      </c>
      <c r="CH10" s="75" t="str">
        <f t="shared" si="56"/>
        <v>IRIS 2005</v>
      </c>
      <c r="CI10" s="75">
        <f t="shared" si="57"/>
        <v>0.2</v>
      </c>
      <c r="CJ10" s="75" t="str">
        <f t="shared" si="58"/>
        <v>I</v>
      </c>
      <c r="CK10" s="1670" t="str">
        <f t="shared" si="85"/>
        <v>--</v>
      </c>
      <c r="CL10" s="75">
        <f t="shared" si="59"/>
        <v>0.5</v>
      </c>
      <c r="CM10" s="75" t="str">
        <f t="shared" si="60"/>
        <v>HEAST 1997</v>
      </c>
      <c r="CN10" s="75">
        <f t="shared" si="61"/>
        <v>0.5</v>
      </c>
      <c r="CO10" s="75" t="str">
        <f t="shared" si="62"/>
        <v>H</v>
      </c>
      <c r="CP10" s="1670" t="str">
        <f t="shared" si="86"/>
        <v>--</v>
      </c>
      <c r="CR10" s="1686" t="str">
        <f t="shared" si="87"/>
        <v>--</v>
      </c>
      <c r="CS10" s="1686" t="str">
        <f t="shared" si="88"/>
        <v>--</v>
      </c>
      <c r="CT10" s="1686" t="str">
        <f t="shared" si="89"/>
        <v>--</v>
      </c>
      <c r="CU10" s="1686" t="str">
        <f t="shared" si="90"/>
        <v>--</v>
      </c>
    </row>
    <row r="11" spans="1:99">
      <c r="A11" s="309" t="s">
        <v>93</v>
      </c>
      <c r="B11" s="427" t="s">
        <v>94</v>
      </c>
      <c r="C11" s="1563" t="str">
        <f t="shared" si="0"/>
        <v>O</v>
      </c>
      <c r="D11" t="e">
        <f t="shared" si="1"/>
        <v>#N/A</v>
      </c>
      <c r="E11" s="1563">
        <f t="shared" si="2"/>
        <v>5.5</v>
      </c>
      <c r="F11">
        <f t="shared" si="3"/>
        <v>5.5</v>
      </c>
      <c r="G11" s="1160">
        <f t="shared" si="63"/>
        <v>0</v>
      </c>
      <c r="H11" s="1563" t="str">
        <f t="shared" si="4"/>
        <v>V</v>
      </c>
      <c r="I11" t="str">
        <f t="shared" si="5"/>
        <v>V</v>
      </c>
      <c r="J11" s="1160">
        <f t="shared" si="64"/>
        <v>0</v>
      </c>
      <c r="K11" s="1563">
        <f t="shared" si="6"/>
        <v>78.114999999999995</v>
      </c>
      <c r="L11">
        <f t="shared" si="7"/>
        <v>78.114999999999995</v>
      </c>
      <c r="M11" s="1160">
        <f t="shared" si="65"/>
        <v>0</v>
      </c>
      <c r="N11" s="1563">
        <f t="shared" si="8"/>
        <v>94.8</v>
      </c>
      <c r="O11">
        <f t="shared" si="9"/>
        <v>94.8</v>
      </c>
      <c r="P11" s="1160">
        <f t="shared" si="66"/>
        <v>0</v>
      </c>
      <c r="Q11" s="1563">
        <f t="shared" si="10"/>
        <v>1790</v>
      </c>
      <c r="R11">
        <f t="shared" si="11"/>
        <v>1790</v>
      </c>
      <c r="S11" s="1160">
        <f t="shared" si="67"/>
        <v>0</v>
      </c>
      <c r="T11" s="1563">
        <f t="shared" si="12"/>
        <v>5.5500000000000002E-3</v>
      </c>
      <c r="U11">
        <f t="shared" si="13"/>
        <v>5.5500000000000002E-3</v>
      </c>
      <c r="V11" s="1160">
        <f t="shared" si="68"/>
        <v>0</v>
      </c>
      <c r="W11" s="1563">
        <f t="shared" si="14"/>
        <v>0.22690106295994</v>
      </c>
      <c r="X11">
        <f t="shared" si="15"/>
        <v>0.22690106295994</v>
      </c>
      <c r="Y11" s="1160">
        <f t="shared" si="69"/>
        <v>0</v>
      </c>
      <c r="Z11" s="1563">
        <f t="shared" si="16"/>
        <v>145.80000000000001</v>
      </c>
      <c r="AA11">
        <f t="shared" si="17"/>
        <v>145.80000000000001</v>
      </c>
      <c r="AB11" s="1160">
        <f t="shared" si="70"/>
        <v>0</v>
      </c>
      <c r="AC11" s="1563">
        <f t="shared" si="18"/>
        <v>0.87480000000000013</v>
      </c>
      <c r="AD11" t="str">
        <f t="shared" si="19"/>
        <v/>
      </c>
      <c r="AE11" s="1160">
        <f t="shared" si="71"/>
        <v>1</v>
      </c>
      <c r="AF11" s="1563">
        <f t="shared" si="20"/>
        <v>8.9534039512060001E-2</v>
      </c>
      <c r="AG11">
        <f t="shared" si="21"/>
        <v>8.9534039512060001E-2</v>
      </c>
      <c r="AH11" s="1160">
        <f t="shared" si="72"/>
        <v>0</v>
      </c>
      <c r="AI11" s="1563">
        <f t="shared" si="22"/>
        <v>1.026318746E-5</v>
      </c>
      <c r="AJ11">
        <f t="shared" si="23"/>
        <v>1.026318746E-5</v>
      </c>
      <c r="AK11" s="1160">
        <f t="shared" si="73"/>
        <v>0</v>
      </c>
      <c r="AL11" s="1563">
        <f t="shared" si="24"/>
        <v>58.651650000000004</v>
      </c>
      <c r="AM11" t="e">
        <f t="shared" si="25"/>
        <v>#N/A</v>
      </c>
      <c r="AN11" s="1563">
        <f t="shared" si="26"/>
        <v>1821.7800652277899</v>
      </c>
      <c r="AO11">
        <f t="shared" si="27"/>
        <v>1820</v>
      </c>
      <c r="AP11" s="1160">
        <f t="shared" si="28"/>
        <v>1</v>
      </c>
      <c r="AQ11" s="1563">
        <f t="shared" si="29"/>
        <v>1.0635261651024616E-3</v>
      </c>
      <c r="AS11" s="1563">
        <f t="shared" si="30"/>
        <v>3536.9308289272244</v>
      </c>
      <c r="AU11" s="1563">
        <f t="shared" si="31"/>
        <v>3468.2460221015049</v>
      </c>
      <c r="AW11" s="1563">
        <f t="shared" si="32"/>
        <v>783.39957674950801</v>
      </c>
      <c r="AY11" s="1592">
        <f t="shared" si="33"/>
        <v>1</v>
      </c>
      <c r="AZ11" s="821">
        <f t="shared" si="34"/>
        <v>1</v>
      </c>
      <c r="BA11" s="1160">
        <f t="shared" si="74"/>
        <v>0</v>
      </c>
      <c r="BB11" s="1592" t="str">
        <f t="shared" si="35"/>
        <v>--</v>
      </c>
      <c r="BC11" s="821" t="str">
        <f t="shared" si="36"/>
        <v/>
      </c>
      <c r="BD11" s="1160">
        <f t="shared" si="75"/>
        <v>0</v>
      </c>
      <c r="BE11" s="1592" t="str">
        <f t="shared" si="37"/>
        <v>Yes</v>
      </c>
      <c r="BF11" s="1592">
        <f t="shared" si="38"/>
        <v>1.49E-2</v>
      </c>
      <c r="BG11" s="821">
        <f t="shared" si="39"/>
        <v>1.49E-2</v>
      </c>
      <c r="BH11" s="1160">
        <f t="shared" si="76"/>
        <v>0</v>
      </c>
      <c r="BI11" s="1592">
        <f t="shared" si="40"/>
        <v>1</v>
      </c>
      <c r="BJ11" s="1592">
        <f t="shared" si="41"/>
        <v>5.065008038978E-2</v>
      </c>
      <c r="BK11" s="821">
        <f t="shared" si="42"/>
        <v>5.065008038978E-2</v>
      </c>
      <c r="BL11" s="1160">
        <f t="shared" si="77"/>
        <v>0</v>
      </c>
      <c r="BM11" s="1592">
        <f t="shared" si="43"/>
        <v>0.28793386679265998</v>
      </c>
      <c r="BN11" s="821">
        <f t="shared" si="44"/>
        <v>0.28793386679265998</v>
      </c>
      <c r="BO11" s="1160">
        <f t="shared" si="78"/>
        <v>0</v>
      </c>
      <c r="BP11" s="1592">
        <f t="shared" si="45"/>
        <v>0.69104128030237</v>
      </c>
      <c r="BQ11" s="821">
        <f t="shared" si="46"/>
        <v>0.69104128030237</v>
      </c>
      <c r="BR11" s="1160">
        <f t="shared" si="79"/>
        <v>0</v>
      </c>
      <c r="BS11" s="1592" t="str">
        <f t="shared" si="80"/>
        <v>--</v>
      </c>
      <c r="BT11" s="821">
        <f t="shared" si="81"/>
        <v>0</v>
      </c>
      <c r="BU11" s="1160">
        <f t="shared" si="82"/>
        <v>0</v>
      </c>
      <c r="BW11" s="75">
        <f t="shared" si="47"/>
        <v>0.1</v>
      </c>
      <c r="BX11" s="75" t="str">
        <f t="shared" si="48"/>
        <v>OEHHA 1984</v>
      </c>
      <c r="BY11" s="75">
        <f t="shared" si="49"/>
        <v>5.5E-2</v>
      </c>
      <c r="BZ11" s="75" t="str">
        <f t="shared" si="50"/>
        <v>I</v>
      </c>
      <c r="CA11" s="1671" t="str">
        <f t="shared" si="83"/>
        <v>check</v>
      </c>
      <c r="CB11" s="75">
        <f t="shared" si="51"/>
        <v>2.9E-5</v>
      </c>
      <c r="CC11" s="75" t="str">
        <f t="shared" si="52"/>
        <v>OEHHA 1984</v>
      </c>
      <c r="CD11" s="75">
        <f t="shared" si="53"/>
        <v>7.7999999999999999E-6</v>
      </c>
      <c r="CE11" s="75" t="str">
        <f t="shared" si="54"/>
        <v>I</v>
      </c>
      <c r="CF11" s="1671" t="str">
        <f t="shared" si="84"/>
        <v>check</v>
      </c>
      <c r="CG11" s="75">
        <f t="shared" si="55"/>
        <v>4.0000000000000001E-3</v>
      </c>
      <c r="CH11" s="75" t="str">
        <f t="shared" si="56"/>
        <v>IRIS 2003</v>
      </c>
      <c r="CI11" s="75">
        <f t="shared" si="57"/>
        <v>4.0000000000000001E-3</v>
      </c>
      <c r="CJ11" s="75" t="str">
        <f t="shared" si="58"/>
        <v>I</v>
      </c>
      <c r="CK11" s="1670" t="str">
        <f t="shared" si="85"/>
        <v>--</v>
      </c>
      <c r="CL11" s="75">
        <f t="shared" si="59"/>
        <v>3</v>
      </c>
      <c r="CM11" s="75" t="str">
        <f t="shared" si="60"/>
        <v>OEHHA 2014</v>
      </c>
      <c r="CN11" s="75">
        <f t="shared" si="61"/>
        <v>30</v>
      </c>
      <c r="CO11" s="75" t="str">
        <f t="shared" si="62"/>
        <v>I</v>
      </c>
      <c r="CP11" s="1671" t="str">
        <f t="shared" si="86"/>
        <v>check</v>
      </c>
      <c r="CR11" s="1686" t="str">
        <f t="shared" si="87"/>
        <v>x</v>
      </c>
      <c r="CS11" s="1686" t="str">
        <f t="shared" si="88"/>
        <v>x</v>
      </c>
      <c r="CT11" s="1686" t="str">
        <f t="shared" si="89"/>
        <v>--</v>
      </c>
      <c r="CU11" s="1686" t="str">
        <f t="shared" si="90"/>
        <v>x</v>
      </c>
    </row>
    <row r="12" spans="1:99">
      <c r="A12" s="309" t="s">
        <v>95</v>
      </c>
      <c r="B12" s="427" t="s">
        <v>96</v>
      </c>
      <c r="C12" s="1563" t="str">
        <f t="shared" si="0"/>
        <v>I</v>
      </c>
      <c r="D12" t="e">
        <f t="shared" si="1"/>
        <v>#N/A</v>
      </c>
      <c r="E12" s="1563">
        <f t="shared" si="2"/>
        <v>986</v>
      </c>
      <c r="F12">
        <f t="shared" si="3"/>
        <v>986</v>
      </c>
      <c r="G12" s="1160">
        <f t="shared" si="63"/>
        <v>0</v>
      </c>
      <c r="H12" s="1563" t="str">
        <f t="shared" si="4"/>
        <v>NV</v>
      </c>
      <c r="I12">
        <f t="shared" si="5"/>
        <v>0</v>
      </c>
      <c r="J12" s="1160">
        <f t="shared" si="64"/>
        <v>0</v>
      </c>
      <c r="K12" s="1563">
        <f t="shared" si="6"/>
        <v>9.01</v>
      </c>
      <c r="L12">
        <f t="shared" si="7"/>
        <v>9.01</v>
      </c>
      <c r="M12" s="1160">
        <f t="shared" si="65"/>
        <v>0</v>
      </c>
      <c r="N12" s="1563" t="str">
        <f t="shared" si="8"/>
        <v>--</v>
      </c>
      <c r="O12">
        <f t="shared" si="9"/>
        <v>0</v>
      </c>
      <c r="P12" s="1160">
        <f t="shared" si="66"/>
        <v>0</v>
      </c>
      <c r="Q12" s="1563" t="str">
        <f t="shared" si="10"/>
        <v>--</v>
      </c>
      <c r="R12" t="str">
        <f t="shared" si="11"/>
        <v/>
      </c>
      <c r="S12" s="1160">
        <f t="shared" si="67"/>
        <v>0</v>
      </c>
      <c r="T12" s="1563" t="str">
        <f t="shared" si="12"/>
        <v>--</v>
      </c>
      <c r="U12" t="str">
        <f t="shared" si="13"/>
        <v/>
      </c>
      <c r="V12" s="1160">
        <f t="shared" si="68"/>
        <v>0</v>
      </c>
      <c r="W12" s="1563" t="str">
        <f t="shared" si="14"/>
        <v>--</v>
      </c>
      <c r="X12" t="str">
        <f t="shared" si="15"/>
        <v/>
      </c>
      <c r="Y12" s="1160">
        <f t="shared" si="69"/>
        <v>0</v>
      </c>
      <c r="Z12" s="1563" t="str">
        <f t="shared" si="16"/>
        <v>--</v>
      </c>
      <c r="AA12" t="str">
        <f t="shared" si="17"/>
        <v/>
      </c>
      <c r="AB12" s="1160">
        <f t="shared" si="70"/>
        <v>0</v>
      </c>
      <c r="AC12" s="1563">
        <f t="shared" si="18"/>
        <v>790</v>
      </c>
      <c r="AD12">
        <f t="shared" si="19"/>
        <v>790</v>
      </c>
      <c r="AE12" s="1160">
        <f t="shared" si="71"/>
        <v>0</v>
      </c>
      <c r="AF12" s="1563">
        <f t="shared" si="20"/>
        <v>0.48242590592050999</v>
      </c>
      <c r="AG12">
        <f t="shared" si="21"/>
        <v>0.48242590592050999</v>
      </c>
      <c r="AH12" s="1160">
        <f t="shared" si="72"/>
        <v>0</v>
      </c>
      <c r="AI12" s="1563">
        <f t="shared" si="22"/>
        <v>5.8713765509999999E-5</v>
      </c>
      <c r="AJ12">
        <f t="shared" si="23"/>
        <v>5.8713765509999999E-5</v>
      </c>
      <c r="AK12" s="1160">
        <f t="shared" si="73"/>
        <v>0</v>
      </c>
      <c r="AL12" s="1563" t="str">
        <f t="shared" si="24"/>
        <v>--</v>
      </c>
      <c r="AM12" t="e">
        <f t="shared" si="25"/>
        <v>#N/A</v>
      </c>
      <c r="AN12" s="1563" t="str">
        <f t="shared" si="26"/>
        <v>--</v>
      </c>
      <c r="AO12" t="str">
        <f t="shared" si="27"/>
        <v/>
      </c>
      <c r="AP12" s="1160">
        <f t="shared" si="28"/>
        <v>1</v>
      </c>
      <c r="AQ12" s="1563" t="str">
        <f t="shared" si="29"/>
        <v>--</v>
      </c>
      <c r="AS12" s="1563" t="str">
        <f t="shared" si="30"/>
        <v>--</v>
      </c>
      <c r="AU12" s="1563" t="str">
        <f t="shared" si="31"/>
        <v>--</v>
      </c>
      <c r="AW12" s="1563" t="str">
        <f t="shared" si="32"/>
        <v>--</v>
      </c>
      <c r="AY12" s="1592">
        <f t="shared" si="33"/>
        <v>7.0000000000000001E-3</v>
      </c>
      <c r="AZ12" s="821">
        <f t="shared" si="34"/>
        <v>7.0000000000000001E-3</v>
      </c>
      <c r="BA12" s="1160">
        <f t="shared" si="74"/>
        <v>0</v>
      </c>
      <c r="BB12" s="1592" t="str">
        <f t="shared" si="35"/>
        <v>--</v>
      </c>
      <c r="BC12" s="821" t="str">
        <f t="shared" si="36"/>
        <v/>
      </c>
      <c r="BD12" s="1160">
        <f t="shared" si="75"/>
        <v>0</v>
      </c>
      <c r="BE12" s="1592" t="str">
        <f t="shared" si="37"/>
        <v>Yes</v>
      </c>
      <c r="BF12" s="1592">
        <f t="shared" si="38"/>
        <v>1E-3</v>
      </c>
      <c r="BG12" s="821">
        <f t="shared" si="39"/>
        <v>1E-3</v>
      </c>
      <c r="BH12" s="1160">
        <f t="shared" si="76"/>
        <v>0</v>
      </c>
      <c r="BI12" s="1592">
        <f t="shared" si="40"/>
        <v>1</v>
      </c>
      <c r="BJ12" s="1592">
        <f t="shared" si="41"/>
        <v>1.1544870015200001E-3</v>
      </c>
      <c r="BK12" s="821">
        <f t="shared" si="42"/>
        <v>1.1544870015200001E-3</v>
      </c>
      <c r="BL12" s="1160">
        <f t="shared" si="77"/>
        <v>0</v>
      </c>
      <c r="BM12" s="1592">
        <f t="shared" si="43"/>
        <v>0.11811491713783</v>
      </c>
      <c r="BN12" s="821">
        <f t="shared" si="44"/>
        <v>0.11811491713783</v>
      </c>
      <c r="BO12" s="1160">
        <f t="shared" si="78"/>
        <v>0</v>
      </c>
      <c r="BP12" s="1592">
        <f t="shared" si="45"/>
        <v>0.28347580113079002</v>
      </c>
      <c r="BQ12" s="821">
        <f t="shared" si="46"/>
        <v>0.28347580113079002</v>
      </c>
      <c r="BR12" s="1160">
        <f t="shared" si="79"/>
        <v>0</v>
      </c>
      <c r="BS12" s="1592" t="str">
        <f t="shared" si="80"/>
        <v>--</v>
      </c>
      <c r="BT12" s="821">
        <f t="shared" si="81"/>
        <v>0</v>
      </c>
      <c r="BU12" s="1160">
        <f t="shared" si="82"/>
        <v>0</v>
      </c>
      <c r="BW12" s="75" t="str">
        <f t="shared" si="47"/>
        <v>--</v>
      </c>
      <c r="BX12" s="75" t="str">
        <f t="shared" si="48"/>
        <v xml:space="preserve"> </v>
      </c>
      <c r="BY12" s="75" t="str">
        <f t="shared" si="49"/>
        <v/>
      </c>
      <c r="BZ12" s="75" t="str">
        <f t="shared" si="50"/>
        <v/>
      </c>
      <c r="CA12" s="1670" t="str">
        <f t="shared" si="83"/>
        <v>--</v>
      </c>
      <c r="CB12" s="75">
        <f t="shared" si="51"/>
        <v>2.3999999999999998E-3</v>
      </c>
      <c r="CC12" s="75" t="str">
        <f t="shared" si="52"/>
        <v>IRIS 1998</v>
      </c>
      <c r="CD12" s="75">
        <f t="shared" si="53"/>
        <v>2.3999999999999998E-3</v>
      </c>
      <c r="CE12" s="75" t="str">
        <f t="shared" si="54"/>
        <v>I</v>
      </c>
      <c r="CF12" s="1670" t="str">
        <f t="shared" si="84"/>
        <v>--</v>
      </c>
      <c r="CG12" s="75">
        <f t="shared" si="55"/>
        <v>2.0000000000000001E-4</v>
      </c>
      <c r="CH12" s="75" t="str">
        <f t="shared" si="56"/>
        <v>OEHHA 2009</v>
      </c>
      <c r="CI12" s="75">
        <f t="shared" si="57"/>
        <v>2E-3</v>
      </c>
      <c r="CJ12" s="75" t="str">
        <f t="shared" si="58"/>
        <v>I</v>
      </c>
      <c r="CK12" s="1671" t="str">
        <f t="shared" si="85"/>
        <v>check</v>
      </c>
      <c r="CL12" s="75">
        <f t="shared" si="59"/>
        <v>7.0000000000000001E-3</v>
      </c>
      <c r="CM12" s="75" t="str">
        <f t="shared" si="60"/>
        <v>OEHHA 2008</v>
      </c>
      <c r="CN12" s="75">
        <f t="shared" si="61"/>
        <v>0.02</v>
      </c>
      <c r="CO12" s="75" t="str">
        <f t="shared" si="62"/>
        <v>I</v>
      </c>
      <c r="CP12" s="1671" t="str">
        <f t="shared" si="86"/>
        <v>check</v>
      </c>
      <c r="CR12" s="1686" t="str">
        <f t="shared" si="87"/>
        <v>--</v>
      </c>
      <c r="CS12" s="1686" t="str">
        <f t="shared" si="88"/>
        <v>--</v>
      </c>
      <c r="CT12" s="1686" t="str">
        <f t="shared" si="89"/>
        <v>x</v>
      </c>
      <c r="CU12" s="1686" t="str">
        <f t="shared" si="90"/>
        <v>x</v>
      </c>
    </row>
    <row r="13" spans="1:99">
      <c r="A13" s="309" t="s">
        <v>97</v>
      </c>
      <c r="B13" s="427" t="s">
        <v>98</v>
      </c>
      <c r="C13" s="1563" t="str">
        <f t="shared" si="0"/>
        <v>O</v>
      </c>
      <c r="D13" t="e">
        <f t="shared" si="1"/>
        <v>#N/A</v>
      </c>
      <c r="E13" s="1563">
        <f t="shared" si="2"/>
        <v>69</v>
      </c>
      <c r="F13">
        <f t="shared" si="3"/>
        <v>69</v>
      </c>
      <c r="G13" s="1160">
        <f t="shared" si="63"/>
        <v>0</v>
      </c>
      <c r="H13" s="1563" t="str">
        <f t="shared" si="4"/>
        <v>V</v>
      </c>
      <c r="I13" t="str">
        <f t="shared" si="5"/>
        <v>V</v>
      </c>
      <c r="J13" s="1160">
        <f t="shared" si="64"/>
        <v>0</v>
      </c>
      <c r="K13" s="1563">
        <f t="shared" si="6"/>
        <v>154.21</v>
      </c>
      <c r="L13">
        <f t="shared" si="7"/>
        <v>154.21</v>
      </c>
      <c r="M13" s="1160">
        <f t="shared" si="65"/>
        <v>0</v>
      </c>
      <c r="N13" s="1563">
        <f t="shared" si="8"/>
        <v>8.9300000000000004E-3</v>
      </c>
      <c r="O13">
        <f t="shared" si="9"/>
        <v>8.9300000000000004E-3</v>
      </c>
      <c r="P13" s="1160">
        <f t="shared" si="66"/>
        <v>0</v>
      </c>
      <c r="Q13" s="1563">
        <f t="shared" si="10"/>
        <v>7.48</v>
      </c>
      <c r="R13">
        <f t="shared" si="11"/>
        <v>7.48</v>
      </c>
      <c r="S13" s="1160">
        <f t="shared" si="67"/>
        <v>0</v>
      </c>
      <c r="T13" s="1563">
        <f t="shared" si="12"/>
        <v>3.0800000000000001E-4</v>
      </c>
      <c r="U13">
        <f t="shared" si="13"/>
        <v>3.0800000000000001E-4</v>
      </c>
      <c r="V13" s="1160">
        <f t="shared" si="68"/>
        <v>0</v>
      </c>
      <c r="W13" s="1563">
        <f t="shared" si="14"/>
        <v>1.2591986917420001E-2</v>
      </c>
      <c r="X13">
        <f t="shared" si="15"/>
        <v>1.2591986917420001E-2</v>
      </c>
      <c r="Y13" s="1160">
        <f t="shared" si="69"/>
        <v>0</v>
      </c>
      <c r="Z13" s="1563">
        <f t="shared" si="16"/>
        <v>5129</v>
      </c>
      <c r="AA13">
        <f t="shared" si="17"/>
        <v>5129</v>
      </c>
      <c r="AB13" s="1160">
        <f t="shared" si="70"/>
        <v>0</v>
      </c>
      <c r="AC13" s="1563">
        <f t="shared" si="18"/>
        <v>30.774000000000001</v>
      </c>
      <c r="AD13" t="str">
        <f t="shared" si="19"/>
        <v/>
      </c>
      <c r="AE13" s="1160">
        <f t="shared" si="71"/>
        <v>1</v>
      </c>
      <c r="AF13" s="1563">
        <f t="shared" si="20"/>
        <v>4.705923501776E-2</v>
      </c>
      <c r="AG13">
        <f t="shared" si="21"/>
        <v>4.705923501776E-2</v>
      </c>
      <c r="AH13" s="1160">
        <f t="shared" si="72"/>
        <v>0</v>
      </c>
      <c r="AI13" s="1563">
        <f t="shared" si="22"/>
        <v>7.5617837409600001E-6</v>
      </c>
      <c r="AJ13">
        <f t="shared" si="23"/>
        <v>7.5617837409600001E-6</v>
      </c>
      <c r="AK13" s="1160">
        <f t="shared" si="73"/>
        <v>0</v>
      </c>
      <c r="AL13" s="1563">
        <f t="shared" si="24"/>
        <v>853.32575600000007</v>
      </c>
      <c r="AM13" t="e">
        <f t="shared" si="25"/>
        <v>#N/A</v>
      </c>
      <c r="AN13" s="1563">
        <f t="shared" si="26"/>
        <v>230.95535057025464</v>
      </c>
      <c r="AO13" t="str">
        <f t="shared" si="27"/>
        <v/>
      </c>
      <c r="AP13" s="1160">
        <f t="shared" si="28"/>
        <v>1</v>
      </c>
      <c r="AQ13" s="1563">
        <f t="shared" si="29"/>
        <v>1.0240302447619844E-6</v>
      </c>
      <c r="AS13" s="1563">
        <f t="shared" si="30"/>
        <v>113984.09728313674</v>
      </c>
      <c r="AU13" s="1563">
        <f t="shared" si="31"/>
        <v>111770.60313191777</v>
      </c>
      <c r="AW13" s="1563">
        <f t="shared" si="32"/>
        <v>25246.491347094805</v>
      </c>
      <c r="AY13" s="1592">
        <f t="shared" si="33"/>
        <v>1</v>
      </c>
      <c r="AZ13" s="821">
        <f t="shared" si="34"/>
        <v>1</v>
      </c>
      <c r="BA13" s="1160">
        <f t="shared" si="74"/>
        <v>0</v>
      </c>
      <c r="BB13" s="1592" t="str">
        <f t="shared" si="35"/>
        <v>--</v>
      </c>
      <c r="BC13" s="821" t="str">
        <f t="shared" si="36"/>
        <v/>
      </c>
      <c r="BD13" s="1160">
        <f t="shared" si="75"/>
        <v>0</v>
      </c>
      <c r="BE13" s="1592" t="str">
        <f t="shared" si="37"/>
        <v>Yes</v>
      </c>
      <c r="BF13" s="1592">
        <f t="shared" si="38"/>
        <v>9.4299999999999995E-2</v>
      </c>
      <c r="BG13" s="821">
        <f t="shared" si="39"/>
        <v>9.4299999999999995E-2</v>
      </c>
      <c r="BH13" s="1160">
        <f t="shared" si="76"/>
        <v>0</v>
      </c>
      <c r="BI13" s="1592">
        <f t="shared" si="40"/>
        <v>1</v>
      </c>
      <c r="BJ13" s="1592">
        <f t="shared" si="41"/>
        <v>0.45039609177062001</v>
      </c>
      <c r="BK13" s="821">
        <f t="shared" si="42"/>
        <v>0.45039609177062001</v>
      </c>
      <c r="BL13" s="1160">
        <f t="shared" si="77"/>
        <v>0</v>
      </c>
      <c r="BM13" s="1592">
        <f t="shared" si="43"/>
        <v>0.76811235300464997</v>
      </c>
      <c r="BN13" s="821">
        <f t="shared" si="44"/>
        <v>0.76811235300464997</v>
      </c>
      <c r="BO13" s="1160">
        <f t="shared" si="78"/>
        <v>0</v>
      </c>
      <c r="BP13" s="1592">
        <f t="shared" si="45"/>
        <v>1.84346964721115</v>
      </c>
      <c r="BQ13" s="821">
        <f t="shared" si="46"/>
        <v>1.84346964721115</v>
      </c>
      <c r="BR13" s="1160">
        <f t="shared" si="79"/>
        <v>0</v>
      </c>
      <c r="BS13" s="1592" t="str">
        <f t="shared" si="80"/>
        <v>--</v>
      </c>
      <c r="BT13" s="821">
        <f t="shared" si="81"/>
        <v>0</v>
      </c>
      <c r="BU13" s="1160">
        <f t="shared" si="82"/>
        <v>0</v>
      </c>
      <c r="BW13" s="75">
        <f t="shared" si="47"/>
        <v>8.0000000000000002E-3</v>
      </c>
      <c r="BX13" s="75" t="str">
        <f t="shared" si="48"/>
        <v>IRIS 2013</v>
      </c>
      <c r="BY13" s="75">
        <f t="shared" si="49"/>
        <v>8.0000000000000002E-3</v>
      </c>
      <c r="BZ13" s="75" t="str">
        <f t="shared" si="50"/>
        <v>I</v>
      </c>
      <c r="CA13" s="1670" t="str">
        <f t="shared" si="83"/>
        <v>--</v>
      </c>
      <c r="CB13" s="75" t="str">
        <f t="shared" si="51"/>
        <v>--</v>
      </c>
      <c r="CC13" s="75" t="str">
        <f t="shared" si="52"/>
        <v xml:space="preserve"> </v>
      </c>
      <c r="CD13" s="75" t="str">
        <f t="shared" si="53"/>
        <v/>
      </c>
      <c r="CE13" s="75" t="str">
        <f t="shared" si="54"/>
        <v/>
      </c>
      <c r="CF13" s="1670" t="str">
        <f t="shared" si="84"/>
        <v>--</v>
      </c>
      <c r="CG13" s="75">
        <f t="shared" si="55"/>
        <v>0.5</v>
      </c>
      <c r="CH13" s="75" t="str">
        <f t="shared" si="56"/>
        <v>IRIS 2013</v>
      </c>
      <c r="CI13" s="75">
        <f t="shared" si="57"/>
        <v>0.5</v>
      </c>
      <c r="CJ13" s="75" t="str">
        <f t="shared" si="58"/>
        <v>I</v>
      </c>
      <c r="CK13" s="1670" t="str">
        <f t="shared" si="85"/>
        <v>--</v>
      </c>
      <c r="CL13" s="75">
        <f t="shared" si="59"/>
        <v>0.4</v>
      </c>
      <c r="CM13" s="75" t="str">
        <f t="shared" si="60"/>
        <v>PPRTV 2011</v>
      </c>
      <c r="CN13" s="75">
        <f t="shared" si="61"/>
        <v>0.4</v>
      </c>
      <c r="CO13" s="75" t="str">
        <f t="shared" si="62"/>
        <v>X</v>
      </c>
      <c r="CP13" s="1670" t="str">
        <f t="shared" si="86"/>
        <v>--</v>
      </c>
      <c r="CR13" s="1686" t="str">
        <f t="shared" si="87"/>
        <v>--</v>
      </c>
      <c r="CS13" s="1686" t="str">
        <f t="shared" si="88"/>
        <v>--</v>
      </c>
      <c r="CT13" s="1686" t="str">
        <f t="shared" si="89"/>
        <v>--</v>
      </c>
      <c r="CU13" s="1686" t="str">
        <f t="shared" si="90"/>
        <v>--</v>
      </c>
    </row>
    <row r="14" spans="1:99">
      <c r="A14" s="309" t="s">
        <v>99</v>
      </c>
      <c r="B14" s="427" t="s">
        <v>100</v>
      </c>
      <c r="C14" s="1563" t="str">
        <f t="shared" si="0"/>
        <v>O</v>
      </c>
      <c r="D14" t="e">
        <f t="shared" si="1"/>
        <v>#N/A</v>
      </c>
      <c r="E14" s="1563">
        <f t="shared" si="2"/>
        <v>-51.9</v>
      </c>
      <c r="F14">
        <f t="shared" si="3"/>
        <v>-51.9</v>
      </c>
      <c r="G14" s="1160">
        <f t="shared" si="63"/>
        <v>0</v>
      </c>
      <c r="H14" s="1563" t="str">
        <f t="shared" si="4"/>
        <v>V</v>
      </c>
      <c r="I14" t="str">
        <f t="shared" si="5"/>
        <v>V</v>
      </c>
      <c r="J14" s="1160">
        <f t="shared" si="64"/>
        <v>0</v>
      </c>
      <c r="K14" s="1563">
        <f t="shared" si="6"/>
        <v>143.01</v>
      </c>
      <c r="L14">
        <f t="shared" si="7"/>
        <v>143.01</v>
      </c>
      <c r="M14" s="1160">
        <f t="shared" si="65"/>
        <v>0</v>
      </c>
      <c r="N14" s="1563">
        <f t="shared" si="8"/>
        <v>1.55</v>
      </c>
      <c r="O14">
        <f t="shared" si="9"/>
        <v>1.55</v>
      </c>
      <c r="P14" s="1160">
        <f t="shared" si="66"/>
        <v>0</v>
      </c>
      <c r="Q14" s="1563">
        <f t="shared" si="10"/>
        <v>17200</v>
      </c>
      <c r="R14">
        <f t="shared" si="11"/>
        <v>17200</v>
      </c>
      <c r="S14" s="1160">
        <f t="shared" si="67"/>
        <v>0</v>
      </c>
      <c r="T14" s="1563">
        <f t="shared" si="12"/>
        <v>1.7E-5</v>
      </c>
      <c r="U14">
        <f t="shared" si="13"/>
        <v>1.7E-5</v>
      </c>
      <c r="V14" s="1160">
        <f t="shared" si="68"/>
        <v>0</v>
      </c>
      <c r="W14" s="1563">
        <f t="shared" si="14"/>
        <v>6.9501226491999995E-4</v>
      </c>
      <c r="X14">
        <f t="shared" si="15"/>
        <v>6.9501226491999995E-4</v>
      </c>
      <c r="Y14" s="1160">
        <f t="shared" si="69"/>
        <v>0</v>
      </c>
      <c r="Z14" s="1563">
        <f t="shared" si="16"/>
        <v>32.21</v>
      </c>
      <c r="AA14">
        <f t="shared" si="17"/>
        <v>32.21</v>
      </c>
      <c r="AB14" s="1160">
        <f t="shared" si="70"/>
        <v>0</v>
      </c>
      <c r="AC14" s="1563">
        <f t="shared" si="18"/>
        <v>0.19326000000000002</v>
      </c>
      <c r="AD14" t="str">
        <f t="shared" si="19"/>
        <v/>
      </c>
      <c r="AE14" s="1160">
        <f t="shared" si="71"/>
        <v>1</v>
      </c>
      <c r="AF14" s="1563">
        <f t="shared" si="20"/>
        <v>5.6719164820489998E-2</v>
      </c>
      <c r="AG14">
        <f t="shared" si="21"/>
        <v>5.6719164820489998E-2</v>
      </c>
      <c r="AH14" s="1160">
        <f t="shared" si="72"/>
        <v>0</v>
      </c>
      <c r="AI14" s="1563">
        <f t="shared" si="22"/>
        <v>8.7069855954199998E-6</v>
      </c>
      <c r="AJ14">
        <f t="shared" si="23"/>
        <v>8.7069855954199998E-6</v>
      </c>
      <c r="AK14" s="1160">
        <f t="shared" si="73"/>
        <v>0</v>
      </c>
      <c r="AL14" s="1563">
        <f t="shared" si="24"/>
        <v>5.4523790000000005</v>
      </c>
      <c r="AM14" t="e">
        <f t="shared" si="25"/>
        <v>#N/A</v>
      </c>
      <c r="AN14" s="1563">
        <f t="shared" si="26"/>
        <v>5046.335029872921</v>
      </c>
      <c r="AO14">
        <f t="shared" si="27"/>
        <v>5050</v>
      </c>
      <c r="AP14" s="1160">
        <f t="shared" si="28"/>
        <v>1</v>
      </c>
      <c r="AQ14" s="1563">
        <f t="shared" si="29"/>
        <v>7.3467746058428289E-6</v>
      </c>
      <c r="AS14" s="1563">
        <f t="shared" si="30"/>
        <v>42555.166874324765</v>
      </c>
      <c r="AU14" s="1563">
        <f t="shared" si="31"/>
        <v>41728.774287765249</v>
      </c>
      <c r="AW14" s="1563">
        <f t="shared" si="32"/>
        <v>9425.6012713605305</v>
      </c>
      <c r="AY14" s="1592">
        <f t="shared" si="33"/>
        <v>1</v>
      </c>
      <c r="AZ14" s="821">
        <f t="shared" si="34"/>
        <v>1</v>
      </c>
      <c r="BA14" s="1160">
        <f t="shared" si="74"/>
        <v>0</v>
      </c>
      <c r="BB14" s="1592" t="str">
        <f t="shared" si="35"/>
        <v>--</v>
      </c>
      <c r="BC14" s="821" t="str">
        <f t="shared" si="36"/>
        <v/>
      </c>
      <c r="BD14" s="1160">
        <f t="shared" si="75"/>
        <v>0</v>
      </c>
      <c r="BE14" s="1592" t="str">
        <f t="shared" si="37"/>
        <v>Yes</v>
      </c>
      <c r="BF14" s="1592">
        <f t="shared" si="38"/>
        <v>1.7799999999999999E-3</v>
      </c>
      <c r="BG14" s="821">
        <f t="shared" si="39"/>
        <v>1.7799999999999999E-3</v>
      </c>
      <c r="BH14" s="1160">
        <f t="shared" si="76"/>
        <v>0</v>
      </c>
      <c r="BI14" s="1592">
        <f t="shared" si="40"/>
        <v>1</v>
      </c>
      <c r="BJ14" s="1592">
        <f t="shared" si="41"/>
        <v>8.1870955250399995E-3</v>
      </c>
      <c r="BK14" s="821">
        <f t="shared" si="42"/>
        <v>8.1870955250399995E-3</v>
      </c>
      <c r="BL14" s="1160">
        <f t="shared" si="77"/>
        <v>0</v>
      </c>
      <c r="BM14" s="1592">
        <f t="shared" si="43"/>
        <v>0.66482103118018998</v>
      </c>
      <c r="BN14" s="821">
        <f t="shared" si="44"/>
        <v>0.66482103118018998</v>
      </c>
      <c r="BO14" s="1160">
        <f t="shared" si="78"/>
        <v>0</v>
      </c>
      <c r="BP14" s="1592">
        <f t="shared" si="45"/>
        <v>1.59557047483245</v>
      </c>
      <c r="BQ14" s="821">
        <f t="shared" si="46"/>
        <v>1.59557047483245</v>
      </c>
      <c r="BR14" s="1160">
        <f t="shared" si="79"/>
        <v>0</v>
      </c>
      <c r="BS14" s="1592" t="str">
        <f t="shared" si="80"/>
        <v>--</v>
      </c>
      <c r="BT14" s="821">
        <f t="shared" si="81"/>
        <v>0</v>
      </c>
      <c r="BU14" s="1160">
        <f t="shared" si="82"/>
        <v>0</v>
      </c>
      <c r="BW14" s="75">
        <f t="shared" si="47"/>
        <v>2.5</v>
      </c>
      <c r="BX14" s="75" t="str">
        <f t="shared" si="48"/>
        <v>OEHHA 2009</v>
      </c>
      <c r="BY14" s="75">
        <f t="shared" si="49"/>
        <v>1.1000000000000001</v>
      </c>
      <c r="BZ14" s="75" t="str">
        <f t="shared" si="50"/>
        <v>I</v>
      </c>
      <c r="CA14" s="1671" t="str">
        <f t="shared" si="83"/>
        <v>check</v>
      </c>
      <c r="CB14" s="75">
        <f t="shared" si="51"/>
        <v>7.1000000000000002E-4</v>
      </c>
      <c r="CC14" s="75" t="str">
        <f t="shared" si="52"/>
        <v>OEHHA 2009</v>
      </c>
      <c r="CD14" s="75">
        <f t="shared" si="53"/>
        <v>3.3E-4</v>
      </c>
      <c r="CE14" s="75" t="str">
        <f t="shared" si="54"/>
        <v>I</v>
      </c>
      <c r="CF14" s="1671" t="str">
        <f t="shared" si="84"/>
        <v>check</v>
      </c>
      <c r="CG14" s="75" t="str">
        <f t="shared" si="55"/>
        <v>--</v>
      </c>
      <c r="CH14" s="75" t="str">
        <f t="shared" si="56"/>
        <v xml:space="preserve"> </v>
      </c>
      <c r="CI14" s="75" t="str">
        <f t="shared" si="57"/>
        <v/>
      </c>
      <c r="CJ14" s="75" t="str">
        <f t="shared" si="58"/>
        <v/>
      </c>
      <c r="CK14" s="1670" t="str">
        <f t="shared" si="85"/>
        <v>--</v>
      </c>
      <c r="CL14" s="75" t="str">
        <f t="shared" si="59"/>
        <v>--</v>
      </c>
      <c r="CM14" s="75" t="str">
        <f t="shared" si="60"/>
        <v xml:space="preserve"> </v>
      </c>
      <c r="CN14" s="75" t="str">
        <f t="shared" si="61"/>
        <v/>
      </c>
      <c r="CO14" s="75" t="str">
        <f t="shared" si="62"/>
        <v/>
      </c>
      <c r="CP14" s="1670" t="str">
        <f t="shared" si="86"/>
        <v>--</v>
      </c>
      <c r="CR14" s="1686" t="str">
        <f t="shared" si="87"/>
        <v>x</v>
      </c>
      <c r="CS14" s="1686" t="str">
        <f t="shared" si="88"/>
        <v>x</v>
      </c>
      <c r="CT14" s="1686" t="str">
        <f t="shared" si="89"/>
        <v>--</v>
      </c>
      <c r="CU14" s="1686" t="str">
        <f t="shared" si="90"/>
        <v>--</v>
      </c>
    </row>
    <row r="15" spans="1:99">
      <c r="A15" s="136" t="s">
        <v>101</v>
      </c>
      <c r="B15" s="427" t="s">
        <v>102</v>
      </c>
      <c r="C15" s="1563" t="str">
        <f t="shared" si="0"/>
        <v>O</v>
      </c>
      <c r="D15" t="e">
        <f t="shared" si="1"/>
        <v>#N/A</v>
      </c>
      <c r="E15" s="1563">
        <f t="shared" si="2"/>
        <v>-97</v>
      </c>
      <c r="F15">
        <f t="shared" si="3"/>
        <v>-97</v>
      </c>
      <c r="G15" s="1160">
        <f t="shared" si="63"/>
        <v>0</v>
      </c>
      <c r="H15" s="1563" t="str">
        <f t="shared" si="4"/>
        <v>V</v>
      </c>
      <c r="I15" t="str">
        <f t="shared" si="5"/>
        <v>V</v>
      </c>
      <c r="J15" s="1160">
        <f t="shared" si="64"/>
        <v>0</v>
      </c>
      <c r="K15" s="1563">
        <f t="shared" si="6"/>
        <v>171.07</v>
      </c>
      <c r="L15">
        <f t="shared" si="7"/>
        <v>171.07</v>
      </c>
      <c r="M15" s="1160">
        <f t="shared" si="65"/>
        <v>0</v>
      </c>
      <c r="N15" s="1563">
        <f t="shared" si="8"/>
        <v>0.56000000000000005</v>
      </c>
      <c r="O15">
        <f t="shared" si="9"/>
        <v>0.56000000000000005</v>
      </c>
      <c r="P15" s="1160">
        <f t="shared" si="66"/>
        <v>0</v>
      </c>
      <c r="Q15" s="1563">
        <f t="shared" si="10"/>
        <v>1700</v>
      </c>
      <c r="R15">
        <f t="shared" si="11"/>
        <v>1700</v>
      </c>
      <c r="S15" s="1160">
        <f t="shared" si="67"/>
        <v>0</v>
      </c>
      <c r="T15" s="1563">
        <f t="shared" si="12"/>
        <v>7.4200000000000001E-5</v>
      </c>
      <c r="U15">
        <f t="shared" si="13"/>
        <v>7.4200000000000001E-5</v>
      </c>
      <c r="V15" s="1160">
        <f t="shared" si="68"/>
        <v>0</v>
      </c>
      <c r="W15" s="1563">
        <f t="shared" si="14"/>
        <v>3.0335241210099999E-3</v>
      </c>
      <c r="X15">
        <f t="shared" si="15"/>
        <v>3.0335241210099999E-3</v>
      </c>
      <c r="Y15" s="1160">
        <f t="shared" si="69"/>
        <v>0</v>
      </c>
      <c r="Z15" s="1563">
        <f t="shared" si="16"/>
        <v>82.92</v>
      </c>
      <c r="AA15">
        <f t="shared" si="17"/>
        <v>82.92</v>
      </c>
      <c r="AB15" s="1160">
        <f t="shared" si="70"/>
        <v>0</v>
      </c>
      <c r="AC15" s="1563">
        <f t="shared" si="18"/>
        <v>0.49752000000000002</v>
      </c>
      <c r="AD15" t="str">
        <f t="shared" si="19"/>
        <v/>
      </c>
      <c r="AE15" s="1160">
        <f t="shared" si="71"/>
        <v>1</v>
      </c>
      <c r="AF15" s="1563">
        <f t="shared" si="20"/>
        <v>3.9889131750200001E-2</v>
      </c>
      <c r="AG15">
        <f t="shared" si="21"/>
        <v>3.9889131750200001E-2</v>
      </c>
      <c r="AH15" s="1160">
        <f t="shared" si="72"/>
        <v>0</v>
      </c>
      <c r="AI15" s="1563">
        <f t="shared" si="22"/>
        <v>7.3605923470999996E-6</v>
      </c>
      <c r="AJ15">
        <f t="shared" si="23"/>
        <v>7.3605923470999996E-6</v>
      </c>
      <c r="AK15" s="1160">
        <f t="shared" si="73"/>
        <v>0</v>
      </c>
      <c r="AL15" s="1563">
        <f t="shared" si="24"/>
        <v>14.2252794</v>
      </c>
      <c r="AM15" t="e">
        <f t="shared" si="25"/>
        <v>#N/A</v>
      </c>
      <c r="AN15" s="1563">
        <f t="shared" si="26"/>
        <v>1016.7602605614596</v>
      </c>
      <c r="AO15">
        <f t="shared" si="27"/>
        <v>1020</v>
      </c>
      <c r="AP15" s="1160">
        <f t="shared" si="28"/>
        <v>1</v>
      </c>
      <c r="AQ15" s="1563">
        <f t="shared" si="29"/>
        <v>1.0856979335439886E-5</v>
      </c>
      <c r="AS15" s="1563">
        <f t="shared" si="30"/>
        <v>35006.295167128977</v>
      </c>
      <c r="AU15" s="1563">
        <f t="shared" si="31"/>
        <v>34326.496568419127</v>
      </c>
      <c r="AW15" s="1563">
        <f t="shared" si="32"/>
        <v>7753.5915017639863</v>
      </c>
      <c r="AY15" s="1592">
        <f t="shared" si="33"/>
        <v>1</v>
      </c>
      <c r="AZ15" s="821">
        <f t="shared" si="34"/>
        <v>1</v>
      </c>
      <c r="BA15" s="1160">
        <f t="shared" si="74"/>
        <v>0</v>
      </c>
      <c r="BB15" s="1592" t="str">
        <f t="shared" si="35"/>
        <v>--</v>
      </c>
      <c r="BC15" s="821" t="str">
        <f t="shared" si="36"/>
        <v/>
      </c>
      <c r="BD15" s="1160">
        <f t="shared" si="75"/>
        <v>0</v>
      </c>
      <c r="BE15" s="1592" t="str">
        <f t="shared" si="37"/>
        <v>Yes</v>
      </c>
      <c r="BF15" s="1592">
        <f t="shared" si="38"/>
        <v>7.6400000000000001E-3</v>
      </c>
      <c r="BG15" s="821">
        <f t="shared" si="39"/>
        <v>7.6400000000000001E-3</v>
      </c>
      <c r="BH15" s="1160">
        <f t="shared" si="76"/>
        <v>0</v>
      </c>
      <c r="BI15" s="1592">
        <f t="shared" si="40"/>
        <v>1</v>
      </c>
      <c r="BJ15" s="1592">
        <f t="shared" si="41"/>
        <v>3.8433234724140002E-2</v>
      </c>
      <c r="BK15" s="821">
        <f t="shared" si="42"/>
        <v>3.8433234724140002E-2</v>
      </c>
      <c r="BL15" s="1160">
        <f t="shared" si="77"/>
        <v>0</v>
      </c>
      <c r="BM15" s="1592">
        <f t="shared" si="43"/>
        <v>0.95464246631699001</v>
      </c>
      <c r="BN15" s="821">
        <f t="shared" si="44"/>
        <v>0.95464246631699001</v>
      </c>
      <c r="BO15" s="1160">
        <f t="shared" si="78"/>
        <v>0</v>
      </c>
      <c r="BP15" s="1592">
        <f t="shared" si="45"/>
        <v>2.29114191916076</v>
      </c>
      <c r="BQ15" s="821">
        <f t="shared" si="46"/>
        <v>2.29114191916076</v>
      </c>
      <c r="BR15" s="1160">
        <f t="shared" si="79"/>
        <v>0</v>
      </c>
      <c r="BS15" s="1592" t="str">
        <f t="shared" si="80"/>
        <v>--</v>
      </c>
      <c r="BT15" s="821">
        <f t="shared" si="81"/>
        <v>0</v>
      </c>
      <c r="BU15" s="1160">
        <f t="shared" si="82"/>
        <v>0</v>
      </c>
      <c r="BW15" s="75" t="str">
        <f t="shared" si="47"/>
        <v>--</v>
      </c>
      <c r="BX15" s="75" t="str">
        <f t="shared" si="48"/>
        <v xml:space="preserve"> </v>
      </c>
      <c r="BY15" s="75" t="str">
        <f t="shared" si="49"/>
        <v/>
      </c>
      <c r="BZ15" s="75" t="str">
        <f t="shared" si="50"/>
        <v/>
      </c>
      <c r="CA15" s="1670" t="str">
        <f t="shared" si="83"/>
        <v>--</v>
      </c>
      <c r="CB15" s="75" t="str">
        <f t="shared" si="51"/>
        <v>--</v>
      </c>
      <c r="CC15" s="75" t="str">
        <f t="shared" si="52"/>
        <v xml:space="preserve"> </v>
      </c>
      <c r="CD15" s="75" t="str">
        <f t="shared" si="53"/>
        <v/>
      </c>
      <c r="CE15" s="75" t="str">
        <f t="shared" si="54"/>
        <v/>
      </c>
      <c r="CF15" s="1670" t="str">
        <f t="shared" si="84"/>
        <v>--</v>
      </c>
      <c r="CG15" s="75">
        <f t="shared" si="55"/>
        <v>0.04</v>
      </c>
      <c r="CH15" s="75" t="str">
        <f t="shared" si="56"/>
        <v>IRIS 1989</v>
      </c>
      <c r="CI15" s="75">
        <f t="shared" si="57"/>
        <v>0.04</v>
      </c>
      <c r="CJ15" s="75" t="str">
        <f t="shared" si="58"/>
        <v>I</v>
      </c>
      <c r="CK15" s="1670" t="str">
        <f t="shared" si="85"/>
        <v>--</v>
      </c>
      <c r="CL15" s="75" t="str">
        <f t="shared" si="59"/>
        <v>--</v>
      </c>
      <c r="CM15" s="75" t="str">
        <f t="shared" si="60"/>
        <v xml:space="preserve"> </v>
      </c>
      <c r="CN15" s="75" t="str">
        <f t="shared" si="61"/>
        <v/>
      </c>
      <c r="CO15" s="75" t="str">
        <f t="shared" si="62"/>
        <v/>
      </c>
      <c r="CP15" s="1670" t="str">
        <f t="shared" si="86"/>
        <v>--</v>
      </c>
      <c r="CR15" s="1686" t="str">
        <f t="shared" si="87"/>
        <v>--</v>
      </c>
      <c r="CS15" s="1686" t="str">
        <f t="shared" si="88"/>
        <v>--</v>
      </c>
      <c r="CT15" s="1686" t="str">
        <f t="shared" si="89"/>
        <v>--</v>
      </c>
      <c r="CU15" s="1686" t="str">
        <f t="shared" si="90"/>
        <v>--</v>
      </c>
    </row>
    <row r="16" spans="1:99">
      <c r="A16" s="309" t="s">
        <v>103</v>
      </c>
      <c r="B16" s="427" t="s">
        <v>104</v>
      </c>
      <c r="C16" s="1563" t="str">
        <f t="shared" si="0"/>
        <v>O</v>
      </c>
      <c r="D16" t="e">
        <f t="shared" si="1"/>
        <v>#N/A</v>
      </c>
      <c r="E16" s="1563">
        <f t="shared" si="2"/>
        <v>-55</v>
      </c>
      <c r="F16">
        <f t="shared" si="3"/>
        <v>-55</v>
      </c>
      <c r="G16" s="1160">
        <f t="shared" si="63"/>
        <v>0</v>
      </c>
      <c r="H16" s="1563" t="str">
        <f t="shared" si="4"/>
        <v>NV</v>
      </c>
      <c r="I16">
        <f t="shared" si="5"/>
        <v>0</v>
      </c>
      <c r="J16" s="1160">
        <f t="shared" si="64"/>
        <v>0</v>
      </c>
      <c r="K16" s="1563">
        <f t="shared" si="6"/>
        <v>390.57</v>
      </c>
      <c r="L16">
        <f t="shared" si="7"/>
        <v>390.57</v>
      </c>
      <c r="M16" s="1160">
        <f t="shared" si="65"/>
        <v>0</v>
      </c>
      <c r="N16" s="1563">
        <f t="shared" si="8"/>
        <v>1.42E-7</v>
      </c>
      <c r="O16">
        <f t="shared" si="9"/>
        <v>1.42E-7</v>
      </c>
      <c r="P16" s="1160">
        <f t="shared" si="66"/>
        <v>0</v>
      </c>
      <c r="Q16" s="1563">
        <f t="shared" si="10"/>
        <v>0.27</v>
      </c>
      <c r="R16">
        <f t="shared" si="11"/>
        <v>0.27</v>
      </c>
      <c r="S16" s="1160">
        <f t="shared" si="67"/>
        <v>0</v>
      </c>
      <c r="T16" s="1563">
        <f t="shared" si="12"/>
        <v>2.7000000000000001E-7</v>
      </c>
      <c r="U16">
        <f t="shared" si="13"/>
        <v>2.7000000000000001E-7</v>
      </c>
      <c r="V16" s="1160">
        <f t="shared" si="68"/>
        <v>0</v>
      </c>
      <c r="W16" s="1563">
        <f t="shared" si="14"/>
        <v>1.103843009E-5</v>
      </c>
      <c r="X16">
        <f t="shared" si="15"/>
        <v>1.103843009E-5</v>
      </c>
      <c r="Y16" s="1160">
        <f t="shared" si="69"/>
        <v>0</v>
      </c>
      <c r="Z16" s="1563">
        <f>VLOOKUP($A16,Table_IP_1, MATCH("koc", heading_IP_1, 0), FALSE)</f>
        <v>119600</v>
      </c>
      <c r="AA16">
        <f t="shared" si="17"/>
        <v>119600</v>
      </c>
      <c r="AB16" s="1160">
        <f t="shared" si="70"/>
        <v>0</v>
      </c>
      <c r="AC16" s="1563">
        <f t="shared" si="18"/>
        <v>717.6</v>
      </c>
      <c r="AD16" t="str">
        <f t="shared" si="19"/>
        <v/>
      </c>
      <c r="AE16" s="1160">
        <f t="shared" si="71"/>
        <v>1</v>
      </c>
      <c r="AF16" s="1563">
        <f t="shared" si="20"/>
        <v>1.7340283185039999E-2</v>
      </c>
      <c r="AG16">
        <f t="shared" si="21"/>
        <v>1.7340283185039999E-2</v>
      </c>
      <c r="AH16" s="1160">
        <f t="shared" si="72"/>
        <v>0</v>
      </c>
      <c r="AI16" s="1563">
        <f t="shared" si="22"/>
        <v>4.18074661646E-6</v>
      </c>
      <c r="AJ16">
        <f t="shared" si="23"/>
        <v>4.18074661646E-6</v>
      </c>
      <c r="AK16" s="1160">
        <f t="shared" si="73"/>
        <v>0</v>
      </c>
      <c r="AL16" s="1563">
        <f t="shared" si="24"/>
        <v>19853.60167589</v>
      </c>
      <c r="AM16" t="e">
        <f t="shared" si="25"/>
        <v>#N/A</v>
      </c>
      <c r="AN16" s="1600">
        <f t="shared" si="26"/>
        <v>193.77900056420961</v>
      </c>
      <c r="AO16" t="str">
        <f t="shared" si="27"/>
        <v/>
      </c>
      <c r="AP16" s="1160">
        <f t="shared" si="28"/>
        <v>1</v>
      </c>
      <c r="AQ16" s="1563" t="str">
        <f t="shared" si="29"/>
        <v>--</v>
      </c>
      <c r="AS16" s="1563" t="str">
        <f t="shared" si="30"/>
        <v>--</v>
      </c>
      <c r="AU16" s="1563" t="str">
        <f t="shared" si="31"/>
        <v>--</v>
      </c>
      <c r="AW16" s="1563" t="str">
        <f t="shared" si="32"/>
        <v>--</v>
      </c>
      <c r="AY16" s="1592">
        <f t="shared" si="33"/>
        <v>1</v>
      </c>
      <c r="AZ16" s="821">
        <f t="shared" si="34"/>
        <v>1</v>
      </c>
      <c r="BA16" s="1160">
        <f t="shared" si="74"/>
        <v>0</v>
      </c>
      <c r="BB16" s="1592">
        <f t="shared" si="35"/>
        <v>0.1</v>
      </c>
      <c r="BC16" s="821">
        <f t="shared" si="36"/>
        <v>0.1</v>
      </c>
      <c r="BD16" s="1160">
        <f t="shared" si="75"/>
        <v>0</v>
      </c>
      <c r="BE16" s="1592" t="str">
        <f t="shared" si="37"/>
        <v>No</v>
      </c>
      <c r="BF16" s="1592">
        <f t="shared" si="38"/>
        <v>1.1299999999999999</v>
      </c>
      <c r="BG16" s="821">
        <f t="shared" si="39"/>
        <v>1.1299999999999999</v>
      </c>
      <c r="BH16" s="1160">
        <f t="shared" si="76"/>
        <v>0</v>
      </c>
      <c r="BI16" s="1592">
        <f t="shared" si="40"/>
        <v>0.8</v>
      </c>
      <c r="BJ16" s="1592">
        <f t="shared" si="41"/>
        <v>8.5892360135147108</v>
      </c>
      <c r="BK16" s="821">
        <f t="shared" si="42"/>
        <v>8.5892360135147108</v>
      </c>
      <c r="BL16" s="1160">
        <f t="shared" si="77"/>
        <v>0</v>
      </c>
      <c r="BM16" s="1592">
        <f t="shared" si="43"/>
        <v>16.182318683408699</v>
      </c>
      <c r="BN16" s="821">
        <f t="shared" si="44"/>
        <v>16.182318683408699</v>
      </c>
      <c r="BO16" s="1160">
        <f t="shared" si="78"/>
        <v>0</v>
      </c>
      <c r="BP16" s="1592">
        <f t="shared" si="45"/>
        <v>72.882394847308603</v>
      </c>
      <c r="BQ16" s="821">
        <f t="shared" si="46"/>
        <v>72.882394847308603</v>
      </c>
      <c r="BR16" s="1160">
        <f t="shared" si="79"/>
        <v>0</v>
      </c>
      <c r="BS16" s="1592" t="str">
        <f t="shared" si="80"/>
        <v>--</v>
      </c>
      <c r="BT16" s="821">
        <f t="shared" si="81"/>
        <v>0</v>
      </c>
      <c r="BU16" s="1160">
        <f t="shared" si="82"/>
        <v>0</v>
      </c>
      <c r="BW16" s="75">
        <f t="shared" si="47"/>
        <v>1.4E-2</v>
      </c>
      <c r="BX16" s="75" t="str">
        <f t="shared" si="48"/>
        <v>IRIS 1988</v>
      </c>
      <c r="BY16" s="75">
        <f t="shared" si="49"/>
        <v>1.4E-2</v>
      </c>
      <c r="BZ16" s="75" t="str">
        <f t="shared" si="50"/>
        <v>I</v>
      </c>
      <c r="CA16" s="1670" t="str">
        <f t="shared" si="83"/>
        <v>--</v>
      </c>
      <c r="CB16" s="75">
        <f t="shared" si="51"/>
        <v>2.3999999999999999E-6</v>
      </c>
      <c r="CC16" s="75" t="str">
        <f t="shared" si="52"/>
        <v>OEHHA 2009</v>
      </c>
      <c r="CD16" s="75">
        <f t="shared" si="53"/>
        <v>2.3999999999999999E-6</v>
      </c>
      <c r="CE16" s="75" t="str">
        <f t="shared" si="54"/>
        <v>C</v>
      </c>
      <c r="CF16" s="1670" t="str">
        <f t="shared" si="84"/>
        <v>--</v>
      </c>
      <c r="CG16" s="75">
        <f t="shared" si="55"/>
        <v>0.02</v>
      </c>
      <c r="CH16" s="75" t="str">
        <f t="shared" si="56"/>
        <v>IRIS 1988</v>
      </c>
      <c r="CI16" s="75">
        <f t="shared" si="57"/>
        <v>0.02</v>
      </c>
      <c r="CJ16" s="75" t="str">
        <f t="shared" si="58"/>
        <v>I</v>
      </c>
      <c r="CK16" s="1670" t="str">
        <f t="shared" si="85"/>
        <v>--</v>
      </c>
      <c r="CL16" s="75" t="str">
        <f t="shared" si="59"/>
        <v>--</v>
      </c>
      <c r="CM16" s="75" t="str">
        <f t="shared" si="60"/>
        <v xml:space="preserve"> </v>
      </c>
      <c r="CN16" s="75" t="str">
        <f t="shared" si="61"/>
        <v/>
      </c>
      <c r="CO16" s="75" t="str">
        <f t="shared" si="62"/>
        <v/>
      </c>
      <c r="CP16" s="1670" t="str">
        <f t="shared" si="86"/>
        <v>--</v>
      </c>
      <c r="CR16" s="1686" t="str">
        <f t="shared" si="87"/>
        <v>--</v>
      </c>
      <c r="CS16" s="1686" t="str">
        <f t="shared" si="88"/>
        <v>--</v>
      </c>
      <c r="CT16" s="1686" t="str">
        <f t="shared" si="89"/>
        <v>--</v>
      </c>
      <c r="CU16" s="1686" t="str">
        <f t="shared" si="90"/>
        <v>--</v>
      </c>
    </row>
    <row r="17" spans="1:99">
      <c r="A17" s="309" t="s">
        <v>105</v>
      </c>
      <c r="B17" s="427" t="s">
        <v>106</v>
      </c>
      <c r="C17" s="1563" t="str">
        <f t="shared" si="0"/>
        <v>I</v>
      </c>
      <c r="D17" t="e">
        <f t="shared" si="1"/>
        <v>#N/A</v>
      </c>
      <c r="E17" s="1563">
        <f t="shared" si="2"/>
        <v>2075</v>
      </c>
      <c r="F17">
        <f t="shared" si="3"/>
        <v>2075</v>
      </c>
      <c r="G17" s="1160">
        <f t="shared" si="63"/>
        <v>0</v>
      </c>
      <c r="H17" s="1563" t="str">
        <f t="shared" si="4"/>
        <v>NV</v>
      </c>
      <c r="I17">
        <f t="shared" si="5"/>
        <v>0</v>
      </c>
      <c r="J17" s="1160">
        <f t="shared" si="64"/>
        <v>0</v>
      </c>
      <c r="K17" s="1563">
        <f t="shared" si="6"/>
        <v>13.84</v>
      </c>
      <c r="L17">
        <f t="shared" si="7"/>
        <v>13.84</v>
      </c>
      <c r="M17" s="1160">
        <f t="shared" si="65"/>
        <v>0</v>
      </c>
      <c r="N17" s="1563" t="str">
        <f t="shared" si="8"/>
        <v>--</v>
      </c>
      <c r="O17" t="str">
        <f t="shared" si="9"/>
        <v/>
      </c>
      <c r="P17" s="1160">
        <f t="shared" si="66"/>
        <v>0</v>
      </c>
      <c r="Q17" s="1563" t="str">
        <f t="shared" si="10"/>
        <v>--</v>
      </c>
      <c r="R17" t="str">
        <f t="shared" si="11"/>
        <v/>
      </c>
      <c r="S17" s="1160">
        <f t="shared" si="67"/>
        <v>0</v>
      </c>
      <c r="T17" s="1563" t="str">
        <f t="shared" si="12"/>
        <v>--</v>
      </c>
      <c r="U17" t="str">
        <f t="shared" si="13"/>
        <v/>
      </c>
      <c r="V17" s="1160">
        <f t="shared" si="68"/>
        <v>0</v>
      </c>
      <c r="W17" s="1563" t="str">
        <f t="shared" si="14"/>
        <v>--</v>
      </c>
      <c r="X17" t="str">
        <f t="shared" si="15"/>
        <v/>
      </c>
      <c r="Y17" s="1160">
        <f t="shared" si="69"/>
        <v>0</v>
      </c>
      <c r="Z17" s="1563" t="str">
        <f t="shared" si="16"/>
        <v>--</v>
      </c>
      <c r="AA17" t="str">
        <f t="shared" si="17"/>
        <v/>
      </c>
      <c r="AB17" s="1160">
        <f t="shared" si="70"/>
        <v>0</v>
      </c>
      <c r="AC17" s="1563">
        <f t="shared" si="18"/>
        <v>3</v>
      </c>
      <c r="AD17">
        <f t="shared" si="19"/>
        <v>3</v>
      </c>
      <c r="AE17" s="1160">
        <f t="shared" si="71"/>
        <v>0</v>
      </c>
      <c r="AF17" s="1563">
        <f t="shared" si="20"/>
        <v>0.39062788368527002</v>
      </c>
      <c r="AG17">
        <f t="shared" si="21"/>
        <v>0.39062788368527002</v>
      </c>
      <c r="AH17" s="1160">
        <f t="shared" si="72"/>
        <v>0</v>
      </c>
      <c r="AI17" s="1563">
        <f t="shared" si="22"/>
        <v>5.2254010949999999E-5</v>
      </c>
      <c r="AJ17">
        <f t="shared" si="23"/>
        <v>5.2254010949999999E-5</v>
      </c>
      <c r="AK17" s="1160">
        <f t="shared" si="73"/>
        <v>0</v>
      </c>
      <c r="AL17" s="1563" t="str">
        <f t="shared" si="24"/>
        <v>--</v>
      </c>
      <c r="AM17" t="e">
        <f t="shared" si="25"/>
        <v>#N/A</v>
      </c>
      <c r="AN17" s="1563" t="str">
        <f t="shared" si="26"/>
        <v>--</v>
      </c>
      <c r="AO17" t="str">
        <f t="shared" si="27"/>
        <v/>
      </c>
      <c r="AP17" s="1160">
        <f t="shared" si="28"/>
        <v>1</v>
      </c>
      <c r="AQ17" s="1563" t="str">
        <f t="shared" si="29"/>
        <v>--</v>
      </c>
      <c r="AS17" s="1563" t="str">
        <f t="shared" si="30"/>
        <v>--</v>
      </c>
      <c r="AU17" s="1563" t="str">
        <f t="shared" si="31"/>
        <v>--</v>
      </c>
      <c r="AW17" s="1563" t="str">
        <f t="shared" si="32"/>
        <v>--</v>
      </c>
      <c r="AY17" s="1592">
        <f t="shared" si="33"/>
        <v>1</v>
      </c>
      <c r="AZ17" s="821">
        <f t="shared" si="34"/>
        <v>1</v>
      </c>
      <c r="BA17" s="1160">
        <f t="shared" si="74"/>
        <v>0</v>
      </c>
      <c r="BB17" s="1592" t="str">
        <f t="shared" si="35"/>
        <v>--</v>
      </c>
      <c r="BC17" s="821" t="str">
        <f t="shared" si="36"/>
        <v/>
      </c>
      <c r="BD17" s="1160">
        <f t="shared" si="75"/>
        <v>0</v>
      </c>
      <c r="BE17" s="1592" t="str">
        <f t="shared" si="37"/>
        <v>Yes</v>
      </c>
      <c r="BF17" s="1592">
        <f t="shared" si="38"/>
        <v>1E-3</v>
      </c>
      <c r="BG17" s="821">
        <f t="shared" si="39"/>
        <v>1E-3</v>
      </c>
      <c r="BH17" s="1160">
        <f t="shared" si="76"/>
        <v>0</v>
      </c>
      <c r="BI17" s="1592">
        <f t="shared" si="40"/>
        <v>1</v>
      </c>
      <c r="BJ17" s="1592">
        <f t="shared" si="41"/>
        <v>1.4308519413600001E-3</v>
      </c>
      <c r="BK17" s="821">
        <f t="shared" si="42"/>
        <v>1.4308519413600001E-3</v>
      </c>
      <c r="BL17" s="1160">
        <f t="shared" si="77"/>
        <v>0</v>
      </c>
      <c r="BM17" s="1592">
        <f t="shared" si="43"/>
        <v>0.12570505708895999</v>
      </c>
      <c r="BN17" s="821">
        <f t="shared" si="44"/>
        <v>0.12570505708895999</v>
      </c>
      <c r="BO17" s="1160">
        <f t="shared" si="78"/>
        <v>0</v>
      </c>
      <c r="BP17" s="1592">
        <f t="shared" si="45"/>
        <v>0.30169213701350001</v>
      </c>
      <c r="BQ17" s="821">
        <f t="shared" si="46"/>
        <v>0.30169213701350001</v>
      </c>
      <c r="BR17" s="1160">
        <f t="shared" si="79"/>
        <v>0</v>
      </c>
      <c r="BS17" s="1592" t="str">
        <f t="shared" si="80"/>
        <v>--</v>
      </c>
      <c r="BT17" s="821">
        <f t="shared" si="81"/>
        <v>0</v>
      </c>
      <c r="BU17" s="1160">
        <f t="shared" si="82"/>
        <v>0</v>
      </c>
      <c r="BW17" s="75" t="str">
        <f t="shared" si="47"/>
        <v>--</v>
      </c>
      <c r="BX17" s="75" t="str">
        <f t="shared" si="48"/>
        <v xml:space="preserve"> </v>
      </c>
      <c r="BY17" s="75" t="str">
        <f t="shared" si="49"/>
        <v/>
      </c>
      <c r="BZ17" s="75" t="str">
        <f t="shared" si="50"/>
        <v/>
      </c>
      <c r="CA17" s="1670" t="str">
        <f t="shared" si="83"/>
        <v>--</v>
      </c>
      <c r="CB17" s="75" t="str">
        <f t="shared" si="51"/>
        <v>--</v>
      </c>
      <c r="CC17" s="75" t="str">
        <f t="shared" si="52"/>
        <v xml:space="preserve"> </v>
      </c>
      <c r="CD17" s="75" t="str">
        <f t="shared" si="53"/>
        <v/>
      </c>
      <c r="CE17" s="75" t="str">
        <f t="shared" si="54"/>
        <v/>
      </c>
      <c r="CF17" s="1670" t="str">
        <f t="shared" si="84"/>
        <v>--</v>
      </c>
      <c r="CG17" s="75">
        <f t="shared" si="55"/>
        <v>0.2</v>
      </c>
      <c r="CH17" s="75" t="str">
        <f t="shared" si="56"/>
        <v>IRIS 2004</v>
      </c>
      <c r="CI17" s="75">
        <f t="shared" si="57"/>
        <v>0.2</v>
      </c>
      <c r="CJ17" s="75" t="str">
        <f t="shared" si="58"/>
        <v>I</v>
      </c>
      <c r="CK17" s="1670" t="str">
        <f t="shared" si="85"/>
        <v>--</v>
      </c>
      <c r="CL17" s="75">
        <f t="shared" si="59"/>
        <v>20</v>
      </c>
      <c r="CM17" s="75" t="str">
        <f t="shared" si="60"/>
        <v>HEAST 1997</v>
      </c>
      <c r="CN17" s="75">
        <f t="shared" si="61"/>
        <v>20</v>
      </c>
      <c r="CO17" s="75" t="str">
        <f t="shared" si="62"/>
        <v>H</v>
      </c>
      <c r="CP17" s="1670" t="str">
        <f t="shared" si="86"/>
        <v>--</v>
      </c>
      <c r="CR17" s="1686" t="str">
        <f t="shared" si="87"/>
        <v>--</v>
      </c>
      <c r="CS17" s="1686" t="str">
        <f t="shared" si="88"/>
        <v>--</v>
      </c>
      <c r="CT17" s="1686" t="str">
        <f t="shared" si="89"/>
        <v>--</v>
      </c>
      <c r="CU17" s="1686" t="str">
        <f t="shared" si="90"/>
        <v>--</v>
      </c>
    </row>
    <row r="18" spans="1:99">
      <c r="A18" s="309" t="s">
        <v>107</v>
      </c>
      <c r="B18" s="427" t="s">
        <v>108</v>
      </c>
      <c r="C18" s="1563" t="str">
        <f t="shared" si="0"/>
        <v>O</v>
      </c>
      <c r="D18" t="e">
        <f t="shared" si="1"/>
        <v>#N/A</v>
      </c>
      <c r="E18" s="1563">
        <f t="shared" si="2"/>
        <v>-57</v>
      </c>
      <c r="F18">
        <f t="shared" si="3"/>
        <v>-57</v>
      </c>
      <c r="G18" s="1160">
        <f t="shared" si="63"/>
        <v>0</v>
      </c>
      <c r="H18" s="1563" t="str">
        <f t="shared" si="4"/>
        <v>V</v>
      </c>
      <c r="I18" t="str">
        <f t="shared" si="5"/>
        <v>V</v>
      </c>
      <c r="J18" s="1160">
        <f t="shared" si="64"/>
        <v>0</v>
      </c>
      <c r="K18" s="1563">
        <f t="shared" si="6"/>
        <v>163.83000000000001</v>
      </c>
      <c r="L18">
        <f t="shared" si="7"/>
        <v>163.83000000000001</v>
      </c>
      <c r="M18" s="1160">
        <f t="shared" si="65"/>
        <v>0</v>
      </c>
      <c r="N18" s="1563">
        <f t="shared" si="8"/>
        <v>50</v>
      </c>
      <c r="O18">
        <f t="shared" si="9"/>
        <v>50</v>
      </c>
      <c r="P18" s="1160">
        <f t="shared" si="66"/>
        <v>0</v>
      </c>
      <c r="Q18" s="1563">
        <f t="shared" si="10"/>
        <v>3032</v>
      </c>
      <c r="R18">
        <f t="shared" si="11"/>
        <v>3032</v>
      </c>
      <c r="S18" s="1160">
        <f t="shared" si="67"/>
        <v>0</v>
      </c>
      <c r="T18" s="1563">
        <f t="shared" si="12"/>
        <v>2.1199999999999999E-3</v>
      </c>
      <c r="U18">
        <f t="shared" si="13"/>
        <v>2.1199999999999999E-3</v>
      </c>
      <c r="V18" s="1160">
        <f t="shared" si="68"/>
        <v>0</v>
      </c>
      <c r="W18" s="1563">
        <f t="shared" si="14"/>
        <v>8.6672117743249996E-2</v>
      </c>
      <c r="X18">
        <f t="shared" si="15"/>
        <v>8.6672117743249996E-2</v>
      </c>
      <c r="Y18" s="1160">
        <f t="shared" si="69"/>
        <v>0</v>
      </c>
      <c r="Z18" s="1563">
        <f t="shared" si="16"/>
        <v>31.82</v>
      </c>
      <c r="AA18">
        <f t="shared" si="17"/>
        <v>31.82</v>
      </c>
      <c r="AB18" s="1160">
        <f t="shared" si="70"/>
        <v>0</v>
      </c>
      <c r="AC18" s="1563">
        <f t="shared" si="18"/>
        <v>0.19092000000000001</v>
      </c>
      <c r="AD18" t="str">
        <f t="shared" si="19"/>
        <v/>
      </c>
      <c r="AE18" s="1160">
        <f t="shared" si="71"/>
        <v>1</v>
      </c>
      <c r="AF18" s="1563">
        <f t="shared" si="20"/>
        <v>5.6262890151910001E-2</v>
      </c>
      <c r="AG18">
        <f t="shared" si="21"/>
        <v>5.6262890151910001E-2</v>
      </c>
      <c r="AH18" s="1160">
        <f t="shared" si="72"/>
        <v>0</v>
      </c>
      <c r="AI18" s="1563">
        <f t="shared" si="22"/>
        <v>1.0730867369999999E-5</v>
      </c>
      <c r="AJ18">
        <f t="shared" si="23"/>
        <v>1.0730867369999999E-5</v>
      </c>
      <c r="AK18" s="1160">
        <f t="shared" si="73"/>
        <v>0</v>
      </c>
      <c r="AL18" s="1563">
        <f t="shared" si="24"/>
        <v>18.44096</v>
      </c>
      <c r="AM18" t="e">
        <f t="shared" si="25"/>
        <v>#N/A</v>
      </c>
      <c r="AN18" s="1563">
        <f t="shared" si="26"/>
        <v>931.81770928318099</v>
      </c>
      <c r="AO18">
        <f t="shared" si="27"/>
        <v>932</v>
      </c>
      <c r="AP18" s="1160">
        <f t="shared" si="28"/>
        <v>1</v>
      </c>
      <c r="AQ18" s="1563">
        <f t="shared" si="29"/>
        <v>8.4557821027335519E-4</v>
      </c>
      <c r="AS18" s="1563">
        <f t="shared" si="30"/>
        <v>3966.6489270101597</v>
      </c>
      <c r="AU18" s="1563">
        <f t="shared" si="31"/>
        <v>3889.6192850762859</v>
      </c>
      <c r="AW18" s="1563">
        <f t="shared" si="32"/>
        <v>878.57841751351589</v>
      </c>
      <c r="AY18" s="1592">
        <f t="shared" si="33"/>
        <v>1</v>
      </c>
      <c r="AZ18" s="821">
        <f t="shared" si="34"/>
        <v>1</v>
      </c>
      <c r="BA18" s="1160">
        <f t="shared" si="74"/>
        <v>0</v>
      </c>
      <c r="BB18" s="1592" t="str">
        <f t="shared" si="35"/>
        <v>--</v>
      </c>
      <c r="BC18" s="821" t="str">
        <f t="shared" si="36"/>
        <v/>
      </c>
      <c r="BD18" s="1160">
        <f t="shared" si="75"/>
        <v>0</v>
      </c>
      <c r="BE18" s="1592" t="str">
        <f t="shared" si="37"/>
        <v>Yes</v>
      </c>
      <c r="BF18" s="1592">
        <f t="shared" si="38"/>
        <v>4.0200000000000001E-3</v>
      </c>
      <c r="BG18" s="821">
        <f t="shared" si="39"/>
        <v>4.0200000000000001E-3</v>
      </c>
      <c r="BH18" s="1160">
        <f t="shared" si="76"/>
        <v>0</v>
      </c>
      <c r="BI18" s="1592">
        <f t="shared" si="40"/>
        <v>1</v>
      </c>
      <c r="BJ18" s="1592">
        <f t="shared" si="41"/>
        <v>1.9790165255210001E-2</v>
      </c>
      <c r="BK18" s="821">
        <f t="shared" si="42"/>
        <v>1.9790165255210001E-2</v>
      </c>
      <c r="BL18" s="1160">
        <f t="shared" si="77"/>
        <v>0</v>
      </c>
      <c r="BM18" s="1592">
        <f t="shared" si="43"/>
        <v>0.86955438523746997</v>
      </c>
      <c r="BN18" s="821">
        <f t="shared" si="44"/>
        <v>0.86955438523746997</v>
      </c>
      <c r="BO18" s="1160">
        <f t="shared" si="78"/>
        <v>0</v>
      </c>
      <c r="BP18" s="1592">
        <f t="shared" si="45"/>
        <v>2.0869305245699201</v>
      </c>
      <c r="BQ18" s="821">
        <f t="shared" si="46"/>
        <v>2.0869305245699201</v>
      </c>
      <c r="BR18" s="1160">
        <f t="shared" si="79"/>
        <v>0</v>
      </c>
      <c r="BS18" s="1592" t="str">
        <f t="shared" si="80"/>
        <v>--</v>
      </c>
      <c r="BT18" s="821">
        <f t="shared" si="81"/>
        <v>0</v>
      </c>
      <c r="BU18" s="1160">
        <f t="shared" si="82"/>
        <v>0</v>
      </c>
      <c r="BW18" s="75">
        <f t="shared" si="47"/>
        <v>6.2E-2</v>
      </c>
      <c r="BX18" s="75" t="str">
        <f t="shared" si="48"/>
        <v>IRIS 1993</v>
      </c>
      <c r="BY18" s="75">
        <f t="shared" si="49"/>
        <v>6.2E-2</v>
      </c>
      <c r="BZ18" s="75" t="str">
        <f t="shared" si="50"/>
        <v>I</v>
      </c>
      <c r="CA18" s="1670" t="str">
        <f t="shared" si="83"/>
        <v>--</v>
      </c>
      <c r="CB18" s="75">
        <f t="shared" si="51"/>
        <v>3.6999999999999998E-5</v>
      </c>
      <c r="CC18" s="75" t="str">
        <f t="shared" si="52"/>
        <v>OEHHA 1987</v>
      </c>
      <c r="CD18" s="75">
        <f t="shared" si="53"/>
        <v>3.6999999999999998E-5</v>
      </c>
      <c r="CE18" s="75" t="str">
        <f t="shared" si="54"/>
        <v>C</v>
      </c>
      <c r="CF18" s="1670" t="str">
        <f t="shared" si="84"/>
        <v>--</v>
      </c>
      <c r="CG18" s="75">
        <f t="shared" si="55"/>
        <v>8.0000000000000002E-3</v>
      </c>
      <c r="CH18" s="75" t="str">
        <f t="shared" si="56"/>
        <v>PPRTV 2009*</v>
      </c>
      <c r="CI18" s="75">
        <f t="shared" si="57"/>
        <v>8.0000000000000002E-3</v>
      </c>
      <c r="CJ18" s="75" t="str">
        <f t="shared" si="58"/>
        <v>P</v>
      </c>
      <c r="CK18" s="1670" t="str">
        <f t="shared" si="85"/>
        <v>--</v>
      </c>
      <c r="CL18" s="75" t="str">
        <f t="shared" si="59"/>
        <v>--</v>
      </c>
      <c r="CM18" s="75" t="str">
        <f t="shared" si="60"/>
        <v xml:space="preserve"> </v>
      </c>
      <c r="CN18" s="75" t="str">
        <f t="shared" si="61"/>
        <v/>
      </c>
      <c r="CO18" s="75" t="str">
        <f t="shared" si="62"/>
        <v/>
      </c>
      <c r="CP18" s="1670" t="str">
        <f t="shared" si="86"/>
        <v>--</v>
      </c>
      <c r="CR18" s="1686" t="str">
        <f t="shared" si="87"/>
        <v>--</v>
      </c>
      <c r="CS18" s="1686" t="str">
        <f t="shared" si="88"/>
        <v>--</v>
      </c>
      <c r="CT18" s="1686" t="str">
        <f t="shared" si="89"/>
        <v>--</v>
      </c>
      <c r="CU18" s="1686" t="str">
        <f t="shared" si="90"/>
        <v>--</v>
      </c>
    </row>
    <row r="19" spans="1:99">
      <c r="A19" s="309" t="s">
        <v>109</v>
      </c>
      <c r="B19" s="427" t="s">
        <v>110</v>
      </c>
      <c r="C19" s="1563" t="str">
        <f t="shared" si="0"/>
        <v>O</v>
      </c>
      <c r="D19" t="e">
        <f t="shared" si="1"/>
        <v>#N/A</v>
      </c>
      <c r="E19" s="1563">
        <f t="shared" si="2"/>
        <v>8</v>
      </c>
      <c r="F19">
        <f t="shared" si="3"/>
        <v>8</v>
      </c>
      <c r="G19" s="1160">
        <f t="shared" si="63"/>
        <v>0</v>
      </c>
      <c r="H19" s="1563" t="str">
        <f t="shared" si="4"/>
        <v>V</v>
      </c>
      <c r="I19" t="str">
        <f t="shared" si="5"/>
        <v>V</v>
      </c>
      <c r="J19" s="1160">
        <f t="shared" si="64"/>
        <v>0</v>
      </c>
      <c r="K19" s="1563">
        <f t="shared" si="6"/>
        <v>252.73</v>
      </c>
      <c r="L19">
        <f t="shared" si="7"/>
        <v>252.73</v>
      </c>
      <c r="M19" s="1160">
        <f t="shared" si="65"/>
        <v>0</v>
      </c>
      <c r="N19" s="1563">
        <f t="shared" si="8"/>
        <v>5.4</v>
      </c>
      <c r="O19">
        <f t="shared" si="9"/>
        <v>5.4</v>
      </c>
      <c r="P19" s="1160">
        <f t="shared" si="66"/>
        <v>0</v>
      </c>
      <c r="Q19" s="1563">
        <f t="shared" si="10"/>
        <v>3100</v>
      </c>
      <c r="R19">
        <f t="shared" si="11"/>
        <v>3100</v>
      </c>
      <c r="S19" s="1160">
        <f t="shared" si="67"/>
        <v>0</v>
      </c>
      <c r="T19" s="1563">
        <f t="shared" si="12"/>
        <v>5.3499999999999999E-4</v>
      </c>
      <c r="U19">
        <f t="shared" si="13"/>
        <v>5.3499999999999999E-4</v>
      </c>
      <c r="V19" s="1160">
        <f t="shared" si="68"/>
        <v>0</v>
      </c>
      <c r="W19" s="1563">
        <f t="shared" si="14"/>
        <v>2.187244480785E-2</v>
      </c>
      <c r="X19">
        <f t="shared" si="15"/>
        <v>2.187244480785E-2</v>
      </c>
      <c r="Y19" s="1160">
        <f t="shared" si="69"/>
        <v>0</v>
      </c>
      <c r="Z19" s="1563">
        <f t="shared" si="16"/>
        <v>31.82</v>
      </c>
      <c r="AA19">
        <f t="shared" si="17"/>
        <v>31.82</v>
      </c>
      <c r="AB19" s="1160">
        <f t="shared" si="70"/>
        <v>0</v>
      </c>
      <c r="AC19" s="1563">
        <f t="shared" si="18"/>
        <v>0.19092000000000001</v>
      </c>
      <c r="AD19" t="str">
        <f t="shared" si="19"/>
        <v/>
      </c>
      <c r="AE19" s="1160">
        <f t="shared" si="71"/>
        <v>1</v>
      </c>
      <c r="AF19" s="1563">
        <f t="shared" si="20"/>
        <v>3.5732406462540001E-2</v>
      </c>
      <c r="AG19">
        <f t="shared" si="21"/>
        <v>3.5732406462540001E-2</v>
      </c>
      <c r="AH19" s="1160">
        <f t="shared" si="72"/>
        <v>0</v>
      </c>
      <c r="AI19" s="1563">
        <f t="shared" si="22"/>
        <v>1.035629921E-5</v>
      </c>
      <c r="AJ19">
        <f t="shared" si="23"/>
        <v>1.035629921E-5</v>
      </c>
      <c r="AK19" s="1160">
        <f t="shared" si="73"/>
        <v>0</v>
      </c>
      <c r="AL19" s="1563">
        <f t="shared" si="24"/>
        <v>8.6028649999999995</v>
      </c>
      <c r="AM19" t="e">
        <f t="shared" si="25"/>
        <v>#N/A</v>
      </c>
      <c r="AN19" s="1563">
        <f t="shared" si="26"/>
        <v>914.68796116365081</v>
      </c>
      <c r="AO19">
        <f t="shared" si="27"/>
        <v>915</v>
      </c>
      <c r="AP19" s="1160">
        <f t="shared" si="28"/>
        <v>1</v>
      </c>
      <c r="AQ19" s="1563">
        <f t="shared" si="29"/>
        <v>1.4134281061845642E-4</v>
      </c>
      <c r="AS19" s="1563">
        <f t="shared" si="30"/>
        <v>9702.0563889255081</v>
      </c>
      <c r="AU19" s="1563">
        <f t="shared" si="31"/>
        <v>9513.6490094439832</v>
      </c>
      <c r="AW19" s="1563">
        <f t="shared" si="32"/>
        <v>2148.9215470434897</v>
      </c>
      <c r="AY19" s="1592">
        <f t="shared" si="33"/>
        <v>1</v>
      </c>
      <c r="AZ19" s="821">
        <f t="shared" si="34"/>
        <v>1</v>
      </c>
      <c r="BA19" s="1160">
        <f t="shared" si="74"/>
        <v>0</v>
      </c>
      <c r="BB19" s="1592" t="str">
        <f t="shared" si="35"/>
        <v>--</v>
      </c>
      <c r="BC19" s="821" t="str">
        <f t="shared" si="36"/>
        <v/>
      </c>
      <c r="BD19" s="1160">
        <f t="shared" si="75"/>
        <v>0</v>
      </c>
      <c r="BE19" s="1592" t="str">
        <f t="shared" si="37"/>
        <v>Yes</v>
      </c>
      <c r="BF19" s="1592">
        <f t="shared" si="38"/>
        <v>2.3500000000000001E-3</v>
      </c>
      <c r="BG19" s="821">
        <f t="shared" si="39"/>
        <v>2.3500000000000001E-3</v>
      </c>
      <c r="BH19" s="1160">
        <f t="shared" si="76"/>
        <v>0</v>
      </c>
      <c r="BI19" s="1592">
        <f t="shared" si="40"/>
        <v>1</v>
      </c>
      <c r="BJ19" s="1592">
        <f t="shared" si="41"/>
        <v>1.4368879839439999E-2</v>
      </c>
      <c r="BK19" s="821">
        <f t="shared" si="42"/>
        <v>1.4368879839439999E-2</v>
      </c>
      <c r="BL19" s="1160">
        <f t="shared" si="77"/>
        <v>0</v>
      </c>
      <c r="BM19" s="1592">
        <f t="shared" si="43"/>
        <v>2.7361301368477902</v>
      </c>
      <c r="BN19" s="821">
        <f t="shared" si="44"/>
        <v>2.7361301368477902</v>
      </c>
      <c r="BO19" s="1160">
        <f t="shared" si="78"/>
        <v>0</v>
      </c>
      <c r="BP19" s="1592">
        <f t="shared" si="45"/>
        <v>6.5667123284346998</v>
      </c>
      <c r="BQ19" s="821">
        <f t="shared" si="46"/>
        <v>6.5667123284346998</v>
      </c>
      <c r="BR19" s="1160">
        <f t="shared" si="79"/>
        <v>0</v>
      </c>
      <c r="BS19" s="1592" t="str">
        <f t="shared" si="80"/>
        <v>--</v>
      </c>
      <c r="BT19" s="821">
        <f t="shared" si="81"/>
        <v>0</v>
      </c>
      <c r="BU19" s="1160">
        <f t="shared" si="82"/>
        <v>0</v>
      </c>
      <c r="BW19" s="75">
        <f t="shared" si="47"/>
        <v>7.9000000000000008E-3</v>
      </c>
      <c r="BX19" s="75" t="str">
        <f t="shared" si="48"/>
        <v>IRIS 1993</v>
      </c>
      <c r="BY19" s="75">
        <f t="shared" si="49"/>
        <v>7.9000000000000008E-3</v>
      </c>
      <c r="BZ19" s="75" t="str">
        <f t="shared" si="50"/>
        <v>I</v>
      </c>
      <c r="CA19" s="1670" t="str">
        <f t="shared" si="83"/>
        <v>--</v>
      </c>
      <c r="CB19" s="75">
        <f t="shared" si="51"/>
        <v>1.1000000000000001E-6</v>
      </c>
      <c r="CC19" s="75" t="str">
        <f t="shared" si="52"/>
        <v>IRIS 1993</v>
      </c>
      <c r="CD19" s="75">
        <f t="shared" si="53"/>
        <v>1.1000000000000001E-6</v>
      </c>
      <c r="CE19" s="75" t="str">
        <f t="shared" si="54"/>
        <v>I</v>
      </c>
      <c r="CF19" s="1670" t="str">
        <f t="shared" si="84"/>
        <v>--</v>
      </c>
      <c r="CG19" s="75">
        <f t="shared" si="55"/>
        <v>0.02</v>
      </c>
      <c r="CH19" s="75" t="str">
        <f t="shared" si="56"/>
        <v>IRIS 1993</v>
      </c>
      <c r="CI19" s="75">
        <f t="shared" si="57"/>
        <v>0.02</v>
      </c>
      <c r="CJ19" s="75" t="str">
        <f t="shared" si="58"/>
        <v>I</v>
      </c>
      <c r="CK19" s="1670" t="str">
        <f t="shared" si="85"/>
        <v>--</v>
      </c>
      <c r="CL19" s="75" t="str">
        <f t="shared" si="59"/>
        <v>--</v>
      </c>
      <c r="CM19" s="75" t="str">
        <f t="shared" si="60"/>
        <v xml:space="preserve"> </v>
      </c>
      <c r="CN19" s="75" t="str">
        <f t="shared" si="61"/>
        <v/>
      </c>
      <c r="CO19" s="75" t="str">
        <f t="shared" si="62"/>
        <v/>
      </c>
      <c r="CP19" s="1670" t="str">
        <f t="shared" si="86"/>
        <v>--</v>
      </c>
      <c r="CR19" s="1686" t="str">
        <f t="shared" si="87"/>
        <v>--</v>
      </c>
      <c r="CS19" s="1686" t="str">
        <f t="shared" si="88"/>
        <v>--</v>
      </c>
      <c r="CT19" s="1686" t="str">
        <f t="shared" si="89"/>
        <v>--</v>
      </c>
      <c r="CU19" s="1686" t="str">
        <f t="shared" si="90"/>
        <v>--</v>
      </c>
    </row>
    <row r="20" spans="1:99">
      <c r="A20" s="309" t="s">
        <v>111</v>
      </c>
      <c r="B20" s="427" t="s">
        <v>112</v>
      </c>
      <c r="C20" s="1563" t="str">
        <f t="shared" si="0"/>
        <v>O</v>
      </c>
      <c r="D20" t="e">
        <f t="shared" si="1"/>
        <v>#N/A</v>
      </c>
      <c r="E20" s="1563">
        <f t="shared" si="2"/>
        <v>-93.7</v>
      </c>
      <c r="F20">
        <f t="shared" si="3"/>
        <v>-93.7</v>
      </c>
      <c r="G20" s="1160">
        <f t="shared" si="63"/>
        <v>0</v>
      </c>
      <c r="H20" s="1563" t="str">
        <f t="shared" si="4"/>
        <v>V</v>
      </c>
      <c r="I20" t="str">
        <f t="shared" si="5"/>
        <v>V</v>
      </c>
      <c r="J20" s="1160">
        <f t="shared" si="64"/>
        <v>0</v>
      </c>
      <c r="K20" s="1563">
        <f t="shared" si="6"/>
        <v>94.938999999999993</v>
      </c>
      <c r="L20">
        <f t="shared" si="7"/>
        <v>94.938999999999993</v>
      </c>
      <c r="M20" s="1160">
        <f t="shared" si="65"/>
        <v>0</v>
      </c>
      <c r="N20" s="1563">
        <f t="shared" si="8"/>
        <v>1616</v>
      </c>
      <c r="O20">
        <f t="shared" si="9"/>
        <v>1616</v>
      </c>
      <c r="P20" s="1160">
        <f t="shared" si="66"/>
        <v>0</v>
      </c>
      <c r="Q20" s="1563">
        <f t="shared" si="10"/>
        <v>15200</v>
      </c>
      <c r="R20">
        <f t="shared" si="11"/>
        <v>15200</v>
      </c>
      <c r="S20" s="1160">
        <f t="shared" si="67"/>
        <v>0</v>
      </c>
      <c r="T20" s="1563">
        <f t="shared" si="12"/>
        <v>7.3400000000000002E-3</v>
      </c>
      <c r="U20">
        <f t="shared" si="13"/>
        <v>7.3400000000000002E-3</v>
      </c>
      <c r="V20" s="1160">
        <f t="shared" si="68"/>
        <v>0</v>
      </c>
      <c r="W20" s="1563">
        <f t="shared" si="14"/>
        <v>0.30008176614880999</v>
      </c>
      <c r="X20">
        <f t="shared" si="15"/>
        <v>0.30008176614880999</v>
      </c>
      <c r="Y20" s="1160">
        <f t="shared" si="69"/>
        <v>0</v>
      </c>
      <c r="Z20" s="1563">
        <f t="shared" si="16"/>
        <v>13.22</v>
      </c>
      <c r="AA20">
        <f t="shared" si="17"/>
        <v>13.22</v>
      </c>
      <c r="AB20" s="1160">
        <f t="shared" si="70"/>
        <v>0</v>
      </c>
      <c r="AC20" s="1563">
        <f t="shared" si="18"/>
        <v>7.9320000000000002E-2</v>
      </c>
      <c r="AD20" t="str">
        <f t="shared" si="19"/>
        <v/>
      </c>
      <c r="AE20" s="1160">
        <f t="shared" si="71"/>
        <v>1</v>
      </c>
      <c r="AF20" s="1563">
        <f t="shared" si="20"/>
        <v>0.10049762980352001</v>
      </c>
      <c r="AG20">
        <f t="shared" si="21"/>
        <v>0.10049762980352001</v>
      </c>
      <c r="AH20" s="1160">
        <f t="shared" si="72"/>
        <v>0</v>
      </c>
      <c r="AI20" s="1563">
        <f t="shared" si="22"/>
        <v>1.3467644350000001E-5</v>
      </c>
      <c r="AJ20">
        <f t="shared" si="23"/>
        <v>1.3467644350000001E-5</v>
      </c>
      <c r="AK20" s="1160">
        <f t="shared" si="73"/>
        <v>0</v>
      </c>
      <c r="AL20" s="1563">
        <f t="shared" si="24"/>
        <v>47.753900000000002</v>
      </c>
      <c r="AM20" t="e">
        <f t="shared" si="25"/>
        <v>#N/A</v>
      </c>
      <c r="AN20" s="1563">
        <f t="shared" si="26"/>
        <v>3589.1445638264377</v>
      </c>
      <c r="AO20">
        <f t="shared" si="27"/>
        <v>3590</v>
      </c>
      <c r="AP20" s="1160">
        <f t="shared" si="28"/>
        <v>1</v>
      </c>
      <c r="AQ20" s="1563">
        <f t="shared" si="29"/>
        <v>6.8047380900703022E-3</v>
      </c>
      <c r="AS20" s="1563">
        <f t="shared" si="30"/>
        <v>1398.2825855183567</v>
      </c>
      <c r="AU20" s="1563">
        <f t="shared" si="31"/>
        <v>1371.1288825144368</v>
      </c>
      <c r="AW20" s="1563">
        <f t="shared" si="32"/>
        <v>309.70749461999935</v>
      </c>
      <c r="AY20" s="1592">
        <f t="shared" si="33"/>
        <v>1</v>
      </c>
      <c r="AZ20" s="821">
        <f t="shared" si="34"/>
        <v>1</v>
      </c>
      <c r="BA20" s="1160">
        <f t="shared" si="74"/>
        <v>0</v>
      </c>
      <c r="BB20" s="1592" t="str">
        <f t="shared" si="35"/>
        <v>--</v>
      </c>
      <c r="BC20" s="821" t="str">
        <f t="shared" si="36"/>
        <v/>
      </c>
      <c r="BD20" s="1160">
        <f t="shared" si="75"/>
        <v>0</v>
      </c>
      <c r="BE20" s="1592" t="str">
        <f t="shared" si="37"/>
        <v>Yes</v>
      </c>
      <c r="BF20" s="1592">
        <f t="shared" si="38"/>
        <v>2.8400000000000001E-3</v>
      </c>
      <c r="BG20" s="821">
        <f t="shared" si="39"/>
        <v>2.8400000000000001E-3</v>
      </c>
      <c r="BH20" s="1160">
        <f t="shared" si="76"/>
        <v>0</v>
      </c>
      <c r="BI20" s="1592">
        <f t="shared" si="40"/>
        <v>1</v>
      </c>
      <c r="BJ20" s="1592">
        <f t="shared" si="41"/>
        <v>1.0643079802969999E-2</v>
      </c>
      <c r="BK20" s="821">
        <f t="shared" si="42"/>
        <v>1.0643079802969999E-2</v>
      </c>
      <c r="BL20" s="1160">
        <f t="shared" si="77"/>
        <v>0</v>
      </c>
      <c r="BM20" s="1592">
        <f t="shared" si="43"/>
        <v>0.35769028904016997</v>
      </c>
      <c r="BN20" s="821">
        <f t="shared" si="44"/>
        <v>0.35769028904016997</v>
      </c>
      <c r="BO20" s="1160">
        <f t="shared" si="78"/>
        <v>0</v>
      </c>
      <c r="BP20" s="1592">
        <f t="shared" si="45"/>
        <v>0.85845669369641997</v>
      </c>
      <c r="BQ20" s="821">
        <f t="shared" si="46"/>
        <v>0.85845669369641997</v>
      </c>
      <c r="BR20" s="1160">
        <f t="shared" si="79"/>
        <v>0</v>
      </c>
      <c r="BS20" s="1592" t="str">
        <f t="shared" si="80"/>
        <v>--</v>
      </c>
      <c r="BT20" s="821">
        <f t="shared" si="81"/>
        <v>0</v>
      </c>
      <c r="BU20" s="1160">
        <f t="shared" si="82"/>
        <v>0</v>
      </c>
      <c r="BW20" s="75" t="str">
        <f t="shared" si="47"/>
        <v>--</v>
      </c>
      <c r="BX20" s="75" t="str">
        <f t="shared" si="48"/>
        <v xml:space="preserve"> </v>
      </c>
      <c r="BY20" s="75" t="str">
        <f t="shared" si="49"/>
        <v/>
      </c>
      <c r="BZ20" s="75" t="str">
        <f t="shared" si="50"/>
        <v/>
      </c>
      <c r="CA20" s="1670" t="str">
        <f t="shared" si="83"/>
        <v>--</v>
      </c>
      <c r="CB20" s="75" t="str">
        <f t="shared" si="51"/>
        <v>--</v>
      </c>
      <c r="CC20" s="75" t="str">
        <f t="shared" si="52"/>
        <v xml:space="preserve"> </v>
      </c>
      <c r="CD20" s="75" t="str">
        <f t="shared" si="53"/>
        <v/>
      </c>
      <c r="CE20" s="75" t="str">
        <f t="shared" si="54"/>
        <v/>
      </c>
      <c r="CF20" s="1670" t="str">
        <f t="shared" si="84"/>
        <v>--</v>
      </c>
      <c r="CG20" s="75">
        <f t="shared" si="55"/>
        <v>1.4E-3</v>
      </c>
      <c r="CH20" s="75" t="str">
        <f t="shared" si="56"/>
        <v>IRIS 1992</v>
      </c>
      <c r="CI20" s="75">
        <f t="shared" si="57"/>
        <v>1.4E-3</v>
      </c>
      <c r="CJ20" s="75" t="str">
        <f t="shared" si="58"/>
        <v>I</v>
      </c>
      <c r="CK20" s="1670" t="str">
        <f t="shared" si="85"/>
        <v>--</v>
      </c>
      <c r="CL20" s="75">
        <f t="shared" si="59"/>
        <v>5</v>
      </c>
      <c r="CM20" s="75" t="str">
        <f t="shared" si="60"/>
        <v>IRIS 1992</v>
      </c>
      <c r="CN20" s="75">
        <f t="shared" si="61"/>
        <v>5</v>
      </c>
      <c r="CO20" s="75" t="str">
        <f t="shared" si="62"/>
        <v>I</v>
      </c>
      <c r="CP20" s="1670" t="str">
        <f t="shared" si="86"/>
        <v>--</v>
      </c>
      <c r="CR20" s="1686" t="str">
        <f t="shared" si="87"/>
        <v>--</v>
      </c>
      <c r="CS20" s="1686" t="str">
        <f t="shared" si="88"/>
        <v>--</v>
      </c>
      <c r="CT20" s="1686" t="str">
        <f t="shared" si="89"/>
        <v>--</v>
      </c>
      <c r="CU20" s="1686" t="str">
        <f t="shared" si="90"/>
        <v>--</v>
      </c>
    </row>
    <row r="21" spans="1:99">
      <c r="A21" s="309" t="s">
        <v>113</v>
      </c>
      <c r="B21" s="427" t="s">
        <v>114</v>
      </c>
      <c r="C21" s="1563" t="str">
        <f t="shared" si="0"/>
        <v>I</v>
      </c>
      <c r="D21" t="e">
        <f t="shared" si="1"/>
        <v>#N/A</v>
      </c>
      <c r="E21" s="1563">
        <f t="shared" si="2"/>
        <v>321</v>
      </c>
      <c r="F21">
        <f t="shared" si="3"/>
        <v>321</v>
      </c>
      <c r="G21" s="1160">
        <f t="shared" si="63"/>
        <v>0</v>
      </c>
      <c r="H21" s="1563" t="str">
        <f t="shared" si="4"/>
        <v>NV</v>
      </c>
      <c r="I21">
        <f t="shared" si="5"/>
        <v>0</v>
      </c>
      <c r="J21" s="1160">
        <f t="shared" si="64"/>
        <v>0</v>
      </c>
      <c r="K21" s="1563">
        <f t="shared" si="6"/>
        <v>112.4</v>
      </c>
      <c r="L21">
        <f t="shared" si="7"/>
        <v>112.4</v>
      </c>
      <c r="M21" s="1160">
        <f t="shared" si="65"/>
        <v>0</v>
      </c>
      <c r="N21" s="1563" t="str">
        <f t="shared" si="8"/>
        <v>--</v>
      </c>
      <c r="O21">
        <f t="shared" si="9"/>
        <v>0</v>
      </c>
      <c r="P21" s="1160">
        <f t="shared" si="66"/>
        <v>0</v>
      </c>
      <c r="Q21" s="1563" t="str">
        <f t="shared" si="10"/>
        <v>--</v>
      </c>
      <c r="R21" t="str">
        <f t="shared" si="11"/>
        <v/>
      </c>
      <c r="S21" s="1160">
        <f t="shared" si="67"/>
        <v>0</v>
      </c>
      <c r="T21" s="1563" t="str">
        <f t="shared" si="12"/>
        <v>--</v>
      </c>
      <c r="U21" t="str">
        <f t="shared" si="13"/>
        <v/>
      </c>
      <c r="V21" s="1160">
        <f t="shared" si="68"/>
        <v>0</v>
      </c>
      <c r="W21" s="1563" t="str">
        <f t="shared" si="14"/>
        <v>--</v>
      </c>
      <c r="X21" t="str">
        <f t="shared" si="15"/>
        <v/>
      </c>
      <c r="Y21" s="1160">
        <f t="shared" si="69"/>
        <v>0</v>
      </c>
      <c r="Z21" s="1563" t="str">
        <f t="shared" si="16"/>
        <v>--</v>
      </c>
      <c r="AA21" t="str">
        <f t="shared" si="17"/>
        <v/>
      </c>
      <c r="AB21" s="1160">
        <f t="shared" si="70"/>
        <v>0</v>
      </c>
      <c r="AC21" s="1563">
        <f t="shared" si="18"/>
        <v>75</v>
      </c>
      <c r="AD21">
        <f t="shared" si="19"/>
        <v>75</v>
      </c>
      <c r="AE21" s="1160">
        <f t="shared" si="71"/>
        <v>0</v>
      </c>
      <c r="AF21" s="1563">
        <f t="shared" si="20"/>
        <v>0.15895116425483</v>
      </c>
      <c r="AG21">
        <f t="shared" si="21"/>
        <v>0.15895116425483</v>
      </c>
      <c r="AH21" s="1160">
        <f t="shared" si="72"/>
        <v>0</v>
      </c>
      <c r="AI21" s="1563">
        <f t="shared" si="22"/>
        <v>3.2675621039999999E-5</v>
      </c>
      <c r="AJ21">
        <f t="shared" si="23"/>
        <v>3.2675621039999999E-5</v>
      </c>
      <c r="AK21" s="1160">
        <f t="shared" si="73"/>
        <v>0</v>
      </c>
      <c r="AL21" s="1563" t="str">
        <f t="shared" si="24"/>
        <v>--</v>
      </c>
      <c r="AM21" t="e">
        <f t="shared" si="25"/>
        <v>#N/A</v>
      </c>
      <c r="AN21" s="1563" t="str">
        <f t="shared" si="26"/>
        <v>--</v>
      </c>
      <c r="AO21" t="str">
        <f t="shared" si="27"/>
        <v/>
      </c>
      <c r="AP21" s="1160">
        <f t="shared" si="28"/>
        <v>1</v>
      </c>
      <c r="AQ21" s="1563" t="str">
        <f t="shared" si="29"/>
        <v>--</v>
      </c>
      <c r="AS21" s="1563" t="str">
        <f t="shared" si="30"/>
        <v>--</v>
      </c>
      <c r="AU21" s="1563" t="str">
        <f t="shared" si="31"/>
        <v>--</v>
      </c>
      <c r="AW21" s="1563" t="str">
        <f t="shared" si="32"/>
        <v>--</v>
      </c>
      <c r="AY21" s="1592">
        <f t="shared" si="33"/>
        <v>2.5000000000000001E-2</v>
      </c>
      <c r="AZ21" s="821">
        <f t="shared" si="34"/>
        <v>2.5000000000000001E-2</v>
      </c>
      <c r="BA21" s="1160">
        <f t="shared" si="74"/>
        <v>0</v>
      </c>
      <c r="BB21" s="1592">
        <f t="shared" si="35"/>
        <v>1E-3</v>
      </c>
      <c r="BC21" s="821">
        <f t="shared" si="36"/>
        <v>1E-3</v>
      </c>
      <c r="BD21" s="1160">
        <f t="shared" si="75"/>
        <v>0</v>
      </c>
      <c r="BE21" s="1592" t="str">
        <f t="shared" si="37"/>
        <v>Yes</v>
      </c>
      <c r="BF21" s="1592">
        <f t="shared" si="38"/>
        <v>1E-3</v>
      </c>
      <c r="BG21" s="821">
        <f t="shared" si="39"/>
        <v>1E-3</v>
      </c>
      <c r="BH21" s="1160">
        <f t="shared" si="76"/>
        <v>0</v>
      </c>
      <c r="BI21" s="1592">
        <f t="shared" si="40"/>
        <v>1</v>
      </c>
      <c r="BJ21" s="1592">
        <f t="shared" si="41"/>
        <v>4.0776487017499998E-3</v>
      </c>
      <c r="BK21" s="821">
        <f t="shared" si="42"/>
        <v>4.0776487017499998E-3</v>
      </c>
      <c r="BL21" s="1160">
        <f t="shared" si="77"/>
        <v>0</v>
      </c>
      <c r="BM21" s="1592">
        <f t="shared" si="43"/>
        <v>0.44801107455104</v>
      </c>
      <c r="BN21" s="821">
        <f t="shared" si="44"/>
        <v>0.44801107455104</v>
      </c>
      <c r="BO21" s="1160">
        <f t="shared" si="78"/>
        <v>0</v>
      </c>
      <c r="BP21" s="1592">
        <f t="shared" si="45"/>
        <v>1.07522657892249</v>
      </c>
      <c r="BQ21" s="821">
        <f t="shared" si="46"/>
        <v>1.07522657892249</v>
      </c>
      <c r="BR21" s="1160">
        <f t="shared" si="79"/>
        <v>0</v>
      </c>
      <c r="BS21" s="1592" t="str">
        <f t="shared" si="80"/>
        <v>--</v>
      </c>
      <c r="BT21" s="821">
        <f t="shared" si="81"/>
        <v>0</v>
      </c>
      <c r="BU21" s="1160">
        <f t="shared" si="82"/>
        <v>0</v>
      </c>
      <c r="BW21" s="75" t="str">
        <f t="shared" si="47"/>
        <v>--</v>
      </c>
      <c r="BX21" s="75" t="str">
        <f t="shared" si="48"/>
        <v xml:space="preserve"> </v>
      </c>
      <c r="BY21" s="75" t="str">
        <f t="shared" si="49"/>
        <v/>
      </c>
      <c r="BZ21" s="75" t="str">
        <f t="shared" si="50"/>
        <v/>
      </c>
      <c r="CA21" s="1670" t="str">
        <f t="shared" si="83"/>
        <v>--</v>
      </c>
      <c r="CB21" s="75">
        <f t="shared" si="51"/>
        <v>4.1999999999999997E-3</v>
      </c>
      <c r="CC21" s="75" t="str">
        <f t="shared" si="52"/>
        <v>OEHHA 2009</v>
      </c>
      <c r="CD21" s="75">
        <f t="shared" si="53"/>
        <v>1.8E-3</v>
      </c>
      <c r="CE21" s="75" t="str">
        <f t="shared" si="54"/>
        <v>I</v>
      </c>
      <c r="CF21" s="1671" t="str">
        <f t="shared" si="84"/>
        <v>check</v>
      </c>
      <c r="CG21" s="75">
        <f t="shared" si="55"/>
        <v>1E-4</v>
      </c>
      <c r="CH21" s="75" t="str">
        <f t="shared" si="56"/>
        <v>ATSDR 2012*</v>
      </c>
      <c r="CI21" s="75">
        <f t="shared" si="57"/>
        <v>1E-4</v>
      </c>
      <c r="CJ21" s="75" t="str">
        <f t="shared" si="58"/>
        <v>A</v>
      </c>
      <c r="CK21" s="1670" t="str">
        <f t="shared" si="85"/>
        <v>--</v>
      </c>
      <c r="CL21" s="75">
        <f t="shared" si="59"/>
        <v>0.01</v>
      </c>
      <c r="CM21" s="75" t="str">
        <f t="shared" si="60"/>
        <v>ATSDR 2012</v>
      </c>
      <c r="CN21" s="75">
        <f t="shared" si="61"/>
        <v>0.01</v>
      </c>
      <c r="CO21" s="75" t="str">
        <f t="shared" si="62"/>
        <v>A</v>
      </c>
      <c r="CP21" s="1670" t="str">
        <f t="shared" si="86"/>
        <v>--</v>
      </c>
      <c r="CR21" s="1686" t="str">
        <f t="shared" si="87"/>
        <v>--</v>
      </c>
      <c r="CS21" s="1686" t="str">
        <f t="shared" si="88"/>
        <v>x</v>
      </c>
      <c r="CT21" s="1686" t="str">
        <f t="shared" si="89"/>
        <v>--</v>
      </c>
      <c r="CU21" s="1686" t="str">
        <f t="shared" si="90"/>
        <v>--</v>
      </c>
    </row>
    <row r="22" spans="1:99">
      <c r="A22" s="309" t="s">
        <v>116</v>
      </c>
      <c r="B22" s="427" t="s">
        <v>114</v>
      </c>
      <c r="C22" s="1563" t="str">
        <f t="shared" si="0"/>
        <v>I</v>
      </c>
      <c r="D22" t="e">
        <f t="shared" si="1"/>
        <v>#N/A</v>
      </c>
      <c r="E22" s="1563">
        <f t="shared" si="2"/>
        <v>321</v>
      </c>
      <c r="F22">
        <f t="shared" si="3"/>
        <v>321</v>
      </c>
      <c r="G22" s="1160">
        <f t="shared" si="63"/>
        <v>0</v>
      </c>
      <c r="H22" s="1563" t="str">
        <f t="shared" si="4"/>
        <v>NV</v>
      </c>
      <c r="I22">
        <f t="shared" si="5"/>
        <v>0</v>
      </c>
      <c r="J22" s="1160">
        <f t="shared" si="64"/>
        <v>0</v>
      </c>
      <c r="K22" s="1563">
        <f t="shared" si="6"/>
        <v>112.4</v>
      </c>
      <c r="L22">
        <f t="shared" si="7"/>
        <v>112.4</v>
      </c>
      <c r="M22" s="1160">
        <f t="shared" si="65"/>
        <v>0</v>
      </c>
      <c r="N22" s="1563" t="str">
        <f t="shared" si="8"/>
        <v>--</v>
      </c>
      <c r="O22">
        <f t="shared" si="9"/>
        <v>0</v>
      </c>
      <c r="P22" s="1160">
        <f t="shared" si="66"/>
        <v>0</v>
      </c>
      <c r="Q22" s="1563" t="str">
        <f t="shared" si="10"/>
        <v>--</v>
      </c>
      <c r="R22" t="str">
        <f t="shared" si="11"/>
        <v/>
      </c>
      <c r="S22" s="1160">
        <f t="shared" si="67"/>
        <v>0</v>
      </c>
      <c r="T22" s="1563" t="str">
        <f t="shared" si="12"/>
        <v>--</v>
      </c>
      <c r="U22" t="str">
        <f t="shared" si="13"/>
        <v/>
      </c>
      <c r="V22" s="1160">
        <f t="shared" si="68"/>
        <v>0</v>
      </c>
      <c r="W22" s="1563" t="str">
        <f t="shared" si="14"/>
        <v>--</v>
      </c>
      <c r="X22" t="str">
        <f t="shared" si="15"/>
        <v/>
      </c>
      <c r="Y22" s="1160">
        <f t="shared" si="69"/>
        <v>0</v>
      </c>
      <c r="Z22" s="1563" t="str">
        <f t="shared" si="16"/>
        <v>--</v>
      </c>
      <c r="AA22" t="str">
        <f t="shared" si="17"/>
        <v/>
      </c>
      <c r="AB22" s="1160">
        <f t="shared" si="70"/>
        <v>0</v>
      </c>
      <c r="AC22" s="1563">
        <f t="shared" si="18"/>
        <v>75</v>
      </c>
      <c r="AD22">
        <f t="shared" si="19"/>
        <v>75</v>
      </c>
      <c r="AE22" s="1160">
        <f t="shared" si="71"/>
        <v>0</v>
      </c>
      <c r="AF22" s="1563">
        <f t="shared" si="20"/>
        <v>0.15895116425483</v>
      </c>
      <c r="AG22">
        <f t="shared" si="21"/>
        <v>0.15895116425483</v>
      </c>
      <c r="AH22" s="1160">
        <f t="shared" si="72"/>
        <v>0</v>
      </c>
      <c r="AI22" s="1563">
        <f t="shared" si="22"/>
        <v>3.2675621039999999E-5</v>
      </c>
      <c r="AJ22">
        <f t="shared" si="23"/>
        <v>3.2675621039999999E-5</v>
      </c>
      <c r="AK22" s="1160">
        <f t="shared" si="73"/>
        <v>0</v>
      </c>
      <c r="AL22" s="1563" t="str">
        <f t="shared" si="24"/>
        <v>--</v>
      </c>
      <c r="AM22" t="e">
        <f t="shared" si="25"/>
        <v>#N/A</v>
      </c>
      <c r="AN22" s="1563" t="str">
        <f t="shared" si="26"/>
        <v>--</v>
      </c>
      <c r="AO22" t="str">
        <f t="shared" si="27"/>
        <v/>
      </c>
      <c r="AP22" s="1160">
        <f t="shared" si="28"/>
        <v>1</v>
      </c>
      <c r="AQ22" s="1563" t="str">
        <f t="shared" si="29"/>
        <v>--</v>
      </c>
      <c r="AS22" s="1563" t="str">
        <f t="shared" si="30"/>
        <v>--</v>
      </c>
      <c r="AU22" s="1563" t="str">
        <f t="shared" si="31"/>
        <v>--</v>
      </c>
      <c r="AW22" s="1563" t="str">
        <f t="shared" si="32"/>
        <v>--</v>
      </c>
      <c r="AY22" s="1592">
        <f t="shared" si="33"/>
        <v>2.5000000000000001E-2</v>
      </c>
      <c r="AZ22" s="821">
        <f t="shared" si="34"/>
        <v>2.5000000000000001E-2</v>
      </c>
      <c r="BA22" s="1160">
        <f t="shared" si="74"/>
        <v>0</v>
      </c>
      <c r="BB22" s="1592">
        <f t="shared" si="35"/>
        <v>1E-3</v>
      </c>
      <c r="BC22" s="821">
        <f t="shared" si="36"/>
        <v>1E-3</v>
      </c>
      <c r="BD22" s="1160">
        <f t="shared" si="75"/>
        <v>0</v>
      </c>
      <c r="BE22" s="1592" t="str">
        <f t="shared" si="37"/>
        <v>Yes</v>
      </c>
      <c r="BF22" s="1592">
        <f t="shared" si="38"/>
        <v>1E-3</v>
      </c>
      <c r="BG22" s="821">
        <f t="shared" si="39"/>
        <v>1E-3</v>
      </c>
      <c r="BH22" s="1160">
        <f t="shared" si="76"/>
        <v>0</v>
      </c>
      <c r="BI22" s="1592">
        <f t="shared" si="40"/>
        <v>1</v>
      </c>
      <c r="BJ22" s="1592">
        <f t="shared" si="41"/>
        <v>4.0776487017499998E-3</v>
      </c>
      <c r="BK22" s="821">
        <f t="shared" si="42"/>
        <v>4.0776487017499998E-3</v>
      </c>
      <c r="BL22" s="1160">
        <f t="shared" si="77"/>
        <v>0</v>
      </c>
      <c r="BM22" s="1592">
        <f t="shared" si="43"/>
        <v>0.44801107455104</v>
      </c>
      <c r="BN22" s="821">
        <f t="shared" si="44"/>
        <v>0.44801107455104</v>
      </c>
      <c r="BO22" s="1160">
        <f t="shared" si="78"/>
        <v>0</v>
      </c>
      <c r="BP22" s="1592">
        <f t="shared" si="45"/>
        <v>1.07522657892249</v>
      </c>
      <c r="BQ22" s="821">
        <f t="shared" si="46"/>
        <v>1.07522657892249</v>
      </c>
      <c r="BR22" s="1160">
        <f t="shared" si="79"/>
        <v>0</v>
      </c>
      <c r="BS22" s="1592" t="str">
        <f t="shared" si="80"/>
        <v>--</v>
      </c>
      <c r="BT22" s="821">
        <f t="shared" si="81"/>
        <v>0</v>
      </c>
      <c r="BU22" s="1160">
        <f t="shared" si="82"/>
        <v>0</v>
      </c>
      <c r="BW22" s="75" t="str">
        <f t="shared" si="47"/>
        <v>--</v>
      </c>
      <c r="BX22" s="75" t="str">
        <f t="shared" si="48"/>
        <v xml:space="preserve"> </v>
      </c>
      <c r="BY22" s="75" t="str">
        <f t="shared" si="49"/>
        <v/>
      </c>
      <c r="BZ22" s="75" t="str">
        <f t="shared" si="50"/>
        <v/>
      </c>
      <c r="CA22" s="1670" t="str">
        <f t="shared" si="83"/>
        <v>--</v>
      </c>
      <c r="CB22" s="75">
        <f t="shared" si="51"/>
        <v>4.1999999999999997E-3</v>
      </c>
      <c r="CC22" s="75" t="str">
        <f t="shared" si="52"/>
        <v>OEHHA 2009</v>
      </c>
      <c r="CD22" s="75">
        <f t="shared" si="53"/>
        <v>1.8E-3</v>
      </c>
      <c r="CE22" s="75" t="str">
        <f t="shared" si="54"/>
        <v>I</v>
      </c>
      <c r="CF22" s="1671" t="str">
        <f t="shared" si="84"/>
        <v>check</v>
      </c>
      <c r="CG22" s="75">
        <f t="shared" si="55"/>
        <v>1E-4</v>
      </c>
      <c r="CH22" s="75" t="str">
        <f t="shared" si="56"/>
        <v>ATSDR 2012*</v>
      </c>
      <c r="CI22" s="75">
        <f t="shared" si="57"/>
        <v>1E-4</v>
      </c>
      <c r="CJ22" s="75" t="str">
        <f t="shared" si="58"/>
        <v>A</v>
      </c>
      <c r="CK22" s="1670" t="str">
        <f t="shared" si="85"/>
        <v>--</v>
      </c>
      <c r="CL22" s="75">
        <f t="shared" si="59"/>
        <v>0.01</v>
      </c>
      <c r="CM22" s="75" t="str">
        <f t="shared" si="60"/>
        <v>ATSDR 2012</v>
      </c>
      <c r="CN22" s="75">
        <f t="shared" si="61"/>
        <v>0.01</v>
      </c>
      <c r="CO22" s="75" t="str">
        <f t="shared" si="62"/>
        <v>A</v>
      </c>
      <c r="CP22" s="1670" t="str">
        <f t="shared" si="86"/>
        <v>--</v>
      </c>
      <c r="CR22" s="1686" t="str">
        <f t="shared" si="87"/>
        <v>--</v>
      </c>
      <c r="CS22" s="1686" t="str">
        <f t="shared" si="88"/>
        <v>x</v>
      </c>
      <c r="CT22" s="1686" t="str">
        <f t="shared" si="89"/>
        <v>--</v>
      </c>
      <c r="CU22" s="1686" t="str">
        <f t="shared" si="90"/>
        <v>--</v>
      </c>
    </row>
    <row r="23" spans="1:99">
      <c r="A23" s="309" t="s">
        <v>117</v>
      </c>
      <c r="B23" s="427" t="s">
        <v>118</v>
      </c>
      <c r="C23" s="1563" t="str">
        <f t="shared" si="0"/>
        <v>O</v>
      </c>
      <c r="D23" t="e">
        <f t="shared" si="1"/>
        <v>#N/A</v>
      </c>
      <c r="E23" s="1563">
        <f t="shared" si="2"/>
        <v>-23</v>
      </c>
      <c r="F23">
        <f t="shared" si="3"/>
        <v>-23</v>
      </c>
      <c r="G23" s="1160">
        <f t="shared" si="63"/>
        <v>0</v>
      </c>
      <c r="H23" s="1563" t="str">
        <f t="shared" si="4"/>
        <v>V</v>
      </c>
      <c r="I23" t="str">
        <f t="shared" si="5"/>
        <v>V</v>
      </c>
      <c r="J23" s="1160">
        <f t="shared" si="64"/>
        <v>0</v>
      </c>
      <c r="K23" s="1563">
        <f t="shared" si="6"/>
        <v>153.82</v>
      </c>
      <c r="L23">
        <f t="shared" si="7"/>
        <v>153.82</v>
      </c>
      <c r="M23" s="1160">
        <f t="shared" si="65"/>
        <v>0</v>
      </c>
      <c r="N23" s="1563">
        <f t="shared" si="8"/>
        <v>115</v>
      </c>
      <c r="O23">
        <f t="shared" si="9"/>
        <v>115</v>
      </c>
      <c r="P23" s="1160">
        <f t="shared" si="66"/>
        <v>0</v>
      </c>
      <c r="Q23" s="1563">
        <f t="shared" si="10"/>
        <v>793</v>
      </c>
      <c r="R23">
        <f t="shared" si="11"/>
        <v>793</v>
      </c>
      <c r="S23" s="1160">
        <f t="shared" si="67"/>
        <v>0</v>
      </c>
      <c r="T23" s="1563">
        <f t="shared" si="12"/>
        <v>2.76E-2</v>
      </c>
      <c r="U23">
        <f t="shared" si="13"/>
        <v>2.76E-2</v>
      </c>
      <c r="V23" s="1160">
        <f t="shared" si="68"/>
        <v>0</v>
      </c>
      <c r="W23" s="1563">
        <f t="shared" si="14"/>
        <v>1.12837285363859</v>
      </c>
      <c r="X23">
        <f t="shared" si="15"/>
        <v>1.12837285363859</v>
      </c>
      <c r="Y23" s="1160">
        <f t="shared" si="69"/>
        <v>0</v>
      </c>
      <c r="Z23" s="1563">
        <f t="shared" si="16"/>
        <v>43.89</v>
      </c>
      <c r="AA23">
        <f t="shared" si="17"/>
        <v>43.89</v>
      </c>
      <c r="AB23" s="1160">
        <f t="shared" si="70"/>
        <v>0</v>
      </c>
      <c r="AC23" s="1563">
        <f t="shared" si="18"/>
        <v>0.26334000000000002</v>
      </c>
      <c r="AD23" t="str">
        <f t="shared" si="19"/>
        <v/>
      </c>
      <c r="AE23" s="1160">
        <f t="shared" si="71"/>
        <v>1</v>
      </c>
      <c r="AF23" s="1563">
        <f t="shared" si="20"/>
        <v>5.714346500735E-2</v>
      </c>
      <c r="AG23">
        <f t="shared" si="21"/>
        <v>5.714346500735E-2</v>
      </c>
      <c r="AH23" s="1160">
        <f t="shared" si="72"/>
        <v>0</v>
      </c>
      <c r="AI23" s="1563">
        <f t="shared" si="22"/>
        <v>9.7849154555900008E-6</v>
      </c>
      <c r="AJ23">
        <f t="shared" si="23"/>
        <v>9.7849154555900008E-6</v>
      </c>
      <c r="AK23" s="1160">
        <f t="shared" si="73"/>
        <v>0</v>
      </c>
      <c r="AL23" s="1563">
        <f t="shared" si="24"/>
        <v>178.59894</v>
      </c>
      <c r="AM23" t="e">
        <f t="shared" si="25"/>
        <v>#N/A</v>
      </c>
      <c r="AN23" s="1563">
        <f t="shared" si="26"/>
        <v>457.52151405884018</v>
      </c>
      <c r="AO23">
        <f t="shared" si="27"/>
        <v>458</v>
      </c>
      <c r="AP23" s="1160">
        <f t="shared" si="28"/>
        <v>1</v>
      </c>
      <c r="AQ23" s="1563">
        <f t="shared" si="29"/>
        <v>5.9542760086406547E-3</v>
      </c>
      <c r="AS23" s="1563">
        <f t="shared" si="30"/>
        <v>1494.8106204229816</v>
      </c>
      <c r="AU23" s="1563">
        <f t="shared" si="31"/>
        <v>1465.782408204331</v>
      </c>
      <c r="AW23" s="1563">
        <f t="shared" si="32"/>
        <v>331.08761918174565</v>
      </c>
      <c r="AY23" s="1592">
        <f t="shared" si="33"/>
        <v>1</v>
      </c>
      <c r="AZ23" s="821">
        <f t="shared" si="34"/>
        <v>1</v>
      </c>
      <c r="BA23" s="1160">
        <f t="shared" si="74"/>
        <v>0</v>
      </c>
      <c r="BB23" s="1592" t="str">
        <f t="shared" si="35"/>
        <v>--</v>
      </c>
      <c r="BC23" s="821" t="str">
        <f t="shared" si="36"/>
        <v/>
      </c>
      <c r="BD23" s="1160">
        <f t="shared" si="75"/>
        <v>0</v>
      </c>
      <c r="BE23" s="1592" t="str">
        <f t="shared" si="37"/>
        <v>Yes</v>
      </c>
      <c r="BF23" s="1592">
        <f t="shared" si="38"/>
        <v>1.6299999999999999E-2</v>
      </c>
      <c r="BG23" s="821">
        <f t="shared" si="39"/>
        <v>1.6299999999999999E-2</v>
      </c>
      <c r="BH23" s="1160">
        <f t="shared" si="76"/>
        <v>0</v>
      </c>
      <c r="BI23" s="1592">
        <f t="shared" si="40"/>
        <v>1</v>
      </c>
      <c r="BJ23" s="1592">
        <f t="shared" si="41"/>
        <v>7.7753627552890003E-2</v>
      </c>
      <c r="BK23" s="821">
        <f t="shared" si="42"/>
        <v>7.7753627552890003E-2</v>
      </c>
      <c r="BL23" s="1160">
        <f t="shared" si="77"/>
        <v>0</v>
      </c>
      <c r="BM23" s="1592">
        <f t="shared" si="43"/>
        <v>0.76425933063897</v>
      </c>
      <c r="BN23" s="821">
        <f t="shared" si="44"/>
        <v>0.76425933063897</v>
      </c>
      <c r="BO23" s="1160">
        <f t="shared" si="78"/>
        <v>0</v>
      </c>
      <c r="BP23" s="1592">
        <f t="shared" si="45"/>
        <v>1.83422239353354</v>
      </c>
      <c r="BQ23" s="821">
        <f t="shared" si="46"/>
        <v>1.83422239353354</v>
      </c>
      <c r="BR23" s="1160">
        <f t="shared" si="79"/>
        <v>0</v>
      </c>
      <c r="BS23" s="1592" t="str">
        <f t="shared" si="80"/>
        <v>--</v>
      </c>
      <c r="BT23" s="821">
        <f t="shared" si="81"/>
        <v>0</v>
      </c>
      <c r="BU23" s="1160">
        <f t="shared" si="82"/>
        <v>0</v>
      </c>
      <c r="BW23" s="75">
        <f t="shared" si="47"/>
        <v>7.0000000000000007E-2</v>
      </c>
      <c r="BX23" s="75" t="str">
        <f t="shared" si="48"/>
        <v>IRIS 2010</v>
      </c>
      <c r="BY23" s="75">
        <f t="shared" si="49"/>
        <v>7.0000000000000007E-2</v>
      </c>
      <c r="BZ23" s="75" t="str">
        <f t="shared" si="50"/>
        <v>I</v>
      </c>
      <c r="CA23" s="1670" t="str">
        <f t="shared" si="83"/>
        <v>--</v>
      </c>
      <c r="CB23" s="75">
        <f t="shared" si="51"/>
        <v>6.0000000000000002E-6</v>
      </c>
      <c r="CC23" s="75" t="str">
        <f t="shared" si="52"/>
        <v>IRIS 2010</v>
      </c>
      <c r="CD23" s="75">
        <f t="shared" si="53"/>
        <v>6.0000000000000002E-6</v>
      </c>
      <c r="CE23" s="75" t="str">
        <f t="shared" si="54"/>
        <v>I</v>
      </c>
      <c r="CF23" s="1670" t="str">
        <f t="shared" si="84"/>
        <v>--</v>
      </c>
      <c r="CG23" s="75">
        <f t="shared" si="55"/>
        <v>4.0000000000000001E-3</v>
      </c>
      <c r="CH23" s="75" t="str">
        <f t="shared" si="56"/>
        <v>IRIS 2010</v>
      </c>
      <c r="CI23" s="75">
        <f t="shared" si="57"/>
        <v>4.0000000000000001E-3</v>
      </c>
      <c r="CJ23" s="75" t="str">
        <f t="shared" si="58"/>
        <v>I</v>
      </c>
      <c r="CK23" s="1670" t="str">
        <f t="shared" si="85"/>
        <v>--</v>
      </c>
      <c r="CL23" s="75">
        <f t="shared" si="59"/>
        <v>40</v>
      </c>
      <c r="CM23" s="75" t="str">
        <f t="shared" si="60"/>
        <v>OEHHA 2008</v>
      </c>
      <c r="CN23" s="75">
        <f t="shared" si="61"/>
        <v>100</v>
      </c>
      <c r="CO23" s="75" t="str">
        <f t="shared" si="62"/>
        <v>I</v>
      </c>
      <c r="CP23" s="1671" t="str">
        <f t="shared" si="86"/>
        <v>check</v>
      </c>
      <c r="CR23" s="1686" t="str">
        <f t="shared" si="87"/>
        <v>--</v>
      </c>
      <c r="CS23" s="1686" t="str">
        <f t="shared" si="88"/>
        <v>--</v>
      </c>
      <c r="CT23" s="1686" t="str">
        <f t="shared" si="89"/>
        <v>--</v>
      </c>
      <c r="CU23" s="1686" t="str">
        <f t="shared" si="90"/>
        <v>x</v>
      </c>
    </row>
    <row r="24" spans="1:99">
      <c r="A24" s="309" t="s">
        <v>119</v>
      </c>
      <c r="B24" s="427" t="s">
        <v>120</v>
      </c>
      <c r="C24" s="1563" t="str">
        <f t="shared" si="0"/>
        <v>O</v>
      </c>
      <c r="D24" t="e">
        <f t="shared" si="1"/>
        <v>#N/A</v>
      </c>
      <c r="E24" s="1563">
        <f t="shared" si="2"/>
        <v>106</v>
      </c>
      <c r="F24">
        <f t="shared" si="3"/>
        <v>106</v>
      </c>
      <c r="G24" s="1160">
        <f t="shared" si="63"/>
        <v>0</v>
      </c>
      <c r="H24" s="1563" t="str">
        <f t="shared" si="4"/>
        <v>V</v>
      </c>
      <c r="I24" t="str">
        <f t="shared" si="5"/>
        <v>V</v>
      </c>
      <c r="J24" s="1160">
        <f t="shared" si="64"/>
        <v>0</v>
      </c>
      <c r="K24" s="1563">
        <f t="shared" si="6"/>
        <v>409.78</v>
      </c>
      <c r="L24">
        <f t="shared" si="7"/>
        <v>409.78</v>
      </c>
      <c r="M24" s="1160">
        <f t="shared" si="65"/>
        <v>0</v>
      </c>
      <c r="N24" s="1563">
        <f t="shared" si="8"/>
        <v>9.9799999999999993E-6</v>
      </c>
      <c r="O24">
        <f t="shared" si="9"/>
        <v>9.9799999999999993E-6</v>
      </c>
      <c r="P24" s="1160">
        <f t="shared" si="66"/>
        <v>0</v>
      </c>
      <c r="Q24" s="1563">
        <f t="shared" si="10"/>
        <v>5.6000000000000001E-2</v>
      </c>
      <c r="R24">
        <f t="shared" si="11"/>
        <v>5.6000000000000001E-2</v>
      </c>
      <c r="S24" s="1160">
        <f t="shared" si="67"/>
        <v>0</v>
      </c>
      <c r="T24" s="1563">
        <f t="shared" si="12"/>
        <v>4.8600000000000002E-5</v>
      </c>
      <c r="U24">
        <f t="shared" si="13"/>
        <v>4.8600000000000002E-5</v>
      </c>
      <c r="V24" s="1160">
        <f t="shared" si="68"/>
        <v>0</v>
      </c>
      <c r="W24" s="1563">
        <f t="shared" si="14"/>
        <v>1.9869174161899999E-3</v>
      </c>
      <c r="X24">
        <f t="shared" si="15"/>
        <v>1.9869174161899999E-3</v>
      </c>
      <c r="Y24" s="1160">
        <f t="shared" si="69"/>
        <v>0</v>
      </c>
      <c r="Z24" s="1563">
        <f t="shared" si="16"/>
        <v>67540</v>
      </c>
      <c r="AA24">
        <f t="shared" si="17"/>
        <v>67540</v>
      </c>
      <c r="AB24" s="1160">
        <f t="shared" si="70"/>
        <v>0</v>
      </c>
      <c r="AC24" s="1563">
        <f t="shared" si="18"/>
        <v>405.24</v>
      </c>
      <c r="AD24" t="str">
        <f t="shared" si="19"/>
        <v/>
      </c>
      <c r="AE24" s="1160">
        <f t="shared" si="71"/>
        <v>1</v>
      </c>
      <c r="AF24" s="1563">
        <f t="shared" si="20"/>
        <v>2.1493012115890001E-2</v>
      </c>
      <c r="AG24">
        <f t="shared" si="21"/>
        <v>2.1493012115890001E-2</v>
      </c>
      <c r="AH24" s="1160">
        <f t="shared" si="72"/>
        <v>0</v>
      </c>
      <c r="AI24" s="1563">
        <f t="shared" si="22"/>
        <v>5.4477015420599998E-6</v>
      </c>
      <c r="AJ24">
        <f t="shared" si="23"/>
        <v>5.4477015420599998E-6</v>
      </c>
      <c r="AK24" s="1160">
        <f t="shared" si="73"/>
        <v>0</v>
      </c>
      <c r="AL24" s="1563">
        <f t="shared" si="24"/>
        <v>11211.941660200002</v>
      </c>
      <c r="AM24" t="e">
        <f t="shared" si="25"/>
        <v>#N/A</v>
      </c>
      <c r="AN24" s="1563">
        <f t="shared" si="26"/>
        <v>22.69906106382388</v>
      </c>
      <c r="AO24" t="str">
        <f t="shared" si="27"/>
        <v/>
      </c>
      <c r="AP24" s="1160">
        <f t="shared" si="28"/>
        <v>1</v>
      </c>
      <c r="AQ24" s="1563">
        <f t="shared" si="29"/>
        <v>5.6983485007436381E-9</v>
      </c>
      <c r="AS24" s="1563">
        <f t="shared" si="30"/>
        <v>1528009.8462792819</v>
      </c>
      <c r="AU24" s="1563">
        <f t="shared" si="31"/>
        <v>1498336.9275269175</v>
      </c>
      <c r="AW24" s="1563">
        <f t="shared" si="32"/>
        <v>338440.96046609466</v>
      </c>
      <c r="AY24" s="1592">
        <f t="shared" si="33"/>
        <v>1</v>
      </c>
      <c r="AZ24" s="821">
        <f t="shared" si="34"/>
        <v>1</v>
      </c>
      <c r="BA24" s="1160">
        <f t="shared" si="74"/>
        <v>0</v>
      </c>
      <c r="BB24" s="1592">
        <f t="shared" si="35"/>
        <v>0.04</v>
      </c>
      <c r="BC24" s="821">
        <f t="shared" si="36"/>
        <v>0.04</v>
      </c>
      <c r="BD24" s="1160">
        <f t="shared" si="75"/>
        <v>0</v>
      </c>
      <c r="BE24" s="1592" t="str">
        <f t="shared" si="37"/>
        <v>Yes</v>
      </c>
      <c r="BF24" s="1592">
        <f t="shared" si="38"/>
        <v>0.107</v>
      </c>
      <c r="BG24" s="821">
        <f t="shared" si="39"/>
        <v>0.107</v>
      </c>
      <c r="BH24" s="1160">
        <f t="shared" si="76"/>
        <v>0</v>
      </c>
      <c r="BI24" s="1592">
        <f t="shared" si="40"/>
        <v>0.7</v>
      </c>
      <c r="BJ24" s="1592">
        <f t="shared" si="41"/>
        <v>0.83307827437919002</v>
      </c>
      <c r="BK24" s="821">
        <f t="shared" si="42"/>
        <v>0.83307827437919002</v>
      </c>
      <c r="BL24" s="1160">
        <f t="shared" si="77"/>
        <v>0</v>
      </c>
      <c r="BM24" s="1592">
        <f t="shared" si="43"/>
        <v>20.730832832149101</v>
      </c>
      <c r="BN24" s="821">
        <f t="shared" si="44"/>
        <v>20.730832832149101</v>
      </c>
      <c r="BO24" s="1160">
        <f t="shared" si="78"/>
        <v>0</v>
      </c>
      <c r="BP24" s="1592">
        <f t="shared" si="45"/>
        <v>79.689721818315903</v>
      </c>
      <c r="BQ24" s="821">
        <f t="shared" si="46"/>
        <v>79.689721818315903</v>
      </c>
      <c r="BR24" s="1160">
        <f t="shared" si="79"/>
        <v>0</v>
      </c>
      <c r="BS24" s="1592" t="str">
        <f t="shared" si="80"/>
        <v>--</v>
      </c>
      <c r="BT24" s="821">
        <f t="shared" si="81"/>
        <v>0</v>
      </c>
      <c r="BU24" s="1160">
        <f t="shared" si="82"/>
        <v>0</v>
      </c>
      <c r="BW24" s="75">
        <f t="shared" si="47"/>
        <v>0.35</v>
      </c>
      <c r="BX24" s="75" t="str">
        <f t="shared" si="48"/>
        <v>IRIS 1998</v>
      </c>
      <c r="BY24" s="75">
        <f t="shared" si="49"/>
        <v>0.35</v>
      </c>
      <c r="BZ24" s="75" t="str">
        <f t="shared" si="50"/>
        <v>I</v>
      </c>
      <c r="CA24" s="1670" t="str">
        <f t="shared" si="83"/>
        <v>--</v>
      </c>
      <c r="CB24" s="75">
        <f t="shared" si="51"/>
        <v>1E-4</v>
      </c>
      <c r="CC24" s="75" t="str">
        <f t="shared" si="52"/>
        <v>IRIS 1998</v>
      </c>
      <c r="CD24" s="75">
        <f t="shared" si="53"/>
        <v>1E-4</v>
      </c>
      <c r="CE24" s="75" t="str">
        <f t="shared" si="54"/>
        <v>I</v>
      </c>
      <c r="CF24" s="1670" t="str">
        <f t="shared" si="84"/>
        <v>--</v>
      </c>
      <c r="CG24" s="75">
        <f t="shared" si="55"/>
        <v>5.0000000000000001E-4</v>
      </c>
      <c r="CH24" s="75" t="str">
        <f t="shared" si="56"/>
        <v>IRIS 1988</v>
      </c>
      <c r="CI24" s="75">
        <f t="shared" si="57"/>
        <v>5.0000000000000001E-4</v>
      </c>
      <c r="CJ24" s="75" t="str">
        <f t="shared" si="58"/>
        <v>I</v>
      </c>
      <c r="CK24" s="1670" t="str">
        <f t="shared" si="85"/>
        <v>--</v>
      </c>
      <c r="CL24" s="75">
        <f t="shared" si="59"/>
        <v>0.7</v>
      </c>
      <c r="CM24" s="75" t="str">
        <f t="shared" si="60"/>
        <v>IRIS 1998</v>
      </c>
      <c r="CN24" s="75">
        <f t="shared" si="61"/>
        <v>0.7</v>
      </c>
      <c r="CO24" s="75" t="str">
        <f t="shared" si="62"/>
        <v>I</v>
      </c>
      <c r="CP24" s="1670" t="str">
        <f t="shared" si="86"/>
        <v>--</v>
      </c>
      <c r="CR24" s="1686" t="str">
        <f t="shared" si="87"/>
        <v>--</v>
      </c>
      <c r="CS24" s="1686" t="str">
        <f t="shared" si="88"/>
        <v>--</v>
      </c>
      <c r="CT24" s="1686" t="str">
        <f t="shared" si="89"/>
        <v>--</v>
      </c>
      <c r="CU24" s="1686" t="str">
        <f t="shared" si="90"/>
        <v>--</v>
      </c>
    </row>
    <row r="25" spans="1:99">
      <c r="A25" s="309" t="s">
        <v>121</v>
      </c>
      <c r="B25" s="427" t="s">
        <v>122</v>
      </c>
      <c r="C25" s="1563" t="str">
        <f t="shared" si="0"/>
        <v>O</v>
      </c>
      <c r="D25" t="e">
        <f t="shared" si="1"/>
        <v>#N/A</v>
      </c>
      <c r="E25" s="1563">
        <f t="shared" si="2"/>
        <v>72.5</v>
      </c>
      <c r="F25">
        <f t="shared" si="3"/>
        <v>72.5</v>
      </c>
      <c r="G25" s="1160">
        <f t="shared" si="63"/>
        <v>0</v>
      </c>
      <c r="H25" s="1563" t="str">
        <f t="shared" si="4"/>
        <v>NV</v>
      </c>
      <c r="I25">
        <f t="shared" si="5"/>
        <v>0</v>
      </c>
      <c r="J25" s="1160">
        <f t="shared" si="64"/>
        <v>0</v>
      </c>
      <c r="K25" s="1563">
        <f t="shared" si="6"/>
        <v>127.57</v>
      </c>
      <c r="L25">
        <f t="shared" si="7"/>
        <v>127.57</v>
      </c>
      <c r="M25" s="1160">
        <f t="shared" si="65"/>
        <v>0</v>
      </c>
      <c r="N25" s="1563">
        <f t="shared" si="8"/>
        <v>2.7E-2</v>
      </c>
      <c r="O25">
        <f t="shared" si="9"/>
        <v>2.7E-2</v>
      </c>
      <c r="P25" s="1160">
        <f t="shared" si="66"/>
        <v>0</v>
      </c>
      <c r="Q25" s="1563">
        <f t="shared" si="10"/>
        <v>3900</v>
      </c>
      <c r="R25">
        <f t="shared" si="11"/>
        <v>3900</v>
      </c>
      <c r="S25" s="1160">
        <f t="shared" si="67"/>
        <v>0</v>
      </c>
      <c r="T25" s="1563">
        <f t="shared" si="12"/>
        <v>1.1599999999999999E-6</v>
      </c>
      <c r="U25">
        <f t="shared" si="13"/>
        <v>1.1599999999999999E-6</v>
      </c>
      <c r="V25" s="1160">
        <f t="shared" si="68"/>
        <v>0</v>
      </c>
      <c r="W25" s="1563">
        <f t="shared" si="14"/>
        <v>4.7424366309999998E-5</v>
      </c>
      <c r="X25">
        <f t="shared" si="15"/>
        <v>4.7424366309999998E-5</v>
      </c>
      <c r="Y25" s="1160">
        <f t="shared" si="69"/>
        <v>0</v>
      </c>
      <c r="Z25" s="1563">
        <f t="shared" si="16"/>
        <v>112.7</v>
      </c>
      <c r="AA25">
        <f t="shared" si="17"/>
        <v>112.7</v>
      </c>
      <c r="AB25" s="1160">
        <f t="shared" si="70"/>
        <v>0</v>
      </c>
      <c r="AC25" s="1563">
        <f t="shared" si="18"/>
        <v>0.67620000000000002</v>
      </c>
      <c r="AD25" t="str">
        <f t="shared" si="19"/>
        <v/>
      </c>
      <c r="AE25" s="1160">
        <f t="shared" si="71"/>
        <v>1</v>
      </c>
      <c r="AF25" s="1563">
        <f t="shared" si="20"/>
        <v>7.0384718250269998E-2</v>
      </c>
      <c r="AG25">
        <f t="shared" si="21"/>
        <v>7.0384718250269998E-2</v>
      </c>
      <c r="AH25" s="1160">
        <f t="shared" si="72"/>
        <v>0</v>
      </c>
      <c r="AI25" s="1563">
        <f t="shared" si="22"/>
        <v>1.0252787949999999E-5</v>
      </c>
      <c r="AJ25">
        <f t="shared" si="23"/>
        <v>1.0252787949999999E-5</v>
      </c>
      <c r="AK25" s="1160">
        <f t="shared" si="73"/>
        <v>0</v>
      </c>
      <c r="AL25" s="1563">
        <f t="shared" si="24"/>
        <v>18.715400120000002</v>
      </c>
      <c r="AM25" t="e">
        <f t="shared" si="25"/>
        <v>#N/A</v>
      </c>
      <c r="AN25" s="1563">
        <f t="shared" si="26"/>
        <v>3027.2150134991261</v>
      </c>
      <c r="AO25" t="str">
        <f t="shared" si="27"/>
        <v/>
      </c>
      <c r="AP25" s="1160">
        <f t="shared" si="28"/>
        <v>1</v>
      </c>
      <c r="AQ25" s="1563" t="str">
        <f t="shared" si="29"/>
        <v>--</v>
      </c>
      <c r="AS25" s="1563" t="str">
        <f t="shared" si="30"/>
        <v>--</v>
      </c>
      <c r="AU25" s="1563" t="str">
        <f t="shared" si="31"/>
        <v>--</v>
      </c>
      <c r="AW25" s="1563" t="str">
        <f t="shared" si="32"/>
        <v>--</v>
      </c>
      <c r="AY25" s="1592">
        <f t="shared" si="33"/>
        <v>1</v>
      </c>
      <c r="AZ25" s="821">
        <f t="shared" si="34"/>
        <v>1</v>
      </c>
      <c r="BA25" s="1160">
        <f t="shared" si="74"/>
        <v>0</v>
      </c>
      <c r="BB25" s="1592">
        <f t="shared" si="35"/>
        <v>0.1</v>
      </c>
      <c r="BC25" s="821">
        <f t="shared" si="36"/>
        <v>0.1</v>
      </c>
      <c r="BD25" s="1160">
        <f t="shared" si="75"/>
        <v>0</v>
      </c>
      <c r="BE25" s="1592" t="str">
        <f t="shared" si="37"/>
        <v>Yes</v>
      </c>
      <c r="BF25" s="1592">
        <f t="shared" si="38"/>
        <v>4.96E-3</v>
      </c>
      <c r="BG25" s="821">
        <f t="shared" si="39"/>
        <v>4.96E-3</v>
      </c>
      <c r="BH25" s="1160">
        <f t="shared" si="76"/>
        <v>0</v>
      </c>
      <c r="BI25" s="1592">
        <f t="shared" si="40"/>
        <v>1</v>
      </c>
      <c r="BJ25" s="1592">
        <f t="shared" si="41"/>
        <v>2.154679135629E-2</v>
      </c>
      <c r="BK25" s="821">
        <f t="shared" si="42"/>
        <v>2.154679135629E-2</v>
      </c>
      <c r="BL25" s="1160">
        <f t="shared" si="77"/>
        <v>0</v>
      </c>
      <c r="BM25" s="1592">
        <f t="shared" si="43"/>
        <v>0.54480457964845996</v>
      </c>
      <c r="BN25" s="821">
        <f t="shared" si="44"/>
        <v>0.54480457964845996</v>
      </c>
      <c r="BO25" s="1160">
        <f t="shared" si="78"/>
        <v>0</v>
      </c>
      <c r="BP25" s="1592">
        <f t="shared" si="45"/>
        <v>1.3075309911563</v>
      </c>
      <c r="BQ25" s="821">
        <f t="shared" si="46"/>
        <v>1.3075309911563</v>
      </c>
      <c r="BR25" s="1160">
        <f t="shared" si="79"/>
        <v>0</v>
      </c>
      <c r="BS25" s="1592" t="str">
        <f t="shared" si="80"/>
        <v>--</v>
      </c>
      <c r="BT25" s="821">
        <f t="shared" si="81"/>
        <v>0</v>
      </c>
      <c r="BU25" s="1160">
        <f t="shared" si="82"/>
        <v>0</v>
      </c>
      <c r="BW25" s="75">
        <f t="shared" si="47"/>
        <v>0.2</v>
      </c>
      <c r="BX25" s="75" t="str">
        <f t="shared" si="48"/>
        <v>PPRTV 2008</v>
      </c>
      <c r="BY25" s="75">
        <f t="shared" si="49"/>
        <v>0.2</v>
      </c>
      <c r="BZ25" s="75" t="str">
        <f t="shared" si="50"/>
        <v>P</v>
      </c>
      <c r="CA25" s="1670" t="str">
        <f t="shared" si="83"/>
        <v>--</v>
      </c>
      <c r="CB25" s="75" t="str">
        <f t="shared" si="51"/>
        <v>--</v>
      </c>
      <c r="CC25" s="75" t="str">
        <f t="shared" si="52"/>
        <v xml:space="preserve"> </v>
      </c>
      <c r="CD25" s="75" t="str">
        <f t="shared" si="53"/>
        <v/>
      </c>
      <c r="CE25" s="75" t="str">
        <f t="shared" si="54"/>
        <v/>
      </c>
      <c r="CF25" s="1670" t="str">
        <f t="shared" si="84"/>
        <v>--</v>
      </c>
      <c r="CG25" s="75">
        <f t="shared" si="55"/>
        <v>5.0000000000000001E-4</v>
      </c>
      <c r="CH25" s="75" t="str">
        <f t="shared" si="56"/>
        <v>PPRTV 2008*</v>
      </c>
      <c r="CI25" s="75">
        <f t="shared" si="57"/>
        <v>5.0000000000000001E-4</v>
      </c>
      <c r="CJ25" s="75" t="str">
        <f t="shared" si="58"/>
        <v>P</v>
      </c>
      <c r="CK25" s="1670" t="str">
        <f t="shared" si="85"/>
        <v>--</v>
      </c>
      <c r="CL25" s="75" t="str">
        <f t="shared" si="59"/>
        <v>--</v>
      </c>
      <c r="CM25" s="75" t="str">
        <f t="shared" si="60"/>
        <v xml:space="preserve"> </v>
      </c>
      <c r="CN25" s="75" t="str">
        <f t="shared" si="61"/>
        <v/>
      </c>
      <c r="CO25" s="75" t="str">
        <f t="shared" si="62"/>
        <v/>
      </c>
      <c r="CP25" s="1670" t="str">
        <f t="shared" si="86"/>
        <v>--</v>
      </c>
      <c r="CR25" s="1686" t="str">
        <f t="shared" si="87"/>
        <v>--</v>
      </c>
      <c r="CS25" s="1686" t="str">
        <f t="shared" si="88"/>
        <v>--</v>
      </c>
      <c r="CT25" s="1686" t="str">
        <f t="shared" si="89"/>
        <v>--</v>
      </c>
      <c r="CU25" s="1686" t="str">
        <f t="shared" si="90"/>
        <v>--</v>
      </c>
    </row>
    <row r="26" spans="1:99">
      <c r="A26" s="309" t="s">
        <v>123</v>
      </c>
      <c r="B26" s="427" t="s">
        <v>124</v>
      </c>
      <c r="C26" s="1563" t="str">
        <f t="shared" si="0"/>
        <v>O</v>
      </c>
      <c r="D26" t="e">
        <f t="shared" si="1"/>
        <v>#N/A</v>
      </c>
      <c r="E26" s="1563">
        <f t="shared" si="2"/>
        <v>-45.31</v>
      </c>
      <c r="F26">
        <f t="shared" si="3"/>
        <v>-45.31</v>
      </c>
      <c r="G26" s="1160">
        <f t="shared" si="63"/>
        <v>0</v>
      </c>
      <c r="H26" s="1563" t="str">
        <f t="shared" si="4"/>
        <v>V</v>
      </c>
      <c r="I26" t="str">
        <f t="shared" si="5"/>
        <v>V</v>
      </c>
      <c r="J26" s="1160">
        <f t="shared" si="64"/>
        <v>0</v>
      </c>
      <c r="K26" s="1563">
        <f t="shared" si="6"/>
        <v>112.56</v>
      </c>
      <c r="L26">
        <f t="shared" si="7"/>
        <v>112.56</v>
      </c>
      <c r="M26" s="1160">
        <f t="shared" si="65"/>
        <v>0</v>
      </c>
      <c r="N26" s="1563">
        <f t="shared" si="8"/>
        <v>11.97</v>
      </c>
      <c r="O26">
        <f t="shared" si="9"/>
        <v>11.97</v>
      </c>
      <c r="P26" s="1160">
        <f t="shared" si="66"/>
        <v>0</v>
      </c>
      <c r="Q26" s="1563">
        <f t="shared" si="10"/>
        <v>498</v>
      </c>
      <c r="R26">
        <f t="shared" si="11"/>
        <v>498</v>
      </c>
      <c r="S26" s="1160">
        <f t="shared" si="67"/>
        <v>0</v>
      </c>
      <c r="T26" s="1563">
        <f t="shared" si="12"/>
        <v>3.1099999999999999E-3</v>
      </c>
      <c r="U26">
        <f t="shared" si="13"/>
        <v>3.1099999999999999E-3</v>
      </c>
      <c r="V26" s="1160">
        <f t="shared" si="68"/>
        <v>0</v>
      </c>
      <c r="W26" s="1563">
        <f t="shared" si="14"/>
        <v>0.12714636140638</v>
      </c>
      <c r="X26">
        <f t="shared" si="15"/>
        <v>0.12714636140638</v>
      </c>
      <c r="Y26" s="1160">
        <f t="shared" si="69"/>
        <v>0</v>
      </c>
      <c r="Z26" s="1563">
        <f t="shared" si="16"/>
        <v>233.9</v>
      </c>
      <c r="AA26">
        <f t="shared" si="17"/>
        <v>233.9</v>
      </c>
      <c r="AB26" s="1160">
        <f t="shared" si="70"/>
        <v>0</v>
      </c>
      <c r="AC26" s="1563">
        <f t="shared" si="18"/>
        <v>1.4034</v>
      </c>
      <c r="AD26" t="str">
        <f t="shared" si="19"/>
        <v/>
      </c>
      <c r="AE26" s="1160">
        <f t="shared" si="71"/>
        <v>1</v>
      </c>
      <c r="AF26" s="1563">
        <f t="shared" si="20"/>
        <v>7.2130615287710004E-2</v>
      </c>
      <c r="AG26">
        <f t="shared" si="21"/>
        <v>7.2130615287710004E-2</v>
      </c>
      <c r="AH26" s="1160">
        <f t="shared" si="72"/>
        <v>0</v>
      </c>
      <c r="AI26" s="1563">
        <f t="shared" si="22"/>
        <v>9.4764848418399994E-6</v>
      </c>
      <c r="AJ26">
        <f t="shared" si="23"/>
        <v>9.4764848418399994E-6</v>
      </c>
      <c r="AK26" s="1160">
        <f t="shared" si="73"/>
        <v>0</v>
      </c>
      <c r="AL26" s="1563">
        <f t="shared" si="24"/>
        <v>58.131170000000004</v>
      </c>
      <c r="AM26" t="e">
        <f t="shared" si="25"/>
        <v>#N/A</v>
      </c>
      <c r="AN26" s="1563">
        <f t="shared" si="26"/>
        <v>760.67998319628521</v>
      </c>
      <c r="AO26">
        <f t="shared" si="27"/>
        <v>761</v>
      </c>
      <c r="AP26" s="1160">
        <f t="shared" si="28"/>
        <v>1</v>
      </c>
      <c r="AQ26" s="1563">
        <f t="shared" si="29"/>
        <v>3.1992239100077277E-4</v>
      </c>
      <c r="AS26" s="1563">
        <f t="shared" si="30"/>
        <v>6448.7915267513763</v>
      </c>
      <c r="AU26" s="1563">
        <f t="shared" si="31"/>
        <v>6323.5603526917439</v>
      </c>
      <c r="AW26" s="1563">
        <f t="shared" si="32"/>
        <v>1428.3515276251926</v>
      </c>
      <c r="AY26" s="1592">
        <f t="shared" si="33"/>
        <v>1</v>
      </c>
      <c r="AZ26" s="821">
        <f t="shared" si="34"/>
        <v>1</v>
      </c>
      <c r="BA26" s="1160">
        <f t="shared" si="74"/>
        <v>0</v>
      </c>
      <c r="BB26" s="1592" t="str">
        <f t="shared" si="35"/>
        <v>--</v>
      </c>
      <c r="BC26" s="821" t="str">
        <f t="shared" si="36"/>
        <v/>
      </c>
      <c r="BD26" s="1160">
        <f t="shared" si="75"/>
        <v>0</v>
      </c>
      <c r="BE26" s="1592" t="str">
        <f t="shared" si="37"/>
        <v>Yes</v>
      </c>
      <c r="BF26" s="1592">
        <f t="shared" si="38"/>
        <v>2.8199999999999999E-2</v>
      </c>
      <c r="BG26" s="821">
        <f t="shared" si="39"/>
        <v>2.8199999999999999E-2</v>
      </c>
      <c r="BH26" s="1160">
        <f t="shared" si="76"/>
        <v>0</v>
      </c>
      <c r="BI26" s="1592">
        <f t="shared" si="40"/>
        <v>1</v>
      </c>
      <c r="BJ26" s="1592">
        <f t="shared" si="41"/>
        <v>0.11507150748261</v>
      </c>
      <c r="BK26" s="821">
        <f t="shared" si="42"/>
        <v>0.11507150748261</v>
      </c>
      <c r="BL26" s="1160">
        <f t="shared" si="77"/>
        <v>0</v>
      </c>
      <c r="BM26" s="1592">
        <f t="shared" si="43"/>
        <v>0.44893632760023999</v>
      </c>
      <c r="BN26" s="821">
        <f t="shared" si="44"/>
        <v>0.44893632760023999</v>
      </c>
      <c r="BO26" s="1160">
        <f t="shared" si="78"/>
        <v>0</v>
      </c>
      <c r="BP26" s="1592">
        <f t="shared" si="45"/>
        <v>1.0774471862405699</v>
      </c>
      <c r="BQ26" s="821">
        <f t="shared" si="46"/>
        <v>1.0774471862405699</v>
      </c>
      <c r="BR26" s="1160">
        <f t="shared" si="79"/>
        <v>0</v>
      </c>
      <c r="BS26" s="1592" t="str">
        <f t="shared" si="80"/>
        <v>--</v>
      </c>
      <c r="BT26" s="821">
        <f t="shared" si="81"/>
        <v>0</v>
      </c>
      <c r="BU26" s="1160">
        <f t="shared" si="82"/>
        <v>0</v>
      </c>
      <c r="BW26" s="75" t="str">
        <f t="shared" si="47"/>
        <v>--</v>
      </c>
      <c r="BX26" s="75" t="str">
        <f t="shared" si="48"/>
        <v xml:space="preserve"> </v>
      </c>
      <c r="BY26" s="75" t="str">
        <f t="shared" si="49"/>
        <v/>
      </c>
      <c r="BZ26" s="75" t="str">
        <f t="shared" si="50"/>
        <v/>
      </c>
      <c r="CA26" s="1670" t="str">
        <f t="shared" si="83"/>
        <v>--</v>
      </c>
      <c r="CB26" s="75" t="str">
        <f t="shared" si="51"/>
        <v>--</v>
      </c>
      <c r="CC26" s="75" t="str">
        <f t="shared" si="52"/>
        <v xml:space="preserve"> </v>
      </c>
      <c r="CD26" s="75" t="str">
        <f t="shared" si="53"/>
        <v/>
      </c>
      <c r="CE26" s="75" t="str">
        <f t="shared" si="54"/>
        <v/>
      </c>
      <c r="CF26" s="1670" t="str">
        <f t="shared" si="84"/>
        <v>--</v>
      </c>
      <c r="CG26" s="75">
        <f t="shared" si="55"/>
        <v>0.02</v>
      </c>
      <c r="CH26" s="75" t="str">
        <f t="shared" si="56"/>
        <v>IRIS 1990</v>
      </c>
      <c r="CI26" s="75">
        <f t="shared" si="57"/>
        <v>0.02</v>
      </c>
      <c r="CJ26" s="75" t="str">
        <f t="shared" si="58"/>
        <v>I</v>
      </c>
      <c r="CK26" s="1670" t="str">
        <f t="shared" si="85"/>
        <v>--</v>
      </c>
      <c r="CL26" s="75">
        <f t="shared" si="59"/>
        <v>50</v>
      </c>
      <c r="CM26" s="75" t="str">
        <f t="shared" si="60"/>
        <v>PPRTV 2006</v>
      </c>
      <c r="CN26" s="75">
        <f t="shared" si="61"/>
        <v>50</v>
      </c>
      <c r="CO26" s="75" t="str">
        <f t="shared" si="62"/>
        <v>P</v>
      </c>
      <c r="CP26" s="1670" t="str">
        <f t="shared" si="86"/>
        <v>--</v>
      </c>
      <c r="CR26" s="1686" t="str">
        <f t="shared" si="87"/>
        <v>--</v>
      </c>
      <c r="CS26" s="1686" t="str">
        <f t="shared" si="88"/>
        <v>--</v>
      </c>
      <c r="CT26" s="1686" t="str">
        <f t="shared" si="89"/>
        <v>--</v>
      </c>
      <c r="CU26" s="1686" t="str">
        <f t="shared" si="90"/>
        <v>--</v>
      </c>
    </row>
    <row r="27" spans="1:99">
      <c r="A27" s="309" t="s">
        <v>125</v>
      </c>
      <c r="B27" s="427" t="s">
        <v>126</v>
      </c>
      <c r="C27" s="1563" t="str">
        <f t="shared" si="0"/>
        <v>O</v>
      </c>
      <c r="D27" t="e">
        <f t="shared" si="1"/>
        <v>#N/A</v>
      </c>
      <c r="E27" s="1563">
        <f t="shared" si="2"/>
        <v>-138.69999999999999</v>
      </c>
      <c r="F27">
        <f t="shared" si="3"/>
        <v>-138.69999999999999</v>
      </c>
      <c r="G27" s="1160">
        <f t="shared" si="63"/>
        <v>0</v>
      </c>
      <c r="H27" s="1563" t="str">
        <f t="shared" si="4"/>
        <v>V</v>
      </c>
      <c r="I27" t="str">
        <f t="shared" si="5"/>
        <v>V</v>
      </c>
      <c r="J27" s="1160">
        <f t="shared" si="64"/>
        <v>0</v>
      </c>
      <c r="K27" s="1563">
        <f t="shared" si="6"/>
        <v>64.515000000000001</v>
      </c>
      <c r="L27">
        <f t="shared" si="7"/>
        <v>64.515000000000001</v>
      </c>
      <c r="M27" s="1160">
        <f t="shared" si="65"/>
        <v>0</v>
      </c>
      <c r="N27" s="1563">
        <f t="shared" si="8"/>
        <v>1008</v>
      </c>
      <c r="O27">
        <f t="shared" si="9"/>
        <v>1008</v>
      </c>
      <c r="P27" s="1160">
        <f t="shared" si="66"/>
        <v>0</v>
      </c>
      <c r="Q27" s="1563">
        <f t="shared" si="10"/>
        <v>6710</v>
      </c>
      <c r="R27">
        <f t="shared" si="11"/>
        <v>6710</v>
      </c>
      <c r="S27" s="1160">
        <f t="shared" si="67"/>
        <v>0</v>
      </c>
      <c r="T27" s="1563">
        <f t="shared" si="12"/>
        <v>1.11E-2</v>
      </c>
      <c r="U27">
        <f t="shared" si="13"/>
        <v>1.11E-2</v>
      </c>
      <c r="V27" s="1160">
        <f t="shared" si="68"/>
        <v>0</v>
      </c>
      <c r="W27" s="1563">
        <f t="shared" si="14"/>
        <v>0.45380212591987001</v>
      </c>
      <c r="X27">
        <f t="shared" si="15"/>
        <v>0.45380212591987001</v>
      </c>
      <c r="Y27" s="1160">
        <f t="shared" si="69"/>
        <v>0</v>
      </c>
      <c r="Z27" s="1563">
        <f t="shared" si="16"/>
        <v>21.73</v>
      </c>
      <c r="AA27">
        <f t="shared" si="17"/>
        <v>21.73</v>
      </c>
      <c r="AB27" s="1160">
        <f t="shared" si="70"/>
        <v>0</v>
      </c>
      <c r="AC27" s="1563">
        <f t="shared" si="18"/>
        <v>0.13038</v>
      </c>
      <c r="AD27" t="str">
        <f t="shared" si="19"/>
        <v/>
      </c>
      <c r="AE27" s="1160">
        <f t="shared" si="71"/>
        <v>1</v>
      </c>
      <c r="AF27" s="1563">
        <f t="shared" si="20"/>
        <v>0.10375966598687</v>
      </c>
      <c r="AG27">
        <f t="shared" si="21"/>
        <v>0.10375966598687</v>
      </c>
      <c r="AH27" s="1160">
        <f t="shared" si="72"/>
        <v>0</v>
      </c>
      <c r="AI27" s="1563">
        <f t="shared" si="22"/>
        <v>1.161897734E-5</v>
      </c>
      <c r="AJ27">
        <f t="shared" si="23"/>
        <v>1.161897734E-5</v>
      </c>
      <c r="AK27" s="1160">
        <f t="shared" si="73"/>
        <v>0</v>
      </c>
      <c r="AL27" s="1563">
        <f t="shared" si="24"/>
        <v>72.50488</v>
      </c>
      <c r="AM27" t="e">
        <f t="shared" si="25"/>
        <v>#N/A</v>
      </c>
      <c r="AN27" s="1563">
        <f t="shared" si="26"/>
        <v>2122.2955180764907</v>
      </c>
      <c r="AO27">
        <f t="shared" si="27"/>
        <v>2120</v>
      </c>
      <c r="AP27" s="1160">
        <f t="shared" si="28"/>
        <v>1</v>
      </c>
      <c r="AQ27" s="1563">
        <f t="shared" si="29"/>
        <v>7.9316723536405464E-3</v>
      </c>
      <c r="AS27" s="1563">
        <f t="shared" si="30"/>
        <v>1295.1446415704422</v>
      </c>
      <c r="AU27" s="1563">
        <f t="shared" si="31"/>
        <v>1269.993807748619</v>
      </c>
      <c r="AW27" s="1563">
        <f t="shared" si="32"/>
        <v>286.8633323947185</v>
      </c>
      <c r="AY27" s="1592">
        <f t="shared" si="33"/>
        <v>1</v>
      </c>
      <c r="AZ27" s="821">
        <f t="shared" si="34"/>
        <v>1</v>
      </c>
      <c r="BA27" s="1160">
        <f t="shared" si="74"/>
        <v>0</v>
      </c>
      <c r="BB27" s="1592" t="str">
        <f t="shared" si="35"/>
        <v>--</v>
      </c>
      <c r="BC27" s="821" t="str">
        <f t="shared" si="36"/>
        <v/>
      </c>
      <c r="BD27" s="1160">
        <f t="shared" si="75"/>
        <v>0</v>
      </c>
      <c r="BE27" s="1592" t="str">
        <f t="shared" si="37"/>
        <v>Yes</v>
      </c>
      <c r="BF27" s="1592">
        <f t="shared" si="38"/>
        <v>6.0699999999999999E-3</v>
      </c>
      <c r="BG27" s="821">
        <f t="shared" si="39"/>
        <v>6.0699999999999999E-3</v>
      </c>
      <c r="BH27" s="1160">
        <f t="shared" si="76"/>
        <v>0</v>
      </c>
      <c r="BI27" s="1592">
        <f t="shared" si="40"/>
        <v>1</v>
      </c>
      <c r="BJ27" s="1592">
        <f t="shared" si="41"/>
        <v>1.8751917943330001E-2</v>
      </c>
      <c r="BK27" s="821">
        <f t="shared" si="42"/>
        <v>1.8751917943330001E-2</v>
      </c>
      <c r="BL27" s="1160">
        <f t="shared" si="77"/>
        <v>0</v>
      </c>
      <c r="BM27" s="1592">
        <f t="shared" si="43"/>
        <v>0.24161992746596</v>
      </c>
      <c r="BN27" s="821">
        <f t="shared" si="44"/>
        <v>0.24161992746596</v>
      </c>
      <c r="BO27" s="1160">
        <f t="shared" si="78"/>
        <v>0</v>
      </c>
      <c r="BP27" s="1592">
        <f t="shared" si="45"/>
        <v>0.57988782591830002</v>
      </c>
      <c r="BQ27" s="821">
        <f t="shared" si="46"/>
        <v>0.57988782591830002</v>
      </c>
      <c r="BR27" s="1160">
        <f t="shared" si="79"/>
        <v>0</v>
      </c>
      <c r="BS27" s="1592" t="str">
        <f t="shared" si="80"/>
        <v>--</v>
      </c>
      <c r="BT27" s="821">
        <f t="shared" si="81"/>
        <v>0</v>
      </c>
      <c r="BU27" s="1160">
        <f t="shared" si="82"/>
        <v>0</v>
      </c>
      <c r="BW27" s="75" t="str">
        <f t="shared" si="47"/>
        <v>--</v>
      </c>
      <c r="BX27" s="75" t="str">
        <f t="shared" si="48"/>
        <v xml:space="preserve"> </v>
      </c>
      <c r="BY27" s="75" t="str">
        <f t="shared" si="49"/>
        <v/>
      </c>
      <c r="BZ27" s="75" t="str">
        <f t="shared" si="50"/>
        <v/>
      </c>
      <c r="CA27" s="1670" t="str">
        <f t="shared" si="83"/>
        <v>--</v>
      </c>
      <c r="CB27" s="75" t="str">
        <f t="shared" si="51"/>
        <v>--</v>
      </c>
      <c r="CC27" s="75" t="str">
        <f t="shared" si="52"/>
        <v xml:space="preserve"> </v>
      </c>
      <c r="CD27" s="75" t="str">
        <f t="shared" si="53"/>
        <v/>
      </c>
      <c r="CE27" s="75" t="str">
        <f t="shared" si="54"/>
        <v/>
      </c>
      <c r="CF27" s="1670" t="str">
        <f t="shared" si="84"/>
        <v>--</v>
      </c>
      <c r="CG27" s="75" t="str">
        <f t="shared" si="55"/>
        <v>--</v>
      </c>
      <c r="CH27" s="75" t="str">
        <f t="shared" si="56"/>
        <v xml:space="preserve"> </v>
      </c>
      <c r="CI27" s="75" t="str">
        <f t="shared" si="57"/>
        <v/>
      </c>
      <c r="CJ27" s="75" t="str">
        <f t="shared" si="58"/>
        <v/>
      </c>
      <c r="CK27" s="1670" t="str">
        <f t="shared" si="85"/>
        <v>--</v>
      </c>
      <c r="CL27" s="75">
        <f t="shared" si="59"/>
        <v>4000</v>
      </c>
      <c r="CM27" s="75" t="str">
        <f t="shared" si="60"/>
        <v>PPRTV 2006*</v>
      </c>
      <c r="CN27" s="75">
        <f t="shared" si="61"/>
        <v>4000</v>
      </c>
      <c r="CO27" s="75" t="str">
        <f t="shared" si="62"/>
        <v>P</v>
      </c>
      <c r="CP27" s="1670" t="str">
        <f t="shared" si="86"/>
        <v>--</v>
      </c>
      <c r="CR27" s="1686" t="str">
        <f t="shared" si="87"/>
        <v>--</v>
      </c>
      <c r="CS27" s="1686" t="str">
        <f t="shared" si="88"/>
        <v>--</v>
      </c>
      <c r="CT27" s="1686" t="str">
        <f t="shared" si="89"/>
        <v>--</v>
      </c>
      <c r="CU27" s="1686" t="str">
        <f t="shared" si="90"/>
        <v>--</v>
      </c>
    </row>
    <row r="28" spans="1:99">
      <c r="A28" s="309" t="s">
        <v>127</v>
      </c>
      <c r="B28" s="427" t="s">
        <v>128</v>
      </c>
      <c r="C28" s="1563" t="str">
        <f t="shared" si="0"/>
        <v>O</v>
      </c>
      <c r="D28" t="e">
        <f t="shared" si="1"/>
        <v>#N/A</v>
      </c>
      <c r="E28" s="1563">
        <f t="shared" si="2"/>
        <v>-63.6</v>
      </c>
      <c r="F28">
        <f t="shared" si="3"/>
        <v>-63.6</v>
      </c>
      <c r="G28" s="1160">
        <f t="shared" si="63"/>
        <v>0</v>
      </c>
      <c r="H28" s="1563" t="str">
        <f t="shared" si="4"/>
        <v>V</v>
      </c>
      <c r="I28" t="str">
        <f t="shared" si="5"/>
        <v>V</v>
      </c>
      <c r="J28" s="1160">
        <f t="shared" si="64"/>
        <v>0</v>
      </c>
      <c r="K28" s="1563">
        <f t="shared" si="6"/>
        <v>119.38</v>
      </c>
      <c r="L28">
        <f t="shared" si="7"/>
        <v>119.38</v>
      </c>
      <c r="M28" s="1160">
        <f t="shared" si="65"/>
        <v>0</v>
      </c>
      <c r="N28" s="1563">
        <f t="shared" si="8"/>
        <v>197</v>
      </c>
      <c r="O28">
        <f t="shared" si="9"/>
        <v>197</v>
      </c>
      <c r="P28" s="1160">
        <f t="shared" si="66"/>
        <v>0</v>
      </c>
      <c r="Q28" s="1563">
        <f t="shared" si="10"/>
        <v>7950</v>
      </c>
      <c r="R28">
        <f t="shared" si="11"/>
        <v>7950</v>
      </c>
      <c r="S28" s="1160">
        <f t="shared" si="67"/>
        <v>0</v>
      </c>
      <c r="T28" s="1563">
        <f t="shared" si="12"/>
        <v>3.6700000000000001E-3</v>
      </c>
      <c r="U28">
        <f t="shared" si="13"/>
        <v>3.6700000000000001E-3</v>
      </c>
      <c r="V28" s="1160">
        <f t="shared" si="68"/>
        <v>0</v>
      </c>
      <c r="W28" s="1563">
        <f t="shared" si="14"/>
        <v>0.15004088307440999</v>
      </c>
      <c r="X28">
        <f t="shared" si="15"/>
        <v>0.15004088307440999</v>
      </c>
      <c r="Y28" s="1160">
        <f t="shared" si="69"/>
        <v>0</v>
      </c>
      <c r="Z28" s="1563">
        <f t="shared" si="16"/>
        <v>31.82</v>
      </c>
      <c r="AA28">
        <f t="shared" si="17"/>
        <v>31.82</v>
      </c>
      <c r="AB28" s="1160">
        <f t="shared" si="70"/>
        <v>0</v>
      </c>
      <c r="AC28" s="1563">
        <f t="shared" si="18"/>
        <v>0.19092000000000001</v>
      </c>
      <c r="AD28" t="str">
        <f t="shared" si="19"/>
        <v/>
      </c>
      <c r="AE28" s="1160">
        <f t="shared" si="71"/>
        <v>1</v>
      </c>
      <c r="AF28" s="1563">
        <f t="shared" si="20"/>
        <v>7.6919657359430002E-2</v>
      </c>
      <c r="AG28">
        <f t="shared" si="21"/>
        <v>7.6919657359430002E-2</v>
      </c>
      <c r="AH28" s="1160">
        <f t="shared" si="72"/>
        <v>0</v>
      </c>
      <c r="AI28" s="1563">
        <f t="shared" si="22"/>
        <v>1.089076763E-5</v>
      </c>
      <c r="AJ28">
        <f t="shared" si="23"/>
        <v>1.089076763E-5</v>
      </c>
      <c r="AK28" s="1160">
        <f t="shared" si="73"/>
        <v>0</v>
      </c>
      <c r="AL28" s="1563">
        <f t="shared" si="24"/>
        <v>28.061810000000001</v>
      </c>
      <c r="AM28" t="e">
        <f t="shared" si="25"/>
        <v>#N/A</v>
      </c>
      <c r="AN28" s="1563">
        <f t="shared" si="26"/>
        <v>2538.6255290269874</v>
      </c>
      <c r="AO28">
        <f t="shared" si="27"/>
        <v>2540</v>
      </c>
      <c r="AP28" s="1160">
        <f t="shared" si="28"/>
        <v>1</v>
      </c>
      <c r="AQ28" s="1563">
        <f t="shared" si="29"/>
        <v>1.9257704090666463E-3</v>
      </c>
      <c r="AS28" s="1563">
        <f t="shared" si="30"/>
        <v>2628.4420194271593</v>
      </c>
      <c r="AU28" s="1563">
        <f t="shared" si="31"/>
        <v>2577.3994514242913</v>
      </c>
      <c r="AW28" s="1563">
        <f t="shared" si="32"/>
        <v>582.17716577578756</v>
      </c>
      <c r="AY28" s="1592">
        <f t="shared" si="33"/>
        <v>1</v>
      </c>
      <c r="AZ28" s="821">
        <f t="shared" si="34"/>
        <v>1</v>
      </c>
      <c r="BA28" s="1160">
        <f t="shared" si="74"/>
        <v>0</v>
      </c>
      <c r="BB28" s="1592" t="str">
        <f t="shared" si="35"/>
        <v>--</v>
      </c>
      <c r="BC28" s="821" t="str">
        <f t="shared" si="36"/>
        <v/>
      </c>
      <c r="BD28" s="1160">
        <f t="shared" si="75"/>
        <v>0</v>
      </c>
      <c r="BE28" s="1592" t="str">
        <f t="shared" si="37"/>
        <v>Yes</v>
      </c>
      <c r="BF28" s="1592">
        <f t="shared" si="38"/>
        <v>6.8300000000000001E-3</v>
      </c>
      <c r="BG28" s="821">
        <f t="shared" si="39"/>
        <v>6.8300000000000001E-3</v>
      </c>
      <c r="BH28" s="1160">
        <f t="shared" si="76"/>
        <v>0</v>
      </c>
      <c r="BI28" s="1592">
        <f t="shared" si="40"/>
        <v>1</v>
      </c>
      <c r="BJ28" s="1592">
        <f t="shared" si="41"/>
        <v>2.8702064957770002E-2</v>
      </c>
      <c r="BK28" s="821">
        <f t="shared" si="42"/>
        <v>2.8702064957770002E-2</v>
      </c>
      <c r="BL28" s="1160">
        <f t="shared" si="77"/>
        <v>0</v>
      </c>
      <c r="BM28" s="1592">
        <f t="shared" si="43"/>
        <v>0.49020388588490998</v>
      </c>
      <c r="BN28" s="821">
        <f t="shared" si="44"/>
        <v>0.49020388588490998</v>
      </c>
      <c r="BO28" s="1160">
        <f t="shared" si="78"/>
        <v>0</v>
      </c>
      <c r="BP28" s="1592">
        <f t="shared" si="45"/>
        <v>1.1764893261237901</v>
      </c>
      <c r="BQ28" s="821">
        <f t="shared" si="46"/>
        <v>1.1764893261237901</v>
      </c>
      <c r="BR28" s="1160">
        <f t="shared" si="79"/>
        <v>0</v>
      </c>
      <c r="BS28" s="1592" t="str">
        <f t="shared" si="80"/>
        <v>--</v>
      </c>
      <c r="BT28" s="821">
        <f t="shared" si="81"/>
        <v>0</v>
      </c>
      <c r="BU28" s="1160">
        <f t="shared" si="82"/>
        <v>0</v>
      </c>
      <c r="BW28" s="75">
        <f t="shared" si="47"/>
        <v>3.1E-2</v>
      </c>
      <c r="BX28" s="75" t="str">
        <f t="shared" si="48"/>
        <v>OEHHA 2009</v>
      </c>
      <c r="BY28" s="75">
        <f t="shared" si="49"/>
        <v>3.1E-2</v>
      </c>
      <c r="BZ28" s="75" t="str">
        <f t="shared" si="50"/>
        <v>C</v>
      </c>
      <c r="CA28" s="1670" t="str">
        <f t="shared" si="83"/>
        <v>--</v>
      </c>
      <c r="CB28" s="75">
        <f t="shared" si="51"/>
        <v>2.3E-5</v>
      </c>
      <c r="CC28" s="75" t="str">
        <f t="shared" si="52"/>
        <v>IRIS 2001</v>
      </c>
      <c r="CD28" s="75">
        <f t="shared" si="53"/>
        <v>2.3E-5</v>
      </c>
      <c r="CE28" s="75" t="str">
        <f t="shared" si="54"/>
        <v>I</v>
      </c>
      <c r="CF28" s="1670" t="str">
        <f t="shared" si="84"/>
        <v>--</v>
      </c>
      <c r="CG28" s="75">
        <f t="shared" si="55"/>
        <v>0.01</v>
      </c>
      <c r="CH28" s="75" t="str">
        <f t="shared" si="56"/>
        <v>IRIS 2001</v>
      </c>
      <c r="CI28" s="75">
        <f t="shared" si="57"/>
        <v>0.01</v>
      </c>
      <c r="CJ28" s="75" t="str">
        <f t="shared" si="58"/>
        <v>I</v>
      </c>
      <c r="CK28" s="1670" t="str">
        <f t="shared" si="85"/>
        <v>--</v>
      </c>
      <c r="CL28" s="75">
        <f t="shared" si="59"/>
        <v>1.95</v>
      </c>
      <c r="CM28" s="75" t="str">
        <f t="shared" si="60"/>
        <v>ATSDR Draft</v>
      </c>
      <c r="CN28" s="75">
        <f t="shared" si="61"/>
        <v>1.95</v>
      </c>
      <c r="CO28" s="75" t="str">
        <f t="shared" si="62"/>
        <v>T</v>
      </c>
      <c r="CP28" s="1670" t="str">
        <f t="shared" si="86"/>
        <v>--</v>
      </c>
      <c r="CR28" s="1686" t="str">
        <f t="shared" si="87"/>
        <v>--</v>
      </c>
      <c r="CS28" s="1686" t="str">
        <f t="shared" si="88"/>
        <v>--</v>
      </c>
      <c r="CT28" s="1686" t="str">
        <f t="shared" si="89"/>
        <v>--</v>
      </c>
      <c r="CU28" s="1686" t="str">
        <f t="shared" si="90"/>
        <v>--</v>
      </c>
    </row>
    <row r="29" spans="1:99">
      <c r="A29" s="309" t="s">
        <v>129</v>
      </c>
      <c r="B29" s="427" t="s">
        <v>130</v>
      </c>
      <c r="C29" s="1563" t="str">
        <f t="shared" si="0"/>
        <v>O</v>
      </c>
      <c r="D29" t="e">
        <f t="shared" si="1"/>
        <v>#N/A</v>
      </c>
      <c r="E29" s="1563">
        <f t="shared" si="2"/>
        <v>-97.7</v>
      </c>
      <c r="F29">
        <f t="shared" si="3"/>
        <v>-97.7</v>
      </c>
      <c r="G29" s="1160">
        <f t="shared" si="63"/>
        <v>0</v>
      </c>
      <c r="H29" s="1563" t="str">
        <f t="shared" si="4"/>
        <v>V</v>
      </c>
      <c r="I29" t="str">
        <f t="shared" si="5"/>
        <v>V</v>
      </c>
      <c r="J29" s="1160">
        <f t="shared" si="64"/>
        <v>0</v>
      </c>
      <c r="K29" s="1563">
        <f t="shared" si="6"/>
        <v>50.488</v>
      </c>
      <c r="L29">
        <f t="shared" si="7"/>
        <v>50.488</v>
      </c>
      <c r="M29" s="1160">
        <f t="shared" si="65"/>
        <v>0</v>
      </c>
      <c r="N29" s="1563">
        <f t="shared" si="8"/>
        <v>4300</v>
      </c>
      <c r="O29">
        <f t="shared" si="9"/>
        <v>4300</v>
      </c>
      <c r="P29" s="1160">
        <f t="shared" si="66"/>
        <v>0</v>
      </c>
      <c r="Q29" s="1563">
        <f t="shared" si="10"/>
        <v>5320</v>
      </c>
      <c r="R29">
        <f t="shared" si="11"/>
        <v>5320</v>
      </c>
      <c r="S29" s="1160">
        <f t="shared" si="67"/>
        <v>0</v>
      </c>
      <c r="T29" s="1563">
        <f t="shared" si="12"/>
        <v>8.8199999999999997E-3</v>
      </c>
      <c r="U29">
        <f t="shared" si="13"/>
        <v>8.8199999999999997E-3</v>
      </c>
      <c r="V29" s="1160">
        <f t="shared" si="68"/>
        <v>0</v>
      </c>
      <c r="W29" s="1563">
        <f t="shared" si="14"/>
        <v>0.36058871627146</v>
      </c>
      <c r="X29">
        <f t="shared" si="15"/>
        <v>0.36058871627146</v>
      </c>
      <c r="Y29" s="1160">
        <f t="shared" si="69"/>
        <v>0</v>
      </c>
      <c r="Z29" s="1563">
        <f t="shared" si="16"/>
        <v>13.22</v>
      </c>
      <c r="AA29">
        <f t="shared" si="17"/>
        <v>13.22</v>
      </c>
      <c r="AB29" s="1160">
        <f t="shared" si="70"/>
        <v>0</v>
      </c>
      <c r="AC29" s="1563">
        <f t="shared" si="18"/>
        <v>7.9320000000000002E-2</v>
      </c>
      <c r="AD29" t="str">
        <f t="shared" si="19"/>
        <v/>
      </c>
      <c r="AE29" s="1160">
        <f t="shared" si="71"/>
        <v>1</v>
      </c>
      <c r="AF29" s="1563">
        <f t="shared" si="20"/>
        <v>0.12396507727202</v>
      </c>
      <c r="AG29">
        <f t="shared" si="21"/>
        <v>0.12396507727202</v>
      </c>
      <c r="AH29" s="1160">
        <f t="shared" si="72"/>
        <v>0</v>
      </c>
      <c r="AI29" s="1563">
        <f t="shared" si="22"/>
        <v>1.3648027769999999E-5</v>
      </c>
      <c r="AJ29">
        <f t="shared" si="23"/>
        <v>1.3648027769999999E-5</v>
      </c>
      <c r="AK29" s="1160">
        <f t="shared" si="73"/>
        <v>0</v>
      </c>
      <c r="AL29" s="1563">
        <f t="shared" si="24"/>
        <v>56.940259999999995</v>
      </c>
      <c r="AM29" t="e">
        <f t="shared" si="25"/>
        <v>#N/A</v>
      </c>
      <c r="AN29" s="1563">
        <f t="shared" si="26"/>
        <v>1317.1383265030277</v>
      </c>
      <c r="AO29">
        <f t="shared" si="27"/>
        <v>1320</v>
      </c>
      <c r="AP29" s="1160">
        <f t="shared" si="28"/>
        <v>1</v>
      </c>
      <c r="AQ29" s="1563">
        <f t="shared" si="29"/>
        <v>9.6193953617314445E-3</v>
      </c>
      <c r="AS29" s="1563">
        <f t="shared" si="30"/>
        <v>1176.0526600775852</v>
      </c>
      <c r="AU29" s="1563">
        <f t="shared" si="31"/>
        <v>1153.214512066982</v>
      </c>
      <c r="AW29" s="1563">
        <f t="shared" si="32"/>
        <v>260.48548888906464</v>
      </c>
      <c r="AY29" s="1592">
        <f t="shared" si="33"/>
        <v>1</v>
      </c>
      <c r="AZ29" s="821">
        <f t="shared" si="34"/>
        <v>1</v>
      </c>
      <c r="BA29" s="1160">
        <f t="shared" si="74"/>
        <v>0</v>
      </c>
      <c r="BB29" s="1592" t="str">
        <f t="shared" si="35"/>
        <v>--</v>
      </c>
      <c r="BC29" s="821" t="str">
        <f t="shared" si="36"/>
        <v/>
      </c>
      <c r="BD29" s="1160">
        <f t="shared" si="75"/>
        <v>0</v>
      </c>
      <c r="BE29" s="1592" t="str">
        <f t="shared" si="37"/>
        <v>Yes</v>
      </c>
      <c r="BF29" s="1592">
        <f t="shared" si="38"/>
        <v>3.2799999999999999E-3</v>
      </c>
      <c r="BG29" s="821">
        <f t="shared" si="39"/>
        <v>3.2799999999999999E-3</v>
      </c>
      <c r="BH29" s="1160">
        <f t="shared" si="76"/>
        <v>0</v>
      </c>
      <c r="BI29" s="1592">
        <f t="shared" si="40"/>
        <v>1</v>
      </c>
      <c r="BJ29" s="1592">
        <f t="shared" si="41"/>
        <v>8.9638499759099998E-3</v>
      </c>
      <c r="BK29" s="821">
        <f t="shared" si="42"/>
        <v>8.9638499759099998E-3</v>
      </c>
      <c r="BL29" s="1160">
        <f t="shared" si="77"/>
        <v>0</v>
      </c>
      <c r="BM29" s="1592">
        <f t="shared" si="43"/>
        <v>0.20164225687262999</v>
      </c>
      <c r="BN29" s="821">
        <f t="shared" si="44"/>
        <v>0.20164225687262999</v>
      </c>
      <c r="BO29" s="1160">
        <f t="shared" si="78"/>
        <v>0</v>
      </c>
      <c r="BP29" s="1592">
        <f t="shared" si="45"/>
        <v>0.4839414164943</v>
      </c>
      <c r="BQ29" s="821">
        <f t="shared" si="46"/>
        <v>0.4839414164943</v>
      </c>
      <c r="BR29" s="1160">
        <f t="shared" si="79"/>
        <v>0</v>
      </c>
      <c r="BS29" s="1592" t="str">
        <f t="shared" si="80"/>
        <v>--</v>
      </c>
      <c r="BT29" s="821">
        <f t="shared" si="81"/>
        <v>0</v>
      </c>
      <c r="BU29" s="1160">
        <f t="shared" si="82"/>
        <v>0</v>
      </c>
      <c r="BW29" s="75" t="str">
        <f t="shared" si="47"/>
        <v>--</v>
      </c>
      <c r="BX29" s="75" t="str">
        <f t="shared" si="48"/>
        <v xml:space="preserve"> </v>
      </c>
      <c r="BY29" s="75" t="str">
        <f t="shared" si="49"/>
        <v/>
      </c>
      <c r="BZ29" s="75" t="str">
        <f t="shared" si="50"/>
        <v/>
      </c>
      <c r="CA29" s="1670" t="str">
        <f t="shared" si="83"/>
        <v>--</v>
      </c>
      <c r="CB29" s="75" t="str">
        <f t="shared" si="51"/>
        <v>--</v>
      </c>
      <c r="CC29" s="75" t="str">
        <f t="shared" si="52"/>
        <v xml:space="preserve"> </v>
      </c>
      <c r="CD29" s="75" t="str">
        <f t="shared" si="53"/>
        <v/>
      </c>
      <c r="CE29" s="75" t="str">
        <f t="shared" si="54"/>
        <v/>
      </c>
      <c r="CF29" s="1670" t="str">
        <f t="shared" si="84"/>
        <v>--</v>
      </c>
      <c r="CG29" s="75" t="str">
        <f t="shared" si="55"/>
        <v>--</v>
      </c>
      <c r="CH29" s="75" t="str">
        <f t="shared" si="56"/>
        <v xml:space="preserve"> </v>
      </c>
      <c r="CI29" s="75" t="str">
        <f t="shared" si="57"/>
        <v/>
      </c>
      <c r="CJ29" s="75" t="str">
        <f t="shared" si="58"/>
        <v/>
      </c>
      <c r="CK29" s="1670" t="str">
        <f t="shared" si="85"/>
        <v>--</v>
      </c>
      <c r="CL29" s="75">
        <f t="shared" si="59"/>
        <v>90</v>
      </c>
      <c r="CM29" s="75" t="str">
        <f t="shared" si="60"/>
        <v>IRIS 2001</v>
      </c>
      <c r="CN29" s="75">
        <f t="shared" si="61"/>
        <v>90</v>
      </c>
      <c r="CO29" s="75" t="str">
        <f t="shared" si="62"/>
        <v>I</v>
      </c>
      <c r="CP29" s="1670" t="str">
        <f t="shared" si="86"/>
        <v>--</v>
      </c>
      <c r="CR29" s="1686" t="str">
        <f t="shared" si="87"/>
        <v>--</v>
      </c>
      <c r="CS29" s="1686" t="str">
        <f t="shared" si="88"/>
        <v>--</v>
      </c>
      <c r="CT29" s="1686" t="str">
        <f t="shared" si="89"/>
        <v>--</v>
      </c>
      <c r="CU29" s="1686" t="str">
        <f t="shared" si="90"/>
        <v>--</v>
      </c>
    </row>
    <row r="30" spans="1:99">
      <c r="A30" s="309" t="s">
        <v>131</v>
      </c>
      <c r="B30" s="427" t="s">
        <v>132</v>
      </c>
      <c r="C30" s="1563" t="str">
        <f t="shared" si="0"/>
        <v>O</v>
      </c>
      <c r="D30" t="e">
        <f t="shared" si="1"/>
        <v>#N/A</v>
      </c>
      <c r="E30" s="1563">
        <f t="shared" si="2"/>
        <v>9.8000000000000007</v>
      </c>
      <c r="F30">
        <f t="shared" si="3"/>
        <v>9.8000000000000007</v>
      </c>
      <c r="G30" s="1160">
        <f t="shared" si="63"/>
        <v>0</v>
      </c>
      <c r="H30" s="1563" t="str">
        <f t="shared" si="4"/>
        <v>V</v>
      </c>
      <c r="I30" t="str">
        <f t="shared" si="5"/>
        <v>V</v>
      </c>
      <c r="J30" s="1160">
        <f t="shared" si="64"/>
        <v>0</v>
      </c>
      <c r="K30" s="1563">
        <f t="shared" si="6"/>
        <v>128.56</v>
      </c>
      <c r="L30">
        <f t="shared" si="7"/>
        <v>128.56</v>
      </c>
      <c r="M30" s="1160">
        <f t="shared" si="65"/>
        <v>0</v>
      </c>
      <c r="N30" s="1563">
        <f t="shared" si="8"/>
        <v>2.5299999999999998</v>
      </c>
      <c r="O30">
        <f t="shared" si="9"/>
        <v>2.5299999999999998</v>
      </c>
      <c r="P30" s="1160">
        <f t="shared" si="66"/>
        <v>0</v>
      </c>
      <c r="Q30" s="1563">
        <f t="shared" si="10"/>
        <v>11300</v>
      </c>
      <c r="R30">
        <f t="shared" si="11"/>
        <v>11300</v>
      </c>
      <c r="S30" s="1160">
        <f t="shared" si="67"/>
        <v>0</v>
      </c>
      <c r="T30" s="1563">
        <f t="shared" si="12"/>
        <v>1.1199999999999999E-5</v>
      </c>
      <c r="U30">
        <f t="shared" si="13"/>
        <v>1.1199999999999999E-5</v>
      </c>
      <c r="V30" s="1160">
        <f t="shared" si="68"/>
        <v>0</v>
      </c>
      <c r="W30" s="1563">
        <f t="shared" si="14"/>
        <v>4.5789043335999998E-4</v>
      </c>
      <c r="X30">
        <f t="shared" si="15"/>
        <v>4.5789043335999998E-4</v>
      </c>
      <c r="Y30" s="1160">
        <f t="shared" si="69"/>
        <v>0</v>
      </c>
      <c r="Z30" s="1563">
        <f t="shared" si="16"/>
        <v>388</v>
      </c>
      <c r="AA30">
        <f t="shared" si="17"/>
        <v>388</v>
      </c>
      <c r="AB30" s="1160">
        <f t="shared" si="70"/>
        <v>0</v>
      </c>
      <c r="AC30" s="1563">
        <f t="shared" si="18"/>
        <v>2.3279999999999998</v>
      </c>
      <c r="AD30" t="str">
        <f t="shared" si="19"/>
        <v/>
      </c>
      <c r="AE30" s="1160">
        <f t="shared" si="71"/>
        <v>1</v>
      </c>
      <c r="AF30" s="1563">
        <f t="shared" si="20"/>
        <v>6.6117503717829998E-2</v>
      </c>
      <c r="AG30">
        <f t="shared" si="21"/>
        <v>6.6117503717829998E-2</v>
      </c>
      <c r="AH30" s="1160">
        <f t="shared" si="72"/>
        <v>0</v>
      </c>
      <c r="AI30" s="1563">
        <f t="shared" si="22"/>
        <v>9.4783507706700002E-6</v>
      </c>
      <c r="AJ30">
        <f t="shared" si="23"/>
        <v>9.4783507706700002E-6</v>
      </c>
      <c r="AK30" s="1160">
        <f t="shared" si="73"/>
        <v>0</v>
      </c>
      <c r="AL30" s="1563">
        <f t="shared" si="24"/>
        <v>64.477518400000008</v>
      </c>
      <c r="AM30" t="e">
        <f t="shared" si="25"/>
        <v>#N/A</v>
      </c>
      <c r="AN30" s="1563">
        <f t="shared" si="26"/>
        <v>27437.379511151565</v>
      </c>
      <c r="AO30">
        <f t="shared" si="27"/>
        <v>27400</v>
      </c>
      <c r="AP30" s="1160">
        <f t="shared" si="28"/>
        <v>1</v>
      </c>
      <c r="AQ30" s="1563">
        <f t="shared" si="29"/>
        <v>6.8906498024632344E-7</v>
      </c>
      <c r="AS30" s="1563">
        <f t="shared" si="30"/>
        <v>138953.8443454752</v>
      </c>
      <c r="AU30" s="1563">
        <f t="shared" si="31"/>
        <v>136255.45457813703</v>
      </c>
      <c r="AW30" s="1563">
        <f t="shared" si="32"/>
        <v>30777.074280804962</v>
      </c>
      <c r="AY30" s="1592">
        <f t="shared" si="33"/>
        <v>1</v>
      </c>
      <c r="AZ30" s="821">
        <f t="shared" si="34"/>
        <v>1</v>
      </c>
      <c r="BA30" s="1160">
        <f t="shared" si="74"/>
        <v>0</v>
      </c>
      <c r="BB30" s="1592" t="str">
        <f t="shared" si="35"/>
        <v>--</v>
      </c>
      <c r="BC30" s="821" t="str">
        <f t="shared" si="36"/>
        <v/>
      </c>
      <c r="BD30" s="1160">
        <f t="shared" si="75"/>
        <v>0</v>
      </c>
      <c r="BE30" s="1592" t="str">
        <f t="shared" si="37"/>
        <v>Yes</v>
      </c>
      <c r="BF30" s="1592">
        <f t="shared" si="38"/>
        <v>7.9900000000000006E-3</v>
      </c>
      <c r="BG30" s="821">
        <f t="shared" si="39"/>
        <v>7.9900000000000006E-3</v>
      </c>
      <c r="BH30" s="1160">
        <f t="shared" si="76"/>
        <v>0</v>
      </c>
      <c r="BI30" s="1592">
        <f t="shared" si="40"/>
        <v>1</v>
      </c>
      <c r="BJ30" s="1592">
        <f t="shared" si="41"/>
        <v>3.4843868272809997E-2</v>
      </c>
      <c r="BK30" s="821">
        <f t="shared" si="42"/>
        <v>3.4843868272809997E-2</v>
      </c>
      <c r="BL30" s="1160">
        <f t="shared" si="77"/>
        <v>0</v>
      </c>
      <c r="BM30" s="1592">
        <f t="shared" si="43"/>
        <v>0.55180387965424005</v>
      </c>
      <c r="BN30" s="821">
        <f t="shared" si="44"/>
        <v>0.55180387965424005</v>
      </c>
      <c r="BO30" s="1160">
        <f t="shared" si="78"/>
        <v>0</v>
      </c>
      <c r="BP30" s="1592">
        <f t="shared" si="45"/>
        <v>1.3243293111701799</v>
      </c>
      <c r="BQ30" s="821">
        <f t="shared" si="46"/>
        <v>1.3243293111701799</v>
      </c>
      <c r="BR30" s="1160">
        <f t="shared" si="79"/>
        <v>0</v>
      </c>
      <c r="BS30" s="1592" t="str">
        <f t="shared" si="80"/>
        <v>--</v>
      </c>
      <c r="BT30" s="821">
        <f t="shared" si="81"/>
        <v>0</v>
      </c>
      <c r="BU30" s="1160">
        <f t="shared" si="82"/>
        <v>0</v>
      </c>
      <c r="BW30" s="75" t="str">
        <f t="shared" si="47"/>
        <v>--</v>
      </c>
      <c r="BX30" s="75" t="str">
        <f t="shared" si="48"/>
        <v xml:space="preserve"> </v>
      </c>
      <c r="BY30" s="75" t="str">
        <f t="shared" si="49"/>
        <v/>
      </c>
      <c r="BZ30" s="75" t="str">
        <f t="shared" si="50"/>
        <v/>
      </c>
      <c r="CA30" s="1670" t="str">
        <f t="shared" si="83"/>
        <v>--</v>
      </c>
      <c r="CB30" s="75" t="str">
        <f t="shared" si="51"/>
        <v>--</v>
      </c>
      <c r="CC30" s="75" t="str">
        <f t="shared" si="52"/>
        <v xml:space="preserve"> </v>
      </c>
      <c r="CD30" s="75" t="str">
        <f t="shared" si="53"/>
        <v/>
      </c>
      <c r="CE30" s="75" t="str">
        <f t="shared" si="54"/>
        <v/>
      </c>
      <c r="CF30" s="1670" t="str">
        <f t="shared" si="84"/>
        <v>--</v>
      </c>
      <c r="CG30" s="75">
        <f t="shared" si="55"/>
        <v>5.0000000000000001E-3</v>
      </c>
      <c r="CH30" s="75" t="str">
        <f t="shared" si="56"/>
        <v>IRIS 1988</v>
      </c>
      <c r="CI30" s="75">
        <f t="shared" si="57"/>
        <v>5.0000000000000001E-3</v>
      </c>
      <c r="CJ30" s="75" t="str">
        <f t="shared" si="58"/>
        <v>I</v>
      </c>
      <c r="CK30" s="1670" t="str">
        <f t="shared" si="85"/>
        <v>--</v>
      </c>
      <c r="CL30" s="75" t="str">
        <f t="shared" si="59"/>
        <v>--</v>
      </c>
      <c r="CM30" s="75" t="str">
        <f t="shared" si="60"/>
        <v xml:space="preserve"> </v>
      </c>
      <c r="CN30" s="75" t="str">
        <f t="shared" si="61"/>
        <v/>
      </c>
      <c r="CO30" s="75" t="str">
        <f t="shared" si="62"/>
        <v/>
      </c>
      <c r="CP30" s="1670" t="str">
        <f t="shared" si="86"/>
        <v>--</v>
      </c>
      <c r="CR30" s="1686" t="str">
        <f t="shared" si="87"/>
        <v>--</v>
      </c>
      <c r="CS30" s="1686" t="str">
        <f t="shared" si="88"/>
        <v>--</v>
      </c>
      <c r="CT30" s="1686" t="str">
        <f t="shared" si="89"/>
        <v>--</v>
      </c>
      <c r="CU30" s="1686" t="str">
        <f t="shared" si="90"/>
        <v>--</v>
      </c>
    </row>
    <row r="31" spans="1:99">
      <c r="A31" s="309" t="s">
        <v>133</v>
      </c>
      <c r="B31" s="427" t="s">
        <v>134</v>
      </c>
      <c r="C31" s="1563" t="str">
        <f t="shared" si="0"/>
        <v>I</v>
      </c>
      <c r="D31" t="e">
        <f t="shared" si="1"/>
        <v>#N/A</v>
      </c>
      <c r="E31" s="1563">
        <f t="shared" si="2"/>
        <v>1900</v>
      </c>
      <c r="F31">
        <f t="shared" si="3"/>
        <v>1900</v>
      </c>
      <c r="G31" s="1160">
        <f t="shared" si="63"/>
        <v>0</v>
      </c>
      <c r="H31" s="1563" t="str">
        <f t="shared" si="4"/>
        <v>NV</v>
      </c>
      <c r="I31">
        <f t="shared" si="5"/>
        <v>0</v>
      </c>
      <c r="J31" s="1160">
        <f t="shared" si="64"/>
        <v>0</v>
      </c>
      <c r="K31" s="1563">
        <f t="shared" si="6"/>
        <v>51.996000000000002</v>
      </c>
      <c r="L31">
        <f t="shared" si="7"/>
        <v>51.996000000000002</v>
      </c>
      <c r="M31" s="1160">
        <f t="shared" si="65"/>
        <v>0</v>
      </c>
      <c r="N31" s="1563" t="str">
        <f t="shared" si="8"/>
        <v>--</v>
      </c>
      <c r="O31" t="str">
        <f t="shared" si="9"/>
        <v/>
      </c>
      <c r="P31" s="1160">
        <f t="shared" si="66"/>
        <v>0</v>
      </c>
      <c r="Q31" s="1563" t="str">
        <f t="shared" si="10"/>
        <v>--</v>
      </c>
      <c r="R31" t="str">
        <f t="shared" si="11"/>
        <v/>
      </c>
      <c r="S31" s="1160">
        <f t="shared" si="67"/>
        <v>0</v>
      </c>
      <c r="T31" s="1563" t="str">
        <f t="shared" si="12"/>
        <v>--</v>
      </c>
      <c r="U31" t="str">
        <f t="shared" si="13"/>
        <v/>
      </c>
      <c r="V31" s="1160">
        <f t="shared" si="68"/>
        <v>0</v>
      </c>
      <c r="W31" s="1563" t="str">
        <f t="shared" si="14"/>
        <v>--</v>
      </c>
      <c r="X31" t="str">
        <f t="shared" si="15"/>
        <v/>
      </c>
      <c r="Y31" s="1160">
        <f t="shared" si="69"/>
        <v>0</v>
      </c>
      <c r="Z31" s="1563" t="str">
        <f t="shared" si="16"/>
        <v>--</v>
      </c>
      <c r="AA31" t="str">
        <f t="shared" si="17"/>
        <v/>
      </c>
      <c r="AB31" s="1160">
        <f t="shared" si="70"/>
        <v>0</v>
      </c>
      <c r="AC31" s="1563">
        <f t="shared" si="18"/>
        <v>1800000</v>
      </c>
      <c r="AD31">
        <f t="shared" si="19"/>
        <v>1800000</v>
      </c>
      <c r="AE31" s="1160">
        <f t="shared" si="71"/>
        <v>0</v>
      </c>
      <c r="AF31" s="1563">
        <f t="shared" si="20"/>
        <v>0.25062427794642</v>
      </c>
      <c r="AG31">
        <f t="shared" si="21"/>
        <v>0.25062427794642</v>
      </c>
      <c r="AH31" s="1160">
        <f t="shared" si="72"/>
        <v>0</v>
      </c>
      <c r="AI31" s="1563">
        <f t="shared" si="22"/>
        <v>4.6160811560000001E-5</v>
      </c>
      <c r="AJ31">
        <f t="shared" si="23"/>
        <v>4.6160811560000001E-5</v>
      </c>
      <c r="AK31" s="1160">
        <f t="shared" si="73"/>
        <v>0</v>
      </c>
      <c r="AL31" s="1563" t="str">
        <f t="shared" si="24"/>
        <v>--</v>
      </c>
      <c r="AM31" t="e">
        <f t="shared" si="25"/>
        <v>#N/A</v>
      </c>
      <c r="AN31" s="1563" t="str">
        <f t="shared" si="26"/>
        <v>--</v>
      </c>
      <c r="AO31" t="str">
        <f t="shared" si="27"/>
        <v/>
      </c>
      <c r="AP31" s="1160">
        <f t="shared" si="28"/>
        <v>1</v>
      </c>
      <c r="AQ31" s="1563" t="str">
        <f t="shared" si="29"/>
        <v>--</v>
      </c>
      <c r="AS31" s="1563" t="str">
        <f t="shared" si="30"/>
        <v>--</v>
      </c>
      <c r="AU31" s="1563" t="str">
        <f t="shared" si="31"/>
        <v>--</v>
      </c>
      <c r="AW31" s="1563" t="str">
        <f t="shared" si="32"/>
        <v>--</v>
      </c>
      <c r="AY31" s="1592">
        <f t="shared" si="33"/>
        <v>1.2999999999999999E-2</v>
      </c>
      <c r="AZ31" s="821">
        <f t="shared" si="34"/>
        <v>1.2999999999999999E-2</v>
      </c>
      <c r="BA31" s="1160">
        <f t="shared" si="74"/>
        <v>0</v>
      </c>
      <c r="BB31" s="1592" t="str">
        <f t="shared" si="35"/>
        <v>--</v>
      </c>
      <c r="BC31" s="821" t="str">
        <f t="shared" si="36"/>
        <v/>
      </c>
      <c r="BD31" s="1160">
        <f t="shared" si="75"/>
        <v>0</v>
      </c>
      <c r="BE31" s="1592" t="str">
        <f t="shared" si="37"/>
        <v>--</v>
      </c>
      <c r="BF31" s="1592">
        <f t="shared" si="38"/>
        <v>1E-3</v>
      </c>
      <c r="BG31" s="821">
        <f t="shared" si="39"/>
        <v>1E-3</v>
      </c>
      <c r="BH31" s="1160">
        <f t="shared" si="76"/>
        <v>0</v>
      </c>
      <c r="BI31" s="1592">
        <f t="shared" si="40"/>
        <v>1</v>
      </c>
      <c r="BJ31" s="1592">
        <f t="shared" si="41"/>
        <v>2.7733943059600002E-3</v>
      </c>
      <c r="BK31" s="821">
        <f t="shared" si="42"/>
        <v>2.7733943059600002E-3</v>
      </c>
      <c r="BL31" s="1160">
        <f t="shared" si="77"/>
        <v>0</v>
      </c>
      <c r="BM31" s="1592">
        <f t="shared" si="43"/>
        <v>0.20560153352432001</v>
      </c>
      <c r="BN31" s="821">
        <f t="shared" si="44"/>
        <v>0.20560153352432001</v>
      </c>
      <c r="BO31" s="1160">
        <f t="shared" si="78"/>
        <v>0</v>
      </c>
      <c r="BP31" s="1592">
        <f t="shared" si="45"/>
        <v>0.49344368045836001</v>
      </c>
      <c r="BQ31" s="821">
        <f t="shared" si="46"/>
        <v>0.49344368045836001</v>
      </c>
      <c r="BR31" s="1160">
        <f t="shared" si="79"/>
        <v>0</v>
      </c>
      <c r="BS31" s="1592" t="str">
        <f t="shared" si="80"/>
        <v>--</v>
      </c>
      <c r="BT31" s="821">
        <f t="shared" si="81"/>
        <v>0</v>
      </c>
      <c r="BU31" s="1160">
        <f t="shared" si="82"/>
        <v>0</v>
      </c>
      <c r="BW31" s="75" t="str">
        <f t="shared" si="47"/>
        <v>--</v>
      </c>
      <c r="BX31" s="75" t="str">
        <f t="shared" si="48"/>
        <v xml:space="preserve"> </v>
      </c>
      <c r="BY31" s="75" t="str">
        <f t="shared" si="49"/>
        <v/>
      </c>
      <c r="BZ31" s="75" t="str">
        <f t="shared" si="50"/>
        <v/>
      </c>
      <c r="CA31" s="1670" t="str">
        <f t="shared" si="83"/>
        <v>--</v>
      </c>
      <c r="CB31" s="75" t="str">
        <f t="shared" si="51"/>
        <v>--</v>
      </c>
      <c r="CC31" s="75" t="str">
        <f t="shared" si="52"/>
        <v xml:space="preserve"> </v>
      </c>
      <c r="CD31" s="75" t="str">
        <f t="shared" si="53"/>
        <v/>
      </c>
      <c r="CE31" s="75" t="str">
        <f t="shared" si="54"/>
        <v/>
      </c>
      <c r="CF31" s="1670" t="str">
        <f t="shared" si="84"/>
        <v>--</v>
      </c>
      <c r="CG31" s="75" t="str">
        <f t="shared" si="55"/>
        <v>--</v>
      </c>
      <c r="CH31" s="75" t="str">
        <f t="shared" si="56"/>
        <v xml:space="preserve"> </v>
      </c>
      <c r="CI31" s="75" t="str">
        <f t="shared" si="57"/>
        <v/>
      </c>
      <c r="CJ31" s="75" t="str">
        <f t="shared" si="58"/>
        <v/>
      </c>
      <c r="CK31" s="1670" t="str">
        <f t="shared" si="85"/>
        <v>--</v>
      </c>
      <c r="CL31" s="75" t="str">
        <f t="shared" si="59"/>
        <v>--</v>
      </c>
      <c r="CM31" s="75" t="str">
        <f t="shared" si="60"/>
        <v xml:space="preserve"> </v>
      </c>
      <c r="CN31" s="75" t="str">
        <f t="shared" si="61"/>
        <v/>
      </c>
      <c r="CO31" s="75" t="str">
        <f t="shared" si="62"/>
        <v/>
      </c>
      <c r="CP31" s="1670" t="str">
        <f t="shared" si="86"/>
        <v>--</v>
      </c>
      <c r="CR31" s="1686" t="str">
        <f t="shared" si="87"/>
        <v>--</v>
      </c>
      <c r="CS31" s="1686" t="str">
        <f t="shared" si="88"/>
        <v>--</v>
      </c>
      <c r="CT31" s="1686" t="str">
        <f t="shared" si="89"/>
        <v>--</v>
      </c>
      <c r="CU31" s="1686" t="str">
        <f t="shared" si="90"/>
        <v>--</v>
      </c>
    </row>
    <row r="32" spans="1:99">
      <c r="A32" s="309" t="s">
        <v>439</v>
      </c>
      <c r="B32" s="427" t="s">
        <v>136</v>
      </c>
      <c r="C32" s="1563" t="e">
        <f>VLOOKUP($A32,Table_IP_1, MATCH("OI", heading_IP_1, 0), FALSE)</f>
        <v>#N/A</v>
      </c>
      <c r="D32" t="e">
        <f t="shared" si="1"/>
        <v>#N/A</v>
      </c>
      <c r="E32" s="1563" t="e">
        <f t="shared" si="2"/>
        <v>#N/A</v>
      </c>
      <c r="F32">
        <f t="shared" si="3"/>
        <v>1907</v>
      </c>
      <c r="G32" s="1160" t="e">
        <f t="shared" si="63"/>
        <v>#N/A</v>
      </c>
      <c r="H32" s="1563" t="e">
        <f t="shared" si="4"/>
        <v>#N/A</v>
      </c>
      <c r="I32">
        <f t="shared" si="5"/>
        <v>0</v>
      </c>
      <c r="J32" s="1160" t="e">
        <f t="shared" si="64"/>
        <v>#N/A</v>
      </c>
      <c r="K32" s="1563" t="e">
        <f t="shared" si="6"/>
        <v>#N/A</v>
      </c>
      <c r="L32">
        <f t="shared" si="7"/>
        <v>51.996099999999998</v>
      </c>
      <c r="M32" s="1160" t="e">
        <f t="shared" si="65"/>
        <v>#N/A</v>
      </c>
      <c r="N32" s="1563" t="e">
        <f t="shared" si="8"/>
        <v>#N/A</v>
      </c>
      <c r="O32" t="str">
        <f t="shared" si="9"/>
        <v/>
      </c>
      <c r="P32" s="1160" t="e">
        <f t="shared" si="66"/>
        <v>#N/A</v>
      </c>
      <c r="Q32" s="1563" t="e">
        <f t="shared" si="10"/>
        <v>#N/A</v>
      </c>
      <c r="R32" t="str">
        <f t="shared" si="11"/>
        <v/>
      </c>
      <c r="S32" s="1160" t="e">
        <f t="shared" si="67"/>
        <v>#N/A</v>
      </c>
      <c r="T32" s="1563" t="e">
        <f t="shared" si="12"/>
        <v>#N/A</v>
      </c>
      <c r="U32" t="str">
        <f t="shared" si="13"/>
        <v/>
      </c>
      <c r="V32" s="1160" t="e">
        <f t="shared" si="68"/>
        <v>#N/A</v>
      </c>
      <c r="W32" s="1563" t="e">
        <f t="shared" si="14"/>
        <v>#N/A</v>
      </c>
      <c r="X32" t="str">
        <f t="shared" si="15"/>
        <v/>
      </c>
      <c r="Y32" s="1160" t="e">
        <f t="shared" si="69"/>
        <v>#N/A</v>
      </c>
      <c r="Z32" s="1563" t="e">
        <f t="shared" si="16"/>
        <v>#N/A</v>
      </c>
      <c r="AA32" t="str">
        <f t="shared" si="17"/>
        <v/>
      </c>
      <c r="AB32" s="1160" t="e">
        <f t="shared" si="70"/>
        <v>#N/A</v>
      </c>
      <c r="AC32" s="1563" t="e">
        <f t="shared" si="18"/>
        <v>#N/A</v>
      </c>
      <c r="AD32">
        <f t="shared" si="19"/>
        <v>1800000</v>
      </c>
      <c r="AE32" s="1160" t="e">
        <f t="shared" si="71"/>
        <v>#N/A</v>
      </c>
      <c r="AF32" s="1563" t="e">
        <f t="shared" si="20"/>
        <v>#N/A</v>
      </c>
      <c r="AG32">
        <f t="shared" si="21"/>
        <v>0.25062400817312003</v>
      </c>
      <c r="AH32" s="1160" t="e">
        <f t="shared" si="72"/>
        <v>#N/A</v>
      </c>
      <c r="AI32" s="1563" t="e">
        <f t="shared" si="22"/>
        <v>#N/A</v>
      </c>
      <c r="AJ32">
        <f t="shared" si="23"/>
        <v>4.6160758289999997E-5</v>
      </c>
      <c r="AK32" s="1160" t="e">
        <f t="shared" si="73"/>
        <v>#N/A</v>
      </c>
      <c r="AL32" s="1563" t="e">
        <f t="shared" si="24"/>
        <v>#N/A</v>
      </c>
      <c r="AM32" t="e">
        <f t="shared" si="25"/>
        <v>#N/A</v>
      </c>
      <c r="AN32" s="1563" t="e">
        <f t="shared" si="26"/>
        <v>#N/A</v>
      </c>
      <c r="AO32" t="str">
        <f t="shared" si="27"/>
        <v/>
      </c>
      <c r="AP32" s="1160" t="e">
        <f t="shared" si="28"/>
        <v>#N/A</v>
      </c>
      <c r="AQ32" s="1563" t="e">
        <f t="shared" si="29"/>
        <v>#N/A</v>
      </c>
      <c r="AS32" s="1563" t="e">
        <f t="shared" si="30"/>
        <v>#N/A</v>
      </c>
      <c r="AU32" s="1563" t="e">
        <f t="shared" si="31"/>
        <v>#N/A</v>
      </c>
      <c r="AW32" s="1563" t="e">
        <f t="shared" si="32"/>
        <v>#N/A</v>
      </c>
      <c r="AY32" s="1592">
        <f t="shared" si="33"/>
        <v>1.2999999999999999E-2</v>
      </c>
      <c r="AZ32" s="821">
        <f t="shared" si="34"/>
        <v>1.2999999999999999E-2</v>
      </c>
      <c r="BA32" s="1160">
        <f t="shared" si="74"/>
        <v>0</v>
      </c>
      <c r="BB32" s="1592" t="str">
        <f t="shared" si="35"/>
        <v>--</v>
      </c>
      <c r="BC32" s="821" t="str">
        <f t="shared" si="36"/>
        <v/>
      </c>
      <c r="BD32" s="1160">
        <f t="shared" si="75"/>
        <v>0</v>
      </c>
      <c r="BE32" s="1592" t="str">
        <f t="shared" si="37"/>
        <v>Yes</v>
      </c>
      <c r="BF32" s="1592">
        <f t="shared" si="38"/>
        <v>1E-3</v>
      </c>
      <c r="BG32" s="821">
        <f t="shared" si="39"/>
        <v>1E-3</v>
      </c>
      <c r="BH32" s="1160">
        <f t="shared" si="76"/>
        <v>0</v>
      </c>
      <c r="BI32" s="1592">
        <f t="shared" si="40"/>
        <v>1</v>
      </c>
      <c r="BJ32" s="1592">
        <f t="shared" si="41"/>
        <v>2.7733969728899999E-3</v>
      </c>
      <c r="BK32" s="821">
        <f t="shared" si="42"/>
        <v>2.7733969728899999E-3</v>
      </c>
      <c r="BL32" s="1160">
        <f t="shared" si="77"/>
        <v>0</v>
      </c>
      <c r="BM32" s="1592">
        <f t="shared" si="43"/>
        <v>0.20560179863690001</v>
      </c>
      <c r="BN32" s="821">
        <f t="shared" si="44"/>
        <v>0.20560179863690001</v>
      </c>
      <c r="BO32" s="1160">
        <f t="shared" si="78"/>
        <v>0</v>
      </c>
      <c r="BP32" s="1592">
        <f t="shared" si="45"/>
        <v>0.49344431672856998</v>
      </c>
      <c r="BQ32" s="821">
        <f t="shared" si="46"/>
        <v>0.49344431672856998</v>
      </c>
      <c r="BR32" s="1160">
        <f t="shared" si="79"/>
        <v>0</v>
      </c>
      <c r="BS32" s="1592" t="str">
        <f t="shared" si="80"/>
        <v>--</v>
      </c>
      <c r="BT32" s="821">
        <f t="shared" si="81"/>
        <v>0</v>
      </c>
      <c r="BU32" s="1160">
        <f t="shared" si="82"/>
        <v>0</v>
      </c>
      <c r="BW32" s="75" t="str">
        <f t="shared" si="47"/>
        <v>--</v>
      </c>
      <c r="BX32" s="75" t="str">
        <f t="shared" si="48"/>
        <v xml:space="preserve"> </v>
      </c>
      <c r="BY32" s="75" t="str">
        <f t="shared" si="49"/>
        <v/>
      </c>
      <c r="BZ32" s="75" t="str">
        <f t="shared" si="50"/>
        <v/>
      </c>
      <c r="CA32" s="1670" t="str">
        <f t="shared" si="83"/>
        <v>--</v>
      </c>
      <c r="CB32" s="75" t="str">
        <f t="shared" si="51"/>
        <v>--</v>
      </c>
      <c r="CC32" s="75" t="str">
        <f t="shared" si="52"/>
        <v xml:space="preserve"> </v>
      </c>
      <c r="CD32" s="75" t="str">
        <f t="shared" si="53"/>
        <v/>
      </c>
      <c r="CE32" s="75" t="str">
        <f t="shared" si="54"/>
        <v/>
      </c>
      <c r="CF32" s="1670" t="str">
        <f t="shared" si="84"/>
        <v>--</v>
      </c>
      <c r="CG32" s="75" t="str">
        <f t="shared" si="55"/>
        <v>--</v>
      </c>
      <c r="CH32" s="75" t="str">
        <f t="shared" si="56"/>
        <v xml:space="preserve"> </v>
      </c>
      <c r="CI32" s="75" t="str">
        <f t="shared" si="57"/>
        <v/>
      </c>
      <c r="CJ32" s="75" t="str">
        <f t="shared" si="58"/>
        <v/>
      </c>
      <c r="CK32" s="1671" t="str">
        <f t="shared" si="85"/>
        <v>--</v>
      </c>
      <c r="CL32" s="75">
        <f t="shared" si="59"/>
        <v>0.06</v>
      </c>
      <c r="CM32" s="75" t="str">
        <f t="shared" si="60"/>
        <v>OEHHA</v>
      </c>
      <c r="CN32" s="75">
        <f t="shared" si="61"/>
        <v>6.0000000000000005E-2</v>
      </c>
      <c r="CO32" s="75" t="str">
        <f t="shared" si="62"/>
        <v>C</v>
      </c>
      <c r="CP32" s="1670" t="str">
        <f t="shared" si="86"/>
        <v>--</v>
      </c>
      <c r="CR32" s="1686" t="str">
        <f t="shared" si="87"/>
        <v>--</v>
      </c>
      <c r="CS32" s="1686" t="str">
        <f t="shared" si="88"/>
        <v>--</v>
      </c>
      <c r="CT32" s="1686" t="str">
        <f t="shared" si="89"/>
        <v>--</v>
      </c>
      <c r="CU32" s="1686" t="str">
        <f t="shared" si="90"/>
        <v>--</v>
      </c>
    </row>
    <row r="33" spans="1:99">
      <c r="A33" s="309" t="s">
        <v>440</v>
      </c>
      <c r="B33" s="427" t="s">
        <v>136</v>
      </c>
      <c r="C33" s="1563" t="e">
        <f t="shared" si="0"/>
        <v>#N/A</v>
      </c>
      <c r="D33" t="e">
        <f t="shared" si="1"/>
        <v>#N/A</v>
      </c>
      <c r="E33" s="1563" t="e">
        <f t="shared" si="2"/>
        <v>#N/A</v>
      </c>
      <c r="F33">
        <f t="shared" si="3"/>
        <v>1907</v>
      </c>
      <c r="G33" s="1160" t="e">
        <f t="shared" ref="G33" si="91">IF(F33=E33,,1)</f>
        <v>#N/A</v>
      </c>
      <c r="H33" s="1563" t="e">
        <f t="shared" si="4"/>
        <v>#N/A</v>
      </c>
      <c r="I33">
        <f t="shared" si="5"/>
        <v>0</v>
      </c>
      <c r="J33" s="1160" t="e">
        <f t="shared" ref="J33" si="92">IF(I33=H33,,IF(AND(H33="NV",I33=0),,1))</f>
        <v>#N/A</v>
      </c>
      <c r="K33" s="1563" t="e">
        <f t="shared" si="6"/>
        <v>#N/A</v>
      </c>
      <c r="L33">
        <f t="shared" si="7"/>
        <v>51.996099999999998</v>
      </c>
      <c r="M33" s="1160" t="e">
        <f t="shared" ref="M33" si="93">IF(L33=K33,,1)</f>
        <v>#N/A</v>
      </c>
      <c r="N33" s="1563" t="e">
        <f t="shared" si="8"/>
        <v>#N/A</v>
      </c>
      <c r="O33" t="str">
        <f t="shared" si="9"/>
        <v/>
      </c>
      <c r="P33" s="1160" t="e">
        <f t="shared" ref="P33" si="94">IF(O33=N33,,IF(AND(N33="--",OR(O33="",O33=0)),,1))</f>
        <v>#N/A</v>
      </c>
      <c r="Q33" s="1563" t="e">
        <f t="shared" si="10"/>
        <v>#N/A</v>
      </c>
      <c r="R33" t="str">
        <f t="shared" si="11"/>
        <v/>
      </c>
      <c r="S33" s="1160" t="e">
        <f t="shared" ref="S33" si="95">IF(R33=Q33,,IF(AND(Q33="--",OR(R33="",R33=0)),,1))</f>
        <v>#N/A</v>
      </c>
      <c r="T33" s="1563" t="e">
        <f t="shared" si="12"/>
        <v>#N/A</v>
      </c>
      <c r="U33" t="str">
        <f t="shared" si="13"/>
        <v/>
      </c>
      <c r="V33" s="1160" t="e">
        <f t="shared" ref="V33" si="96">IF(U33=T33,,IF(AND(T33="--",OR(U33="",U33=0)),,1))</f>
        <v>#N/A</v>
      </c>
      <c r="W33" s="1563" t="e">
        <f t="shared" si="14"/>
        <v>#N/A</v>
      </c>
      <c r="X33" t="str">
        <f t="shared" si="15"/>
        <v/>
      </c>
      <c r="Y33" s="1160" t="e">
        <f t="shared" ref="Y33" si="97">IF(X33=W33,,IF(AND(W33="--",OR(X33="",X33=0)),,1))</f>
        <v>#N/A</v>
      </c>
      <c r="Z33" s="1563" t="e">
        <f t="shared" si="16"/>
        <v>#N/A</v>
      </c>
      <c r="AA33" t="str">
        <f t="shared" si="17"/>
        <v/>
      </c>
      <c r="AB33" s="1160" t="e">
        <f t="shared" ref="AB33" si="98">IF(AA33=Z33,,IF(AND(Z33="--",OR(AA33="",AA33=0)),,1))</f>
        <v>#N/A</v>
      </c>
      <c r="AC33" s="1563" t="e">
        <f t="shared" si="18"/>
        <v>#N/A</v>
      </c>
      <c r="AD33">
        <f t="shared" si="19"/>
        <v>1800000</v>
      </c>
      <c r="AE33" s="1160" t="e">
        <f t="shared" ref="AE33" si="99">IF(AD33=AC33,,IF(AND(AC33="--",OR(AD33="",AD33=0)),,1))</f>
        <v>#N/A</v>
      </c>
      <c r="AF33" s="1563" t="e">
        <f t="shared" si="20"/>
        <v>#N/A</v>
      </c>
      <c r="AG33">
        <f t="shared" si="21"/>
        <v>0.25062400817312003</v>
      </c>
      <c r="AH33" s="1160" t="e">
        <f t="shared" ref="AH33" si="100">IF(AG33=AF33,,1)</f>
        <v>#N/A</v>
      </c>
      <c r="AI33" s="1563" t="e">
        <f t="shared" si="22"/>
        <v>#N/A</v>
      </c>
      <c r="AJ33">
        <f t="shared" si="23"/>
        <v>4.6160758289999997E-5</v>
      </c>
      <c r="AK33" s="1160" t="e">
        <f t="shared" ref="AK33" si="101">IF(AJ33=AI33,,1)</f>
        <v>#N/A</v>
      </c>
      <c r="AL33" s="1563" t="e">
        <f t="shared" si="24"/>
        <v>#N/A</v>
      </c>
      <c r="AM33" t="e">
        <f t="shared" si="25"/>
        <v>#N/A</v>
      </c>
      <c r="AN33" s="1563" t="e">
        <f t="shared" si="26"/>
        <v>#N/A</v>
      </c>
      <c r="AO33" t="str">
        <f t="shared" si="27"/>
        <v/>
      </c>
      <c r="AP33" s="1160" t="e">
        <f t="shared" ref="AP33" si="102">IF(AO33=AN33,,1)</f>
        <v>#N/A</v>
      </c>
      <c r="AQ33" s="1563" t="e">
        <f t="shared" si="29"/>
        <v>#N/A</v>
      </c>
      <c r="AS33" s="1563" t="e">
        <f t="shared" si="30"/>
        <v>#N/A</v>
      </c>
      <c r="AU33" s="1563" t="e">
        <f t="shared" si="31"/>
        <v>#N/A</v>
      </c>
      <c r="AW33" s="1563" t="e">
        <f t="shared" si="32"/>
        <v>#N/A</v>
      </c>
      <c r="AY33" s="1592">
        <f t="shared" si="33"/>
        <v>1.2999999999999999E-2</v>
      </c>
      <c r="AZ33" s="821">
        <f t="shared" si="34"/>
        <v>1.2999999999999999E-2</v>
      </c>
      <c r="BA33" s="1160">
        <f t="shared" ref="BA33" si="103">IF(AZ33=AY33,,IF(AND(AY33="--",OR(AZ33="",AZ33=0)),,1))</f>
        <v>0</v>
      </c>
      <c r="BB33" s="1592" t="str">
        <f t="shared" si="35"/>
        <v>--</v>
      </c>
      <c r="BC33" s="821" t="str">
        <f t="shared" si="36"/>
        <v/>
      </c>
      <c r="BD33" s="1160">
        <f t="shared" ref="BD33" si="104">IF(BC33=BB33,,IF(AND(BB33="--",OR(BC33="",BC33=0)),,1))</f>
        <v>0</v>
      </c>
      <c r="BE33" s="1592" t="str">
        <f t="shared" si="37"/>
        <v>Yes</v>
      </c>
      <c r="BF33" s="1592">
        <f t="shared" si="38"/>
        <v>1E-3</v>
      </c>
      <c r="BG33" s="821">
        <f t="shared" si="39"/>
        <v>1E-3</v>
      </c>
      <c r="BH33" s="1160">
        <f t="shared" ref="BH33" si="105">IF(BG33=BF33,,IF(AND(BF33="--",OR(BG33="",BG33=0)),,1))</f>
        <v>0</v>
      </c>
      <c r="BI33" s="1592">
        <f t="shared" si="40"/>
        <v>1</v>
      </c>
      <c r="BJ33" s="1592">
        <f t="shared" si="41"/>
        <v>2.7733969728899999E-3</v>
      </c>
      <c r="BK33" s="821">
        <f t="shared" si="42"/>
        <v>2.7733969728899999E-3</v>
      </c>
      <c r="BL33" s="1160">
        <f t="shared" ref="BL33" si="106">IF(BK33=BJ33,,IF(AND(BJ33="--",OR(BK33="",BK33=0)),,1))</f>
        <v>0</v>
      </c>
      <c r="BM33" s="1592">
        <f t="shared" si="43"/>
        <v>0.20560179863690001</v>
      </c>
      <c r="BN33" s="821">
        <f t="shared" si="44"/>
        <v>0.20560179863690001</v>
      </c>
      <c r="BO33" s="1160">
        <f t="shared" ref="BO33" si="107">IF(BN33=BM33,,IF(AND(BM33="--",OR(BN33="",BN33=0)),,1))</f>
        <v>0</v>
      </c>
      <c r="BP33" s="1592">
        <f t="shared" si="45"/>
        <v>0.49344431672856998</v>
      </c>
      <c r="BQ33" s="821">
        <f t="shared" si="46"/>
        <v>0.49344431672856998</v>
      </c>
      <c r="BR33" s="1160">
        <f t="shared" ref="BR33" si="108">IF(BQ33=BP33,,IF(AND(BP33="--",OR(BQ33="",BQ33=0)),,1))</f>
        <v>0</v>
      </c>
      <c r="BS33" s="1592" t="str">
        <f t="shared" si="80"/>
        <v>--</v>
      </c>
      <c r="BT33" s="821">
        <f t="shared" si="81"/>
        <v>0</v>
      </c>
      <c r="BU33" s="1160">
        <f t="shared" ref="BU33" si="109">IF(AND(BT33="M",BS33="yes"),,IF(AND(BS33="--",OR(BT33="",BT33=0)),,1))</f>
        <v>0</v>
      </c>
      <c r="BW33" s="75" t="str">
        <f t="shared" si="47"/>
        <v>--</v>
      </c>
      <c r="BX33" s="75" t="str">
        <f t="shared" si="48"/>
        <v xml:space="preserve"> </v>
      </c>
      <c r="BY33" s="75" t="str">
        <f t="shared" si="49"/>
        <v/>
      </c>
      <c r="BZ33" s="75" t="str">
        <f t="shared" si="50"/>
        <v/>
      </c>
      <c r="CA33" s="1670" t="str">
        <f t="shared" ref="CA33" si="110">IF(AND(BW33="--",BY33=""),"--",IF(AND(BW33="--",BY33&lt;&gt;""),"R",IF(AND(BY33="",BW33&lt;&gt;"--"),"N",IF(BW33=BY33,"--",IF(BY33&gt;BW33,"&gt;","check")))))</f>
        <v>--</v>
      </c>
      <c r="CB33" s="75" t="str">
        <f t="shared" si="51"/>
        <v>--</v>
      </c>
      <c r="CC33" s="75" t="str">
        <f t="shared" si="52"/>
        <v xml:space="preserve"> </v>
      </c>
      <c r="CD33" s="75" t="str">
        <f t="shared" si="53"/>
        <v/>
      </c>
      <c r="CE33" s="75" t="str">
        <f t="shared" si="54"/>
        <v/>
      </c>
      <c r="CF33" s="1670" t="str">
        <f t="shared" ref="CF33" si="111">IF(AND(CB33="--",CD33=""),"--",IF(AND(CB33="--",CD33&lt;&gt;""),"R",IF(AND(CD33="",CB33&lt;&gt;"--"),"N",IF(CB33=CD33,"--",IF(CD33&gt;CB33,"&gt;","check")))))</f>
        <v>--</v>
      </c>
      <c r="CG33" s="75">
        <f t="shared" si="55"/>
        <v>1.5</v>
      </c>
      <c r="CH33" s="75" t="str">
        <f t="shared" si="56"/>
        <v>IRIS 1998</v>
      </c>
      <c r="CI33" s="75" t="str">
        <f t="shared" si="57"/>
        <v/>
      </c>
      <c r="CJ33" s="75" t="str">
        <f t="shared" si="58"/>
        <v/>
      </c>
      <c r="CK33" s="1671" t="str">
        <f t="shared" ref="CK33" si="112">IF(AND(CG33="--",CI33=""),"--",IF(AND(CG33="--",CI33&lt;&gt;""),"R",IF(AND(CI33="",CG33&lt;&gt;"--"),"N",IF(CG33=CI33,"--",IF(CI33&lt;CG33,"&lt;","check")))))</f>
        <v>N</v>
      </c>
      <c r="CL33" s="75" t="str">
        <f t="shared" si="59"/>
        <v>--</v>
      </c>
      <c r="CM33" s="75" t="str">
        <f t="shared" si="60"/>
        <v xml:space="preserve"> </v>
      </c>
      <c r="CN33" s="75">
        <f t="shared" si="61"/>
        <v>6.0000000000000005E-2</v>
      </c>
      <c r="CO33" s="75" t="str">
        <f t="shared" si="62"/>
        <v>C</v>
      </c>
      <c r="CP33" s="1670" t="str">
        <f t="shared" ref="CP33" si="113">IF(AND(CL33="--",CN33=""),"--",IF(AND(CL33="--",CN33&lt;&gt;""),"R",IF(AND(CN33="",CL33&lt;&gt;"--"),"N",IF(CL33=CN33,"--",IF(CN33&lt;CL33,"&lt;","check")))))</f>
        <v>R</v>
      </c>
      <c r="CR33" s="1686" t="str">
        <f t="shared" ref="CR33" si="114">IF(OR(AND(BW33="--",BY33=""),BW33=BY33),"--","x")</f>
        <v>--</v>
      </c>
      <c r="CS33" s="1686" t="str">
        <f t="shared" ref="CS33" si="115">IF(OR(AND(CB33="--",CD33=""),CB33=CD33),"--","x")</f>
        <v>--</v>
      </c>
      <c r="CT33" s="1686" t="str">
        <f t="shared" ref="CT33" si="116">IF(OR(AND(CG33="--",CI33=""),CG33=CI33),"--","x")</f>
        <v>x</v>
      </c>
      <c r="CU33" s="1686" t="str">
        <f t="shared" ref="CU33" si="117">IF(OR(AND(CL33="--",CN33=""),CL33=CN33),"--","x")</f>
        <v>x</v>
      </c>
    </row>
    <row r="34" spans="1:99">
      <c r="A34" s="309" t="s">
        <v>137</v>
      </c>
      <c r="B34" s="427" t="s">
        <v>138</v>
      </c>
      <c r="C34" s="1563" t="str">
        <f t="shared" si="0"/>
        <v>I</v>
      </c>
      <c r="D34" t="e">
        <f t="shared" si="1"/>
        <v>#N/A</v>
      </c>
      <c r="E34" s="1563" t="str">
        <f t="shared" si="2"/>
        <v/>
      </c>
      <c r="F34" t="str">
        <f t="shared" si="3"/>
        <v/>
      </c>
      <c r="G34" s="1160">
        <f t="shared" si="63"/>
        <v>0</v>
      </c>
      <c r="H34" s="1563" t="str">
        <f t="shared" si="4"/>
        <v>NV</v>
      </c>
      <c r="I34">
        <f t="shared" si="5"/>
        <v>0</v>
      </c>
      <c r="J34" s="1160">
        <f t="shared" si="64"/>
        <v>0</v>
      </c>
      <c r="K34" s="1563">
        <f t="shared" si="6"/>
        <v>52</v>
      </c>
      <c r="L34">
        <f t="shared" si="7"/>
        <v>52</v>
      </c>
      <c r="M34" s="1160">
        <f t="shared" si="65"/>
        <v>0</v>
      </c>
      <c r="N34" s="1563" t="str">
        <f t="shared" si="8"/>
        <v>--</v>
      </c>
      <c r="O34" t="str">
        <f t="shared" si="9"/>
        <v/>
      </c>
      <c r="P34" s="1160">
        <f t="shared" si="66"/>
        <v>0</v>
      </c>
      <c r="Q34" s="1563">
        <f t="shared" si="10"/>
        <v>1690000</v>
      </c>
      <c r="R34">
        <f t="shared" si="11"/>
        <v>1690000</v>
      </c>
      <c r="S34" s="1160">
        <f t="shared" si="67"/>
        <v>0</v>
      </c>
      <c r="T34" s="1563" t="str">
        <f t="shared" si="12"/>
        <v>--</v>
      </c>
      <c r="U34" t="str">
        <f t="shared" si="13"/>
        <v/>
      </c>
      <c r="V34" s="1160">
        <f t="shared" si="68"/>
        <v>0</v>
      </c>
      <c r="W34" s="1563" t="str">
        <f t="shared" si="14"/>
        <v>--</v>
      </c>
      <c r="X34" t="str">
        <f t="shared" si="15"/>
        <v/>
      </c>
      <c r="Y34" s="1160">
        <f t="shared" si="69"/>
        <v>0</v>
      </c>
      <c r="Z34" s="1563" t="str">
        <f t="shared" si="16"/>
        <v>--</v>
      </c>
      <c r="AA34" t="str">
        <f t="shared" si="17"/>
        <v/>
      </c>
      <c r="AB34" s="1160">
        <f t="shared" si="70"/>
        <v>0</v>
      </c>
      <c r="AC34" s="1563">
        <f t="shared" si="18"/>
        <v>19</v>
      </c>
      <c r="AD34">
        <f t="shared" si="19"/>
        <v>19</v>
      </c>
      <c r="AE34" s="1160">
        <f t="shared" si="71"/>
        <v>0</v>
      </c>
      <c r="AF34" s="1563">
        <f t="shared" si="20"/>
        <v>0.13638021534524999</v>
      </c>
      <c r="AG34">
        <f t="shared" si="21"/>
        <v>0.13638021534524999</v>
      </c>
      <c r="AH34" s="1160">
        <f t="shared" si="72"/>
        <v>0</v>
      </c>
      <c r="AI34" s="1563">
        <f t="shared" si="22"/>
        <v>1.593495148E-5</v>
      </c>
      <c r="AJ34">
        <f t="shared" si="23"/>
        <v>1.593495148E-5</v>
      </c>
      <c r="AK34" s="1160">
        <f t="shared" si="73"/>
        <v>0</v>
      </c>
      <c r="AL34" s="1563" t="str">
        <f t="shared" si="24"/>
        <v>--</v>
      </c>
      <c r="AM34" t="e">
        <f t="shared" si="25"/>
        <v>#N/A</v>
      </c>
      <c r="AN34" s="1563" t="str">
        <f t="shared" si="26"/>
        <v>--</v>
      </c>
      <c r="AO34" t="str">
        <f t="shared" si="27"/>
        <v/>
      </c>
      <c r="AP34" s="1160">
        <f t="shared" si="28"/>
        <v>1</v>
      </c>
      <c r="AQ34" s="1563" t="str">
        <f t="shared" si="29"/>
        <v>--</v>
      </c>
      <c r="AS34" s="1563" t="str">
        <f t="shared" si="30"/>
        <v>--</v>
      </c>
      <c r="AU34" s="1563" t="str">
        <f t="shared" si="31"/>
        <v>--</v>
      </c>
      <c r="AW34" s="1563" t="str">
        <f t="shared" si="32"/>
        <v>--</v>
      </c>
      <c r="AY34" s="1592">
        <f t="shared" si="33"/>
        <v>2.5000000000000001E-2</v>
      </c>
      <c r="AZ34" s="821">
        <f t="shared" si="34"/>
        <v>2.5000000000000001E-2</v>
      </c>
      <c r="BA34" s="1160">
        <f t="shared" si="74"/>
        <v>0</v>
      </c>
      <c r="BB34" s="1592" t="str">
        <f t="shared" si="35"/>
        <v>--</v>
      </c>
      <c r="BC34" s="821" t="str">
        <f t="shared" si="36"/>
        <v/>
      </c>
      <c r="BD34" s="1160">
        <f t="shared" si="75"/>
        <v>0</v>
      </c>
      <c r="BE34" s="1592" t="str">
        <f t="shared" si="37"/>
        <v>Yes</v>
      </c>
      <c r="BF34" s="1592">
        <f t="shared" si="38"/>
        <v>2E-3</v>
      </c>
      <c r="BG34" s="821">
        <f t="shared" si="39"/>
        <v>2E-3</v>
      </c>
      <c r="BH34" s="1160">
        <f t="shared" si="76"/>
        <v>0</v>
      </c>
      <c r="BI34" s="1592">
        <f t="shared" si="40"/>
        <v>1</v>
      </c>
      <c r="BJ34" s="1592">
        <f t="shared" si="41"/>
        <v>5.5470019622500004E-3</v>
      </c>
      <c r="BK34" s="821">
        <f t="shared" si="42"/>
        <v>5.5470019622500004E-3</v>
      </c>
      <c r="BL34" s="1160">
        <f t="shared" si="77"/>
        <v>0</v>
      </c>
      <c r="BM34" s="1592">
        <f t="shared" si="43"/>
        <v>0.20561213829439001</v>
      </c>
      <c r="BN34" s="821">
        <f t="shared" si="44"/>
        <v>0.20561213829439001</v>
      </c>
      <c r="BO34" s="1160">
        <f t="shared" si="78"/>
        <v>0</v>
      </c>
      <c r="BP34" s="1592">
        <f t="shared" si="45"/>
        <v>0.49346913190653002</v>
      </c>
      <c r="BQ34" s="821">
        <f t="shared" si="46"/>
        <v>0.49346913190653002</v>
      </c>
      <c r="BR34" s="1160">
        <f t="shared" si="79"/>
        <v>0</v>
      </c>
      <c r="BS34" s="1592" t="str">
        <f t="shared" si="80"/>
        <v>Yes</v>
      </c>
      <c r="BT34" s="821" t="str">
        <f t="shared" si="81"/>
        <v>M</v>
      </c>
      <c r="BU34" s="1160">
        <f t="shared" si="82"/>
        <v>0</v>
      </c>
      <c r="BW34" s="75">
        <f t="shared" si="47"/>
        <v>0.5</v>
      </c>
      <c r="BX34" s="75" t="str">
        <f t="shared" si="48"/>
        <v>OEHHA 2011</v>
      </c>
      <c r="BY34" s="75">
        <f t="shared" si="49"/>
        <v>0.16</v>
      </c>
      <c r="BZ34" s="75" t="str">
        <f t="shared" si="50"/>
        <v>I</v>
      </c>
      <c r="CA34" s="1671" t="str">
        <f t="shared" si="83"/>
        <v>check</v>
      </c>
      <c r="CB34" s="75">
        <f t="shared" si="51"/>
        <v>0.15</v>
      </c>
      <c r="CC34" s="75" t="str">
        <f t="shared" si="52"/>
        <v>OEHHA 2011</v>
      </c>
      <c r="CD34" s="75">
        <f t="shared" si="53"/>
        <v>1.0999999999999999E-2</v>
      </c>
      <c r="CE34" s="75" t="str">
        <f t="shared" si="54"/>
        <v>I</v>
      </c>
      <c r="CF34" s="1671" t="str">
        <f t="shared" si="84"/>
        <v>check</v>
      </c>
      <c r="CG34" s="75">
        <f t="shared" si="55"/>
        <v>8.9999999999999998E-4</v>
      </c>
      <c r="CH34" s="75" t="str">
        <f t="shared" si="56"/>
        <v>IRIS 2024</v>
      </c>
      <c r="CI34" s="75">
        <f t="shared" si="57"/>
        <v>8.9999999999999998E-4</v>
      </c>
      <c r="CJ34" s="75" t="str">
        <f t="shared" si="58"/>
        <v>I</v>
      </c>
      <c r="CK34" s="1670" t="str">
        <f t="shared" si="85"/>
        <v>--</v>
      </c>
      <c r="CL34" s="75">
        <f t="shared" si="59"/>
        <v>0.03</v>
      </c>
      <c r="CM34" s="75" t="str">
        <f t="shared" si="60"/>
        <v>IRIS 2024</v>
      </c>
      <c r="CN34" s="75">
        <f t="shared" si="61"/>
        <v>3.0000000000000002E-2</v>
      </c>
      <c r="CO34" s="75" t="str">
        <f t="shared" si="62"/>
        <v>I</v>
      </c>
      <c r="CP34" s="1670" t="str">
        <f t="shared" si="86"/>
        <v>--</v>
      </c>
      <c r="CR34" s="1686" t="str">
        <f t="shared" si="87"/>
        <v>x</v>
      </c>
      <c r="CS34" s="1686" t="str">
        <f t="shared" si="88"/>
        <v>x</v>
      </c>
      <c r="CT34" s="1686" t="str">
        <f t="shared" si="89"/>
        <v>--</v>
      </c>
      <c r="CU34" s="1686" t="str">
        <f t="shared" si="90"/>
        <v>--</v>
      </c>
    </row>
    <row r="35" spans="1:99">
      <c r="A35" s="309" t="s">
        <v>139</v>
      </c>
      <c r="B35" s="427" t="s">
        <v>140</v>
      </c>
      <c r="C35" s="1563" t="str">
        <f t="shared" si="0"/>
        <v>I</v>
      </c>
      <c r="D35" t="e">
        <f t="shared" si="1"/>
        <v>#N/A</v>
      </c>
      <c r="E35" s="1563">
        <f t="shared" si="2"/>
        <v>1495</v>
      </c>
      <c r="F35">
        <f t="shared" si="3"/>
        <v>1495</v>
      </c>
      <c r="G35" s="1160">
        <f t="shared" si="63"/>
        <v>0</v>
      </c>
      <c r="H35" s="1563" t="str">
        <f t="shared" si="4"/>
        <v>NV</v>
      </c>
      <c r="I35">
        <f t="shared" si="5"/>
        <v>0</v>
      </c>
      <c r="J35" s="1160">
        <f t="shared" si="64"/>
        <v>0</v>
      </c>
      <c r="K35" s="1563">
        <f t="shared" si="6"/>
        <v>58.93</v>
      </c>
      <c r="L35">
        <f t="shared" si="7"/>
        <v>58.93</v>
      </c>
      <c r="M35" s="1160">
        <f t="shared" si="65"/>
        <v>0</v>
      </c>
      <c r="N35" s="1563" t="str">
        <f t="shared" si="8"/>
        <v>--</v>
      </c>
      <c r="O35">
        <f t="shared" si="9"/>
        <v>0</v>
      </c>
      <c r="P35" s="1160">
        <f t="shared" si="66"/>
        <v>0</v>
      </c>
      <c r="Q35" s="1563" t="str">
        <f t="shared" si="10"/>
        <v>--</v>
      </c>
      <c r="R35" t="str">
        <f t="shared" si="11"/>
        <v/>
      </c>
      <c r="S35" s="1160">
        <f t="shared" si="67"/>
        <v>0</v>
      </c>
      <c r="T35" s="1563" t="str">
        <f t="shared" si="12"/>
        <v>--</v>
      </c>
      <c r="U35" t="str">
        <f t="shared" si="13"/>
        <v/>
      </c>
      <c r="V35" s="1160">
        <f t="shared" si="68"/>
        <v>0</v>
      </c>
      <c r="W35" s="1563" t="str">
        <f t="shared" si="14"/>
        <v>--</v>
      </c>
      <c r="X35" t="str">
        <f t="shared" si="15"/>
        <v/>
      </c>
      <c r="Y35" s="1160">
        <f t="shared" si="69"/>
        <v>0</v>
      </c>
      <c r="Z35" s="1563" t="str">
        <f t="shared" si="16"/>
        <v>--</v>
      </c>
      <c r="AA35" t="str">
        <f t="shared" si="17"/>
        <v/>
      </c>
      <c r="AB35" s="1160">
        <f t="shared" si="70"/>
        <v>0</v>
      </c>
      <c r="AC35" s="1563">
        <f t="shared" si="18"/>
        <v>45</v>
      </c>
      <c r="AD35">
        <f t="shared" si="19"/>
        <v>45</v>
      </c>
      <c r="AE35" s="1160">
        <f t="shared" si="71"/>
        <v>0</v>
      </c>
      <c r="AF35" s="1563">
        <f t="shared" si="20"/>
        <v>0.24868918068376999</v>
      </c>
      <c r="AG35">
        <f t="shared" si="21"/>
        <v>0.24868918068376999</v>
      </c>
      <c r="AH35" s="1160">
        <f t="shared" si="72"/>
        <v>0</v>
      </c>
      <c r="AI35" s="1563">
        <f t="shared" si="22"/>
        <v>4.8700132189999999E-5</v>
      </c>
      <c r="AJ35">
        <f t="shared" si="23"/>
        <v>4.8700132189999999E-5</v>
      </c>
      <c r="AK35" s="1160">
        <f t="shared" si="73"/>
        <v>0</v>
      </c>
      <c r="AL35" s="1563" t="str">
        <f t="shared" si="24"/>
        <v>--</v>
      </c>
      <c r="AM35" t="e">
        <f t="shared" si="25"/>
        <v>#N/A</v>
      </c>
      <c r="AN35" s="1563" t="str">
        <f t="shared" si="26"/>
        <v>--</v>
      </c>
      <c r="AO35" t="str">
        <f t="shared" si="27"/>
        <v/>
      </c>
      <c r="AP35" s="1160">
        <f t="shared" si="28"/>
        <v>1</v>
      </c>
      <c r="AQ35" s="1563" t="str">
        <f t="shared" si="29"/>
        <v>--</v>
      </c>
      <c r="AS35" s="1563" t="str">
        <f t="shared" si="30"/>
        <v>--</v>
      </c>
      <c r="AU35" s="1563" t="str">
        <f t="shared" si="31"/>
        <v>--</v>
      </c>
      <c r="AW35" s="1563" t="str">
        <f t="shared" si="32"/>
        <v>--</v>
      </c>
      <c r="AY35" s="1592">
        <f t="shared" si="33"/>
        <v>1</v>
      </c>
      <c r="AZ35" s="821">
        <f t="shared" si="34"/>
        <v>1</v>
      </c>
      <c r="BA35" s="1160">
        <f t="shared" si="74"/>
        <v>0</v>
      </c>
      <c r="BB35" s="1592" t="str">
        <f t="shared" si="35"/>
        <v>--</v>
      </c>
      <c r="BC35" s="821" t="str">
        <f t="shared" si="36"/>
        <v/>
      </c>
      <c r="BD35" s="1160">
        <f t="shared" si="75"/>
        <v>0</v>
      </c>
      <c r="BE35" s="1592" t="str">
        <f t="shared" si="37"/>
        <v>Yes</v>
      </c>
      <c r="BF35" s="1592">
        <f t="shared" si="38"/>
        <v>4.0000000000000002E-4</v>
      </c>
      <c r="BG35" s="821">
        <f t="shared" si="39"/>
        <v>4.0000000000000002E-4</v>
      </c>
      <c r="BH35" s="1160">
        <f t="shared" si="76"/>
        <v>0</v>
      </c>
      <c r="BI35" s="1592">
        <f t="shared" si="40"/>
        <v>1</v>
      </c>
      <c r="BJ35" s="1592">
        <f t="shared" si="41"/>
        <v>1.1810135051799999E-3</v>
      </c>
      <c r="BK35" s="821">
        <f t="shared" si="42"/>
        <v>1.1810135051799999E-3</v>
      </c>
      <c r="BL35" s="1160">
        <f t="shared" si="77"/>
        <v>0</v>
      </c>
      <c r="BM35" s="1592">
        <f t="shared" si="43"/>
        <v>0.22483128860585</v>
      </c>
      <c r="BN35" s="821">
        <f t="shared" si="44"/>
        <v>0.22483128860585</v>
      </c>
      <c r="BO35" s="1160">
        <f t="shared" si="78"/>
        <v>0</v>
      </c>
      <c r="BP35" s="1592">
        <f t="shared" si="45"/>
        <v>0.53959509265405003</v>
      </c>
      <c r="BQ35" s="821">
        <f t="shared" si="46"/>
        <v>0.53959509265405003</v>
      </c>
      <c r="BR35" s="1160">
        <f t="shared" si="79"/>
        <v>0</v>
      </c>
      <c r="BS35" s="1592" t="str">
        <f t="shared" si="80"/>
        <v>--</v>
      </c>
      <c r="BT35" s="821">
        <f t="shared" si="81"/>
        <v>0</v>
      </c>
      <c r="BU35" s="1160">
        <f t="shared" si="82"/>
        <v>0</v>
      </c>
      <c r="BW35" s="75" t="str">
        <f t="shared" si="47"/>
        <v>--</v>
      </c>
      <c r="BX35" s="75" t="str">
        <f t="shared" si="48"/>
        <v xml:space="preserve"> </v>
      </c>
      <c r="BY35" s="75" t="str">
        <f t="shared" si="49"/>
        <v/>
      </c>
      <c r="BZ35" s="75" t="str">
        <f t="shared" si="50"/>
        <v/>
      </c>
      <c r="CA35" s="1670" t="str">
        <f t="shared" si="83"/>
        <v>--</v>
      </c>
      <c r="CB35" s="75">
        <f t="shared" si="51"/>
        <v>8.9999999999999993E-3</v>
      </c>
      <c r="CC35" s="75" t="str">
        <f t="shared" si="52"/>
        <v>PPRTV 2008</v>
      </c>
      <c r="CD35" s="75">
        <f t="shared" si="53"/>
        <v>8.9999999999999993E-3</v>
      </c>
      <c r="CE35" s="75" t="str">
        <f t="shared" si="54"/>
        <v>P</v>
      </c>
      <c r="CF35" s="1670" t="str">
        <f t="shared" si="84"/>
        <v>--</v>
      </c>
      <c r="CG35" s="75">
        <f t="shared" si="55"/>
        <v>2.9999999999999997E-4</v>
      </c>
      <c r="CH35" s="75" t="str">
        <f t="shared" si="56"/>
        <v>PPRTV 2008</v>
      </c>
      <c r="CI35" s="75">
        <f t="shared" si="57"/>
        <v>2.9999999999999997E-4</v>
      </c>
      <c r="CJ35" s="75" t="str">
        <f t="shared" si="58"/>
        <v>P</v>
      </c>
      <c r="CK35" s="1670" t="str">
        <f t="shared" si="85"/>
        <v>--</v>
      </c>
      <c r="CL35" s="75">
        <f t="shared" si="59"/>
        <v>6.0000000000000001E-3</v>
      </c>
      <c r="CM35" s="75" t="str">
        <f t="shared" si="60"/>
        <v>PPRTV 2008</v>
      </c>
      <c r="CN35" s="75">
        <f t="shared" si="61"/>
        <v>6.0000000000000001E-3</v>
      </c>
      <c r="CO35" s="75" t="str">
        <f t="shared" si="62"/>
        <v>P</v>
      </c>
      <c r="CP35" s="1670" t="str">
        <f t="shared" si="86"/>
        <v>--</v>
      </c>
      <c r="CR35" s="1686" t="str">
        <f t="shared" si="87"/>
        <v>--</v>
      </c>
      <c r="CS35" s="1686" t="str">
        <f t="shared" si="88"/>
        <v>--</v>
      </c>
      <c r="CT35" s="1686" t="str">
        <f t="shared" si="89"/>
        <v>--</v>
      </c>
      <c r="CU35" s="1686" t="str">
        <f t="shared" si="90"/>
        <v>--</v>
      </c>
    </row>
    <row r="36" spans="1:99">
      <c r="A36" s="309" t="s">
        <v>141</v>
      </c>
      <c r="B36" s="427" t="s">
        <v>142</v>
      </c>
      <c r="C36" s="1563" t="str">
        <f t="shared" si="0"/>
        <v>I</v>
      </c>
      <c r="D36" t="e">
        <f t="shared" si="1"/>
        <v>#N/A</v>
      </c>
      <c r="E36" s="1563">
        <f t="shared" si="2"/>
        <v>1083</v>
      </c>
      <c r="F36">
        <f t="shared" si="3"/>
        <v>1083</v>
      </c>
      <c r="G36" s="1160">
        <f t="shared" si="63"/>
        <v>0</v>
      </c>
      <c r="H36" s="1563" t="str">
        <f t="shared" si="4"/>
        <v>NV</v>
      </c>
      <c r="I36">
        <f t="shared" si="5"/>
        <v>0</v>
      </c>
      <c r="J36" s="1160">
        <f t="shared" si="64"/>
        <v>0</v>
      </c>
      <c r="K36" s="1563">
        <f t="shared" si="6"/>
        <v>63.545999999999999</v>
      </c>
      <c r="L36">
        <f t="shared" si="7"/>
        <v>63.545999999999999</v>
      </c>
      <c r="M36" s="1160">
        <f t="shared" si="65"/>
        <v>0</v>
      </c>
      <c r="N36" s="1563" t="str">
        <f t="shared" si="8"/>
        <v>--</v>
      </c>
      <c r="O36">
        <f t="shared" si="9"/>
        <v>0</v>
      </c>
      <c r="P36" s="1160">
        <f t="shared" si="66"/>
        <v>0</v>
      </c>
      <c r="Q36" s="1563" t="str">
        <f t="shared" si="10"/>
        <v>--</v>
      </c>
      <c r="R36" t="str">
        <f t="shared" si="11"/>
        <v/>
      </c>
      <c r="S36" s="1160">
        <f t="shared" si="67"/>
        <v>0</v>
      </c>
      <c r="T36" s="1563" t="str">
        <f t="shared" si="12"/>
        <v>--</v>
      </c>
      <c r="U36" t="str">
        <f t="shared" si="13"/>
        <v/>
      </c>
      <c r="V36" s="1160">
        <f t="shared" si="68"/>
        <v>0</v>
      </c>
      <c r="W36" s="1563" t="str">
        <f t="shared" si="14"/>
        <v>--</v>
      </c>
      <c r="X36" t="str">
        <f t="shared" si="15"/>
        <v/>
      </c>
      <c r="Y36" s="1160">
        <f t="shared" si="69"/>
        <v>0</v>
      </c>
      <c r="Z36" s="1563" t="str">
        <f t="shared" si="16"/>
        <v>--</v>
      </c>
      <c r="AA36" t="str">
        <f t="shared" si="17"/>
        <v/>
      </c>
      <c r="AB36" s="1160">
        <f t="shared" si="70"/>
        <v>0</v>
      </c>
      <c r="AC36" s="1563">
        <f t="shared" si="18"/>
        <v>35</v>
      </c>
      <c r="AD36">
        <f t="shared" si="19"/>
        <v>35</v>
      </c>
      <c r="AE36" s="1160">
        <f t="shared" si="71"/>
        <v>0</v>
      </c>
      <c r="AF36" s="1563">
        <f t="shared" si="20"/>
        <v>0.23895433803249999</v>
      </c>
      <c r="AG36">
        <f t="shared" si="21"/>
        <v>0.23895433803249999</v>
      </c>
      <c r="AH36" s="1160">
        <f t="shared" si="72"/>
        <v>0</v>
      </c>
      <c r="AI36" s="1563">
        <f t="shared" si="22"/>
        <v>4.6860146959999998E-5</v>
      </c>
      <c r="AJ36">
        <f t="shared" si="23"/>
        <v>4.6860146959999998E-5</v>
      </c>
      <c r="AK36" s="1160">
        <f t="shared" si="73"/>
        <v>0</v>
      </c>
      <c r="AL36" s="1563" t="str">
        <f t="shared" si="24"/>
        <v>--</v>
      </c>
      <c r="AM36" t="e">
        <f t="shared" si="25"/>
        <v>#N/A</v>
      </c>
      <c r="AN36" s="1563" t="str">
        <f t="shared" si="26"/>
        <v>--</v>
      </c>
      <c r="AO36" t="str">
        <f t="shared" si="27"/>
        <v/>
      </c>
      <c r="AP36" s="1160">
        <f t="shared" si="28"/>
        <v>1</v>
      </c>
      <c r="AQ36" s="1563" t="str">
        <f t="shared" si="29"/>
        <v>--</v>
      </c>
      <c r="AS36" s="1563" t="str">
        <f t="shared" si="30"/>
        <v>--</v>
      </c>
      <c r="AU36" s="1563" t="str">
        <f t="shared" si="31"/>
        <v>--</v>
      </c>
      <c r="AW36" s="1563" t="str">
        <f t="shared" si="32"/>
        <v>--</v>
      </c>
      <c r="AY36" s="1592">
        <f t="shared" si="33"/>
        <v>1</v>
      </c>
      <c r="AZ36" s="821">
        <f t="shared" si="34"/>
        <v>1</v>
      </c>
      <c r="BA36" s="1160">
        <f t="shared" si="74"/>
        <v>0</v>
      </c>
      <c r="BB36" s="1592" t="str">
        <f t="shared" si="35"/>
        <v>--</v>
      </c>
      <c r="BC36" s="821" t="str">
        <f t="shared" si="36"/>
        <v/>
      </c>
      <c r="BD36" s="1160">
        <f t="shared" si="75"/>
        <v>0</v>
      </c>
      <c r="BE36" s="1592" t="str">
        <f t="shared" si="37"/>
        <v>Yes</v>
      </c>
      <c r="BF36" s="1592">
        <f t="shared" si="38"/>
        <v>1E-3</v>
      </c>
      <c r="BG36" s="821">
        <f t="shared" si="39"/>
        <v>1E-3</v>
      </c>
      <c r="BH36" s="1160">
        <f t="shared" si="76"/>
        <v>0</v>
      </c>
      <c r="BI36" s="1592">
        <f t="shared" si="40"/>
        <v>1</v>
      </c>
      <c r="BJ36" s="1592">
        <f t="shared" si="41"/>
        <v>3.0659901920899999E-3</v>
      </c>
      <c r="BK36" s="821">
        <f t="shared" si="42"/>
        <v>3.0659901920899999E-3</v>
      </c>
      <c r="BL36" s="1160">
        <f t="shared" si="77"/>
        <v>0</v>
      </c>
      <c r="BM36" s="1592">
        <f t="shared" si="43"/>
        <v>0.23861972980983001</v>
      </c>
      <c r="BN36" s="821">
        <f t="shared" si="44"/>
        <v>0.23861972980983001</v>
      </c>
      <c r="BO36" s="1160">
        <f t="shared" si="78"/>
        <v>0</v>
      </c>
      <c r="BP36" s="1592">
        <f t="shared" si="45"/>
        <v>0.57268735154359995</v>
      </c>
      <c r="BQ36" s="821">
        <f t="shared" si="46"/>
        <v>0.57268735154359995</v>
      </c>
      <c r="BR36" s="1160">
        <f t="shared" si="79"/>
        <v>0</v>
      </c>
      <c r="BS36" s="1592" t="str">
        <f t="shared" si="80"/>
        <v>--</v>
      </c>
      <c r="BT36" s="821">
        <f t="shared" si="81"/>
        <v>0</v>
      </c>
      <c r="BU36" s="1160">
        <f t="shared" si="82"/>
        <v>0</v>
      </c>
      <c r="BW36" s="75" t="str">
        <f t="shared" si="47"/>
        <v>--</v>
      </c>
      <c r="BX36" s="75" t="str">
        <f t="shared" si="48"/>
        <v xml:space="preserve"> </v>
      </c>
      <c r="BY36" s="75" t="str">
        <f t="shared" si="49"/>
        <v/>
      </c>
      <c r="BZ36" s="75" t="str">
        <f t="shared" si="50"/>
        <v/>
      </c>
      <c r="CA36" s="1670" t="str">
        <f t="shared" si="83"/>
        <v>--</v>
      </c>
      <c r="CB36" s="75" t="str">
        <f t="shared" si="51"/>
        <v>--</v>
      </c>
      <c r="CC36" s="75" t="str">
        <f t="shared" si="52"/>
        <v xml:space="preserve"> </v>
      </c>
      <c r="CD36" s="75" t="str">
        <f t="shared" si="53"/>
        <v/>
      </c>
      <c r="CE36" s="75" t="str">
        <f t="shared" si="54"/>
        <v/>
      </c>
      <c r="CF36" s="1670" t="str">
        <f t="shared" si="84"/>
        <v>--</v>
      </c>
      <c r="CG36" s="75">
        <f t="shared" si="55"/>
        <v>0.04</v>
      </c>
      <c r="CH36" s="75" t="str">
        <f t="shared" si="56"/>
        <v>HEAST 1997</v>
      </c>
      <c r="CI36" s="75">
        <f t="shared" si="57"/>
        <v>0.04</v>
      </c>
      <c r="CJ36" s="75" t="str">
        <f t="shared" si="58"/>
        <v>H</v>
      </c>
      <c r="CK36" s="1670" t="str">
        <f t="shared" si="85"/>
        <v>--</v>
      </c>
      <c r="CL36" s="75" t="str">
        <f t="shared" si="59"/>
        <v>--</v>
      </c>
      <c r="CM36" s="75" t="str">
        <f t="shared" si="60"/>
        <v xml:space="preserve"> </v>
      </c>
      <c r="CN36" s="75" t="str">
        <f t="shared" si="61"/>
        <v/>
      </c>
      <c r="CO36" s="75" t="str">
        <f t="shared" si="62"/>
        <v/>
      </c>
      <c r="CP36" s="1670" t="str">
        <f t="shared" si="86"/>
        <v>--</v>
      </c>
      <c r="CR36" s="1686" t="str">
        <f t="shared" si="87"/>
        <v>--</v>
      </c>
      <c r="CS36" s="1686" t="str">
        <f t="shared" si="88"/>
        <v>--</v>
      </c>
      <c r="CT36" s="1686" t="str">
        <f t="shared" si="89"/>
        <v>--</v>
      </c>
      <c r="CU36" s="1686" t="str">
        <f t="shared" si="90"/>
        <v>--</v>
      </c>
    </row>
    <row r="37" spans="1:99">
      <c r="A37" s="309" t="s">
        <v>143</v>
      </c>
      <c r="B37" s="427" t="s">
        <v>144</v>
      </c>
      <c r="C37" s="1563" t="str">
        <f t="shared" si="0"/>
        <v>I</v>
      </c>
      <c r="D37" t="e">
        <f t="shared" si="1"/>
        <v>#N/A</v>
      </c>
      <c r="E37" s="1563" t="str">
        <f t="shared" si="2"/>
        <v/>
      </c>
      <c r="F37">
        <v>148</v>
      </c>
      <c r="G37" s="1160">
        <f t="shared" si="63"/>
        <v>1</v>
      </c>
      <c r="H37" s="1563" t="str">
        <f t="shared" si="4"/>
        <v>V</v>
      </c>
      <c r="I37" t="str">
        <f t="shared" si="5"/>
        <v>V</v>
      </c>
      <c r="J37" s="1160">
        <f t="shared" si="64"/>
        <v>0</v>
      </c>
      <c r="K37" s="1563">
        <f t="shared" si="6"/>
        <v>26.018000000000001</v>
      </c>
      <c r="L37">
        <f t="shared" si="7"/>
        <v>26.018000000000001</v>
      </c>
      <c r="M37" s="1160">
        <f t="shared" si="65"/>
        <v>0</v>
      </c>
      <c r="N37" s="1563">
        <f t="shared" si="8"/>
        <v>308</v>
      </c>
      <c r="O37">
        <f t="shared" si="9"/>
        <v>308</v>
      </c>
      <c r="P37" s="1160">
        <f t="shared" si="66"/>
        <v>0</v>
      </c>
      <c r="Q37" s="1563">
        <f t="shared" si="10"/>
        <v>95400</v>
      </c>
      <c r="R37">
        <f t="shared" si="11"/>
        <v>95400</v>
      </c>
      <c r="S37" s="1160">
        <f t="shared" si="67"/>
        <v>0</v>
      </c>
      <c r="T37" s="1563">
        <f t="shared" si="12"/>
        <v>1.01E-4</v>
      </c>
      <c r="U37">
        <f t="shared" si="13"/>
        <v>1.01E-4</v>
      </c>
      <c r="V37" s="1160">
        <f t="shared" si="68"/>
        <v>0</v>
      </c>
      <c r="W37" s="1563">
        <f t="shared" si="14"/>
        <v>4.15E-3</v>
      </c>
      <c r="X37">
        <f t="shared" si="15"/>
        <v>4.15E-3</v>
      </c>
      <c r="Y37" s="1160">
        <f t="shared" si="69"/>
        <v>0</v>
      </c>
      <c r="Z37" s="1563" t="str">
        <f t="shared" si="16"/>
        <v>--</v>
      </c>
      <c r="AA37" t="str">
        <f t="shared" si="17"/>
        <v/>
      </c>
      <c r="AB37" s="1160">
        <f t="shared" si="70"/>
        <v>0</v>
      </c>
      <c r="AC37" s="1563">
        <f t="shared" si="18"/>
        <v>9.9</v>
      </c>
      <c r="AD37">
        <f t="shared" si="19"/>
        <v>9.9</v>
      </c>
      <c r="AE37" s="1160">
        <f t="shared" si="71"/>
        <v>0</v>
      </c>
      <c r="AF37" s="1563">
        <f t="shared" si="20"/>
        <v>0.17286419943081999</v>
      </c>
      <c r="AG37">
        <f t="shared" si="21"/>
        <v>0.17286419943081999</v>
      </c>
      <c r="AH37" s="1160">
        <f t="shared" si="72"/>
        <v>0</v>
      </c>
      <c r="AI37" s="1563">
        <f t="shared" si="22"/>
        <v>1.727023745E-5</v>
      </c>
      <c r="AJ37">
        <f t="shared" si="23"/>
        <v>1.727023745E-5</v>
      </c>
      <c r="AK37" s="1160">
        <f t="shared" si="73"/>
        <v>0</v>
      </c>
      <c r="AL37" s="1563" t="str">
        <f t="shared" si="24"/>
        <v>--</v>
      </c>
      <c r="AM37" t="e">
        <f t="shared" si="25"/>
        <v>#N/A</v>
      </c>
      <c r="AN37" s="1600">
        <f t="shared" si="26"/>
        <v>954074.94900000002</v>
      </c>
      <c r="AO37">
        <f t="shared" si="27"/>
        <v>954000</v>
      </c>
      <c r="AP37" s="1160">
        <f t="shared" si="28"/>
        <v>1</v>
      </c>
      <c r="AQ37" s="1563">
        <f t="shared" si="29"/>
        <v>3.8326860765852791E-6</v>
      </c>
      <c r="AS37" s="1563">
        <f t="shared" si="30"/>
        <v>58918.140464935648</v>
      </c>
      <c r="AU37" s="1563">
        <f t="shared" si="31"/>
        <v>57773.989987559136</v>
      </c>
      <c r="AW37" s="1563">
        <f t="shared" si="32"/>
        <v>13049.858347695821</v>
      </c>
      <c r="AY37" s="1592">
        <f t="shared" si="33"/>
        <v>1</v>
      </c>
      <c r="AZ37" s="821">
        <f t="shared" si="34"/>
        <v>1</v>
      </c>
      <c r="BA37" s="1160">
        <f t="shared" si="74"/>
        <v>0</v>
      </c>
      <c r="BB37" s="1592" t="str">
        <f t="shared" si="35"/>
        <v>--</v>
      </c>
      <c r="BC37" s="821" t="str">
        <f t="shared" si="36"/>
        <v/>
      </c>
      <c r="BD37" s="1160">
        <f t="shared" si="75"/>
        <v>0</v>
      </c>
      <c r="BE37" s="1592" t="str">
        <f t="shared" si="37"/>
        <v>Yes</v>
      </c>
      <c r="BF37" s="1592">
        <f t="shared" si="38"/>
        <v>1E-3</v>
      </c>
      <c r="BG37" s="821">
        <f t="shared" si="39"/>
        <v>1E-3</v>
      </c>
      <c r="BH37" s="1160">
        <f t="shared" si="76"/>
        <v>0</v>
      </c>
      <c r="BI37" s="1592">
        <f t="shared" si="40"/>
        <v>1</v>
      </c>
      <c r="BJ37" s="1592">
        <f t="shared" si="41"/>
        <v>1.9618400974699998E-3</v>
      </c>
      <c r="BK37" s="821">
        <f t="shared" si="42"/>
        <v>1.9618400974699998E-3</v>
      </c>
      <c r="BL37" s="1160">
        <f t="shared" si="77"/>
        <v>0</v>
      </c>
      <c r="BM37" s="1592">
        <f t="shared" si="43"/>
        <v>0.14707862110785999</v>
      </c>
      <c r="BN37" s="821">
        <f t="shared" si="44"/>
        <v>0.14707862110785999</v>
      </c>
      <c r="BO37" s="1160">
        <f t="shared" si="78"/>
        <v>0</v>
      </c>
      <c r="BP37" s="1592">
        <f t="shared" si="45"/>
        <v>0.35298869065886002</v>
      </c>
      <c r="BQ37" s="821">
        <f t="shared" si="46"/>
        <v>0.35298869065886002</v>
      </c>
      <c r="BR37" s="1160">
        <f t="shared" si="79"/>
        <v>0</v>
      </c>
      <c r="BS37" s="1592" t="str">
        <f t="shared" si="80"/>
        <v>--</v>
      </c>
      <c r="BT37" s="821">
        <f t="shared" si="81"/>
        <v>0</v>
      </c>
      <c r="BU37" s="1160">
        <f t="shared" si="82"/>
        <v>0</v>
      </c>
      <c r="BW37" s="75" t="str">
        <f t="shared" si="47"/>
        <v>--</v>
      </c>
      <c r="BX37" s="75" t="str">
        <f t="shared" si="48"/>
        <v xml:space="preserve"> </v>
      </c>
      <c r="BY37" s="75" t="str">
        <f t="shared" si="49"/>
        <v/>
      </c>
      <c r="BZ37" s="75" t="str">
        <f t="shared" si="50"/>
        <v/>
      </c>
      <c r="CA37" s="1670" t="str">
        <f t="shared" si="83"/>
        <v>--</v>
      </c>
      <c r="CB37" s="75" t="str">
        <f t="shared" si="51"/>
        <v>--</v>
      </c>
      <c r="CC37" s="75" t="str">
        <f t="shared" si="52"/>
        <v xml:space="preserve"> </v>
      </c>
      <c r="CD37" s="75" t="str">
        <f t="shared" si="53"/>
        <v/>
      </c>
      <c r="CE37" s="75" t="str">
        <f t="shared" si="54"/>
        <v/>
      </c>
      <c r="CF37" s="1670" t="str">
        <f t="shared" si="84"/>
        <v>--</v>
      </c>
      <c r="CG37" s="75">
        <f t="shared" si="55"/>
        <v>5.9999999999999995E-4</v>
      </c>
      <c r="CH37" s="75" t="str">
        <f t="shared" si="56"/>
        <v>IRIS 2010</v>
      </c>
      <c r="CI37" s="75">
        <f t="shared" si="57"/>
        <v>5.9999999999999995E-4</v>
      </c>
      <c r="CJ37" s="75" t="str">
        <f t="shared" si="58"/>
        <v>I</v>
      </c>
      <c r="CK37" s="1670" t="str">
        <f t="shared" si="85"/>
        <v>--</v>
      </c>
      <c r="CL37" s="75">
        <f t="shared" si="59"/>
        <v>0.8</v>
      </c>
      <c r="CM37" s="75" t="str">
        <f t="shared" si="60"/>
        <v>IRIS 2010</v>
      </c>
      <c r="CN37" s="75">
        <f t="shared" si="61"/>
        <v>0.8</v>
      </c>
      <c r="CO37" s="75" t="str">
        <f t="shared" si="62"/>
        <v>G</v>
      </c>
      <c r="CP37" s="1670" t="str">
        <f t="shared" si="86"/>
        <v>--</v>
      </c>
      <c r="CR37" s="1686" t="str">
        <f t="shared" si="87"/>
        <v>--</v>
      </c>
      <c r="CS37" s="1686" t="str">
        <f t="shared" si="88"/>
        <v>--</v>
      </c>
      <c r="CT37" s="1686" t="str">
        <f t="shared" si="89"/>
        <v>--</v>
      </c>
      <c r="CU37" s="1686" t="str">
        <f t="shared" si="90"/>
        <v>--</v>
      </c>
    </row>
    <row r="38" spans="1:99">
      <c r="A38" s="309" t="s">
        <v>145</v>
      </c>
      <c r="B38" s="427" t="s">
        <v>146</v>
      </c>
      <c r="C38" s="1563" t="str">
        <f t="shared" si="0"/>
        <v>O</v>
      </c>
      <c r="D38" t="e">
        <f t="shared" si="1"/>
        <v>#N/A</v>
      </c>
      <c r="E38" s="1563">
        <f t="shared" si="2"/>
        <v>-20</v>
      </c>
      <c r="F38">
        <f t="shared" si="3"/>
        <v>-20</v>
      </c>
      <c r="G38" s="1160">
        <f t="shared" si="63"/>
        <v>0</v>
      </c>
      <c r="H38" s="1563" t="str">
        <f t="shared" si="4"/>
        <v>V</v>
      </c>
      <c r="I38" t="str">
        <f t="shared" si="5"/>
        <v>V</v>
      </c>
      <c r="J38" s="1160">
        <f t="shared" si="64"/>
        <v>0</v>
      </c>
      <c r="K38" s="1563">
        <f t="shared" si="6"/>
        <v>208.28</v>
      </c>
      <c r="L38">
        <f t="shared" si="7"/>
        <v>208.28</v>
      </c>
      <c r="M38" s="1160">
        <f t="shared" si="65"/>
        <v>0</v>
      </c>
      <c r="N38" s="1563">
        <f t="shared" si="8"/>
        <v>5.54</v>
      </c>
      <c r="O38">
        <f t="shared" si="9"/>
        <v>5.54</v>
      </c>
      <c r="P38" s="1160">
        <f t="shared" si="66"/>
        <v>0</v>
      </c>
      <c r="Q38" s="1563">
        <f t="shared" si="10"/>
        <v>2700</v>
      </c>
      <c r="R38">
        <f t="shared" si="11"/>
        <v>2700</v>
      </c>
      <c r="S38" s="1160">
        <f t="shared" si="67"/>
        <v>0</v>
      </c>
      <c r="T38" s="1563">
        <f t="shared" si="12"/>
        <v>7.8299999999999995E-4</v>
      </c>
      <c r="U38">
        <f t="shared" si="13"/>
        <v>7.8299999999999995E-4</v>
      </c>
      <c r="V38" s="1160">
        <f t="shared" si="68"/>
        <v>0</v>
      </c>
      <c r="W38" s="1563">
        <f t="shared" si="14"/>
        <v>3.2011447260830002E-2</v>
      </c>
      <c r="X38">
        <f t="shared" si="15"/>
        <v>3.2011447260830002E-2</v>
      </c>
      <c r="Y38" s="1160">
        <f t="shared" si="69"/>
        <v>0</v>
      </c>
      <c r="Z38" s="1563">
        <f t="shared" si="16"/>
        <v>31.82</v>
      </c>
      <c r="AA38">
        <f t="shared" si="17"/>
        <v>31.82</v>
      </c>
      <c r="AB38" s="1160">
        <f t="shared" si="70"/>
        <v>0</v>
      </c>
      <c r="AC38" s="1563">
        <f t="shared" si="18"/>
        <v>0.19092000000000001</v>
      </c>
      <c r="AD38" t="str">
        <f t="shared" si="19"/>
        <v/>
      </c>
      <c r="AE38" s="1160">
        <f t="shared" si="71"/>
        <v>1</v>
      </c>
      <c r="AF38" s="1563">
        <f t="shared" si="20"/>
        <v>3.663560512248E-2</v>
      </c>
      <c r="AG38">
        <f t="shared" si="21"/>
        <v>3.663560512248E-2</v>
      </c>
      <c r="AH38" s="1160">
        <f t="shared" si="72"/>
        <v>0</v>
      </c>
      <c r="AI38" s="1563">
        <f t="shared" si="22"/>
        <v>1.056061516E-5</v>
      </c>
      <c r="AJ38">
        <f t="shared" si="23"/>
        <v>1.056061516E-5</v>
      </c>
      <c r="AK38" s="1160">
        <f t="shared" si="73"/>
        <v>0</v>
      </c>
      <c r="AL38" s="1563">
        <f t="shared" si="24"/>
        <v>10.142201</v>
      </c>
      <c r="AM38" t="e">
        <f t="shared" si="25"/>
        <v>#N/A</v>
      </c>
      <c r="AN38" s="1563">
        <f t="shared" si="26"/>
        <v>801.84607747728091</v>
      </c>
      <c r="AO38">
        <f t="shared" si="27"/>
        <v>802</v>
      </c>
      <c r="AP38" s="1160">
        <f t="shared" si="28"/>
        <v>1</v>
      </c>
      <c r="AQ38" s="1563">
        <f t="shared" si="29"/>
        <v>2.1061408235021993E-4</v>
      </c>
      <c r="AS38" s="1563">
        <f t="shared" si="30"/>
        <v>7947.9834275357962</v>
      </c>
      <c r="AU38" s="1563">
        <f t="shared" si="31"/>
        <v>7793.6389597532852</v>
      </c>
      <c r="AW38" s="1563">
        <f t="shared" si="32"/>
        <v>1760.4095624997476</v>
      </c>
      <c r="AY38" s="1592">
        <f t="shared" si="33"/>
        <v>1</v>
      </c>
      <c r="AZ38" s="821">
        <f t="shared" si="34"/>
        <v>1</v>
      </c>
      <c r="BA38" s="1160">
        <f t="shared" si="74"/>
        <v>0</v>
      </c>
      <c r="BB38" s="1592" t="str">
        <f t="shared" si="35"/>
        <v>--</v>
      </c>
      <c r="BC38" s="821" t="str">
        <f t="shared" si="36"/>
        <v/>
      </c>
      <c r="BD38" s="1160">
        <f t="shared" si="75"/>
        <v>0</v>
      </c>
      <c r="BE38" s="1592" t="str">
        <f t="shared" si="37"/>
        <v>Yes</v>
      </c>
      <c r="BF38" s="1592">
        <f t="shared" si="38"/>
        <v>2.8900000000000002E-3</v>
      </c>
      <c r="BG38" s="821">
        <f t="shared" si="39"/>
        <v>2.8900000000000002E-3</v>
      </c>
      <c r="BH38" s="1160">
        <f t="shared" si="76"/>
        <v>0</v>
      </c>
      <c r="BI38" s="1592">
        <f t="shared" si="40"/>
        <v>1</v>
      </c>
      <c r="BJ38" s="1592">
        <f t="shared" si="41"/>
        <v>1.6041622027649999E-2</v>
      </c>
      <c r="BK38" s="821">
        <f t="shared" si="42"/>
        <v>1.6041622027649999E-2</v>
      </c>
      <c r="BL38" s="1160">
        <f t="shared" si="77"/>
        <v>0</v>
      </c>
      <c r="BM38" s="1592">
        <f t="shared" si="43"/>
        <v>1.54247008368927</v>
      </c>
      <c r="BN38" s="821">
        <f t="shared" si="44"/>
        <v>1.54247008368927</v>
      </c>
      <c r="BO38" s="1160">
        <f t="shared" si="78"/>
        <v>0</v>
      </c>
      <c r="BP38" s="1592">
        <f t="shared" si="45"/>
        <v>3.7019282008542498</v>
      </c>
      <c r="BQ38" s="821">
        <f t="shared" si="46"/>
        <v>3.7019282008542498</v>
      </c>
      <c r="BR38" s="1160">
        <f t="shared" si="79"/>
        <v>0</v>
      </c>
      <c r="BS38" s="1592" t="str">
        <f t="shared" si="80"/>
        <v>--</v>
      </c>
      <c r="BT38" s="821">
        <f t="shared" si="81"/>
        <v>0</v>
      </c>
      <c r="BU38" s="1160">
        <f t="shared" si="82"/>
        <v>0</v>
      </c>
      <c r="BW38" s="75">
        <f t="shared" si="47"/>
        <v>8.4000000000000005E-2</v>
      </c>
      <c r="BX38" s="75" t="str">
        <f t="shared" si="48"/>
        <v>IRIS 1992</v>
      </c>
      <c r="BY38" s="75">
        <f t="shared" si="49"/>
        <v>8.4000000000000005E-2</v>
      </c>
      <c r="BZ38" s="75" t="str">
        <f t="shared" si="50"/>
        <v>I</v>
      </c>
      <c r="CA38" s="1670" t="str">
        <f t="shared" si="83"/>
        <v>--</v>
      </c>
      <c r="CB38" s="75" t="str">
        <f t="shared" si="51"/>
        <v>--</v>
      </c>
      <c r="CC38" s="75" t="str">
        <f t="shared" si="52"/>
        <v xml:space="preserve"> </v>
      </c>
      <c r="CD38" s="75" t="str">
        <f t="shared" si="53"/>
        <v/>
      </c>
      <c r="CE38" s="75" t="str">
        <f t="shared" si="54"/>
        <v/>
      </c>
      <c r="CF38" s="1670" t="str">
        <f t="shared" si="84"/>
        <v>--</v>
      </c>
      <c r="CG38" s="75">
        <f t="shared" si="55"/>
        <v>0.02</v>
      </c>
      <c r="CH38" s="75" t="str">
        <f t="shared" si="56"/>
        <v>IRIS 1992</v>
      </c>
      <c r="CI38" s="75">
        <f t="shared" si="57"/>
        <v>0.02</v>
      </c>
      <c r="CJ38" s="75" t="str">
        <f t="shared" si="58"/>
        <v>I</v>
      </c>
      <c r="CK38" s="1670" t="str">
        <f t="shared" si="85"/>
        <v>--</v>
      </c>
      <c r="CL38" s="75" t="str">
        <f t="shared" si="59"/>
        <v>--</v>
      </c>
      <c r="CM38" s="75" t="str">
        <f t="shared" si="60"/>
        <v xml:space="preserve"> </v>
      </c>
      <c r="CN38" s="75" t="str">
        <f t="shared" si="61"/>
        <v/>
      </c>
      <c r="CO38" s="75" t="str">
        <f t="shared" si="62"/>
        <v/>
      </c>
      <c r="CP38" s="1670" t="str">
        <f t="shared" si="86"/>
        <v>--</v>
      </c>
      <c r="CR38" s="1686" t="str">
        <f t="shared" si="87"/>
        <v>--</v>
      </c>
      <c r="CS38" s="1686" t="str">
        <f t="shared" si="88"/>
        <v>--</v>
      </c>
      <c r="CT38" s="1686" t="str">
        <f t="shared" si="89"/>
        <v>--</v>
      </c>
      <c r="CU38" s="1686" t="str">
        <f t="shared" si="90"/>
        <v>--</v>
      </c>
    </row>
    <row r="39" spans="1:99">
      <c r="A39" s="309" t="s">
        <v>147</v>
      </c>
      <c r="B39" s="427" t="s">
        <v>148</v>
      </c>
      <c r="C39" s="1563" t="str">
        <f t="shared" ref="C39:C70" si="118">VLOOKUP($A39,Table_IP_1, MATCH("OI", heading_IP_1, 0), FALSE)</f>
        <v>O</v>
      </c>
      <c r="D39" t="e">
        <f t="shared" ref="D39:D70" si="119">VLOOKUP($B39,Table_RSL, MATCH("OI", Heading_RSL, 0), FALSE)</f>
        <v>#N/A</v>
      </c>
      <c r="E39" s="1563">
        <f t="shared" ref="E39:E70" si="120">VLOOKUP($A39,Table_IP_1, MATCH("mt", heading_IP_1, 0), FALSE)</f>
        <v>6</v>
      </c>
      <c r="F39">
        <f t="shared" ref="F39:F70" si="121">VLOOKUP($B39,Table_RSL, MATCH("mt", Heading_RSL, 0), FALSE)</f>
        <v>6</v>
      </c>
      <c r="G39" s="1160">
        <f t="shared" si="63"/>
        <v>0</v>
      </c>
      <c r="H39" s="1563" t="str">
        <f t="shared" ref="H39:H70" si="122">VLOOKUP($A39,Table_IP_1, MATCH("volatility", heading_IP_1, 0), FALSE)</f>
        <v>V</v>
      </c>
      <c r="I39" t="str">
        <f t="shared" ref="I39:I70" si="123">VLOOKUP($B39,Table_RSL, MATCH("v", Heading_RSL, 0), FALSE)</f>
        <v>V</v>
      </c>
      <c r="J39" s="1160">
        <f t="shared" si="64"/>
        <v>0</v>
      </c>
      <c r="K39" s="1563">
        <f t="shared" ref="K39:K70" si="124">VLOOKUP($A39,Table_IP_1, MATCH("mw", heading_IP_1, 0), FALSE)</f>
        <v>236.33</v>
      </c>
      <c r="L39">
        <f t="shared" ref="L39:L70" si="125">VLOOKUP($B39,Table_RSL, MATCH("mw", Heading_RSL, 0), FALSE)</f>
        <v>236.33</v>
      </c>
      <c r="M39" s="1160">
        <f t="shared" si="65"/>
        <v>0</v>
      </c>
      <c r="N39" s="1563">
        <f t="shared" ref="N39:N70" si="126">VLOOKUP($A39,Table_IP_1, MATCH("vp", heading_IP_1, 0), FALSE)</f>
        <v>0.57999999999999996</v>
      </c>
      <c r="O39">
        <f t="shared" ref="O39:O70" si="127">VLOOKUP($B39,Table_RSL, MATCH("VP", Heading_RSL, 0), FALSE)</f>
        <v>0.57999999999999996</v>
      </c>
      <c r="P39" s="1160">
        <f t="shared" si="66"/>
        <v>0</v>
      </c>
      <c r="Q39" s="1563">
        <f t="shared" ref="Q39:Q70" si="128">VLOOKUP($A39,Table_IP_1, MATCH("sol", heading_IP_1, 0), FALSE)</f>
        <v>1230</v>
      </c>
      <c r="R39">
        <f t="shared" ref="R39:R70" si="129">VLOOKUP($B39,Table_RSL, MATCH("S", Heading_RSL, 0), FALSE)</f>
        <v>1230</v>
      </c>
      <c r="S39" s="1160">
        <f t="shared" si="67"/>
        <v>0</v>
      </c>
      <c r="T39" s="1563">
        <f t="shared" ref="T39:T70" si="130">VLOOKUP($A39,Table_IP_1, MATCH("H", heading_IP_1, 0), FALSE)</f>
        <v>1.47E-4</v>
      </c>
      <c r="U39">
        <f t="shared" ref="U39:U70" si="131">VLOOKUP($B39,Table_RSL, MATCH("H", Heading_RSL, 0), FALSE)</f>
        <v>1.47E-4</v>
      </c>
      <c r="V39" s="1160">
        <f t="shared" si="68"/>
        <v>0</v>
      </c>
      <c r="W39" s="1563">
        <f t="shared" ref="W39:W70" si="132">VLOOKUP($A39,Table_IP_1, MATCH("H'", heading_IP_1, 0), FALSE)</f>
        <v>6.0098119378600001E-3</v>
      </c>
      <c r="X39">
        <f t="shared" ref="X39:X70" si="133">VLOOKUP($B39,Table_RSL, MATCH("H'", Heading_RSL, 0), FALSE)</f>
        <v>6.0098119378600001E-3</v>
      </c>
      <c r="Y39" s="1160">
        <f t="shared" si="69"/>
        <v>0</v>
      </c>
      <c r="Z39" s="1563">
        <f t="shared" ref="Z39:Z70" si="134">VLOOKUP($A39,Table_IP_1, MATCH("koc", heading_IP_1, 0), FALSE)</f>
        <v>115.8</v>
      </c>
      <c r="AA39">
        <f t="shared" ref="AA39:AA70" si="135">VLOOKUP($B39,Table_RSL, MATCH("koc", Heading_RSL, 0), FALSE)</f>
        <v>115.8</v>
      </c>
      <c r="AB39" s="1160">
        <f t="shared" si="70"/>
        <v>0</v>
      </c>
      <c r="AC39" s="1563">
        <f t="shared" ref="AC39:AC70" si="136">VLOOKUP($A39,Table_IP_1, MATCH("kd", heading_IP_1, 0), FALSE)</f>
        <v>0.69479999999999997</v>
      </c>
      <c r="AD39" t="str">
        <f t="shared" ref="AD39:AD70" si="137">VLOOKUP($B39,Table_RSL, MATCH("kd", Heading_RSL, 0), FALSE)</f>
        <v/>
      </c>
      <c r="AE39" s="1160">
        <f t="shared" si="71"/>
        <v>1</v>
      </c>
      <c r="AF39" s="1563">
        <f t="shared" ref="AF39:AF70" si="138">VLOOKUP($A39,Table_IP_1, MATCH("da", heading_IP_1, 0), FALSE)</f>
        <v>3.2135053870100003E-2</v>
      </c>
      <c r="AG39">
        <f t="shared" ref="AG39:AG70" si="139">VLOOKUP($B39,Table_RSL, MATCH("dia", Heading_RSL, 0), FALSE)</f>
        <v>3.2135053870100003E-2</v>
      </c>
      <c r="AH39" s="1160">
        <f t="shared" si="72"/>
        <v>0</v>
      </c>
      <c r="AI39" s="1563">
        <f t="shared" ref="AI39:AI70" si="140">VLOOKUP($A39,Table_IP_1, MATCH("dw", heading_IP_1, 0), FALSE)</f>
        <v>8.9047554209699996E-6</v>
      </c>
      <c r="AJ39">
        <f t="shared" ref="AJ39:AJ70" si="141">VLOOKUP($B39,Table_RSL, MATCH("diw", Heading_RSL, 0), FALSE)</f>
        <v>8.9047554209699996E-6</v>
      </c>
      <c r="AK39" s="1160">
        <f t="shared" si="73"/>
        <v>0</v>
      </c>
      <c r="AL39" s="1563">
        <f t="shared" ref="AL39:AL70" si="142">VLOOKUP($A39,Table_IP_1, MATCH("daf", heading_IP_1, 0), FALSE)</f>
        <v>20.135228999999999</v>
      </c>
      <c r="AM39" t="e">
        <f t="shared" ref="AM39:AM70" si="143">VLOOKUP($B39,Table_RSL, MATCH("daf", Heading_RSL, 0), FALSE)</f>
        <v>#N/A</v>
      </c>
      <c r="AN39" s="1563">
        <f t="shared" ref="AN39:AN70" si="144">VLOOKUP($A39,Table_IP_1, MATCH("sat lim", heading_IP_1, 0), FALSE)</f>
        <v>979.00337904009689</v>
      </c>
      <c r="AO39">
        <f t="shared" ref="AO39:AO70" si="145">VLOOKUP($B39,Table_RSL, MATCH("csat", Heading_RSL, 0), FALSE)</f>
        <v>979</v>
      </c>
      <c r="AP39" s="1160">
        <f t="shared" ref="AP39:AP70" si="146">IF(AO39=AN39,,1)</f>
        <v>1</v>
      </c>
      <c r="AQ39" s="1563">
        <f t="shared" ref="AQ39:AQ70" si="147">VLOOKUP($A39,Table_IP_1, MATCH("app diffus", heading_IP_1, 0), FALSE)</f>
        <v>1.2998119831683189E-5</v>
      </c>
      <c r="AS39" s="1563">
        <f t="shared" ref="AS39:AS70" si="148">VLOOKUP($A39,Table_IP_1, MATCH("VFr", heading_IP_1, 0), FALSE)</f>
        <v>31993.399402557188</v>
      </c>
      <c r="AU39" s="1563">
        <f t="shared" ref="AU39:AU70" si="149">VLOOKUP($A39,Table_IP_1, MATCH("VFc", heading_IP_1, 0), FALSE)</f>
        <v>31372.109203809017</v>
      </c>
      <c r="AW39" s="1563">
        <f t="shared" ref="AW39:AW70" si="150">VLOOKUP($A39,Table_IP_1, MATCH("VFcw", heading_IP_1, 0), FALSE)</f>
        <v>7086.261157768593</v>
      </c>
      <c r="AY39" s="1592">
        <f t="shared" ref="AY39:AY70" si="151">VLOOKUP($A39,Table_IP_2, MATCH("giabs", heading_IP_2, 0), FALSE)</f>
        <v>1</v>
      </c>
      <c r="AZ39" s="821">
        <f t="shared" ref="AZ39:AZ70" si="152">VLOOKUP($B39,Table_RSL, MATCH("giabs", Heading_RSL, 0), FALSE)</f>
        <v>1</v>
      </c>
      <c r="BA39" s="1160">
        <f t="shared" si="74"/>
        <v>0</v>
      </c>
      <c r="BB39" s="1592" t="str">
        <f t="shared" ref="BB39:BB70" si="153">VLOOKUP($A39,Table_IP_2, MATCH("abs", heading_IP_2, 0), FALSE)</f>
        <v>--</v>
      </c>
      <c r="BC39" s="821" t="str">
        <f t="shared" ref="BC39:BC70" si="154">VLOOKUP($B39,Table_RSL, MATCH("abs", Heading_RSL, 0), FALSE)</f>
        <v/>
      </c>
      <c r="BD39" s="1160">
        <f t="shared" si="75"/>
        <v>0</v>
      </c>
      <c r="BE39" s="1592" t="str">
        <f t="shared" ref="BE39:BE70" si="155">VLOOKUP($A39,Table_IP_2, MATCH("epd", heading_IP_2, 0), FALSE)</f>
        <v>Yes</v>
      </c>
      <c r="BF39" s="1592">
        <f t="shared" ref="BF39:BF70" si="156">VLOOKUP($A39,Table_IP_2, MATCH("kp", heading_IP_2, 0), FALSE)</f>
        <v>6.8500000000000002E-3</v>
      </c>
      <c r="BG39" s="821">
        <f t="shared" ref="BG39:BG70" si="157">VLOOKUP($B39,Table_RSL, MATCH("kp", Heading_RSL, 0), FALSE)</f>
        <v>6.8500000000000002E-3</v>
      </c>
      <c r="BH39" s="1160">
        <f t="shared" si="76"/>
        <v>0</v>
      </c>
      <c r="BI39" s="1592">
        <f t="shared" ref="BI39:BI70" si="158">VLOOKUP($A39,Table_IP_2, MATCH("fa", heading_IP_2, 0), FALSE)</f>
        <v>1</v>
      </c>
      <c r="BJ39" s="1592">
        <f t="shared" ref="BJ39:BJ70" si="159">VLOOKUP($A39,Table_IP_2, MATCH("b", heading_IP_2, 0), FALSE)</f>
        <v>4.0502016943349997E-2</v>
      </c>
      <c r="BK39" s="821">
        <f t="shared" ref="BK39:BK70" si="160">VLOOKUP($B39,Table_RSL, MATCH("b", Heading_RSL, 0), FALSE)</f>
        <v>4.0502016943349997E-2</v>
      </c>
      <c r="BL39" s="1160">
        <f t="shared" si="77"/>
        <v>0</v>
      </c>
      <c r="BM39" s="1592">
        <f t="shared" ref="BM39:BM70" si="161">VLOOKUP($A39,Table_IP_2, MATCH("t_event", heading_IP_2, 0), FALSE)</f>
        <v>2.2146074145907599</v>
      </c>
      <c r="BN39" s="821">
        <f t="shared" ref="BN39:BN70" si="162">VLOOKUP($B39,Table_RSL, MATCH("t_event", Heading_RSL, 0), FALSE)</f>
        <v>2.2146074145907599</v>
      </c>
      <c r="BO39" s="1160">
        <f t="shared" si="78"/>
        <v>0</v>
      </c>
      <c r="BP39" s="1592">
        <f t="shared" ref="BP39:BP70" si="163">VLOOKUP($A39,Table_IP_2, MATCH("t", heading_IP_2, 0), FALSE)</f>
        <v>5.3150577950178297</v>
      </c>
      <c r="BQ39" s="821">
        <f t="shared" ref="BQ39:BQ70" si="164">VLOOKUP($B39,Table_RSL, MATCH("t", Heading_RSL, 0), FALSE)</f>
        <v>5.3150577950178297</v>
      </c>
      <c r="BR39" s="1160">
        <f t="shared" si="79"/>
        <v>0</v>
      </c>
      <c r="BS39" s="1592" t="str">
        <f t="shared" ref="BS39:BS70" si="165">VLOOKUP($A39,Table_IP_2, MATCH("mut", heading_IP_2, 0), FALSE)</f>
        <v>Yes</v>
      </c>
      <c r="BT39" s="821" t="str">
        <f t="shared" ref="BT39:BT70" si="166">VLOOKUP($B39,Table_RSL, MATCH("mut", Heading_RSL, 0), FALSE)</f>
        <v>M</v>
      </c>
      <c r="BU39" s="1160">
        <f t="shared" si="82"/>
        <v>0</v>
      </c>
      <c r="BW39" s="75">
        <f t="shared" ref="BW39:BW70" si="167">VLOOKUP($A39,Table_IP_2, MATCH("sfo", heading_IP_2, 0), FALSE)</f>
        <v>7</v>
      </c>
      <c r="BX39" s="75" t="str">
        <f t="shared" ref="BX39:BX70" si="168">VLOOKUP($A39,Table_IP_2, MATCH("sfo-r", heading_IP_2, 0), FALSE)</f>
        <v>OEHHA 2009</v>
      </c>
      <c r="BY39" s="75">
        <f t="shared" ref="BY39:BY70" si="169">VLOOKUP($B39,Table_RSL, MATCH("Sfo", Heading_RSL, 0), FALSE)</f>
        <v>0.8</v>
      </c>
      <c r="BZ39" s="75" t="str">
        <f t="shared" ref="BZ39:BZ70" si="170">IF(VLOOKUP($B39,Table_RSL, MATCH("Sfo-r", Heading_RSL, 0), FALSE)=0,"",VLOOKUP($B39,Table_RSL, MATCH("Sfo-r", Heading_RSL, 0), FALSE))</f>
        <v>P</v>
      </c>
      <c r="CA39" s="1671" t="str">
        <f t="shared" si="83"/>
        <v>check</v>
      </c>
      <c r="CB39" s="75">
        <f t="shared" ref="CB39:CB70" si="171">VLOOKUP($A39,Table_IP_2, MATCH("IUR", heading_IP_2, 0), FALSE)</f>
        <v>6.0000000000000001E-3</v>
      </c>
      <c r="CC39" s="75" t="str">
        <f t="shared" ref="CC39:CC70" si="172">VLOOKUP($A39,Table_IP_2, MATCH("IUR-r", heading_IP_2, 0), FALSE)</f>
        <v>PPRTV 2006</v>
      </c>
      <c r="CD39" s="75">
        <f t="shared" ref="CD39:CD70" si="173">VLOOKUP($B39,Table_RSL, MATCH("IUR", Heading_RSL, 0), FALSE)</f>
        <v>6.0000000000000001E-3</v>
      </c>
      <c r="CE39" s="75" t="str">
        <f t="shared" ref="CE39:CE70" si="174">IF(VLOOKUP($B39,Table_RSL, MATCH("IUR-r", Heading_RSL, 0), FALSE)=0,"",VLOOKUP($B39,Table_RSL, MATCH("IUR-r", Heading_RSL, 0), FALSE))</f>
        <v>P</v>
      </c>
      <c r="CF39" s="1670" t="str">
        <f t="shared" si="84"/>
        <v>--</v>
      </c>
      <c r="CG39" s="75">
        <f t="shared" ref="CG39:CG70" si="175">VLOOKUP($A39,Table_IP_2, MATCH("RfDo", heading_IP_2, 0), FALSE)</f>
        <v>2.0000000000000001E-4</v>
      </c>
      <c r="CH39" s="75" t="str">
        <f t="shared" ref="CH39:CH70" si="176">VLOOKUP($A39,Table_IP_2, MATCH("Rfdo-r", heading_IP_2, 0), FALSE)</f>
        <v>PPRTV 2006</v>
      </c>
      <c r="CI39" s="75">
        <f t="shared" ref="CI39:CI70" si="177">VLOOKUP($B39,Table_RSL, MATCH("RFDo", Heading_RSL, 0), FALSE)</f>
        <v>2.0000000000000001E-4</v>
      </c>
      <c r="CJ39" s="75" t="str">
        <f t="shared" ref="CJ39:CJ70" si="178">IF(VLOOKUP($B39,Table_RSL, MATCH("RFDO-r", Heading_RSL, 0), FALSE)=0,"",VLOOKUP($B39,Table_RSL, MATCH("RFDo-r", Heading_RSL, 0), FALSE))</f>
        <v>P</v>
      </c>
      <c r="CK39" s="1670" t="str">
        <f t="shared" si="85"/>
        <v>--</v>
      </c>
      <c r="CL39" s="75">
        <f t="shared" ref="CL39:CL70" si="179">VLOOKUP($A39,Table_IP_2, MATCH("Rfc", heading_IP_2, 0), FALSE)</f>
        <v>0.2</v>
      </c>
      <c r="CM39" s="75" t="str">
        <f t="shared" ref="CM39:CM70" si="180">VLOOKUP($A39,Table_IP_2, MATCH("Rfc-r", heading_IP_2, 0), FALSE)</f>
        <v>IRIS 1991</v>
      </c>
      <c r="CN39" s="75">
        <f t="shared" ref="CN39:CN70" si="181">IF(VLOOKUP($B39,Table_RSL,MATCH("RFC",Heading_RSL,0),FALSE)="","",VLOOKUP($B39,Table_RSL,MATCH("RFC",Heading_RSL,0),FALSE)*1000)</f>
        <v>0.2</v>
      </c>
      <c r="CO39" s="75" t="str">
        <f t="shared" ref="CO39:CO70" si="182">IF(VLOOKUP($B39,Table_RSL, MATCH("RFC-r", Heading_RSL, 0), FALSE)=0,"",VLOOKUP($B39,Table_RSL, MATCH("RFC-r", Heading_RSL, 0), FALSE))</f>
        <v>I</v>
      </c>
      <c r="CP39" s="1670" t="str">
        <f t="shared" si="86"/>
        <v>--</v>
      </c>
      <c r="CR39" s="1686" t="str">
        <f t="shared" si="87"/>
        <v>x</v>
      </c>
      <c r="CS39" s="1686" t="str">
        <f t="shared" si="88"/>
        <v>--</v>
      </c>
      <c r="CT39" s="1686" t="str">
        <f t="shared" si="89"/>
        <v>--</v>
      </c>
      <c r="CU39" s="1686" t="str">
        <f t="shared" si="90"/>
        <v>--</v>
      </c>
    </row>
    <row r="40" spans="1:99">
      <c r="A40" s="309" t="s">
        <v>149</v>
      </c>
      <c r="B40" s="427" t="s">
        <v>150</v>
      </c>
      <c r="C40" s="1563" t="str">
        <f t="shared" si="118"/>
        <v>O</v>
      </c>
      <c r="D40" t="e">
        <f t="shared" si="119"/>
        <v>#N/A</v>
      </c>
      <c r="E40" s="1563">
        <f t="shared" si="120"/>
        <v>9.9</v>
      </c>
      <c r="F40">
        <f t="shared" si="121"/>
        <v>9.9</v>
      </c>
      <c r="G40" s="1160">
        <f t="shared" si="63"/>
        <v>0</v>
      </c>
      <c r="H40" s="1563" t="str">
        <f t="shared" si="122"/>
        <v>V</v>
      </c>
      <c r="I40" t="str">
        <f t="shared" si="123"/>
        <v>V</v>
      </c>
      <c r="J40" s="1160">
        <f t="shared" si="64"/>
        <v>0</v>
      </c>
      <c r="K40" s="1563">
        <f t="shared" si="124"/>
        <v>187.86</v>
      </c>
      <c r="L40">
        <f t="shared" si="125"/>
        <v>187.86</v>
      </c>
      <c r="M40" s="1160">
        <f t="shared" si="65"/>
        <v>0</v>
      </c>
      <c r="N40" s="1563">
        <f t="shared" si="126"/>
        <v>11.2</v>
      </c>
      <c r="O40">
        <f t="shared" si="127"/>
        <v>11.2</v>
      </c>
      <c r="P40" s="1160">
        <f t="shared" si="66"/>
        <v>0</v>
      </c>
      <c r="Q40" s="1563">
        <f t="shared" si="128"/>
        <v>3910</v>
      </c>
      <c r="R40">
        <f t="shared" si="129"/>
        <v>3910</v>
      </c>
      <c r="S40" s="1160">
        <f t="shared" si="67"/>
        <v>0</v>
      </c>
      <c r="T40" s="1563">
        <f t="shared" si="130"/>
        <v>6.4999999999999997E-4</v>
      </c>
      <c r="U40">
        <f t="shared" si="131"/>
        <v>6.4999999999999997E-4</v>
      </c>
      <c r="V40" s="1160">
        <f t="shared" si="68"/>
        <v>0</v>
      </c>
      <c r="W40" s="1563">
        <f t="shared" si="132"/>
        <v>2.6573998364679999E-2</v>
      </c>
      <c r="X40">
        <f t="shared" si="133"/>
        <v>2.6573998364679999E-2</v>
      </c>
      <c r="Y40" s="1160">
        <f t="shared" si="69"/>
        <v>0</v>
      </c>
      <c r="Z40" s="1563">
        <f t="shared" si="134"/>
        <v>39.6</v>
      </c>
      <c r="AA40">
        <f t="shared" si="135"/>
        <v>39.6</v>
      </c>
      <c r="AB40" s="1160">
        <f t="shared" si="70"/>
        <v>0</v>
      </c>
      <c r="AC40" s="1563">
        <f t="shared" si="136"/>
        <v>0.23760000000000001</v>
      </c>
      <c r="AD40" t="str">
        <f t="shared" si="137"/>
        <v/>
      </c>
      <c r="AE40" s="1160">
        <f t="shared" si="71"/>
        <v>1</v>
      </c>
      <c r="AF40" s="1563">
        <f t="shared" si="138"/>
        <v>4.3034841244550003E-2</v>
      </c>
      <c r="AG40">
        <f t="shared" si="139"/>
        <v>4.3034841244550003E-2</v>
      </c>
      <c r="AH40" s="1160">
        <f t="shared" si="72"/>
        <v>0</v>
      </c>
      <c r="AI40" s="1563">
        <f t="shared" si="140"/>
        <v>1.043861314E-5</v>
      </c>
      <c r="AJ40">
        <f t="shared" si="141"/>
        <v>1.043861314E-5</v>
      </c>
      <c r="AK40" s="1160">
        <f t="shared" si="73"/>
        <v>0</v>
      </c>
      <c r="AL40" s="1563">
        <f t="shared" si="142"/>
        <v>10.60815</v>
      </c>
      <c r="AM40" t="e">
        <f t="shared" si="143"/>
        <v>#N/A</v>
      </c>
      <c r="AN40" s="1563">
        <f t="shared" si="144"/>
        <v>1339.6859398838837</v>
      </c>
      <c r="AO40">
        <f t="shared" si="145"/>
        <v>1340</v>
      </c>
      <c r="AP40" s="1160">
        <f t="shared" si="146"/>
        <v>1</v>
      </c>
      <c r="AQ40" s="1563">
        <f t="shared" si="147"/>
        <v>1.7801770183852286E-4</v>
      </c>
      <c r="AS40" s="1563">
        <f t="shared" si="148"/>
        <v>8645.0808839817801</v>
      </c>
      <c r="AU40" s="1563">
        <f t="shared" si="149"/>
        <v>8477.1992546175115</v>
      </c>
      <c r="AW40" s="1563">
        <f t="shared" si="150"/>
        <v>1914.8106177498389</v>
      </c>
      <c r="AY40" s="1592">
        <f t="shared" si="151"/>
        <v>1</v>
      </c>
      <c r="AZ40" s="821">
        <f t="shared" si="152"/>
        <v>1</v>
      </c>
      <c r="BA40" s="1160">
        <f t="shared" si="74"/>
        <v>0</v>
      </c>
      <c r="BB40" s="1592" t="str">
        <f t="shared" si="153"/>
        <v>--</v>
      </c>
      <c r="BC40" s="821" t="str">
        <f t="shared" si="154"/>
        <v/>
      </c>
      <c r="BD40" s="1160">
        <f t="shared" si="75"/>
        <v>0</v>
      </c>
      <c r="BE40" s="1592" t="str">
        <f t="shared" si="155"/>
        <v>Yes</v>
      </c>
      <c r="BF40" s="1592">
        <f t="shared" si="156"/>
        <v>2.7799999999999999E-3</v>
      </c>
      <c r="BG40" s="821">
        <f t="shared" si="157"/>
        <v>2.7799999999999999E-3</v>
      </c>
      <c r="BH40" s="1160">
        <f t="shared" si="76"/>
        <v>0</v>
      </c>
      <c r="BI40" s="1592">
        <f t="shared" si="158"/>
        <v>1</v>
      </c>
      <c r="BJ40" s="1592">
        <f t="shared" si="159"/>
        <v>1.465509395051E-2</v>
      </c>
      <c r="BK40" s="821">
        <f t="shared" si="160"/>
        <v>1.465509395051E-2</v>
      </c>
      <c r="BL40" s="1160">
        <f t="shared" si="77"/>
        <v>0</v>
      </c>
      <c r="BM40" s="1592">
        <f t="shared" si="161"/>
        <v>1.18539952701691</v>
      </c>
      <c r="BN40" s="821">
        <f t="shared" si="162"/>
        <v>1.18539952701691</v>
      </c>
      <c r="BO40" s="1160">
        <f t="shared" si="78"/>
        <v>0</v>
      </c>
      <c r="BP40" s="1592">
        <f t="shared" si="163"/>
        <v>2.8449588648405899</v>
      </c>
      <c r="BQ40" s="821">
        <f t="shared" si="164"/>
        <v>2.8449588648405899</v>
      </c>
      <c r="BR40" s="1160">
        <f t="shared" si="79"/>
        <v>0</v>
      </c>
      <c r="BS40" s="1592" t="str">
        <f t="shared" si="165"/>
        <v>--</v>
      </c>
      <c r="BT40" s="821">
        <f t="shared" si="166"/>
        <v>0</v>
      </c>
      <c r="BU40" s="1160">
        <f t="shared" si="82"/>
        <v>0</v>
      </c>
      <c r="BW40" s="75">
        <f t="shared" si="167"/>
        <v>2</v>
      </c>
      <c r="BX40" s="75" t="str">
        <f t="shared" si="168"/>
        <v>IRIS 2004</v>
      </c>
      <c r="BY40" s="75">
        <f t="shared" si="169"/>
        <v>2</v>
      </c>
      <c r="BZ40" s="75" t="str">
        <f t="shared" si="170"/>
        <v>I</v>
      </c>
      <c r="CA40" s="1670" t="str">
        <f t="shared" si="83"/>
        <v>--</v>
      </c>
      <c r="CB40" s="75">
        <f t="shared" si="171"/>
        <v>5.9999999999999995E-4</v>
      </c>
      <c r="CC40" s="75" t="str">
        <f t="shared" si="172"/>
        <v>IRIS 2004</v>
      </c>
      <c r="CD40" s="75">
        <f t="shared" si="173"/>
        <v>5.9999999999999995E-4</v>
      </c>
      <c r="CE40" s="75" t="str">
        <f t="shared" si="174"/>
        <v>I</v>
      </c>
      <c r="CF40" s="1670" t="str">
        <f t="shared" si="84"/>
        <v>--</v>
      </c>
      <c r="CG40" s="75">
        <f t="shared" si="175"/>
        <v>8.9999999999999993E-3</v>
      </c>
      <c r="CH40" s="75" t="str">
        <f t="shared" si="176"/>
        <v>IRIS 2004</v>
      </c>
      <c r="CI40" s="75">
        <f t="shared" si="177"/>
        <v>8.9999999999999993E-3</v>
      </c>
      <c r="CJ40" s="75" t="str">
        <f t="shared" si="178"/>
        <v>I</v>
      </c>
      <c r="CK40" s="1670" t="str">
        <f t="shared" si="85"/>
        <v>--</v>
      </c>
      <c r="CL40" s="75">
        <f t="shared" si="179"/>
        <v>0.8</v>
      </c>
      <c r="CM40" s="75" t="str">
        <f t="shared" si="180"/>
        <v>OEHHA 2008</v>
      </c>
      <c r="CN40" s="75">
        <f t="shared" si="181"/>
        <v>9</v>
      </c>
      <c r="CO40" s="75" t="str">
        <f t="shared" si="182"/>
        <v>I</v>
      </c>
      <c r="CP40" s="1671" t="str">
        <f t="shared" si="86"/>
        <v>check</v>
      </c>
      <c r="CR40" s="1686" t="str">
        <f t="shared" si="87"/>
        <v>--</v>
      </c>
      <c r="CS40" s="1686" t="str">
        <f t="shared" si="88"/>
        <v>--</v>
      </c>
      <c r="CT40" s="1686" t="str">
        <f t="shared" si="89"/>
        <v>--</v>
      </c>
      <c r="CU40" s="1686" t="str">
        <f t="shared" si="90"/>
        <v>x</v>
      </c>
    </row>
    <row r="41" spans="1:99">
      <c r="A41" s="309" t="s">
        <v>151</v>
      </c>
      <c r="B41" s="427" t="s">
        <v>152</v>
      </c>
      <c r="C41" s="1563" t="str">
        <f t="shared" si="118"/>
        <v>O</v>
      </c>
      <c r="D41" t="e">
        <f t="shared" si="119"/>
        <v>#N/A</v>
      </c>
      <c r="E41" s="1563">
        <f t="shared" si="120"/>
        <v>-16.7</v>
      </c>
      <c r="F41">
        <f t="shared" si="121"/>
        <v>-16.7</v>
      </c>
      <c r="G41" s="1160">
        <f t="shared" si="63"/>
        <v>0</v>
      </c>
      <c r="H41" s="1563" t="str">
        <f t="shared" si="122"/>
        <v>V</v>
      </c>
      <c r="I41" t="str">
        <f t="shared" si="123"/>
        <v>V</v>
      </c>
      <c r="J41" s="1160">
        <f t="shared" si="64"/>
        <v>0</v>
      </c>
      <c r="K41" s="1563">
        <f t="shared" si="124"/>
        <v>147</v>
      </c>
      <c r="L41">
        <f t="shared" si="125"/>
        <v>147</v>
      </c>
      <c r="M41" s="1160">
        <f t="shared" si="65"/>
        <v>0</v>
      </c>
      <c r="N41" s="1563">
        <f t="shared" si="126"/>
        <v>1.36</v>
      </c>
      <c r="O41">
        <f t="shared" si="127"/>
        <v>1.36</v>
      </c>
      <c r="P41" s="1160">
        <f t="shared" si="66"/>
        <v>0</v>
      </c>
      <c r="Q41" s="1563">
        <f t="shared" si="128"/>
        <v>156</v>
      </c>
      <c r="R41">
        <f t="shared" si="129"/>
        <v>156</v>
      </c>
      <c r="S41" s="1160">
        <f t="shared" si="67"/>
        <v>0</v>
      </c>
      <c r="T41" s="1563">
        <f t="shared" si="130"/>
        <v>1.92E-3</v>
      </c>
      <c r="U41">
        <f t="shared" si="131"/>
        <v>1.92E-3</v>
      </c>
      <c r="V41" s="1160">
        <f t="shared" si="68"/>
        <v>0</v>
      </c>
      <c r="W41" s="1563">
        <f t="shared" si="132"/>
        <v>7.8495502861819999E-2</v>
      </c>
      <c r="X41">
        <f t="shared" si="133"/>
        <v>7.8495502861819999E-2</v>
      </c>
      <c r="Y41" s="1160">
        <f t="shared" si="69"/>
        <v>0</v>
      </c>
      <c r="Z41" s="1563">
        <f t="shared" si="134"/>
        <v>382.9</v>
      </c>
      <c r="AA41">
        <f t="shared" si="135"/>
        <v>382.9</v>
      </c>
      <c r="AB41" s="1160">
        <f t="shared" si="70"/>
        <v>0</v>
      </c>
      <c r="AC41" s="1563">
        <f t="shared" si="136"/>
        <v>2.2974000000000001</v>
      </c>
      <c r="AD41" t="str">
        <f t="shared" si="137"/>
        <v/>
      </c>
      <c r="AE41" s="1160">
        <f t="shared" si="71"/>
        <v>1</v>
      </c>
      <c r="AF41" s="1563">
        <f t="shared" si="138"/>
        <v>5.6170340489030003E-2</v>
      </c>
      <c r="AG41">
        <f t="shared" si="139"/>
        <v>5.6170340489030003E-2</v>
      </c>
      <c r="AH41" s="1160">
        <f t="shared" si="72"/>
        <v>0</v>
      </c>
      <c r="AI41" s="1563">
        <f t="shared" si="140"/>
        <v>8.9212831562199998E-6</v>
      </c>
      <c r="AJ41">
        <f t="shared" si="141"/>
        <v>8.9212831562199998E-6</v>
      </c>
      <c r="AK41" s="1160">
        <f t="shared" si="73"/>
        <v>0</v>
      </c>
      <c r="AL41" s="1563">
        <f t="shared" si="142"/>
        <v>75.478840000000005</v>
      </c>
      <c r="AM41" t="e">
        <f t="shared" si="143"/>
        <v>#N/A</v>
      </c>
      <c r="AN41" s="1563">
        <f t="shared" si="144"/>
        <v>376.31253511470419</v>
      </c>
      <c r="AO41">
        <f t="shared" si="145"/>
        <v>376</v>
      </c>
      <c r="AP41" s="1160">
        <f t="shared" si="146"/>
        <v>1</v>
      </c>
      <c r="AQ41" s="1563">
        <f t="shared" si="147"/>
        <v>9.7403077606950152E-5</v>
      </c>
      <c r="AS41" s="1563">
        <f t="shared" si="148"/>
        <v>11687.303344216289</v>
      </c>
      <c r="AU41" s="1563">
        <f t="shared" si="149"/>
        <v>11460.343810276363</v>
      </c>
      <c r="AW41" s="1563">
        <f t="shared" si="150"/>
        <v>2588.6365710972004</v>
      </c>
      <c r="AY41" s="1592">
        <f t="shared" si="151"/>
        <v>1</v>
      </c>
      <c r="AZ41" s="821">
        <f t="shared" si="152"/>
        <v>1</v>
      </c>
      <c r="BA41" s="1160">
        <f t="shared" si="74"/>
        <v>0</v>
      </c>
      <c r="BB41" s="1592" t="str">
        <f t="shared" si="153"/>
        <v>--</v>
      </c>
      <c r="BC41" s="821" t="str">
        <f t="shared" si="154"/>
        <v/>
      </c>
      <c r="BD41" s="1160">
        <f t="shared" si="75"/>
        <v>0</v>
      </c>
      <c r="BE41" s="1592" t="str">
        <f t="shared" si="155"/>
        <v>Yes</v>
      </c>
      <c r="BF41" s="1592">
        <f t="shared" si="156"/>
        <v>4.4600000000000001E-2</v>
      </c>
      <c r="BG41" s="821">
        <f t="shared" si="157"/>
        <v>4.4600000000000001E-2</v>
      </c>
      <c r="BH41" s="1160">
        <f t="shared" si="76"/>
        <v>0</v>
      </c>
      <c r="BI41" s="1592">
        <f t="shared" si="158"/>
        <v>1</v>
      </c>
      <c r="BJ41" s="1592">
        <f t="shared" si="159"/>
        <v>0.20797933158577001</v>
      </c>
      <c r="BK41" s="821">
        <f t="shared" si="160"/>
        <v>0.20797933158577001</v>
      </c>
      <c r="BL41" s="1160">
        <f t="shared" si="77"/>
        <v>0</v>
      </c>
      <c r="BM41" s="1592">
        <f t="shared" si="161"/>
        <v>0.69992055777343998</v>
      </c>
      <c r="BN41" s="821">
        <f t="shared" si="162"/>
        <v>0.69992055777343998</v>
      </c>
      <c r="BO41" s="1160">
        <f t="shared" si="78"/>
        <v>0</v>
      </c>
      <c r="BP41" s="1592">
        <f t="shared" si="163"/>
        <v>1.67980933865626</v>
      </c>
      <c r="BQ41" s="821">
        <f t="shared" si="164"/>
        <v>1.67980933865626</v>
      </c>
      <c r="BR41" s="1160">
        <f t="shared" si="79"/>
        <v>0</v>
      </c>
      <c r="BS41" s="1592" t="str">
        <f t="shared" si="165"/>
        <v>--</v>
      </c>
      <c r="BT41" s="821">
        <f t="shared" si="166"/>
        <v>0</v>
      </c>
      <c r="BU41" s="1160">
        <f t="shared" si="82"/>
        <v>0</v>
      </c>
      <c r="BW41" s="75" t="str">
        <f t="shared" si="167"/>
        <v>--</v>
      </c>
      <c r="BX41" s="75" t="str">
        <f t="shared" si="168"/>
        <v xml:space="preserve"> </v>
      </c>
      <c r="BY41" s="75" t="str">
        <f t="shared" si="169"/>
        <v/>
      </c>
      <c r="BZ41" s="75" t="str">
        <f t="shared" si="170"/>
        <v/>
      </c>
      <c r="CA41" s="1670" t="str">
        <f t="shared" si="83"/>
        <v>--</v>
      </c>
      <c r="CB41" s="75" t="str">
        <f t="shared" si="171"/>
        <v>--</v>
      </c>
      <c r="CC41" s="75" t="str">
        <f t="shared" si="172"/>
        <v xml:space="preserve"> </v>
      </c>
      <c r="CD41" s="75" t="str">
        <f t="shared" si="173"/>
        <v/>
      </c>
      <c r="CE41" s="75" t="str">
        <f t="shared" si="174"/>
        <v/>
      </c>
      <c r="CF41" s="1670" t="str">
        <f t="shared" si="84"/>
        <v>--</v>
      </c>
      <c r="CG41" s="75">
        <f t="shared" si="175"/>
        <v>0.09</v>
      </c>
      <c r="CH41" s="75" t="str">
        <f t="shared" si="176"/>
        <v>IRIS 1990</v>
      </c>
      <c r="CI41" s="75">
        <f t="shared" si="177"/>
        <v>0.09</v>
      </c>
      <c r="CJ41" s="75" t="str">
        <f t="shared" si="178"/>
        <v>I</v>
      </c>
      <c r="CK41" s="1670" t="str">
        <f t="shared" si="85"/>
        <v>--</v>
      </c>
      <c r="CL41" s="75">
        <f t="shared" si="179"/>
        <v>200</v>
      </c>
      <c r="CM41" s="75" t="str">
        <f t="shared" si="180"/>
        <v>HEAST 1997</v>
      </c>
      <c r="CN41" s="75">
        <f t="shared" si="181"/>
        <v>200</v>
      </c>
      <c r="CO41" s="75" t="str">
        <f t="shared" si="182"/>
        <v>H</v>
      </c>
      <c r="CP41" s="1670" t="str">
        <f t="shared" si="86"/>
        <v>--</v>
      </c>
      <c r="CR41" s="1686" t="str">
        <f t="shared" si="87"/>
        <v>--</v>
      </c>
      <c r="CS41" s="1686" t="str">
        <f t="shared" si="88"/>
        <v>--</v>
      </c>
      <c r="CT41" s="1686" t="str">
        <f t="shared" si="89"/>
        <v>--</v>
      </c>
      <c r="CU41" s="1686" t="str">
        <f t="shared" si="90"/>
        <v>--</v>
      </c>
    </row>
    <row r="42" spans="1:99">
      <c r="A42" s="309" t="s">
        <v>153</v>
      </c>
      <c r="B42" s="427" t="s">
        <v>154</v>
      </c>
      <c r="C42" s="1563" t="str">
        <f t="shared" si="118"/>
        <v>O</v>
      </c>
      <c r="D42" t="e">
        <f t="shared" si="119"/>
        <v>#N/A</v>
      </c>
      <c r="E42" s="1563">
        <f t="shared" si="120"/>
        <v>52.09</v>
      </c>
      <c r="F42">
        <f t="shared" si="121"/>
        <v>52.09</v>
      </c>
      <c r="G42" s="1160">
        <f t="shared" si="63"/>
        <v>0</v>
      </c>
      <c r="H42" s="1563" t="str">
        <f t="shared" si="122"/>
        <v>V</v>
      </c>
      <c r="I42" t="str">
        <f t="shared" si="123"/>
        <v>V</v>
      </c>
      <c r="J42" s="1160">
        <f t="shared" si="64"/>
        <v>0</v>
      </c>
      <c r="K42" s="1563">
        <f t="shared" si="124"/>
        <v>147</v>
      </c>
      <c r="L42">
        <f t="shared" si="125"/>
        <v>147</v>
      </c>
      <c r="M42" s="1160">
        <f t="shared" si="65"/>
        <v>0</v>
      </c>
      <c r="N42" s="1563">
        <f t="shared" si="126"/>
        <v>1.74</v>
      </c>
      <c r="O42">
        <f t="shared" si="127"/>
        <v>1.74</v>
      </c>
      <c r="P42" s="1160">
        <f t="shared" si="66"/>
        <v>0</v>
      </c>
      <c r="Q42" s="1563">
        <f t="shared" si="128"/>
        <v>81.3</v>
      </c>
      <c r="R42">
        <f t="shared" si="129"/>
        <v>81.3</v>
      </c>
      <c r="S42" s="1160">
        <f t="shared" si="67"/>
        <v>0</v>
      </c>
      <c r="T42" s="1563">
        <f t="shared" si="130"/>
        <v>2.4099999999999998E-3</v>
      </c>
      <c r="U42">
        <f t="shared" si="131"/>
        <v>2.4099999999999998E-3</v>
      </c>
      <c r="V42" s="1160">
        <f t="shared" si="68"/>
        <v>0</v>
      </c>
      <c r="W42" s="1563">
        <f t="shared" si="132"/>
        <v>9.8528209321340002E-2</v>
      </c>
      <c r="X42">
        <f t="shared" si="133"/>
        <v>9.8528209321340002E-2</v>
      </c>
      <c r="Y42" s="1160">
        <f t="shared" si="69"/>
        <v>0</v>
      </c>
      <c r="Z42" s="1563">
        <f t="shared" si="134"/>
        <v>375.3</v>
      </c>
      <c r="AA42">
        <f t="shared" si="135"/>
        <v>375.3</v>
      </c>
      <c r="AB42" s="1160">
        <f t="shared" si="70"/>
        <v>0</v>
      </c>
      <c r="AC42" s="1563">
        <f t="shared" si="136"/>
        <v>2.2518000000000002</v>
      </c>
      <c r="AD42" t="str">
        <f t="shared" si="137"/>
        <v/>
      </c>
      <c r="AE42" s="1160">
        <f t="shared" si="71"/>
        <v>1</v>
      </c>
      <c r="AF42" s="1563">
        <f t="shared" si="138"/>
        <v>5.5042894256450002E-2</v>
      </c>
      <c r="AG42">
        <f t="shared" si="139"/>
        <v>5.5042894256450002E-2</v>
      </c>
      <c r="AH42" s="1160">
        <f t="shared" si="72"/>
        <v>0</v>
      </c>
      <c r="AI42" s="1563">
        <f t="shared" si="140"/>
        <v>8.6797197569099999E-6</v>
      </c>
      <c r="AJ42">
        <f t="shared" si="141"/>
        <v>8.6797197569099999E-6</v>
      </c>
      <c r="AK42" s="1160">
        <f t="shared" si="73"/>
        <v>0</v>
      </c>
      <c r="AL42" s="1563">
        <f t="shared" si="142"/>
        <v>77.258670000000009</v>
      </c>
      <c r="AM42" t="e">
        <f t="shared" si="143"/>
        <v>#N/A</v>
      </c>
      <c r="AN42" s="1563">
        <f t="shared" si="144"/>
        <v>192.71776350236811</v>
      </c>
      <c r="AO42" t="str">
        <f t="shared" si="145"/>
        <v/>
      </c>
      <c r="AP42" s="1160">
        <f t="shared" si="146"/>
        <v>1</v>
      </c>
      <c r="AQ42" s="1563">
        <f t="shared" si="147"/>
        <v>1.2191403460460637E-4</v>
      </c>
      <c r="AS42" s="1563">
        <f t="shared" si="148"/>
        <v>10446.572051027288</v>
      </c>
      <c r="AU42" s="1563">
        <f t="shared" si="149"/>
        <v>10243.706680450219</v>
      </c>
      <c r="AW42" s="1563">
        <f t="shared" si="150"/>
        <v>2313.8253245795672</v>
      </c>
      <c r="AY42" s="1592">
        <f t="shared" si="151"/>
        <v>1</v>
      </c>
      <c r="AZ42" s="821">
        <f t="shared" si="152"/>
        <v>1</v>
      </c>
      <c r="BA42" s="1160">
        <f t="shared" si="74"/>
        <v>0</v>
      </c>
      <c r="BB42" s="1592" t="str">
        <f t="shared" si="153"/>
        <v>--</v>
      </c>
      <c r="BC42" s="821" t="str">
        <f t="shared" si="154"/>
        <v/>
      </c>
      <c r="BD42" s="1160">
        <f t="shared" si="75"/>
        <v>0</v>
      </c>
      <c r="BE42" s="1592" t="str">
        <f t="shared" si="155"/>
        <v>Yes</v>
      </c>
      <c r="BF42" s="1592">
        <f t="shared" si="156"/>
        <v>4.53E-2</v>
      </c>
      <c r="BG42" s="821">
        <f t="shared" si="157"/>
        <v>4.53E-2</v>
      </c>
      <c r="BH42" s="1160">
        <f t="shared" si="76"/>
        <v>0</v>
      </c>
      <c r="BI42" s="1592">
        <f t="shared" si="158"/>
        <v>1</v>
      </c>
      <c r="BJ42" s="1592">
        <f t="shared" si="159"/>
        <v>0.21124358118465</v>
      </c>
      <c r="BK42" s="821">
        <f t="shared" si="160"/>
        <v>0.21124358118465</v>
      </c>
      <c r="BL42" s="1160">
        <f t="shared" si="77"/>
        <v>0</v>
      </c>
      <c r="BM42" s="1592">
        <f t="shared" si="161"/>
        <v>0.69992055777343998</v>
      </c>
      <c r="BN42" s="821">
        <f t="shared" si="162"/>
        <v>0.69992055777343998</v>
      </c>
      <c r="BO42" s="1160">
        <f t="shared" si="78"/>
        <v>0</v>
      </c>
      <c r="BP42" s="1592">
        <f t="shared" si="163"/>
        <v>1.67980933865626</v>
      </c>
      <c r="BQ42" s="821">
        <f t="shared" si="164"/>
        <v>1.67980933865626</v>
      </c>
      <c r="BR42" s="1160">
        <f t="shared" si="79"/>
        <v>0</v>
      </c>
      <c r="BS42" s="1592" t="str">
        <f t="shared" si="165"/>
        <v>--</v>
      </c>
      <c r="BT42" s="821">
        <f t="shared" si="166"/>
        <v>0</v>
      </c>
      <c r="BU42" s="1160">
        <f t="shared" si="82"/>
        <v>0</v>
      </c>
      <c r="BW42" s="75">
        <f t="shared" si="167"/>
        <v>5.4000000000000003E-3</v>
      </c>
      <c r="BX42" s="75" t="str">
        <f t="shared" si="168"/>
        <v>OEHHA 2009</v>
      </c>
      <c r="BY42" s="75">
        <f t="shared" si="169"/>
        <v>5.4000000000000003E-3</v>
      </c>
      <c r="BZ42" s="75" t="str">
        <f t="shared" si="170"/>
        <v>C</v>
      </c>
      <c r="CA42" s="1670" t="str">
        <f t="shared" si="83"/>
        <v>--</v>
      </c>
      <c r="CB42" s="75">
        <f t="shared" si="171"/>
        <v>1.1E-5</v>
      </c>
      <c r="CC42" s="75" t="str">
        <f t="shared" si="172"/>
        <v>OEHHA 2009</v>
      </c>
      <c r="CD42" s="75">
        <f t="shared" si="173"/>
        <v>1.1E-5</v>
      </c>
      <c r="CE42" s="75" t="str">
        <f t="shared" si="174"/>
        <v>C</v>
      </c>
      <c r="CF42" s="1670" t="str">
        <f t="shared" si="84"/>
        <v>--</v>
      </c>
      <c r="CG42" s="75">
        <f t="shared" si="175"/>
        <v>7.0000000000000007E-2</v>
      </c>
      <c r="CH42" s="75" t="str">
        <f t="shared" si="176"/>
        <v>ATSDR MRL</v>
      </c>
      <c r="CI42" s="75">
        <f t="shared" si="177"/>
        <v>7.0000000000000007E-2</v>
      </c>
      <c r="CJ42" s="75" t="str">
        <f t="shared" si="178"/>
        <v>A</v>
      </c>
      <c r="CK42" s="1670" t="str">
        <f t="shared" si="85"/>
        <v>--</v>
      </c>
      <c r="CL42" s="75">
        <f t="shared" si="179"/>
        <v>800</v>
      </c>
      <c r="CM42" s="75" t="str">
        <f t="shared" si="180"/>
        <v>IRIS 1994</v>
      </c>
      <c r="CN42" s="75">
        <f t="shared" si="181"/>
        <v>800</v>
      </c>
      <c r="CO42" s="75" t="str">
        <f t="shared" si="182"/>
        <v>I</v>
      </c>
      <c r="CP42" s="1670" t="str">
        <f t="shared" si="86"/>
        <v>--</v>
      </c>
      <c r="CR42" s="1686" t="str">
        <f t="shared" si="87"/>
        <v>--</v>
      </c>
      <c r="CS42" s="1686" t="str">
        <f t="shared" si="88"/>
        <v>--</v>
      </c>
      <c r="CT42" s="1686" t="str">
        <f t="shared" si="89"/>
        <v>--</v>
      </c>
      <c r="CU42" s="1686" t="str">
        <f t="shared" si="90"/>
        <v>--</v>
      </c>
    </row>
    <row r="43" spans="1:99">
      <c r="A43" s="309" t="s">
        <v>155</v>
      </c>
      <c r="B43" s="427" t="s">
        <v>156</v>
      </c>
      <c r="C43" s="1563" t="str">
        <f t="shared" si="118"/>
        <v>O</v>
      </c>
      <c r="D43" t="e">
        <f t="shared" si="119"/>
        <v>#N/A</v>
      </c>
      <c r="E43" s="1563">
        <f t="shared" si="120"/>
        <v>132</v>
      </c>
      <c r="F43">
        <f t="shared" si="121"/>
        <v>132</v>
      </c>
      <c r="G43" s="1160">
        <f t="shared" si="63"/>
        <v>0</v>
      </c>
      <c r="H43" s="1563" t="str">
        <f t="shared" si="122"/>
        <v>NV</v>
      </c>
      <c r="I43">
        <f t="shared" si="123"/>
        <v>0</v>
      </c>
      <c r="J43" s="1160">
        <f t="shared" si="64"/>
        <v>0</v>
      </c>
      <c r="K43" s="1563">
        <f t="shared" si="124"/>
        <v>253.13</v>
      </c>
      <c r="L43">
        <f t="shared" si="125"/>
        <v>253.13</v>
      </c>
      <c r="M43" s="1160">
        <f t="shared" si="65"/>
        <v>0</v>
      </c>
      <c r="N43" s="1563">
        <f t="shared" si="126"/>
        <v>2.5600000000000002E-7</v>
      </c>
      <c r="O43">
        <f t="shared" si="127"/>
        <v>2.5600000000000002E-7</v>
      </c>
      <c r="P43" s="1160">
        <f t="shared" si="66"/>
        <v>0</v>
      </c>
      <c r="Q43" s="1563">
        <f t="shared" si="128"/>
        <v>3.1</v>
      </c>
      <c r="R43">
        <f t="shared" si="129"/>
        <v>3.1</v>
      </c>
      <c r="S43" s="1160">
        <f t="shared" si="67"/>
        <v>0</v>
      </c>
      <c r="T43" s="1563">
        <f t="shared" si="130"/>
        <v>2.84E-11</v>
      </c>
      <c r="U43">
        <f t="shared" si="131"/>
        <v>2.84E-11</v>
      </c>
      <c r="V43" s="1160">
        <f t="shared" si="68"/>
        <v>0</v>
      </c>
      <c r="W43" s="1563">
        <f t="shared" si="132"/>
        <v>1.16107931316E-9</v>
      </c>
      <c r="X43">
        <f t="shared" si="133"/>
        <v>1.16107931316E-9</v>
      </c>
      <c r="Y43" s="1160">
        <f t="shared" si="69"/>
        <v>0</v>
      </c>
      <c r="Z43" s="1563">
        <f t="shared" si="134"/>
        <v>3190</v>
      </c>
      <c r="AA43">
        <f t="shared" si="135"/>
        <v>3190</v>
      </c>
      <c r="AB43" s="1160">
        <f t="shared" si="70"/>
        <v>0</v>
      </c>
      <c r="AC43" s="1563">
        <f t="shared" si="136"/>
        <v>19.14</v>
      </c>
      <c r="AD43" t="str">
        <f t="shared" si="137"/>
        <v/>
      </c>
      <c r="AE43" s="1160">
        <f t="shared" si="71"/>
        <v>1</v>
      </c>
      <c r="AF43" s="1563">
        <f t="shared" si="138"/>
        <v>4.7481509962950003E-2</v>
      </c>
      <c r="AG43">
        <f t="shared" si="139"/>
        <v>4.7481509962950003E-2</v>
      </c>
      <c r="AH43" s="1160">
        <f t="shared" si="72"/>
        <v>0</v>
      </c>
      <c r="AI43" s="1563">
        <f t="shared" si="140"/>
        <v>5.5478395851399997E-6</v>
      </c>
      <c r="AJ43">
        <f t="shared" si="141"/>
        <v>5.5478395851399997E-6</v>
      </c>
      <c r="AK43" s="1160">
        <f t="shared" si="73"/>
        <v>0</v>
      </c>
      <c r="AL43" s="1563">
        <f t="shared" si="142"/>
        <v>529.54000017627891</v>
      </c>
      <c r="AM43" t="e">
        <f t="shared" si="143"/>
        <v>#N/A</v>
      </c>
      <c r="AN43" s="1563">
        <f t="shared" si="144"/>
        <v>59.644000000681388</v>
      </c>
      <c r="AO43" t="str">
        <f t="shared" si="145"/>
        <v/>
      </c>
      <c r="AP43" s="1160">
        <f t="shared" si="146"/>
        <v>1</v>
      </c>
      <c r="AQ43" s="1563" t="str">
        <f t="shared" si="147"/>
        <v>--</v>
      </c>
      <c r="AS43" s="1563" t="str">
        <f t="shared" si="148"/>
        <v>--</v>
      </c>
      <c r="AU43" s="1563" t="str">
        <f t="shared" si="149"/>
        <v>--</v>
      </c>
      <c r="AW43" s="1563" t="str">
        <f t="shared" si="150"/>
        <v>--</v>
      </c>
      <c r="AY43" s="1592">
        <f t="shared" si="151"/>
        <v>1</v>
      </c>
      <c r="AZ43" s="821">
        <f t="shared" si="152"/>
        <v>1</v>
      </c>
      <c r="BA43" s="1160">
        <f t="shared" si="74"/>
        <v>0</v>
      </c>
      <c r="BB43" s="1592">
        <f t="shared" si="153"/>
        <v>0.1</v>
      </c>
      <c r="BC43" s="821">
        <f t="shared" si="154"/>
        <v>0.1</v>
      </c>
      <c r="BD43" s="1160">
        <f t="shared" si="75"/>
        <v>0</v>
      </c>
      <c r="BE43" s="1592" t="str">
        <f t="shared" si="155"/>
        <v>Yes</v>
      </c>
      <c r="BF43" s="1592">
        <f t="shared" si="156"/>
        <v>1.2800000000000001E-2</v>
      </c>
      <c r="BG43" s="821">
        <f t="shared" si="157"/>
        <v>1.2800000000000001E-2</v>
      </c>
      <c r="BH43" s="1160">
        <f t="shared" si="76"/>
        <v>0</v>
      </c>
      <c r="BI43" s="1592">
        <f t="shared" si="158"/>
        <v>1</v>
      </c>
      <c r="BJ43" s="1592">
        <f t="shared" si="159"/>
        <v>7.8326447806829999E-2</v>
      </c>
      <c r="BK43" s="821">
        <f t="shared" si="160"/>
        <v>7.8326447806829999E-2</v>
      </c>
      <c r="BL43" s="1160">
        <f t="shared" si="77"/>
        <v>0</v>
      </c>
      <c r="BM43" s="1592">
        <f t="shared" si="161"/>
        <v>2.7502789801898202</v>
      </c>
      <c r="BN43" s="821">
        <f t="shared" si="162"/>
        <v>2.7502789801898202</v>
      </c>
      <c r="BO43" s="1160">
        <f t="shared" si="78"/>
        <v>0</v>
      </c>
      <c r="BP43" s="1592">
        <f t="shared" si="163"/>
        <v>6.6006695524555701</v>
      </c>
      <c r="BQ43" s="821">
        <f t="shared" si="164"/>
        <v>6.6006695524555701</v>
      </c>
      <c r="BR43" s="1160">
        <f t="shared" si="79"/>
        <v>0</v>
      </c>
      <c r="BS43" s="1592" t="str">
        <f t="shared" si="165"/>
        <v>--</v>
      </c>
      <c r="BT43" s="821">
        <f t="shared" si="166"/>
        <v>0</v>
      </c>
      <c r="BU43" s="1160">
        <f t="shared" si="82"/>
        <v>0</v>
      </c>
      <c r="BW43" s="75">
        <f t="shared" si="167"/>
        <v>1.2</v>
      </c>
      <c r="BX43" s="75" t="str">
        <f t="shared" si="168"/>
        <v>OEHHA 2009</v>
      </c>
      <c r="BY43" s="75">
        <f t="shared" si="169"/>
        <v>0.45</v>
      </c>
      <c r="BZ43" s="75" t="str">
        <f t="shared" si="170"/>
        <v>I</v>
      </c>
      <c r="CA43" s="1671" t="str">
        <f t="shared" si="83"/>
        <v>check</v>
      </c>
      <c r="CB43" s="75">
        <f t="shared" si="171"/>
        <v>3.4000000000000002E-4</v>
      </c>
      <c r="CC43" s="75" t="str">
        <f t="shared" si="172"/>
        <v>OEHHA 2009</v>
      </c>
      <c r="CD43" s="75">
        <f t="shared" si="173"/>
        <v>3.4000000000000002E-4</v>
      </c>
      <c r="CE43" s="75" t="str">
        <f t="shared" si="174"/>
        <v>C</v>
      </c>
      <c r="CF43" s="1670" t="str">
        <f t="shared" si="84"/>
        <v>--</v>
      </c>
      <c r="CG43" s="75" t="str">
        <f t="shared" si="175"/>
        <v>--</v>
      </c>
      <c r="CH43" s="75" t="str">
        <f t="shared" si="176"/>
        <v xml:space="preserve"> </v>
      </c>
      <c r="CI43" s="75" t="str">
        <f t="shared" si="177"/>
        <v/>
      </c>
      <c r="CJ43" s="75" t="str">
        <f t="shared" si="178"/>
        <v/>
      </c>
      <c r="CK43" s="1670" t="str">
        <f t="shared" si="85"/>
        <v>--</v>
      </c>
      <c r="CL43" s="75" t="str">
        <f t="shared" si="179"/>
        <v>--</v>
      </c>
      <c r="CM43" s="75" t="str">
        <f t="shared" si="180"/>
        <v xml:space="preserve"> </v>
      </c>
      <c r="CN43" s="75" t="str">
        <f t="shared" si="181"/>
        <v/>
      </c>
      <c r="CO43" s="75" t="str">
        <f t="shared" si="182"/>
        <v/>
      </c>
      <c r="CP43" s="1670" t="str">
        <f t="shared" si="86"/>
        <v>--</v>
      </c>
      <c r="CR43" s="1686" t="str">
        <f t="shared" si="87"/>
        <v>x</v>
      </c>
      <c r="CS43" s="1686" t="str">
        <f t="shared" si="88"/>
        <v>--</v>
      </c>
      <c r="CT43" s="1686" t="str">
        <f t="shared" si="89"/>
        <v>--</v>
      </c>
      <c r="CU43" s="1686" t="str">
        <f t="shared" si="90"/>
        <v>--</v>
      </c>
    </row>
    <row r="44" spans="1:99">
      <c r="A44" s="309" t="s">
        <v>157</v>
      </c>
      <c r="B44" s="427" t="s">
        <v>158</v>
      </c>
      <c r="C44" s="1563" t="str">
        <f t="shared" si="118"/>
        <v>O</v>
      </c>
      <c r="D44" t="e">
        <f t="shared" si="119"/>
        <v>#N/A</v>
      </c>
      <c r="E44" s="1563">
        <f t="shared" si="120"/>
        <v>109.5</v>
      </c>
      <c r="F44">
        <f t="shared" si="121"/>
        <v>109.5</v>
      </c>
      <c r="G44" s="1160">
        <f t="shared" si="63"/>
        <v>0</v>
      </c>
      <c r="H44" s="1563" t="str">
        <f t="shared" si="122"/>
        <v>NV</v>
      </c>
      <c r="I44">
        <f t="shared" si="123"/>
        <v>0</v>
      </c>
      <c r="J44" s="1160">
        <f t="shared" si="64"/>
        <v>0</v>
      </c>
      <c r="K44" s="1563">
        <f t="shared" si="124"/>
        <v>320.05</v>
      </c>
      <c r="L44">
        <f t="shared" si="125"/>
        <v>320.05</v>
      </c>
      <c r="M44" s="1160">
        <f t="shared" si="65"/>
        <v>0</v>
      </c>
      <c r="N44" s="1563">
        <f t="shared" si="126"/>
        <v>1.35E-6</v>
      </c>
      <c r="O44">
        <f t="shared" si="127"/>
        <v>1.35E-6</v>
      </c>
      <c r="P44" s="1160">
        <f t="shared" si="66"/>
        <v>0</v>
      </c>
      <c r="Q44" s="1563">
        <f t="shared" si="128"/>
        <v>0.09</v>
      </c>
      <c r="R44">
        <f t="shared" si="129"/>
        <v>0.09</v>
      </c>
      <c r="S44" s="1160">
        <f t="shared" si="67"/>
        <v>0</v>
      </c>
      <c r="T44" s="1563">
        <f t="shared" si="130"/>
        <v>6.6000000000000003E-6</v>
      </c>
      <c r="U44">
        <f t="shared" si="131"/>
        <v>6.6000000000000003E-6</v>
      </c>
      <c r="V44" s="1160">
        <f t="shared" si="68"/>
        <v>0</v>
      </c>
      <c r="W44" s="1563">
        <f t="shared" si="132"/>
        <v>2.6982829108999998E-4</v>
      </c>
      <c r="X44">
        <f t="shared" si="133"/>
        <v>2.6982829108999998E-4</v>
      </c>
      <c r="Y44" s="1160">
        <f t="shared" si="69"/>
        <v>0</v>
      </c>
      <c r="Z44" s="1563">
        <f t="shared" si="134"/>
        <v>117500</v>
      </c>
      <c r="AA44">
        <f t="shared" si="135"/>
        <v>117500</v>
      </c>
      <c r="AB44" s="1160">
        <f t="shared" si="70"/>
        <v>0</v>
      </c>
      <c r="AC44" s="1563">
        <f t="shared" si="136"/>
        <v>705</v>
      </c>
      <c r="AD44" t="str">
        <f t="shared" si="137"/>
        <v/>
      </c>
      <c r="AE44" s="1160">
        <f t="shared" si="71"/>
        <v>1</v>
      </c>
      <c r="AF44" s="1563">
        <f t="shared" si="138"/>
        <v>4.0607698875089998E-2</v>
      </c>
      <c r="AG44">
        <f t="shared" si="139"/>
        <v>4.0607698875089998E-2</v>
      </c>
      <c r="AH44" s="1160">
        <f t="shared" si="72"/>
        <v>0</v>
      </c>
      <c r="AI44" s="1563">
        <f t="shared" si="140"/>
        <v>4.7446890264600002E-6</v>
      </c>
      <c r="AJ44">
        <f t="shared" si="141"/>
        <v>4.7446890264600002E-6</v>
      </c>
      <c r="AK44" s="1160">
        <f t="shared" si="73"/>
        <v>0</v>
      </c>
      <c r="AL44" s="1563">
        <f t="shared" si="142"/>
        <v>19505.040966199998</v>
      </c>
      <c r="AM44" t="e">
        <f t="shared" si="143"/>
        <v>#N/A</v>
      </c>
      <c r="AN44" s="1563">
        <f t="shared" si="144"/>
        <v>63.459004597263146</v>
      </c>
      <c r="AO44" t="str">
        <f t="shared" si="145"/>
        <v/>
      </c>
      <c r="AP44" s="1160">
        <f t="shared" si="146"/>
        <v>1</v>
      </c>
      <c r="AQ44" s="1563" t="str">
        <f t="shared" si="147"/>
        <v>--</v>
      </c>
      <c r="AS44" s="1563" t="str">
        <f t="shared" si="148"/>
        <v>--</v>
      </c>
      <c r="AU44" s="1563" t="str">
        <f t="shared" si="149"/>
        <v>--</v>
      </c>
      <c r="AW44" s="1563" t="str">
        <f t="shared" si="150"/>
        <v>--</v>
      </c>
      <c r="AY44" s="1592">
        <f t="shared" si="151"/>
        <v>1</v>
      </c>
      <c r="AZ44" s="821">
        <f t="shared" si="152"/>
        <v>1</v>
      </c>
      <c r="BA44" s="1160">
        <f t="shared" si="74"/>
        <v>0</v>
      </c>
      <c r="BB44" s="1592">
        <f t="shared" si="153"/>
        <v>0.1</v>
      </c>
      <c r="BC44" s="821">
        <f t="shared" si="154"/>
        <v>0.1</v>
      </c>
      <c r="BD44" s="1160">
        <f t="shared" si="75"/>
        <v>0</v>
      </c>
      <c r="BE44" s="1592" t="str">
        <f t="shared" si="155"/>
        <v>Yes</v>
      </c>
      <c r="BF44" s="1592">
        <f t="shared" si="156"/>
        <v>0.251</v>
      </c>
      <c r="BG44" s="821">
        <f t="shared" si="157"/>
        <v>0.251</v>
      </c>
      <c r="BH44" s="1160">
        <f t="shared" si="76"/>
        <v>0</v>
      </c>
      <c r="BI44" s="1592">
        <f t="shared" si="158"/>
        <v>0.8</v>
      </c>
      <c r="BJ44" s="1592">
        <f t="shared" si="159"/>
        <v>1.72706741087775</v>
      </c>
      <c r="BK44" s="821">
        <f t="shared" si="160"/>
        <v>1.72706741087775</v>
      </c>
      <c r="BL44" s="1160">
        <f t="shared" si="77"/>
        <v>0</v>
      </c>
      <c r="BM44" s="1592">
        <f t="shared" si="161"/>
        <v>6.5182160246292398</v>
      </c>
      <c r="BN44" s="821">
        <f t="shared" si="162"/>
        <v>6.5182160246292398</v>
      </c>
      <c r="BO44" s="1160">
        <f t="shared" si="78"/>
        <v>0</v>
      </c>
      <c r="BP44" s="1592">
        <f t="shared" si="163"/>
        <v>26.2267968690931</v>
      </c>
      <c r="BQ44" s="821">
        <f t="shared" si="164"/>
        <v>26.2267968690931</v>
      </c>
      <c r="BR44" s="1160">
        <f t="shared" si="79"/>
        <v>0</v>
      </c>
      <c r="BS44" s="1592" t="str">
        <f t="shared" si="165"/>
        <v>--</v>
      </c>
      <c r="BT44" s="821">
        <f t="shared" si="166"/>
        <v>0</v>
      </c>
      <c r="BU44" s="1160">
        <f t="shared" si="82"/>
        <v>0</v>
      </c>
      <c r="BW44" s="75">
        <f t="shared" si="167"/>
        <v>0.24</v>
      </c>
      <c r="BX44" s="75" t="str">
        <f t="shared" si="168"/>
        <v>IRIS 1988</v>
      </c>
      <c r="BY44" s="75">
        <f t="shared" si="169"/>
        <v>0.24</v>
      </c>
      <c r="BZ44" s="75" t="str">
        <f t="shared" si="170"/>
        <v>I</v>
      </c>
      <c r="CA44" s="1670" t="str">
        <f t="shared" si="83"/>
        <v>--</v>
      </c>
      <c r="CB44" s="75">
        <f t="shared" si="171"/>
        <v>6.8999999999999997E-5</v>
      </c>
      <c r="CC44" s="75" t="str">
        <f t="shared" si="172"/>
        <v>OEHHA</v>
      </c>
      <c r="CD44" s="75">
        <f t="shared" si="173"/>
        <v>6.8999999999999997E-5</v>
      </c>
      <c r="CE44" s="75" t="str">
        <f t="shared" si="174"/>
        <v>C</v>
      </c>
      <c r="CF44" s="1670" t="str">
        <f t="shared" si="84"/>
        <v>--</v>
      </c>
      <c r="CG44" s="75">
        <f t="shared" si="175"/>
        <v>5.0000000000000001E-4</v>
      </c>
      <c r="CH44" s="75" t="str">
        <f t="shared" si="176"/>
        <v xml:space="preserve">ATSDR  </v>
      </c>
      <c r="CI44" s="75">
        <f t="shared" si="177"/>
        <v>5.0000000000000001E-4</v>
      </c>
      <c r="CJ44" s="75" t="str">
        <f t="shared" si="178"/>
        <v>A</v>
      </c>
      <c r="CK44" s="1670" t="str">
        <f t="shared" si="85"/>
        <v>--</v>
      </c>
      <c r="CL44" s="75" t="str">
        <f t="shared" si="179"/>
        <v>--</v>
      </c>
      <c r="CM44" s="75" t="str">
        <f t="shared" si="180"/>
        <v xml:space="preserve"> </v>
      </c>
      <c r="CN44" s="75" t="str">
        <f t="shared" si="181"/>
        <v/>
      </c>
      <c r="CO44" s="75" t="str">
        <f t="shared" si="182"/>
        <v/>
      </c>
      <c r="CP44" s="1670" t="str">
        <f t="shared" si="86"/>
        <v>--</v>
      </c>
      <c r="CR44" s="1686" t="str">
        <f t="shared" si="87"/>
        <v>--</v>
      </c>
      <c r="CS44" s="1686" t="str">
        <f t="shared" si="88"/>
        <v>--</v>
      </c>
      <c r="CT44" s="1686" t="str">
        <f t="shared" si="89"/>
        <v>--</v>
      </c>
      <c r="CU44" s="1686" t="str">
        <f t="shared" si="90"/>
        <v>--</v>
      </c>
    </row>
    <row r="45" spans="1:99">
      <c r="A45" s="309" t="s">
        <v>159</v>
      </c>
      <c r="B45" s="427" t="s">
        <v>160</v>
      </c>
      <c r="C45" s="1563" t="str">
        <f t="shared" si="118"/>
        <v>O</v>
      </c>
      <c r="D45" t="e">
        <f t="shared" si="119"/>
        <v>#N/A</v>
      </c>
      <c r="E45" s="1563">
        <f t="shared" si="120"/>
        <v>89</v>
      </c>
      <c r="F45">
        <f t="shared" si="121"/>
        <v>89</v>
      </c>
      <c r="G45" s="1160">
        <f t="shared" si="63"/>
        <v>0</v>
      </c>
      <c r="H45" s="1563" t="str">
        <f t="shared" si="122"/>
        <v>V</v>
      </c>
      <c r="I45" t="str">
        <f t="shared" si="123"/>
        <v>V</v>
      </c>
      <c r="J45" s="1160">
        <f t="shared" si="64"/>
        <v>0</v>
      </c>
      <c r="K45" s="1563">
        <f t="shared" si="124"/>
        <v>318.02999999999997</v>
      </c>
      <c r="L45">
        <f t="shared" si="125"/>
        <v>318.02999999999997</v>
      </c>
      <c r="M45" s="1160">
        <f t="shared" si="65"/>
        <v>0</v>
      </c>
      <c r="N45" s="1563">
        <f t="shared" si="126"/>
        <v>6.0000000000000002E-6</v>
      </c>
      <c r="O45">
        <f t="shared" si="127"/>
        <v>6.0000000000000002E-6</v>
      </c>
      <c r="P45" s="1160">
        <f t="shared" si="66"/>
        <v>0</v>
      </c>
      <c r="Q45" s="1563">
        <f t="shared" si="128"/>
        <v>0.04</v>
      </c>
      <c r="R45">
        <f t="shared" si="129"/>
        <v>0.04</v>
      </c>
      <c r="S45" s="1160">
        <f t="shared" si="67"/>
        <v>0</v>
      </c>
      <c r="T45" s="1563">
        <f t="shared" si="130"/>
        <v>4.1600000000000002E-5</v>
      </c>
      <c r="U45">
        <f t="shared" si="131"/>
        <v>4.1600000000000002E-5</v>
      </c>
      <c r="V45" s="1160">
        <f t="shared" si="68"/>
        <v>0</v>
      </c>
      <c r="W45" s="1563">
        <f t="shared" si="132"/>
        <v>1.7007358953399999E-3</v>
      </c>
      <c r="X45">
        <f t="shared" si="133"/>
        <v>1.7007358953399999E-3</v>
      </c>
      <c r="Y45" s="1160">
        <f t="shared" si="69"/>
        <v>0</v>
      </c>
      <c r="Z45" s="1563">
        <f t="shared" si="134"/>
        <v>117500</v>
      </c>
      <c r="AA45">
        <f t="shared" si="135"/>
        <v>117500</v>
      </c>
      <c r="AB45" s="1160">
        <f t="shared" si="70"/>
        <v>0</v>
      </c>
      <c r="AC45" s="1563">
        <f t="shared" si="136"/>
        <v>705</v>
      </c>
      <c r="AD45" t="str">
        <f t="shared" si="137"/>
        <v/>
      </c>
      <c r="AE45" s="1160">
        <f t="shared" si="71"/>
        <v>1</v>
      </c>
      <c r="AF45" s="1563">
        <f t="shared" si="138"/>
        <v>2.299592570658E-2</v>
      </c>
      <c r="AG45">
        <f t="shared" si="139"/>
        <v>2.299592570658E-2</v>
      </c>
      <c r="AH45" s="1160">
        <f t="shared" si="72"/>
        <v>0</v>
      </c>
      <c r="AI45" s="1563">
        <f t="shared" si="140"/>
        <v>5.85921893614E-6</v>
      </c>
      <c r="AJ45">
        <f t="shared" si="141"/>
        <v>5.85921893614E-6</v>
      </c>
      <c r="AK45" s="1160">
        <f t="shared" si="73"/>
        <v>0</v>
      </c>
      <c r="AL45" s="1563">
        <f t="shared" si="142"/>
        <v>19505.258211199998</v>
      </c>
      <c r="AM45" t="e">
        <f t="shared" si="143"/>
        <v>#N/A</v>
      </c>
      <c r="AN45" s="1563">
        <f t="shared" si="144"/>
        <v>28.204012878528417</v>
      </c>
      <c r="AO45" t="str">
        <f t="shared" si="145"/>
        <v/>
      </c>
      <c r="AP45" s="1160">
        <f t="shared" si="146"/>
        <v>1</v>
      </c>
      <c r="AQ45" s="1563">
        <f t="shared" si="147"/>
        <v>3.0078845496996192E-9</v>
      </c>
      <c r="AS45" s="1563">
        <f t="shared" si="148"/>
        <v>2103149.1581312744</v>
      </c>
      <c r="AU45" s="1563">
        <f t="shared" si="149"/>
        <v>2062307.4225591547</v>
      </c>
      <c r="AW45" s="1563">
        <f t="shared" si="150"/>
        <v>465829.34188194294</v>
      </c>
      <c r="AY45" s="1592">
        <f t="shared" si="151"/>
        <v>1</v>
      </c>
      <c r="AZ45" s="821">
        <f t="shared" si="152"/>
        <v>1</v>
      </c>
      <c r="BA45" s="1160">
        <f t="shared" si="74"/>
        <v>0</v>
      </c>
      <c r="BB45" s="1592" t="str">
        <f t="shared" si="153"/>
        <v>--</v>
      </c>
      <c r="BC45" s="821" t="str">
        <f t="shared" si="154"/>
        <v/>
      </c>
      <c r="BD45" s="1160">
        <f t="shared" si="75"/>
        <v>0</v>
      </c>
      <c r="BE45" s="1592" t="str">
        <f t="shared" si="155"/>
        <v>No</v>
      </c>
      <c r="BF45" s="1592">
        <f t="shared" si="156"/>
        <v>0.54500000000000004</v>
      </c>
      <c r="BG45" s="821">
        <f t="shared" si="157"/>
        <v>0.54500000000000004</v>
      </c>
      <c r="BH45" s="1160">
        <f t="shared" si="76"/>
        <v>0</v>
      </c>
      <c r="BI45" s="1592">
        <f t="shared" si="158"/>
        <v>0.8</v>
      </c>
      <c r="BJ45" s="1592">
        <f t="shared" si="159"/>
        <v>3.7381540857667899</v>
      </c>
      <c r="BK45" s="821">
        <f t="shared" si="160"/>
        <v>3.7381540857667899</v>
      </c>
      <c r="BL45" s="1160">
        <f t="shared" si="77"/>
        <v>0</v>
      </c>
      <c r="BM45" s="1592">
        <f t="shared" si="161"/>
        <v>6.3506291076779702</v>
      </c>
      <c r="BN45" s="821">
        <f t="shared" si="162"/>
        <v>6.3506291076779702</v>
      </c>
      <c r="BO45" s="1160">
        <f t="shared" si="78"/>
        <v>0</v>
      </c>
      <c r="BP45" s="1592">
        <f t="shared" si="163"/>
        <v>27.291554395341301</v>
      </c>
      <c r="BQ45" s="821">
        <f t="shared" si="164"/>
        <v>27.291554395341301</v>
      </c>
      <c r="BR45" s="1160">
        <f t="shared" si="79"/>
        <v>0</v>
      </c>
      <c r="BS45" s="1592" t="str">
        <f t="shared" si="165"/>
        <v>--</v>
      </c>
      <c r="BT45" s="821">
        <f t="shared" si="166"/>
        <v>0</v>
      </c>
      <c r="BU45" s="1160">
        <f t="shared" si="82"/>
        <v>0</v>
      </c>
      <c r="BW45" s="75">
        <f t="shared" si="167"/>
        <v>0.34</v>
      </c>
      <c r="BX45" s="75" t="str">
        <f t="shared" si="168"/>
        <v>IRIS 1988</v>
      </c>
      <c r="BY45" s="75">
        <f t="shared" si="169"/>
        <v>0.34</v>
      </c>
      <c r="BZ45" s="75" t="str">
        <f t="shared" si="170"/>
        <v>I</v>
      </c>
      <c r="CA45" s="1670" t="str">
        <f t="shared" si="83"/>
        <v>--</v>
      </c>
      <c r="CB45" s="75">
        <f t="shared" si="171"/>
        <v>9.7E-5</v>
      </c>
      <c r="CC45" s="75" t="str">
        <f t="shared" si="172"/>
        <v>OEHHA</v>
      </c>
      <c r="CD45" s="75">
        <f t="shared" si="173"/>
        <v>9.7E-5</v>
      </c>
      <c r="CE45" s="75" t="str">
        <f t="shared" si="174"/>
        <v>C</v>
      </c>
      <c r="CF45" s="1670" t="str">
        <f t="shared" si="84"/>
        <v>--</v>
      </c>
      <c r="CG45" s="75">
        <f t="shared" si="175"/>
        <v>5.0000000000000001E-4</v>
      </c>
      <c r="CH45" s="75" t="str">
        <f t="shared" si="176"/>
        <v xml:space="preserve">ATSDR  </v>
      </c>
      <c r="CI45" s="75">
        <f t="shared" si="177"/>
        <v>5.0000000000000001E-4</v>
      </c>
      <c r="CJ45" s="75" t="str">
        <f t="shared" si="178"/>
        <v>A</v>
      </c>
      <c r="CK45" s="1670" t="str">
        <f t="shared" si="85"/>
        <v>--</v>
      </c>
      <c r="CL45" s="75" t="str">
        <f t="shared" si="179"/>
        <v>--</v>
      </c>
      <c r="CM45" s="75" t="str">
        <f t="shared" si="180"/>
        <v xml:space="preserve"> </v>
      </c>
      <c r="CN45" s="75" t="str">
        <f t="shared" si="181"/>
        <v/>
      </c>
      <c r="CO45" s="75" t="str">
        <f t="shared" si="182"/>
        <v/>
      </c>
      <c r="CP45" s="1670" t="str">
        <f t="shared" si="86"/>
        <v>--</v>
      </c>
      <c r="CR45" s="1686" t="str">
        <f t="shared" si="87"/>
        <v>--</v>
      </c>
      <c r="CS45" s="1686" t="str">
        <f t="shared" si="88"/>
        <v>--</v>
      </c>
      <c r="CT45" s="1686" t="str">
        <f t="shared" si="89"/>
        <v>--</v>
      </c>
      <c r="CU45" s="1686" t="str">
        <f t="shared" si="90"/>
        <v>--</v>
      </c>
    </row>
    <row r="46" spans="1:99">
      <c r="A46" s="309" t="s">
        <v>161</v>
      </c>
      <c r="B46" s="427" t="s">
        <v>162</v>
      </c>
      <c r="C46" s="1563" t="str">
        <f t="shared" si="118"/>
        <v>O</v>
      </c>
      <c r="D46" t="e">
        <f t="shared" si="119"/>
        <v>#N/A</v>
      </c>
      <c r="E46" s="1563">
        <f t="shared" si="120"/>
        <v>108.5</v>
      </c>
      <c r="F46">
        <f t="shared" si="121"/>
        <v>108.5</v>
      </c>
      <c r="G46" s="1160">
        <f t="shared" si="63"/>
        <v>0</v>
      </c>
      <c r="H46" s="1563" t="str">
        <f t="shared" si="122"/>
        <v>NV</v>
      </c>
      <c r="I46">
        <f t="shared" si="123"/>
        <v>0</v>
      </c>
      <c r="J46" s="1160">
        <f t="shared" si="64"/>
        <v>0</v>
      </c>
      <c r="K46" s="1563">
        <f t="shared" si="124"/>
        <v>354.49</v>
      </c>
      <c r="L46">
        <f t="shared" si="125"/>
        <v>354.49</v>
      </c>
      <c r="M46" s="1160">
        <f t="shared" si="65"/>
        <v>0</v>
      </c>
      <c r="N46" s="1563">
        <f t="shared" si="126"/>
        <v>1.6E-7</v>
      </c>
      <c r="O46">
        <f t="shared" si="127"/>
        <v>1.6E-7</v>
      </c>
      <c r="P46" s="1160">
        <f t="shared" si="66"/>
        <v>0</v>
      </c>
      <c r="Q46" s="1563">
        <f t="shared" si="128"/>
        <v>5.4999999999999997E-3</v>
      </c>
      <c r="R46">
        <f t="shared" si="129"/>
        <v>5.4999999999999997E-3</v>
      </c>
      <c r="S46" s="1160">
        <f t="shared" si="67"/>
        <v>0</v>
      </c>
      <c r="T46" s="1563">
        <f t="shared" si="130"/>
        <v>8.32E-6</v>
      </c>
      <c r="U46">
        <f t="shared" si="131"/>
        <v>8.32E-6</v>
      </c>
      <c r="V46" s="1160">
        <f t="shared" si="68"/>
        <v>0</v>
      </c>
      <c r="W46" s="1563">
        <f t="shared" si="132"/>
        <v>3.4014717906999999E-4</v>
      </c>
      <c r="X46">
        <f t="shared" si="133"/>
        <v>3.4014717906999999E-4</v>
      </c>
      <c r="Y46" s="1160">
        <f t="shared" si="69"/>
        <v>0</v>
      </c>
      <c r="Z46" s="1563">
        <f t="shared" si="134"/>
        <v>168600</v>
      </c>
      <c r="AA46">
        <f t="shared" si="135"/>
        <v>168600</v>
      </c>
      <c r="AB46" s="1160">
        <f t="shared" si="70"/>
        <v>0</v>
      </c>
      <c r="AC46" s="1563">
        <f t="shared" si="136"/>
        <v>1011.6</v>
      </c>
      <c r="AD46" t="str">
        <f t="shared" si="137"/>
        <v/>
      </c>
      <c r="AE46" s="1160">
        <f t="shared" si="71"/>
        <v>1</v>
      </c>
      <c r="AF46" s="1563">
        <f t="shared" si="138"/>
        <v>3.7933036477480003E-2</v>
      </c>
      <c r="AG46">
        <f t="shared" si="139"/>
        <v>3.7933036477480003E-2</v>
      </c>
      <c r="AH46" s="1160">
        <f t="shared" si="72"/>
        <v>0</v>
      </c>
      <c r="AI46" s="1563">
        <f t="shared" si="140"/>
        <v>4.43217584105E-6</v>
      </c>
      <c r="AJ46">
        <f t="shared" si="141"/>
        <v>4.43217584105E-6</v>
      </c>
      <c r="AK46" s="1160">
        <f t="shared" si="73"/>
        <v>0</v>
      </c>
      <c r="AL46" s="1563">
        <f t="shared" si="142"/>
        <v>27987.651642240002</v>
      </c>
      <c r="AM46" t="e">
        <f t="shared" si="143"/>
        <v>#N/A</v>
      </c>
      <c r="AN46" s="1563">
        <f t="shared" si="144"/>
        <v>5.5643503541595321</v>
      </c>
      <c r="AO46" t="str">
        <f t="shared" si="145"/>
        <v/>
      </c>
      <c r="AP46" s="1160">
        <f t="shared" si="146"/>
        <v>1</v>
      </c>
      <c r="AQ46" s="1563" t="str">
        <f t="shared" si="147"/>
        <v>--</v>
      </c>
      <c r="AS46" s="1563" t="str">
        <f t="shared" si="148"/>
        <v>--</v>
      </c>
      <c r="AU46" s="1563" t="str">
        <f t="shared" si="149"/>
        <v>--</v>
      </c>
      <c r="AW46" s="1563" t="str">
        <f t="shared" si="150"/>
        <v>--</v>
      </c>
      <c r="AY46" s="1592">
        <f t="shared" si="151"/>
        <v>1</v>
      </c>
      <c r="AZ46" s="821">
        <f t="shared" si="152"/>
        <v>1</v>
      </c>
      <c r="BA46" s="1160">
        <f t="shared" si="74"/>
        <v>0</v>
      </c>
      <c r="BB46" s="1592">
        <f t="shared" si="153"/>
        <v>0.03</v>
      </c>
      <c r="BC46" s="821">
        <f t="shared" si="154"/>
        <v>0.03</v>
      </c>
      <c r="BD46" s="1160">
        <f t="shared" si="75"/>
        <v>0</v>
      </c>
      <c r="BE46" s="1592" t="str">
        <f t="shared" si="155"/>
        <v>No</v>
      </c>
      <c r="BF46" s="1592">
        <f t="shared" si="156"/>
        <v>0.628</v>
      </c>
      <c r="BG46" s="821">
        <f t="shared" si="157"/>
        <v>0.628</v>
      </c>
      <c r="BH46" s="1160">
        <f t="shared" si="76"/>
        <v>0</v>
      </c>
      <c r="BI46" s="1592">
        <f t="shared" si="158"/>
        <v>0.7</v>
      </c>
      <c r="BJ46" s="1592">
        <f t="shared" si="159"/>
        <v>4.5476631647863996</v>
      </c>
      <c r="BK46" s="821">
        <f t="shared" si="160"/>
        <v>4.5476631647863996</v>
      </c>
      <c r="BL46" s="1160">
        <f t="shared" si="77"/>
        <v>0</v>
      </c>
      <c r="BM46" s="1592">
        <f t="shared" si="161"/>
        <v>10.1623172712118</v>
      </c>
      <c r="BN46" s="821">
        <f t="shared" si="162"/>
        <v>10.1623172712118</v>
      </c>
      <c r="BO46" s="1160">
        <f t="shared" si="78"/>
        <v>0</v>
      </c>
      <c r="BP46" s="1592">
        <f t="shared" si="163"/>
        <v>44.266796804437</v>
      </c>
      <c r="BQ46" s="821">
        <f t="shared" si="164"/>
        <v>44.266796804437</v>
      </c>
      <c r="BR46" s="1160">
        <f t="shared" si="79"/>
        <v>0</v>
      </c>
      <c r="BS46" s="1592" t="str">
        <f t="shared" si="165"/>
        <v>--</v>
      </c>
      <c r="BT46" s="821">
        <f t="shared" si="166"/>
        <v>0</v>
      </c>
      <c r="BU46" s="1160">
        <f t="shared" si="82"/>
        <v>0</v>
      </c>
      <c r="BW46" s="75">
        <f t="shared" si="167"/>
        <v>0.34</v>
      </c>
      <c r="BX46" s="75" t="str">
        <f t="shared" si="168"/>
        <v>IRIS 1991</v>
      </c>
      <c r="BY46" s="75">
        <f t="shared" si="169"/>
        <v>0.34</v>
      </c>
      <c r="BZ46" s="75" t="str">
        <f t="shared" si="170"/>
        <v>I</v>
      </c>
      <c r="CA46" s="1670" t="str">
        <f t="shared" si="83"/>
        <v>--</v>
      </c>
      <c r="CB46" s="75">
        <f t="shared" si="171"/>
        <v>9.7E-5</v>
      </c>
      <c r="CC46" s="75" t="str">
        <f t="shared" si="172"/>
        <v>OEHHA</v>
      </c>
      <c r="CD46" s="75">
        <f t="shared" si="173"/>
        <v>9.7E-5</v>
      </c>
      <c r="CE46" s="75" t="str">
        <f t="shared" si="174"/>
        <v>I</v>
      </c>
      <c r="CF46" s="1670" t="str">
        <f t="shared" si="84"/>
        <v>--</v>
      </c>
      <c r="CG46" s="75">
        <f t="shared" si="175"/>
        <v>5.0000000000000001E-4</v>
      </c>
      <c r="CH46" s="75" t="str">
        <f t="shared" si="176"/>
        <v>IRIS 1991</v>
      </c>
      <c r="CI46" s="75">
        <f t="shared" si="177"/>
        <v>5.0000000000000001E-4</v>
      </c>
      <c r="CJ46" s="75" t="str">
        <f t="shared" si="178"/>
        <v>I</v>
      </c>
      <c r="CK46" s="1670" t="str">
        <f t="shared" si="85"/>
        <v>--</v>
      </c>
      <c r="CL46" s="75" t="str">
        <f t="shared" si="179"/>
        <v>--</v>
      </c>
      <c r="CM46" s="75" t="str">
        <f t="shared" si="180"/>
        <v xml:space="preserve"> </v>
      </c>
      <c r="CN46" s="75" t="str">
        <f t="shared" si="181"/>
        <v/>
      </c>
      <c r="CO46" s="75" t="str">
        <f t="shared" si="182"/>
        <v/>
      </c>
      <c r="CP46" s="1670" t="str">
        <f t="shared" si="86"/>
        <v>--</v>
      </c>
      <c r="CR46" s="1686" t="str">
        <f t="shared" si="87"/>
        <v>--</v>
      </c>
      <c r="CS46" s="1686" t="str">
        <f t="shared" si="88"/>
        <v>--</v>
      </c>
      <c r="CT46" s="1686" t="str">
        <f t="shared" si="89"/>
        <v>--</v>
      </c>
      <c r="CU46" s="1686" t="str">
        <f t="shared" si="90"/>
        <v>--</v>
      </c>
    </row>
    <row r="47" spans="1:99">
      <c r="A47" s="309" t="s">
        <v>163</v>
      </c>
      <c r="B47" s="427" t="s">
        <v>164</v>
      </c>
      <c r="C47" s="1563" t="str">
        <f t="shared" si="118"/>
        <v>O</v>
      </c>
      <c r="D47" t="e">
        <f t="shared" si="119"/>
        <v>#N/A</v>
      </c>
      <c r="E47" s="1563">
        <f t="shared" si="120"/>
        <v>-96.9</v>
      </c>
      <c r="F47">
        <f t="shared" si="121"/>
        <v>-96.9</v>
      </c>
      <c r="G47" s="1160">
        <f t="shared" si="63"/>
        <v>0</v>
      </c>
      <c r="H47" s="1563" t="str">
        <f t="shared" si="122"/>
        <v>V</v>
      </c>
      <c r="I47" t="str">
        <f t="shared" si="123"/>
        <v>V</v>
      </c>
      <c r="J47" s="1160">
        <f t="shared" si="64"/>
        <v>0</v>
      </c>
      <c r="K47" s="1563">
        <f t="shared" si="124"/>
        <v>98.96</v>
      </c>
      <c r="L47">
        <f t="shared" si="125"/>
        <v>98.96</v>
      </c>
      <c r="M47" s="1160">
        <f t="shared" si="65"/>
        <v>0</v>
      </c>
      <c r="N47" s="1563">
        <f t="shared" si="126"/>
        <v>227.3</v>
      </c>
      <c r="O47">
        <f t="shared" si="127"/>
        <v>227.3</v>
      </c>
      <c r="P47" s="1160">
        <f t="shared" si="66"/>
        <v>0</v>
      </c>
      <c r="Q47" s="1563">
        <f t="shared" si="128"/>
        <v>5040</v>
      </c>
      <c r="R47">
        <f t="shared" si="129"/>
        <v>5040</v>
      </c>
      <c r="S47" s="1160">
        <f t="shared" si="67"/>
        <v>0</v>
      </c>
      <c r="T47" s="1563">
        <f t="shared" si="130"/>
        <v>5.62E-3</v>
      </c>
      <c r="U47">
        <f t="shared" si="131"/>
        <v>5.62E-3</v>
      </c>
      <c r="V47" s="1160">
        <f t="shared" si="68"/>
        <v>0</v>
      </c>
      <c r="W47" s="1563">
        <f t="shared" si="132"/>
        <v>0.22976287816843999</v>
      </c>
      <c r="X47">
        <f t="shared" si="133"/>
        <v>0.22976287816843999</v>
      </c>
      <c r="Y47" s="1160">
        <f t="shared" si="69"/>
        <v>0</v>
      </c>
      <c r="Z47" s="1563">
        <f t="shared" si="134"/>
        <v>31.82</v>
      </c>
      <c r="AA47">
        <f t="shared" si="135"/>
        <v>31.82</v>
      </c>
      <c r="AB47" s="1160">
        <f t="shared" si="70"/>
        <v>0</v>
      </c>
      <c r="AC47" s="1563">
        <f t="shared" si="136"/>
        <v>0.19092000000000001</v>
      </c>
      <c r="AD47" t="str">
        <f t="shared" si="137"/>
        <v/>
      </c>
      <c r="AE47" s="1160">
        <f t="shared" si="71"/>
        <v>1</v>
      </c>
      <c r="AF47" s="1563">
        <f t="shared" si="138"/>
        <v>8.3644611321010004E-2</v>
      </c>
      <c r="AG47">
        <f t="shared" si="139"/>
        <v>8.3644611321010004E-2</v>
      </c>
      <c r="AH47" s="1160">
        <f t="shared" si="72"/>
        <v>0</v>
      </c>
      <c r="AI47" s="1563">
        <f t="shared" si="140"/>
        <v>1.0621206939999999E-5</v>
      </c>
      <c r="AJ47">
        <f t="shared" si="141"/>
        <v>1.0621206939999999E-5</v>
      </c>
      <c r="AK47" s="1160">
        <f t="shared" si="73"/>
        <v>0</v>
      </c>
      <c r="AL47" s="1563">
        <f t="shared" si="142"/>
        <v>40.165459999999996</v>
      </c>
      <c r="AM47" t="e">
        <f t="shared" si="143"/>
        <v>#N/A</v>
      </c>
      <c r="AN47" s="1563">
        <f t="shared" si="144"/>
        <v>1685.45659666456</v>
      </c>
      <c r="AO47">
        <f t="shared" si="145"/>
        <v>1690</v>
      </c>
      <c r="AP47" s="1160">
        <f t="shared" si="146"/>
        <v>1</v>
      </c>
      <c r="AQ47" s="1563">
        <f t="shared" si="147"/>
        <v>3.0619608504017311E-3</v>
      </c>
      <c r="AS47" s="1563">
        <f t="shared" si="148"/>
        <v>2084.4949109004815</v>
      </c>
      <c r="AU47" s="1563">
        <f t="shared" si="149"/>
        <v>2044.0154282050787</v>
      </c>
      <c r="AW47" s="1563">
        <f t="shared" si="150"/>
        <v>461.69758751862219</v>
      </c>
      <c r="AY47" s="1592">
        <f t="shared" si="151"/>
        <v>1</v>
      </c>
      <c r="AZ47" s="821">
        <f t="shared" si="152"/>
        <v>1</v>
      </c>
      <c r="BA47" s="1160">
        <f t="shared" si="74"/>
        <v>0</v>
      </c>
      <c r="BB47" s="1592" t="str">
        <f t="shared" si="153"/>
        <v>--</v>
      </c>
      <c r="BC47" s="821" t="str">
        <f t="shared" si="154"/>
        <v/>
      </c>
      <c r="BD47" s="1160">
        <f t="shared" si="75"/>
        <v>0</v>
      </c>
      <c r="BE47" s="1592" t="str">
        <f t="shared" si="155"/>
        <v>Yes</v>
      </c>
      <c r="BF47" s="1592">
        <f t="shared" si="156"/>
        <v>6.7499999999999999E-3</v>
      </c>
      <c r="BG47" s="821">
        <f t="shared" si="157"/>
        <v>6.7499999999999999E-3</v>
      </c>
      <c r="BH47" s="1160">
        <f t="shared" si="76"/>
        <v>0</v>
      </c>
      <c r="BI47" s="1592">
        <f t="shared" si="158"/>
        <v>1</v>
      </c>
      <c r="BJ47" s="1592">
        <f t="shared" si="159"/>
        <v>2.582618562439E-2</v>
      </c>
      <c r="BK47" s="821">
        <f t="shared" si="160"/>
        <v>2.582618562439E-2</v>
      </c>
      <c r="BL47" s="1160">
        <f t="shared" si="77"/>
        <v>0</v>
      </c>
      <c r="BM47" s="1592">
        <f t="shared" si="161"/>
        <v>0.37672526722851002</v>
      </c>
      <c r="BN47" s="821">
        <f t="shared" si="162"/>
        <v>0.37672526722851002</v>
      </c>
      <c r="BO47" s="1160">
        <f t="shared" si="78"/>
        <v>0</v>
      </c>
      <c r="BP47" s="1592">
        <f t="shared" si="163"/>
        <v>0.90414064134842997</v>
      </c>
      <c r="BQ47" s="821">
        <f t="shared" si="164"/>
        <v>0.90414064134842997</v>
      </c>
      <c r="BR47" s="1160">
        <f t="shared" si="79"/>
        <v>0</v>
      </c>
      <c r="BS47" s="1592" t="str">
        <f t="shared" si="165"/>
        <v>--</v>
      </c>
      <c r="BT47" s="821">
        <f t="shared" si="166"/>
        <v>0</v>
      </c>
      <c r="BU47" s="1160">
        <f t="shared" si="82"/>
        <v>0</v>
      </c>
      <c r="BW47" s="75">
        <f t="shared" si="167"/>
        <v>5.7000000000000002E-3</v>
      </c>
      <c r="BX47" s="75" t="str">
        <f t="shared" si="168"/>
        <v>OEHHA 2009</v>
      </c>
      <c r="BY47" s="75">
        <f t="shared" si="169"/>
        <v>5.7000000000000002E-3</v>
      </c>
      <c r="BZ47" s="75" t="str">
        <f t="shared" si="170"/>
        <v>C</v>
      </c>
      <c r="CA47" s="1670" t="str">
        <f t="shared" si="83"/>
        <v>--</v>
      </c>
      <c r="CB47" s="75">
        <f t="shared" si="171"/>
        <v>1.5999999999999999E-6</v>
      </c>
      <c r="CC47" s="75" t="str">
        <f t="shared" si="172"/>
        <v>OEHHA 2009</v>
      </c>
      <c r="CD47" s="75">
        <f t="shared" si="173"/>
        <v>1.5999999999999999E-6</v>
      </c>
      <c r="CE47" s="75" t="str">
        <f t="shared" si="174"/>
        <v>C</v>
      </c>
      <c r="CF47" s="1670" t="str">
        <f t="shared" si="84"/>
        <v>--</v>
      </c>
      <c r="CG47" s="75">
        <f t="shared" si="175"/>
        <v>0.2</v>
      </c>
      <c r="CH47" s="75" t="str">
        <f t="shared" si="176"/>
        <v>PPRTV 2006</v>
      </c>
      <c r="CI47" s="75">
        <f t="shared" si="177"/>
        <v>0.2</v>
      </c>
      <c r="CJ47" s="75" t="str">
        <f t="shared" si="178"/>
        <v>P</v>
      </c>
      <c r="CK47" s="1670" t="str">
        <f t="shared" si="85"/>
        <v>--</v>
      </c>
      <c r="CL47" s="75" t="str">
        <f t="shared" si="179"/>
        <v>--</v>
      </c>
      <c r="CM47" s="75" t="str">
        <f t="shared" si="180"/>
        <v xml:space="preserve"> </v>
      </c>
      <c r="CN47" s="75" t="str">
        <f t="shared" si="181"/>
        <v/>
      </c>
      <c r="CO47" s="75" t="str">
        <f t="shared" si="182"/>
        <v/>
      </c>
      <c r="CP47" s="1670" t="str">
        <f t="shared" si="86"/>
        <v>--</v>
      </c>
      <c r="CR47" s="1686" t="str">
        <f t="shared" si="87"/>
        <v>--</v>
      </c>
      <c r="CS47" s="1686" t="str">
        <f t="shared" si="88"/>
        <v>--</v>
      </c>
      <c r="CT47" s="1686" t="str">
        <f t="shared" si="89"/>
        <v>--</v>
      </c>
      <c r="CU47" s="1686" t="str">
        <f t="shared" si="90"/>
        <v>--</v>
      </c>
    </row>
    <row r="48" spans="1:99">
      <c r="A48" s="309" t="s">
        <v>165</v>
      </c>
      <c r="B48" s="427" t="s">
        <v>166</v>
      </c>
      <c r="C48" s="1563" t="str">
        <f t="shared" si="118"/>
        <v>O</v>
      </c>
      <c r="D48" t="e">
        <f t="shared" si="119"/>
        <v>#N/A</v>
      </c>
      <c r="E48" s="1563">
        <f t="shared" si="120"/>
        <v>-35.5</v>
      </c>
      <c r="F48">
        <f t="shared" si="121"/>
        <v>-35.5</v>
      </c>
      <c r="G48" s="1160">
        <f t="shared" si="63"/>
        <v>0</v>
      </c>
      <c r="H48" s="1563" t="str">
        <f t="shared" si="122"/>
        <v>V</v>
      </c>
      <c r="I48" t="str">
        <f t="shared" si="123"/>
        <v>V</v>
      </c>
      <c r="J48" s="1160">
        <f t="shared" si="64"/>
        <v>0</v>
      </c>
      <c r="K48" s="1563">
        <f t="shared" si="124"/>
        <v>98.96</v>
      </c>
      <c r="L48">
        <f t="shared" si="125"/>
        <v>98.96</v>
      </c>
      <c r="M48" s="1160">
        <f t="shared" si="65"/>
        <v>0</v>
      </c>
      <c r="N48" s="1563">
        <f t="shared" si="126"/>
        <v>78.900000000000006</v>
      </c>
      <c r="O48">
        <f t="shared" si="127"/>
        <v>78.900000000000006</v>
      </c>
      <c r="P48" s="1160">
        <f t="shared" si="66"/>
        <v>0</v>
      </c>
      <c r="Q48" s="1563">
        <f t="shared" si="128"/>
        <v>8600</v>
      </c>
      <c r="R48">
        <f t="shared" si="129"/>
        <v>8600</v>
      </c>
      <c r="S48" s="1160">
        <f t="shared" si="67"/>
        <v>0</v>
      </c>
      <c r="T48" s="1563">
        <f t="shared" si="130"/>
        <v>1.1800000000000001E-3</v>
      </c>
      <c r="U48">
        <f t="shared" si="131"/>
        <v>1.1800000000000001E-3</v>
      </c>
      <c r="V48" s="1160">
        <f t="shared" si="68"/>
        <v>0</v>
      </c>
      <c r="W48" s="1563">
        <f t="shared" si="132"/>
        <v>4.824202780049E-2</v>
      </c>
      <c r="X48">
        <f t="shared" si="133"/>
        <v>4.824202780049E-2</v>
      </c>
      <c r="Y48" s="1160">
        <f t="shared" si="69"/>
        <v>0</v>
      </c>
      <c r="Z48" s="1563">
        <f t="shared" si="134"/>
        <v>39.6</v>
      </c>
      <c r="AA48">
        <f t="shared" si="135"/>
        <v>39.6</v>
      </c>
      <c r="AB48" s="1160">
        <f t="shared" si="70"/>
        <v>0</v>
      </c>
      <c r="AC48" s="1563">
        <f t="shared" si="136"/>
        <v>0.23760000000000001</v>
      </c>
      <c r="AD48" t="str">
        <f t="shared" si="137"/>
        <v/>
      </c>
      <c r="AE48" s="1160">
        <f t="shared" si="71"/>
        <v>1</v>
      </c>
      <c r="AF48" s="1563">
        <f t="shared" si="138"/>
        <v>8.5722058078229996E-2</v>
      </c>
      <c r="AG48">
        <f t="shared" si="139"/>
        <v>8.5722058078229996E-2</v>
      </c>
      <c r="AH48" s="1160">
        <f t="shared" si="72"/>
        <v>0</v>
      </c>
      <c r="AI48" s="1563">
        <f t="shared" si="140"/>
        <v>1.0994646649999999E-5</v>
      </c>
      <c r="AJ48">
        <f t="shared" si="141"/>
        <v>1.0994646649999999E-5</v>
      </c>
      <c r="AK48" s="1160">
        <f t="shared" si="73"/>
        <v>0</v>
      </c>
      <c r="AL48" s="1563">
        <f t="shared" si="142"/>
        <v>13.897860000000001</v>
      </c>
      <c r="AM48" t="e">
        <f t="shared" si="143"/>
        <v>#N/A</v>
      </c>
      <c r="AN48" s="1563">
        <f t="shared" si="144"/>
        <v>2981.9004485310361</v>
      </c>
      <c r="AO48">
        <f t="shared" si="145"/>
        <v>2980</v>
      </c>
      <c r="AP48" s="1160">
        <f t="shared" si="146"/>
        <v>1</v>
      </c>
      <c r="AQ48" s="1563">
        <f t="shared" si="147"/>
        <v>6.3562541497525914E-4</v>
      </c>
      <c r="AS48" s="1563">
        <f t="shared" si="148"/>
        <v>4575.0940795679344</v>
      </c>
      <c r="AU48" s="1563">
        <f t="shared" si="149"/>
        <v>4486.2488438922519</v>
      </c>
      <c r="AW48" s="1563">
        <f t="shared" si="150"/>
        <v>1013.3437544804311</v>
      </c>
      <c r="AY48" s="1592">
        <f t="shared" si="151"/>
        <v>1</v>
      </c>
      <c r="AZ48" s="821">
        <f t="shared" si="152"/>
        <v>1</v>
      </c>
      <c r="BA48" s="1160">
        <f t="shared" si="74"/>
        <v>0</v>
      </c>
      <c r="BB48" s="1592" t="str">
        <f t="shared" si="153"/>
        <v>--</v>
      </c>
      <c r="BC48" s="821" t="str">
        <f t="shared" si="154"/>
        <v/>
      </c>
      <c r="BD48" s="1160">
        <f t="shared" si="75"/>
        <v>0</v>
      </c>
      <c r="BE48" s="1592" t="str">
        <f t="shared" si="155"/>
        <v>Yes</v>
      </c>
      <c r="BF48" s="1592">
        <f t="shared" si="156"/>
        <v>4.1999999999999997E-3</v>
      </c>
      <c r="BG48" s="821">
        <f t="shared" si="157"/>
        <v>4.1999999999999997E-3</v>
      </c>
      <c r="BH48" s="1160">
        <f t="shared" si="76"/>
        <v>0</v>
      </c>
      <c r="BI48" s="1592">
        <f t="shared" si="158"/>
        <v>1</v>
      </c>
      <c r="BJ48" s="1592">
        <f t="shared" si="159"/>
        <v>1.6069626610730001E-2</v>
      </c>
      <c r="BK48" s="821">
        <f t="shared" si="160"/>
        <v>1.6069626610730001E-2</v>
      </c>
      <c r="BL48" s="1160">
        <f t="shared" si="77"/>
        <v>0</v>
      </c>
      <c r="BM48" s="1592">
        <f t="shared" si="161"/>
        <v>0.37672526722851002</v>
      </c>
      <c r="BN48" s="821">
        <f t="shared" si="162"/>
        <v>0.37672526722851002</v>
      </c>
      <c r="BO48" s="1160">
        <f t="shared" si="78"/>
        <v>0</v>
      </c>
      <c r="BP48" s="1592">
        <f t="shared" si="163"/>
        <v>0.90414064134842997</v>
      </c>
      <c r="BQ48" s="821">
        <f t="shared" si="164"/>
        <v>0.90414064134842997</v>
      </c>
      <c r="BR48" s="1160">
        <f t="shared" si="79"/>
        <v>0</v>
      </c>
      <c r="BS48" s="1592" t="str">
        <f t="shared" si="165"/>
        <v>--</v>
      </c>
      <c r="BT48" s="821">
        <f t="shared" si="166"/>
        <v>0</v>
      </c>
      <c r="BU48" s="1160">
        <f t="shared" si="82"/>
        <v>0</v>
      </c>
      <c r="BW48" s="75">
        <f t="shared" si="167"/>
        <v>9.0999999999999998E-2</v>
      </c>
      <c r="BX48" s="75" t="str">
        <f t="shared" si="168"/>
        <v>IRIS 1991</v>
      </c>
      <c r="BY48" s="75">
        <f t="shared" si="169"/>
        <v>9.0999999999999998E-2</v>
      </c>
      <c r="BZ48" s="75" t="str">
        <f t="shared" si="170"/>
        <v>I</v>
      </c>
      <c r="CA48" s="1670" t="str">
        <f t="shared" si="83"/>
        <v>--</v>
      </c>
      <c r="CB48" s="75">
        <f t="shared" si="171"/>
        <v>2.5999999999999998E-5</v>
      </c>
      <c r="CC48" s="75" t="str">
        <f t="shared" si="172"/>
        <v>IRIS 1991</v>
      </c>
      <c r="CD48" s="75">
        <f t="shared" si="173"/>
        <v>2.5999999999999998E-5</v>
      </c>
      <c r="CE48" s="75" t="str">
        <f t="shared" si="174"/>
        <v>I</v>
      </c>
      <c r="CF48" s="1670" t="str">
        <f t="shared" si="84"/>
        <v>--</v>
      </c>
      <c r="CG48" s="75">
        <f t="shared" si="175"/>
        <v>6.0000000000000001E-3</v>
      </c>
      <c r="CH48" s="75" t="str">
        <f t="shared" si="176"/>
        <v>PPRTV 2010</v>
      </c>
      <c r="CI48" s="75">
        <f t="shared" si="177"/>
        <v>6.0000000000000001E-3</v>
      </c>
      <c r="CJ48" s="75" t="str">
        <f t="shared" si="178"/>
        <v>X</v>
      </c>
      <c r="CK48" s="1670" t="str">
        <f t="shared" si="85"/>
        <v>--</v>
      </c>
      <c r="CL48" s="75">
        <f t="shared" si="179"/>
        <v>7</v>
      </c>
      <c r="CM48" s="75" t="str">
        <f t="shared" si="180"/>
        <v>PPRTV 2010</v>
      </c>
      <c r="CN48" s="75">
        <f t="shared" si="181"/>
        <v>7</v>
      </c>
      <c r="CO48" s="75" t="str">
        <f t="shared" si="182"/>
        <v>P</v>
      </c>
      <c r="CP48" s="1670" t="str">
        <f t="shared" si="86"/>
        <v>--</v>
      </c>
      <c r="CR48" s="1686" t="str">
        <f t="shared" si="87"/>
        <v>--</v>
      </c>
      <c r="CS48" s="1686" t="str">
        <f t="shared" si="88"/>
        <v>--</v>
      </c>
      <c r="CT48" s="1686" t="str">
        <f t="shared" si="89"/>
        <v>--</v>
      </c>
      <c r="CU48" s="1686" t="str">
        <f t="shared" si="90"/>
        <v>--</v>
      </c>
    </row>
    <row r="49" spans="1:99">
      <c r="A49" s="309" t="s">
        <v>167</v>
      </c>
      <c r="B49" s="427" t="s">
        <v>168</v>
      </c>
      <c r="C49" s="1563" t="str">
        <f t="shared" si="118"/>
        <v>O</v>
      </c>
      <c r="D49" t="e">
        <f t="shared" si="119"/>
        <v>#N/A</v>
      </c>
      <c r="E49" s="1563">
        <f t="shared" si="120"/>
        <v>-122.5</v>
      </c>
      <c r="F49">
        <f t="shared" si="121"/>
        <v>-122.5</v>
      </c>
      <c r="G49" s="1160">
        <f t="shared" si="63"/>
        <v>0</v>
      </c>
      <c r="H49" s="1563" t="str">
        <f t="shared" si="122"/>
        <v>V</v>
      </c>
      <c r="I49" t="str">
        <f t="shared" si="123"/>
        <v>V</v>
      </c>
      <c r="J49" s="1160">
        <f t="shared" si="64"/>
        <v>0</v>
      </c>
      <c r="K49" s="1563">
        <f t="shared" si="124"/>
        <v>96.944000000000003</v>
      </c>
      <c r="L49">
        <f t="shared" si="125"/>
        <v>96.944000000000003</v>
      </c>
      <c r="M49" s="1160">
        <f t="shared" si="65"/>
        <v>0</v>
      </c>
      <c r="N49" s="1563">
        <f t="shared" si="126"/>
        <v>600</v>
      </c>
      <c r="O49">
        <f t="shared" si="127"/>
        <v>600</v>
      </c>
      <c r="P49" s="1160">
        <f t="shared" si="66"/>
        <v>0</v>
      </c>
      <c r="Q49" s="1563">
        <f t="shared" si="128"/>
        <v>2420</v>
      </c>
      <c r="R49">
        <f t="shared" si="129"/>
        <v>2420</v>
      </c>
      <c r="S49" s="1160">
        <f t="shared" si="67"/>
        <v>0</v>
      </c>
      <c r="T49" s="1563">
        <f t="shared" si="130"/>
        <v>2.6100000000000002E-2</v>
      </c>
      <c r="U49">
        <f t="shared" si="131"/>
        <v>2.6100000000000002E-2</v>
      </c>
      <c r="V49" s="1160">
        <f t="shared" si="68"/>
        <v>0</v>
      </c>
      <c r="W49" s="1563">
        <f t="shared" si="132"/>
        <v>1.0670482420278</v>
      </c>
      <c r="X49">
        <f t="shared" si="133"/>
        <v>1.0670482420278</v>
      </c>
      <c r="Y49" s="1160">
        <f t="shared" si="69"/>
        <v>0</v>
      </c>
      <c r="Z49" s="1563">
        <f t="shared" si="134"/>
        <v>31.82</v>
      </c>
      <c r="AA49">
        <f t="shared" si="135"/>
        <v>31.82</v>
      </c>
      <c r="AB49" s="1160">
        <f t="shared" si="70"/>
        <v>0</v>
      </c>
      <c r="AC49" s="1563">
        <f t="shared" si="136"/>
        <v>0.19092000000000001</v>
      </c>
      <c r="AD49" t="str">
        <f t="shared" si="137"/>
        <v/>
      </c>
      <c r="AE49" s="1160">
        <f t="shared" si="71"/>
        <v>1</v>
      </c>
      <c r="AF49" s="1563">
        <f t="shared" si="138"/>
        <v>8.6310687359099997E-2</v>
      </c>
      <c r="AG49">
        <f t="shared" si="139"/>
        <v>8.6310687359099997E-2</v>
      </c>
      <c r="AH49" s="1160">
        <f t="shared" si="72"/>
        <v>0</v>
      </c>
      <c r="AI49" s="1563">
        <f t="shared" si="140"/>
        <v>1.095659708E-5</v>
      </c>
      <c r="AJ49">
        <f t="shared" si="141"/>
        <v>1.095659708E-5</v>
      </c>
      <c r="AK49" s="1160">
        <f t="shared" si="73"/>
        <v>0</v>
      </c>
      <c r="AL49" s="1563">
        <f t="shared" si="142"/>
        <v>167.28482</v>
      </c>
      <c r="AM49" t="e">
        <f t="shared" si="143"/>
        <v>#N/A</v>
      </c>
      <c r="AN49" s="1563">
        <f t="shared" si="144"/>
        <v>1192.8687147533901</v>
      </c>
      <c r="AO49">
        <f t="shared" si="145"/>
        <v>1190</v>
      </c>
      <c r="AP49" s="1160">
        <f t="shared" si="146"/>
        <v>1</v>
      </c>
      <c r="AQ49" s="1563">
        <f t="shared" si="147"/>
        <v>9.9544609220462259E-3</v>
      </c>
      <c r="AS49" s="1563">
        <f t="shared" si="148"/>
        <v>1156.0903682375708</v>
      </c>
      <c r="AU49" s="1563">
        <f t="shared" si="149"/>
        <v>1133.6398744461619</v>
      </c>
      <c r="AW49" s="1563">
        <f t="shared" si="150"/>
        <v>256.06401396212641</v>
      </c>
      <c r="AY49" s="1592">
        <f t="shared" si="151"/>
        <v>1</v>
      </c>
      <c r="AZ49" s="821">
        <f t="shared" si="152"/>
        <v>1</v>
      </c>
      <c r="BA49" s="1160">
        <f t="shared" si="74"/>
        <v>0</v>
      </c>
      <c r="BB49" s="1592" t="str">
        <f t="shared" si="153"/>
        <v>--</v>
      </c>
      <c r="BC49" s="821" t="str">
        <f t="shared" si="154"/>
        <v/>
      </c>
      <c r="BD49" s="1160">
        <f t="shared" si="75"/>
        <v>0</v>
      </c>
      <c r="BE49" s="1592" t="str">
        <f t="shared" si="155"/>
        <v>Yes</v>
      </c>
      <c r="BF49" s="1592">
        <f t="shared" si="156"/>
        <v>1.17E-2</v>
      </c>
      <c r="BG49" s="821">
        <f t="shared" si="157"/>
        <v>1.17E-2</v>
      </c>
      <c r="BH49" s="1160">
        <f t="shared" si="76"/>
        <v>0</v>
      </c>
      <c r="BI49" s="1592">
        <f t="shared" si="158"/>
        <v>1</v>
      </c>
      <c r="BJ49" s="1592">
        <f t="shared" si="159"/>
        <v>4.4307064899399999E-2</v>
      </c>
      <c r="BK49" s="821">
        <f t="shared" si="160"/>
        <v>4.4307064899399999E-2</v>
      </c>
      <c r="BL49" s="1160">
        <f t="shared" si="77"/>
        <v>0</v>
      </c>
      <c r="BM49" s="1592">
        <f t="shared" si="161"/>
        <v>0.36705838514296002</v>
      </c>
      <c r="BN49" s="821">
        <f t="shared" si="162"/>
        <v>0.36705838514296002</v>
      </c>
      <c r="BO49" s="1160">
        <f t="shared" si="78"/>
        <v>0</v>
      </c>
      <c r="BP49" s="1592">
        <f t="shared" si="163"/>
        <v>0.88094012434309998</v>
      </c>
      <c r="BQ49" s="821">
        <f t="shared" si="164"/>
        <v>0.88094012434309998</v>
      </c>
      <c r="BR49" s="1160">
        <f t="shared" si="79"/>
        <v>0</v>
      </c>
      <c r="BS49" s="1592" t="str">
        <f t="shared" si="165"/>
        <v>--</v>
      </c>
      <c r="BT49" s="821">
        <f t="shared" si="166"/>
        <v>0</v>
      </c>
      <c r="BU49" s="1160">
        <f t="shared" si="82"/>
        <v>0</v>
      </c>
      <c r="BW49" s="75" t="str">
        <f t="shared" si="167"/>
        <v>--</v>
      </c>
      <c r="BX49" s="75" t="str">
        <f t="shared" si="168"/>
        <v xml:space="preserve"> </v>
      </c>
      <c r="BY49" s="75" t="str">
        <f t="shared" si="169"/>
        <v/>
      </c>
      <c r="BZ49" s="75" t="str">
        <f t="shared" si="170"/>
        <v/>
      </c>
      <c r="CA49" s="1670" t="str">
        <f t="shared" si="83"/>
        <v>--</v>
      </c>
      <c r="CB49" s="75" t="str">
        <f t="shared" si="171"/>
        <v>--</v>
      </c>
      <c r="CC49" s="75" t="str">
        <f t="shared" si="172"/>
        <v xml:space="preserve"> </v>
      </c>
      <c r="CD49" s="75" t="str">
        <f t="shared" si="173"/>
        <v/>
      </c>
      <c r="CE49" s="75" t="str">
        <f t="shared" si="174"/>
        <v/>
      </c>
      <c r="CF49" s="1670" t="str">
        <f t="shared" si="84"/>
        <v>--</v>
      </c>
      <c r="CG49" s="75">
        <f t="shared" si="175"/>
        <v>0.05</v>
      </c>
      <c r="CH49" s="75" t="str">
        <f t="shared" si="176"/>
        <v>IRIS 2002</v>
      </c>
      <c r="CI49" s="75">
        <f t="shared" si="177"/>
        <v>0.05</v>
      </c>
      <c r="CJ49" s="75" t="str">
        <f t="shared" si="178"/>
        <v>I</v>
      </c>
      <c r="CK49" s="1670" t="str">
        <f t="shared" si="85"/>
        <v>--</v>
      </c>
      <c r="CL49" s="75">
        <f t="shared" si="179"/>
        <v>3.96</v>
      </c>
      <c r="CM49" s="75" t="str">
        <f t="shared" si="180"/>
        <v>ATSDR*</v>
      </c>
      <c r="CN49" s="75">
        <f t="shared" si="181"/>
        <v>3.96</v>
      </c>
      <c r="CO49" s="75" t="str">
        <f t="shared" si="182"/>
        <v>A</v>
      </c>
      <c r="CP49" s="1670" t="str">
        <f t="shared" si="86"/>
        <v>--</v>
      </c>
      <c r="CR49" s="1686" t="str">
        <f t="shared" si="87"/>
        <v>--</v>
      </c>
      <c r="CS49" s="1686" t="str">
        <f t="shared" si="88"/>
        <v>--</v>
      </c>
      <c r="CT49" s="1686" t="str">
        <f t="shared" si="89"/>
        <v>--</v>
      </c>
      <c r="CU49" s="1686" t="str">
        <f t="shared" si="90"/>
        <v>--</v>
      </c>
    </row>
    <row r="50" spans="1:99">
      <c r="A50" s="309" t="s">
        <v>169</v>
      </c>
      <c r="B50" s="427" t="s">
        <v>170</v>
      </c>
      <c r="C50" s="1563" t="str">
        <f t="shared" si="118"/>
        <v>O</v>
      </c>
      <c r="D50" t="e">
        <f t="shared" si="119"/>
        <v>#N/A</v>
      </c>
      <c r="E50" s="1563">
        <f t="shared" si="120"/>
        <v>-80</v>
      </c>
      <c r="F50">
        <f t="shared" si="121"/>
        <v>-80</v>
      </c>
      <c r="G50" s="1160">
        <f t="shared" si="63"/>
        <v>0</v>
      </c>
      <c r="H50" s="1563" t="str">
        <f t="shared" si="122"/>
        <v>V</v>
      </c>
      <c r="I50" t="str">
        <f t="shared" si="123"/>
        <v>V</v>
      </c>
      <c r="J50" s="1160">
        <f t="shared" si="64"/>
        <v>0</v>
      </c>
      <c r="K50" s="1563">
        <f t="shared" si="124"/>
        <v>96.944000000000003</v>
      </c>
      <c r="L50">
        <f t="shared" si="125"/>
        <v>96.944000000000003</v>
      </c>
      <c r="M50" s="1160">
        <f t="shared" si="65"/>
        <v>0</v>
      </c>
      <c r="N50" s="1563">
        <f t="shared" si="126"/>
        <v>200</v>
      </c>
      <c r="O50">
        <f t="shared" si="127"/>
        <v>200</v>
      </c>
      <c r="P50" s="1160">
        <f t="shared" si="66"/>
        <v>0</v>
      </c>
      <c r="Q50" s="1563">
        <f t="shared" si="128"/>
        <v>6410</v>
      </c>
      <c r="R50">
        <f t="shared" si="129"/>
        <v>6410</v>
      </c>
      <c r="S50" s="1160">
        <f t="shared" si="67"/>
        <v>0</v>
      </c>
      <c r="T50" s="1563">
        <f t="shared" si="130"/>
        <v>4.0800000000000003E-3</v>
      </c>
      <c r="U50">
        <f t="shared" si="131"/>
        <v>4.0800000000000003E-3</v>
      </c>
      <c r="V50" s="1160">
        <f t="shared" si="68"/>
        <v>0</v>
      </c>
      <c r="W50" s="1563">
        <f t="shared" si="132"/>
        <v>0.16680294358136</v>
      </c>
      <c r="X50">
        <f t="shared" si="133"/>
        <v>0.16680294358136</v>
      </c>
      <c r="Y50" s="1160">
        <f t="shared" si="69"/>
        <v>0</v>
      </c>
      <c r="Z50" s="1563">
        <f t="shared" si="134"/>
        <v>39.6</v>
      </c>
      <c r="AA50">
        <f t="shared" si="135"/>
        <v>39.6</v>
      </c>
      <c r="AB50" s="1160">
        <f t="shared" si="70"/>
        <v>0</v>
      </c>
      <c r="AC50" s="1563">
        <f t="shared" si="136"/>
        <v>0.23760000000000001</v>
      </c>
      <c r="AD50" t="str">
        <f t="shared" si="137"/>
        <v/>
      </c>
      <c r="AE50" s="1160">
        <f t="shared" si="71"/>
        <v>1</v>
      </c>
      <c r="AF50" s="1563">
        <f t="shared" si="138"/>
        <v>8.8405643037459999E-2</v>
      </c>
      <c r="AG50">
        <f t="shared" si="139"/>
        <v>8.8405643037459999E-2</v>
      </c>
      <c r="AH50" s="1160">
        <f t="shared" si="72"/>
        <v>0</v>
      </c>
      <c r="AI50" s="1563">
        <f t="shared" si="140"/>
        <v>1.133541266E-5</v>
      </c>
      <c r="AJ50">
        <f t="shared" si="141"/>
        <v>1.133541266E-5</v>
      </c>
      <c r="AK50" s="1160">
        <f t="shared" si="73"/>
        <v>0</v>
      </c>
      <c r="AL50" s="1563">
        <f t="shared" si="142"/>
        <v>31.898160000000004</v>
      </c>
      <c r="AM50" t="e">
        <f t="shared" si="143"/>
        <v>#N/A</v>
      </c>
      <c r="AN50" s="1563">
        <f t="shared" si="144"/>
        <v>2366.4256021228371</v>
      </c>
      <c r="AO50">
        <f t="shared" si="145"/>
        <v>2370</v>
      </c>
      <c r="AP50" s="1160">
        <f t="shared" si="146"/>
        <v>1</v>
      </c>
      <c r="AQ50" s="1563">
        <f t="shared" si="147"/>
        <v>2.1282806206662469E-3</v>
      </c>
      <c r="AS50" s="1563">
        <f t="shared" si="148"/>
        <v>2500.2659744561442</v>
      </c>
      <c r="AU50" s="1563">
        <f t="shared" si="149"/>
        <v>2451.7124986392228</v>
      </c>
      <c r="AW50" s="1563">
        <f t="shared" si="150"/>
        <v>553.78728080589269</v>
      </c>
      <c r="AY50" s="1592">
        <f t="shared" si="151"/>
        <v>1</v>
      </c>
      <c r="AZ50" s="821">
        <f t="shared" si="152"/>
        <v>1</v>
      </c>
      <c r="BA50" s="1160">
        <f t="shared" si="74"/>
        <v>0</v>
      </c>
      <c r="BB50" s="1592" t="str">
        <f t="shared" si="153"/>
        <v>--</v>
      </c>
      <c r="BC50" s="821" t="str">
        <f t="shared" si="154"/>
        <v/>
      </c>
      <c r="BD50" s="1160">
        <f t="shared" si="75"/>
        <v>0</v>
      </c>
      <c r="BE50" s="1592" t="str">
        <f t="shared" si="155"/>
        <v>Yes</v>
      </c>
      <c r="BF50" s="1592">
        <f t="shared" si="156"/>
        <v>1.0999999999999999E-2</v>
      </c>
      <c r="BG50" s="821">
        <f t="shared" si="157"/>
        <v>1.0999999999999999E-2</v>
      </c>
      <c r="BH50" s="1160">
        <f t="shared" si="76"/>
        <v>0</v>
      </c>
      <c r="BI50" s="1592">
        <f t="shared" si="158"/>
        <v>1</v>
      </c>
      <c r="BJ50" s="1592">
        <f t="shared" si="159"/>
        <v>4.165621486269E-2</v>
      </c>
      <c r="BK50" s="821">
        <f t="shared" si="160"/>
        <v>4.165621486269E-2</v>
      </c>
      <c r="BL50" s="1160">
        <f t="shared" si="77"/>
        <v>0</v>
      </c>
      <c r="BM50" s="1592">
        <f t="shared" si="161"/>
        <v>0.36705838514296002</v>
      </c>
      <c r="BN50" s="821">
        <f t="shared" si="162"/>
        <v>0.36705838514296002</v>
      </c>
      <c r="BO50" s="1160">
        <f t="shared" si="78"/>
        <v>0</v>
      </c>
      <c r="BP50" s="1592">
        <f t="shared" si="163"/>
        <v>0.88094012434309998</v>
      </c>
      <c r="BQ50" s="821">
        <f t="shared" si="164"/>
        <v>0.88094012434309998</v>
      </c>
      <c r="BR50" s="1160">
        <f t="shared" si="79"/>
        <v>0</v>
      </c>
      <c r="BS50" s="1592" t="str">
        <f t="shared" si="165"/>
        <v>--</v>
      </c>
      <c r="BT50" s="821">
        <f t="shared" si="166"/>
        <v>0</v>
      </c>
      <c r="BU50" s="1160">
        <f t="shared" si="82"/>
        <v>0</v>
      </c>
      <c r="BW50" s="75" t="str">
        <f t="shared" si="167"/>
        <v>--</v>
      </c>
      <c r="BX50" s="75" t="str">
        <f t="shared" si="168"/>
        <v xml:space="preserve"> </v>
      </c>
      <c r="BY50" s="75" t="str">
        <f t="shared" si="169"/>
        <v/>
      </c>
      <c r="BZ50" s="75" t="str">
        <f t="shared" si="170"/>
        <v/>
      </c>
      <c r="CA50" s="1670" t="str">
        <f t="shared" si="83"/>
        <v>--</v>
      </c>
      <c r="CB50" s="75" t="str">
        <f t="shared" si="171"/>
        <v>--</v>
      </c>
      <c r="CC50" s="75" t="str">
        <f t="shared" si="172"/>
        <v xml:space="preserve"> </v>
      </c>
      <c r="CD50" s="75" t="str">
        <f t="shared" si="173"/>
        <v/>
      </c>
      <c r="CE50" s="75" t="str">
        <f t="shared" si="174"/>
        <v/>
      </c>
      <c r="CF50" s="1670" t="str">
        <f t="shared" si="84"/>
        <v>--</v>
      </c>
      <c r="CG50" s="75">
        <f t="shared" si="175"/>
        <v>2E-3</v>
      </c>
      <c r="CH50" s="75" t="str">
        <f t="shared" si="176"/>
        <v>IRIS 2010</v>
      </c>
      <c r="CI50" s="75">
        <f t="shared" si="177"/>
        <v>2E-3</v>
      </c>
      <c r="CJ50" s="75" t="str">
        <f t="shared" si="178"/>
        <v>I</v>
      </c>
      <c r="CK50" s="1670" t="str">
        <f t="shared" si="85"/>
        <v>--</v>
      </c>
      <c r="CL50" s="75">
        <f t="shared" si="179"/>
        <v>40</v>
      </c>
      <c r="CM50" s="75" t="str">
        <f t="shared" si="180"/>
        <v>PPRTV 2022</v>
      </c>
      <c r="CN50" s="75">
        <f t="shared" si="181"/>
        <v>40</v>
      </c>
      <c r="CO50" s="75" t="str">
        <f t="shared" si="182"/>
        <v>X</v>
      </c>
      <c r="CP50" s="1670" t="str">
        <f t="shared" si="86"/>
        <v>--</v>
      </c>
      <c r="CR50" s="1686" t="str">
        <f t="shared" si="87"/>
        <v>--</v>
      </c>
      <c r="CS50" s="1686" t="str">
        <f t="shared" si="88"/>
        <v>--</v>
      </c>
      <c r="CT50" s="1686" t="str">
        <f t="shared" si="89"/>
        <v>--</v>
      </c>
      <c r="CU50" s="1686" t="str">
        <f t="shared" si="90"/>
        <v>--</v>
      </c>
    </row>
    <row r="51" spans="1:99">
      <c r="A51" s="309" t="s">
        <v>171</v>
      </c>
      <c r="B51" s="427" t="s">
        <v>172</v>
      </c>
      <c r="C51" s="1563" t="str">
        <f t="shared" si="118"/>
        <v>O</v>
      </c>
      <c r="D51" t="e">
        <f t="shared" si="119"/>
        <v>#N/A</v>
      </c>
      <c r="E51" s="1563">
        <f t="shared" si="120"/>
        <v>-49.8</v>
      </c>
      <c r="F51">
        <f t="shared" si="121"/>
        <v>-49.8</v>
      </c>
      <c r="G51" s="1160">
        <f t="shared" si="63"/>
        <v>0</v>
      </c>
      <c r="H51" s="1563" t="str">
        <f t="shared" si="122"/>
        <v>V</v>
      </c>
      <c r="I51" t="str">
        <f t="shared" si="123"/>
        <v>V</v>
      </c>
      <c r="J51" s="1160">
        <f t="shared" si="64"/>
        <v>0</v>
      </c>
      <c r="K51" s="1563">
        <f t="shared" si="124"/>
        <v>96.944000000000003</v>
      </c>
      <c r="L51">
        <f t="shared" si="125"/>
        <v>96.944000000000003</v>
      </c>
      <c r="M51" s="1160">
        <f t="shared" si="65"/>
        <v>0</v>
      </c>
      <c r="N51" s="1563">
        <f t="shared" si="126"/>
        <v>331</v>
      </c>
      <c r="O51">
        <f t="shared" si="127"/>
        <v>331</v>
      </c>
      <c r="P51" s="1160">
        <f t="shared" si="66"/>
        <v>0</v>
      </c>
      <c r="Q51" s="1563">
        <f t="shared" si="128"/>
        <v>4520</v>
      </c>
      <c r="R51">
        <f t="shared" si="129"/>
        <v>4520</v>
      </c>
      <c r="S51" s="1160">
        <f t="shared" si="67"/>
        <v>0</v>
      </c>
      <c r="T51" s="1563">
        <f t="shared" si="130"/>
        <v>9.3799999999999994E-3</v>
      </c>
      <c r="U51">
        <f t="shared" si="131"/>
        <v>9.3799999999999994E-3</v>
      </c>
      <c r="V51" s="1160">
        <f t="shared" si="68"/>
        <v>0</v>
      </c>
      <c r="W51" s="1563">
        <f t="shared" si="132"/>
        <v>0.38348323793949002</v>
      </c>
      <c r="X51">
        <f t="shared" si="133"/>
        <v>0.38348323793949002</v>
      </c>
      <c r="Y51" s="1160">
        <f t="shared" si="69"/>
        <v>0</v>
      </c>
      <c r="Z51" s="1563">
        <f t="shared" si="134"/>
        <v>39.6</v>
      </c>
      <c r="AA51">
        <f t="shared" si="135"/>
        <v>39.6</v>
      </c>
      <c r="AB51" s="1160">
        <f t="shared" si="70"/>
        <v>0</v>
      </c>
      <c r="AC51" s="1563">
        <f t="shared" si="136"/>
        <v>0.23760000000000001</v>
      </c>
      <c r="AD51" t="str">
        <f t="shared" si="137"/>
        <v/>
      </c>
      <c r="AE51" s="1160">
        <f t="shared" si="71"/>
        <v>1</v>
      </c>
      <c r="AF51" s="1563">
        <f t="shared" si="138"/>
        <v>8.7609432305390006E-2</v>
      </c>
      <c r="AG51">
        <f t="shared" si="139"/>
        <v>8.7609432305390006E-2</v>
      </c>
      <c r="AH51" s="1160">
        <f t="shared" si="72"/>
        <v>0</v>
      </c>
      <c r="AI51" s="1563">
        <f t="shared" si="140"/>
        <v>1.11906859E-5</v>
      </c>
      <c r="AJ51">
        <f t="shared" si="141"/>
        <v>1.11906859E-5</v>
      </c>
      <c r="AK51" s="1160">
        <f t="shared" si="73"/>
        <v>0</v>
      </c>
      <c r="AL51" s="1563">
        <f t="shared" si="142"/>
        <v>64.795259999999999</v>
      </c>
      <c r="AM51" t="e">
        <f t="shared" si="143"/>
        <v>#N/A</v>
      </c>
      <c r="AN51" s="1563">
        <f t="shared" si="144"/>
        <v>1854.0882357744872</v>
      </c>
      <c r="AO51">
        <f t="shared" si="145"/>
        <v>1850</v>
      </c>
      <c r="AP51" s="1160">
        <f t="shared" si="146"/>
        <v>1</v>
      </c>
      <c r="AQ51" s="1563">
        <f t="shared" si="147"/>
        <v>4.3637791904492249E-3</v>
      </c>
      <c r="AS51" s="1563">
        <f t="shared" si="148"/>
        <v>1746.1006439477785</v>
      </c>
      <c r="AU51" s="1563">
        <f t="shared" si="149"/>
        <v>1712.1925492666637</v>
      </c>
      <c r="AW51" s="1563">
        <f t="shared" si="150"/>
        <v>386.74618520759276</v>
      </c>
      <c r="AY51" s="1592">
        <f t="shared" si="151"/>
        <v>1</v>
      </c>
      <c r="AZ51" s="821">
        <f t="shared" si="152"/>
        <v>1</v>
      </c>
      <c r="BA51" s="1160">
        <f t="shared" si="74"/>
        <v>0</v>
      </c>
      <c r="BB51" s="1592" t="str">
        <f t="shared" si="153"/>
        <v>--</v>
      </c>
      <c r="BC51" s="821" t="str">
        <f t="shared" si="154"/>
        <v/>
      </c>
      <c r="BD51" s="1160">
        <f t="shared" si="75"/>
        <v>0</v>
      </c>
      <c r="BE51" s="1592" t="str">
        <f t="shared" si="155"/>
        <v>Yes</v>
      </c>
      <c r="BF51" s="1592">
        <f t="shared" si="156"/>
        <v>1.0999999999999999E-2</v>
      </c>
      <c r="BG51" s="821">
        <f t="shared" si="157"/>
        <v>1.0999999999999999E-2</v>
      </c>
      <c r="BH51" s="1160">
        <f t="shared" si="76"/>
        <v>0</v>
      </c>
      <c r="BI51" s="1592">
        <f t="shared" si="158"/>
        <v>1</v>
      </c>
      <c r="BJ51" s="1592">
        <f t="shared" si="159"/>
        <v>4.165621486269E-2</v>
      </c>
      <c r="BK51" s="821">
        <f t="shared" si="160"/>
        <v>4.165621486269E-2</v>
      </c>
      <c r="BL51" s="1160">
        <f t="shared" si="77"/>
        <v>0</v>
      </c>
      <c r="BM51" s="1592">
        <f t="shared" si="161"/>
        <v>0.36705838514296002</v>
      </c>
      <c r="BN51" s="821">
        <f t="shared" si="162"/>
        <v>0.36705838514296002</v>
      </c>
      <c r="BO51" s="1160">
        <f t="shared" si="78"/>
        <v>0</v>
      </c>
      <c r="BP51" s="1592">
        <f t="shared" si="163"/>
        <v>0.88094012434309998</v>
      </c>
      <c r="BQ51" s="821">
        <f t="shared" si="164"/>
        <v>0.88094012434309998</v>
      </c>
      <c r="BR51" s="1160">
        <f t="shared" si="79"/>
        <v>0</v>
      </c>
      <c r="BS51" s="1592" t="str">
        <f t="shared" si="165"/>
        <v>--</v>
      </c>
      <c r="BT51" s="821">
        <f t="shared" si="166"/>
        <v>0</v>
      </c>
      <c r="BU51" s="1160">
        <f t="shared" si="82"/>
        <v>0</v>
      </c>
      <c r="BW51" s="75" t="str">
        <f t="shared" si="167"/>
        <v>--</v>
      </c>
      <c r="BX51" s="75" t="str">
        <f t="shared" si="168"/>
        <v xml:space="preserve"> </v>
      </c>
      <c r="BY51" s="75" t="str">
        <f t="shared" si="169"/>
        <v/>
      </c>
      <c r="BZ51" s="75" t="str">
        <f t="shared" si="170"/>
        <v/>
      </c>
      <c r="CA51" s="1670" t="str">
        <f t="shared" si="83"/>
        <v>--</v>
      </c>
      <c r="CB51" s="75" t="str">
        <f t="shared" si="171"/>
        <v>--</v>
      </c>
      <c r="CC51" s="75" t="str">
        <f t="shared" si="172"/>
        <v xml:space="preserve"> </v>
      </c>
      <c r="CD51" s="75" t="str">
        <f t="shared" si="173"/>
        <v/>
      </c>
      <c r="CE51" s="75" t="str">
        <f t="shared" si="174"/>
        <v/>
      </c>
      <c r="CF51" s="1670" t="str">
        <f t="shared" si="84"/>
        <v>--</v>
      </c>
      <c r="CG51" s="75">
        <f t="shared" si="175"/>
        <v>0.02</v>
      </c>
      <c r="CH51" s="75" t="str">
        <f t="shared" si="176"/>
        <v>IRIS 2010</v>
      </c>
      <c r="CI51" s="75">
        <f t="shared" si="177"/>
        <v>0.02</v>
      </c>
      <c r="CJ51" s="75" t="str">
        <f t="shared" si="178"/>
        <v>I</v>
      </c>
      <c r="CK51" s="1670" t="str">
        <f t="shared" si="85"/>
        <v>--</v>
      </c>
      <c r="CL51" s="75">
        <f t="shared" si="179"/>
        <v>40</v>
      </c>
      <c r="CM51" s="75" t="str">
        <f t="shared" si="180"/>
        <v>PPRTV 2020</v>
      </c>
      <c r="CN51" s="75">
        <f t="shared" si="181"/>
        <v>40</v>
      </c>
      <c r="CO51" s="75" t="str">
        <f t="shared" si="182"/>
        <v>X</v>
      </c>
      <c r="CP51" s="1670" t="str">
        <f t="shared" si="86"/>
        <v>--</v>
      </c>
      <c r="CR51" s="1686" t="str">
        <f t="shared" si="87"/>
        <v>--</v>
      </c>
      <c r="CS51" s="1686" t="str">
        <f t="shared" si="88"/>
        <v>--</v>
      </c>
      <c r="CT51" s="1686" t="str">
        <f t="shared" si="89"/>
        <v>--</v>
      </c>
      <c r="CU51" s="1686" t="str">
        <f t="shared" si="90"/>
        <v>--</v>
      </c>
    </row>
    <row r="52" spans="1:99">
      <c r="A52" s="309" t="s">
        <v>173</v>
      </c>
      <c r="B52" s="427" t="s">
        <v>174</v>
      </c>
      <c r="C52" s="1563" t="str">
        <f t="shared" si="118"/>
        <v>O</v>
      </c>
      <c r="D52" t="e">
        <f t="shared" si="119"/>
        <v>#N/A</v>
      </c>
      <c r="E52" s="1563">
        <f t="shared" si="120"/>
        <v>45</v>
      </c>
      <c r="F52">
        <f t="shared" si="121"/>
        <v>45</v>
      </c>
      <c r="G52" s="1160">
        <f t="shared" si="63"/>
        <v>0</v>
      </c>
      <c r="H52" s="1563" t="str">
        <f t="shared" si="122"/>
        <v>NV</v>
      </c>
      <c r="I52">
        <f t="shared" si="123"/>
        <v>0</v>
      </c>
      <c r="J52" s="1160">
        <f t="shared" si="64"/>
        <v>0</v>
      </c>
      <c r="K52" s="1563">
        <f t="shared" si="124"/>
        <v>163</v>
      </c>
      <c r="L52">
        <f t="shared" si="125"/>
        <v>163</v>
      </c>
      <c r="M52" s="1160">
        <f t="shared" si="65"/>
        <v>0</v>
      </c>
      <c r="N52" s="1563">
        <f t="shared" si="126"/>
        <v>0.09</v>
      </c>
      <c r="O52">
        <f t="shared" si="127"/>
        <v>0.09</v>
      </c>
      <c r="P52" s="1160">
        <f t="shared" si="66"/>
        <v>0</v>
      </c>
      <c r="Q52" s="1563">
        <f t="shared" si="128"/>
        <v>5550</v>
      </c>
      <c r="R52">
        <f t="shared" si="129"/>
        <v>5550</v>
      </c>
      <c r="S52" s="1160">
        <f t="shared" si="67"/>
        <v>0</v>
      </c>
      <c r="T52" s="1563">
        <f t="shared" si="130"/>
        <v>4.2899999999999996E-6</v>
      </c>
      <c r="U52">
        <f t="shared" si="131"/>
        <v>4.2899999999999996E-6</v>
      </c>
      <c r="V52" s="1160">
        <f t="shared" si="68"/>
        <v>0</v>
      </c>
      <c r="W52" s="1563">
        <f t="shared" si="132"/>
        <v>1.7538838921000001E-4</v>
      </c>
      <c r="X52">
        <f t="shared" si="133"/>
        <v>1.7538838921000001E-4</v>
      </c>
      <c r="Y52" s="1160">
        <f t="shared" si="69"/>
        <v>0</v>
      </c>
      <c r="Z52" s="1563">
        <f t="shared" si="134"/>
        <v>147</v>
      </c>
      <c r="AA52">
        <f t="shared" si="135"/>
        <v>147</v>
      </c>
      <c r="AB52" s="1160">
        <f t="shared" si="70"/>
        <v>0</v>
      </c>
      <c r="AC52" s="1563">
        <f t="shared" si="136"/>
        <v>0.88200000000000001</v>
      </c>
      <c r="AD52" t="str">
        <f t="shared" si="137"/>
        <v/>
      </c>
      <c r="AE52" s="1160">
        <f t="shared" si="71"/>
        <v>1</v>
      </c>
      <c r="AF52" s="1563">
        <f t="shared" si="138"/>
        <v>4.8576831463819997E-2</v>
      </c>
      <c r="AG52">
        <f t="shared" si="139"/>
        <v>4.8576831463819997E-2</v>
      </c>
      <c r="AH52" s="1160">
        <f t="shared" si="72"/>
        <v>0</v>
      </c>
      <c r="AI52" s="1563">
        <f t="shared" si="140"/>
        <v>8.6786568514900008E-6</v>
      </c>
      <c r="AJ52">
        <f t="shared" si="141"/>
        <v>8.6786568514900008E-6</v>
      </c>
      <c r="AK52" s="1160">
        <f t="shared" si="73"/>
        <v>0</v>
      </c>
      <c r="AL52" s="1563">
        <f t="shared" si="142"/>
        <v>24.428628030000002</v>
      </c>
      <c r="AM52" t="e">
        <f t="shared" si="143"/>
        <v>#N/A</v>
      </c>
      <c r="AN52" s="1563">
        <f t="shared" si="144"/>
        <v>5450.2842736311914</v>
      </c>
      <c r="AO52" t="str">
        <f t="shared" si="145"/>
        <v/>
      </c>
      <c r="AP52" s="1160">
        <f t="shared" si="146"/>
        <v>1</v>
      </c>
      <c r="AQ52" s="1563" t="str">
        <f t="shared" si="147"/>
        <v>--</v>
      </c>
      <c r="AS52" s="1563" t="str">
        <f t="shared" si="148"/>
        <v>--</v>
      </c>
      <c r="AU52" s="1563" t="str">
        <f t="shared" si="149"/>
        <v>--</v>
      </c>
      <c r="AW52" s="1563" t="str">
        <f t="shared" si="150"/>
        <v>--</v>
      </c>
      <c r="AY52" s="1592">
        <f t="shared" si="151"/>
        <v>1</v>
      </c>
      <c r="AZ52" s="821">
        <f t="shared" si="152"/>
        <v>1</v>
      </c>
      <c r="BA52" s="1160">
        <f t="shared" si="74"/>
        <v>0</v>
      </c>
      <c r="BB52" s="1592">
        <f t="shared" si="153"/>
        <v>0.1</v>
      </c>
      <c r="BC52" s="821">
        <f t="shared" si="154"/>
        <v>0.1</v>
      </c>
      <c r="BD52" s="1160">
        <f t="shared" si="75"/>
        <v>0</v>
      </c>
      <c r="BE52" s="1592" t="str">
        <f t="shared" si="155"/>
        <v>Yes</v>
      </c>
      <c r="BF52" s="1592">
        <f t="shared" si="156"/>
        <v>2.06E-2</v>
      </c>
      <c r="BG52" s="821">
        <f t="shared" si="157"/>
        <v>2.06E-2</v>
      </c>
      <c r="BH52" s="1160">
        <f t="shared" si="76"/>
        <v>0</v>
      </c>
      <c r="BI52" s="1592">
        <f t="shared" si="158"/>
        <v>1</v>
      </c>
      <c r="BJ52" s="1592">
        <f t="shared" si="159"/>
        <v>0.10115507457575</v>
      </c>
      <c r="BK52" s="821">
        <f t="shared" si="160"/>
        <v>0.10115507457575</v>
      </c>
      <c r="BL52" s="1160">
        <f t="shared" si="77"/>
        <v>0</v>
      </c>
      <c r="BM52" s="1592">
        <f t="shared" si="161"/>
        <v>0.86029767582779004</v>
      </c>
      <c r="BN52" s="821">
        <f t="shared" si="162"/>
        <v>0.86029767582779004</v>
      </c>
      <c r="BO52" s="1160">
        <f t="shared" si="78"/>
        <v>0</v>
      </c>
      <c r="BP52" s="1592">
        <f t="shared" si="163"/>
        <v>2.06471442198669</v>
      </c>
      <c r="BQ52" s="821">
        <f t="shared" si="164"/>
        <v>2.06471442198669</v>
      </c>
      <c r="BR52" s="1160">
        <f t="shared" si="79"/>
        <v>0</v>
      </c>
      <c r="BS52" s="1592" t="str">
        <f t="shared" si="165"/>
        <v>--</v>
      </c>
      <c r="BT52" s="821">
        <f t="shared" si="166"/>
        <v>0</v>
      </c>
      <c r="BU52" s="1160">
        <f t="shared" si="82"/>
        <v>0</v>
      </c>
      <c r="BW52" s="75" t="str">
        <f t="shared" si="167"/>
        <v>--</v>
      </c>
      <c r="BX52" s="75" t="str">
        <f t="shared" si="168"/>
        <v xml:space="preserve"> </v>
      </c>
      <c r="BY52" s="75" t="str">
        <f t="shared" si="169"/>
        <v/>
      </c>
      <c r="BZ52" s="75" t="str">
        <f t="shared" si="170"/>
        <v/>
      </c>
      <c r="CA52" s="1670" t="str">
        <f t="shared" si="83"/>
        <v>--</v>
      </c>
      <c r="CB52" s="75" t="str">
        <f t="shared" si="171"/>
        <v>--</v>
      </c>
      <c r="CC52" s="75" t="str">
        <f t="shared" si="172"/>
        <v xml:space="preserve"> </v>
      </c>
      <c r="CD52" s="75" t="str">
        <f t="shared" si="173"/>
        <v/>
      </c>
      <c r="CE52" s="75" t="str">
        <f t="shared" si="174"/>
        <v/>
      </c>
      <c r="CF52" s="1670" t="str">
        <f t="shared" si="84"/>
        <v>--</v>
      </c>
      <c r="CG52" s="75">
        <f t="shared" si="175"/>
        <v>3.0000000000000001E-3</v>
      </c>
      <c r="CH52" s="75" t="str">
        <f t="shared" si="176"/>
        <v>IRIS 1988</v>
      </c>
      <c r="CI52" s="75">
        <f t="shared" si="177"/>
        <v>3.0000000000000001E-3</v>
      </c>
      <c r="CJ52" s="75" t="str">
        <f t="shared" si="178"/>
        <v>I</v>
      </c>
      <c r="CK52" s="1670" t="str">
        <f t="shared" si="85"/>
        <v>--</v>
      </c>
      <c r="CL52" s="75" t="str">
        <f t="shared" si="179"/>
        <v>--</v>
      </c>
      <c r="CM52" s="75" t="str">
        <f t="shared" si="180"/>
        <v xml:space="preserve"> </v>
      </c>
      <c r="CN52" s="75" t="str">
        <f t="shared" si="181"/>
        <v/>
      </c>
      <c r="CO52" s="75" t="str">
        <f t="shared" si="182"/>
        <v/>
      </c>
      <c r="CP52" s="1670" t="str">
        <f t="shared" si="86"/>
        <v>--</v>
      </c>
      <c r="CR52" s="1686" t="str">
        <f t="shared" si="87"/>
        <v>--</v>
      </c>
      <c r="CS52" s="1686" t="str">
        <f t="shared" si="88"/>
        <v>--</v>
      </c>
      <c r="CT52" s="1686" t="str">
        <f t="shared" si="89"/>
        <v>--</v>
      </c>
      <c r="CU52" s="1686" t="str">
        <f t="shared" si="90"/>
        <v>--</v>
      </c>
    </row>
    <row r="53" spans="1:99">
      <c r="A53" s="309" t="s">
        <v>175</v>
      </c>
      <c r="B53" s="427" t="s">
        <v>176</v>
      </c>
      <c r="C53" s="1563" t="str">
        <f t="shared" si="118"/>
        <v>O</v>
      </c>
      <c r="D53" t="e">
        <f t="shared" si="119"/>
        <v>#N/A</v>
      </c>
      <c r="E53" s="1563">
        <f t="shared" si="120"/>
        <v>-100</v>
      </c>
      <c r="F53">
        <f t="shared" si="121"/>
        <v>-100</v>
      </c>
      <c r="G53" s="1160">
        <f t="shared" si="63"/>
        <v>0</v>
      </c>
      <c r="H53" s="1563" t="str">
        <f t="shared" si="122"/>
        <v>V</v>
      </c>
      <c r="I53" t="str">
        <f t="shared" si="123"/>
        <v>V</v>
      </c>
      <c r="J53" s="1160">
        <f t="shared" si="64"/>
        <v>0</v>
      </c>
      <c r="K53" s="1563">
        <f t="shared" si="124"/>
        <v>112.99</v>
      </c>
      <c r="L53">
        <f t="shared" si="125"/>
        <v>112.99</v>
      </c>
      <c r="M53" s="1160">
        <f t="shared" si="65"/>
        <v>0</v>
      </c>
      <c r="N53" s="1563">
        <f t="shared" si="126"/>
        <v>53.3</v>
      </c>
      <c r="O53">
        <f t="shared" si="127"/>
        <v>53.3</v>
      </c>
      <c r="P53" s="1160">
        <f t="shared" si="66"/>
        <v>0</v>
      </c>
      <c r="Q53" s="1563">
        <f t="shared" si="128"/>
        <v>2800</v>
      </c>
      <c r="R53">
        <f t="shared" si="129"/>
        <v>2800</v>
      </c>
      <c r="S53" s="1160">
        <f t="shared" si="67"/>
        <v>0</v>
      </c>
      <c r="T53" s="1563">
        <f t="shared" si="130"/>
        <v>2.82E-3</v>
      </c>
      <c r="U53">
        <f t="shared" si="131"/>
        <v>2.82E-3</v>
      </c>
      <c r="V53" s="1160">
        <f t="shared" si="68"/>
        <v>0</v>
      </c>
      <c r="W53" s="1563">
        <f t="shared" si="132"/>
        <v>0.11529026982829001</v>
      </c>
      <c r="X53">
        <f t="shared" si="133"/>
        <v>0.11529026982829001</v>
      </c>
      <c r="Y53" s="1160">
        <f t="shared" si="69"/>
        <v>0</v>
      </c>
      <c r="Z53" s="1563">
        <f t="shared" si="134"/>
        <v>60.7</v>
      </c>
      <c r="AA53">
        <f t="shared" si="135"/>
        <v>60.7</v>
      </c>
      <c r="AB53" s="1160">
        <f t="shared" si="70"/>
        <v>0</v>
      </c>
      <c r="AC53" s="1563">
        <f t="shared" si="136"/>
        <v>0.36420000000000002</v>
      </c>
      <c r="AD53" t="str">
        <f t="shared" si="137"/>
        <v/>
      </c>
      <c r="AE53" s="1160">
        <f t="shared" si="71"/>
        <v>1</v>
      </c>
      <c r="AF53" s="1563">
        <f t="shared" si="138"/>
        <v>7.3340244461150006E-2</v>
      </c>
      <c r="AG53">
        <f t="shared" si="139"/>
        <v>7.3340244461150006E-2</v>
      </c>
      <c r="AH53" s="1160">
        <f t="shared" si="72"/>
        <v>0</v>
      </c>
      <c r="AI53" s="1563">
        <f t="shared" si="140"/>
        <v>9.7251840234299995E-6</v>
      </c>
      <c r="AJ53">
        <f t="shared" si="141"/>
        <v>9.7251840234299995E-6</v>
      </c>
      <c r="AK53" s="1160">
        <f t="shared" si="73"/>
        <v>0</v>
      </c>
      <c r="AL53" s="1563">
        <f t="shared" si="142"/>
        <v>27.579940000000001</v>
      </c>
      <c r="AM53" t="e">
        <f t="shared" si="143"/>
        <v>#N/A</v>
      </c>
      <c r="AN53" s="1563">
        <f t="shared" si="144"/>
        <v>1360.8710939693603</v>
      </c>
      <c r="AO53">
        <f t="shared" si="145"/>
        <v>1360</v>
      </c>
      <c r="AP53" s="1160">
        <f t="shared" si="146"/>
        <v>1</v>
      </c>
      <c r="AQ53" s="1563">
        <f t="shared" si="147"/>
        <v>9.2699161838526059E-4</v>
      </c>
      <c r="AS53" s="1563">
        <f t="shared" si="148"/>
        <v>3788.4604022906269</v>
      </c>
      <c r="AU53" s="1563">
        <f t="shared" si="149"/>
        <v>3714.8910611064389</v>
      </c>
      <c r="AW53" s="1563">
        <f t="shared" si="150"/>
        <v>839.11120099199843</v>
      </c>
      <c r="AY53" s="1592">
        <f t="shared" si="151"/>
        <v>1</v>
      </c>
      <c r="AZ53" s="821">
        <f t="shared" si="152"/>
        <v>1</v>
      </c>
      <c r="BA53" s="1160">
        <f t="shared" si="74"/>
        <v>0</v>
      </c>
      <c r="BB53" s="1592" t="str">
        <f t="shared" si="153"/>
        <v>--</v>
      </c>
      <c r="BC53" s="821" t="str">
        <f t="shared" si="154"/>
        <v/>
      </c>
      <c r="BD53" s="1160">
        <f t="shared" si="75"/>
        <v>0</v>
      </c>
      <c r="BE53" s="1592" t="str">
        <f t="shared" si="155"/>
        <v>Yes</v>
      </c>
      <c r="BF53" s="1592">
        <f t="shared" si="156"/>
        <v>7.5300000000000002E-3</v>
      </c>
      <c r="BG53" s="821">
        <f t="shared" si="157"/>
        <v>7.5300000000000002E-3</v>
      </c>
      <c r="BH53" s="1160">
        <f t="shared" si="76"/>
        <v>0</v>
      </c>
      <c r="BI53" s="1592">
        <f t="shared" si="158"/>
        <v>1</v>
      </c>
      <c r="BJ53" s="1592">
        <f t="shared" si="159"/>
        <v>3.0785175414410001E-2</v>
      </c>
      <c r="BK53" s="821">
        <f t="shared" si="160"/>
        <v>3.0785175414410001E-2</v>
      </c>
      <c r="BL53" s="1160">
        <f t="shared" si="77"/>
        <v>0</v>
      </c>
      <c r="BM53" s="1592">
        <f t="shared" si="161"/>
        <v>0.45143242470886003</v>
      </c>
      <c r="BN53" s="821">
        <f t="shared" si="162"/>
        <v>0.45143242470886003</v>
      </c>
      <c r="BO53" s="1160">
        <f t="shared" si="78"/>
        <v>0</v>
      </c>
      <c r="BP53" s="1592">
        <f t="shared" si="163"/>
        <v>1.0834378193012699</v>
      </c>
      <c r="BQ53" s="821">
        <f t="shared" si="164"/>
        <v>1.0834378193012699</v>
      </c>
      <c r="BR53" s="1160">
        <f t="shared" si="79"/>
        <v>0</v>
      </c>
      <c r="BS53" s="1592" t="str">
        <f t="shared" si="165"/>
        <v>--</v>
      </c>
      <c r="BT53" s="821">
        <f t="shared" si="166"/>
        <v>0</v>
      </c>
      <c r="BU53" s="1160">
        <f t="shared" si="82"/>
        <v>0</v>
      </c>
      <c r="BW53" s="75">
        <f t="shared" si="167"/>
        <v>3.6999999999999998E-2</v>
      </c>
      <c r="BX53" s="75" t="str">
        <f t="shared" si="168"/>
        <v>PPRTV</v>
      </c>
      <c r="BY53" s="75">
        <f t="shared" si="169"/>
        <v>3.6999999999999998E-2</v>
      </c>
      <c r="BZ53" s="75" t="str">
        <f t="shared" si="170"/>
        <v>P</v>
      </c>
      <c r="CA53" s="1670" t="str">
        <f t="shared" si="83"/>
        <v>--</v>
      </c>
      <c r="CB53" s="75">
        <f t="shared" si="171"/>
        <v>3.7000000000000002E-6</v>
      </c>
      <c r="CC53" s="75" t="str">
        <f t="shared" si="172"/>
        <v>PPRTV</v>
      </c>
      <c r="CD53" s="75">
        <f t="shared" si="173"/>
        <v>3.7000000000000002E-6</v>
      </c>
      <c r="CE53" s="75" t="str">
        <f t="shared" si="174"/>
        <v>P</v>
      </c>
      <c r="CF53" s="1670" t="str">
        <f t="shared" si="84"/>
        <v>--</v>
      </c>
      <c r="CG53" s="75">
        <f t="shared" si="175"/>
        <v>0.04</v>
      </c>
      <c r="CH53" s="75" t="str">
        <f t="shared" si="176"/>
        <v>PPRTV 2016</v>
      </c>
      <c r="CI53" s="75">
        <f t="shared" si="177"/>
        <v>0.04</v>
      </c>
      <c r="CJ53" s="75" t="str">
        <f t="shared" si="178"/>
        <v>P</v>
      </c>
      <c r="CK53" s="1670" t="str">
        <f t="shared" si="85"/>
        <v>--</v>
      </c>
      <c r="CL53" s="75">
        <f t="shared" si="179"/>
        <v>4</v>
      </c>
      <c r="CM53" s="75" t="str">
        <f t="shared" si="180"/>
        <v>IRIS 1991</v>
      </c>
      <c r="CN53" s="75">
        <f t="shared" si="181"/>
        <v>4</v>
      </c>
      <c r="CO53" s="75" t="str">
        <f t="shared" si="182"/>
        <v>I</v>
      </c>
      <c r="CP53" s="1670" t="str">
        <f t="shared" si="86"/>
        <v>--</v>
      </c>
      <c r="CR53" s="1686" t="str">
        <f t="shared" si="87"/>
        <v>--</v>
      </c>
      <c r="CS53" s="1686" t="str">
        <f t="shared" si="88"/>
        <v>--</v>
      </c>
      <c r="CT53" s="1686" t="str">
        <f t="shared" si="89"/>
        <v>--</v>
      </c>
      <c r="CU53" s="1686" t="str">
        <f t="shared" si="90"/>
        <v>--</v>
      </c>
    </row>
    <row r="54" spans="1:99">
      <c r="A54" s="309" t="s">
        <v>177</v>
      </c>
      <c r="B54" s="427" t="s">
        <v>178</v>
      </c>
      <c r="C54" s="1563" t="str">
        <f t="shared" si="118"/>
        <v>O</v>
      </c>
      <c r="D54" t="e">
        <f t="shared" si="119"/>
        <v>#N/A</v>
      </c>
      <c r="E54" s="1563">
        <f t="shared" si="120"/>
        <v>-50</v>
      </c>
      <c r="F54">
        <f t="shared" si="121"/>
        <v>-50</v>
      </c>
      <c r="G54" s="1160">
        <f t="shared" si="63"/>
        <v>0</v>
      </c>
      <c r="H54" s="1563" t="str">
        <f t="shared" si="122"/>
        <v>V</v>
      </c>
      <c r="I54" t="str">
        <f t="shared" si="123"/>
        <v>V</v>
      </c>
      <c r="J54" s="1160">
        <f t="shared" si="64"/>
        <v>0</v>
      </c>
      <c r="K54" s="1563">
        <f t="shared" si="124"/>
        <v>110.97</v>
      </c>
      <c r="L54">
        <f t="shared" si="125"/>
        <v>110.97</v>
      </c>
      <c r="M54" s="1160">
        <f t="shared" si="65"/>
        <v>0</v>
      </c>
      <c r="N54" s="1563">
        <f t="shared" si="126"/>
        <v>34</v>
      </c>
      <c r="O54">
        <f t="shared" si="127"/>
        <v>34</v>
      </c>
      <c r="P54" s="1160">
        <f t="shared" si="66"/>
        <v>0</v>
      </c>
      <c r="Q54" s="1563">
        <f t="shared" si="128"/>
        <v>2800</v>
      </c>
      <c r="R54">
        <f t="shared" si="129"/>
        <v>2800</v>
      </c>
      <c r="S54" s="1160">
        <f t="shared" si="67"/>
        <v>0</v>
      </c>
      <c r="T54" s="1563">
        <f t="shared" si="130"/>
        <v>3.5500000000000002E-3</v>
      </c>
      <c r="U54">
        <f t="shared" si="131"/>
        <v>3.5500000000000002E-3</v>
      </c>
      <c r="V54" s="1160">
        <f t="shared" si="68"/>
        <v>0</v>
      </c>
      <c r="W54" s="1563">
        <f t="shared" si="132"/>
        <v>0.14513491414554</v>
      </c>
      <c r="X54">
        <f t="shared" si="133"/>
        <v>0.14513491414554</v>
      </c>
      <c r="Y54" s="1160">
        <f t="shared" si="69"/>
        <v>0</v>
      </c>
      <c r="Z54" s="1563">
        <f t="shared" si="134"/>
        <v>72.17</v>
      </c>
      <c r="AA54">
        <f t="shared" si="135"/>
        <v>72.17</v>
      </c>
      <c r="AB54" s="1160">
        <f t="shared" si="70"/>
        <v>0</v>
      </c>
      <c r="AC54" s="1563">
        <f t="shared" si="136"/>
        <v>0.43302000000000002</v>
      </c>
      <c r="AD54" t="str">
        <f t="shared" si="137"/>
        <v/>
      </c>
      <c r="AE54" s="1160">
        <f t="shared" si="71"/>
        <v>1</v>
      </c>
      <c r="AF54" s="1563">
        <f t="shared" si="138"/>
        <v>7.6272488447510001E-2</v>
      </c>
      <c r="AG54">
        <f t="shared" si="139"/>
        <v>7.6272488447510001E-2</v>
      </c>
      <c r="AH54" s="1160">
        <f t="shared" si="72"/>
        <v>0</v>
      </c>
      <c r="AI54" s="1563">
        <f t="shared" si="140"/>
        <v>1.012331538E-5</v>
      </c>
      <c r="AJ54">
        <f t="shared" si="141"/>
        <v>1.012331538E-5</v>
      </c>
      <c r="AK54" s="1160">
        <f t="shared" si="73"/>
        <v>0</v>
      </c>
      <c r="AL54" s="1563">
        <f t="shared" si="142"/>
        <v>34.015070000000001</v>
      </c>
      <c r="AM54" t="e">
        <f t="shared" si="143"/>
        <v>#N/A</v>
      </c>
      <c r="AN54" s="1563">
        <f t="shared" si="144"/>
        <v>1569.3866324791582</v>
      </c>
      <c r="AO54">
        <f t="shared" si="145"/>
        <v>1570</v>
      </c>
      <c r="AP54" s="1160">
        <f t="shared" si="146"/>
        <v>1</v>
      </c>
      <c r="AQ54" s="1563">
        <f t="shared" si="147"/>
        <v>1.0523385038852999E-3</v>
      </c>
      <c r="AS54" s="1563">
        <f t="shared" si="148"/>
        <v>3555.6821003054051</v>
      </c>
      <c r="AU54" s="1563">
        <f t="shared" si="149"/>
        <v>3486.6331564595839</v>
      </c>
      <c r="AW54" s="1563">
        <f t="shared" si="150"/>
        <v>787.55282112201303</v>
      </c>
      <c r="AY54" s="1592">
        <f t="shared" si="151"/>
        <v>1</v>
      </c>
      <c r="AZ54" s="821">
        <f t="shared" si="152"/>
        <v>1</v>
      </c>
      <c r="BA54" s="1160">
        <f t="shared" si="74"/>
        <v>0</v>
      </c>
      <c r="BB54" s="1592" t="str">
        <f t="shared" si="153"/>
        <v>--</v>
      </c>
      <c r="BC54" s="821" t="str">
        <f t="shared" si="154"/>
        <v/>
      </c>
      <c r="BD54" s="1160">
        <f t="shared" si="75"/>
        <v>0</v>
      </c>
      <c r="BE54" s="1592" t="str">
        <f t="shared" si="155"/>
        <v>Yes</v>
      </c>
      <c r="BF54" s="1592">
        <f t="shared" si="156"/>
        <v>8.3400000000000002E-3</v>
      </c>
      <c r="BG54" s="821">
        <f t="shared" si="157"/>
        <v>8.3400000000000002E-3</v>
      </c>
      <c r="BH54" s="1160">
        <f t="shared" si="76"/>
        <v>0</v>
      </c>
      <c r="BI54" s="1592">
        <f t="shared" si="158"/>
        <v>1</v>
      </c>
      <c r="BJ54" s="1592">
        <f t="shared" si="159"/>
        <v>3.3790568280720003E-2</v>
      </c>
      <c r="BK54" s="821">
        <f t="shared" si="160"/>
        <v>3.3790568280720003E-2</v>
      </c>
      <c r="BL54" s="1160">
        <f t="shared" si="77"/>
        <v>0</v>
      </c>
      <c r="BM54" s="1592">
        <f t="shared" si="161"/>
        <v>0.43982584892449</v>
      </c>
      <c r="BN54" s="821">
        <f t="shared" si="162"/>
        <v>0.43982584892449</v>
      </c>
      <c r="BO54" s="1160">
        <f t="shared" si="78"/>
        <v>0</v>
      </c>
      <c r="BP54" s="1592">
        <f t="shared" si="163"/>
        <v>1.0555820374187701</v>
      </c>
      <c r="BQ54" s="821">
        <f t="shared" si="164"/>
        <v>1.0555820374187701</v>
      </c>
      <c r="BR54" s="1160">
        <f t="shared" si="79"/>
        <v>0</v>
      </c>
      <c r="BS54" s="1592" t="str">
        <f t="shared" si="165"/>
        <v>--</v>
      </c>
      <c r="BT54" s="821">
        <f t="shared" si="166"/>
        <v>0</v>
      </c>
      <c r="BU54" s="1160">
        <f t="shared" si="82"/>
        <v>0</v>
      </c>
      <c r="BW54" s="75">
        <f t="shared" si="167"/>
        <v>0.1</v>
      </c>
      <c r="BX54" s="75" t="str">
        <f t="shared" si="168"/>
        <v>IRIS 2000</v>
      </c>
      <c r="BY54" s="75">
        <f t="shared" si="169"/>
        <v>0.1</v>
      </c>
      <c r="BZ54" s="75" t="str">
        <f t="shared" si="170"/>
        <v>I</v>
      </c>
      <c r="CA54" s="1670" t="str">
        <f t="shared" si="83"/>
        <v>--</v>
      </c>
      <c r="CB54" s="75">
        <f t="shared" si="171"/>
        <v>3.9999999999999998E-6</v>
      </c>
      <c r="CC54" s="75" t="str">
        <f t="shared" si="172"/>
        <v>IRIS 2000</v>
      </c>
      <c r="CD54" s="75">
        <f t="shared" si="173"/>
        <v>3.9999999999999998E-6</v>
      </c>
      <c r="CE54" s="75" t="str">
        <f t="shared" si="174"/>
        <v>I</v>
      </c>
      <c r="CF54" s="1670" t="str">
        <f t="shared" si="84"/>
        <v>--</v>
      </c>
      <c r="CG54" s="75">
        <f t="shared" si="175"/>
        <v>0.03</v>
      </c>
      <c r="CH54" s="75" t="str">
        <f t="shared" si="176"/>
        <v>IRIS 2000</v>
      </c>
      <c r="CI54" s="75">
        <f t="shared" si="177"/>
        <v>0.03</v>
      </c>
      <c r="CJ54" s="75" t="str">
        <f t="shared" si="178"/>
        <v>I</v>
      </c>
      <c r="CK54" s="1670" t="str">
        <f t="shared" si="85"/>
        <v>--</v>
      </c>
      <c r="CL54" s="75">
        <f t="shared" si="179"/>
        <v>20</v>
      </c>
      <c r="CM54" s="75" t="str">
        <f t="shared" si="180"/>
        <v>IRIS 2000</v>
      </c>
      <c r="CN54" s="75">
        <f t="shared" si="181"/>
        <v>20</v>
      </c>
      <c r="CO54" s="75" t="str">
        <f t="shared" si="182"/>
        <v>I</v>
      </c>
      <c r="CP54" s="1670" t="str">
        <f t="shared" si="86"/>
        <v>--</v>
      </c>
      <c r="CR54" s="1686" t="str">
        <f t="shared" si="87"/>
        <v>--</v>
      </c>
      <c r="CS54" s="1686" t="str">
        <f t="shared" si="88"/>
        <v>--</v>
      </c>
      <c r="CT54" s="1686" t="str">
        <f t="shared" si="89"/>
        <v>--</v>
      </c>
      <c r="CU54" s="1686" t="str">
        <f t="shared" si="90"/>
        <v>--</v>
      </c>
    </row>
    <row r="55" spans="1:99">
      <c r="A55" s="309" t="s">
        <v>179</v>
      </c>
      <c r="B55" s="427" t="s">
        <v>180</v>
      </c>
      <c r="C55" s="1563" t="str">
        <f t="shared" si="118"/>
        <v>O</v>
      </c>
      <c r="D55" t="e">
        <f t="shared" si="119"/>
        <v>#N/A</v>
      </c>
      <c r="E55" s="1563">
        <f t="shared" si="120"/>
        <v>175.5</v>
      </c>
      <c r="F55">
        <f t="shared" si="121"/>
        <v>175.5</v>
      </c>
      <c r="G55" s="1160">
        <f t="shared" si="63"/>
        <v>0</v>
      </c>
      <c r="H55" s="1563" t="str">
        <f t="shared" si="122"/>
        <v>NV</v>
      </c>
      <c r="I55">
        <f t="shared" si="123"/>
        <v>0</v>
      </c>
      <c r="J55" s="1160">
        <f t="shared" si="64"/>
        <v>0</v>
      </c>
      <c r="K55" s="1563">
        <f t="shared" si="124"/>
        <v>380.91</v>
      </c>
      <c r="L55">
        <f t="shared" si="125"/>
        <v>380.91</v>
      </c>
      <c r="M55" s="1160">
        <f t="shared" si="65"/>
        <v>0</v>
      </c>
      <c r="N55" s="1563">
        <f t="shared" si="126"/>
        <v>5.8900000000000004E-6</v>
      </c>
      <c r="O55">
        <f t="shared" si="127"/>
        <v>5.8900000000000004E-6</v>
      </c>
      <c r="P55" s="1160">
        <f t="shared" si="66"/>
        <v>0</v>
      </c>
      <c r="Q55" s="1563">
        <f t="shared" si="128"/>
        <v>0.19500000000000001</v>
      </c>
      <c r="R55">
        <f t="shared" si="129"/>
        <v>0.19500000000000001</v>
      </c>
      <c r="S55" s="1160">
        <f t="shared" si="67"/>
        <v>0</v>
      </c>
      <c r="T55" s="1563">
        <f t="shared" si="130"/>
        <v>1.0000000000000001E-5</v>
      </c>
      <c r="U55">
        <f t="shared" si="131"/>
        <v>1.0000000000000001E-5</v>
      </c>
      <c r="V55" s="1160">
        <f t="shared" si="68"/>
        <v>0</v>
      </c>
      <c r="W55" s="1563">
        <f t="shared" si="132"/>
        <v>4.0883074407E-4</v>
      </c>
      <c r="X55">
        <f t="shared" si="133"/>
        <v>4.0883074407E-4</v>
      </c>
      <c r="Y55" s="1160">
        <f t="shared" si="69"/>
        <v>0</v>
      </c>
      <c r="Z55" s="1563">
        <f t="shared" si="134"/>
        <v>20090</v>
      </c>
      <c r="AA55">
        <f t="shared" si="135"/>
        <v>20090</v>
      </c>
      <c r="AB55" s="1160">
        <f t="shared" si="70"/>
        <v>0</v>
      </c>
      <c r="AC55" s="1563">
        <f t="shared" si="136"/>
        <v>120.54</v>
      </c>
      <c r="AD55" t="str">
        <f t="shared" si="137"/>
        <v/>
      </c>
      <c r="AE55" s="1160">
        <f t="shared" si="71"/>
        <v>1</v>
      </c>
      <c r="AF55" s="1563">
        <f t="shared" si="138"/>
        <v>2.3286453600050001E-2</v>
      </c>
      <c r="AG55">
        <f t="shared" si="139"/>
        <v>2.3286453600050001E-2</v>
      </c>
      <c r="AH55" s="1160">
        <f t="shared" si="72"/>
        <v>0</v>
      </c>
      <c r="AI55" s="1563">
        <f t="shared" si="140"/>
        <v>6.0062191756200001E-6</v>
      </c>
      <c r="AJ55">
        <f t="shared" si="141"/>
        <v>6.0062191756200001E-6</v>
      </c>
      <c r="AK55" s="1160">
        <f t="shared" si="73"/>
        <v>0</v>
      </c>
      <c r="AL55" s="1563">
        <f t="shared" si="142"/>
        <v>3335.00207</v>
      </c>
      <c r="AM55" t="e">
        <f t="shared" si="143"/>
        <v>#N/A</v>
      </c>
      <c r="AN55" s="1563">
        <f t="shared" si="144"/>
        <v>23.524815092025488</v>
      </c>
      <c r="AO55" t="str">
        <f t="shared" si="145"/>
        <v/>
      </c>
      <c r="AP55" s="1160">
        <f t="shared" si="146"/>
        <v>1</v>
      </c>
      <c r="AQ55" s="1563" t="str">
        <f t="shared" si="147"/>
        <v>--</v>
      </c>
      <c r="AS55" s="1563" t="str">
        <f t="shared" si="148"/>
        <v>--</v>
      </c>
      <c r="AU55" s="1563" t="str">
        <f t="shared" si="149"/>
        <v>--</v>
      </c>
      <c r="AW55" s="1563" t="str">
        <f t="shared" si="150"/>
        <v>--</v>
      </c>
      <c r="AY55" s="1592">
        <f t="shared" si="151"/>
        <v>1</v>
      </c>
      <c r="AZ55" s="821">
        <f t="shared" si="152"/>
        <v>1</v>
      </c>
      <c r="BA55" s="1160">
        <f t="shared" si="74"/>
        <v>0</v>
      </c>
      <c r="BB55" s="1592">
        <f t="shared" si="153"/>
        <v>0.1</v>
      </c>
      <c r="BC55" s="821">
        <f t="shared" si="154"/>
        <v>0.1</v>
      </c>
      <c r="BD55" s="1160">
        <f t="shared" si="75"/>
        <v>0</v>
      </c>
      <c r="BE55" s="1592" t="str">
        <f t="shared" si="155"/>
        <v>Yes</v>
      </c>
      <c r="BF55" s="1592">
        <f t="shared" si="156"/>
        <v>3.2599999999999997E-2</v>
      </c>
      <c r="BG55" s="821">
        <f t="shared" si="157"/>
        <v>3.2599999999999997E-2</v>
      </c>
      <c r="BH55" s="1160">
        <f t="shared" si="76"/>
        <v>0</v>
      </c>
      <c r="BI55" s="1592">
        <f t="shared" si="158"/>
        <v>0.8</v>
      </c>
      <c r="BJ55" s="1592">
        <f t="shared" si="159"/>
        <v>0.24471209735466001</v>
      </c>
      <c r="BK55" s="821">
        <f t="shared" si="160"/>
        <v>0.24471209735466001</v>
      </c>
      <c r="BL55" s="1160">
        <f t="shared" si="77"/>
        <v>0</v>
      </c>
      <c r="BM55" s="1592">
        <f t="shared" si="161"/>
        <v>14.287121880278701</v>
      </c>
      <c r="BN55" s="821">
        <f t="shared" si="162"/>
        <v>14.287121880278701</v>
      </c>
      <c r="BO55" s="1160">
        <f t="shared" si="78"/>
        <v>0</v>
      </c>
      <c r="BP55" s="1592">
        <f t="shared" si="163"/>
        <v>34.289092512668802</v>
      </c>
      <c r="BQ55" s="821">
        <f t="shared" si="164"/>
        <v>34.289092512668802</v>
      </c>
      <c r="BR55" s="1160">
        <f t="shared" si="79"/>
        <v>0</v>
      </c>
      <c r="BS55" s="1592" t="str">
        <f t="shared" si="165"/>
        <v>--</v>
      </c>
      <c r="BT55" s="821">
        <f t="shared" si="166"/>
        <v>0</v>
      </c>
      <c r="BU55" s="1160">
        <f t="shared" si="82"/>
        <v>0</v>
      </c>
      <c r="BW55" s="75">
        <f t="shared" si="167"/>
        <v>16</v>
      </c>
      <c r="BX55" s="75" t="str">
        <f t="shared" si="168"/>
        <v>IRIS 1991</v>
      </c>
      <c r="BY55" s="75">
        <f t="shared" si="169"/>
        <v>16</v>
      </c>
      <c r="BZ55" s="75" t="str">
        <f t="shared" si="170"/>
        <v>I</v>
      </c>
      <c r="CA55" s="1670" t="str">
        <f t="shared" si="83"/>
        <v>--</v>
      </c>
      <c r="CB55" s="75">
        <f t="shared" si="171"/>
        <v>4.5999999999999999E-3</v>
      </c>
      <c r="CC55" s="75" t="str">
        <f t="shared" si="172"/>
        <v>OEHHA 1988</v>
      </c>
      <c r="CD55" s="75">
        <f t="shared" si="173"/>
        <v>4.5999999999999999E-3</v>
      </c>
      <c r="CE55" s="75" t="str">
        <f t="shared" si="174"/>
        <v>I</v>
      </c>
      <c r="CF55" s="1670" t="str">
        <f t="shared" si="84"/>
        <v>--</v>
      </c>
      <c r="CG55" s="75">
        <f t="shared" si="175"/>
        <v>5.0000000000000002E-5</v>
      </c>
      <c r="CH55" s="75" t="str">
        <f t="shared" si="176"/>
        <v>IRIS 1991</v>
      </c>
      <c r="CI55" s="75">
        <f t="shared" si="177"/>
        <v>5.0000000000000002E-5</v>
      </c>
      <c r="CJ55" s="75" t="str">
        <f t="shared" si="178"/>
        <v>I</v>
      </c>
      <c r="CK55" s="1670" t="str">
        <f t="shared" si="85"/>
        <v>--</v>
      </c>
      <c r="CL55" s="75" t="str">
        <f t="shared" si="179"/>
        <v>--</v>
      </c>
      <c r="CM55" s="75" t="str">
        <f t="shared" si="180"/>
        <v xml:space="preserve"> </v>
      </c>
      <c r="CN55" s="75" t="str">
        <f t="shared" si="181"/>
        <v/>
      </c>
      <c r="CO55" s="75" t="str">
        <f t="shared" si="182"/>
        <v/>
      </c>
      <c r="CP55" s="1670" t="str">
        <f t="shared" si="86"/>
        <v>--</v>
      </c>
      <c r="CR55" s="1686" t="str">
        <f t="shared" si="87"/>
        <v>--</v>
      </c>
      <c r="CS55" s="1686" t="str">
        <f t="shared" si="88"/>
        <v>--</v>
      </c>
      <c r="CT55" s="1686" t="str">
        <f t="shared" si="89"/>
        <v>--</v>
      </c>
      <c r="CU55" s="1686" t="str">
        <f t="shared" si="90"/>
        <v>--</v>
      </c>
    </row>
    <row r="56" spans="1:99">
      <c r="A56" s="309" t="s">
        <v>181</v>
      </c>
      <c r="B56" s="427" t="s">
        <v>182</v>
      </c>
      <c r="C56" s="1563" t="str">
        <f t="shared" si="118"/>
        <v>O</v>
      </c>
      <c r="D56" t="e">
        <f t="shared" si="119"/>
        <v>#N/A</v>
      </c>
      <c r="E56" s="1563">
        <f t="shared" si="120"/>
        <v>-40.5</v>
      </c>
      <c r="F56">
        <f t="shared" si="121"/>
        <v>-40.5</v>
      </c>
      <c r="G56" s="1160">
        <f t="shared" si="63"/>
        <v>0</v>
      </c>
      <c r="H56" s="1563" t="str">
        <f t="shared" si="122"/>
        <v>NV</v>
      </c>
      <c r="I56">
        <f t="shared" si="123"/>
        <v>0</v>
      </c>
      <c r="J56" s="1160">
        <f t="shared" si="64"/>
        <v>0</v>
      </c>
      <c r="K56" s="1563">
        <f t="shared" si="124"/>
        <v>222.24</v>
      </c>
      <c r="L56">
        <f t="shared" si="125"/>
        <v>222.24</v>
      </c>
      <c r="M56" s="1160">
        <f t="shared" si="65"/>
        <v>0</v>
      </c>
      <c r="N56" s="1563">
        <f t="shared" si="126"/>
        <v>2.0999999999999999E-3</v>
      </c>
      <c r="O56">
        <f t="shared" si="127"/>
        <v>2.0999999999999999E-3</v>
      </c>
      <c r="P56" s="1160">
        <f t="shared" si="66"/>
        <v>0</v>
      </c>
      <c r="Q56" s="1563">
        <f t="shared" si="128"/>
        <v>1080</v>
      </c>
      <c r="R56">
        <f t="shared" si="129"/>
        <v>1080</v>
      </c>
      <c r="S56" s="1160">
        <f t="shared" si="67"/>
        <v>0</v>
      </c>
      <c r="T56" s="1563">
        <f t="shared" si="130"/>
        <v>6.0999999999999998E-7</v>
      </c>
      <c r="U56">
        <f t="shared" si="131"/>
        <v>6.0999999999999998E-7</v>
      </c>
      <c r="V56" s="1160">
        <f t="shared" si="68"/>
        <v>0</v>
      </c>
      <c r="W56" s="1563">
        <f t="shared" si="132"/>
        <v>2.493867539E-5</v>
      </c>
      <c r="X56">
        <f t="shared" si="133"/>
        <v>2.493867539E-5</v>
      </c>
      <c r="Y56" s="1160">
        <f t="shared" si="69"/>
        <v>0</v>
      </c>
      <c r="Z56" s="1563">
        <f t="shared" si="134"/>
        <v>104.9</v>
      </c>
      <c r="AA56">
        <f t="shared" si="135"/>
        <v>104.9</v>
      </c>
      <c r="AB56" s="1160">
        <f t="shared" si="70"/>
        <v>0</v>
      </c>
      <c r="AC56" s="1563">
        <f t="shared" si="136"/>
        <v>0.62940000000000007</v>
      </c>
      <c r="AD56" t="str">
        <f t="shared" si="137"/>
        <v/>
      </c>
      <c r="AE56" s="1160">
        <f t="shared" si="71"/>
        <v>1</v>
      </c>
      <c r="AF56" s="1563">
        <f t="shared" si="138"/>
        <v>2.6074058665390001E-2</v>
      </c>
      <c r="AG56">
        <f t="shared" si="139"/>
        <v>2.6074058665390001E-2</v>
      </c>
      <c r="AH56" s="1160">
        <f t="shared" si="72"/>
        <v>0</v>
      </c>
      <c r="AI56" s="1563">
        <f t="shared" si="140"/>
        <v>6.7227174593399998E-6</v>
      </c>
      <c r="AJ56">
        <f t="shared" si="141"/>
        <v>6.7227174593399998E-6</v>
      </c>
      <c r="AK56" s="1160">
        <f t="shared" si="73"/>
        <v>0</v>
      </c>
      <c r="AL56" s="1563">
        <f t="shared" si="142"/>
        <v>17.417186270000002</v>
      </c>
      <c r="AM56" t="e">
        <f t="shared" si="143"/>
        <v>#N/A</v>
      </c>
      <c r="AN56" s="1600">
        <f t="shared" si="144"/>
        <v>787.75709878276473</v>
      </c>
      <c r="AO56" s="1602" t="str">
        <f t="shared" si="145"/>
        <v/>
      </c>
      <c r="AP56" s="1160">
        <f t="shared" si="146"/>
        <v>1</v>
      </c>
      <c r="AQ56" s="1563" t="str">
        <f t="shared" si="147"/>
        <v>--</v>
      </c>
      <c r="AS56" s="1563" t="str">
        <f t="shared" si="148"/>
        <v>--</v>
      </c>
      <c r="AU56" s="1563" t="str">
        <f t="shared" si="149"/>
        <v>--</v>
      </c>
      <c r="AW56" s="1563" t="str">
        <f t="shared" si="150"/>
        <v>--</v>
      </c>
      <c r="AY56" s="1592">
        <f t="shared" si="151"/>
        <v>1</v>
      </c>
      <c r="AZ56" s="821">
        <f t="shared" si="152"/>
        <v>1</v>
      </c>
      <c r="BA56" s="1160">
        <f t="shared" si="74"/>
        <v>0</v>
      </c>
      <c r="BB56" s="1592">
        <f t="shared" si="153"/>
        <v>0.1</v>
      </c>
      <c r="BC56" s="821">
        <f t="shared" si="154"/>
        <v>0.1</v>
      </c>
      <c r="BD56" s="1160">
        <f t="shared" si="75"/>
        <v>0</v>
      </c>
      <c r="BE56" s="1592" t="str">
        <f t="shared" si="155"/>
        <v>Yes</v>
      </c>
      <c r="BF56" s="1592">
        <f t="shared" si="156"/>
        <v>3.5999999999999999E-3</v>
      </c>
      <c r="BG56" s="821">
        <f t="shared" si="157"/>
        <v>3.5999999999999999E-3</v>
      </c>
      <c r="BH56" s="1160">
        <f t="shared" si="76"/>
        <v>0</v>
      </c>
      <c r="BI56" s="1592">
        <f t="shared" si="158"/>
        <v>1</v>
      </c>
      <c r="BJ56" s="1592">
        <f t="shared" si="159"/>
        <v>2.06414530932E-2</v>
      </c>
      <c r="BK56" s="821">
        <f t="shared" si="160"/>
        <v>2.06414530932E-2</v>
      </c>
      <c r="BL56" s="1160">
        <f t="shared" si="77"/>
        <v>0</v>
      </c>
      <c r="BM56" s="1592">
        <f t="shared" si="161"/>
        <v>1.8466846940203501</v>
      </c>
      <c r="BN56" s="821">
        <f t="shared" si="162"/>
        <v>1.8466846940203501</v>
      </c>
      <c r="BO56" s="1160">
        <f t="shared" si="78"/>
        <v>0</v>
      </c>
      <c r="BP56" s="1592">
        <f t="shared" si="163"/>
        <v>4.4320432656488498</v>
      </c>
      <c r="BQ56" s="821">
        <f t="shared" si="164"/>
        <v>4.4320432656488498</v>
      </c>
      <c r="BR56" s="1160">
        <f t="shared" si="79"/>
        <v>0</v>
      </c>
      <c r="BS56" s="1592" t="str">
        <f t="shared" si="165"/>
        <v>--</v>
      </c>
      <c r="BT56" s="821">
        <f t="shared" si="166"/>
        <v>0</v>
      </c>
      <c r="BU56" s="1160">
        <f t="shared" si="82"/>
        <v>0</v>
      </c>
      <c r="BW56" s="75" t="str">
        <f t="shared" si="167"/>
        <v>--</v>
      </c>
      <c r="BX56" s="75" t="str">
        <f t="shared" si="168"/>
        <v xml:space="preserve"> </v>
      </c>
      <c r="BY56" s="75" t="str">
        <f t="shared" si="169"/>
        <v/>
      </c>
      <c r="BZ56" s="75" t="str">
        <f t="shared" si="170"/>
        <v/>
      </c>
      <c r="CA56" s="1670" t="str">
        <f t="shared" si="83"/>
        <v>--</v>
      </c>
      <c r="CB56" s="75" t="str">
        <f t="shared" si="171"/>
        <v>--</v>
      </c>
      <c r="CC56" s="75" t="str">
        <f t="shared" si="172"/>
        <v xml:space="preserve"> </v>
      </c>
      <c r="CD56" s="75" t="str">
        <f t="shared" si="173"/>
        <v/>
      </c>
      <c r="CE56" s="75" t="str">
        <f t="shared" si="174"/>
        <v/>
      </c>
      <c r="CF56" s="1670" t="str">
        <f t="shared" si="84"/>
        <v>--</v>
      </c>
      <c r="CG56" s="75">
        <f t="shared" si="175"/>
        <v>0.8</v>
      </c>
      <c r="CH56" s="75" t="str">
        <f t="shared" si="176"/>
        <v>IRIS 1988</v>
      </c>
      <c r="CI56" s="75">
        <f t="shared" si="177"/>
        <v>0.8</v>
      </c>
      <c r="CJ56" s="75" t="str">
        <f t="shared" si="178"/>
        <v>I</v>
      </c>
      <c r="CK56" s="1670" t="str">
        <f t="shared" si="85"/>
        <v>--</v>
      </c>
      <c r="CL56" s="75" t="str">
        <f t="shared" si="179"/>
        <v>--</v>
      </c>
      <c r="CM56" s="75" t="str">
        <f t="shared" si="180"/>
        <v xml:space="preserve"> </v>
      </c>
      <c r="CN56" s="75" t="str">
        <f t="shared" si="181"/>
        <v/>
      </c>
      <c r="CO56" s="75" t="str">
        <f t="shared" si="182"/>
        <v/>
      </c>
      <c r="CP56" s="1670" t="str">
        <f t="shared" si="86"/>
        <v>--</v>
      </c>
      <c r="CR56" s="1686" t="str">
        <f t="shared" si="87"/>
        <v>--</v>
      </c>
      <c r="CS56" s="1686" t="str">
        <f t="shared" si="88"/>
        <v>--</v>
      </c>
      <c r="CT56" s="1686" t="str">
        <f t="shared" si="89"/>
        <v>--</v>
      </c>
      <c r="CU56" s="1686" t="str">
        <f t="shared" si="90"/>
        <v>--</v>
      </c>
    </row>
    <row r="57" spans="1:99">
      <c r="A57" s="309" t="s">
        <v>183</v>
      </c>
      <c r="B57" s="427" t="s">
        <v>184</v>
      </c>
      <c r="C57" s="1563" t="str">
        <f t="shared" si="118"/>
        <v>O</v>
      </c>
      <c r="D57" t="e">
        <f t="shared" si="119"/>
        <v>#N/A</v>
      </c>
      <c r="E57" s="1563">
        <f t="shared" si="120"/>
        <v>24.5</v>
      </c>
      <c r="F57">
        <f t="shared" si="121"/>
        <v>24.5</v>
      </c>
      <c r="G57" s="1160">
        <f t="shared" si="63"/>
        <v>0</v>
      </c>
      <c r="H57" s="1563" t="str">
        <f t="shared" si="122"/>
        <v>NV</v>
      </c>
      <c r="I57">
        <f t="shared" si="123"/>
        <v>0</v>
      </c>
      <c r="J57" s="1160">
        <f t="shared" si="64"/>
        <v>0</v>
      </c>
      <c r="K57" s="1563">
        <f t="shared" si="124"/>
        <v>122.17</v>
      </c>
      <c r="L57">
        <f t="shared" si="125"/>
        <v>122.17</v>
      </c>
      <c r="M57" s="1160">
        <f t="shared" si="65"/>
        <v>0</v>
      </c>
      <c r="N57" s="1563">
        <f t="shared" si="126"/>
        <v>0.10199999999999999</v>
      </c>
      <c r="O57">
        <f t="shared" si="127"/>
        <v>0.10199999999999999</v>
      </c>
      <c r="P57" s="1160">
        <f t="shared" si="66"/>
        <v>0</v>
      </c>
      <c r="Q57" s="1563">
        <f t="shared" si="128"/>
        <v>7870</v>
      </c>
      <c r="R57">
        <f t="shared" si="129"/>
        <v>7870</v>
      </c>
      <c r="S57" s="1160">
        <f t="shared" si="67"/>
        <v>0</v>
      </c>
      <c r="T57" s="1563">
        <f t="shared" si="130"/>
        <v>9.5099999999999998E-7</v>
      </c>
      <c r="U57">
        <f t="shared" si="131"/>
        <v>9.5099999999999998E-7</v>
      </c>
      <c r="V57" s="1160">
        <f t="shared" si="68"/>
        <v>0</v>
      </c>
      <c r="W57" s="1563">
        <f t="shared" si="132"/>
        <v>3.8879803760000002E-5</v>
      </c>
      <c r="X57">
        <f t="shared" si="133"/>
        <v>3.8879803760000002E-5</v>
      </c>
      <c r="Y57" s="1160">
        <f t="shared" si="69"/>
        <v>0</v>
      </c>
      <c r="Z57" s="1563">
        <f t="shared" si="134"/>
        <v>491.8</v>
      </c>
      <c r="AA57">
        <f t="shared" si="135"/>
        <v>491.8</v>
      </c>
      <c r="AB57" s="1160">
        <f t="shared" si="70"/>
        <v>0</v>
      </c>
      <c r="AC57" s="1563">
        <f t="shared" si="136"/>
        <v>2.9508000000000001</v>
      </c>
      <c r="AD57" t="str">
        <f t="shared" si="137"/>
        <v/>
      </c>
      <c r="AE57" s="1160">
        <f t="shared" si="71"/>
        <v>1</v>
      </c>
      <c r="AF57" s="1563">
        <f t="shared" si="138"/>
        <v>6.2245058879930003E-2</v>
      </c>
      <c r="AG57">
        <f t="shared" si="139"/>
        <v>6.2245058879930003E-2</v>
      </c>
      <c r="AH57" s="1160">
        <f t="shared" si="72"/>
        <v>0</v>
      </c>
      <c r="AI57" s="1563">
        <f t="shared" si="140"/>
        <v>8.3139884193999994E-6</v>
      </c>
      <c r="AJ57">
        <f t="shared" si="141"/>
        <v>8.3139884193999994E-6</v>
      </c>
      <c r="AK57" s="1160">
        <f t="shared" si="73"/>
        <v>0</v>
      </c>
      <c r="AL57" s="1563">
        <f t="shared" si="142"/>
        <v>81.644702856999999</v>
      </c>
      <c r="AM57" t="e">
        <f t="shared" si="143"/>
        <v>#N/A</v>
      </c>
      <c r="AN57" s="1563">
        <f t="shared" si="144"/>
        <v>24009.853925283485</v>
      </c>
      <c r="AO57" t="str">
        <f t="shared" si="145"/>
        <v/>
      </c>
      <c r="AP57" s="1160">
        <f t="shared" si="146"/>
        <v>1</v>
      </c>
      <c r="AQ57" s="1563" t="str">
        <f t="shared" si="147"/>
        <v>--</v>
      </c>
      <c r="AS57" s="1563" t="str">
        <f t="shared" si="148"/>
        <v>--</v>
      </c>
      <c r="AU57" s="1563" t="str">
        <f t="shared" si="149"/>
        <v>--</v>
      </c>
      <c r="AW57" s="1563" t="str">
        <f t="shared" si="150"/>
        <v>--</v>
      </c>
      <c r="AY57" s="1592">
        <f t="shared" si="151"/>
        <v>1</v>
      </c>
      <c r="AZ57" s="821">
        <f t="shared" si="152"/>
        <v>1</v>
      </c>
      <c r="BA57" s="1160">
        <f t="shared" si="74"/>
        <v>0</v>
      </c>
      <c r="BB57" s="1592">
        <f t="shared" si="153"/>
        <v>0.1</v>
      </c>
      <c r="BC57" s="821">
        <f t="shared" si="154"/>
        <v>0.1</v>
      </c>
      <c r="BD57" s="1160">
        <f t="shared" si="75"/>
        <v>0</v>
      </c>
      <c r="BE57" s="1592" t="str">
        <f t="shared" si="155"/>
        <v>Yes</v>
      </c>
      <c r="BF57" s="1592">
        <f t="shared" si="156"/>
        <v>1.09E-2</v>
      </c>
      <c r="BG57" s="821">
        <f t="shared" si="157"/>
        <v>1.09E-2</v>
      </c>
      <c r="BH57" s="1160">
        <f t="shared" si="76"/>
        <v>0</v>
      </c>
      <c r="BI57" s="1592">
        <f t="shared" si="158"/>
        <v>1</v>
      </c>
      <c r="BJ57" s="1592">
        <f t="shared" si="159"/>
        <v>4.6337802790549998E-2</v>
      </c>
      <c r="BK57" s="821">
        <f t="shared" si="160"/>
        <v>4.6337802790549998E-2</v>
      </c>
      <c r="BL57" s="1160">
        <f t="shared" si="77"/>
        <v>0</v>
      </c>
      <c r="BM57" s="1592">
        <f t="shared" si="161"/>
        <v>0.50816031967269004</v>
      </c>
      <c r="BN57" s="821">
        <f t="shared" si="162"/>
        <v>0.50816031967269004</v>
      </c>
      <c r="BO57" s="1160">
        <f t="shared" si="78"/>
        <v>0</v>
      </c>
      <c r="BP57" s="1592">
        <f t="shared" si="163"/>
        <v>1.21958476721446</v>
      </c>
      <c r="BQ57" s="821">
        <f t="shared" si="164"/>
        <v>1.21958476721446</v>
      </c>
      <c r="BR57" s="1160">
        <f t="shared" si="79"/>
        <v>0</v>
      </c>
      <c r="BS57" s="1592" t="str">
        <f t="shared" si="165"/>
        <v>--</v>
      </c>
      <c r="BT57" s="821">
        <f t="shared" si="166"/>
        <v>0</v>
      </c>
      <c r="BU57" s="1160">
        <f t="shared" si="82"/>
        <v>0</v>
      </c>
      <c r="BW57" s="75" t="str">
        <f t="shared" si="167"/>
        <v>--</v>
      </c>
      <c r="BX57" s="75" t="str">
        <f t="shared" si="168"/>
        <v xml:space="preserve"> </v>
      </c>
      <c r="BY57" s="75" t="str">
        <f t="shared" si="169"/>
        <v/>
      </c>
      <c r="BZ57" s="75" t="str">
        <f t="shared" si="170"/>
        <v/>
      </c>
      <c r="CA57" s="1670" t="str">
        <f t="shared" si="83"/>
        <v>--</v>
      </c>
      <c r="CB57" s="75" t="str">
        <f t="shared" si="171"/>
        <v>--</v>
      </c>
      <c r="CC57" s="75" t="str">
        <f t="shared" si="172"/>
        <v xml:space="preserve"> </v>
      </c>
      <c r="CD57" s="75" t="str">
        <f t="shared" si="173"/>
        <v/>
      </c>
      <c r="CE57" s="75" t="str">
        <f t="shared" si="174"/>
        <v/>
      </c>
      <c r="CF57" s="1670" t="str">
        <f t="shared" si="84"/>
        <v>--</v>
      </c>
      <c r="CG57" s="75">
        <f t="shared" si="175"/>
        <v>0.02</v>
      </c>
      <c r="CH57" s="75" t="str">
        <f t="shared" si="176"/>
        <v>IRIS 1990</v>
      </c>
      <c r="CI57" s="75">
        <f t="shared" si="177"/>
        <v>0.02</v>
      </c>
      <c r="CJ57" s="75" t="str">
        <f t="shared" si="178"/>
        <v>I</v>
      </c>
      <c r="CK57" s="1670" t="str">
        <f t="shared" si="85"/>
        <v>--</v>
      </c>
      <c r="CL57" s="75" t="str">
        <f t="shared" si="179"/>
        <v>--</v>
      </c>
      <c r="CM57" s="75" t="str">
        <f t="shared" si="180"/>
        <v xml:space="preserve"> </v>
      </c>
      <c r="CN57" s="75" t="str">
        <f t="shared" si="181"/>
        <v/>
      </c>
      <c r="CO57" s="75" t="str">
        <f t="shared" si="182"/>
        <v/>
      </c>
      <c r="CP57" s="1670" t="str">
        <f t="shared" si="86"/>
        <v>--</v>
      </c>
      <c r="CR57" s="1686" t="str">
        <f t="shared" si="87"/>
        <v>--</v>
      </c>
      <c r="CS57" s="1686" t="str">
        <f t="shared" si="88"/>
        <v>--</v>
      </c>
      <c r="CT57" s="1686" t="str">
        <f t="shared" si="89"/>
        <v>--</v>
      </c>
      <c r="CU57" s="1686" t="str">
        <f t="shared" si="90"/>
        <v>--</v>
      </c>
    </row>
    <row r="58" spans="1:99">
      <c r="A58" s="309" t="s">
        <v>185</v>
      </c>
      <c r="B58" s="427" t="s">
        <v>186</v>
      </c>
      <c r="C58" s="1563" t="str">
        <f t="shared" si="118"/>
        <v>O</v>
      </c>
      <c r="D58" t="e">
        <f t="shared" si="119"/>
        <v>#N/A</v>
      </c>
      <c r="E58" s="1563">
        <f t="shared" si="120"/>
        <v>114.8</v>
      </c>
      <c r="F58">
        <f t="shared" si="121"/>
        <v>114.8</v>
      </c>
      <c r="G58" s="1160">
        <f t="shared" si="63"/>
        <v>0</v>
      </c>
      <c r="H58" s="1563" t="str">
        <f t="shared" si="122"/>
        <v>NV</v>
      </c>
      <c r="I58">
        <f t="shared" si="123"/>
        <v>0</v>
      </c>
      <c r="J58" s="1160">
        <f t="shared" si="64"/>
        <v>0</v>
      </c>
      <c r="K58" s="1563">
        <f t="shared" si="124"/>
        <v>184.11</v>
      </c>
      <c r="L58">
        <f t="shared" si="125"/>
        <v>184.11</v>
      </c>
      <c r="M58" s="1160">
        <f t="shared" si="65"/>
        <v>0</v>
      </c>
      <c r="N58" s="1563">
        <f t="shared" si="126"/>
        <v>3.8999999999999999E-4</v>
      </c>
      <c r="O58">
        <f t="shared" si="127"/>
        <v>3.8999999999999999E-4</v>
      </c>
      <c r="P58" s="1160">
        <f t="shared" si="66"/>
        <v>0</v>
      </c>
      <c r="Q58" s="1563">
        <f t="shared" si="128"/>
        <v>2790</v>
      </c>
      <c r="R58">
        <f t="shared" si="129"/>
        <v>2790</v>
      </c>
      <c r="S58" s="1160">
        <f t="shared" si="67"/>
        <v>0</v>
      </c>
      <c r="T58" s="1563">
        <f t="shared" si="130"/>
        <v>8.6000000000000002E-8</v>
      </c>
      <c r="U58">
        <f t="shared" si="131"/>
        <v>8.6000000000000002E-8</v>
      </c>
      <c r="V58" s="1160">
        <f t="shared" si="68"/>
        <v>0</v>
      </c>
      <c r="W58" s="1563">
        <f t="shared" si="132"/>
        <v>3.51594439902E-6</v>
      </c>
      <c r="X58">
        <f t="shared" si="133"/>
        <v>3.51594439902E-6</v>
      </c>
      <c r="Y58" s="1160">
        <f t="shared" si="69"/>
        <v>0</v>
      </c>
      <c r="Z58" s="1563">
        <f t="shared" si="134"/>
        <v>460.8</v>
      </c>
      <c r="AA58">
        <f t="shared" si="135"/>
        <v>460.8</v>
      </c>
      <c r="AB58" s="1160">
        <f t="shared" si="70"/>
        <v>0</v>
      </c>
      <c r="AC58" s="1563">
        <f t="shared" si="136"/>
        <v>2.7648000000000001</v>
      </c>
      <c r="AD58" t="str">
        <f t="shared" si="137"/>
        <v/>
      </c>
      <c r="AE58" s="1160">
        <f t="shared" si="71"/>
        <v>1</v>
      </c>
      <c r="AF58" s="1563">
        <f t="shared" si="138"/>
        <v>4.0669921011750002E-2</v>
      </c>
      <c r="AG58">
        <f t="shared" si="139"/>
        <v>4.0669921011750002E-2</v>
      </c>
      <c r="AH58" s="1160">
        <f t="shared" si="72"/>
        <v>0</v>
      </c>
      <c r="AI58" s="1563">
        <f t="shared" si="140"/>
        <v>9.0756097778499994E-6</v>
      </c>
      <c r="AJ58">
        <f t="shared" si="141"/>
        <v>9.0756097778499994E-6</v>
      </c>
      <c r="AK58" s="1160">
        <f t="shared" si="73"/>
        <v>0</v>
      </c>
      <c r="AL58" s="1563">
        <f t="shared" si="142"/>
        <v>76.493333802000009</v>
      </c>
      <c r="AM58" t="e">
        <f t="shared" si="143"/>
        <v>#N/A</v>
      </c>
      <c r="AN58" s="1563">
        <f t="shared" si="144"/>
        <v>7992.7938570156903</v>
      </c>
      <c r="AO58" t="str">
        <f t="shared" si="145"/>
        <v/>
      </c>
      <c r="AP58" s="1160">
        <f t="shared" si="146"/>
        <v>1</v>
      </c>
      <c r="AQ58" s="1563" t="str">
        <f t="shared" si="147"/>
        <v>--</v>
      </c>
      <c r="AS58" s="1563" t="str">
        <f t="shared" si="148"/>
        <v>--</v>
      </c>
      <c r="AU58" s="1563" t="str">
        <f t="shared" si="149"/>
        <v>--</v>
      </c>
      <c r="AW58" s="1563" t="str">
        <f t="shared" si="150"/>
        <v>--</v>
      </c>
      <c r="AY58" s="1592">
        <f t="shared" si="151"/>
        <v>1</v>
      </c>
      <c r="AZ58" s="821">
        <f t="shared" si="152"/>
        <v>1</v>
      </c>
      <c r="BA58" s="1160">
        <f t="shared" si="74"/>
        <v>0</v>
      </c>
      <c r="BB58" s="1592">
        <f t="shared" si="153"/>
        <v>0.1</v>
      </c>
      <c r="BC58" s="821">
        <f t="shared" si="154"/>
        <v>0.1</v>
      </c>
      <c r="BD58" s="1160">
        <f t="shared" si="75"/>
        <v>0</v>
      </c>
      <c r="BE58" s="1592" t="str">
        <f t="shared" si="155"/>
        <v>Yes</v>
      </c>
      <c r="BF58" s="1592">
        <f t="shared" si="156"/>
        <v>1.8699999999999999E-3</v>
      </c>
      <c r="BG58" s="821">
        <f t="shared" si="157"/>
        <v>1.8699999999999999E-3</v>
      </c>
      <c r="BH58" s="1160">
        <f t="shared" si="76"/>
        <v>0</v>
      </c>
      <c r="BI58" s="1592">
        <f t="shared" si="158"/>
        <v>1</v>
      </c>
      <c r="BJ58" s="1592">
        <f t="shared" si="159"/>
        <v>9.7590366179299993E-3</v>
      </c>
      <c r="BK58" s="821">
        <f t="shared" si="160"/>
        <v>9.7590366179299993E-3</v>
      </c>
      <c r="BL58" s="1160">
        <f t="shared" si="77"/>
        <v>0</v>
      </c>
      <c r="BM58" s="1592">
        <f t="shared" si="161"/>
        <v>1.1294441221771601</v>
      </c>
      <c r="BN58" s="821">
        <f t="shared" si="162"/>
        <v>1.1294441221771601</v>
      </c>
      <c r="BO58" s="1160">
        <f t="shared" si="78"/>
        <v>0</v>
      </c>
      <c r="BP58" s="1592">
        <f t="shared" si="163"/>
        <v>2.7106658932251899</v>
      </c>
      <c r="BQ58" s="821">
        <f t="shared" si="164"/>
        <v>2.7106658932251899</v>
      </c>
      <c r="BR58" s="1160">
        <f t="shared" si="79"/>
        <v>0</v>
      </c>
      <c r="BS58" s="1592" t="str">
        <f t="shared" si="165"/>
        <v>--</v>
      </c>
      <c r="BT58" s="821">
        <f t="shared" si="166"/>
        <v>0</v>
      </c>
      <c r="BU58" s="1160">
        <f t="shared" si="82"/>
        <v>0</v>
      </c>
      <c r="BW58" s="75" t="str">
        <f t="shared" si="167"/>
        <v>--</v>
      </c>
      <c r="BX58" s="75" t="str">
        <f t="shared" si="168"/>
        <v xml:space="preserve"> </v>
      </c>
      <c r="BY58" s="75" t="str">
        <f t="shared" si="169"/>
        <v/>
      </c>
      <c r="BZ58" s="75" t="str">
        <f t="shared" si="170"/>
        <v/>
      </c>
      <c r="CA58" s="1670" t="str">
        <f t="shared" si="83"/>
        <v>--</v>
      </c>
      <c r="CB58" s="75" t="str">
        <f t="shared" si="171"/>
        <v>--</v>
      </c>
      <c r="CC58" s="75" t="str">
        <f t="shared" si="172"/>
        <v xml:space="preserve"> </v>
      </c>
      <c r="CD58" s="75" t="str">
        <f t="shared" si="173"/>
        <v/>
      </c>
      <c r="CE58" s="75" t="str">
        <f t="shared" si="174"/>
        <v/>
      </c>
      <c r="CF58" s="1670" t="str">
        <f t="shared" si="84"/>
        <v>--</v>
      </c>
      <c r="CG58" s="75">
        <f t="shared" si="175"/>
        <v>2E-3</v>
      </c>
      <c r="CH58" s="75" t="str">
        <f t="shared" si="176"/>
        <v>IRIS 1991</v>
      </c>
      <c r="CI58" s="75">
        <f t="shared" si="177"/>
        <v>2E-3</v>
      </c>
      <c r="CJ58" s="75" t="str">
        <f t="shared" si="178"/>
        <v>I</v>
      </c>
      <c r="CK58" s="1670" t="str">
        <f t="shared" si="85"/>
        <v>--</v>
      </c>
      <c r="CL58" s="75" t="str">
        <f t="shared" si="179"/>
        <v>--</v>
      </c>
      <c r="CM58" s="75" t="str">
        <f t="shared" si="180"/>
        <v xml:space="preserve"> </v>
      </c>
      <c r="CN58" s="75" t="str">
        <f t="shared" si="181"/>
        <v/>
      </c>
      <c r="CO58" s="75" t="str">
        <f t="shared" si="182"/>
        <v/>
      </c>
      <c r="CP58" s="1670" t="str">
        <f t="shared" si="86"/>
        <v>--</v>
      </c>
      <c r="CR58" s="1686" t="str">
        <f t="shared" si="87"/>
        <v>--</v>
      </c>
      <c r="CS58" s="1686" t="str">
        <f t="shared" si="88"/>
        <v>--</v>
      </c>
      <c r="CT58" s="1686" t="str">
        <f t="shared" si="89"/>
        <v>--</v>
      </c>
      <c r="CU58" s="1686" t="str">
        <f t="shared" si="90"/>
        <v>--</v>
      </c>
    </row>
    <row r="59" spans="1:99">
      <c r="A59" s="309" t="s">
        <v>187</v>
      </c>
      <c r="B59" s="427" t="s">
        <v>188</v>
      </c>
      <c r="C59" s="1563" t="str">
        <f t="shared" si="118"/>
        <v>O</v>
      </c>
      <c r="D59" t="e">
        <f t="shared" si="119"/>
        <v>#N/A</v>
      </c>
      <c r="E59" s="1563">
        <f t="shared" si="120"/>
        <v>71</v>
      </c>
      <c r="F59">
        <f t="shared" si="121"/>
        <v>71</v>
      </c>
      <c r="G59" s="1160">
        <f t="shared" si="63"/>
        <v>0</v>
      </c>
      <c r="H59" s="1563" t="str">
        <f t="shared" si="122"/>
        <v>NV</v>
      </c>
      <c r="I59">
        <f t="shared" si="123"/>
        <v>0</v>
      </c>
      <c r="J59" s="1160">
        <f t="shared" si="64"/>
        <v>0</v>
      </c>
      <c r="K59" s="1563">
        <f t="shared" si="124"/>
        <v>182.14</v>
      </c>
      <c r="L59">
        <f t="shared" si="125"/>
        <v>182.14</v>
      </c>
      <c r="M59" s="1160">
        <f t="shared" si="65"/>
        <v>0</v>
      </c>
      <c r="N59" s="1563">
        <f t="shared" si="126"/>
        <v>1.47E-4</v>
      </c>
      <c r="O59">
        <f t="shared" si="127"/>
        <v>1.47E-4</v>
      </c>
      <c r="P59" s="1160">
        <f t="shared" si="66"/>
        <v>0</v>
      </c>
      <c r="Q59" s="1563">
        <f t="shared" si="128"/>
        <v>200</v>
      </c>
      <c r="R59">
        <f t="shared" si="129"/>
        <v>200</v>
      </c>
      <c r="S59" s="1160">
        <f t="shared" si="67"/>
        <v>0</v>
      </c>
      <c r="T59" s="1563">
        <f t="shared" si="130"/>
        <v>5.4E-8</v>
      </c>
      <c r="U59">
        <f t="shared" si="131"/>
        <v>5.4E-8</v>
      </c>
      <c r="V59" s="1160">
        <f t="shared" si="68"/>
        <v>0</v>
      </c>
      <c r="W59" s="1563">
        <f t="shared" si="132"/>
        <v>2.2076860179899999E-6</v>
      </c>
      <c r="X59">
        <f t="shared" si="133"/>
        <v>2.2076860179899999E-6</v>
      </c>
      <c r="Y59" s="1160">
        <f t="shared" si="69"/>
        <v>0</v>
      </c>
      <c r="Z59" s="1563">
        <f t="shared" si="134"/>
        <v>575.6</v>
      </c>
      <c r="AA59">
        <f t="shared" si="135"/>
        <v>575.6</v>
      </c>
      <c r="AB59" s="1160">
        <f t="shared" si="70"/>
        <v>0</v>
      </c>
      <c r="AC59" s="1563">
        <f t="shared" si="136"/>
        <v>3.4536000000000002</v>
      </c>
      <c r="AD59" t="str">
        <f t="shared" si="137"/>
        <v/>
      </c>
      <c r="AE59" s="1160">
        <f t="shared" si="71"/>
        <v>1</v>
      </c>
      <c r="AF59" s="1563">
        <f t="shared" si="138"/>
        <v>3.7511504073990003E-2</v>
      </c>
      <c r="AG59">
        <f t="shared" si="139"/>
        <v>3.7511504073990003E-2</v>
      </c>
      <c r="AH59" s="1160">
        <f t="shared" si="72"/>
        <v>0</v>
      </c>
      <c r="AI59" s="1563">
        <f t="shared" si="140"/>
        <v>7.8982487671299997E-6</v>
      </c>
      <c r="AJ59">
        <f t="shared" si="141"/>
        <v>7.8982487671299997E-6</v>
      </c>
      <c r="AK59" s="1160">
        <f t="shared" si="73"/>
        <v>0</v>
      </c>
      <c r="AL59" s="1563">
        <f t="shared" si="142"/>
        <v>95.549935178000013</v>
      </c>
      <c r="AM59" t="e">
        <f t="shared" si="143"/>
        <v>#N/A</v>
      </c>
      <c r="AN59" s="1563">
        <f t="shared" si="144"/>
        <v>710.72008358660287</v>
      </c>
      <c r="AO59" t="str">
        <f t="shared" si="145"/>
        <v/>
      </c>
      <c r="AP59" s="1160">
        <f t="shared" si="146"/>
        <v>1</v>
      </c>
      <c r="AQ59" s="1563" t="str">
        <f t="shared" si="147"/>
        <v>--</v>
      </c>
      <c r="AS59" s="1563" t="str">
        <f t="shared" si="148"/>
        <v>--</v>
      </c>
      <c r="AU59" s="1563" t="str">
        <f t="shared" si="149"/>
        <v>--</v>
      </c>
      <c r="AW59" s="1563" t="str">
        <f t="shared" si="150"/>
        <v>--</v>
      </c>
      <c r="AY59" s="1592">
        <f t="shared" si="151"/>
        <v>1</v>
      </c>
      <c r="AZ59" s="821">
        <f t="shared" si="152"/>
        <v>1</v>
      </c>
      <c r="BA59" s="1160">
        <f t="shared" si="74"/>
        <v>0</v>
      </c>
      <c r="BB59" s="1592">
        <f t="shared" si="153"/>
        <v>0.10199999999999999</v>
      </c>
      <c r="BC59" s="821">
        <f t="shared" si="154"/>
        <v>0.10199999999999999</v>
      </c>
      <c r="BD59" s="1160">
        <f t="shared" si="75"/>
        <v>0</v>
      </c>
      <c r="BE59" s="1592" t="str">
        <f t="shared" si="155"/>
        <v>Yes</v>
      </c>
      <c r="BF59" s="1592">
        <f t="shared" si="156"/>
        <v>3.0799999999999998E-3</v>
      </c>
      <c r="BG59" s="821">
        <f t="shared" si="157"/>
        <v>3.0799999999999998E-3</v>
      </c>
      <c r="BH59" s="1160">
        <f t="shared" si="76"/>
        <v>0</v>
      </c>
      <c r="BI59" s="1592">
        <f t="shared" si="158"/>
        <v>1</v>
      </c>
      <c r="BJ59" s="1592">
        <f t="shared" si="159"/>
        <v>1.5987480753030001E-2</v>
      </c>
      <c r="BK59" s="821">
        <f t="shared" si="160"/>
        <v>1.5987480753030001E-2</v>
      </c>
      <c r="BL59" s="1160">
        <f t="shared" si="77"/>
        <v>0</v>
      </c>
      <c r="BM59" s="1592">
        <f t="shared" si="161"/>
        <v>1.1011151793496901</v>
      </c>
      <c r="BN59" s="821">
        <f t="shared" si="162"/>
        <v>1.1011151793496901</v>
      </c>
      <c r="BO59" s="1160">
        <f t="shared" si="78"/>
        <v>0</v>
      </c>
      <c r="BP59" s="1592">
        <f t="shared" si="163"/>
        <v>2.64267643043926</v>
      </c>
      <c r="BQ59" s="821">
        <f t="shared" si="164"/>
        <v>2.64267643043926</v>
      </c>
      <c r="BR59" s="1160">
        <f t="shared" si="79"/>
        <v>0</v>
      </c>
      <c r="BS59" s="1592" t="str">
        <f t="shared" si="165"/>
        <v>--</v>
      </c>
      <c r="BT59" s="821">
        <f t="shared" si="166"/>
        <v>0</v>
      </c>
      <c r="BU59" s="1160">
        <f t="shared" si="82"/>
        <v>0</v>
      </c>
      <c r="BW59" s="75">
        <f t="shared" si="167"/>
        <v>0.31</v>
      </c>
      <c r="BX59" s="75" t="str">
        <f t="shared" si="168"/>
        <v>OEHHA 2009</v>
      </c>
      <c r="BY59" s="75">
        <f t="shared" si="169"/>
        <v>0.31</v>
      </c>
      <c r="BZ59" s="75" t="str">
        <f t="shared" si="170"/>
        <v>C</v>
      </c>
      <c r="CA59" s="1670" t="str">
        <f t="shared" si="83"/>
        <v>--</v>
      </c>
      <c r="CB59" s="75">
        <f t="shared" si="171"/>
        <v>8.8999999999999995E-5</v>
      </c>
      <c r="CC59" s="75" t="str">
        <f t="shared" si="172"/>
        <v>OEHHA 2009</v>
      </c>
      <c r="CD59" s="75">
        <f t="shared" si="173"/>
        <v>8.8999999999999995E-5</v>
      </c>
      <c r="CE59" s="75" t="str">
        <f t="shared" si="174"/>
        <v>C</v>
      </c>
      <c r="CF59" s="1670" t="str">
        <f t="shared" si="84"/>
        <v>--</v>
      </c>
      <c r="CG59" s="75">
        <f t="shared" si="175"/>
        <v>2E-3</v>
      </c>
      <c r="CH59" s="75" t="str">
        <f t="shared" si="176"/>
        <v>IRIS 1992</v>
      </c>
      <c r="CI59" s="75">
        <f t="shared" si="177"/>
        <v>2E-3</v>
      </c>
      <c r="CJ59" s="75" t="str">
        <f t="shared" si="178"/>
        <v>I</v>
      </c>
      <c r="CK59" s="1670" t="str">
        <f t="shared" si="85"/>
        <v>--</v>
      </c>
      <c r="CL59" s="75" t="str">
        <f t="shared" si="179"/>
        <v>--</v>
      </c>
      <c r="CM59" s="75" t="str">
        <f t="shared" si="180"/>
        <v xml:space="preserve"> </v>
      </c>
      <c r="CN59" s="75" t="str">
        <f t="shared" si="181"/>
        <v/>
      </c>
      <c r="CO59" s="75" t="str">
        <f t="shared" si="182"/>
        <v/>
      </c>
      <c r="CP59" s="1670" t="str">
        <f t="shared" si="86"/>
        <v>--</v>
      </c>
      <c r="CR59" s="1686" t="str">
        <f t="shared" si="87"/>
        <v>--</v>
      </c>
      <c r="CS59" s="1686" t="str">
        <f t="shared" si="88"/>
        <v>--</v>
      </c>
      <c r="CT59" s="1686" t="str">
        <f t="shared" si="89"/>
        <v>--</v>
      </c>
      <c r="CU59" s="1686" t="str">
        <f t="shared" si="90"/>
        <v>--</v>
      </c>
    </row>
    <row r="60" spans="1:99">
      <c r="A60" s="309" t="s">
        <v>189</v>
      </c>
      <c r="B60" s="427" t="s">
        <v>190</v>
      </c>
      <c r="C60" s="1563" t="str">
        <f t="shared" si="118"/>
        <v>O</v>
      </c>
      <c r="D60" t="e">
        <f t="shared" si="119"/>
        <v>#N/A</v>
      </c>
      <c r="E60" s="1563">
        <f t="shared" si="120"/>
        <v>11.8</v>
      </c>
      <c r="F60">
        <f t="shared" si="121"/>
        <v>11.8</v>
      </c>
      <c r="G60" s="1160">
        <f t="shared" si="63"/>
        <v>0</v>
      </c>
      <c r="H60" s="1563" t="str">
        <f t="shared" si="122"/>
        <v>V</v>
      </c>
      <c r="I60" t="str">
        <f t="shared" si="123"/>
        <v>V</v>
      </c>
      <c r="J60" s="1160">
        <f t="shared" si="64"/>
        <v>0</v>
      </c>
      <c r="K60" s="1563">
        <f t="shared" si="124"/>
        <v>88.106999999999999</v>
      </c>
      <c r="L60">
        <f t="shared" si="125"/>
        <v>88.106999999999999</v>
      </c>
      <c r="M60" s="1160">
        <f t="shared" si="65"/>
        <v>0</v>
      </c>
      <c r="N60" s="1563">
        <f t="shared" si="126"/>
        <v>38.090000000000003</v>
      </c>
      <c r="O60">
        <f t="shared" si="127"/>
        <v>38.090000000000003</v>
      </c>
      <c r="P60" s="1160">
        <f t="shared" si="66"/>
        <v>0</v>
      </c>
      <c r="Q60" s="1563">
        <f t="shared" si="128"/>
        <v>1000000</v>
      </c>
      <c r="R60">
        <f t="shared" si="129"/>
        <v>1000000</v>
      </c>
      <c r="S60" s="1160">
        <f t="shared" si="67"/>
        <v>0</v>
      </c>
      <c r="T60" s="1563">
        <f t="shared" si="130"/>
        <v>4.7999999999999998E-6</v>
      </c>
      <c r="U60">
        <f t="shared" si="131"/>
        <v>4.7999999999999998E-6</v>
      </c>
      <c r="V60" s="1160">
        <f t="shared" si="68"/>
        <v>0</v>
      </c>
      <c r="W60" s="1563">
        <f t="shared" si="132"/>
        <v>1.9623875715000001E-4</v>
      </c>
      <c r="X60">
        <f t="shared" si="133"/>
        <v>1.9623875715000001E-4</v>
      </c>
      <c r="Y60" s="1160">
        <f t="shared" si="69"/>
        <v>0</v>
      </c>
      <c r="Z60" s="1563">
        <f t="shared" si="134"/>
        <v>2.633</v>
      </c>
      <c r="AA60">
        <f t="shared" si="135"/>
        <v>2.633</v>
      </c>
      <c r="AB60" s="1160">
        <f t="shared" si="70"/>
        <v>0</v>
      </c>
      <c r="AC60" s="1563">
        <f t="shared" si="136"/>
        <v>1.5798E-2</v>
      </c>
      <c r="AD60" t="str">
        <f t="shared" si="137"/>
        <v/>
      </c>
      <c r="AE60" s="1160">
        <f t="shared" si="71"/>
        <v>1</v>
      </c>
      <c r="AF60" s="1563">
        <f t="shared" si="138"/>
        <v>8.7373925367260005E-2</v>
      </c>
      <c r="AG60">
        <f t="shared" si="139"/>
        <v>8.7373925367260005E-2</v>
      </c>
      <c r="AH60" s="1160">
        <f t="shared" si="72"/>
        <v>0</v>
      </c>
      <c r="AI60" s="1563">
        <f t="shared" si="140"/>
        <v>1.0541495629999999E-5</v>
      </c>
      <c r="AJ60">
        <f t="shared" si="141"/>
        <v>1.0541495629999999E-5</v>
      </c>
      <c r="AK60" s="1160">
        <f t="shared" si="73"/>
        <v>0</v>
      </c>
      <c r="AL60" s="1563">
        <f t="shared" si="142"/>
        <v>0.4668716</v>
      </c>
      <c r="AM60" t="e">
        <f t="shared" si="143"/>
        <v>#N/A</v>
      </c>
      <c r="AN60" s="1563">
        <f t="shared" si="144"/>
        <v>115835.14960119633</v>
      </c>
      <c r="AO60">
        <f t="shared" si="145"/>
        <v>116000</v>
      </c>
      <c r="AP60" s="1160">
        <f t="shared" si="146"/>
        <v>1</v>
      </c>
      <c r="AQ60" s="1563">
        <f t="shared" si="147"/>
        <v>8.4638792714907864E-6</v>
      </c>
      <c r="AS60" s="1563">
        <f t="shared" si="148"/>
        <v>39647.510790985703</v>
      </c>
      <c r="AU60" s="1563">
        <f t="shared" si="149"/>
        <v>38877.582920887813</v>
      </c>
      <c r="AW60" s="1563">
        <f t="shared" si="150"/>
        <v>8781.5806062145712</v>
      </c>
      <c r="AY60" s="1592">
        <f t="shared" si="151"/>
        <v>1</v>
      </c>
      <c r="AZ60" s="821">
        <f t="shared" si="152"/>
        <v>1</v>
      </c>
      <c r="BA60" s="1160">
        <f t="shared" si="74"/>
        <v>0</v>
      </c>
      <c r="BB60" s="1592" t="str">
        <f t="shared" si="153"/>
        <v>--</v>
      </c>
      <c r="BC60" s="821" t="str">
        <f t="shared" si="154"/>
        <v/>
      </c>
      <c r="BD60" s="1160">
        <f t="shared" si="75"/>
        <v>0</v>
      </c>
      <c r="BE60" s="1592" t="str">
        <f t="shared" si="155"/>
        <v>Yes</v>
      </c>
      <c r="BF60" s="1592">
        <f t="shared" si="156"/>
        <v>3.3199999999999999E-4</v>
      </c>
      <c r="BG60" s="821">
        <f t="shared" si="157"/>
        <v>3.3199999999999999E-4</v>
      </c>
      <c r="BH60" s="1160">
        <f t="shared" si="76"/>
        <v>0</v>
      </c>
      <c r="BI60" s="1592">
        <f t="shared" si="158"/>
        <v>1</v>
      </c>
      <c r="BJ60" s="1592">
        <f t="shared" si="159"/>
        <v>1.1985880480299999E-3</v>
      </c>
      <c r="BK60" s="821">
        <f t="shared" si="160"/>
        <v>1.1985880480299999E-3</v>
      </c>
      <c r="BL60" s="1160">
        <f t="shared" si="77"/>
        <v>0</v>
      </c>
      <c r="BM60" s="1592">
        <f t="shared" si="161"/>
        <v>0.32752763525405998</v>
      </c>
      <c r="BN60" s="821">
        <f t="shared" si="162"/>
        <v>0.32752763525405998</v>
      </c>
      <c r="BO60" s="1160">
        <f t="shared" si="78"/>
        <v>0</v>
      </c>
      <c r="BP60" s="1592">
        <f t="shared" si="163"/>
        <v>0.78606632460975001</v>
      </c>
      <c r="BQ60" s="821">
        <f t="shared" si="164"/>
        <v>0.78606632460975001</v>
      </c>
      <c r="BR60" s="1160">
        <f t="shared" si="79"/>
        <v>0</v>
      </c>
      <c r="BS60" s="1592" t="str">
        <f t="shared" si="165"/>
        <v>--</v>
      </c>
      <c r="BT60" s="821">
        <f t="shared" si="166"/>
        <v>0</v>
      </c>
      <c r="BU60" s="1160">
        <f t="shared" si="82"/>
        <v>0</v>
      </c>
      <c r="BW60" s="75">
        <f t="shared" si="167"/>
        <v>0.1</v>
      </c>
      <c r="BX60" s="75" t="str">
        <f t="shared" si="168"/>
        <v>IRIS 2013</v>
      </c>
      <c r="BY60" s="75">
        <f t="shared" si="169"/>
        <v>0.1</v>
      </c>
      <c r="BZ60" s="75" t="str">
        <f t="shared" si="170"/>
        <v>I</v>
      </c>
      <c r="CA60" s="1670" t="str">
        <f t="shared" si="83"/>
        <v>--</v>
      </c>
      <c r="CB60" s="75">
        <f t="shared" si="171"/>
        <v>5.0000000000000004E-6</v>
      </c>
      <c r="CC60" s="75" t="str">
        <f t="shared" si="172"/>
        <v>IRIS 2013</v>
      </c>
      <c r="CD60" s="75">
        <f t="shared" si="173"/>
        <v>5.0000000000000004E-6</v>
      </c>
      <c r="CE60" s="75" t="str">
        <f t="shared" si="174"/>
        <v>I</v>
      </c>
      <c r="CF60" s="1670" t="str">
        <f t="shared" si="84"/>
        <v>--</v>
      </c>
      <c r="CG60" s="75">
        <f t="shared" si="175"/>
        <v>0.03</v>
      </c>
      <c r="CH60" s="75" t="str">
        <f t="shared" si="176"/>
        <v>IRIS 2013</v>
      </c>
      <c r="CI60" s="75">
        <f t="shared" si="177"/>
        <v>0.03</v>
      </c>
      <c r="CJ60" s="75" t="str">
        <f t="shared" si="178"/>
        <v>I</v>
      </c>
      <c r="CK60" s="1670" t="str">
        <f t="shared" si="85"/>
        <v>--</v>
      </c>
      <c r="CL60" s="75">
        <f t="shared" si="179"/>
        <v>30</v>
      </c>
      <c r="CM60" s="75" t="str">
        <f t="shared" si="180"/>
        <v>IRIS 2013</v>
      </c>
      <c r="CN60" s="75">
        <f t="shared" si="181"/>
        <v>30</v>
      </c>
      <c r="CO60" s="75" t="str">
        <f t="shared" si="182"/>
        <v>I</v>
      </c>
      <c r="CP60" s="1670" t="str">
        <f t="shared" si="86"/>
        <v>--</v>
      </c>
      <c r="CR60" s="1686" t="str">
        <f t="shared" si="87"/>
        <v>--</v>
      </c>
      <c r="CS60" s="1686" t="str">
        <f t="shared" si="88"/>
        <v>--</v>
      </c>
      <c r="CT60" s="1686" t="str">
        <f t="shared" si="89"/>
        <v>--</v>
      </c>
      <c r="CU60" s="1686" t="str">
        <f t="shared" si="90"/>
        <v>--</v>
      </c>
    </row>
    <row r="61" spans="1:99">
      <c r="A61" s="309" t="s">
        <v>191</v>
      </c>
      <c r="B61" s="427" t="s">
        <v>192</v>
      </c>
      <c r="C61" s="1563" t="str">
        <f t="shared" si="118"/>
        <v>O</v>
      </c>
      <c r="D61" t="e">
        <f t="shared" si="119"/>
        <v>#N/A</v>
      </c>
      <c r="E61" s="1563">
        <f t="shared" si="120"/>
        <v>305</v>
      </c>
      <c r="F61">
        <f t="shared" si="121"/>
        <v>305</v>
      </c>
      <c r="G61" s="1160">
        <f t="shared" si="63"/>
        <v>0</v>
      </c>
      <c r="H61" s="1563" t="str">
        <f t="shared" si="122"/>
        <v>V</v>
      </c>
      <c r="I61" t="str">
        <f t="shared" si="123"/>
        <v>V</v>
      </c>
      <c r="J61" s="1160">
        <f t="shared" si="64"/>
        <v>0</v>
      </c>
      <c r="K61" s="1563">
        <f t="shared" si="124"/>
        <v>321.98</v>
      </c>
      <c r="L61">
        <f t="shared" si="125"/>
        <v>321.98</v>
      </c>
      <c r="M61" s="1160">
        <f t="shared" si="65"/>
        <v>0</v>
      </c>
      <c r="N61" s="1563">
        <f t="shared" si="126"/>
        <v>1.5E-9</v>
      </c>
      <c r="O61">
        <f t="shared" si="127"/>
        <v>1.5E-9</v>
      </c>
      <c r="P61" s="1160">
        <f t="shared" si="66"/>
        <v>0</v>
      </c>
      <c r="Q61" s="1563">
        <f t="shared" si="128"/>
        <v>2.0000000000000001E-4</v>
      </c>
      <c r="R61">
        <f t="shared" si="129"/>
        <v>2.0000000000000001E-4</v>
      </c>
      <c r="S61" s="1160">
        <f t="shared" si="67"/>
        <v>0</v>
      </c>
      <c r="T61" s="1563">
        <f t="shared" si="130"/>
        <v>5.0000000000000002E-5</v>
      </c>
      <c r="U61">
        <f t="shared" si="131"/>
        <v>5.0000000000000002E-5</v>
      </c>
      <c r="V61" s="1160">
        <f t="shared" si="68"/>
        <v>0</v>
      </c>
      <c r="W61" s="1563">
        <f t="shared" si="132"/>
        <v>2.0441537203599999E-3</v>
      </c>
      <c r="X61">
        <f t="shared" si="133"/>
        <v>2.0441537203599999E-3</v>
      </c>
      <c r="Y61" s="1160">
        <f t="shared" si="69"/>
        <v>0</v>
      </c>
      <c r="Z61" s="1563">
        <f t="shared" si="134"/>
        <v>249100</v>
      </c>
      <c r="AA61">
        <f t="shared" si="135"/>
        <v>249100</v>
      </c>
      <c r="AB61" s="1160">
        <f t="shared" si="70"/>
        <v>0</v>
      </c>
      <c r="AC61" s="1563">
        <f t="shared" si="136"/>
        <v>1494.6000000000001</v>
      </c>
      <c r="AD61" t="str">
        <f t="shared" si="137"/>
        <v/>
      </c>
      <c r="AE61" s="1160">
        <f t="shared" si="71"/>
        <v>1</v>
      </c>
      <c r="AF61" s="1563">
        <f t="shared" si="138"/>
        <v>4.702781760086E-2</v>
      </c>
      <c r="AG61">
        <f t="shared" si="139"/>
        <v>4.702781760086E-2</v>
      </c>
      <c r="AH61" s="1160">
        <f t="shared" si="72"/>
        <v>0</v>
      </c>
      <c r="AI61" s="1563">
        <f t="shared" si="140"/>
        <v>6.7567513486299998E-6</v>
      </c>
      <c r="AJ61">
        <f t="shared" si="141"/>
        <v>6.7567513486299998E-6</v>
      </c>
      <c r="AK61" s="1160">
        <f t="shared" si="73"/>
        <v>0</v>
      </c>
      <c r="AL61" s="1563">
        <f t="shared" si="142"/>
        <v>41350.910349999998</v>
      </c>
      <c r="AM61" t="e">
        <f t="shared" si="143"/>
        <v>#N/A</v>
      </c>
      <c r="AN61" s="1563">
        <f t="shared" si="144"/>
        <v>0.29894007739500256</v>
      </c>
      <c r="AO61" t="str">
        <f t="shared" si="145"/>
        <v/>
      </c>
      <c r="AP61" s="1160">
        <f t="shared" si="146"/>
        <v>1</v>
      </c>
      <c r="AQ61" s="1563">
        <f t="shared" si="147"/>
        <v>3.4552257925868625E-9</v>
      </c>
      <c r="AS61" s="1563">
        <f t="shared" si="148"/>
        <v>1962286.6059655673</v>
      </c>
      <c r="AU61" s="1563">
        <f t="shared" si="149"/>
        <v>1924180.3259769583</v>
      </c>
      <c r="AW61" s="1563">
        <f t="shared" si="150"/>
        <v>434629.505333276</v>
      </c>
      <c r="AY61" s="1592">
        <f t="shared" si="151"/>
        <v>1</v>
      </c>
      <c r="AZ61" s="821">
        <f t="shared" si="152"/>
        <v>1</v>
      </c>
      <c r="BA61" s="1160">
        <f t="shared" si="74"/>
        <v>0</v>
      </c>
      <c r="BB61" s="1592">
        <f t="shared" si="153"/>
        <v>0.03</v>
      </c>
      <c r="BC61" s="821">
        <f t="shared" si="154"/>
        <v>0.03</v>
      </c>
      <c r="BD61" s="1160">
        <f t="shared" si="75"/>
        <v>0</v>
      </c>
      <c r="BE61" s="1592" t="str">
        <f t="shared" si="155"/>
        <v>No</v>
      </c>
      <c r="BF61" s="1592">
        <f t="shared" si="156"/>
        <v>0.80800000000000005</v>
      </c>
      <c r="BG61" s="821">
        <f t="shared" si="157"/>
        <v>0.80800000000000005</v>
      </c>
      <c r="BH61" s="1160">
        <f t="shared" si="76"/>
        <v>0</v>
      </c>
      <c r="BI61" s="1592">
        <f t="shared" si="158"/>
        <v>0.5</v>
      </c>
      <c r="BJ61" s="1592">
        <f t="shared" si="159"/>
        <v>5.5763812829663797</v>
      </c>
      <c r="BK61" s="821">
        <f t="shared" si="160"/>
        <v>5.5763812829663797</v>
      </c>
      <c r="BL61" s="1160">
        <f t="shared" si="77"/>
        <v>0</v>
      </c>
      <c r="BM61" s="1592">
        <f t="shared" si="161"/>
        <v>6.6824658745553398</v>
      </c>
      <c r="BN61" s="821">
        <f t="shared" si="162"/>
        <v>6.6824658745553398</v>
      </c>
      <c r="BO61" s="1160">
        <f t="shared" si="78"/>
        <v>0</v>
      </c>
      <c r="BP61" s="1592">
        <f t="shared" si="163"/>
        <v>29.471893843615899</v>
      </c>
      <c r="BQ61" s="821">
        <f t="shared" si="164"/>
        <v>29.471893843615899</v>
      </c>
      <c r="BR61" s="1160">
        <f t="shared" si="79"/>
        <v>0</v>
      </c>
      <c r="BS61" s="1592" t="str">
        <f t="shared" si="165"/>
        <v>--</v>
      </c>
      <c r="BT61" s="821">
        <f t="shared" si="166"/>
        <v>0</v>
      </c>
      <c r="BU61" s="1160">
        <f t="shared" si="82"/>
        <v>0</v>
      </c>
      <c r="BW61" s="75">
        <f t="shared" si="167"/>
        <v>130000</v>
      </c>
      <c r="BX61" s="75" t="str">
        <f t="shared" si="168"/>
        <v>OEHHA 2009</v>
      </c>
      <c r="BY61" s="75">
        <f t="shared" si="169"/>
        <v>130000</v>
      </c>
      <c r="BZ61" s="75" t="str">
        <f t="shared" si="170"/>
        <v>C</v>
      </c>
      <c r="CA61" s="1670" t="str">
        <f t="shared" si="83"/>
        <v>--</v>
      </c>
      <c r="CB61" s="75">
        <f t="shared" si="171"/>
        <v>38</v>
      </c>
      <c r="CC61" s="75" t="str">
        <f t="shared" si="172"/>
        <v>OEHHA 2009</v>
      </c>
      <c r="CD61" s="75">
        <f t="shared" si="173"/>
        <v>38</v>
      </c>
      <c r="CE61" s="75" t="str">
        <f t="shared" si="174"/>
        <v>C</v>
      </c>
      <c r="CF61" s="1670" t="str">
        <f t="shared" si="84"/>
        <v>--</v>
      </c>
      <c r="CG61" s="75">
        <f t="shared" si="175"/>
        <v>6.9999999999999996E-10</v>
      </c>
      <c r="CH61" s="75" t="str">
        <f t="shared" si="176"/>
        <v>IRIS 2012</v>
      </c>
      <c r="CI61" s="75">
        <f t="shared" si="177"/>
        <v>6.9999999999999996E-10</v>
      </c>
      <c r="CJ61" s="75" t="str">
        <f t="shared" si="178"/>
        <v>I</v>
      </c>
      <c r="CK61" s="1670" t="str">
        <f t="shared" si="85"/>
        <v>--</v>
      </c>
      <c r="CL61" s="75">
        <f t="shared" si="179"/>
        <v>4.0000000000000003E-5</v>
      </c>
      <c r="CM61" s="75" t="str">
        <f t="shared" si="180"/>
        <v>OEHHA 2008</v>
      </c>
      <c r="CN61" s="75">
        <f t="shared" si="181"/>
        <v>4.0000000000000003E-5</v>
      </c>
      <c r="CO61" s="75" t="str">
        <f t="shared" si="182"/>
        <v>C</v>
      </c>
      <c r="CP61" s="1670" t="str">
        <f t="shared" si="86"/>
        <v>--</v>
      </c>
      <c r="CR61" s="1686" t="str">
        <f t="shared" si="87"/>
        <v>--</v>
      </c>
      <c r="CS61" s="1686" t="str">
        <f t="shared" si="88"/>
        <v>--</v>
      </c>
      <c r="CT61" s="1686" t="str">
        <f t="shared" si="89"/>
        <v>--</v>
      </c>
      <c r="CU61" s="1686" t="str">
        <f t="shared" si="90"/>
        <v>--</v>
      </c>
    </row>
    <row r="62" spans="1:99">
      <c r="A62" s="309" t="s">
        <v>193</v>
      </c>
      <c r="B62" s="427" t="s">
        <v>194</v>
      </c>
      <c r="C62" s="1563" t="str">
        <f t="shared" si="118"/>
        <v>O</v>
      </c>
      <c r="D62" t="e">
        <f t="shared" si="119"/>
        <v>#N/A</v>
      </c>
      <c r="E62" s="1563">
        <f t="shared" si="120"/>
        <v>106</v>
      </c>
      <c r="F62">
        <f t="shared" si="121"/>
        <v>106</v>
      </c>
      <c r="G62" s="1160">
        <f t="shared" si="63"/>
        <v>0</v>
      </c>
      <c r="H62" s="1563" t="str">
        <f t="shared" si="122"/>
        <v>V</v>
      </c>
      <c r="I62" t="str">
        <f t="shared" si="123"/>
        <v>V</v>
      </c>
      <c r="J62" s="1160">
        <f t="shared" si="64"/>
        <v>0</v>
      </c>
      <c r="K62" s="1563">
        <f t="shared" si="124"/>
        <v>406.93</v>
      </c>
      <c r="L62">
        <f t="shared" si="125"/>
        <v>406.93</v>
      </c>
      <c r="M62" s="1160">
        <f t="shared" si="65"/>
        <v>0</v>
      </c>
      <c r="N62" s="1563">
        <f t="shared" si="126"/>
        <v>1.73E-7</v>
      </c>
      <c r="O62">
        <f t="shared" si="127"/>
        <v>1.73E-7</v>
      </c>
      <c r="P62" s="1160">
        <f t="shared" si="66"/>
        <v>0</v>
      </c>
      <c r="Q62" s="1563">
        <f t="shared" si="128"/>
        <v>0.32500000000000001</v>
      </c>
      <c r="R62">
        <f t="shared" si="129"/>
        <v>0.32500000000000001</v>
      </c>
      <c r="S62" s="1160">
        <f t="shared" si="67"/>
        <v>0</v>
      </c>
      <c r="T62" s="1563">
        <f t="shared" si="130"/>
        <v>6.4999999999999994E-5</v>
      </c>
      <c r="U62">
        <f t="shared" si="131"/>
        <v>6.4999999999999994E-5</v>
      </c>
      <c r="V62" s="1160">
        <f t="shared" si="68"/>
        <v>0</v>
      </c>
      <c r="W62" s="1563">
        <f t="shared" si="132"/>
        <v>2.65739983647E-3</v>
      </c>
      <c r="X62">
        <f t="shared" si="133"/>
        <v>2.65739983647E-3</v>
      </c>
      <c r="Y62" s="1160">
        <f t="shared" si="69"/>
        <v>0</v>
      </c>
      <c r="Z62" s="1563">
        <f t="shared" si="134"/>
        <v>6761</v>
      </c>
      <c r="AA62">
        <f t="shared" si="135"/>
        <v>6761</v>
      </c>
      <c r="AB62" s="1160">
        <f t="shared" si="70"/>
        <v>0</v>
      </c>
      <c r="AC62" s="1563">
        <f t="shared" si="136"/>
        <v>40.566000000000003</v>
      </c>
      <c r="AD62" t="str">
        <f t="shared" si="137"/>
        <v/>
      </c>
      <c r="AE62" s="1160">
        <f t="shared" si="71"/>
        <v>1</v>
      </c>
      <c r="AF62" s="1563">
        <f t="shared" si="138"/>
        <v>2.2484548455469999E-2</v>
      </c>
      <c r="AG62">
        <f t="shared" si="139"/>
        <v>2.2484548455469999E-2</v>
      </c>
      <c r="AH62" s="1160">
        <f t="shared" si="72"/>
        <v>0</v>
      </c>
      <c r="AI62" s="1563">
        <f t="shared" si="140"/>
        <v>5.76284853659E-6</v>
      </c>
      <c r="AJ62">
        <f t="shared" si="141"/>
        <v>5.76284853659E-6</v>
      </c>
      <c r="AK62" s="1160">
        <f t="shared" si="73"/>
        <v>0</v>
      </c>
      <c r="AL62" s="1563">
        <f t="shared" si="142"/>
        <v>1122.7294549999999</v>
      </c>
      <c r="AM62" t="e">
        <f t="shared" si="143"/>
        <v>#N/A</v>
      </c>
      <c r="AN62" s="1563">
        <f t="shared" si="144"/>
        <v>13.21661349694277</v>
      </c>
      <c r="AO62" t="str">
        <f t="shared" si="145"/>
        <v/>
      </c>
      <c r="AP62" s="1160">
        <f t="shared" si="146"/>
        <v>1</v>
      </c>
      <c r="AQ62" s="1563">
        <f t="shared" si="147"/>
        <v>7.9178445281364012E-8</v>
      </c>
      <c r="AS62" s="1563">
        <f t="shared" si="148"/>
        <v>409918.17169956153</v>
      </c>
      <c r="AU62" s="1563">
        <f t="shared" si="149"/>
        <v>401957.83778314269</v>
      </c>
      <c r="AW62" s="1563">
        <f t="shared" si="150"/>
        <v>90793.328380914245</v>
      </c>
      <c r="AY62" s="1592">
        <f t="shared" si="151"/>
        <v>1</v>
      </c>
      <c r="AZ62" s="821">
        <f t="shared" si="152"/>
        <v>1</v>
      </c>
      <c r="BA62" s="1160">
        <f t="shared" si="74"/>
        <v>0</v>
      </c>
      <c r="BB62" s="1592" t="str">
        <f t="shared" si="153"/>
        <v>--</v>
      </c>
      <c r="BC62" s="821" t="str">
        <f t="shared" si="154"/>
        <v/>
      </c>
      <c r="BD62" s="1160">
        <f t="shared" si="75"/>
        <v>0</v>
      </c>
      <c r="BE62" s="1592" t="str">
        <f t="shared" si="155"/>
        <v>Yes</v>
      </c>
      <c r="BF62" s="1592">
        <f t="shared" si="156"/>
        <v>2.8600000000000001E-3</v>
      </c>
      <c r="BG62" s="821">
        <f t="shared" si="157"/>
        <v>2.8600000000000001E-3</v>
      </c>
      <c r="BH62" s="1160">
        <f t="shared" si="76"/>
        <v>0</v>
      </c>
      <c r="BI62" s="1592">
        <f t="shared" si="158"/>
        <v>0.9</v>
      </c>
      <c r="BJ62" s="1592">
        <f t="shared" si="159"/>
        <v>2.2189756645800002E-2</v>
      </c>
      <c r="BK62" s="821">
        <f t="shared" si="160"/>
        <v>2.2189756645800002E-2</v>
      </c>
      <c r="BL62" s="1160">
        <f t="shared" si="77"/>
        <v>0</v>
      </c>
      <c r="BM62" s="1592">
        <f t="shared" si="161"/>
        <v>19.982818768391599</v>
      </c>
      <c r="BN62" s="821">
        <f t="shared" si="162"/>
        <v>19.982818768391599</v>
      </c>
      <c r="BO62" s="1160">
        <f t="shared" si="78"/>
        <v>0</v>
      </c>
      <c r="BP62" s="1592">
        <f t="shared" si="163"/>
        <v>47.958765044139902</v>
      </c>
      <c r="BQ62" s="821">
        <f t="shared" si="164"/>
        <v>47.958765044139902</v>
      </c>
      <c r="BR62" s="1160">
        <f t="shared" si="79"/>
        <v>0</v>
      </c>
      <c r="BS62" s="1592" t="str">
        <f t="shared" si="165"/>
        <v>--</v>
      </c>
      <c r="BT62" s="821">
        <f t="shared" si="166"/>
        <v>0</v>
      </c>
      <c r="BU62" s="1160">
        <f t="shared" si="82"/>
        <v>0</v>
      </c>
      <c r="BW62" s="75" t="str">
        <f t="shared" si="167"/>
        <v>--</v>
      </c>
      <c r="BX62" s="75" t="str">
        <f t="shared" si="168"/>
        <v xml:space="preserve"> </v>
      </c>
      <c r="BY62" s="75" t="str">
        <f t="shared" si="169"/>
        <v/>
      </c>
      <c r="BZ62" s="75" t="str">
        <f t="shared" si="170"/>
        <v/>
      </c>
      <c r="CA62" s="1670" t="str">
        <f t="shared" si="83"/>
        <v>--</v>
      </c>
      <c r="CB62" s="75" t="str">
        <f t="shared" si="171"/>
        <v>--</v>
      </c>
      <c r="CC62" s="75" t="str">
        <f t="shared" si="172"/>
        <v xml:space="preserve"> </v>
      </c>
      <c r="CD62" s="75" t="str">
        <f t="shared" si="173"/>
        <v/>
      </c>
      <c r="CE62" s="75" t="str">
        <f t="shared" si="174"/>
        <v/>
      </c>
      <c r="CF62" s="1670" t="str">
        <f t="shared" si="84"/>
        <v>--</v>
      </c>
      <c r="CG62" s="75">
        <f t="shared" si="175"/>
        <v>6.0000000000000001E-3</v>
      </c>
      <c r="CH62" s="75" t="str">
        <f t="shared" si="176"/>
        <v>IRIS 1994</v>
      </c>
      <c r="CI62" s="75">
        <f t="shared" si="177"/>
        <v>6.0000000000000001E-3</v>
      </c>
      <c r="CJ62" s="75" t="str">
        <f t="shared" si="178"/>
        <v>I</v>
      </c>
      <c r="CK62" s="1670" t="str">
        <f t="shared" si="85"/>
        <v>--</v>
      </c>
      <c r="CL62" s="75" t="str">
        <f t="shared" si="179"/>
        <v>--</v>
      </c>
      <c r="CM62" s="75" t="str">
        <f t="shared" si="180"/>
        <v xml:space="preserve"> </v>
      </c>
      <c r="CN62" s="75" t="str">
        <f t="shared" si="181"/>
        <v/>
      </c>
      <c r="CO62" s="75" t="str">
        <f t="shared" si="182"/>
        <v/>
      </c>
      <c r="CP62" s="1670" t="str">
        <f t="shared" si="86"/>
        <v>--</v>
      </c>
      <c r="CR62" s="1686" t="str">
        <f t="shared" si="87"/>
        <v>--</v>
      </c>
      <c r="CS62" s="1686" t="str">
        <f t="shared" si="88"/>
        <v>--</v>
      </c>
      <c r="CT62" s="1686" t="str">
        <f t="shared" si="89"/>
        <v>--</v>
      </c>
      <c r="CU62" s="1686" t="str">
        <f t="shared" si="90"/>
        <v>--</v>
      </c>
    </row>
    <row r="63" spans="1:99">
      <c r="A63" s="309" t="s">
        <v>195</v>
      </c>
      <c r="B63" s="427" t="s">
        <v>196</v>
      </c>
      <c r="C63" s="1563" t="str">
        <f t="shared" si="118"/>
        <v>O</v>
      </c>
      <c r="D63" t="e">
        <f t="shared" si="119"/>
        <v>#N/A</v>
      </c>
      <c r="E63" s="1563">
        <f t="shared" si="120"/>
        <v>226</v>
      </c>
      <c r="F63">
        <f t="shared" si="121"/>
        <v>226</v>
      </c>
      <c r="G63" s="1160">
        <f t="shared" si="63"/>
        <v>0</v>
      </c>
      <c r="H63" s="1563" t="str">
        <f t="shared" si="122"/>
        <v>NV</v>
      </c>
      <c r="I63">
        <f t="shared" si="123"/>
        <v>0</v>
      </c>
      <c r="J63" s="1160">
        <f t="shared" si="64"/>
        <v>0</v>
      </c>
      <c r="K63" s="1563">
        <f t="shared" si="124"/>
        <v>380.91</v>
      </c>
      <c r="L63">
        <f t="shared" si="125"/>
        <v>380.91</v>
      </c>
      <c r="M63" s="1160">
        <f t="shared" si="65"/>
        <v>0</v>
      </c>
      <c r="N63" s="1563">
        <f t="shared" si="126"/>
        <v>3.0000000000000001E-6</v>
      </c>
      <c r="O63">
        <f t="shared" si="127"/>
        <v>3.0000000000000001E-6</v>
      </c>
      <c r="P63" s="1160">
        <f t="shared" si="66"/>
        <v>0</v>
      </c>
      <c r="Q63" s="1563">
        <f t="shared" si="128"/>
        <v>0.25</v>
      </c>
      <c r="R63">
        <f t="shared" si="129"/>
        <v>0.25</v>
      </c>
      <c r="S63" s="1160">
        <f t="shared" si="67"/>
        <v>0</v>
      </c>
      <c r="T63" s="1563">
        <f t="shared" si="130"/>
        <v>6.3600000000000001E-6</v>
      </c>
      <c r="U63">
        <f t="shared" si="131"/>
        <v>6.3600000000000001E-6</v>
      </c>
      <c r="V63" s="1160">
        <f t="shared" si="68"/>
        <v>0</v>
      </c>
      <c r="W63" s="1563">
        <f t="shared" si="132"/>
        <v>2.6001635323E-4</v>
      </c>
      <c r="X63">
        <f t="shared" si="133"/>
        <v>2.6001635323E-4</v>
      </c>
      <c r="Y63" s="1160">
        <f t="shared" si="69"/>
        <v>0</v>
      </c>
      <c r="Z63" s="1563">
        <f t="shared" si="134"/>
        <v>20090</v>
      </c>
      <c r="AA63">
        <f t="shared" si="135"/>
        <v>20090</v>
      </c>
      <c r="AB63" s="1160">
        <f t="shared" si="70"/>
        <v>0</v>
      </c>
      <c r="AC63" s="1563">
        <f t="shared" si="136"/>
        <v>120.54</v>
      </c>
      <c r="AD63" t="str">
        <f t="shared" si="137"/>
        <v/>
      </c>
      <c r="AE63" s="1160">
        <f t="shared" si="71"/>
        <v>1</v>
      </c>
      <c r="AF63" s="1563">
        <f t="shared" si="138"/>
        <v>3.615807917628E-2</v>
      </c>
      <c r="AG63">
        <f t="shared" si="139"/>
        <v>3.615807917628E-2</v>
      </c>
      <c r="AH63" s="1160">
        <f t="shared" si="72"/>
        <v>0</v>
      </c>
      <c r="AI63" s="1563">
        <f t="shared" si="140"/>
        <v>4.22478609323E-6</v>
      </c>
      <c r="AJ63">
        <f t="shared" si="141"/>
        <v>4.22478609323E-6</v>
      </c>
      <c r="AK63" s="1160">
        <f t="shared" si="73"/>
        <v>0</v>
      </c>
      <c r="AL63" s="1563">
        <f t="shared" si="142"/>
        <v>3334.9794765199999</v>
      </c>
      <c r="AM63" t="e">
        <f t="shared" si="143"/>
        <v>#N/A</v>
      </c>
      <c r="AN63" s="1563">
        <f t="shared" si="144"/>
        <v>30.160012305805399</v>
      </c>
      <c r="AO63" t="str">
        <f t="shared" si="145"/>
        <v/>
      </c>
      <c r="AP63" s="1160">
        <f t="shared" si="146"/>
        <v>1</v>
      </c>
      <c r="AQ63" s="1563" t="str">
        <f t="shared" si="147"/>
        <v>--</v>
      </c>
      <c r="AS63" s="1563" t="str">
        <f t="shared" si="148"/>
        <v>--</v>
      </c>
      <c r="AU63" s="1563" t="str">
        <f t="shared" si="149"/>
        <v>--</v>
      </c>
      <c r="AW63" s="1563" t="str">
        <f t="shared" si="150"/>
        <v>--</v>
      </c>
      <c r="AY63" s="1592">
        <f t="shared" si="151"/>
        <v>1</v>
      </c>
      <c r="AZ63" s="821">
        <f t="shared" si="152"/>
        <v>1</v>
      </c>
      <c r="BA63" s="1160">
        <f t="shared" si="74"/>
        <v>0</v>
      </c>
      <c r="BB63" s="1592">
        <f t="shared" si="153"/>
        <v>0.1</v>
      </c>
      <c r="BC63" s="821">
        <f t="shared" si="154"/>
        <v>0.1</v>
      </c>
      <c r="BD63" s="1160">
        <f t="shared" si="75"/>
        <v>0</v>
      </c>
      <c r="BE63" s="1592" t="str">
        <f t="shared" si="155"/>
        <v>Yes</v>
      </c>
      <c r="BF63" s="1592">
        <f t="shared" si="156"/>
        <v>3.2599999999999997E-2</v>
      </c>
      <c r="BG63" s="821">
        <f t="shared" si="157"/>
        <v>3.2599999999999997E-2</v>
      </c>
      <c r="BH63" s="1160">
        <f t="shared" si="76"/>
        <v>0</v>
      </c>
      <c r="BI63" s="1592">
        <f t="shared" si="158"/>
        <v>0.8</v>
      </c>
      <c r="BJ63" s="1592">
        <f t="shared" si="159"/>
        <v>0.24471209735466001</v>
      </c>
      <c r="BK63" s="821">
        <f t="shared" si="160"/>
        <v>0.24471209735466001</v>
      </c>
      <c r="BL63" s="1160">
        <f t="shared" si="77"/>
        <v>0</v>
      </c>
      <c r="BM63" s="1592">
        <f t="shared" si="161"/>
        <v>14.287121880278701</v>
      </c>
      <c r="BN63" s="821">
        <f t="shared" si="162"/>
        <v>14.287121880278701</v>
      </c>
      <c r="BO63" s="1160">
        <f t="shared" si="78"/>
        <v>0</v>
      </c>
      <c r="BP63" s="1592">
        <f t="shared" si="163"/>
        <v>34.289092512668802</v>
      </c>
      <c r="BQ63" s="821">
        <f t="shared" si="164"/>
        <v>34.289092512668802</v>
      </c>
      <c r="BR63" s="1160">
        <f t="shared" si="79"/>
        <v>0</v>
      </c>
      <c r="BS63" s="1592" t="str">
        <f t="shared" si="165"/>
        <v>--</v>
      </c>
      <c r="BT63" s="821">
        <f t="shared" si="166"/>
        <v>0</v>
      </c>
      <c r="BU63" s="1160">
        <f t="shared" si="82"/>
        <v>0</v>
      </c>
      <c r="BW63" s="75" t="str">
        <f t="shared" si="167"/>
        <v>--</v>
      </c>
      <c r="BX63" s="75" t="str">
        <f t="shared" si="168"/>
        <v xml:space="preserve"> </v>
      </c>
      <c r="BY63" s="75" t="str">
        <f t="shared" si="169"/>
        <v/>
      </c>
      <c r="BZ63" s="75" t="str">
        <f t="shared" si="170"/>
        <v/>
      </c>
      <c r="CA63" s="1670" t="str">
        <f t="shared" si="83"/>
        <v>--</v>
      </c>
      <c r="CB63" s="75" t="str">
        <f t="shared" si="171"/>
        <v>--</v>
      </c>
      <c r="CC63" s="75" t="str">
        <f t="shared" si="172"/>
        <v xml:space="preserve"> </v>
      </c>
      <c r="CD63" s="75" t="str">
        <f t="shared" si="173"/>
        <v/>
      </c>
      <c r="CE63" s="75" t="str">
        <f t="shared" si="174"/>
        <v/>
      </c>
      <c r="CF63" s="1670" t="str">
        <f t="shared" si="84"/>
        <v>--</v>
      </c>
      <c r="CG63" s="75">
        <f t="shared" si="175"/>
        <v>2.9999999999999997E-4</v>
      </c>
      <c r="CH63" s="75" t="str">
        <f t="shared" si="176"/>
        <v>IRIS 1989</v>
      </c>
      <c r="CI63" s="75">
        <f t="shared" si="177"/>
        <v>2.9999999999999997E-4</v>
      </c>
      <c r="CJ63" s="75" t="str">
        <f t="shared" si="178"/>
        <v>I</v>
      </c>
      <c r="CK63" s="1670" t="str">
        <f t="shared" si="85"/>
        <v>--</v>
      </c>
      <c r="CL63" s="75" t="str">
        <f t="shared" si="179"/>
        <v>--</v>
      </c>
      <c r="CM63" s="75" t="str">
        <f t="shared" si="180"/>
        <v xml:space="preserve"> </v>
      </c>
      <c r="CN63" s="75" t="str">
        <f t="shared" si="181"/>
        <v/>
      </c>
      <c r="CO63" s="75" t="str">
        <f t="shared" si="182"/>
        <v/>
      </c>
      <c r="CP63" s="1670" t="str">
        <f t="shared" si="86"/>
        <v>--</v>
      </c>
      <c r="CR63" s="1686" t="str">
        <f t="shared" si="87"/>
        <v>--</v>
      </c>
      <c r="CS63" s="1686" t="str">
        <f t="shared" si="88"/>
        <v>--</v>
      </c>
      <c r="CT63" s="1686" t="str">
        <f t="shared" si="89"/>
        <v>--</v>
      </c>
      <c r="CU63" s="1686" t="str">
        <f t="shared" si="90"/>
        <v>--</v>
      </c>
    </row>
    <row r="64" spans="1:99">
      <c r="A64" s="309" t="s">
        <v>197</v>
      </c>
      <c r="B64" s="427" t="s">
        <v>198</v>
      </c>
      <c r="C64" s="1563" t="str">
        <f t="shared" si="118"/>
        <v>O</v>
      </c>
      <c r="D64" t="e">
        <f t="shared" si="119"/>
        <v>#N/A</v>
      </c>
      <c r="E64" s="1563">
        <f t="shared" si="120"/>
        <v>-94.9</v>
      </c>
      <c r="F64">
        <f t="shared" si="121"/>
        <v>-94.9</v>
      </c>
      <c r="G64" s="1160">
        <f t="shared" si="63"/>
        <v>0</v>
      </c>
      <c r="H64" s="1563" t="str">
        <f t="shared" si="122"/>
        <v>V</v>
      </c>
      <c r="I64" t="str">
        <f t="shared" si="123"/>
        <v>V</v>
      </c>
      <c r="J64" s="1160">
        <f t="shared" si="64"/>
        <v>0</v>
      </c>
      <c r="K64" s="1563">
        <f t="shared" si="124"/>
        <v>106.17</v>
      </c>
      <c r="L64">
        <f t="shared" si="125"/>
        <v>106.17</v>
      </c>
      <c r="M64" s="1160">
        <f t="shared" si="65"/>
        <v>0</v>
      </c>
      <c r="N64" s="1563">
        <f t="shared" si="126"/>
        <v>9.6</v>
      </c>
      <c r="O64">
        <f t="shared" si="127"/>
        <v>9.6</v>
      </c>
      <c r="P64" s="1160">
        <f t="shared" si="66"/>
        <v>0</v>
      </c>
      <c r="Q64" s="1563">
        <f t="shared" si="128"/>
        <v>169</v>
      </c>
      <c r="R64">
        <f t="shared" si="129"/>
        <v>169</v>
      </c>
      <c r="S64" s="1160">
        <f t="shared" si="67"/>
        <v>0</v>
      </c>
      <c r="T64" s="1563">
        <f t="shared" si="130"/>
        <v>7.8799999999999999E-3</v>
      </c>
      <c r="U64">
        <f t="shared" si="131"/>
        <v>7.8799999999999999E-3</v>
      </c>
      <c r="V64" s="1160">
        <f t="shared" si="68"/>
        <v>0</v>
      </c>
      <c r="W64" s="1563">
        <f t="shared" si="132"/>
        <v>0.32215862632870002</v>
      </c>
      <c r="X64">
        <f t="shared" si="133"/>
        <v>0.32215862632870002</v>
      </c>
      <c r="Y64" s="1160">
        <f t="shared" si="69"/>
        <v>0</v>
      </c>
      <c r="Z64" s="1563">
        <f t="shared" si="134"/>
        <v>446.1</v>
      </c>
      <c r="AA64">
        <f t="shared" si="135"/>
        <v>446.1</v>
      </c>
      <c r="AB64" s="1160">
        <f t="shared" si="70"/>
        <v>0</v>
      </c>
      <c r="AC64" s="1563">
        <f t="shared" si="136"/>
        <v>2.6766000000000001</v>
      </c>
      <c r="AD64" t="str">
        <f t="shared" si="137"/>
        <v/>
      </c>
      <c r="AE64" s="1160">
        <f t="shared" si="71"/>
        <v>1</v>
      </c>
      <c r="AF64" s="1563">
        <f t="shared" si="138"/>
        <v>6.8465204860710005E-2</v>
      </c>
      <c r="AG64">
        <f t="shared" si="139"/>
        <v>6.8465204860710005E-2</v>
      </c>
      <c r="AH64" s="1160">
        <f t="shared" si="72"/>
        <v>0</v>
      </c>
      <c r="AI64" s="1563">
        <f t="shared" si="140"/>
        <v>8.45583214768E-6</v>
      </c>
      <c r="AJ64">
        <f t="shared" si="141"/>
        <v>8.45583214768E-6</v>
      </c>
      <c r="AK64" s="1160">
        <f t="shared" si="73"/>
        <v>0</v>
      </c>
      <c r="AL64" s="1563">
        <f t="shared" si="142"/>
        <v>122.96376000000001</v>
      </c>
      <c r="AM64" t="e">
        <f t="shared" si="143"/>
        <v>#N/A</v>
      </c>
      <c r="AN64" s="1563">
        <f t="shared" si="144"/>
        <v>479.55224727214767</v>
      </c>
      <c r="AO64">
        <f t="shared" si="145"/>
        <v>480</v>
      </c>
      <c r="AP64" s="1160">
        <f t="shared" si="146"/>
        <v>1</v>
      </c>
      <c r="AQ64" s="1563">
        <f t="shared" si="147"/>
        <v>4.1414319648574522E-4</v>
      </c>
      <c r="AS64" s="1563">
        <f t="shared" si="148"/>
        <v>5667.9419074566149</v>
      </c>
      <c r="AU64" s="1563">
        <f t="shared" si="149"/>
        <v>5557.874305390691</v>
      </c>
      <c r="AW64" s="1563">
        <f t="shared" si="150"/>
        <v>1255.4000929356805</v>
      </c>
      <c r="AY64" s="1592">
        <f t="shared" si="151"/>
        <v>1</v>
      </c>
      <c r="AZ64" s="821">
        <f t="shared" si="152"/>
        <v>1</v>
      </c>
      <c r="BA64" s="1160">
        <f t="shared" si="74"/>
        <v>0</v>
      </c>
      <c r="BB64" s="1592" t="str">
        <f t="shared" si="153"/>
        <v>--</v>
      </c>
      <c r="BC64" s="821" t="str">
        <f t="shared" si="154"/>
        <v/>
      </c>
      <c r="BD64" s="1160">
        <f t="shared" si="75"/>
        <v>0</v>
      </c>
      <c r="BE64" s="1592" t="str">
        <f t="shared" si="155"/>
        <v>Yes</v>
      </c>
      <c r="BF64" s="1592">
        <f t="shared" si="156"/>
        <v>4.9299999999999997E-2</v>
      </c>
      <c r="BG64" s="821">
        <f t="shared" si="157"/>
        <v>4.9299999999999997E-2</v>
      </c>
      <c r="BH64" s="1160">
        <f t="shared" si="76"/>
        <v>0</v>
      </c>
      <c r="BI64" s="1592">
        <f t="shared" si="158"/>
        <v>1</v>
      </c>
      <c r="BJ64" s="1592">
        <f t="shared" si="159"/>
        <v>0.19537746931965</v>
      </c>
      <c r="BK64" s="821">
        <f t="shared" si="160"/>
        <v>0.19537746931965</v>
      </c>
      <c r="BL64" s="1160">
        <f t="shared" si="77"/>
        <v>0</v>
      </c>
      <c r="BM64" s="1592">
        <f t="shared" si="161"/>
        <v>0.41342882164758998</v>
      </c>
      <c r="BN64" s="821">
        <f t="shared" si="162"/>
        <v>0.41342882164758998</v>
      </c>
      <c r="BO64" s="1160">
        <f t="shared" si="78"/>
        <v>0</v>
      </c>
      <c r="BP64" s="1592">
        <f t="shared" si="163"/>
        <v>0.99222917195421001</v>
      </c>
      <c r="BQ64" s="821">
        <f t="shared" si="164"/>
        <v>0.99222917195421001</v>
      </c>
      <c r="BR64" s="1160">
        <f t="shared" si="79"/>
        <v>0</v>
      </c>
      <c r="BS64" s="1592" t="str">
        <f t="shared" si="165"/>
        <v>--</v>
      </c>
      <c r="BT64" s="821">
        <f t="shared" si="166"/>
        <v>0</v>
      </c>
      <c r="BU64" s="1160">
        <f t="shared" si="82"/>
        <v>0</v>
      </c>
      <c r="BW64" s="75">
        <f t="shared" si="167"/>
        <v>1.0999999999999999E-2</v>
      </c>
      <c r="BX64" s="75" t="str">
        <f t="shared" si="168"/>
        <v>OEHHA 2009</v>
      </c>
      <c r="BY64" s="75">
        <f t="shared" si="169"/>
        <v>1.0999999999999999E-2</v>
      </c>
      <c r="BZ64" s="75" t="str">
        <f t="shared" si="170"/>
        <v>C</v>
      </c>
      <c r="CA64" s="1670" t="str">
        <f t="shared" si="83"/>
        <v>--</v>
      </c>
      <c r="CB64" s="75">
        <f t="shared" si="171"/>
        <v>2.5000000000000002E-6</v>
      </c>
      <c r="CC64" s="75" t="str">
        <f t="shared" si="172"/>
        <v>OEHHA 2009</v>
      </c>
      <c r="CD64" s="75">
        <f t="shared" si="173"/>
        <v>2.5000000000000002E-6</v>
      </c>
      <c r="CE64" s="75" t="str">
        <f t="shared" si="174"/>
        <v>C</v>
      </c>
      <c r="CF64" s="1670" t="str">
        <f t="shared" si="84"/>
        <v>--</v>
      </c>
      <c r="CG64" s="75">
        <f t="shared" si="175"/>
        <v>0.05</v>
      </c>
      <c r="CH64" s="75" t="str">
        <f t="shared" si="176"/>
        <v>PPRTV 2009*</v>
      </c>
      <c r="CI64" s="75">
        <f t="shared" si="177"/>
        <v>0.05</v>
      </c>
      <c r="CJ64" s="75" t="str">
        <f t="shared" si="178"/>
        <v>P</v>
      </c>
      <c r="CK64" s="1670" t="str">
        <f t="shared" si="85"/>
        <v>--</v>
      </c>
      <c r="CL64" s="75">
        <f t="shared" si="179"/>
        <v>1000</v>
      </c>
      <c r="CM64" s="75" t="str">
        <f t="shared" si="180"/>
        <v>IRIS 1991</v>
      </c>
      <c r="CN64" s="75">
        <f t="shared" si="181"/>
        <v>1000</v>
      </c>
      <c r="CO64" s="75" t="str">
        <f t="shared" si="182"/>
        <v>I</v>
      </c>
      <c r="CP64" s="1670" t="str">
        <f t="shared" si="86"/>
        <v>--</v>
      </c>
      <c r="CR64" s="1686" t="str">
        <f t="shared" si="87"/>
        <v>--</v>
      </c>
      <c r="CS64" s="1686" t="str">
        <f t="shared" si="88"/>
        <v>--</v>
      </c>
      <c r="CT64" s="1686" t="str">
        <f t="shared" si="89"/>
        <v>--</v>
      </c>
      <c r="CU64" s="1686" t="str">
        <f t="shared" si="90"/>
        <v>--</v>
      </c>
    </row>
    <row r="65" spans="1:99">
      <c r="A65" s="309" t="s">
        <v>199</v>
      </c>
      <c r="B65" s="427" t="s">
        <v>200</v>
      </c>
      <c r="C65" s="1563" t="str">
        <f t="shared" si="118"/>
        <v>O</v>
      </c>
      <c r="D65" t="e">
        <f t="shared" si="119"/>
        <v>#N/A</v>
      </c>
      <c r="E65" s="1563">
        <f t="shared" si="120"/>
        <v>95.5</v>
      </c>
      <c r="F65">
        <f t="shared" si="121"/>
        <v>95.5</v>
      </c>
      <c r="G65" s="1160">
        <f t="shared" si="63"/>
        <v>0</v>
      </c>
      <c r="H65" s="1563" t="str">
        <f t="shared" si="122"/>
        <v>V</v>
      </c>
      <c r="I65" t="str">
        <f t="shared" si="123"/>
        <v>V</v>
      </c>
      <c r="J65" s="1160">
        <f t="shared" si="64"/>
        <v>0</v>
      </c>
      <c r="K65" s="1563">
        <f t="shared" si="124"/>
        <v>373.32</v>
      </c>
      <c r="L65">
        <f t="shared" si="125"/>
        <v>373.32</v>
      </c>
      <c r="M65" s="1160">
        <f t="shared" si="65"/>
        <v>0</v>
      </c>
      <c r="N65" s="1563">
        <f t="shared" si="126"/>
        <v>4.0000000000000002E-4</v>
      </c>
      <c r="O65">
        <f t="shared" si="127"/>
        <v>4.0000000000000002E-4</v>
      </c>
      <c r="P65" s="1160">
        <f t="shared" si="66"/>
        <v>0</v>
      </c>
      <c r="Q65" s="1563">
        <f t="shared" si="128"/>
        <v>0.18</v>
      </c>
      <c r="R65">
        <f t="shared" si="129"/>
        <v>0.18</v>
      </c>
      <c r="S65" s="1160">
        <f t="shared" si="67"/>
        <v>0</v>
      </c>
      <c r="T65" s="1563">
        <f t="shared" si="130"/>
        <v>2.9399999999999999E-4</v>
      </c>
      <c r="U65">
        <f t="shared" si="131"/>
        <v>2.9399999999999999E-4</v>
      </c>
      <c r="V65" s="1160">
        <f t="shared" si="68"/>
        <v>0</v>
      </c>
      <c r="W65" s="1563">
        <f t="shared" si="132"/>
        <v>1.201962387572E-2</v>
      </c>
      <c r="X65">
        <f t="shared" si="133"/>
        <v>1.201962387572E-2</v>
      </c>
      <c r="Y65" s="1160">
        <f t="shared" si="69"/>
        <v>0</v>
      </c>
      <c r="Z65" s="1563">
        <f t="shared" si="134"/>
        <v>41260</v>
      </c>
      <c r="AA65">
        <f t="shared" si="135"/>
        <v>41260</v>
      </c>
      <c r="AB65" s="1160">
        <f t="shared" si="70"/>
        <v>0</v>
      </c>
      <c r="AC65" s="1563">
        <f t="shared" si="136"/>
        <v>247.56</v>
      </c>
      <c r="AD65" t="str">
        <f t="shared" si="137"/>
        <v/>
      </c>
      <c r="AE65" s="1160">
        <f t="shared" si="71"/>
        <v>1</v>
      </c>
      <c r="AF65" s="1563">
        <f t="shared" si="138"/>
        <v>2.2344145812679999E-2</v>
      </c>
      <c r="AG65">
        <f t="shared" si="139"/>
        <v>2.2344145812679999E-2</v>
      </c>
      <c r="AH65" s="1160">
        <f t="shared" si="72"/>
        <v>0</v>
      </c>
      <c r="AI65" s="1563">
        <f t="shared" si="140"/>
        <v>5.6959059373100003E-6</v>
      </c>
      <c r="AJ65">
        <f t="shared" si="141"/>
        <v>5.6959059373100003E-6</v>
      </c>
      <c r="AK65" s="1160">
        <f t="shared" si="73"/>
        <v>0</v>
      </c>
      <c r="AL65" s="1563">
        <f t="shared" si="142"/>
        <v>6850.9848580000007</v>
      </c>
      <c r="AM65" t="e">
        <f t="shared" si="143"/>
        <v>#N/A</v>
      </c>
      <c r="AN65" s="1563">
        <f t="shared" si="144"/>
        <v>44.5792095743532</v>
      </c>
      <c r="AO65" t="str">
        <f t="shared" si="145"/>
        <v/>
      </c>
      <c r="AP65" s="1160">
        <f t="shared" si="146"/>
        <v>1</v>
      </c>
      <c r="AQ65" s="1563">
        <f t="shared" si="147"/>
        <v>5.7920340840273969E-8</v>
      </c>
      <c r="AS65" s="1563">
        <f t="shared" si="148"/>
        <v>479275.35941156687</v>
      </c>
      <c r="AU65" s="1563">
        <f t="shared" si="149"/>
        <v>469968.15577380289</v>
      </c>
      <c r="AW65" s="1563">
        <f t="shared" si="150"/>
        <v>106155.34537421829</v>
      </c>
      <c r="AY65" s="1592">
        <f t="shared" si="151"/>
        <v>1</v>
      </c>
      <c r="AZ65" s="821">
        <f t="shared" si="152"/>
        <v>1</v>
      </c>
      <c r="BA65" s="1160">
        <f t="shared" si="74"/>
        <v>0</v>
      </c>
      <c r="BB65" s="1592" t="str">
        <f t="shared" si="153"/>
        <v>--</v>
      </c>
      <c r="BC65" s="821" t="str">
        <f t="shared" si="154"/>
        <v/>
      </c>
      <c r="BD65" s="1160">
        <f t="shared" si="75"/>
        <v>0</v>
      </c>
      <c r="BE65" s="1592" t="str">
        <f t="shared" si="155"/>
        <v>Yes</v>
      </c>
      <c r="BF65" s="1592">
        <f t="shared" si="156"/>
        <v>0.14299999999999999</v>
      </c>
      <c r="BG65" s="821">
        <f t="shared" si="157"/>
        <v>0.14299999999999999</v>
      </c>
      <c r="BH65" s="1160">
        <f t="shared" si="76"/>
        <v>0</v>
      </c>
      <c r="BI65" s="1592">
        <f t="shared" si="158"/>
        <v>0.8</v>
      </c>
      <c r="BJ65" s="1592">
        <f t="shared" si="159"/>
        <v>1.06268198441491</v>
      </c>
      <c r="BK65" s="821">
        <f t="shared" si="160"/>
        <v>1.06268198441491</v>
      </c>
      <c r="BL65" s="1160">
        <f t="shared" si="77"/>
        <v>0</v>
      </c>
      <c r="BM65" s="1592">
        <f t="shared" si="161"/>
        <v>12.9550994026929</v>
      </c>
      <c r="BN65" s="821">
        <f t="shared" si="162"/>
        <v>12.9550994026929</v>
      </c>
      <c r="BO65" s="1160">
        <f t="shared" si="78"/>
        <v>0</v>
      </c>
      <c r="BP65" s="1592">
        <f t="shared" si="163"/>
        <v>50.142248344350897</v>
      </c>
      <c r="BQ65" s="821">
        <f t="shared" si="164"/>
        <v>50.142248344350897</v>
      </c>
      <c r="BR65" s="1160">
        <f t="shared" si="79"/>
        <v>0</v>
      </c>
      <c r="BS65" s="1592" t="str">
        <f t="shared" si="165"/>
        <v>--</v>
      </c>
      <c r="BT65" s="821">
        <f t="shared" si="166"/>
        <v>0</v>
      </c>
      <c r="BU65" s="1160">
        <f t="shared" si="82"/>
        <v>0</v>
      </c>
      <c r="BW65" s="75">
        <f t="shared" si="167"/>
        <v>4.5</v>
      </c>
      <c r="BX65" s="75" t="str">
        <f t="shared" si="168"/>
        <v>IRIS 1991</v>
      </c>
      <c r="BY65" s="75">
        <f t="shared" si="169"/>
        <v>4.5</v>
      </c>
      <c r="BZ65" s="75" t="str">
        <f t="shared" si="170"/>
        <v>I</v>
      </c>
      <c r="CA65" s="1670" t="str">
        <f t="shared" si="83"/>
        <v>--</v>
      </c>
      <c r="CB65" s="75">
        <f t="shared" si="171"/>
        <v>1.2999999999999999E-3</v>
      </c>
      <c r="CC65" s="75" t="str">
        <f t="shared" si="172"/>
        <v>IRIS 1991</v>
      </c>
      <c r="CD65" s="75">
        <f t="shared" si="173"/>
        <v>1.2999999999999999E-3</v>
      </c>
      <c r="CE65" s="75" t="str">
        <f t="shared" si="174"/>
        <v>I</v>
      </c>
      <c r="CF65" s="1670" t="str">
        <f t="shared" si="84"/>
        <v>--</v>
      </c>
      <c r="CG65" s="75">
        <f t="shared" si="175"/>
        <v>1E-4</v>
      </c>
      <c r="CH65" s="75" t="str">
        <f t="shared" si="176"/>
        <v>ATSDR 2007*</v>
      </c>
      <c r="CI65" s="75">
        <f t="shared" si="177"/>
        <v>1E-4</v>
      </c>
      <c r="CJ65" s="75" t="str">
        <f t="shared" si="178"/>
        <v>A</v>
      </c>
      <c r="CK65" s="1670" t="str">
        <f t="shared" si="85"/>
        <v>--</v>
      </c>
      <c r="CL65" s="75" t="str">
        <f t="shared" si="179"/>
        <v>--</v>
      </c>
      <c r="CM65" s="75" t="str">
        <f t="shared" si="180"/>
        <v xml:space="preserve"> </v>
      </c>
      <c r="CN65" s="75" t="str">
        <f t="shared" si="181"/>
        <v/>
      </c>
      <c r="CO65" s="75" t="str">
        <f t="shared" si="182"/>
        <v/>
      </c>
      <c r="CP65" s="1670" t="str">
        <f t="shared" si="86"/>
        <v>--</v>
      </c>
      <c r="CR65" s="1686" t="str">
        <f t="shared" si="87"/>
        <v>--</v>
      </c>
      <c r="CS65" s="1686" t="str">
        <f t="shared" si="88"/>
        <v>--</v>
      </c>
      <c r="CT65" s="1686" t="str">
        <f t="shared" si="89"/>
        <v>--</v>
      </c>
      <c r="CU65" s="1686" t="str">
        <f t="shared" si="90"/>
        <v>--</v>
      </c>
    </row>
    <row r="66" spans="1:99">
      <c r="A66" s="309" t="s">
        <v>201</v>
      </c>
      <c r="B66" s="427" t="s">
        <v>202</v>
      </c>
      <c r="C66" s="1563" t="str">
        <f t="shared" si="118"/>
        <v>O</v>
      </c>
      <c r="D66" t="e">
        <f t="shared" si="119"/>
        <v>#N/A</v>
      </c>
      <c r="E66" s="1563">
        <f t="shared" si="120"/>
        <v>160</v>
      </c>
      <c r="F66">
        <f t="shared" si="121"/>
        <v>160</v>
      </c>
      <c r="G66" s="1160">
        <f t="shared" si="63"/>
        <v>0</v>
      </c>
      <c r="H66" s="1563" t="str">
        <f t="shared" si="122"/>
        <v>V</v>
      </c>
      <c r="I66" t="str">
        <f t="shared" si="123"/>
        <v>V</v>
      </c>
      <c r="J66" s="1160">
        <f t="shared" si="64"/>
        <v>0</v>
      </c>
      <c r="K66" s="1563">
        <f t="shared" si="124"/>
        <v>389.32</v>
      </c>
      <c r="L66">
        <f t="shared" si="125"/>
        <v>389.32</v>
      </c>
      <c r="M66" s="1160">
        <f t="shared" si="65"/>
        <v>0</v>
      </c>
      <c r="N66" s="1563">
        <f t="shared" si="126"/>
        <v>1.95E-5</v>
      </c>
      <c r="O66">
        <f t="shared" si="127"/>
        <v>1.95E-5</v>
      </c>
      <c r="P66" s="1160">
        <f t="shared" si="66"/>
        <v>0</v>
      </c>
      <c r="Q66" s="1563">
        <f t="shared" si="128"/>
        <v>0.2</v>
      </c>
      <c r="R66">
        <f t="shared" si="129"/>
        <v>0.2</v>
      </c>
      <c r="S66" s="1160">
        <f t="shared" si="67"/>
        <v>0</v>
      </c>
      <c r="T66" s="1563">
        <f t="shared" si="130"/>
        <v>2.0999999999999999E-5</v>
      </c>
      <c r="U66">
        <f t="shared" si="131"/>
        <v>2.0999999999999999E-5</v>
      </c>
      <c r="V66" s="1160">
        <f t="shared" si="68"/>
        <v>0</v>
      </c>
      <c r="W66" s="1563">
        <f t="shared" si="132"/>
        <v>8.5854456255E-4</v>
      </c>
      <c r="X66">
        <f t="shared" si="133"/>
        <v>8.5854456255E-4</v>
      </c>
      <c r="Y66" s="1160">
        <f t="shared" si="69"/>
        <v>0</v>
      </c>
      <c r="Z66" s="1563">
        <f t="shared" si="134"/>
        <v>10110</v>
      </c>
      <c r="AA66">
        <f t="shared" si="135"/>
        <v>10110</v>
      </c>
      <c r="AB66" s="1160">
        <f t="shared" si="70"/>
        <v>0</v>
      </c>
      <c r="AC66" s="1563">
        <f t="shared" si="136"/>
        <v>60.660000000000004</v>
      </c>
      <c r="AD66" t="str">
        <f t="shared" si="137"/>
        <v/>
      </c>
      <c r="AE66" s="1160">
        <f t="shared" si="71"/>
        <v>1</v>
      </c>
      <c r="AF66" s="1563">
        <f t="shared" si="138"/>
        <v>2.4000609906139999E-2</v>
      </c>
      <c r="AG66">
        <f t="shared" si="139"/>
        <v>2.4000609906139999E-2</v>
      </c>
      <c r="AH66" s="1160">
        <f t="shared" si="72"/>
        <v>0</v>
      </c>
      <c r="AI66" s="1563">
        <f t="shared" si="140"/>
        <v>6.2475215534999998E-6</v>
      </c>
      <c r="AJ66">
        <f t="shared" si="141"/>
        <v>6.2475215534999998E-6</v>
      </c>
      <c r="AK66" s="1160">
        <f t="shared" si="73"/>
        <v>0</v>
      </c>
      <c r="AL66" s="1563">
        <f t="shared" si="142"/>
        <v>1678.390347</v>
      </c>
      <c r="AM66" t="e">
        <f t="shared" si="143"/>
        <v>#N/A</v>
      </c>
      <c r="AN66" s="1563">
        <f t="shared" si="144"/>
        <v>12.152032505901049</v>
      </c>
      <c r="AO66" t="str">
        <f t="shared" si="145"/>
        <v/>
      </c>
      <c r="AP66" s="1160">
        <f t="shared" si="146"/>
        <v>1</v>
      </c>
      <c r="AQ66" s="1563">
        <f t="shared" si="147"/>
        <v>1.8720574708705885E-8</v>
      </c>
      <c r="AS66" s="1563">
        <f t="shared" si="148"/>
        <v>843026.19095226168</v>
      </c>
      <c r="AU66" s="1563">
        <f t="shared" si="149"/>
        <v>826655.19194911129</v>
      </c>
      <c r="AW66" s="1563">
        <f t="shared" si="150"/>
        <v>186723.00735410862</v>
      </c>
      <c r="AY66" s="1592">
        <f t="shared" si="151"/>
        <v>1</v>
      </c>
      <c r="AZ66" s="821">
        <f t="shared" si="152"/>
        <v>1</v>
      </c>
      <c r="BA66" s="1160">
        <f t="shared" si="74"/>
        <v>0</v>
      </c>
      <c r="BB66" s="1592" t="str">
        <f t="shared" si="153"/>
        <v>--</v>
      </c>
      <c r="BC66" s="821" t="str">
        <f t="shared" si="154"/>
        <v/>
      </c>
      <c r="BD66" s="1160">
        <f t="shared" si="75"/>
        <v>0</v>
      </c>
      <c r="BE66" s="1592" t="str">
        <f t="shared" si="155"/>
        <v>Yes</v>
      </c>
      <c r="BF66" s="1592">
        <f t="shared" si="156"/>
        <v>2.0899999999999998E-2</v>
      </c>
      <c r="BG66" s="821">
        <f t="shared" si="157"/>
        <v>2.0899999999999998E-2</v>
      </c>
      <c r="BH66" s="1160">
        <f t="shared" si="76"/>
        <v>0</v>
      </c>
      <c r="BI66" s="1592">
        <f t="shared" si="158"/>
        <v>0.8</v>
      </c>
      <c r="BJ66" s="1592">
        <f t="shared" si="159"/>
        <v>0.15860844068214</v>
      </c>
      <c r="BK66" s="821">
        <f t="shared" si="160"/>
        <v>0.15860844068214</v>
      </c>
      <c r="BL66" s="1160">
        <f t="shared" si="77"/>
        <v>0</v>
      </c>
      <c r="BM66" s="1592">
        <f t="shared" si="161"/>
        <v>15.9235813014401</v>
      </c>
      <c r="BN66" s="821">
        <f t="shared" si="162"/>
        <v>15.9235813014401</v>
      </c>
      <c r="BO66" s="1160">
        <f t="shared" si="78"/>
        <v>0</v>
      </c>
      <c r="BP66" s="1592">
        <f t="shared" si="163"/>
        <v>38.216595123456102</v>
      </c>
      <c r="BQ66" s="821">
        <f t="shared" si="164"/>
        <v>38.216595123456102</v>
      </c>
      <c r="BR66" s="1160">
        <f t="shared" si="79"/>
        <v>0</v>
      </c>
      <c r="BS66" s="1592" t="str">
        <f t="shared" si="165"/>
        <v>--</v>
      </c>
      <c r="BT66" s="821">
        <f t="shared" si="166"/>
        <v>0</v>
      </c>
      <c r="BU66" s="1160">
        <f t="shared" si="82"/>
        <v>0</v>
      </c>
      <c r="BW66" s="75">
        <f t="shared" si="167"/>
        <v>9.1</v>
      </c>
      <c r="BX66" s="75" t="str">
        <f t="shared" si="168"/>
        <v>IRIS 1991</v>
      </c>
      <c r="BY66" s="75">
        <f t="shared" si="169"/>
        <v>9.1</v>
      </c>
      <c r="BZ66" s="75" t="str">
        <f t="shared" si="170"/>
        <v>I</v>
      </c>
      <c r="CA66" s="1670" t="str">
        <f t="shared" si="83"/>
        <v>--</v>
      </c>
      <c r="CB66" s="75">
        <f t="shared" si="171"/>
        <v>2.5999999999999999E-3</v>
      </c>
      <c r="CC66" s="75" t="str">
        <f t="shared" si="172"/>
        <v>IRIS 1991</v>
      </c>
      <c r="CD66" s="75">
        <f t="shared" si="173"/>
        <v>2.5999999999999999E-3</v>
      </c>
      <c r="CE66" s="75" t="str">
        <f t="shared" si="174"/>
        <v>I</v>
      </c>
      <c r="CF66" s="1670" t="str">
        <f t="shared" si="84"/>
        <v>--</v>
      </c>
      <c r="CG66" s="75">
        <f t="shared" si="175"/>
        <v>1.2999999999999999E-5</v>
      </c>
      <c r="CH66" s="75" t="str">
        <f t="shared" si="176"/>
        <v>IRIS 1991</v>
      </c>
      <c r="CI66" s="75">
        <f t="shared" si="177"/>
        <v>1.2999999999999999E-5</v>
      </c>
      <c r="CJ66" s="75" t="str">
        <f t="shared" si="178"/>
        <v>I</v>
      </c>
      <c r="CK66" s="1670" t="str">
        <f t="shared" si="85"/>
        <v>--</v>
      </c>
      <c r="CL66" s="75" t="str">
        <f t="shared" si="179"/>
        <v>--</v>
      </c>
      <c r="CM66" s="75" t="str">
        <f t="shared" si="180"/>
        <v xml:space="preserve"> </v>
      </c>
      <c r="CN66" s="75" t="str">
        <f t="shared" si="181"/>
        <v/>
      </c>
      <c r="CO66" s="75" t="str">
        <f t="shared" si="182"/>
        <v/>
      </c>
      <c r="CP66" s="1670" t="str">
        <f t="shared" si="86"/>
        <v>--</v>
      </c>
      <c r="CR66" s="1686" t="str">
        <f t="shared" si="87"/>
        <v>--</v>
      </c>
      <c r="CS66" s="1686" t="str">
        <f t="shared" si="88"/>
        <v>--</v>
      </c>
      <c r="CT66" s="1686" t="str">
        <f t="shared" si="89"/>
        <v>--</v>
      </c>
      <c r="CU66" s="1686" t="str">
        <f t="shared" si="90"/>
        <v>--</v>
      </c>
    </row>
    <row r="67" spans="1:99">
      <c r="A67" s="309" t="s">
        <v>203</v>
      </c>
      <c r="B67" s="427" t="s">
        <v>204</v>
      </c>
      <c r="C67" s="1563" t="str">
        <f t="shared" si="118"/>
        <v>O</v>
      </c>
      <c r="D67" t="e">
        <f t="shared" si="119"/>
        <v>#N/A</v>
      </c>
      <c r="E67" s="1563">
        <f t="shared" si="120"/>
        <v>231.8</v>
      </c>
      <c r="F67">
        <f t="shared" si="121"/>
        <v>231.8</v>
      </c>
      <c r="G67" s="1160">
        <f t="shared" si="63"/>
        <v>0</v>
      </c>
      <c r="H67" s="1563" t="str">
        <f t="shared" si="122"/>
        <v>V</v>
      </c>
      <c r="I67" t="str">
        <f t="shared" si="123"/>
        <v>V</v>
      </c>
      <c r="J67" s="1160">
        <f t="shared" si="64"/>
        <v>0</v>
      </c>
      <c r="K67" s="1563">
        <f t="shared" si="124"/>
        <v>284.77999999999997</v>
      </c>
      <c r="L67">
        <f t="shared" si="125"/>
        <v>284.77999999999997</v>
      </c>
      <c r="M67" s="1160">
        <f t="shared" si="65"/>
        <v>0</v>
      </c>
      <c r="N67" s="1563">
        <f t="shared" si="126"/>
        <v>1.8E-5</v>
      </c>
      <c r="O67">
        <f t="shared" si="127"/>
        <v>1.8E-5</v>
      </c>
      <c r="P67" s="1160">
        <f t="shared" si="66"/>
        <v>0</v>
      </c>
      <c r="Q67" s="1563">
        <f t="shared" si="128"/>
        <v>6.1999999999999998E-3</v>
      </c>
      <c r="R67">
        <f t="shared" si="129"/>
        <v>6.1999999999999998E-3</v>
      </c>
      <c r="S67" s="1160">
        <f t="shared" si="67"/>
        <v>0</v>
      </c>
      <c r="T67" s="1563">
        <f t="shared" si="130"/>
        <v>1.6999999999999999E-3</v>
      </c>
      <c r="U67">
        <f t="shared" si="131"/>
        <v>1.6999999999999999E-3</v>
      </c>
      <c r="V67" s="1160">
        <f t="shared" si="68"/>
        <v>0</v>
      </c>
      <c r="W67" s="1563">
        <f t="shared" si="132"/>
        <v>6.9501226492230006E-2</v>
      </c>
      <c r="X67">
        <f t="shared" si="133"/>
        <v>6.9501226492230006E-2</v>
      </c>
      <c r="Y67" s="1160">
        <f t="shared" si="69"/>
        <v>0</v>
      </c>
      <c r="Z67" s="1563">
        <f t="shared" si="134"/>
        <v>6195</v>
      </c>
      <c r="AA67">
        <f t="shared" si="135"/>
        <v>6195</v>
      </c>
      <c r="AB67" s="1160">
        <f t="shared" si="70"/>
        <v>0</v>
      </c>
      <c r="AC67" s="1563">
        <f t="shared" si="136"/>
        <v>37.17</v>
      </c>
      <c r="AD67" t="str">
        <f t="shared" si="137"/>
        <v/>
      </c>
      <c r="AE67" s="1160">
        <f t="shared" si="71"/>
        <v>1</v>
      </c>
      <c r="AF67" s="1563">
        <f t="shared" si="138"/>
        <v>2.8974507367290001E-2</v>
      </c>
      <c r="AG67">
        <f t="shared" si="139"/>
        <v>2.8974507367290001E-2</v>
      </c>
      <c r="AH67" s="1160">
        <f t="shared" si="72"/>
        <v>0</v>
      </c>
      <c r="AI67" s="1563">
        <f t="shared" si="140"/>
        <v>7.8497281212200001E-6</v>
      </c>
      <c r="AJ67">
        <f t="shared" si="141"/>
        <v>7.8497281212200001E-6</v>
      </c>
      <c r="AK67" s="1160">
        <f t="shared" si="73"/>
        <v>0</v>
      </c>
      <c r="AL67" s="1563">
        <f t="shared" si="142"/>
        <v>1038.9219000000001</v>
      </c>
      <c r="AM67" t="e">
        <f t="shared" si="143"/>
        <v>#N/A</v>
      </c>
      <c r="AN67" s="1563">
        <f t="shared" si="144"/>
        <v>0.23115557433262882</v>
      </c>
      <c r="AO67" t="str">
        <f t="shared" si="145"/>
        <v/>
      </c>
      <c r="AP67" s="1160">
        <f t="shared" si="146"/>
        <v>1</v>
      </c>
      <c r="AQ67" s="1563">
        <f t="shared" si="147"/>
        <v>2.8789740876044931E-6</v>
      </c>
      <c r="AS67" s="1563">
        <f t="shared" si="148"/>
        <v>67980.096692635067</v>
      </c>
      <c r="AU67" s="1563">
        <f t="shared" si="149"/>
        <v>66659.969148398173</v>
      </c>
      <c r="AW67" s="1563">
        <f t="shared" si="150"/>
        <v>15057.00324723447</v>
      </c>
      <c r="AY67" s="1592">
        <f t="shared" si="151"/>
        <v>1</v>
      </c>
      <c r="AZ67" s="821">
        <f t="shared" si="152"/>
        <v>1</v>
      </c>
      <c r="BA67" s="1160">
        <f t="shared" si="74"/>
        <v>0</v>
      </c>
      <c r="BB67" s="1592" t="str">
        <f t="shared" si="153"/>
        <v>--</v>
      </c>
      <c r="BC67" s="821" t="str">
        <f t="shared" si="154"/>
        <v/>
      </c>
      <c r="BD67" s="1160">
        <f t="shared" si="75"/>
        <v>0</v>
      </c>
      <c r="BE67" s="1592" t="str">
        <f t="shared" si="155"/>
        <v>No</v>
      </c>
      <c r="BF67" s="1592">
        <f t="shared" si="156"/>
        <v>0.254</v>
      </c>
      <c r="BG67" s="821">
        <f t="shared" si="157"/>
        <v>0.254</v>
      </c>
      <c r="BH67" s="1160">
        <f t="shared" si="76"/>
        <v>0</v>
      </c>
      <c r="BI67" s="1592">
        <f t="shared" si="158"/>
        <v>0.9</v>
      </c>
      <c r="BJ67" s="1592">
        <f t="shared" si="159"/>
        <v>1.6485993014692</v>
      </c>
      <c r="BK67" s="821">
        <f t="shared" si="160"/>
        <v>1.6485993014692</v>
      </c>
      <c r="BL67" s="1160">
        <f t="shared" si="77"/>
        <v>0</v>
      </c>
      <c r="BM67" s="1592">
        <f t="shared" si="161"/>
        <v>4.1363449507906704</v>
      </c>
      <c r="BN67" s="821">
        <f t="shared" si="162"/>
        <v>4.1363449507906704</v>
      </c>
      <c r="BO67" s="1160">
        <f t="shared" si="78"/>
        <v>0</v>
      </c>
      <c r="BP67" s="1592">
        <f t="shared" si="163"/>
        <v>16.572823901394202</v>
      </c>
      <c r="BQ67" s="821">
        <f t="shared" si="164"/>
        <v>16.572823901394202</v>
      </c>
      <c r="BR67" s="1160">
        <f t="shared" si="79"/>
        <v>0</v>
      </c>
      <c r="BS67" s="1592" t="str">
        <f t="shared" si="165"/>
        <v>--</v>
      </c>
      <c r="BT67" s="821">
        <f t="shared" si="166"/>
        <v>0</v>
      </c>
      <c r="BU67" s="1160">
        <f t="shared" si="82"/>
        <v>0</v>
      </c>
      <c r="BW67" s="75">
        <f t="shared" si="167"/>
        <v>1.8</v>
      </c>
      <c r="BX67" s="75" t="str">
        <f t="shared" si="168"/>
        <v>OEHHA 2009</v>
      </c>
      <c r="BY67" s="75">
        <f t="shared" si="169"/>
        <v>1.6</v>
      </c>
      <c r="BZ67" s="75" t="str">
        <f t="shared" si="170"/>
        <v>I</v>
      </c>
      <c r="CA67" s="1671" t="str">
        <f t="shared" si="83"/>
        <v>check</v>
      </c>
      <c r="CB67" s="75">
        <f t="shared" si="171"/>
        <v>5.1000000000000004E-4</v>
      </c>
      <c r="CC67" s="75" t="str">
        <f t="shared" si="172"/>
        <v>OEHHA 2009</v>
      </c>
      <c r="CD67" s="75">
        <f t="shared" si="173"/>
        <v>4.6000000000000001E-4</v>
      </c>
      <c r="CE67" s="75" t="str">
        <f t="shared" si="174"/>
        <v>I</v>
      </c>
      <c r="CF67" s="1671" t="str">
        <f t="shared" si="84"/>
        <v>check</v>
      </c>
      <c r="CG67" s="75">
        <f t="shared" si="175"/>
        <v>1.0000000000000001E-5</v>
      </c>
      <c r="CH67" s="75" t="str">
        <f t="shared" si="176"/>
        <v>PPRTV 2010*</v>
      </c>
      <c r="CI67" s="75">
        <f t="shared" si="177"/>
        <v>1.0000000000000001E-5</v>
      </c>
      <c r="CJ67" s="75" t="str">
        <f t="shared" si="178"/>
        <v>P</v>
      </c>
      <c r="CK67" s="1670" t="str">
        <f t="shared" si="85"/>
        <v>--</v>
      </c>
      <c r="CL67" s="75" t="str">
        <f t="shared" si="179"/>
        <v>--</v>
      </c>
      <c r="CM67" s="75" t="str">
        <f t="shared" si="180"/>
        <v xml:space="preserve"> </v>
      </c>
      <c r="CN67" s="75" t="str">
        <f t="shared" si="181"/>
        <v/>
      </c>
      <c r="CO67" s="75" t="str">
        <f t="shared" si="182"/>
        <v/>
      </c>
      <c r="CP67" s="1670" t="str">
        <f t="shared" si="86"/>
        <v>--</v>
      </c>
      <c r="CR67" s="1686" t="str">
        <f t="shared" si="87"/>
        <v>x</v>
      </c>
      <c r="CS67" s="1686" t="str">
        <f t="shared" si="88"/>
        <v>x</v>
      </c>
      <c r="CT67" s="1686" t="str">
        <f t="shared" si="89"/>
        <v>--</v>
      </c>
      <c r="CU67" s="1686" t="str">
        <f t="shared" si="90"/>
        <v>--</v>
      </c>
    </row>
    <row r="68" spans="1:99">
      <c r="A68" s="309" t="s">
        <v>205</v>
      </c>
      <c r="B68" s="427" t="s">
        <v>206</v>
      </c>
      <c r="C68" s="1563" t="str">
        <f t="shared" si="118"/>
        <v>O</v>
      </c>
      <c r="D68" t="e">
        <f t="shared" si="119"/>
        <v>#N/A</v>
      </c>
      <c r="E68" s="1563">
        <f t="shared" si="120"/>
        <v>-21</v>
      </c>
      <c r="F68">
        <f t="shared" si="121"/>
        <v>-21</v>
      </c>
      <c r="G68" s="1160">
        <f t="shared" si="63"/>
        <v>0</v>
      </c>
      <c r="H68" s="1563" t="str">
        <f t="shared" si="122"/>
        <v>V</v>
      </c>
      <c r="I68" t="str">
        <f t="shared" si="123"/>
        <v>V</v>
      </c>
      <c r="J68" s="1160">
        <f t="shared" si="64"/>
        <v>0</v>
      </c>
      <c r="K68" s="1563">
        <f t="shared" si="124"/>
        <v>260.76</v>
      </c>
      <c r="L68">
        <f t="shared" si="125"/>
        <v>260.76</v>
      </c>
      <c r="M68" s="1160">
        <f t="shared" si="65"/>
        <v>0</v>
      </c>
      <c r="N68" s="1563">
        <f t="shared" si="126"/>
        <v>0.22</v>
      </c>
      <c r="O68">
        <f t="shared" si="127"/>
        <v>0.22</v>
      </c>
      <c r="P68" s="1160">
        <f t="shared" si="66"/>
        <v>0</v>
      </c>
      <c r="Q68" s="1563">
        <f t="shared" si="128"/>
        <v>3.2</v>
      </c>
      <c r="R68">
        <f t="shared" si="129"/>
        <v>3.2</v>
      </c>
      <c r="S68" s="1160">
        <f t="shared" si="67"/>
        <v>0</v>
      </c>
      <c r="T68" s="1563">
        <f t="shared" si="130"/>
        <v>1.03E-2</v>
      </c>
      <c r="U68">
        <f t="shared" si="131"/>
        <v>1.03E-2</v>
      </c>
      <c r="V68" s="1160">
        <f t="shared" si="68"/>
        <v>0</v>
      </c>
      <c r="W68" s="1563">
        <f t="shared" si="132"/>
        <v>0.42109566639411</v>
      </c>
      <c r="X68">
        <f t="shared" si="133"/>
        <v>0.42109566639411</v>
      </c>
      <c r="Y68" s="1160">
        <f t="shared" si="69"/>
        <v>0</v>
      </c>
      <c r="Z68" s="1563">
        <f t="shared" si="134"/>
        <v>845.2</v>
      </c>
      <c r="AA68">
        <f t="shared" si="135"/>
        <v>845.2</v>
      </c>
      <c r="AB68" s="1160">
        <f t="shared" si="70"/>
        <v>0</v>
      </c>
      <c r="AC68" s="1563">
        <f t="shared" si="136"/>
        <v>5.0712000000000002</v>
      </c>
      <c r="AD68" t="str">
        <f t="shared" si="137"/>
        <v/>
      </c>
      <c r="AE68" s="1160">
        <f t="shared" si="71"/>
        <v>1</v>
      </c>
      <c r="AF68" s="1563">
        <f t="shared" si="138"/>
        <v>2.674452464823E-2</v>
      </c>
      <c r="AG68">
        <f t="shared" si="139"/>
        <v>2.674452464823E-2</v>
      </c>
      <c r="AH68" s="1160">
        <f t="shared" si="72"/>
        <v>0</v>
      </c>
      <c r="AI68" s="1563">
        <f t="shared" si="140"/>
        <v>7.0264011970200003E-6</v>
      </c>
      <c r="AJ68">
        <f t="shared" si="141"/>
        <v>7.0264011970200003E-6</v>
      </c>
      <c r="AK68" s="1160">
        <f t="shared" si="73"/>
        <v>0</v>
      </c>
      <c r="AL68" s="1563">
        <f t="shared" si="142"/>
        <v>204.2353</v>
      </c>
      <c r="AM68" t="e">
        <f t="shared" si="143"/>
        <v>#N/A</v>
      </c>
      <c r="AN68" s="1563">
        <f t="shared" si="144"/>
        <v>16.802933928220632</v>
      </c>
      <c r="AO68">
        <f t="shared" si="145"/>
        <v>16.8</v>
      </c>
      <c r="AP68" s="1160">
        <f t="shared" si="146"/>
        <v>1</v>
      </c>
      <c r="AQ68" s="1563">
        <f t="shared" si="147"/>
        <v>1.1427547638886722E-4</v>
      </c>
      <c r="AS68" s="1563">
        <f t="shared" si="148"/>
        <v>10790.066859545672</v>
      </c>
      <c r="AU68" s="1563">
        <f t="shared" si="149"/>
        <v>10580.531051883499</v>
      </c>
      <c r="AW68" s="1563">
        <f t="shared" si="150"/>
        <v>2389.9064527170303</v>
      </c>
      <c r="AY68" s="1592">
        <f t="shared" si="151"/>
        <v>1</v>
      </c>
      <c r="AZ68" s="821">
        <f t="shared" si="152"/>
        <v>1</v>
      </c>
      <c r="BA68" s="1160">
        <f t="shared" si="74"/>
        <v>0</v>
      </c>
      <c r="BB68" s="1592" t="str">
        <f t="shared" si="153"/>
        <v>--</v>
      </c>
      <c r="BC68" s="821" t="str">
        <f t="shared" si="154"/>
        <v/>
      </c>
      <c r="BD68" s="1160">
        <f t="shared" si="75"/>
        <v>0</v>
      </c>
      <c r="BE68" s="1592" t="str">
        <f t="shared" si="155"/>
        <v>Yes</v>
      </c>
      <c r="BF68" s="1592">
        <f t="shared" si="156"/>
        <v>8.1000000000000003E-2</v>
      </c>
      <c r="BG68" s="821">
        <f t="shared" si="157"/>
        <v>8.1000000000000003E-2</v>
      </c>
      <c r="BH68" s="1160">
        <f t="shared" si="76"/>
        <v>0</v>
      </c>
      <c r="BI68" s="1592">
        <f t="shared" si="158"/>
        <v>0.9</v>
      </c>
      <c r="BJ68" s="1592">
        <f t="shared" si="159"/>
        <v>0.50307432956283005</v>
      </c>
      <c r="BK68" s="821">
        <f t="shared" si="160"/>
        <v>0.50307432956283005</v>
      </c>
      <c r="BL68" s="1160">
        <f t="shared" si="77"/>
        <v>0</v>
      </c>
      <c r="BM68" s="1592">
        <f t="shared" si="161"/>
        <v>3.0346230315459599</v>
      </c>
      <c r="BN68" s="821">
        <f t="shared" si="162"/>
        <v>3.0346230315459599</v>
      </c>
      <c r="BO68" s="1160">
        <f t="shared" si="78"/>
        <v>0</v>
      </c>
      <c r="BP68" s="1592">
        <f t="shared" si="163"/>
        <v>7.28309527571031</v>
      </c>
      <c r="BQ68" s="821">
        <f t="shared" si="164"/>
        <v>7.28309527571031</v>
      </c>
      <c r="BR68" s="1160">
        <f t="shared" si="79"/>
        <v>0</v>
      </c>
      <c r="BS68" s="1592" t="str">
        <f t="shared" si="165"/>
        <v>--</v>
      </c>
      <c r="BT68" s="821">
        <f t="shared" si="166"/>
        <v>0</v>
      </c>
      <c r="BU68" s="1160">
        <f t="shared" si="82"/>
        <v>0</v>
      </c>
      <c r="BW68" s="75">
        <f t="shared" si="167"/>
        <v>7.8E-2</v>
      </c>
      <c r="BX68" s="75" t="str">
        <f t="shared" si="168"/>
        <v>IRIS 1993</v>
      </c>
      <c r="BY68" s="75">
        <f t="shared" si="169"/>
        <v>7.8E-2</v>
      </c>
      <c r="BZ68" s="75" t="str">
        <f t="shared" si="170"/>
        <v>I</v>
      </c>
      <c r="CA68" s="1670" t="str">
        <f t="shared" si="83"/>
        <v>--</v>
      </c>
      <c r="CB68" s="75">
        <f t="shared" si="171"/>
        <v>2.1999999999999999E-5</v>
      </c>
      <c r="CC68" s="75" t="str">
        <f t="shared" si="172"/>
        <v>IRIS 1993</v>
      </c>
      <c r="CD68" s="75">
        <f t="shared" si="173"/>
        <v>2.1999999999999999E-5</v>
      </c>
      <c r="CE68" s="75" t="str">
        <f t="shared" si="174"/>
        <v>I</v>
      </c>
      <c r="CF68" s="1670" t="str">
        <f t="shared" si="84"/>
        <v>--</v>
      </c>
      <c r="CG68" s="75">
        <f t="shared" si="175"/>
        <v>1E-3</v>
      </c>
      <c r="CH68" s="75" t="str">
        <f t="shared" si="176"/>
        <v>PPRTV 2007</v>
      </c>
      <c r="CI68" s="75">
        <f t="shared" si="177"/>
        <v>1E-3</v>
      </c>
      <c r="CJ68" s="75" t="str">
        <f t="shared" si="178"/>
        <v>P</v>
      </c>
      <c r="CK68" s="1670" t="str">
        <f t="shared" si="85"/>
        <v>--</v>
      </c>
      <c r="CL68" s="75" t="str">
        <f t="shared" si="179"/>
        <v>--</v>
      </c>
      <c r="CM68" s="75" t="str">
        <f t="shared" si="180"/>
        <v xml:space="preserve"> </v>
      </c>
      <c r="CN68" s="75" t="str">
        <f t="shared" si="181"/>
        <v/>
      </c>
      <c r="CO68" s="75" t="str">
        <f t="shared" si="182"/>
        <v/>
      </c>
      <c r="CP68" s="1670" t="str">
        <f t="shared" si="86"/>
        <v>--</v>
      </c>
      <c r="CR68" s="1686" t="str">
        <f t="shared" si="87"/>
        <v>--</v>
      </c>
      <c r="CS68" s="1686" t="str">
        <f t="shared" si="88"/>
        <v>--</v>
      </c>
      <c r="CT68" s="1686" t="str">
        <f t="shared" si="89"/>
        <v>--</v>
      </c>
      <c r="CU68" s="1686" t="str">
        <f t="shared" si="90"/>
        <v>--</v>
      </c>
    </row>
    <row r="69" spans="1:99">
      <c r="A69" s="306" t="s">
        <v>1123</v>
      </c>
      <c r="B69" s="427" t="s">
        <v>208</v>
      </c>
      <c r="C69" s="1563" t="str">
        <f t="shared" si="118"/>
        <v>O</v>
      </c>
      <c r="D69" t="e">
        <f t="shared" si="119"/>
        <v>#N/A</v>
      </c>
      <c r="E69" s="1563">
        <f t="shared" si="120"/>
        <v>112.5</v>
      </c>
      <c r="F69">
        <f t="shared" si="121"/>
        <v>112.5</v>
      </c>
      <c r="G69" s="1160">
        <f t="shared" si="63"/>
        <v>0</v>
      </c>
      <c r="H69" s="1563" t="str">
        <f t="shared" si="122"/>
        <v>NV</v>
      </c>
      <c r="I69">
        <f t="shared" si="123"/>
        <v>0</v>
      </c>
      <c r="J69" s="1160">
        <f t="shared" si="64"/>
        <v>0</v>
      </c>
      <c r="K69" s="1563">
        <f t="shared" si="124"/>
        <v>290.83</v>
      </c>
      <c r="L69">
        <f t="shared" si="125"/>
        <v>290.83</v>
      </c>
      <c r="M69" s="1160">
        <f t="shared" si="65"/>
        <v>0</v>
      </c>
      <c r="N69" s="1563">
        <f t="shared" si="126"/>
        <v>4.1999999999999998E-5</v>
      </c>
      <c r="O69">
        <f t="shared" si="127"/>
        <v>4.1999999999999998E-5</v>
      </c>
      <c r="P69" s="1160">
        <f t="shared" si="66"/>
        <v>0</v>
      </c>
      <c r="Q69" s="1563">
        <f t="shared" si="128"/>
        <v>7.3</v>
      </c>
      <c r="R69">
        <f t="shared" si="129"/>
        <v>7.3</v>
      </c>
      <c r="S69" s="1160">
        <f t="shared" si="67"/>
        <v>0</v>
      </c>
      <c r="T69" s="1563">
        <f t="shared" si="130"/>
        <v>5.1399999999999999E-6</v>
      </c>
      <c r="U69">
        <f t="shared" si="131"/>
        <v>5.1399999999999999E-6</v>
      </c>
      <c r="V69" s="1160">
        <f t="shared" si="68"/>
        <v>0</v>
      </c>
      <c r="W69" s="1563">
        <f t="shared" si="132"/>
        <v>2.1013900245E-4</v>
      </c>
      <c r="X69">
        <f t="shared" si="133"/>
        <v>2.1013900245E-4</v>
      </c>
      <c r="Y69" s="1160">
        <f t="shared" si="69"/>
        <v>0</v>
      </c>
      <c r="Z69" s="1563">
        <f t="shared" si="134"/>
        <v>2807</v>
      </c>
      <c r="AA69">
        <f t="shared" si="135"/>
        <v>2807</v>
      </c>
      <c r="AB69" s="1160">
        <f t="shared" si="70"/>
        <v>0</v>
      </c>
      <c r="AC69" s="1563">
        <f t="shared" si="136"/>
        <v>16.841999999999999</v>
      </c>
      <c r="AD69" t="str">
        <f t="shared" si="137"/>
        <v/>
      </c>
      <c r="AE69" s="1160">
        <f t="shared" si="71"/>
        <v>1</v>
      </c>
      <c r="AF69" s="1563">
        <f t="shared" si="138"/>
        <v>4.3284007679819998E-2</v>
      </c>
      <c r="AG69">
        <f t="shared" si="139"/>
        <v>4.3284007679819998E-2</v>
      </c>
      <c r="AH69" s="1160">
        <f t="shared" si="72"/>
        <v>0</v>
      </c>
      <c r="AI69" s="1563">
        <f t="shared" si="140"/>
        <v>5.0573945815400002E-6</v>
      </c>
      <c r="AJ69">
        <f t="shared" si="141"/>
        <v>5.0573945815400002E-6</v>
      </c>
      <c r="AK69" s="1160">
        <f t="shared" si="73"/>
        <v>0</v>
      </c>
      <c r="AL69" s="1563">
        <f t="shared" si="142"/>
        <v>465.99390398000003</v>
      </c>
      <c r="AM69" t="e">
        <f t="shared" si="143"/>
        <v>#N/A</v>
      </c>
      <c r="AN69" s="1563">
        <f t="shared" si="144"/>
        <v>123.67689040152833</v>
      </c>
      <c r="AO69" t="str">
        <f t="shared" si="145"/>
        <v/>
      </c>
      <c r="AP69" s="1160">
        <f t="shared" si="146"/>
        <v>1</v>
      </c>
      <c r="AQ69" s="1563" t="str">
        <f t="shared" si="147"/>
        <v>--</v>
      </c>
      <c r="AS69" s="1563" t="str">
        <f t="shared" si="148"/>
        <v>--</v>
      </c>
      <c r="AU69" s="1563" t="str">
        <f t="shared" si="149"/>
        <v>--</v>
      </c>
      <c r="AW69" s="1563" t="str">
        <f t="shared" si="150"/>
        <v>--</v>
      </c>
      <c r="AY69" s="1592">
        <f t="shared" si="151"/>
        <v>1</v>
      </c>
      <c r="AZ69" s="821">
        <f t="shared" si="152"/>
        <v>1</v>
      </c>
      <c r="BA69" s="1160">
        <f t="shared" si="74"/>
        <v>0</v>
      </c>
      <c r="BB69" s="1592">
        <f t="shared" si="153"/>
        <v>0.04</v>
      </c>
      <c r="BC69" s="821">
        <f t="shared" si="154"/>
        <v>0.04</v>
      </c>
      <c r="BD69" s="1160">
        <f t="shared" si="75"/>
        <v>0</v>
      </c>
      <c r="BE69" s="1592" t="str">
        <f t="shared" si="155"/>
        <v>Yes</v>
      </c>
      <c r="BF69" s="1592">
        <f t="shared" si="156"/>
        <v>2.06E-2</v>
      </c>
      <c r="BG69" s="821">
        <f t="shared" si="157"/>
        <v>2.06E-2</v>
      </c>
      <c r="BH69" s="1160">
        <f t="shared" si="76"/>
        <v>0</v>
      </c>
      <c r="BI69" s="1592">
        <f t="shared" si="158"/>
        <v>0.9</v>
      </c>
      <c r="BJ69" s="1592">
        <f t="shared" si="159"/>
        <v>0.13511808269875999</v>
      </c>
      <c r="BK69" s="821">
        <f t="shared" si="160"/>
        <v>0.13511808269875999</v>
      </c>
      <c r="BL69" s="1160">
        <f t="shared" si="77"/>
        <v>0</v>
      </c>
      <c r="BM69" s="1592">
        <f t="shared" si="161"/>
        <v>4.4719480484289003</v>
      </c>
      <c r="BN69" s="821">
        <f t="shared" si="162"/>
        <v>4.4719480484289003</v>
      </c>
      <c r="BO69" s="1160">
        <f t="shared" si="78"/>
        <v>0</v>
      </c>
      <c r="BP69" s="1592">
        <f t="shared" si="163"/>
        <v>10.7326753162294</v>
      </c>
      <c r="BQ69" s="821">
        <f t="shared" si="164"/>
        <v>10.7326753162294</v>
      </c>
      <c r="BR69" s="1160">
        <f t="shared" si="79"/>
        <v>0</v>
      </c>
      <c r="BS69" s="1592" t="str">
        <f t="shared" si="165"/>
        <v>--</v>
      </c>
      <c r="BT69" s="821">
        <f t="shared" si="166"/>
        <v>0</v>
      </c>
      <c r="BU69" s="1160">
        <f t="shared" si="82"/>
        <v>0</v>
      </c>
      <c r="BW69" s="75">
        <f t="shared" si="167"/>
        <v>1.1000000000000001</v>
      </c>
      <c r="BX69" s="75" t="str">
        <f t="shared" si="168"/>
        <v>OEHHA 2009</v>
      </c>
      <c r="BY69" s="75">
        <f t="shared" si="169"/>
        <v>1.1000000000000001</v>
      </c>
      <c r="BZ69" s="75" t="str">
        <f t="shared" si="170"/>
        <v>C</v>
      </c>
      <c r="CA69" s="1670" t="str">
        <f t="shared" si="83"/>
        <v>--</v>
      </c>
      <c r="CB69" s="75">
        <f t="shared" si="171"/>
        <v>3.1E-4</v>
      </c>
      <c r="CC69" s="75" t="str">
        <f t="shared" si="172"/>
        <v>OEHHA 2009</v>
      </c>
      <c r="CD69" s="75">
        <f t="shared" si="173"/>
        <v>3.1E-4</v>
      </c>
      <c r="CE69" s="75" t="str">
        <f t="shared" si="174"/>
        <v>C</v>
      </c>
      <c r="CF69" s="1670" t="str">
        <f t="shared" si="84"/>
        <v>--</v>
      </c>
      <c r="CG69" s="75">
        <f t="shared" si="175"/>
        <v>7.9999999999999996E-7</v>
      </c>
      <c r="CH69" s="75" t="str">
        <f t="shared" si="176"/>
        <v>ATSDR*</v>
      </c>
      <c r="CI69" s="75">
        <f t="shared" si="177"/>
        <v>7.9999999999999996E-7</v>
      </c>
      <c r="CJ69" s="75" t="str">
        <f t="shared" si="178"/>
        <v>A</v>
      </c>
      <c r="CK69" s="1670" t="str">
        <f t="shared" si="85"/>
        <v>--</v>
      </c>
      <c r="CL69" s="75" t="str">
        <f t="shared" si="179"/>
        <v>--</v>
      </c>
      <c r="CM69" s="75" t="str">
        <f t="shared" si="180"/>
        <v xml:space="preserve"> </v>
      </c>
      <c r="CN69" s="75" t="str">
        <f t="shared" si="181"/>
        <v/>
      </c>
      <c r="CO69" s="75" t="str">
        <f t="shared" si="182"/>
        <v/>
      </c>
      <c r="CP69" s="1670" t="str">
        <f t="shared" si="86"/>
        <v>--</v>
      </c>
      <c r="CR69" s="1686" t="str">
        <f t="shared" si="87"/>
        <v>--</v>
      </c>
      <c r="CS69" s="1686" t="str">
        <f t="shared" si="88"/>
        <v>--</v>
      </c>
      <c r="CT69" s="1686" t="str">
        <f t="shared" si="89"/>
        <v>--</v>
      </c>
      <c r="CU69" s="1686" t="str">
        <f t="shared" si="90"/>
        <v>--</v>
      </c>
    </row>
    <row r="70" spans="1:99">
      <c r="A70" s="309" t="s">
        <v>209</v>
      </c>
      <c r="B70" s="427" t="s">
        <v>210</v>
      </c>
      <c r="C70" s="1563" t="str">
        <f t="shared" si="118"/>
        <v>O</v>
      </c>
      <c r="D70" t="e">
        <f t="shared" si="119"/>
        <v>#N/A</v>
      </c>
      <c r="E70" s="1563">
        <f t="shared" si="120"/>
        <v>187</v>
      </c>
      <c r="F70">
        <f t="shared" si="121"/>
        <v>187</v>
      </c>
      <c r="G70" s="1160">
        <f t="shared" si="63"/>
        <v>0</v>
      </c>
      <c r="H70" s="1563" t="str">
        <f t="shared" si="122"/>
        <v>V</v>
      </c>
      <c r="I70" t="str">
        <f t="shared" si="123"/>
        <v>V</v>
      </c>
      <c r="J70" s="1160">
        <f t="shared" si="64"/>
        <v>0</v>
      </c>
      <c r="K70" s="1563">
        <f t="shared" si="124"/>
        <v>236.74</v>
      </c>
      <c r="L70">
        <f t="shared" si="125"/>
        <v>236.74</v>
      </c>
      <c r="M70" s="1160">
        <f t="shared" si="65"/>
        <v>0</v>
      </c>
      <c r="N70" s="1563">
        <f t="shared" si="126"/>
        <v>0.21</v>
      </c>
      <c r="O70">
        <f t="shared" si="127"/>
        <v>0.21</v>
      </c>
      <c r="P70" s="1160">
        <f t="shared" si="66"/>
        <v>0</v>
      </c>
      <c r="Q70" s="1563">
        <f t="shared" si="128"/>
        <v>50</v>
      </c>
      <c r="R70">
        <f t="shared" si="129"/>
        <v>50</v>
      </c>
      <c r="S70" s="1160">
        <f t="shared" si="67"/>
        <v>0</v>
      </c>
      <c r="T70" s="1563">
        <f t="shared" si="130"/>
        <v>3.8899999999999998E-3</v>
      </c>
      <c r="U70">
        <f t="shared" si="131"/>
        <v>3.8899999999999998E-3</v>
      </c>
      <c r="V70" s="1160">
        <f t="shared" si="68"/>
        <v>0</v>
      </c>
      <c r="W70" s="1563">
        <f t="shared" si="132"/>
        <v>0.15903515944398999</v>
      </c>
      <c r="X70">
        <f t="shared" si="133"/>
        <v>0.15903515944398999</v>
      </c>
      <c r="Y70" s="1160">
        <f t="shared" si="69"/>
        <v>0</v>
      </c>
      <c r="Z70" s="1563">
        <f t="shared" si="134"/>
        <v>196.8</v>
      </c>
      <c r="AA70">
        <f t="shared" si="135"/>
        <v>196.8</v>
      </c>
      <c r="AB70" s="1160">
        <f t="shared" si="70"/>
        <v>0</v>
      </c>
      <c r="AC70" s="1563">
        <f t="shared" si="136"/>
        <v>1.1808000000000001</v>
      </c>
      <c r="AD70" t="str">
        <f t="shared" si="137"/>
        <v/>
      </c>
      <c r="AE70" s="1160">
        <f t="shared" si="71"/>
        <v>1</v>
      </c>
      <c r="AF70" s="1563">
        <f t="shared" si="138"/>
        <v>3.2093777507060002E-2</v>
      </c>
      <c r="AG70">
        <f t="shared" si="139"/>
        <v>3.2093777507060002E-2</v>
      </c>
      <c r="AH70" s="1160">
        <f t="shared" si="72"/>
        <v>0</v>
      </c>
      <c r="AI70" s="1563">
        <f t="shared" si="140"/>
        <v>8.89039803366E-6</v>
      </c>
      <c r="AJ70">
        <f t="shared" si="141"/>
        <v>8.89039803366E-6</v>
      </c>
      <c r="AK70" s="1160">
        <f t="shared" si="73"/>
        <v>0</v>
      </c>
      <c r="AL70" s="1563">
        <f t="shared" si="142"/>
        <v>56.814030000000002</v>
      </c>
      <c r="AM70" t="e">
        <f t="shared" si="143"/>
        <v>#N/A</v>
      </c>
      <c r="AN70" s="1563">
        <f t="shared" si="144"/>
        <v>65.545332798510728</v>
      </c>
      <c r="AO70" t="str">
        <f t="shared" si="145"/>
        <v/>
      </c>
      <c r="AP70" s="1160">
        <f t="shared" si="146"/>
        <v>1</v>
      </c>
      <c r="AQ70" s="1563">
        <f t="shared" si="147"/>
        <v>2.0747825457514973E-4</v>
      </c>
      <c r="AS70" s="1563">
        <f t="shared" si="148"/>
        <v>8007.8211168902399</v>
      </c>
      <c r="AU70" s="1563">
        <f t="shared" si="149"/>
        <v>7852.3146416122499</v>
      </c>
      <c r="AW70" s="1563">
        <f t="shared" si="150"/>
        <v>1773.6630929704463</v>
      </c>
      <c r="AY70" s="1592">
        <f t="shared" si="151"/>
        <v>1</v>
      </c>
      <c r="AZ70" s="821">
        <f t="shared" si="152"/>
        <v>1</v>
      </c>
      <c r="BA70" s="1160">
        <f t="shared" si="74"/>
        <v>0</v>
      </c>
      <c r="BB70" s="1592" t="str">
        <f t="shared" si="153"/>
        <v>--</v>
      </c>
      <c r="BC70" s="821" t="str">
        <f t="shared" si="154"/>
        <v/>
      </c>
      <c r="BD70" s="1160">
        <f t="shared" si="75"/>
        <v>0</v>
      </c>
      <c r="BE70" s="1592" t="str">
        <f t="shared" si="155"/>
        <v>Yes</v>
      </c>
      <c r="BF70" s="1592">
        <f t="shared" si="156"/>
        <v>4.1500000000000002E-2</v>
      </c>
      <c r="BG70" s="821">
        <f t="shared" si="157"/>
        <v>4.1500000000000002E-2</v>
      </c>
      <c r="BH70" s="1160">
        <f t="shared" si="76"/>
        <v>0</v>
      </c>
      <c r="BI70" s="1592">
        <f t="shared" si="158"/>
        <v>1</v>
      </c>
      <c r="BJ70" s="1592">
        <f t="shared" si="159"/>
        <v>0.2455899385142</v>
      </c>
      <c r="BK70" s="821">
        <f t="shared" si="160"/>
        <v>0.2455899385142</v>
      </c>
      <c r="BL70" s="1160">
        <f t="shared" si="77"/>
        <v>0</v>
      </c>
      <c r="BM70" s="1592">
        <f t="shared" si="161"/>
        <v>2.2263464612227</v>
      </c>
      <c r="BN70" s="821">
        <f t="shared" si="162"/>
        <v>2.2263464612227</v>
      </c>
      <c r="BO70" s="1160">
        <f t="shared" si="78"/>
        <v>0</v>
      </c>
      <c r="BP70" s="1592">
        <f t="shared" si="163"/>
        <v>5.3432315069344902</v>
      </c>
      <c r="BQ70" s="821">
        <f t="shared" si="164"/>
        <v>5.3432315069344902</v>
      </c>
      <c r="BR70" s="1160">
        <f t="shared" si="79"/>
        <v>0</v>
      </c>
      <c r="BS70" s="1592" t="str">
        <f t="shared" si="165"/>
        <v>--</v>
      </c>
      <c r="BT70" s="821">
        <f t="shared" si="166"/>
        <v>0</v>
      </c>
      <c r="BU70" s="1160">
        <f t="shared" si="82"/>
        <v>0</v>
      </c>
      <c r="BW70" s="75">
        <f t="shared" si="167"/>
        <v>0.04</v>
      </c>
      <c r="BX70" s="75" t="str">
        <f t="shared" si="168"/>
        <v>IRIS 2011</v>
      </c>
      <c r="BY70" s="75">
        <f t="shared" si="169"/>
        <v>0.04</v>
      </c>
      <c r="BZ70" s="75" t="str">
        <f t="shared" si="170"/>
        <v>I</v>
      </c>
      <c r="CA70" s="1670" t="str">
        <f t="shared" si="83"/>
        <v>--</v>
      </c>
      <c r="CB70" s="75">
        <f t="shared" si="171"/>
        <v>1.1E-5</v>
      </c>
      <c r="CC70" s="75" t="str">
        <f t="shared" si="172"/>
        <v>OEHHA 2009</v>
      </c>
      <c r="CD70" s="75">
        <f t="shared" si="173"/>
        <v>1.1E-5</v>
      </c>
      <c r="CE70" s="75" t="str">
        <f t="shared" si="174"/>
        <v>C</v>
      </c>
      <c r="CF70" s="1670" t="str">
        <f t="shared" si="84"/>
        <v>--</v>
      </c>
      <c r="CG70" s="75">
        <f t="shared" si="175"/>
        <v>6.9999999999999999E-4</v>
      </c>
      <c r="CH70" s="75" t="str">
        <f t="shared" si="176"/>
        <v>IRIS 2011</v>
      </c>
      <c r="CI70" s="75">
        <f t="shared" si="177"/>
        <v>6.9999999999999999E-4</v>
      </c>
      <c r="CJ70" s="75" t="str">
        <f t="shared" si="178"/>
        <v>I</v>
      </c>
      <c r="CK70" s="1670" t="str">
        <f t="shared" si="85"/>
        <v>--</v>
      </c>
      <c r="CL70" s="75">
        <f t="shared" si="179"/>
        <v>30</v>
      </c>
      <c r="CM70" s="75" t="str">
        <f t="shared" si="180"/>
        <v>IRIS 2011</v>
      </c>
      <c r="CN70" s="75">
        <f t="shared" si="181"/>
        <v>30</v>
      </c>
      <c r="CO70" s="75" t="str">
        <f t="shared" si="182"/>
        <v>I</v>
      </c>
      <c r="CP70" s="1670" t="str">
        <f t="shared" si="86"/>
        <v>--</v>
      </c>
      <c r="CR70" s="1686" t="str">
        <f t="shared" si="87"/>
        <v>--</v>
      </c>
      <c r="CS70" s="1686" t="str">
        <f t="shared" si="88"/>
        <v>--</v>
      </c>
      <c r="CT70" s="1686" t="str">
        <f t="shared" si="89"/>
        <v>--</v>
      </c>
      <c r="CU70" s="1686" t="str">
        <f t="shared" si="90"/>
        <v>--</v>
      </c>
    </row>
    <row r="71" spans="1:99">
      <c r="A71" s="309" t="s">
        <v>211</v>
      </c>
      <c r="B71" s="427" t="s">
        <v>212</v>
      </c>
      <c r="C71" s="1563" t="str">
        <f t="shared" ref="C71:C96" si="183">VLOOKUP($A71,Table_IP_1, MATCH("OI", heading_IP_1, 0), FALSE)</f>
        <v>I</v>
      </c>
      <c r="D71" t="e">
        <f t="shared" ref="D71:D96" si="184">VLOOKUP($B71,Table_RSL, MATCH("OI", Heading_RSL, 0), FALSE)</f>
        <v>#N/A</v>
      </c>
      <c r="E71" s="1563">
        <f t="shared" ref="E71:E96" si="185">VLOOKUP($A71,Table_IP_1, MATCH("mt", heading_IP_1, 0), FALSE)</f>
        <v>327.46199999999999</v>
      </c>
      <c r="F71">
        <f t="shared" ref="F71:F96" si="186">VLOOKUP($B71,Table_RSL, MATCH("mt", Heading_RSL, 0), FALSE)</f>
        <v>327.46199999999999</v>
      </c>
      <c r="G71" s="1160">
        <f t="shared" si="63"/>
        <v>0</v>
      </c>
      <c r="H71" s="1563" t="str">
        <f t="shared" ref="H71:H96" si="187">VLOOKUP($A71,Table_IP_1, MATCH("volatility", heading_IP_1, 0), FALSE)</f>
        <v>NV</v>
      </c>
      <c r="I71">
        <f t="shared" ref="I71:I96" si="188">VLOOKUP($B71,Table_RSL, MATCH("v", Heading_RSL, 0), FALSE)</f>
        <v>0</v>
      </c>
      <c r="J71" s="1160">
        <f t="shared" si="64"/>
        <v>0</v>
      </c>
      <c r="K71" s="1563">
        <f t="shared" ref="K71:K96" si="189">VLOOKUP($A71,Table_IP_1, MATCH("mw", heading_IP_1, 0), FALSE)</f>
        <v>207.2</v>
      </c>
      <c r="L71">
        <f t="shared" ref="L71:L96" si="190">VLOOKUP($B71,Table_RSL, MATCH("mw", Heading_RSL, 0), FALSE)</f>
        <v>207.2</v>
      </c>
      <c r="M71" s="1160">
        <f t="shared" si="65"/>
        <v>0</v>
      </c>
      <c r="N71" s="1563" t="str">
        <f t="shared" ref="N71:N96" si="191">VLOOKUP($A71,Table_IP_1, MATCH("vp", heading_IP_1, 0), FALSE)</f>
        <v>--</v>
      </c>
      <c r="O71">
        <f t="shared" ref="O71:O96" si="192">VLOOKUP($B71,Table_RSL, MATCH("VP", Heading_RSL, 0), FALSE)</f>
        <v>0</v>
      </c>
      <c r="P71" s="1160">
        <f t="shared" si="66"/>
        <v>0</v>
      </c>
      <c r="Q71" s="1563" t="str">
        <f t="shared" ref="Q71:Q96" si="193">VLOOKUP($A71,Table_IP_1, MATCH("sol", heading_IP_1, 0), FALSE)</f>
        <v>--</v>
      </c>
      <c r="R71" t="str">
        <f t="shared" ref="R71:R96" si="194">VLOOKUP($B71,Table_RSL, MATCH("S", Heading_RSL, 0), FALSE)</f>
        <v/>
      </c>
      <c r="S71" s="1160">
        <f t="shared" si="67"/>
        <v>0</v>
      </c>
      <c r="T71" s="1563" t="str">
        <f t="shared" ref="T71:T96" si="195">VLOOKUP($A71,Table_IP_1, MATCH("H", heading_IP_1, 0), FALSE)</f>
        <v>--</v>
      </c>
      <c r="U71" t="str">
        <f t="shared" ref="U71:U96" si="196">VLOOKUP($B71,Table_RSL, MATCH("H", Heading_RSL, 0), FALSE)</f>
        <v/>
      </c>
      <c r="V71" s="1160">
        <f t="shared" si="68"/>
        <v>0</v>
      </c>
      <c r="W71" s="1563" t="str">
        <f t="shared" ref="W71:W96" si="197">VLOOKUP($A71,Table_IP_1, MATCH("H'", heading_IP_1, 0), FALSE)</f>
        <v>--</v>
      </c>
      <c r="X71" t="str">
        <f t="shared" ref="X71:X96" si="198">VLOOKUP($B71,Table_RSL, MATCH("H'", Heading_RSL, 0), FALSE)</f>
        <v/>
      </c>
      <c r="Y71" s="1160">
        <f t="shared" si="69"/>
        <v>0</v>
      </c>
      <c r="Z71" s="1563" t="str">
        <f t="shared" ref="Z71:Z96" si="199">VLOOKUP($A71,Table_IP_1, MATCH("koc", heading_IP_1, 0), FALSE)</f>
        <v>--</v>
      </c>
      <c r="AA71" t="str">
        <f t="shared" ref="AA71:AA96" si="200">VLOOKUP($B71,Table_RSL, MATCH("koc", Heading_RSL, 0), FALSE)</f>
        <v/>
      </c>
      <c r="AB71" s="1160">
        <f t="shared" si="70"/>
        <v>0</v>
      </c>
      <c r="AC71" s="1563">
        <f t="shared" ref="AC71:AC96" si="201">VLOOKUP($A71,Table_IP_1, MATCH("kd", heading_IP_1, 0), FALSE)</f>
        <v>900</v>
      </c>
      <c r="AD71">
        <f t="shared" ref="AD71:AD96" si="202">VLOOKUP($B71,Table_RSL, MATCH("kd", Heading_RSL, 0), FALSE)</f>
        <v>900</v>
      </c>
      <c r="AE71" s="1160">
        <f t="shared" si="71"/>
        <v>0</v>
      </c>
      <c r="AF71" s="1563">
        <f t="shared" ref="AF71:AF96" si="203">VLOOKUP($A71,Table_IP_1, MATCH("da", heading_IP_1, 0), FALSE)</f>
        <v>6.6375585418489993E-2</v>
      </c>
      <c r="AG71">
        <f t="shared" ref="AG71:AG96" si="204">VLOOKUP($B71,Table_RSL, MATCH("dia", Heading_RSL, 0), FALSE)</f>
        <v>6.6375585418489993E-2</v>
      </c>
      <c r="AH71" s="1160">
        <f t="shared" si="72"/>
        <v>0</v>
      </c>
      <c r="AI71" s="1563">
        <f t="shared" ref="AI71:AI96" si="205">VLOOKUP($A71,Table_IP_1, MATCH("dw", heading_IP_1, 0), FALSE)</f>
        <v>2.6502386730000001E-5</v>
      </c>
      <c r="AJ71">
        <f t="shared" ref="AJ71:AJ96" si="206">VLOOKUP($B71,Table_RSL, MATCH("diw", Heading_RSL, 0), FALSE)</f>
        <v>2.6502386730000001E-5</v>
      </c>
      <c r="AK71" s="1160">
        <f t="shared" si="73"/>
        <v>0</v>
      </c>
      <c r="AL71" s="1563" t="str">
        <f t="shared" ref="AL71:AL96" si="207">VLOOKUP($A71,Table_IP_1, MATCH("daf", heading_IP_1, 0), FALSE)</f>
        <v>--</v>
      </c>
      <c r="AM71" t="e">
        <f t="shared" ref="AM71:AM96" si="208">VLOOKUP($B71,Table_RSL, MATCH("daf", Heading_RSL, 0), FALSE)</f>
        <v>#N/A</v>
      </c>
      <c r="AN71" s="1563" t="str">
        <f t="shared" ref="AN71:AN96" si="209">VLOOKUP($A71,Table_IP_1, MATCH("sat lim", heading_IP_1, 0), FALSE)</f>
        <v>--</v>
      </c>
      <c r="AO71" t="str">
        <f t="shared" ref="AO71:AO96" si="210">VLOOKUP($B71,Table_RSL, MATCH("csat", Heading_RSL, 0), FALSE)</f>
        <v/>
      </c>
      <c r="AP71" s="1160">
        <f t="shared" ref="AP71:AP96" si="211">IF(AO71=AN71,,1)</f>
        <v>1</v>
      </c>
      <c r="AQ71" s="1563" t="str">
        <f t="shared" ref="AQ71:AQ96" si="212">VLOOKUP($A71,Table_IP_1, MATCH("app diffus", heading_IP_1, 0), FALSE)</f>
        <v>--</v>
      </c>
      <c r="AS71" s="1563" t="str">
        <f t="shared" ref="AS71:AS96" si="213">VLOOKUP($A71,Table_IP_1, MATCH("VFr", heading_IP_1, 0), FALSE)</f>
        <v>--</v>
      </c>
      <c r="AU71" s="1563" t="str">
        <f t="shared" ref="AU71:AU96" si="214">VLOOKUP($A71,Table_IP_1, MATCH("VFc", heading_IP_1, 0), FALSE)</f>
        <v>--</v>
      </c>
      <c r="AW71" s="1563" t="str">
        <f t="shared" ref="AW71:AW96" si="215">VLOOKUP($A71,Table_IP_1, MATCH("VFcw", heading_IP_1, 0), FALSE)</f>
        <v>--</v>
      </c>
      <c r="AY71" s="1592">
        <f t="shared" ref="AY71:AY96" si="216">VLOOKUP($A71,Table_IP_2, MATCH("giabs", heading_IP_2, 0), FALSE)</f>
        <v>1</v>
      </c>
      <c r="AZ71" s="821">
        <f t="shared" ref="AZ71:AZ96" si="217">VLOOKUP($B71,Table_RSL, MATCH("giabs", Heading_RSL, 0), FALSE)</f>
        <v>1</v>
      </c>
      <c r="BA71" s="1160">
        <f t="shared" si="74"/>
        <v>0</v>
      </c>
      <c r="BB71" s="1592" t="str">
        <f t="shared" ref="BB71:BB96" si="218">VLOOKUP($A71,Table_IP_2, MATCH("abs", heading_IP_2, 0), FALSE)</f>
        <v>--</v>
      </c>
      <c r="BC71" s="821" t="str">
        <f t="shared" ref="BC71:BC96" si="219">VLOOKUP($B71,Table_RSL, MATCH("abs", Heading_RSL, 0), FALSE)</f>
        <v/>
      </c>
      <c r="BD71" s="1160">
        <f t="shared" si="75"/>
        <v>0</v>
      </c>
      <c r="BE71" s="1592" t="str">
        <f t="shared" ref="BE71:BE96" si="220">VLOOKUP($A71,Table_IP_2, MATCH("epd", heading_IP_2, 0), FALSE)</f>
        <v>--</v>
      </c>
      <c r="BF71" s="1592">
        <f t="shared" ref="BF71:BF96" si="221">VLOOKUP($A71,Table_IP_2, MATCH("kp", heading_IP_2, 0), FALSE)</f>
        <v>1E-4</v>
      </c>
      <c r="BG71" s="821">
        <f t="shared" ref="BG71:BG96" si="222">VLOOKUP($B71,Table_RSL, MATCH("kp", Heading_RSL, 0), FALSE)</f>
        <v>1E-4</v>
      </c>
      <c r="BH71" s="1160">
        <f t="shared" si="76"/>
        <v>0</v>
      </c>
      <c r="BI71" s="1592" t="str">
        <f t="shared" ref="BI71:BI96" si="223">VLOOKUP($A71,Table_IP_2, MATCH("fa", heading_IP_2, 0), FALSE)</f>
        <v>--</v>
      </c>
      <c r="BJ71" s="1592">
        <f t="shared" ref="BJ71:BJ96" si="224">VLOOKUP($A71,Table_IP_2, MATCH("b", heading_IP_2, 0), FALSE)</f>
        <v>5.5363243739999998E-4</v>
      </c>
      <c r="BK71" s="821">
        <f t="shared" ref="BK71:BK96" si="225">VLOOKUP($B71,Table_RSL, MATCH("b", Heading_RSL, 0), FALSE)</f>
        <v>5.5363243739999998E-4</v>
      </c>
      <c r="BL71" s="1160">
        <f t="shared" si="77"/>
        <v>0</v>
      </c>
      <c r="BM71" s="1592">
        <f t="shared" ref="BM71:BM96" si="226">VLOOKUP($A71,Table_IP_2, MATCH("t_event", heading_IP_2, 0), FALSE)</f>
        <v>1.52113846901482</v>
      </c>
      <c r="BN71" s="821">
        <f t="shared" ref="BN71:BN96" si="227">VLOOKUP($B71,Table_RSL, MATCH("t_event", Heading_RSL, 0), FALSE)</f>
        <v>1.52113846901482</v>
      </c>
      <c r="BO71" s="1160">
        <f t="shared" si="78"/>
        <v>0</v>
      </c>
      <c r="BP71" s="1592">
        <f t="shared" ref="BP71:BP96" si="228">VLOOKUP($A71,Table_IP_2, MATCH("t", heading_IP_2, 0), FALSE)</f>
        <v>3.6507323256355702</v>
      </c>
      <c r="BQ71" s="821">
        <f t="shared" ref="BQ71:BQ96" si="229">VLOOKUP($B71,Table_RSL, MATCH("t", Heading_RSL, 0), FALSE)</f>
        <v>3.6507323256355702</v>
      </c>
      <c r="BR71" s="1160">
        <f t="shared" si="79"/>
        <v>0</v>
      </c>
      <c r="BS71" s="1592" t="str">
        <f t="shared" ref="BS71:BS96" si="230">VLOOKUP($A71,Table_IP_2, MATCH("mut", heading_IP_2, 0), FALSE)</f>
        <v>--</v>
      </c>
      <c r="BT71" s="821">
        <f t="shared" ref="BT71:BT96" si="231">VLOOKUP($B71,Table_RSL, MATCH("mut", Heading_RSL, 0), FALSE)</f>
        <v>0</v>
      </c>
      <c r="BU71" s="1160">
        <f t="shared" si="82"/>
        <v>0</v>
      </c>
      <c r="BW71" s="75" t="str">
        <f t="shared" ref="BW71:BW102" si="232">VLOOKUP($A71,Table_IP_2, MATCH("sfo", heading_IP_2, 0), FALSE)</f>
        <v>--</v>
      </c>
      <c r="BX71" s="75" t="str">
        <f t="shared" ref="BX71:BX102" si="233">VLOOKUP($A71,Table_IP_2, MATCH("sfo-r", heading_IP_2, 0), FALSE)</f>
        <v xml:space="preserve"> </v>
      </c>
      <c r="BY71" s="75" t="str">
        <f t="shared" ref="BY71:BY102" si="234">VLOOKUP($B71,Table_RSL, MATCH("Sfo", Heading_RSL, 0), FALSE)</f>
        <v/>
      </c>
      <c r="BZ71" s="75" t="str">
        <f t="shared" ref="BZ71:BZ102" si="235">IF(VLOOKUP($B71,Table_RSL, MATCH("Sfo-r", Heading_RSL, 0), FALSE)=0,"",VLOOKUP($B71,Table_RSL, MATCH("Sfo-r", Heading_RSL, 0), FALSE))</f>
        <v/>
      </c>
      <c r="CA71" s="1670" t="str">
        <f t="shared" si="83"/>
        <v>--</v>
      </c>
      <c r="CB71" s="75" t="str">
        <f t="shared" ref="CB71:CB102" si="236">VLOOKUP($A71,Table_IP_2, MATCH("IUR", heading_IP_2, 0), FALSE)</f>
        <v>--</v>
      </c>
      <c r="CC71" s="75" t="str">
        <f t="shared" ref="CC71:CC102" si="237">VLOOKUP($A71,Table_IP_2, MATCH("IUR-r", heading_IP_2, 0), FALSE)</f>
        <v xml:space="preserve"> </v>
      </c>
      <c r="CD71" s="75" t="str">
        <f t="shared" ref="CD71:CD102" si="238">VLOOKUP($B71,Table_RSL, MATCH("IUR", Heading_RSL, 0), FALSE)</f>
        <v/>
      </c>
      <c r="CE71" s="75" t="str">
        <f t="shared" ref="CE71:CE102" si="239">IF(VLOOKUP($B71,Table_RSL, MATCH("IUR-r", Heading_RSL, 0), FALSE)=0,"",VLOOKUP($B71,Table_RSL, MATCH("IUR-r", Heading_RSL, 0), FALSE))</f>
        <v/>
      </c>
      <c r="CF71" s="1670" t="str">
        <f t="shared" si="84"/>
        <v>--</v>
      </c>
      <c r="CG71" s="75" t="str">
        <f t="shared" ref="CG71:CG102" si="240">VLOOKUP($A71,Table_IP_2, MATCH("RfDo", heading_IP_2, 0), FALSE)</f>
        <v>--</v>
      </c>
      <c r="CH71" s="75" t="str">
        <f t="shared" ref="CH71:CH102" si="241">VLOOKUP($A71,Table_IP_2, MATCH("Rfdo-r", heading_IP_2, 0), FALSE)</f>
        <v xml:space="preserve"> </v>
      </c>
      <c r="CI71" s="75" t="str">
        <f t="shared" ref="CI71:CI102" si="242">VLOOKUP($B71,Table_RSL, MATCH("RFDo", Heading_RSL, 0), FALSE)</f>
        <v/>
      </c>
      <c r="CJ71" s="75" t="str">
        <f t="shared" ref="CJ71:CJ102" si="243">IF(VLOOKUP($B71,Table_RSL, MATCH("RFDO-r", Heading_RSL, 0), FALSE)=0,"",VLOOKUP($B71,Table_RSL, MATCH("RFDo-r", Heading_RSL, 0), FALSE))</f>
        <v/>
      </c>
      <c r="CK71" s="1670" t="str">
        <f t="shared" si="85"/>
        <v>--</v>
      </c>
      <c r="CL71" s="75" t="str">
        <f t="shared" ref="CL71:CL102" si="244">VLOOKUP($A71,Table_IP_2, MATCH("Rfc", heading_IP_2, 0), FALSE)</f>
        <v>--</v>
      </c>
      <c r="CM71" s="75" t="str">
        <f t="shared" ref="CM71:CM102" si="245">VLOOKUP($A71,Table_IP_2, MATCH("Rfc-r", heading_IP_2, 0), FALSE)</f>
        <v xml:space="preserve"> </v>
      </c>
      <c r="CN71" s="75" t="str">
        <f t="shared" ref="CN71:CN102" si="246">IF(VLOOKUP($B71,Table_RSL,MATCH("RFC",Heading_RSL,0),FALSE)="","",VLOOKUP($B71,Table_RSL,MATCH("RFC",Heading_RSL,0),FALSE)*1000)</f>
        <v/>
      </c>
      <c r="CO71" s="75" t="str">
        <f t="shared" ref="CO71:CO102" si="247">IF(VLOOKUP($B71,Table_RSL, MATCH("RFC-r", Heading_RSL, 0), FALSE)=0,"",VLOOKUP($B71,Table_RSL, MATCH("RFC-r", Heading_RSL, 0), FALSE))</f>
        <v/>
      </c>
      <c r="CP71" s="1670" t="str">
        <f t="shared" si="86"/>
        <v>--</v>
      </c>
      <c r="CR71" s="1686" t="str">
        <f t="shared" si="87"/>
        <v>--</v>
      </c>
      <c r="CS71" s="1686" t="str">
        <f t="shared" si="88"/>
        <v>--</v>
      </c>
      <c r="CT71" s="1686" t="str">
        <f t="shared" si="89"/>
        <v>--</v>
      </c>
      <c r="CU71" s="1686" t="str">
        <f t="shared" si="90"/>
        <v>--</v>
      </c>
    </row>
    <row r="72" spans="1:99">
      <c r="A72" s="309" t="s">
        <v>213</v>
      </c>
      <c r="B72" s="427" t="s">
        <v>214</v>
      </c>
      <c r="C72" s="1563" t="str">
        <f t="shared" si="183"/>
        <v>I</v>
      </c>
      <c r="D72" t="e">
        <f t="shared" si="184"/>
        <v>#N/A</v>
      </c>
      <c r="E72" s="1563">
        <f t="shared" si="185"/>
        <v>-38.799999999999997</v>
      </c>
      <c r="F72">
        <f t="shared" si="186"/>
        <v>-38.799999999999997</v>
      </c>
      <c r="G72" s="1160">
        <f t="shared" ref="G72:G134" si="248">IF(F72=E72,,1)</f>
        <v>0</v>
      </c>
      <c r="H72" s="1563" t="str">
        <f t="shared" si="187"/>
        <v>V</v>
      </c>
      <c r="I72" t="str">
        <f t="shared" si="188"/>
        <v>V</v>
      </c>
      <c r="J72" s="1160">
        <f t="shared" ref="J72:J134" si="249">IF(I72=H72,,IF(AND(H72="NV",I72=0),,1))</f>
        <v>0</v>
      </c>
      <c r="K72" s="1563">
        <f t="shared" si="189"/>
        <v>200.59</v>
      </c>
      <c r="L72">
        <f t="shared" si="190"/>
        <v>200.59</v>
      </c>
      <c r="M72" s="1160">
        <f t="shared" ref="M72:M134" si="250">IF(L72=K72,,1)</f>
        <v>0</v>
      </c>
      <c r="N72" s="1563">
        <f t="shared" si="191"/>
        <v>1.9580000000000001E-3</v>
      </c>
      <c r="O72">
        <f t="shared" si="192"/>
        <v>1.9580000000000001E-3</v>
      </c>
      <c r="P72" s="1160">
        <f t="shared" ref="P72:P134" si="251">IF(O72=N72,,IF(AND(N72="--",OR(O72="",O72=0)),,1))</f>
        <v>0</v>
      </c>
      <c r="Q72" s="1563">
        <f t="shared" si="193"/>
        <v>0.06</v>
      </c>
      <c r="R72">
        <f t="shared" si="194"/>
        <v>0.06</v>
      </c>
      <c r="S72" s="1160">
        <f t="shared" ref="S72:S134" si="252">IF(R72=Q72,,IF(AND(Q72="--",OR(R72="",R72=0)),,1))</f>
        <v>0</v>
      </c>
      <c r="T72" s="1563">
        <f t="shared" si="195"/>
        <v>8.6219999999999995E-3</v>
      </c>
      <c r="U72">
        <f t="shared" si="196"/>
        <v>8.6219999999999995E-3</v>
      </c>
      <c r="V72" s="1160">
        <f t="shared" ref="V72:V134" si="253">IF(U72=T72,,IF(AND(T72="--",OR(U72="",U72=0)),,1))</f>
        <v>0</v>
      </c>
      <c r="W72" s="1563">
        <f t="shared" si="197"/>
        <v>0.35199999999999998</v>
      </c>
      <c r="X72">
        <f t="shared" si="198"/>
        <v>0.35199999999999998</v>
      </c>
      <c r="Y72" s="1160">
        <f t="shared" ref="Y72:Y134" si="254">IF(X72=W72,,IF(AND(W72="--",OR(X72="",X72=0)),,1))</f>
        <v>0</v>
      </c>
      <c r="Z72" s="1563" t="str">
        <f t="shared" si="199"/>
        <v>--</v>
      </c>
      <c r="AA72" t="str">
        <f t="shared" si="200"/>
        <v/>
      </c>
      <c r="AB72" s="1160">
        <f t="shared" ref="AB72:AB134" si="255">IF(AA72=Z72,,IF(AND(Z72="--",OR(AA72="",AA72=0)),,1))</f>
        <v>0</v>
      </c>
      <c r="AC72" s="1563">
        <f t="shared" si="201"/>
        <v>52</v>
      </c>
      <c r="AD72">
        <f t="shared" si="202"/>
        <v>52</v>
      </c>
      <c r="AE72" s="1160">
        <f t="shared" ref="AE72:AE134" si="256">IF(AD72=AC72,,IF(AND(AC72="--",OR(AD72="",AD72=0)),,1))</f>
        <v>0</v>
      </c>
      <c r="AF72" s="1563">
        <f t="shared" si="203"/>
        <v>7.1497446729660005E-2</v>
      </c>
      <c r="AG72">
        <f t="shared" si="204"/>
        <v>7.1497446729660005E-2</v>
      </c>
      <c r="AH72" s="1160">
        <f t="shared" ref="AH72:AH134" si="257">IF(AG72=AF72,,1)</f>
        <v>0</v>
      </c>
      <c r="AI72" s="1563">
        <f t="shared" si="205"/>
        <v>3.0111625910000001E-5</v>
      </c>
      <c r="AJ72">
        <f t="shared" si="206"/>
        <v>3.0111625910000001E-5</v>
      </c>
      <c r="AK72" s="1160">
        <f t="shared" ref="AK72:AK134" si="258">IF(AJ72=AI72,,1)</f>
        <v>0</v>
      </c>
      <c r="AL72" s="1563" t="str">
        <f t="shared" si="207"/>
        <v>--</v>
      </c>
      <c r="AM72" t="e">
        <f t="shared" si="208"/>
        <v>#N/A</v>
      </c>
      <c r="AN72" s="1563">
        <f t="shared" si="209"/>
        <v>3.1299981886792456</v>
      </c>
      <c r="AO72">
        <f t="shared" si="210"/>
        <v>3.13</v>
      </c>
      <c r="AP72" s="1160">
        <f t="shared" si="211"/>
        <v>1</v>
      </c>
      <c r="AQ72" s="1563">
        <f t="shared" si="212"/>
        <v>2.5706474070503171E-5</v>
      </c>
      <c r="AS72" s="1563">
        <f t="shared" si="213"/>
        <v>22749.895168777199</v>
      </c>
      <c r="AU72" s="1563">
        <f t="shared" si="214"/>
        <v>22308.107576497147</v>
      </c>
      <c r="AW72" s="1563">
        <f t="shared" si="215"/>
        <v>5038.9049456535013</v>
      </c>
      <c r="AY72" s="1592">
        <f t="shared" si="216"/>
        <v>1</v>
      </c>
      <c r="AZ72" s="821">
        <f t="shared" si="217"/>
        <v>1</v>
      </c>
      <c r="BA72" s="1160">
        <f t="shared" ref="BA72:BA134" si="259">IF(AZ72=AY72,,IF(AND(AY72="--",OR(AZ72="",AZ72=0)),,1))</f>
        <v>0</v>
      </c>
      <c r="BB72" s="1592" t="str">
        <f t="shared" si="218"/>
        <v>--</v>
      </c>
      <c r="BC72" s="821" t="str">
        <f t="shared" si="219"/>
        <v/>
      </c>
      <c r="BD72" s="1160">
        <f t="shared" ref="BD72:BD134" si="260">IF(BC72=BB72,,IF(AND(BB72="--",OR(BC72="",BC72=0)),,1))</f>
        <v>0</v>
      </c>
      <c r="BE72" s="1592" t="str">
        <f t="shared" si="220"/>
        <v>Yes</v>
      </c>
      <c r="BF72" s="1592">
        <f t="shared" si="221"/>
        <v>1E-3</v>
      </c>
      <c r="BG72" s="821">
        <f t="shared" si="222"/>
        <v>1E-3</v>
      </c>
      <c r="BH72" s="1160">
        <f t="shared" ref="BH72:BH134" si="261">IF(BG72=BF72,,IF(AND(BF72="--",OR(BG72="",BG72=0)),,1))</f>
        <v>0</v>
      </c>
      <c r="BI72" s="1592">
        <f t="shared" si="223"/>
        <v>1</v>
      </c>
      <c r="BJ72" s="1592">
        <f t="shared" si="224"/>
        <v>5.4472999663199998E-3</v>
      </c>
      <c r="BK72" s="821">
        <f t="shared" si="225"/>
        <v>5.4472999663199998E-3</v>
      </c>
      <c r="BL72" s="1160">
        <f t="shared" ref="BL72:BL134" si="262">IF(BK72=BJ72,,IF(AND(BJ72="--",OR(BK72="",BK72=0)),,1))</f>
        <v>0</v>
      </c>
      <c r="BM72" s="1592">
        <f t="shared" si="226"/>
        <v>1.3968595767048499</v>
      </c>
      <c r="BN72" s="821">
        <f t="shared" si="227"/>
        <v>1.3968595767048499</v>
      </c>
      <c r="BO72" s="1160">
        <f t="shared" ref="BO72:BO134" si="263">IF(BN72=BM72,,IF(AND(BM72="--",OR(BN72="",BN72=0)),,1))</f>
        <v>0</v>
      </c>
      <c r="BP72" s="1592">
        <f t="shared" si="228"/>
        <v>3.35246298409163</v>
      </c>
      <c r="BQ72" s="821">
        <f t="shared" si="229"/>
        <v>3.35246298409163</v>
      </c>
      <c r="BR72" s="1160">
        <f t="shared" ref="BR72:BR134" si="264">IF(BQ72=BP72,,IF(AND(BP72="--",OR(BQ72="",BQ72=0)),,1))</f>
        <v>0</v>
      </c>
      <c r="BS72" s="1592" t="str">
        <f t="shared" si="230"/>
        <v>--</v>
      </c>
      <c r="BT72" s="821">
        <f t="shared" si="231"/>
        <v>0</v>
      </c>
      <c r="BU72" s="1160">
        <f t="shared" ref="BU72:BU134" si="265">IF(AND(BT72="M",BS72="yes"),,IF(AND(BS72="--",OR(BT72="",BT72=0)),,1))</f>
        <v>0</v>
      </c>
      <c r="BW72" s="75" t="str">
        <f t="shared" si="232"/>
        <v>--</v>
      </c>
      <c r="BX72" s="75" t="str">
        <f t="shared" si="233"/>
        <v xml:space="preserve"> </v>
      </c>
      <c r="BY72" s="75" t="str">
        <f t="shared" si="234"/>
        <v/>
      </c>
      <c r="BZ72" s="75" t="str">
        <f t="shared" si="235"/>
        <v/>
      </c>
      <c r="CA72" s="1670" t="str">
        <f t="shared" ref="CA72:CA135" si="266">IF(AND(BW72="--",BY72=""),"--",IF(AND(BW72="--",BY72&lt;&gt;""),"R",IF(AND(BY72="",BW72&lt;&gt;"--"),"N",IF(BW72=BY72,"--",IF(BY72&gt;BW72,"&gt;","check")))))</f>
        <v>--</v>
      </c>
      <c r="CB72" s="75" t="str">
        <f t="shared" si="236"/>
        <v>--</v>
      </c>
      <c r="CC72" s="75" t="str">
        <f t="shared" si="237"/>
        <v xml:space="preserve"> </v>
      </c>
      <c r="CD72" s="75" t="str">
        <f t="shared" si="238"/>
        <v/>
      </c>
      <c r="CE72" s="75" t="str">
        <f t="shared" si="239"/>
        <v/>
      </c>
      <c r="CF72" s="1670" t="str">
        <f t="shared" ref="CF72:CF135" si="267">IF(AND(CB72="--",CD72=""),"--",IF(AND(CB72="--",CD72&lt;&gt;""),"R",IF(AND(CD72="",CB72&lt;&gt;"--"),"N",IF(CB72=CD72,"--",IF(CD72&gt;CB72,"&gt;","check")))))</f>
        <v>--</v>
      </c>
      <c r="CG72" s="75">
        <f t="shared" si="240"/>
        <v>1.6000000000000001E-4</v>
      </c>
      <c r="CH72" s="75" t="str">
        <f t="shared" si="241"/>
        <v>OEHHA 2008</v>
      </c>
      <c r="CI72" s="75" t="str">
        <f t="shared" si="242"/>
        <v/>
      </c>
      <c r="CJ72" s="75" t="str">
        <f t="shared" si="243"/>
        <v/>
      </c>
      <c r="CK72" s="1671" t="str">
        <f t="shared" ref="CK72:CK135" si="268">IF(AND(CG72="--",CI72=""),"--",IF(AND(CG72="--",CI72&lt;&gt;""),"R",IF(AND(CI72="",CG72&lt;&gt;"--"),"N",IF(CG72=CI72,"--",IF(CI72&lt;CG72,"&lt;","check")))))</f>
        <v>N</v>
      </c>
      <c r="CL72" s="75">
        <f t="shared" si="244"/>
        <v>0.03</v>
      </c>
      <c r="CM72" s="75" t="str">
        <f t="shared" si="245"/>
        <v>OEHHA 2008</v>
      </c>
      <c r="CN72" s="75">
        <f t="shared" si="246"/>
        <v>0.3</v>
      </c>
      <c r="CO72" s="75" t="str">
        <f t="shared" si="247"/>
        <v>I</v>
      </c>
      <c r="CP72" s="1671" t="str">
        <f t="shared" ref="CP72:CP135" si="269">IF(AND(CL72="--",CN72=""),"--",IF(AND(CL72="--",CN72&lt;&gt;""),"R",IF(AND(CN72="",CL72&lt;&gt;"--"),"N",IF(CL72=CN72,"--",IF(CN72&lt;CL72,"&lt;","check")))))</f>
        <v>check</v>
      </c>
      <c r="CR72" s="1686" t="str">
        <f t="shared" ref="CR72:CR135" si="270">IF(OR(AND(BW72="--",BY72=""),BW72=BY72),"--","x")</f>
        <v>--</v>
      </c>
      <c r="CS72" s="1686" t="str">
        <f t="shared" ref="CS72:CS135" si="271">IF(OR(AND(CB72="--",CD72=""),CB72=CD72),"--","x")</f>
        <v>--</v>
      </c>
      <c r="CT72" s="1686" t="str">
        <f t="shared" ref="CT72:CT135" si="272">IF(OR(AND(CG72="--",CI72=""),CG72=CI72),"--","x")</f>
        <v>x</v>
      </c>
      <c r="CU72" s="1686" t="str">
        <f t="shared" ref="CU72:CU135" si="273">IF(OR(AND(CL72="--",CN72=""),CL72=CN72),"--","x")</f>
        <v>x</v>
      </c>
    </row>
    <row r="73" spans="1:99">
      <c r="A73" s="309" t="s">
        <v>215</v>
      </c>
      <c r="B73" s="427" t="s">
        <v>216</v>
      </c>
      <c r="C73" s="1563" t="str">
        <f t="shared" si="183"/>
        <v>O</v>
      </c>
      <c r="D73" t="e">
        <f t="shared" si="184"/>
        <v>#N/A</v>
      </c>
      <c r="E73" s="1563">
        <f t="shared" si="185"/>
        <v>87</v>
      </c>
      <c r="F73">
        <f t="shared" si="186"/>
        <v>87</v>
      </c>
      <c r="G73" s="1160">
        <f t="shared" si="248"/>
        <v>0</v>
      </c>
      <c r="H73" s="1563" t="str">
        <f t="shared" si="187"/>
        <v>NV</v>
      </c>
      <c r="I73">
        <f t="shared" si="188"/>
        <v>0</v>
      </c>
      <c r="J73" s="1160">
        <f t="shared" si="249"/>
        <v>0</v>
      </c>
      <c r="K73" s="1563">
        <f t="shared" si="189"/>
        <v>345.66</v>
      </c>
      <c r="L73">
        <f t="shared" si="190"/>
        <v>345.66</v>
      </c>
      <c r="M73" s="1160">
        <f t="shared" si="250"/>
        <v>0</v>
      </c>
      <c r="N73" s="1563">
        <f t="shared" si="191"/>
        <v>2.5799999999999999E-6</v>
      </c>
      <c r="O73">
        <f t="shared" si="192"/>
        <v>2.5799999999999999E-6</v>
      </c>
      <c r="P73" s="1160">
        <f t="shared" si="251"/>
        <v>0</v>
      </c>
      <c r="Q73" s="1563">
        <f t="shared" si="193"/>
        <v>0.1</v>
      </c>
      <c r="R73">
        <f t="shared" si="194"/>
        <v>0.1</v>
      </c>
      <c r="S73" s="1160">
        <f t="shared" si="252"/>
        <v>0</v>
      </c>
      <c r="T73" s="1563">
        <f t="shared" si="195"/>
        <v>2.03E-7</v>
      </c>
      <c r="U73">
        <f t="shared" si="196"/>
        <v>2.03E-7</v>
      </c>
      <c r="V73" s="1160">
        <f t="shared" si="253"/>
        <v>0</v>
      </c>
      <c r="W73" s="1563">
        <f t="shared" si="197"/>
        <v>8.2992641046599993E-6</v>
      </c>
      <c r="X73">
        <f t="shared" si="198"/>
        <v>8.2992641046599993E-6</v>
      </c>
      <c r="Y73" s="1160">
        <f t="shared" si="254"/>
        <v>0</v>
      </c>
      <c r="Z73" s="1563">
        <f t="shared" si="199"/>
        <v>26890</v>
      </c>
      <c r="AA73">
        <f t="shared" si="200"/>
        <v>26890</v>
      </c>
      <c r="AB73" s="1160">
        <f t="shared" si="255"/>
        <v>0</v>
      </c>
      <c r="AC73" s="1563">
        <f t="shared" si="201"/>
        <v>161.34</v>
      </c>
      <c r="AD73" t="str">
        <f t="shared" si="202"/>
        <v/>
      </c>
      <c r="AE73" s="1160">
        <f t="shared" si="256"/>
        <v>1</v>
      </c>
      <c r="AF73" s="1563">
        <f t="shared" si="203"/>
        <v>2.208485798774E-2</v>
      </c>
      <c r="AG73">
        <f t="shared" si="204"/>
        <v>2.208485798774E-2</v>
      </c>
      <c r="AH73" s="1160">
        <f t="shared" si="257"/>
        <v>0</v>
      </c>
      <c r="AI73" s="1563">
        <f t="shared" si="205"/>
        <v>5.5926000699000002E-6</v>
      </c>
      <c r="AJ73">
        <f t="shared" si="206"/>
        <v>5.5926000699000002E-6</v>
      </c>
      <c r="AK73" s="1160">
        <f t="shared" si="258"/>
        <v>0</v>
      </c>
      <c r="AL73" s="1563">
        <f t="shared" si="207"/>
        <v>4463.741260021</v>
      </c>
      <c r="AM73" t="e">
        <f t="shared" si="208"/>
        <v>#N/A</v>
      </c>
      <c r="AN73" s="1563">
        <f t="shared" si="209"/>
        <v>16.144000157111854</v>
      </c>
      <c r="AO73" t="str">
        <f t="shared" si="210"/>
        <v/>
      </c>
      <c r="AP73" s="1160">
        <f t="shared" si="211"/>
        <v>1</v>
      </c>
      <c r="AQ73" s="1563" t="str">
        <f t="shared" si="212"/>
        <v>--</v>
      </c>
      <c r="AS73" s="1563" t="str">
        <f t="shared" si="213"/>
        <v>--</v>
      </c>
      <c r="AU73" s="1563" t="str">
        <f t="shared" si="214"/>
        <v>--</v>
      </c>
      <c r="AW73" s="1563" t="str">
        <f t="shared" si="215"/>
        <v>--</v>
      </c>
      <c r="AY73" s="1592">
        <f t="shared" si="216"/>
        <v>1</v>
      </c>
      <c r="AZ73" s="821">
        <f t="shared" si="217"/>
        <v>1</v>
      </c>
      <c r="BA73" s="1160">
        <f t="shared" si="259"/>
        <v>0</v>
      </c>
      <c r="BB73" s="1592">
        <f t="shared" si="218"/>
        <v>0.1</v>
      </c>
      <c r="BC73" s="821">
        <f t="shared" si="219"/>
        <v>0.1</v>
      </c>
      <c r="BD73" s="1160">
        <f t="shared" si="260"/>
        <v>0</v>
      </c>
      <c r="BE73" s="1592" t="str">
        <f t="shared" si="220"/>
        <v>Yes</v>
      </c>
      <c r="BF73" s="1592">
        <f t="shared" si="221"/>
        <v>4.2799999999999998E-2</v>
      </c>
      <c r="BG73" s="821">
        <f t="shared" si="222"/>
        <v>4.2799999999999998E-2</v>
      </c>
      <c r="BH73" s="1160">
        <f t="shared" si="261"/>
        <v>0</v>
      </c>
      <c r="BI73" s="1592">
        <f t="shared" si="223"/>
        <v>0.8</v>
      </c>
      <c r="BJ73" s="1592">
        <f t="shared" si="224"/>
        <v>0.30605183225013999</v>
      </c>
      <c r="BK73" s="821">
        <f t="shared" si="225"/>
        <v>0.30605183225013999</v>
      </c>
      <c r="BL73" s="1160">
        <f t="shared" si="262"/>
        <v>0</v>
      </c>
      <c r="BM73" s="1592">
        <f t="shared" si="226"/>
        <v>9.0686940341139906</v>
      </c>
      <c r="BN73" s="821">
        <f t="shared" si="227"/>
        <v>9.0686940341139906</v>
      </c>
      <c r="BO73" s="1160">
        <f t="shared" si="263"/>
        <v>0</v>
      </c>
      <c r="BP73" s="1592">
        <f t="shared" si="228"/>
        <v>21.764865681873601</v>
      </c>
      <c r="BQ73" s="821">
        <f t="shared" si="229"/>
        <v>21.764865681873601</v>
      </c>
      <c r="BR73" s="1160">
        <f t="shared" si="264"/>
        <v>0</v>
      </c>
      <c r="BS73" s="1592" t="str">
        <f t="shared" si="230"/>
        <v>--</v>
      </c>
      <c r="BT73" s="821">
        <f t="shared" si="231"/>
        <v>0</v>
      </c>
      <c r="BU73" s="1160">
        <f t="shared" si="265"/>
        <v>0</v>
      </c>
      <c r="BW73" s="75" t="str">
        <f t="shared" si="232"/>
        <v>--</v>
      </c>
      <c r="BX73" s="75" t="str">
        <f t="shared" si="233"/>
        <v xml:space="preserve"> </v>
      </c>
      <c r="BY73" s="75" t="str">
        <f t="shared" si="234"/>
        <v/>
      </c>
      <c r="BZ73" s="75" t="str">
        <f t="shared" si="235"/>
        <v/>
      </c>
      <c r="CA73" s="1670" t="str">
        <f t="shared" si="266"/>
        <v>--</v>
      </c>
      <c r="CB73" s="75" t="str">
        <f t="shared" si="236"/>
        <v>--</v>
      </c>
      <c r="CC73" s="75" t="str">
        <f t="shared" si="237"/>
        <v xml:space="preserve"> </v>
      </c>
      <c r="CD73" s="75" t="str">
        <f t="shared" si="238"/>
        <v/>
      </c>
      <c r="CE73" s="75" t="str">
        <f t="shared" si="239"/>
        <v/>
      </c>
      <c r="CF73" s="1670" t="str">
        <f t="shared" si="267"/>
        <v>--</v>
      </c>
      <c r="CG73" s="75">
        <f t="shared" si="240"/>
        <v>5.0000000000000001E-3</v>
      </c>
      <c r="CH73" s="75" t="str">
        <f t="shared" si="241"/>
        <v>IRIS 1992</v>
      </c>
      <c r="CI73" s="75">
        <f t="shared" si="242"/>
        <v>5.0000000000000001E-3</v>
      </c>
      <c r="CJ73" s="75" t="str">
        <f t="shared" si="243"/>
        <v>I</v>
      </c>
      <c r="CK73" s="1670" t="str">
        <f t="shared" si="268"/>
        <v>--</v>
      </c>
      <c r="CL73" s="75" t="str">
        <f t="shared" si="244"/>
        <v>--</v>
      </c>
      <c r="CM73" s="75" t="str">
        <f t="shared" si="245"/>
        <v xml:space="preserve"> </v>
      </c>
      <c r="CN73" s="75" t="str">
        <f t="shared" si="246"/>
        <v/>
      </c>
      <c r="CO73" s="75" t="str">
        <f t="shared" si="247"/>
        <v/>
      </c>
      <c r="CP73" s="1670" t="str">
        <f t="shared" si="269"/>
        <v>--</v>
      </c>
      <c r="CR73" s="1686" t="str">
        <f t="shared" si="270"/>
        <v>--</v>
      </c>
      <c r="CS73" s="1686" t="str">
        <f t="shared" si="271"/>
        <v>--</v>
      </c>
      <c r="CT73" s="1686" t="str">
        <f t="shared" si="272"/>
        <v>--</v>
      </c>
      <c r="CU73" s="1686" t="str">
        <f t="shared" si="273"/>
        <v>--</v>
      </c>
    </row>
    <row r="74" spans="1:99">
      <c r="A74" s="309" t="s">
        <v>217</v>
      </c>
      <c r="B74" s="427" t="s">
        <v>218</v>
      </c>
      <c r="C74" s="1563" t="str">
        <f t="shared" si="183"/>
        <v>O</v>
      </c>
      <c r="D74" t="e">
        <f t="shared" si="184"/>
        <v>#N/A</v>
      </c>
      <c r="E74" s="1563">
        <f t="shared" si="185"/>
        <v>-95.1</v>
      </c>
      <c r="F74">
        <f t="shared" si="186"/>
        <v>-95.1</v>
      </c>
      <c r="G74" s="1160">
        <f t="shared" si="248"/>
        <v>0</v>
      </c>
      <c r="H74" s="1563" t="str">
        <f t="shared" si="187"/>
        <v>V</v>
      </c>
      <c r="I74" t="str">
        <f t="shared" si="188"/>
        <v>V</v>
      </c>
      <c r="J74" s="1160">
        <f t="shared" si="249"/>
        <v>0</v>
      </c>
      <c r="K74" s="1563">
        <f>VLOOKUP($A74,Table_IP_1, MATCH("mw", heading_IP_1, 0), FALSE)</f>
        <v>84.933000000000007</v>
      </c>
      <c r="L74">
        <f t="shared" si="190"/>
        <v>84.933000000000007</v>
      </c>
      <c r="M74" s="1160">
        <f t="shared" si="250"/>
        <v>0</v>
      </c>
      <c r="N74" s="1563">
        <f t="shared" si="191"/>
        <v>435</v>
      </c>
      <c r="O74">
        <f t="shared" si="192"/>
        <v>435</v>
      </c>
      <c r="P74" s="1160">
        <f t="shared" si="251"/>
        <v>0</v>
      </c>
      <c r="Q74" s="1563">
        <f t="shared" si="193"/>
        <v>13000</v>
      </c>
      <c r="R74">
        <f t="shared" si="194"/>
        <v>13000</v>
      </c>
      <c r="S74" s="1160">
        <f t="shared" si="252"/>
        <v>0</v>
      </c>
      <c r="T74" s="1563">
        <f t="shared" si="195"/>
        <v>3.2499999999999999E-3</v>
      </c>
      <c r="U74">
        <f t="shared" si="196"/>
        <v>3.2499999999999999E-3</v>
      </c>
      <c r="V74" s="1160">
        <f t="shared" si="253"/>
        <v>0</v>
      </c>
      <c r="W74" s="1563">
        <f t="shared" si="197"/>
        <v>0.13286999182338999</v>
      </c>
      <c r="X74">
        <f t="shared" si="198"/>
        <v>0.13286999182338999</v>
      </c>
      <c r="Y74" s="1160">
        <f t="shared" si="254"/>
        <v>0</v>
      </c>
      <c r="Z74" s="1563">
        <f t="shared" si="199"/>
        <v>21.73</v>
      </c>
      <c r="AA74">
        <f t="shared" si="200"/>
        <v>21.73</v>
      </c>
      <c r="AB74" s="1160">
        <f t="shared" si="255"/>
        <v>0</v>
      </c>
      <c r="AC74" s="1563">
        <f t="shared" si="201"/>
        <v>0.13038</v>
      </c>
      <c r="AD74" t="str">
        <f t="shared" si="202"/>
        <v/>
      </c>
      <c r="AE74" s="1160">
        <f t="shared" si="256"/>
        <v>1</v>
      </c>
      <c r="AF74" s="1563">
        <f t="shared" si="203"/>
        <v>9.9936173679349996E-2</v>
      </c>
      <c r="AG74">
        <f t="shared" si="204"/>
        <v>9.9936173679349996E-2</v>
      </c>
      <c r="AH74" s="1160">
        <f t="shared" si="257"/>
        <v>0</v>
      </c>
      <c r="AI74" s="1563">
        <f t="shared" si="205"/>
        <v>1.251612491E-5</v>
      </c>
      <c r="AJ74">
        <f t="shared" si="206"/>
        <v>1.251612491E-5</v>
      </c>
      <c r="AK74" s="1160">
        <f t="shared" si="258"/>
        <v>0</v>
      </c>
      <c r="AL74" s="1563">
        <f t="shared" si="207"/>
        <v>23.77993</v>
      </c>
      <c r="AM74" t="e">
        <f t="shared" si="208"/>
        <v>#N/A</v>
      </c>
      <c r="AN74" s="1563">
        <f t="shared" si="209"/>
        <v>3321.9338855376891</v>
      </c>
      <c r="AO74">
        <f t="shared" si="210"/>
        <v>3320</v>
      </c>
      <c r="AP74" s="1160">
        <f t="shared" si="211"/>
        <v>1</v>
      </c>
      <c r="AQ74" s="1563">
        <f t="shared" si="212"/>
        <v>2.7687963199346821E-3</v>
      </c>
      <c r="AS74" s="1563">
        <f t="shared" si="213"/>
        <v>2192.0736995712005</v>
      </c>
      <c r="AU74" s="1563">
        <f t="shared" si="214"/>
        <v>2149.5051094898226</v>
      </c>
      <c r="AW74" s="1563">
        <f t="shared" si="215"/>
        <v>485.52535842739837</v>
      </c>
      <c r="AY74" s="1592">
        <f t="shared" si="216"/>
        <v>1</v>
      </c>
      <c r="AZ74" s="821">
        <f t="shared" si="217"/>
        <v>1</v>
      </c>
      <c r="BA74" s="1160">
        <f t="shared" si="259"/>
        <v>0</v>
      </c>
      <c r="BB74" s="1592" t="str">
        <f t="shared" si="218"/>
        <v>--</v>
      </c>
      <c r="BC74" s="821" t="str">
        <f t="shared" si="219"/>
        <v/>
      </c>
      <c r="BD74" s="1160">
        <f t="shared" si="260"/>
        <v>0</v>
      </c>
      <c r="BE74" s="1592" t="str">
        <f t="shared" si="220"/>
        <v>Yes</v>
      </c>
      <c r="BF74" s="1592">
        <f t="shared" si="221"/>
        <v>3.5400000000000002E-3</v>
      </c>
      <c r="BG74" s="821">
        <f t="shared" si="222"/>
        <v>3.5400000000000002E-3</v>
      </c>
      <c r="BH74" s="1160">
        <f t="shared" si="261"/>
        <v>0</v>
      </c>
      <c r="BI74" s="1592">
        <f t="shared" si="223"/>
        <v>1</v>
      </c>
      <c r="BJ74" s="1592">
        <f t="shared" si="224"/>
        <v>1.254781613522E-2</v>
      </c>
      <c r="BK74" s="821">
        <f t="shared" si="225"/>
        <v>1.254781613522E-2</v>
      </c>
      <c r="BL74" s="1160">
        <f t="shared" si="262"/>
        <v>0</v>
      </c>
      <c r="BM74" s="1592">
        <f t="shared" si="226"/>
        <v>0.31439349353999002</v>
      </c>
      <c r="BN74" s="821">
        <f t="shared" si="227"/>
        <v>0.31439349353999002</v>
      </c>
      <c r="BO74" s="1160">
        <f t="shared" si="263"/>
        <v>0</v>
      </c>
      <c r="BP74" s="1592">
        <f t="shared" si="228"/>
        <v>0.75454438449597006</v>
      </c>
      <c r="BQ74" s="821">
        <f t="shared" si="229"/>
        <v>0.75454438449597006</v>
      </c>
      <c r="BR74" s="1160">
        <f t="shared" si="264"/>
        <v>0</v>
      </c>
      <c r="BS74" s="1592" t="str">
        <f t="shared" si="230"/>
        <v>Yes</v>
      </c>
      <c r="BT74" s="821" t="str">
        <f t="shared" si="231"/>
        <v>M</v>
      </c>
      <c r="BU74" s="1160">
        <f t="shared" si="265"/>
        <v>0</v>
      </c>
      <c r="BW74" s="75">
        <f t="shared" si="232"/>
        <v>2E-3</v>
      </c>
      <c r="BX74" s="75" t="str">
        <f t="shared" si="233"/>
        <v>IRIS 2011</v>
      </c>
      <c r="BY74" s="75">
        <f t="shared" si="234"/>
        <v>2E-3</v>
      </c>
      <c r="BZ74" s="75" t="str">
        <f t="shared" si="235"/>
        <v>I</v>
      </c>
      <c r="CA74" s="1670" t="str">
        <f t="shared" si="266"/>
        <v>--</v>
      </c>
      <c r="CB74" s="75">
        <f t="shared" si="236"/>
        <v>9.9999999999999995E-7</v>
      </c>
      <c r="CC74" s="75" t="str">
        <f t="shared" si="237"/>
        <v>OEHHA 2009</v>
      </c>
      <c r="CD74" s="75">
        <f t="shared" si="238"/>
        <v>1E-8</v>
      </c>
      <c r="CE74" s="75" t="str">
        <f t="shared" si="239"/>
        <v>I</v>
      </c>
      <c r="CF74" s="1671" t="str">
        <f t="shared" si="267"/>
        <v>check</v>
      </c>
      <c r="CG74" s="75">
        <f t="shared" si="240"/>
        <v>6.0000000000000001E-3</v>
      </c>
      <c r="CH74" s="75" t="str">
        <f t="shared" si="241"/>
        <v>IRIS 2001</v>
      </c>
      <c r="CI74" s="75">
        <f t="shared" si="242"/>
        <v>6.0000000000000001E-3</v>
      </c>
      <c r="CJ74" s="75" t="str">
        <f t="shared" si="243"/>
        <v>I</v>
      </c>
      <c r="CK74" s="1670" t="str">
        <f t="shared" si="268"/>
        <v>--</v>
      </c>
      <c r="CL74" s="75">
        <f t="shared" si="244"/>
        <v>400</v>
      </c>
      <c r="CM74" s="75" t="str">
        <f t="shared" si="245"/>
        <v>OEHHA 2008</v>
      </c>
      <c r="CN74" s="75">
        <f t="shared" si="246"/>
        <v>600</v>
      </c>
      <c r="CO74" s="75" t="str">
        <f t="shared" si="247"/>
        <v>I</v>
      </c>
      <c r="CP74" s="1671" t="str">
        <f t="shared" si="269"/>
        <v>check</v>
      </c>
      <c r="CR74" s="1686" t="str">
        <f t="shared" si="270"/>
        <v>--</v>
      </c>
      <c r="CS74" s="1686" t="str">
        <f t="shared" si="271"/>
        <v>x</v>
      </c>
      <c r="CT74" s="1686" t="str">
        <f t="shared" si="272"/>
        <v>--</v>
      </c>
      <c r="CU74" s="1686" t="str">
        <f t="shared" si="273"/>
        <v>x</v>
      </c>
    </row>
    <row r="75" spans="1:99">
      <c r="A75" s="309" t="s">
        <v>219</v>
      </c>
      <c r="B75" s="427" t="s">
        <v>220</v>
      </c>
      <c r="C75" s="1563" t="str">
        <f t="shared" si="183"/>
        <v>O</v>
      </c>
      <c r="D75" t="e">
        <f t="shared" si="184"/>
        <v>#N/A</v>
      </c>
      <c r="E75" s="1563">
        <f t="shared" si="185"/>
        <v>-86.6</v>
      </c>
      <c r="F75">
        <f t="shared" si="186"/>
        <v>-86.6</v>
      </c>
      <c r="G75" s="1160">
        <f t="shared" si="248"/>
        <v>0</v>
      </c>
      <c r="H75" s="1563" t="str">
        <f t="shared" si="187"/>
        <v>V</v>
      </c>
      <c r="I75" t="str">
        <f t="shared" si="188"/>
        <v>V</v>
      </c>
      <c r="J75" s="1160">
        <f t="shared" si="249"/>
        <v>0</v>
      </c>
      <c r="K75" s="1563">
        <f t="shared" si="189"/>
        <v>72.108000000000004</v>
      </c>
      <c r="L75">
        <f t="shared" si="190"/>
        <v>72.108000000000004</v>
      </c>
      <c r="M75" s="1160">
        <f t="shared" si="250"/>
        <v>0</v>
      </c>
      <c r="N75" s="1563">
        <f t="shared" si="191"/>
        <v>90.6</v>
      </c>
      <c r="O75">
        <f t="shared" si="192"/>
        <v>90.6</v>
      </c>
      <c r="P75" s="1160">
        <f t="shared" si="251"/>
        <v>0</v>
      </c>
      <c r="Q75" s="1563">
        <f t="shared" si="193"/>
        <v>223000</v>
      </c>
      <c r="R75">
        <f t="shared" si="194"/>
        <v>223000</v>
      </c>
      <c r="S75" s="1160">
        <f t="shared" si="252"/>
        <v>0</v>
      </c>
      <c r="T75" s="1563">
        <f t="shared" si="195"/>
        <v>5.6900000000000001E-5</v>
      </c>
      <c r="U75">
        <f t="shared" si="196"/>
        <v>5.6900000000000001E-5</v>
      </c>
      <c r="V75" s="1160">
        <f t="shared" si="253"/>
        <v>0</v>
      </c>
      <c r="W75" s="1563">
        <f t="shared" si="197"/>
        <v>2.3262469337699998E-3</v>
      </c>
      <c r="X75">
        <f t="shared" si="198"/>
        <v>2.3262469337699998E-3</v>
      </c>
      <c r="Y75" s="1160">
        <f t="shared" si="254"/>
        <v>0</v>
      </c>
      <c r="Z75" s="1563">
        <f t="shared" si="199"/>
        <v>4.51</v>
      </c>
      <c r="AA75">
        <f t="shared" si="200"/>
        <v>4.51</v>
      </c>
      <c r="AB75" s="1160">
        <f t="shared" si="255"/>
        <v>0</v>
      </c>
      <c r="AC75" s="1563">
        <f t="shared" si="201"/>
        <v>2.7060000000000001E-2</v>
      </c>
      <c r="AD75" t="str">
        <f t="shared" si="202"/>
        <v/>
      </c>
      <c r="AE75" s="1160">
        <f t="shared" si="256"/>
        <v>1</v>
      </c>
      <c r="AF75" s="1563">
        <f t="shared" si="203"/>
        <v>9.1446171641679994E-2</v>
      </c>
      <c r="AG75">
        <f t="shared" si="204"/>
        <v>9.1446171641679994E-2</v>
      </c>
      <c r="AH75" s="1160">
        <f t="shared" si="257"/>
        <v>0</v>
      </c>
      <c r="AI75" s="1563">
        <f t="shared" si="205"/>
        <v>1.019302571E-5</v>
      </c>
      <c r="AJ75">
        <f t="shared" si="206"/>
        <v>1.019302571E-5</v>
      </c>
      <c r="AK75" s="1160">
        <f t="shared" si="258"/>
        <v>0</v>
      </c>
      <c r="AL75" s="1563">
        <f t="shared" si="207"/>
        <v>1.1018383</v>
      </c>
      <c r="AM75" t="e">
        <f t="shared" si="208"/>
        <v>#N/A</v>
      </c>
      <c r="AN75" s="1563">
        <f t="shared" si="209"/>
        <v>28432.584196814751</v>
      </c>
      <c r="AO75">
        <f t="shared" si="210"/>
        <v>28400</v>
      </c>
      <c r="AP75" s="1160">
        <f t="shared" si="211"/>
        <v>1</v>
      </c>
      <c r="AQ75" s="1563">
        <f t="shared" si="212"/>
        <v>8.9396926100971934E-5</v>
      </c>
      <c r="AS75" s="1563">
        <f t="shared" si="213"/>
        <v>12199.425045651595</v>
      </c>
      <c r="AU75" s="1563">
        <f t="shared" si="214"/>
        <v>11962.520454305772</v>
      </c>
      <c r="AW75" s="1563">
        <f t="shared" si="215"/>
        <v>2702.0670970400392</v>
      </c>
      <c r="AY75" s="1592">
        <f t="shared" si="216"/>
        <v>1</v>
      </c>
      <c r="AZ75" s="821">
        <f t="shared" si="217"/>
        <v>1</v>
      </c>
      <c r="BA75" s="1160">
        <f t="shared" si="259"/>
        <v>0</v>
      </c>
      <c r="BB75" s="1592" t="str">
        <f t="shared" si="218"/>
        <v>--</v>
      </c>
      <c r="BC75" s="821" t="str">
        <f t="shared" si="219"/>
        <v/>
      </c>
      <c r="BD75" s="1160">
        <f t="shared" si="260"/>
        <v>0</v>
      </c>
      <c r="BE75" s="1592" t="str">
        <f t="shared" si="220"/>
        <v>Yes</v>
      </c>
      <c r="BF75" s="1592">
        <f t="shared" si="221"/>
        <v>9.6199999999999996E-4</v>
      </c>
      <c r="BG75" s="821">
        <f t="shared" si="222"/>
        <v>9.6199999999999996E-4</v>
      </c>
      <c r="BH75" s="1160">
        <f t="shared" si="261"/>
        <v>0</v>
      </c>
      <c r="BI75" s="1592">
        <f t="shared" si="223"/>
        <v>1</v>
      </c>
      <c r="BJ75" s="1592">
        <f t="shared" si="224"/>
        <v>3.1419078917099999E-3</v>
      </c>
      <c r="BK75" s="821">
        <f t="shared" si="225"/>
        <v>3.1419078917099999E-3</v>
      </c>
      <c r="BL75" s="1160">
        <f t="shared" si="262"/>
        <v>0</v>
      </c>
      <c r="BM75" s="1592">
        <f t="shared" si="226"/>
        <v>0.26647320757247001</v>
      </c>
      <c r="BN75" s="821">
        <f t="shared" si="227"/>
        <v>0.26647320757247001</v>
      </c>
      <c r="BO75" s="1160">
        <f t="shared" si="263"/>
        <v>0</v>
      </c>
      <c r="BP75" s="1592">
        <f t="shared" si="228"/>
        <v>0.63953569817392997</v>
      </c>
      <c r="BQ75" s="821">
        <f t="shared" si="229"/>
        <v>0.63953569817392997</v>
      </c>
      <c r="BR75" s="1160">
        <f t="shared" si="264"/>
        <v>0</v>
      </c>
      <c r="BS75" s="1592" t="str">
        <f t="shared" si="230"/>
        <v>--</v>
      </c>
      <c r="BT75" s="821">
        <f t="shared" si="231"/>
        <v>0</v>
      </c>
      <c r="BU75" s="1160">
        <f t="shared" si="265"/>
        <v>0</v>
      </c>
      <c r="BW75" s="75" t="str">
        <f t="shared" si="232"/>
        <v>--</v>
      </c>
      <c r="BX75" s="75" t="str">
        <f t="shared" si="233"/>
        <v xml:space="preserve"> </v>
      </c>
      <c r="BY75" s="75" t="str">
        <f t="shared" si="234"/>
        <v/>
      </c>
      <c r="BZ75" s="75" t="str">
        <f t="shared" si="235"/>
        <v/>
      </c>
      <c r="CA75" s="1670" t="str">
        <f t="shared" si="266"/>
        <v>--</v>
      </c>
      <c r="CB75" s="75" t="str">
        <f t="shared" si="236"/>
        <v>--</v>
      </c>
      <c r="CC75" s="75" t="str">
        <f t="shared" si="237"/>
        <v xml:space="preserve"> </v>
      </c>
      <c r="CD75" s="75" t="str">
        <f t="shared" si="238"/>
        <v/>
      </c>
      <c r="CE75" s="75" t="str">
        <f t="shared" si="239"/>
        <v/>
      </c>
      <c r="CF75" s="1670" t="str">
        <f t="shared" si="267"/>
        <v>--</v>
      </c>
      <c r="CG75" s="75">
        <f t="shared" si="240"/>
        <v>0.6</v>
      </c>
      <c r="CH75" s="75" t="str">
        <f t="shared" si="241"/>
        <v>IRIS 2003</v>
      </c>
      <c r="CI75" s="75">
        <f t="shared" si="242"/>
        <v>0.6</v>
      </c>
      <c r="CJ75" s="75" t="str">
        <f t="shared" si="243"/>
        <v>I</v>
      </c>
      <c r="CK75" s="1670" t="str">
        <f t="shared" si="268"/>
        <v>--</v>
      </c>
      <c r="CL75" s="75">
        <f t="shared" si="244"/>
        <v>5000</v>
      </c>
      <c r="CM75" s="75" t="str">
        <f t="shared" si="245"/>
        <v>IRIS 2003</v>
      </c>
      <c r="CN75" s="75">
        <f t="shared" si="246"/>
        <v>5000</v>
      </c>
      <c r="CO75" s="75" t="str">
        <f t="shared" si="247"/>
        <v>I</v>
      </c>
      <c r="CP75" s="1670" t="str">
        <f t="shared" si="269"/>
        <v>--</v>
      </c>
      <c r="CR75" s="1686" t="str">
        <f t="shared" si="270"/>
        <v>--</v>
      </c>
      <c r="CS75" s="1686" t="str">
        <f t="shared" si="271"/>
        <v>--</v>
      </c>
      <c r="CT75" s="1686" t="str">
        <f t="shared" si="272"/>
        <v>--</v>
      </c>
      <c r="CU75" s="1686" t="str">
        <f t="shared" si="273"/>
        <v>--</v>
      </c>
    </row>
    <row r="76" spans="1:99">
      <c r="A76" s="309" t="s">
        <v>221</v>
      </c>
      <c r="B76" s="427" t="s">
        <v>222</v>
      </c>
      <c r="C76" s="1563" t="str">
        <f t="shared" si="183"/>
        <v>O</v>
      </c>
      <c r="D76" t="e">
        <f t="shared" si="184"/>
        <v>#N/A</v>
      </c>
      <c r="E76" s="1563">
        <f t="shared" si="185"/>
        <v>-84</v>
      </c>
      <c r="F76">
        <f t="shared" si="186"/>
        <v>-84</v>
      </c>
      <c r="G76" s="1160">
        <f t="shared" si="248"/>
        <v>0</v>
      </c>
      <c r="H76" s="1563" t="str">
        <f t="shared" si="187"/>
        <v>V</v>
      </c>
      <c r="I76" t="str">
        <f t="shared" si="188"/>
        <v>V</v>
      </c>
      <c r="J76" s="1160">
        <f t="shared" si="249"/>
        <v>0</v>
      </c>
      <c r="K76" s="1563">
        <f t="shared" si="189"/>
        <v>100.16</v>
      </c>
      <c r="L76">
        <f t="shared" si="190"/>
        <v>100.16</v>
      </c>
      <c r="M76" s="1160">
        <f t="shared" si="250"/>
        <v>0</v>
      </c>
      <c r="N76" s="1563">
        <f t="shared" si="191"/>
        <v>19.86</v>
      </c>
      <c r="O76">
        <f t="shared" si="192"/>
        <v>19.86</v>
      </c>
      <c r="P76" s="1160">
        <f t="shared" si="251"/>
        <v>0</v>
      </c>
      <c r="Q76" s="1563">
        <f t="shared" si="193"/>
        <v>19000</v>
      </c>
      <c r="R76">
        <f t="shared" si="194"/>
        <v>19000</v>
      </c>
      <c r="S76" s="1160">
        <f t="shared" si="252"/>
        <v>0</v>
      </c>
      <c r="T76" s="1563">
        <f t="shared" si="195"/>
        <v>1.3799999999999999E-4</v>
      </c>
      <c r="U76">
        <f t="shared" si="196"/>
        <v>1.3799999999999999E-4</v>
      </c>
      <c r="V76" s="1160">
        <f t="shared" si="253"/>
        <v>0</v>
      </c>
      <c r="W76" s="1563">
        <f t="shared" si="197"/>
        <v>5.6418642681899996E-3</v>
      </c>
      <c r="X76">
        <f t="shared" si="198"/>
        <v>5.6418642681899996E-3</v>
      </c>
      <c r="Y76" s="1160">
        <f t="shared" si="254"/>
        <v>0</v>
      </c>
      <c r="Z76" s="1563">
        <f t="shared" si="199"/>
        <v>12.6</v>
      </c>
      <c r="AA76">
        <f t="shared" si="200"/>
        <v>12.6</v>
      </c>
      <c r="AB76" s="1160">
        <f t="shared" si="255"/>
        <v>0</v>
      </c>
      <c r="AC76" s="1563">
        <f t="shared" si="201"/>
        <v>7.5600000000000001E-2</v>
      </c>
      <c r="AD76" t="str">
        <f t="shared" si="202"/>
        <v/>
      </c>
      <c r="AE76" s="1160">
        <f t="shared" si="256"/>
        <v>1</v>
      </c>
      <c r="AF76" s="1563">
        <f t="shared" si="203"/>
        <v>6.9779655947430005E-2</v>
      </c>
      <c r="AG76">
        <f t="shared" si="204"/>
        <v>6.9779655947430005E-2</v>
      </c>
      <c r="AH76" s="1160">
        <f t="shared" si="257"/>
        <v>0</v>
      </c>
      <c r="AI76" s="1563">
        <f t="shared" si="205"/>
        <v>8.3476964852300003E-6</v>
      </c>
      <c r="AJ76">
        <f t="shared" si="206"/>
        <v>8.3476964852300003E-6</v>
      </c>
      <c r="AK76" s="1160">
        <f t="shared" si="258"/>
        <v>0</v>
      </c>
      <c r="AL76" s="1563">
        <f t="shared" si="207"/>
        <v>2.9481660000000001</v>
      </c>
      <c r="AM76" t="e">
        <f t="shared" si="208"/>
        <v>#N/A</v>
      </c>
      <c r="AN76" s="1563">
        <f t="shared" si="209"/>
        <v>3356.6929696539487</v>
      </c>
      <c r="AO76">
        <f t="shared" si="210"/>
        <v>3360</v>
      </c>
      <c r="AP76" s="1160">
        <f t="shared" si="211"/>
        <v>1</v>
      </c>
      <c r="AQ76" s="1563">
        <f t="shared" si="212"/>
        <v>1.1902262882484791E-4</v>
      </c>
      <c r="AS76" s="1563">
        <f t="shared" si="213"/>
        <v>10572.699454323003</v>
      </c>
      <c r="AU76" s="1563">
        <f t="shared" si="214"/>
        <v>10367.384774797076</v>
      </c>
      <c r="AW76" s="1563">
        <f t="shared" si="215"/>
        <v>2341.7614531434247</v>
      </c>
      <c r="AY76" s="1592">
        <f t="shared" si="216"/>
        <v>1</v>
      </c>
      <c r="AZ76" s="821">
        <f t="shared" si="217"/>
        <v>1</v>
      </c>
      <c r="BA76" s="1160">
        <f t="shared" si="259"/>
        <v>0</v>
      </c>
      <c r="BB76" s="1592" t="str">
        <f t="shared" si="218"/>
        <v>--</v>
      </c>
      <c r="BC76" s="821" t="str">
        <f t="shared" si="219"/>
        <v/>
      </c>
      <c r="BD76" s="1160">
        <f t="shared" si="260"/>
        <v>0</v>
      </c>
      <c r="BE76" s="1592" t="str">
        <f t="shared" si="220"/>
        <v>Yes</v>
      </c>
      <c r="BF76" s="1592">
        <f t="shared" si="221"/>
        <v>3.1900000000000001E-3</v>
      </c>
      <c r="BG76" s="821">
        <f t="shared" si="222"/>
        <v>3.1900000000000001E-3</v>
      </c>
      <c r="BH76" s="1160">
        <f t="shared" si="261"/>
        <v>0</v>
      </c>
      <c r="BI76" s="1592">
        <f t="shared" si="223"/>
        <v>1</v>
      </c>
      <c r="BJ76" s="1592">
        <f t="shared" si="224"/>
        <v>1.227904223083E-2</v>
      </c>
      <c r="BK76" s="821">
        <f t="shared" si="225"/>
        <v>1.227904223083E-2</v>
      </c>
      <c r="BL76" s="1160">
        <f t="shared" si="262"/>
        <v>0</v>
      </c>
      <c r="BM76" s="1592">
        <f t="shared" si="226"/>
        <v>0.38259980964473</v>
      </c>
      <c r="BN76" s="821">
        <f t="shared" si="227"/>
        <v>0.38259980964473</v>
      </c>
      <c r="BO76" s="1160">
        <f t="shared" si="263"/>
        <v>0</v>
      </c>
      <c r="BP76" s="1592">
        <f t="shared" si="228"/>
        <v>0.91823954314735001</v>
      </c>
      <c r="BQ76" s="821">
        <f t="shared" si="229"/>
        <v>0.91823954314735001</v>
      </c>
      <c r="BR76" s="1160">
        <f t="shared" si="264"/>
        <v>0</v>
      </c>
      <c r="BS76" s="1592" t="str">
        <f t="shared" si="230"/>
        <v>--</v>
      </c>
      <c r="BT76" s="821">
        <f t="shared" si="231"/>
        <v>0</v>
      </c>
      <c r="BU76" s="1160">
        <f t="shared" si="265"/>
        <v>0</v>
      </c>
      <c r="BW76" s="75" t="str">
        <f t="shared" si="232"/>
        <v>--</v>
      </c>
      <c r="BX76" s="75" t="str">
        <f t="shared" si="233"/>
        <v xml:space="preserve"> </v>
      </c>
      <c r="BY76" s="75" t="str">
        <f t="shared" si="234"/>
        <v/>
      </c>
      <c r="BZ76" s="75" t="str">
        <f t="shared" si="235"/>
        <v/>
      </c>
      <c r="CA76" s="1670" t="str">
        <f t="shared" si="266"/>
        <v>--</v>
      </c>
      <c r="CB76" s="75" t="str">
        <f t="shared" si="236"/>
        <v>--</v>
      </c>
      <c r="CC76" s="75" t="str">
        <f t="shared" si="237"/>
        <v xml:space="preserve"> </v>
      </c>
      <c r="CD76" s="75" t="str">
        <f t="shared" si="238"/>
        <v/>
      </c>
      <c r="CE76" s="75" t="str">
        <f t="shared" si="239"/>
        <v/>
      </c>
      <c r="CF76" s="1670" t="str">
        <f t="shared" si="267"/>
        <v>--</v>
      </c>
      <c r="CG76" s="75" t="str">
        <f t="shared" si="240"/>
        <v>--</v>
      </c>
      <c r="CH76" s="75" t="str">
        <f t="shared" si="241"/>
        <v xml:space="preserve"> </v>
      </c>
      <c r="CI76" s="75" t="str">
        <f t="shared" si="242"/>
        <v/>
      </c>
      <c r="CJ76" s="75" t="str">
        <f t="shared" si="243"/>
        <v/>
      </c>
      <c r="CK76" s="1670" t="str">
        <f t="shared" si="268"/>
        <v>--</v>
      </c>
      <c r="CL76" s="75">
        <f t="shared" si="244"/>
        <v>3000</v>
      </c>
      <c r="CM76" s="75" t="str">
        <f t="shared" si="245"/>
        <v>IRIS 2003</v>
      </c>
      <c r="CN76" s="75">
        <f t="shared" si="246"/>
        <v>3000</v>
      </c>
      <c r="CO76" s="75" t="str">
        <f t="shared" si="247"/>
        <v>I</v>
      </c>
      <c r="CP76" s="1670" t="str">
        <f t="shared" si="269"/>
        <v>--</v>
      </c>
      <c r="CR76" s="1686" t="str">
        <f t="shared" si="270"/>
        <v>--</v>
      </c>
      <c r="CS76" s="1686" t="str">
        <f t="shared" si="271"/>
        <v>--</v>
      </c>
      <c r="CT76" s="1686" t="str">
        <f t="shared" si="272"/>
        <v>--</v>
      </c>
      <c r="CU76" s="1686" t="str">
        <f t="shared" si="273"/>
        <v>--</v>
      </c>
    </row>
    <row r="77" spans="1:99">
      <c r="A77" s="309" t="s">
        <v>223</v>
      </c>
      <c r="B77" s="427" t="s">
        <v>224</v>
      </c>
      <c r="C77" s="1563" t="str">
        <f t="shared" si="183"/>
        <v>I</v>
      </c>
      <c r="D77" t="e">
        <f t="shared" si="184"/>
        <v>#N/A</v>
      </c>
      <c r="E77" s="1563" t="str">
        <f t="shared" si="185"/>
        <v>--</v>
      </c>
      <c r="F77" t="str">
        <f t="shared" si="186"/>
        <v/>
      </c>
      <c r="G77" s="1160">
        <f t="shared" si="248"/>
        <v>1</v>
      </c>
      <c r="H77" s="1563" t="str">
        <f t="shared" si="187"/>
        <v>NV</v>
      </c>
      <c r="I77">
        <f t="shared" si="188"/>
        <v>0</v>
      </c>
      <c r="J77" s="1160">
        <f t="shared" si="249"/>
        <v>0</v>
      </c>
      <c r="K77" s="1563">
        <f t="shared" si="189"/>
        <v>216.6326</v>
      </c>
      <c r="L77">
        <f t="shared" si="190"/>
        <v>216.6326</v>
      </c>
      <c r="M77" s="1160">
        <f t="shared" si="250"/>
        <v>0</v>
      </c>
      <c r="N77" s="1563" t="str">
        <f t="shared" si="191"/>
        <v>--</v>
      </c>
      <c r="O77" t="str">
        <f t="shared" si="192"/>
        <v/>
      </c>
      <c r="P77" s="1160">
        <f t="shared" si="251"/>
        <v>0</v>
      </c>
      <c r="Q77" s="1563" t="str">
        <f t="shared" si="193"/>
        <v>--</v>
      </c>
      <c r="R77" t="str">
        <f t="shared" si="194"/>
        <v/>
      </c>
      <c r="S77" s="1160">
        <f t="shared" si="252"/>
        <v>0</v>
      </c>
      <c r="T77" s="1563" t="str">
        <f t="shared" si="195"/>
        <v>--</v>
      </c>
      <c r="U77" t="str">
        <f t="shared" si="196"/>
        <v/>
      </c>
      <c r="V77" s="1160">
        <f t="shared" si="253"/>
        <v>0</v>
      </c>
      <c r="W77" s="1563" t="str">
        <f t="shared" si="197"/>
        <v>--</v>
      </c>
      <c r="X77" t="str">
        <f t="shared" si="198"/>
        <v/>
      </c>
      <c r="Y77" s="1160">
        <f t="shared" si="254"/>
        <v>0</v>
      </c>
      <c r="Z77" s="1563" t="str">
        <f t="shared" si="199"/>
        <v>--</v>
      </c>
      <c r="AA77" t="str">
        <f t="shared" si="200"/>
        <v/>
      </c>
      <c r="AB77" s="1160">
        <f t="shared" si="255"/>
        <v>0</v>
      </c>
      <c r="AC77" s="1563">
        <f t="shared" si="201"/>
        <v>7000</v>
      </c>
      <c r="AD77">
        <f t="shared" si="202"/>
        <v>7000</v>
      </c>
      <c r="AE77" s="1160">
        <f t="shared" si="256"/>
        <v>0</v>
      </c>
      <c r="AF77" s="1563">
        <f t="shared" si="203"/>
        <v>5.2674981637709999E-2</v>
      </c>
      <c r="AG77">
        <f t="shared" si="204"/>
        <v>5.2674981637709999E-2</v>
      </c>
      <c r="AH77" s="1160">
        <f t="shared" si="257"/>
        <v>0</v>
      </c>
      <c r="AI77" s="1563">
        <f t="shared" si="205"/>
        <v>6.1546557492500001E-6</v>
      </c>
      <c r="AJ77">
        <f t="shared" si="206"/>
        <v>6.1546557492500001E-6</v>
      </c>
      <c r="AK77" s="1160">
        <f t="shared" si="258"/>
        <v>0</v>
      </c>
      <c r="AL77" s="1563" t="str">
        <f t="shared" si="207"/>
        <v>--</v>
      </c>
      <c r="AM77" t="e">
        <f t="shared" si="208"/>
        <v>#N/A</v>
      </c>
      <c r="AN77" s="1563" t="str">
        <f t="shared" si="209"/>
        <v>--</v>
      </c>
      <c r="AO77" t="str">
        <f t="shared" si="210"/>
        <v/>
      </c>
      <c r="AP77" s="1160">
        <f t="shared" si="211"/>
        <v>1</v>
      </c>
      <c r="AQ77" s="1563" t="str">
        <f t="shared" si="212"/>
        <v>--</v>
      </c>
      <c r="AS77" s="1563" t="str">
        <f t="shared" si="213"/>
        <v>--</v>
      </c>
      <c r="AU77" s="1563" t="str">
        <f t="shared" si="214"/>
        <v>--</v>
      </c>
      <c r="AW77" s="1563" t="str">
        <f t="shared" si="215"/>
        <v>--</v>
      </c>
      <c r="AY77" s="1592">
        <f t="shared" si="216"/>
        <v>1</v>
      </c>
      <c r="AZ77" s="821">
        <f t="shared" si="217"/>
        <v>1</v>
      </c>
      <c r="BA77" s="1160">
        <f t="shared" si="259"/>
        <v>0</v>
      </c>
      <c r="BB77" s="1592" t="str">
        <f t="shared" si="218"/>
        <v>--</v>
      </c>
      <c r="BC77" s="821" t="str">
        <f t="shared" si="219"/>
        <v/>
      </c>
      <c r="BD77" s="1160">
        <f t="shared" si="260"/>
        <v>0</v>
      </c>
      <c r="BE77" s="1592" t="str">
        <f t="shared" si="220"/>
        <v>Yes</v>
      </c>
      <c r="BF77" s="1592">
        <f t="shared" si="221"/>
        <v>1E-3</v>
      </c>
      <c r="BG77" s="821">
        <f t="shared" si="222"/>
        <v>1E-3</v>
      </c>
      <c r="BH77" s="1160">
        <f t="shared" si="261"/>
        <v>0</v>
      </c>
      <c r="BI77" s="1592">
        <f t="shared" si="223"/>
        <v>1</v>
      </c>
      <c r="BJ77" s="1592">
        <f t="shared" si="224"/>
        <v>5.6609400812500004E-3</v>
      </c>
      <c r="BK77" s="821">
        <f t="shared" si="225"/>
        <v>5.6609400812500004E-3</v>
      </c>
      <c r="BL77" s="1160">
        <f t="shared" si="262"/>
        <v>0</v>
      </c>
      <c r="BM77" s="1592">
        <f t="shared" si="226"/>
        <v>1.71787401155715</v>
      </c>
      <c r="BN77" s="821">
        <f t="shared" si="227"/>
        <v>1.71787401155715</v>
      </c>
      <c r="BO77" s="1160">
        <f t="shared" si="263"/>
        <v>0</v>
      </c>
      <c r="BP77" s="1592">
        <f t="shared" si="228"/>
        <v>4.1228976277371698</v>
      </c>
      <c r="BQ77" s="821">
        <f t="shared" si="229"/>
        <v>4.1228976277371698</v>
      </c>
      <c r="BR77" s="1160">
        <f t="shared" si="264"/>
        <v>0</v>
      </c>
      <c r="BS77" s="1592" t="str">
        <f t="shared" si="230"/>
        <v>--</v>
      </c>
      <c r="BT77" s="821">
        <f t="shared" si="231"/>
        <v>0</v>
      </c>
      <c r="BU77" s="1160">
        <f t="shared" si="265"/>
        <v>0</v>
      </c>
      <c r="BW77" s="75" t="str">
        <f t="shared" si="232"/>
        <v>--</v>
      </c>
      <c r="BX77" s="75" t="str">
        <f t="shared" si="233"/>
        <v xml:space="preserve"> </v>
      </c>
      <c r="BY77" s="75" t="str">
        <f t="shared" si="234"/>
        <v/>
      </c>
      <c r="BZ77" s="75" t="str">
        <f t="shared" si="235"/>
        <v/>
      </c>
      <c r="CA77" s="1670" t="str">
        <f t="shared" si="266"/>
        <v>--</v>
      </c>
      <c r="CB77" s="75" t="str">
        <f t="shared" si="236"/>
        <v>--</v>
      </c>
      <c r="CC77" s="75" t="str">
        <f t="shared" si="237"/>
        <v xml:space="preserve"> </v>
      </c>
      <c r="CD77" s="75" t="str">
        <f t="shared" si="238"/>
        <v/>
      </c>
      <c r="CE77" s="75" t="str">
        <f t="shared" si="239"/>
        <v/>
      </c>
      <c r="CF77" s="1670" t="str">
        <f t="shared" si="267"/>
        <v>--</v>
      </c>
      <c r="CG77" s="75">
        <f t="shared" si="240"/>
        <v>1E-4</v>
      </c>
      <c r="CH77" s="75" t="str">
        <f t="shared" si="241"/>
        <v>IRIS 2001</v>
      </c>
      <c r="CI77" s="75">
        <f t="shared" si="242"/>
        <v>1E-4</v>
      </c>
      <c r="CJ77" s="75" t="str">
        <f t="shared" si="243"/>
        <v>I</v>
      </c>
      <c r="CK77" s="1670" t="str">
        <f t="shared" si="268"/>
        <v>--</v>
      </c>
      <c r="CL77" s="75" t="str">
        <f t="shared" si="244"/>
        <v>--</v>
      </c>
      <c r="CM77" s="75" t="str">
        <f t="shared" si="245"/>
        <v xml:space="preserve"> </v>
      </c>
      <c r="CN77" s="75" t="str">
        <f t="shared" si="246"/>
        <v/>
      </c>
      <c r="CO77" s="75" t="str">
        <f t="shared" si="247"/>
        <v/>
      </c>
      <c r="CP77" s="1670" t="str">
        <f t="shared" si="269"/>
        <v>--</v>
      </c>
      <c r="CR77" s="1686" t="str">
        <f t="shared" si="270"/>
        <v>--</v>
      </c>
      <c r="CS77" s="1686" t="str">
        <f t="shared" si="271"/>
        <v>--</v>
      </c>
      <c r="CT77" s="1686" t="str">
        <f t="shared" si="272"/>
        <v>--</v>
      </c>
      <c r="CU77" s="1686" t="str">
        <f t="shared" si="273"/>
        <v>--</v>
      </c>
    </row>
    <row r="78" spans="1:99">
      <c r="A78" s="309" t="s">
        <v>225</v>
      </c>
      <c r="B78" s="427" t="s">
        <v>226</v>
      </c>
      <c r="C78" s="1563" t="str">
        <f t="shared" si="183"/>
        <v>O</v>
      </c>
      <c r="D78" t="e">
        <f t="shared" si="184"/>
        <v>#N/A</v>
      </c>
      <c r="E78" s="1563">
        <f t="shared" si="185"/>
        <v>34.4</v>
      </c>
      <c r="F78">
        <f t="shared" si="186"/>
        <v>34.4</v>
      </c>
      <c r="G78" s="1160">
        <f t="shared" si="248"/>
        <v>0</v>
      </c>
      <c r="H78" s="1563" t="str">
        <f t="shared" si="187"/>
        <v>V</v>
      </c>
      <c r="I78" t="str">
        <f t="shared" si="188"/>
        <v>V</v>
      </c>
      <c r="J78" s="1160">
        <f t="shared" si="249"/>
        <v>0</v>
      </c>
      <c r="K78" s="1563">
        <f t="shared" si="189"/>
        <v>142.19999999999999</v>
      </c>
      <c r="L78">
        <f t="shared" si="190"/>
        <v>142.19999999999999</v>
      </c>
      <c r="M78" s="1160">
        <f t="shared" si="250"/>
        <v>0</v>
      </c>
      <c r="N78" s="1563">
        <f t="shared" si="191"/>
        <v>5.5E-2</v>
      </c>
      <c r="O78">
        <f t="shared" si="192"/>
        <v>5.5E-2</v>
      </c>
      <c r="P78" s="1160">
        <f t="shared" si="251"/>
        <v>0</v>
      </c>
      <c r="Q78" s="1563">
        <f t="shared" si="193"/>
        <v>24.6</v>
      </c>
      <c r="R78">
        <f t="shared" si="194"/>
        <v>24.6</v>
      </c>
      <c r="S78" s="1160">
        <f t="shared" si="252"/>
        <v>0</v>
      </c>
      <c r="T78" s="1563">
        <f t="shared" si="195"/>
        <v>5.1800000000000001E-4</v>
      </c>
      <c r="U78">
        <f t="shared" si="196"/>
        <v>5.1800000000000001E-4</v>
      </c>
      <c r="V78" s="1160">
        <f t="shared" si="253"/>
        <v>0</v>
      </c>
      <c r="W78" s="1563">
        <f t="shared" si="197"/>
        <v>2.1177432542929999E-2</v>
      </c>
      <c r="X78">
        <f t="shared" si="198"/>
        <v>2.1177432542929999E-2</v>
      </c>
      <c r="Y78" s="1160">
        <f t="shared" si="254"/>
        <v>0</v>
      </c>
      <c r="Z78" s="1563">
        <f t="shared" si="199"/>
        <v>2478</v>
      </c>
      <c r="AA78">
        <f t="shared" si="200"/>
        <v>2478</v>
      </c>
      <c r="AB78" s="1160">
        <f t="shared" si="255"/>
        <v>0</v>
      </c>
      <c r="AC78" s="1563">
        <f t="shared" si="201"/>
        <v>14.868</v>
      </c>
      <c r="AD78" t="str">
        <f t="shared" si="202"/>
        <v/>
      </c>
      <c r="AE78" s="1160">
        <f t="shared" si="256"/>
        <v>1</v>
      </c>
      <c r="AF78" s="1563">
        <f t="shared" si="203"/>
        <v>5.2431868394069998E-2</v>
      </c>
      <c r="AG78">
        <f t="shared" si="204"/>
        <v>5.2431868394069998E-2</v>
      </c>
      <c r="AH78" s="1160">
        <f t="shared" si="257"/>
        <v>0</v>
      </c>
      <c r="AI78" s="1563">
        <f t="shared" si="205"/>
        <v>7.7810640904800008E-6</v>
      </c>
      <c r="AJ78">
        <f t="shared" si="206"/>
        <v>7.7810640904800008E-6</v>
      </c>
      <c r="AK78" s="1160">
        <f t="shared" si="258"/>
        <v>0</v>
      </c>
      <c r="AL78" s="1563">
        <f t="shared" si="207"/>
        <v>414.56322599999999</v>
      </c>
      <c r="AM78" t="e">
        <f t="shared" si="208"/>
        <v>#N/A</v>
      </c>
      <c r="AN78" s="1563">
        <f t="shared" si="209"/>
        <v>368.31142290377824</v>
      </c>
      <c r="AO78" t="str">
        <f t="shared" si="210"/>
        <v/>
      </c>
      <c r="AP78" s="1160">
        <f t="shared" si="211"/>
        <v>1</v>
      </c>
      <c r="AQ78" s="1563">
        <f t="shared" si="212"/>
        <v>3.9544972250442562E-6</v>
      </c>
      <c r="AS78" s="1563">
        <f t="shared" si="213"/>
        <v>58003.609279094686</v>
      </c>
      <c r="AU78" s="1563">
        <f t="shared" si="214"/>
        <v>56877.218379406797</v>
      </c>
      <c r="AW78" s="1563">
        <f t="shared" si="215"/>
        <v>12847.2976026418</v>
      </c>
      <c r="AY78" s="1592">
        <f t="shared" si="216"/>
        <v>1</v>
      </c>
      <c r="AZ78" s="821">
        <f t="shared" si="217"/>
        <v>1</v>
      </c>
      <c r="BA78" s="1160">
        <f t="shared" si="259"/>
        <v>0</v>
      </c>
      <c r="BB78" s="1592">
        <f t="shared" si="218"/>
        <v>0.13</v>
      </c>
      <c r="BC78" s="821">
        <f t="shared" si="219"/>
        <v>0.13</v>
      </c>
      <c r="BD78" s="1160">
        <f t="shared" si="260"/>
        <v>0</v>
      </c>
      <c r="BE78" s="1592" t="str">
        <f t="shared" si="220"/>
        <v>Yes</v>
      </c>
      <c r="BF78" s="1592">
        <f t="shared" si="221"/>
        <v>9.1700000000000004E-2</v>
      </c>
      <c r="BG78" s="821">
        <f t="shared" si="222"/>
        <v>9.1700000000000004E-2</v>
      </c>
      <c r="BH78" s="1160">
        <f t="shared" si="261"/>
        <v>0</v>
      </c>
      <c r="BI78" s="1592">
        <f t="shared" si="223"/>
        <v>1</v>
      </c>
      <c r="BJ78" s="1592">
        <f t="shared" si="224"/>
        <v>0.42057725862600998</v>
      </c>
      <c r="BK78" s="821">
        <f t="shared" si="225"/>
        <v>0.42057725862600998</v>
      </c>
      <c r="BL78" s="1160">
        <f t="shared" si="262"/>
        <v>0</v>
      </c>
      <c r="BM78" s="1592">
        <f t="shared" si="226"/>
        <v>0.65791342676832998</v>
      </c>
      <c r="BN78" s="821">
        <f t="shared" si="227"/>
        <v>0.65791342676832998</v>
      </c>
      <c r="BO78" s="1160">
        <f t="shared" si="263"/>
        <v>0</v>
      </c>
      <c r="BP78" s="1592">
        <f t="shared" si="228"/>
        <v>1.57899222424399</v>
      </c>
      <c r="BQ78" s="821">
        <f t="shared" si="229"/>
        <v>1.57899222424399</v>
      </c>
      <c r="BR78" s="1160">
        <f t="shared" si="264"/>
        <v>0</v>
      </c>
      <c r="BS78" s="1592" t="str">
        <f t="shared" si="230"/>
        <v>--</v>
      </c>
      <c r="BT78" s="821">
        <f t="shared" si="231"/>
        <v>0</v>
      </c>
      <c r="BU78" s="1160">
        <f t="shared" si="265"/>
        <v>0</v>
      </c>
      <c r="BW78" s="75" t="str">
        <f t="shared" si="232"/>
        <v>--</v>
      </c>
      <c r="BX78" s="75" t="str">
        <f t="shared" si="233"/>
        <v xml:space="preserve"> </v>
      </c>
      <c r="BY78" s="75" t="str">
        <f t="shared" si="234"/>
        <v/>
      </c>
      <c r="BZ78" s="75" t="str">
        <f t="shared" si="235"/>
        <v/>
      </c>
      <c r="CA78" s="1670" t="str">
        <f t="shared" si="266"/>
        <v>--</v>
      </c>
      <c r="CB78" s="75" t="str">
        <f t="shared" si="236"/>
        <v>--</v>
      </c>
      <c r="CC78" s="75" t="str">
        <f t="shared" si="237"/>
        <v xml:space="preserve"> </v>
      </c>
      <c r="CD78" s="75" t="str">
        <f t="shared" si="238"/>
        <v/>
      </c>
      <c r="CE78" s="75" t="str">
        <f t="shared" si="239"/>
        <v/>
      </c>
      <c r="CF78" s="1670" t="str">
        <f t="shared" si="267"/>
        <v>--</v>
      </c>
      <c r="CG78" s="75">
        <f t="shared" si="240"/>
        <v>4.0000000000000001E-3</v>
      </c>
      <c r="CH78" s="75" t="str">
        <f t="shared" si="241"/>
        <v>IRIS 2003</v>
      </c>
      <c r="CI78" s="75">
        <f t="shared" si="242"/>
        <v>4.0000000000000001E-3</v>
      </c>
      <c r="CJ78" s="75" t="str">
        <f t="shared" si="243"/>
        <v>I</v>
      </c>
      <c r="CK78" s="1670" t="str">
        <f t="shared" si="268"/>
        <v>--</v>
      </c>
      <c r="CL78" s="75" t="str">
        <f t="shared" si="244"/>
        <v>--</v>
      </c>
      <c r="CM78" s="75" t="str">
        <f t="shared" si="245"/>
        <v xml:space="preserve"> </v>
      </c>
      <c r="CN78" s="75" t="str">
        <f t="shared" si="246"/>
        <v/>
      </c>
      <c r="CO78" s="75" t="str">
        <f t="shared" si="247"/>
        <v/>
      </c>
      <c r="CP78" s="1670" t="str">
        <f t="shared" si="269"/>
        <v>--</v>
      </c>
      <c r="CR78" s="1686" t="str">
        <f t="shared" si="270"/>
        <v>--</v>
      </c>
      <c r="CS78" s="1686" t="str">
        <f t="shared" si="271"/>
        <v>--</v>
      </c>
      <c r="CT78" s="1686" t="str">
        <f t="shared" si="272"/>
        <v>--</v>
      </c>
      <c r="CU78" s="1686" t="str">
        <f t="shared" si="273"/>
        <v>--</v>
      </c>
    </row>
    <row r="79" spans="1:99">
      <c r="A79" s="309" t="s">
        <v>227</v>
      </c>
      <c r="B79" s="427" t="s">
        <v>228</v>
      </c>
      <c r="C79" s="1563" t="str">
        <f t="shared" si="183"/>
        <v>O</v>
      </c>
      <c r="D79" t="e">
        <f t="shared" si="184"/>
        <v>#N/A</v>
      </c>
      <c r="E79" s="1563">
        <f t="shared" si="185"/>
        <v>-108.6</v>
      </c>
      <c r="F79">
        <f t="shared" si="186"/>
        <v>-108.6</v>
      </c>
      <c r="G79" s="1160">
        <f t="shared" si="248"/>
        <v>0</v>
      </c>
      <c r="H79" s="1563" t="str">
        <f t="shared" si="187"/>
        <v>V</v>
      </c>
      <c r="I79" t="str">
        <f t="shared" si="188"/>
        <v>V</v>
      </c>
      <c r="J79" s="1160">
        <f t="shared" si="249"/>
        <v>0</v>
      </c>
      <c r="K79" s="1563">
        <f t="shared" si="189"/>
        <v>88.150999999999996</v>
      </c>
      <c r="L79">
        <f t="shared" si="190"/>
        <v>88.150999999999996</v>
      </c>
      <c r="M79" s="1160">
        <f t="shared" si="250"/>
        <v>0</v>
      </c>
      <c r="N79" s="1563">
        <f t="shared" si="191"/>
        <v>250</v>
      </c>
      <c r="O79">
        <f t="shared" si="192"/>
        <v>250</v>
      </c>
      <c r="P79" s="1160">
        <f t="shared" si="251"/>
        <v>0</v>
      </c>
      <c r="Q79" s="1563">
        <f t="shared" si="193"/>
        <v>51000</v>
      </c>
      <c r="R79">
        <f t="shared" si="194"/>
        <v>51000</v>
      </c>
      <c r="S79" s="1160">
        <f t="shared" si="252"/>
        <v>0</v>
      </c>
      <c r="T79" s="1563">
        <f t="shared" si="195"/>
        <v>5.8699999999999996E-4</v>
      </c>
      <c r="U79">
        <f t="shared" si="196"/>
        <v>5.8699999999999996E-4</v>
      </c>
      <c r="V79" s="1160">
        <f t="shared" si="253"/>
        <v>0</v>
      </c>
      <c r="W79" s="1563">
        <f t="shared" si="197"/>
        <v>2.399836467702E-2</v>
      </c>
      <c r="X79">
        <f t="shared" si="198"/>
        <v>2.399836467702E-2</v>
      </c>
      <c r="Y79" s="1160">
        <f t="shared" si="254"/>
        <v>0</v>
      </c>
      <c r="Z79" s="1563">
        <f t="shared" si="199"/>
        <v>11.56</v>
      </c>
      <c r="AA79">
        <f t="shared" si="200"/>
        <v>11.56</v>
      </c>
      <c r="AB79" s="1160">
        <f t="shared" si="255"/>
        <v>0</v>
      </c>
      <c r="AC79" s="1563">
        <f t="shared" si="201"/>
        <v>6.9360000000000005E-2</v>
      </c>
      <c r="AD79" t="str">
        <f t="shared" si="202"/>
        <v/>
      </c>
      <c r="AE79" s="1160">
        <f t="shared" si="256"/>
        <v>1</v>
      </c>
      <c r="AF79" s="1563">
        <f t="shared" si="203"/>
        <v>7.5267202926059998E-2</v>
      </c>
      <c r="AG79">
        <f t="shared" si="204"/>
        <v>7.5267202926059998E-2</v>
      </c>
      <c r="AH79" s="1160">
        <f t="shared" si="257"/>
        <v>0</v>
      </c>
      <c r="AI79" s="1563">
        <f t="shared" si="205"/>
        <v>8.5904153988199992E-6</v>
      </c>
      <c r="AJ79">
        <f t="shared" si="206"/>
        <v>8.5904153988199992E-6</v>
      </c>
      <c r="AK79" s="1160">
        <f t="shared" si="258"/>
        <v>0</v>
      </c>
      <c r="AL79" s="1563">
        <f t="shared" si="207"/>
        <v>5.5624690000000001</v>
      </c>
      <c r="AM79" t="e">
        <f t="shared" si="208"/>
        <v>#N/A</v>
      </c>
      <c r="AN79" s="1563">
        <f t="shared" si="209"/>
        <v>8869.0574189666277</v>
      </c>
      <c r="AO79">
        <f t="shared" si="210"/>
        <v>8870</v>
      </c>
      <c r="AP79" s="1160">
        <f t="shared" si="211"/>
        <v>1</v>
      </c>
      <c r="AQ79" s="1563">
        <f t="shared" si="212"/>
        <v>5.5368965444951314E-4</v>
      </c>
      <c r="AS79" s="1563">
        <f t="shared" si="213"/>
        <v>4901.933909002606</v>
      </c>
      <c r="AU79" s="1563">
        <f t="shared" si="214"/>
        <v>4806.7416646820084</v>
      </c>
      <c r="AW79" s="1563">
        <f t="shared" si="215"/>
        <v>1085.7359488512961</v>
      </c>
      <c r="AY79" s="1592">
        <f t="shared" si="216"/>
        <v>1</v>
      </c>
      <c r="AZ79" s="821">
        <f t="shared" si="217"/>
        <v>1</v>
      </c>
      <c r="BA79" s="1160">
        <f t="shared" si="259"/>
        <v>0</v>
      </c>
      <c r="BB79" s="1592" t="str">
        <f t="shared" si="218"/>
        <v>--</v>
      </c>
      <c r="BC79" s="821" t="str">
        <f t="shared" si="219"/>
        <v/>
      </c>
      <c r="BD79" s="1160">
        <f t="shared" si="260"/>
        <v>0</v>
      </c>
      <c r="BE79" s="1592" t="str">
        <f t="shared" si="220"/>
        <v>Yes</v>
      </c>
      <c r="BF79" s="1592">
        <f t="shared" si="221"/>
        <v>2.1099999999999999E-3</v>
      </c>
      <c r="BG79" s="821">
        <f t="shared" si="222"/>
        <v>2.1099999999999999E-3</v>
      </c>
      <c r="BH79" s="1160">
        <f t="shared" si="261"/>
        <v>0</v>
      </c>
      <c r="BI79" s="1592">
        <f t="shared" si="223"/>
        <v>1</v>
      </c>
      <c r="BJ79" s="1592">
        <f t="shared" si="224"/>
        <v>7.6194343068800002E-3</v>
      </c>
      <c r="BK79" s="821">
        <f t="shared" si="225"/>
        <v>7.6194343068800002E-3</v>
      </c>
      <c r="BL79" s="1160">
        <f t="shared" si="262"/>
        <v>0</v>
      </c>
      <c r="BM79" s="1592">
        <f t="shared" si="226"/>
        <v>0.32771351306433</v>
      </c>
      <c r="BN79" s="821">
        <f t="shared" si="227"/>
        <v>0.32771351306433</v>
      </c>
      <c r="BO79" s="1160">
        <f t="shared" si="263"/>
        <v>0</v>
      </c>
      <c r="BP79" s="1592">
        <f t="shared" si="228"/>
        <v>0.78651243135438997</v>
      </c>
      <c r="BQ79" s="821">
        <f t="shared" si="229"/>
        <v>0.78651243135438997</v>
      </c>
      <c r="BR79" s="1160">
        <f t="shared" si="264"/>
        <v>0</v>
      </c>
      <c r="BS79" s="1592" t="str">
        <f t="shared" si="230"/>
        <v>--</v>
      </c>
      <c r="BT79" s="821">
        <f t="shared" si="231"/>
        <v>0</v>
      </c>
      <c r="BU79" s="1160">
        <f t="shared" si="265"/>
        <v>0</v>
      </c>
      <c r="BW79" s="75">
        <f t="shared" si="232"/>
        <v>1.8E-3</v>
      </c>
      <c r="BX79" s="75" t="str">
        <f t="shared" si="233"/>
        <v>OEHHA 2009</v>
      </c>
      <c r="BY79" s="75">
        <f t="shared" si="234"/>
        <v>1.8E-3</v>
      </c>
      <c r="BZ79" s="75" t="str">
        <f t="shared" si="235"/>
        <v>C</v>
      </c>
      <c r="CA79" s="1670" t="str">
        <f t="shared" si="266"/>
        <v>--</v>
      </c>
      <c r="CB79" s="75">
        <f t="shared" si="236"/>
        <v>2.6E-7</v>
      </c>
      <c r="CC79" s="75" t="str">
        <f t="shared" si="237"/>
        <v>OEHHA 2009</v>
      </c>
      <c r="CD79" s="75">
        <f t="shared" si="238"/>
        <v>2.6E-7</v>
      </c>
      <c r="CE79" s="75" t="str">
        <f t="shared" si="239"/>
        <v>C</v>
      </c>
      <c r="CF79" s="1670" t="str">
        <f t="shared" si="267"/>
        <v>--</v>
      </c>
      <c r="CG79" s="75" t="str">
        <f t="shared" si="240"/>
        <v>--</v>
      </c>
      <c r="CH79" s="75" t="str">
        <f t="shared" si="241"/>
        <v xml:space="preserve"> </v>
      </c>
      <c r="CI79" s="75" t="str">
        <f t="shared" si="242"/>
        <v/>
      </c>
      <c r="CJ79" s="75" t="str">
        <f t="shared" si="243"/>
        <v/>
      </c>
      <c r="CK79" s="1670" t="str">
        <f t="shared" si="268"/>
        <v>--</v>
      </c>
      <c r="CL79" s="75">
        <f t="shared" si="244"/>
        <v>3000</v>
      </c>
      <c r="CM79" s="75" t="str">
        <f t="shared" si="245"/>
        <v>IRIS 1993</v>
      </c>
      <c r="CN79" s="75">
        <f t="shared" si="246"/>
        <v>3000</v>
      </c>
      <c r="CO79" s="75" t="str">
        <f t="shared" si="247"/>
        <v>I</v>
      </c>
      <c r="CP79" s="1670" t="str">
        <f t="shared" si="269"/>
        <v>--</v>
      </c>
      <c r="CR79" s="1686" t="str">
        <f t="shared" si="270"/>
        <v>--</v>
      </c>
      <c r="CS79" s="1686" t="str">
        <f t="shared" si="271"/>
        <v>--</v>
      </c>
      <c r="CT79" s="1686" t="str">
        <f t="shared" si="272"/>
        <v>--</v>
      </c>
      <c r="CU79" s="1686" t="str">
        <f t="shared" si="273"/>
        <v>--</v>
      </c>
    </row>
    <row r="80" spans="1:99">
      <c r="A80" s="309" t="s">
        <v>229</v>
      </c>
      <c r="B80" s="427" t="s">
        <v>230</v>
      </c>
      <c r="C80" s="1563" t="str">
        <f t="shared" si="183"/>
        <v>I</v>
      </c>
      <c r="D80" t="e">
        <f t="shared" si="184"/>
        <v>#N/A</v>
      </c>
      <c r="E80" s="1563">
        <f t="shared" si="185"/>
        <v>2622</v>
      </c>
      <c r="F80">
        <f t="shared" si="186"/>
        <v>2622</v>
      </c>
      <c r="G80" s="1160">
        <f t="shared" si="248"/>
        <v>0</v>
      </c>
      <c r="H80" s="1563" t="str">
        <f t="shared" si="187"/>
        <v>NV</v>
      </c>
      <c r="I80">
        <f t="shared" si="188"/>
        <v>0</v>
      </c>
      <c r="J80" s="1160">
        <f t="shared" si="249"/>
        <v>0</v>
      </c>
      <c r="K80" s="1563">
        <f t="shared" si="189"/>
        <v>95.94</v>
      </c>
      <c r="L80">
        <f t="shared" si="190"/>
        <v>95.94</v>
      </c>
      <c r="M80" s="1160">
        <f t="shared" si="250"/>
        <v>0</v>
      </c>
      <c r="N80" s="1563" t="str">
        <f t="shared" si="191"/>
        <v>--</v>
      </c>
      <c r="O80">
        <f t="shared" si="192"/>
        <v>0</v>
      </c>
      <c r="P80" s="1160">
        <f t="shared" si="251"/>
        <v>0</v>
      </c>
      <c r="Q80" s="1563" t="str">
        <f t="shared" si="193"/>
        <v>--</v>
      </c>
      <c r="R80" t="str">
        <f t="shared" si="194"/>
        <v/>
      </c>
      <c r="S80" s="1160">
        <f t="shared" si="252"/>
        <v>0</v>
      </c>
      <c r="T80" s="1563" t="str">
        <f t="shared" si="195"/>
        <v>--</v>
      </c>
      <c r="U80" t="str">
        <f t="shared" si="196"/>
        <v/>
      </c>
      <c r="V80" s="1160">
        <f t="shared" si="253"/>
        <v>0</v>
      </c>
      <c r="W80" s="1563" t="str">
        <f t="shared" si="197"/>
        <v>--</v>
      </c>
      <c r="X80" t="str">
        <f t="shared" si="198"/>
        <v/>
      </c>
      <c r="Y80" s="1160">
        <f t="shared" si="254"/>
        <v>0</v>
      </c>
      <c r="Z80" s="1563" t="str">
        <f t="shared" si="199"/>
        <v>--</v>
      </c>
      <c r="AA80" t="str">
        <f t="shared" si="200"/>
        <v/>
      </c>
      <c r="AB80" s="1160">
        <f t="shared" si="255"/>
        <v>0</v>
      </c>
      <c r="AC80" s="1563">
        <f t="shared" si="201"/>
        <v>20</v>
      </c>
      <c r="AD80">
        <f t="shared" si="202"/>
        <v>20</v>
      </c>
      <c r="AE80" s="1160">
        <f t="shared" si="256"/>
        <v>0</v>
      </c>
      <c r="AF80" s="1563">
        <f t="shared" si="203"/>
        <v>0.19032577117832999</v>
      </c>
      <c r="AG80">
        <f t="shared" si="204"/>
        <v>0.19032577117832999</v>
      </c>
      <c r="AH80" s="1160">
        <f t="shared" si="257"/>
        <v>0</v>
      </c>
      <c r="AI80" s="1563">
        <f t="shared" si="205"/>
        <v>3.9557792329999998E-5</v>
      </c>
      <c r="AJ80">
        <f t="shared" si="206"/>
        <v>3.9557792329999998E-5</v>
      </c>
      <c r="AK80" s="1160">
        <f t="shared" si="258"/>
        <v>0</v>
      </c>
      <c r="AL80" s="1563" t="str">
        <f t="shared" si="207"/>
        <v>--</v>
      </c>
      <c r="AM80" t="e">
        <f t="shared" si="208"/>
        <v>#N/A</v>
      </c>
      <c r="AN80" s="1563" t="str">
        <f t="shared" si="209"/>
        <v>--</v>
      </c>
      <c r="AO80" t="str">
        <f t="shared" si="210"/>
        <v/>
      </c>
      <c r="AP80" s="1160">
        <f t="shared" si="211"/>
        <v>1</v>
      </c>
      <c r="AQ80" s="1563" t="str">
        <f t="shared" si="212"/>
        <v>--</v>
      </c>
      <c r="AS80" s="1563" t="str">
        <f t="shared" si="213"/>
        <v>--</v>
      </c>
      <c r="AU80" s="1563" t="str">
        <f t="shared" si="214"/>
        <v>--</v>
      </c>
      <c r="AW80" s="1563" t="str">
        <f t="shared" si="215"/>
        <v>--</v>
      </c>
      <c r="AY80" s="1592">
        <f t="shared" si="216"/>
        <v>1</v>
      </c>
      <c r="AZ80" s="821">
        <f t="shared" si="217"/>
        <v>1</v>
      </c>
      <c r="BA80" s="1160">
        <f t="shared" si="259"/>
        <v>0</v>
      </c>
      <c r="BB80" s="1592" t="str">
        <f t="shared" si="218"/>
        <v>--</v>
      </c>
      <c r="BC80" s="821" t="str">
        <f t="shared" si="219"/>
        <v/>
      </c>
      <c r="BD80" s="1160">
        <f t="shared" si="260"/>
        <v>0</v>
      </c>
      <c r="BE80" s="1592" t="str">
        <f t="shared" si="220"/>
        <v>Yes</v>
      </c>
      <c r="BF80" s="1592">
        <f t="shared" si="221"/>
        <v>1E-3</v>
      </c>
      <c r="BG80" s="821">
        <f t="shared" si="222"/>
        <v>1E-3</v>
      </c>
      <c r="BH80" s="1160">
        <f t="shared" si="261"/>
        <v>0</v>
      </c>
      <c r="BI80" s="1592">
        <f t="shared" si="223"/>
        <v>1</v>
      </c>
      <c r="BJ80" s="1592">
        <f t="shared" si="224"/>
        <v>3.7672679347599998E-3</v>
      </c>
      <c r="BK80" s="821">
        <f t="shared" si="225"/>
        <v>3.7672679347599998E-3</v>
      </c>
      <c r="BL80" s="1160">
        <f t="shared" si="262"/>
        <v>0</v>
      </c>
      <c r="BM80" s="1592">
        <f t="shared" si="226"/>
        <v>0.36233705455365001</v>
      </c>
      <c r="BN80" s="821">
        <f t="shared" si="227"/>
        <v>0.36233705455365001</v>
      </c>
      <c r="BO80" s="1160">
        <f t="shared" si="263"/>
        <v>0</v>
      </c>
      <c r="BP80" s="1592">
        <f t="shared" si="228"/>
        <v>0.86960893092876002</v>
      </c>
      <c r="BQ80" s="821">
        <f t="shared" si="229"/>
        <v>0.86960893092876002</v>
      </c>
      <c r="BR80" s="1160">
        <f t="shared" si="264"/>
        <v>0</v>
      </c>
      <c r="BS80" s="1592" t="str">
        <f t="shared" si="230"/>
        <v>--</v>
      </c>
      <c r="BT80" s="821">
        <f t="shared" si="231"/>
        <v>0</v>
      </c>
      <c r="BU80" s="1160">
        <f t="shared" si="265"/>
        <v>0</v>
      </c>
      <c r="BW80" s="75" t="str">
        <f t="shared" si="232"/>
        <v>--</v>
      </c>
      <c r="BX80" s="75" t="str">
        <f t="shared" si="233"/>
        <v xml:space="preserve"> </v>
      </c>
      <c r="BY80" s="75" t="str">
        <f t="shared" si="234"/>
        <v/>
      </c>
      <c r="BZ80" s="75" t="str">
        <f t="shared" si="235"/>
        <v/>
      </c>
      <c r="CA80" s="1670" t="str">
        <f t="shared" si="266"/>
        <v>--</v>
      </c>
      <c r="CB80" s="75" t="str">
        <f t="shared" si="236"/>
        <v>--</v>
      </c>
      <c r="CC80" s="75" t="str">
        <f t="shared" si="237"/>
        <v xml:space="preserve"> </v>
      </c>
      <c r="CD80" s="75" t="str">
        <f t="shared" si="238"/>
        <v/>
      </c>
      <c r="CE80" s="75" t="str">
        <f t="shared" si="239"/>
        <v/>
      </c>
      <c r="CF80" s="1670" t="str">
        <f t="shared" si="267"/>
        <v>--</v>
      </c>
      <c r="CG80" s="75">
        <f t="shared" si="240"/>
        <v>5.0000000000000001E-3</v>
      </c>
      <c r="CH80" s="75" t="str">
        <f t="shared" si="241"/>
        <v>IRIS 1992</v>
      </c>
      <c r="CI80" s="75">
        <f t="shared" si="242"/>
        <v>5.0000000000000001E-3</v>
      </c>
      <c r="CJ80" s="75" t="str">
        <f t="shared" si="243"/>
        <v>I</v>
      </c>
      <c r="CK80" s="1670" t="str">
        <f t="shared" si="268"/>
        <v>--</v>
      </c>
      <c r="CL80" s="75">
        <f t="shared" si="244"/>
        <v>2</v>
      </c>
      <c r="CM80" s="75" t="str">
        <f t="shared" si="245"/>
        <v>ATSDR 2020</v>
      </c>
      <c r="CN80" s="75">
        <f t="shared" si="246"/>
        <v>2</v>
      </c>
      <c r="CO80" s="75" t="str">
        <f t="shared" si="247"/>
        <v>A</v>
      </c>
      <c r="CP80" s="1670" t="str">
        <f t="shared" si="269"/>
        <v>--</v>
      </c>
      <c r="CR80" s="1686" t="str">
        <f t="shared" si="270"/>
        <v>--</v>
      </c>
      <c r="CS80" s="1686" t="str">
        <f t="shared" si="271"/>
        <v>--</v>
      </c>
      <c r="CT80" s="1686" t="str">
        <f t="shared" si="272"/>
        <v>--</v>
      </c>
      <c r="CU80" s="1686" t="str">
        <f t="shared" si="273"/>
        <v>--</v>
      </c>
    </row>
    <row r="81" spans="1:99">
      <c r="A81" s="309" t="s">
        <v>231</v>
      </c>
      <c r="B81" s="427" t="s">
        <v>232</v>
      </c>
      <c r="C81" s="1563" t="str">
        <f t="shared" si="183"/>
        <v>I</v>
      </c>
      <c r="D81" t="e">
        <f t="shared" si="184"/>
        <v>#N/A</v>
      </c>
      <c r="E81" s="1563">
        <f t="shared" si="185"/>
        <v>1455</v>
      </c>
      <c r="F81">
        <f t="shared" si="186"/>
        <v>1455</v>
      </c>
      <c r="G81" s="1160">
        <f t="shared" si="248"/>
        <v>0</v>
      </c>
      <c r="H81" s="1563" t="str">
        <f t="shared" si="187"/>
        <v>NV</v>
      </c>
      <c r="I81">
        <f t="shared" si="188"/>
        <v>0</v>
      </c>
      <c r="J81" s="1160">
        <f t="shared" si="249"/>
        <v>0</v>
      </c>
      <c r="K81" s="1563">
        <f t="shared" si="189"/>
        <v>58.71</v>
      </c>
      <c r="L81">
        <f t="shared" si="190"/>
        <v>58.71</v>
      </c>
      <c r="M81" s="1160">
        <f t="shared" si="250"/>
        <v>0</v>
      </c>
      <c r="N81" s="1563" t="str">
        <f t="shared" si="191"/>
        <v>--</v>
      </c>
      <c r="O81">
        <f t="shared" si="192"/>
        <v>0</v>
      </c>
      <c r="P81" s="1160">
        <f t="shared" si="251"/>
        <v>0</v>
      </c>
      <c r="Q81" s="1563" t="str">
        <f t="shared" si="193"/>
        <v>--</v>
      </c>
      <c r="R81" t="str">
        <f t="shared" si="194"/>
        <v/>
      </c>
      <c r="S81" s="1160">
        <f t="shared" si="252"/>
        <v>0</v>
      </c>
      <c r="T81" s="1563" t="str">
        <f t="shared" si="195"/>
        <v>--</v>
      </c>
      <c r="U81" t="str">
        <f t="shared" si="196"/>
        <v/>
      </c>
      <c r="V81" s="1160">
        <f t="shared" si="253"/>
        <v>0</v>
      </c>
      <c r="W81" s="1563" t="str">
        <f t="shared" si="197"/>
        <v>--</v>
      </c>
      <c r="X81" t="str">
        <f t="shared" si="198"/>
        <v/>
      </c>
      <c r="Y81" s="1160">
        <f t="shared" si="254"/>
        <v>0</v>
      </c>
      <c r="Z81" s="1563" t="str">
        <f t="shared" si="199"/>
        <v>--</v>
      </c>
      <c r="AA81" t="str">
        <f t="shared" si="200"/>
        <v/>
      </c>
      <c r="AB81" s="1160">
        <f t="shared" si="255"/>
        <v>0</v>
      </c>
      <c r="AC81" s="1563">
        <f t="shared" si="201"/>
        <v>65</v>
      </c>
      <c r="AD81">
        <f t="shared" si="202"/>
        <v>65</v>
      </c>
      <c r="AE81" s="1160">
        <f t="shared" si="256"/>
        <v>0</v>
      </c>
      <c r="AF81" s="1563">
        <f t="shared" si="203"/>
        <v>0.24954089593928999</v>
      </c>
      <c r="AG81">
        <f t="shared" si="204"/>
        <v>0.24954089593928999</v>
      </c>
      <c r="AH81" s="1160">
        <f t="shared" si="257"/>
        <v>0</v>
      </c>
      <c r="AI81" s="1563">
        <f t="shared" si="205"/>
        <v>4.8941641030000001E-5</v>
      </c>
      <c r="AJ81">
        <f t="shared" si="206"/>
        <v>4.8941641030000001E-5</v>
      </c>
      <c r="AK81" s="1160">
        <f t="shared" si="258"/>
        <v>0</v>
      </c>
      <c r="AL81" s="1563" t="str">
        <f t="shared" si="207"/>
        <v>--</v>
      </c>
      <c r="AM81" t="e">
        <f t="shared" si="208"/>
        <v>#N/A</v>
      </c>
      <c r="AN81" s="1563" t="str">
        <f t="shared" si="209"/>
        <v>--</v>
      </c>
      <c r="AO81" t="str">
        <f t="shared" si="210"/>
        <v/>
      </c>
      <c r="AP81" s="1160">
        <f t="shared" si="211"/>
        <v>1</v>
      </c>
      <c r="AQ81" s="1563" t="str">
        <f t="shared" si="212"/>
        <v>--</v>
      </c>
      <c r="AS81" s="1563" t="str">
        <f t="shared" si="213"/>
        <v>--</v>
      </c>
      <c r="AU81" s="1563" t="str">
        <f t="shared" si="214"/>
        <v>--</v>
      </c>
      <c r="AW81" s="1563" t="str">
        <f t="shared" si="215"/>
        <v>--</v>
      </c>
      <c r="AY81" s="1592">
        <f t="shared" si="216"/>
        <v>0.04</v>
      </c>
      <c r="AZ81" s="821">
        <f t="shared" si="217"/>
        <v>0.04</v>
      </c>
      <c r="BA81" s="1160">
        <f t="shared" si="259"/>
        <v>0</v>
      </c>
      <c r="BB81" s="1592" t="str">
        <f t="shared" si="218"/>
        <v>--</v>
      </c>
      <c r="BC81" s="821" t="str">
        <f t="shared" si="219"/>
        <v/>
      </c>
      <c r="BD81" s="1160">
        <f t="shared" si="260"/>
        <v>0</v>
      </c>
      <c r="BE81" s="1592" t="str">
        <f t="shared" si="220"/>
        <v>Yes</v>
      </c>
      <c r="BF81" s="1592">
        <f t="shared" si="221"/>
        <v>2.0000000000000001E-4</v>
      </c>
      <c r="BG81" s="821">
        <f t="shared" si="222"/>
        <v>2.0000000000000001E-4</v>
      </c>
      <c r="BH81" s="1160">
        <f t="shared" si="261"/>
        <v>0</v>
      </c>
      <c r="BI81" s="1592">
        <f t="shared" si="223"/>
        <v>1</v>
      </c>
      <c r="BJ81" s="1592">
        <f t="shared" si="224"/>
        <v>5.8940346936999996E-4</v>
      </c>
      <c r="BK81" s="821">
        <f t="shared" si="225"/>
        <v>5.8940346936999996E-4</v>
      </c>
      <c r="BL81" s="1160">
        <f t="shared" si="262"/>
        <v>0</v>
      </c>
      <c r="BM81" s="1592">
        <f t="shared" si="226"/>
        <v>0.22419439440901001</v>
      </c>
      <c r="BN81" s="821">
        <f t="shared" si="227"/>
        <v>0.22419439440901001</v>
      </c>
      <c r="BO81" s="1160">
        <f t="shared" si="263"/>
        <v>0</v>
      </c>
      <c r="BP81" s="1592">
        <f t="shared" si="228"/>
        <v>0.53806654658162001</v>
      </c>
      <c r="BQ81" s="821">
        <f t="shared" si="229"/>
        <v>0.53806654658162001</v>
      </c>
      <c r="BR81" s="1160">
        <f t="shared" si="264"/>
        <v>0</v>
      </c>
      <c r="BS81" s="1592" t="str">
        <f t="shared" si="230"/>
        <v>--</v>
      </c>
      <c r="BT81" s="821">
        <f t="shared" si="231"/>
        <v>0</v>
      </c>
      <c r="BU81" s="1160">
        <f t="shared" si="265"/>
        <v>0</v>
      </c>
      <c r="BW81" s="75" t="str">
        <f t="shared" si="232"/>
        <v>--</v>
      </c>
      <c r="BX81" s="75" t="str">
        <f t="shared" si="233"/>
        <v xml:space="preserve"> </v>
      </c>
      <c r="BY81" s="75" t="str">
        <f t="shared" si="234"/>
        <v/>
      </c>
      <c r="BZ81" s="75" t="str">
        <f t="shared" si="235"/>
        <v/>
      </c>
      <c r="CA81" s="1670" t="str">
        <f t="shared" si="266"/>
        <v>--</v>
      </c>
      <c r="CB81" s="75">
        <f t="shared" si="236"/>
        <v>2.5999999999999998E-4</v>
      </c>
      <c r="CC81" s="75" t="str">
        <f t="shared" si="237"/>
        <v>OEHHA 2009</v>
      </c>
      <c r="CD81" s="75">
        <f t="shared" si="238"/>
        <v>2.5999999999999998E-4</v>
      </c>
      <c r="CE81" s="75" t="str">
        <f t="shared" si="239"/>
        <v>C</v>
      </c>
      <c r="CF81" s="1670" t="str">
        <f t="shared" si="267"/>
        <v>--</v>
      </c>
      <c r="CG81" s="75">
        <f t="shared" si="240"/>
        <v>1.0999999999999999E-2</v>
      </c>
      <c r="CH81" s="75" t="str">
        <f t="shared" si="241"/>
        <v>OEHHA 2012</v>
      </c>
      <c r="CI81" s="75">
        <f t="shared" si="242"/>
        <v>0.02</v>
      </c>
      <c r="CJ81" s="75" t="str">
        <f t="shared" si="243"/>
        <v>I</v>
      </c>
      <c r="CK81" s="1671" t="str">
        <f t="shared" si="268"/>
        <v>check</v>
      </c>
      <c r="CL81" s="75">
        <f t="shared" si="244"/>
        <v>1.4E-2</v>
      </c>
      <c r="CM81" s="75" t="str">
        <f t="shared" si="245"/>
        <v>OEHHA 2012</v>
      </c>
      <c r="CN81" s="75">
        <f t="shared" si="246"/>
        <v>0.01</v>
      </c>
      <c r="CO81" s="75" t="str">
        <f t="shared" si="247"/>
        <v>T</v>
      </c>
      <c r="CP81" s="1672" t="str">
        <f>IF(AND(CL81="--",CN81=""),"--",IF(AND(CL81="--",CN81&lt;&gt;""),"R",IF(AND(CN81="",CL81&lt;&gt;"--"),"N",IF(CL81=CN81,"--",IF(CN81&lt;CL81,"&lt;","check")))))</f>
        <v>&lt;</v>
      </c>
      <c r="CQ81" s="55" t="s">
        <v>3581</v>
      </c>
      <c r="CR81" s="1686" t="str">
        <f t="shared" si="270"/>
        <v>--</v>
      </c>
      <c r="CS81" s="1686" t="str">
        <f t="shared" si="271"/>
        <v>--</v>
      </c>
      <c r="CT81" s="1686" t="str">
        <f t="shared" si="272"/>
        <v>x</v>
      </c>
      <c r="CU81" s="1686" t="str">
        <f t="shared" si="273"/>
        <v>x</v>
      </c>
    </row>
    <row r="82" spans="1:99">
      <c r="A82" s="2" t="s">
        <v>233</v>
      </c>
      <c r="B82" s="426" t="s">
        <v>234</v>
      </c>
      <c r="C82" s="1563" t="str">
        <f t="shared" si="183"/>
        <v>O</v>
      </c>
      <c r="D82" t="e">
        <f t="shared" si="184"/>
        <v>#N/A</v>
      </c>
      <c r="E82" s="1563">
        <f t="shared" si="185"/>
        <v>93.4</v>
      </c>
      <c r="F82">
        <f t="shared" si="186"/>
        <v>93.4</v>
      </c>
      <c r="G82" s="1160">
        <f t="shared" si="248"/>
        <v>0</v>
      </c>
      <c r="H82" s="1563" t="str">
        <f t="shared" si="187"/>
        <v>V</v>
      </c>
      <c r="I82" t="str">
        <f t="shared" si="188"/>
        <v>V</v>
      </c>
      <c r="J82" s="1160">
        <f t="shared" si="249"/>
        <v>0</v>
      </c>
      <c r="K82" s="1563">
        <f t="shared" si="189"/>
        <v>154.21</v>
      </c>
      <c r="L82">
        <f t="shared" si="190"/>
        <v>154.21</v>
      </c>
      <c r="M82" s="1160">
        <f t="shared" si="250"/>
        <v>0</v>
      </c>
      <c r="N82" s="1563">
        <f t="shared" si="191"/>
        <v>2.15E-3</v>
      </c>
      <c r="O82">
        <f t="shared" si="192"/>
        <v>2.15E-3</v>
      </c>
      <c r="P82" s="1160">
        <f t="shared" si="251"/>
        <v>0</v>
      </c>
      <c r="Q82" s="1563">
        <f t="shared" si="193"/>
        <v>3.9</v>
      </c>
      <c r="R82">
        <f t="shared" si="194"/>
        <v>3.9</v>
      </c>
      <c r="S82" s="1160">
        <f t="shared" si="252"/>
        <v>0</v>
      </c>
      <c r="T82" s="1563">
        <f t="shared" si="195"/>
        <v>1.84E-4</v>
      </c>
      <c r="U82">
        <f t="shared" si="196"/>
        <v>1.84E-4</v>
      </c>
      <c r="V82" s="1160">
        <f t="shared" si="253"/>
        <v>0</v>
      </c>
      <c r="W82" s="1563">
        <f t="shared" si="197"/>
        <v>7.5224856909199998E-3</v>
      </c>
      <c r="X82">
        <f t="shared" si="198"/>
        <v>7.5224856909199998E-3</v>
      </c>
      <c r="Y82" s="1160">
        <f t="shared" si="254"/>
        <v>0</v>
      </c>
      <c r="Z82" s="1563">
        <f t="shared" si="199"/>
        <v>5027</v>
      </c>
      <c r="AA82">
        <f t="shared" si="200"/>
        <v>5027</v>
      </c>
      <c r="AB82" s="1160">
        <f t="shared" si="255"/>
        <v>0</v>
      </c>
      <c r="AC82" s="1563">
        <f t="shared" si="201"/>
        <v>30.161999999999999</v>
      </c>
      <c r="AD82" t="str">
        <f t="shared" si="202"/>
        <v/>
      </c>
      <c r="AE82" s="1160">
        <f t="shared" si="256"/>
        <v>1</v>
      </c>
      <c r="AF82" s="1563">
        <f t="shared" si="203"/>
        <v>5.0614313354230001E-2</v>
      </c>
      <c r="AG82">
        <f t="shared" si="204"/>
        <v>5.0614313354230001E-2</v>
      </c>
      <c r="AH82" s="1160">
        <f t="shared" si="257"/>
        <v>0</v>
      </c>
      <c r="AI82" s="1563">
        <f t="shared" si="205"/>
        <v>8.3300378125399998E-6</v>
      </c>
      <c r="AJ82">
        <f t="shared" si="206"/>
        <v>8.3300378125399998E-6</v>
      </c>
      <c r="AK82" s="1160">
        <f t="shared" si="258"/>
        <v>0</v>
      </c>
      <c r="AL82" s="1563">
        <f t="shared" si="207"/>
        <v>835.62408800000003</v>
      </c>
      <c r="AM82" t="e">
        <f t="shared" si="208"/>
        <v>#N/A</v>
      </c>
      <c r="AN82" s="1563">
        <f t="shared" si="209"/>
        <v>118.02735386537897</v>
      </c>
      <c r="AO82" t="str">
        <f t="shared" si="210"/>
        <v/>
      </c>
      <c r="AP82" s="1160">
        <f t="shared" si="211"/>
        <v>1</v>
      </c>
      <c r="AQ82" s="1563">
        <f t="shared" si="212"/>
        <v>6.7202829965710872E-7</v>
      </c>
      <c r="AS82" s="1563">
        <f t="shared" si="213"/>
        <v>140704.13965866429</v>
      </c>
      <c r="AU82" s="1563">
        <f t="shared" si="214"/>
        <v>137971.76033900262</v>
      </c>
      <c r="AW82" s="1563">
        <f t="shared" si="215"/>
        <v>31164.749548956835</v>
      </c>
      <c r="AY82" s="1592">
        <f t="shared" si="216"/>
        <v>1</v>
      </c>
      <c r="AZ82" s="821">
        <f t="shared" si="217"/>
        <v>1</v>
      </c>
      <c r="BA82" s="1160">
        <f t="shared" si="259"/>
        <v>0</v>
      </c>
      <c r="BB82" s="1592">
        <f t="shared" si="218"/>
        <v>0.13</v>
      </c>
      <c r="BC82" s="821">
        <f t="shared" si="219"/>
        <v>0.13</v>
      </c>
      <c r="BD82" s="1160">
        <f t="shared" si="260"/>
        <v>0</v>
      </c>
      <c r="BE82" s="1592" t="str">
        <f t="shared" si="220"/>
        <v>Yes</v>
      </c>
      <c r="BF82" s="1592">
        <f t="shared" si="221"/>
        <v>8.5999999999999993E-2</v>
      </c>
      <c r="BG82" s="821">
        <f t="shared" si="222"/>
        <v>8.5999999999999993E-2</v>
      </c>
      <c r="BH82" s="1160">
        <f t="shared" si="261"/>
        <v>0</v>
      </c>
      <c r="BI82" s="1592">
        <f t="shared" si="223"/>
        <v>1</v>
      </c>
      <c r="BJ82" s="1592">
        <f t="shared" si="224"/>
        <v>0.41075359376748</v>
      </c>
      <c r="BK82" s="821">
        <f t="shared" si="225"/>
        <v>0.41075359376748</v>
      </c>
      <c r="BL82" s="1160">
        <f t="shared" si="262"/>
        <v>0</v>
      </c>
      <c r="BM82" s="1592">
        <f t="shared" si="226"/>
        <v>0.76811235300464997</v>
      </c>
      <c r="BN82" s="821">
        <f t="shared" si="227"/>
        <v>0.76811235300464997</v>
      </c>
      <c r="BO82" s="1160">
        <f t="shared" si="263"/>
        <v>0</v>
      </c>
      <c r="BP82" s="1592">
        <f t="shared" si="228"/>
        <v>1.84346964721115</v>
      </c>
      <c r="BQ82" s="821">
        <f t="shared" si="229"/>
        <v>1.84346964721115</v>
      </c>
      <c r="BR82" s="1160">
        <f t="shared" si="264"/>
        <v>0</v>
      </c>
      <c r="BS82" s="1592" t="str">
        <f t="shared" si="230"/>
        <v>--</v>
      </c>
      <c r="BT82" s="821">
        <f t="shared" si="231"/>
        <v>0</v>
      </c>
      <c r="BU82" s="1160">
        <f t="shared" si="265"/>
        <v>0</v>
      </c>
      <c r="BW82" s="75" t="str">
        <f t="shared" si="232"/>
        <v>--</v>
      </c>
      <c r="BX82" s="75" t="str">
        <f t="shared" si="233"/>
        <v xml:space="preserve"> </v>
      </c>
      <c r="BY82" s="75" t="str">
        <f t="shared" si="234"/>
        <v/>
      </c>
      <c r="BZ82" s="75" t="str">
        <f t="shared" si="235"/>
        <v/>
      </c>
      <c r="CA82" s="1670" t="str">
        <f t="shared" si="266"/>
        <v>--</v>
      </c>
      <c r="CB82" s="75" t="str">
        <f t="shared" si="236"/>
        <v>--</v>
      </c>
      <c r="CC82" s="75" t="str">
        <f t="shared" si="237"/>
        <v xml:space="preserve"> </v>
      </c>
      <c r="CD82" s="75" t="str">
        <f t="shared" si="238"/>
        <v/>
      </c>
      <c r="CE82" s="75" t="str">
        <f t="shared" si="239"/>
        <v/>
      </c>
      <c r="CF82" s="1670" t="str">
        <f t="shared" si="267"/>
        <v>--</v>
      </c>
      <c r="CG82" s="75">
        <f t="shared" si="240"/>
        <v>0.06</v>
      </c>
      <c r="CH82" s="75" t="str">
        <f t="shared" si="241"/>
        <v>IRIS 1990</v>
      </c>
      <c r="CI82" s="75">
        <f t="shared" si="242"/>
        <v>0.06</v>
      </c>
      <c r="CJ82" s="75" t="str">
        <f t="shared" si="243"/>
        <v>I</v>
      </c>
      <c r="CK82" s="1670" t="str">
        <f t="shared" si="268"/>
        <v>--</v>
      </c>
      <c r="CL82" s="75" t="str">
        <f t="shared" si="244"/>
        <v>--</v>
      </c>
      <c r="CM82" s="75" t="str">
        <f t="shared" si="245"/>
        <v xml:space="preserve"> </v>
      </c>
      <c r="CN82" s="75" t="str">
        <f t="shared" si="246"/>
        <v/>
      </c>
      <c r="CO82" s="75" t="str">
        <f t="shared" si="247"/>
        <v/>
      </c>
      <c r="CP82" s="1670" t="str">
        <f t="shared" si="269"/>
        <v>--</v>
      </c>
      <c r="CR82" s="1686" t="str">
        <f t="shared" si="270"/>
        <v>--</v>
      </c>
      <c r="CS82" s="1686" t="str">
        <f t="shared" si="271"/>
        <v>--</v>
      </c>
      <c r="CT82" s="1686" t="str">
        <f t="shared" si="272"/>
        <v>--</v>
      </c>
      <c r="CU82" s="1686" t="str">
        <f t="shared" si="273"/>
        <v>--</v>
      </c>
    </row>
    <row r="83" spans="1:99">
      <c r="A83" s="136" t="s">
        <v>235</v>
      </c>
      <c r="B83" s="427" t="s">
        <v>236</v>
      </c>
      <c r="C83" s="1563" t="str">
        <f t="shared" si="183"/>
        <v>O</v>
      </c>
      <c r="D83" t="e">
        <f t="shared" si="184"/>
        <v>#N/A</v>
      </c>
      <c r="E83" s="1563">
        <f t="shared" si="185"/>
        <v>215</v>
      </c>
      <c r="F83">
        <f t="shared" si="186"/>
        <v>215</v>
      </c>
      <c r="G83" s="1160">
        <f t="shared" si="248"/>
        <v>0</v>
      </c>
      <c r="H83" s="1563" t="str">
        <f t="shared" si="187"/>
        <v>V</v>
      </c>
      <c r="I83" t="str">
        <f t="shared" si="188"/>
        <v>V</v>
      </c>
      <c r="J83" s="1160">
        <f t="shared" si="249"/>
        <v>0</v>
      </c>
      <c r="K83" s="1563">
        <f t="shared" si="189"/>
        <v>178.24</v>
      </c>
      <c r="L83">
        <f t="shared" si="190"/>
        <v>178.24</v>
      </c>
      <c r="M83" s="1160">
        <f t="shared" si="250"/>
        <v>0</v>
      </c>
      <c r="N83" s="1563">
        <f t="shared" si="191"/>
        <v>6.5300000000000002E-6</v>
      </c>
      <c r="O83">
        <f t="shared" si="192"/>
        <v>6.5300000000000002E-6</v>
      </c>
      <c r="P83" s="1160">
        <f t="shared" si="251"/>
        <v>0</v>
      </c>
      <c r="Q83" s="1563">
        <f t="shared" si="193"/>
        <v>4.3400000000000001E-2</v>
      </c>
      <c r="R83">
        <f t="shared" si="194"/>
        <v>4.3400000000000001E-2</v>
      </c>
      <c r="S83" s="1160">
        <f t="shared" si="252"/>
        <v>0</v>
      </c>
      <c r="T83" s="1563">
        <f t="shared" si="195"/>
        <v>5.5600000000000003E-5</v>
      </c>
      <c r="U83">
        <f t="shared" si="196"/>
        <v>5.5600000000000003E-5</v>
      </c>
      <c r="V83" s="1160">
        <f t="shared" si="253"/>
        <v>0</v>
      </c>
      <c r="W83" s="1563">
        <f t="shared" si="197"/>
        <v>2.2730989370400002E-3</v>
      </c>
      <c r="X83">
        <f t="shared" si="198"/>
        <v>2.2730989370400002E-3</v>
      </c>
      <c r="Y83" s="1160">
        <f t="shared" si="254"/>
        <v>0</v>
      </c>
      <c r="Z83" s="1563">
        <f t="shared" si="199"/>
        <v>16360</v>
      </c>
      <c r="AA83">
        <f t="shared" si="200"/>
        <v>16360</v>
      </c>
      <c r="AB83" s="1160">
        <f t="shared" si="255"/>
        <v>0</v>
      </c>
      <c r="AC83" s="1563">
        <f t="shared" si="201"/>
        <v>98.16</v>
      </c>
      <c r="AD83" t="str">
        <f t="shared" si="202"/>
        <v/>
      </c>
      <c r="AE83" s="1160">
        <f t="shared" si="256"/>
        <v>1</v>
      </c>
      <c r="AF83" s="1563">
        <f t="shared" si="203"/>
        <v>3.8973167043099999E-2</v>
      </c>
      <c r="AG83">
        <f t="shared" si="204"/>
        <v>3.8973167043099999E-2</v>
      </c>
      <c r="AH83" s="1160">
        <f t="shared" si="257"/>
        <v>0</v>
      </c>
      <c r="AI83" s="1563">
        <f t="shared" si="205"/>
        <v>7.8522596013299994E-6</v>
      </c>
      <c r="AJ83">
        <f t="shared" si="206"/>
        <v>7.8522596013299994E-6</v>
      </c>
      <c r="AK83" s="1160">
        <f t="shared" si="258"/>
        <v>0</v>
      </c>
      <c r="AL83" s="1563">
        <f t="shared" si="207"/>
        <v>2716.1051092000002</v>
      </c>
      <c r="AM83" t="e">
        <f t="shared" si="208"/>
        <v>#N/A</v>
      </c>
      <c r="AN83" s="1563">
        <f t="shared" si="209"/>
        <v>4.2645026757236826</v>
      </c>
      <c r="AO83" t="str">
        <f t="shared" si="210"/>
        <v/>
      </c>
      <c r="AP83" s="1160">
        <f t="shared" si="211"/>
        <v>1</v>
      </c>
      <c r="AQ83" s="1563">
        <f t="shared" si="212"/>
        <v>4.8540945615167627E-8</v>
      </c>
      <c r="AS83" s="1563">
        <f t="shared" si="213"/>
        <v>523535.98701313284</v>
      </c>
      <c r="AU83" s="1563">
        <f t="shared" si="214"/>
        <v>513369.27189385064</v>
      </c>
      <c r="AW83" s="1563">
        <f t="shared" si="215"/>
        <v>115958.69144085627</v>
      </c>
      <c r="AY83" s="1592">
        <f t="shared" si="216"/>
        <v>1</v>
      </c>
      <c r="AZ83" s="821">
        <f t="shared" si="217"/>
        <v>1</v>
      </c>
      <c r="BA83" s="1160">
        <f t="shared" si="259"/>
        <v>0</v>
      </c>
      <c r="BB83" s="1592">
        <f t="shared" si="218"/>
        <v>0.13</v>
      </c>
      <c r="BC83" s="821">
        <f t="shared" si="219"/>
        <v>0.13</v>
      </c>
      <c r="BD83" s="1160">
        <f t="shared" si="260"/>
        <v>0</v>
      </c>
      <c r="BE83" s="1592" t="str">
        <f t="shared" si="220"/>
        <v>Yes</v>
      </c>
      <c r="BF83" s="1592">
        <f t="shared" si="221"/>
        <v>0.14199999999999999</v>
      </c>
      <c r="BG83" s="821">
        <f t="shared" si="222"/>
        <v>0.14199999999999999</v>
      </c>
      <c r="BH83" s="1160">
        <f t="shared" si="261"/>
        <v>0</v>
      </c>
      <c r="BI83" s="1592">
        <f t="shared" si="223"/>
        <v>1</v>
      </c>
      <c r="BJ83" s="1592">
        <f t="shared" si="224"/>
        <v>0.72915118033710002</v>
      </c>
      <c r="BK83" s="821">
        <f t="shared" si="225"/>
        <v>0.72915118033710002</v>
      </c>
      <c r="BL83" s="1160">
        <f t="shared" si="262"/>
        <v>0</v>
      </c>
      <c r="BM83" s="1592">
        <f t="shared" si="226"/>
        <v>1.0471110667780701</v>
      </c>
      <c r="BN83" s="821">
        <f t="shared" si="227"/>
        <v>1.0471110667780701</v>
      </c>
      <c r="BO83" s="1160">
        <f t="shared" si="263"/>
        <v>0</v>
      </c>
      <c r="BP83" s="1592">
        <f t="shared" si="228"/>
        <v>4.0502150728380801</v>
      </c>
      <c r="BQ83" s="821">
        <f t="shared" si="229"/>
        <v>4.0502150728380801</v>
      </c>
      <c r="BR83" s="1160">
        <f t="shared" si="264"/>
        <v>0</v>
      </c>
      <c r="BS83" s="1592" t="str">
        <f t="shared" si="230"/>
        <v>--</v>
      </c>
      <c r="BT83" s="821">
        <f t="shared" si="231"/>
        <v>0</v>
      </c>
      <c r="BU83" s="1160">
        <f t="shared" si="265"/>
        <v>0</v>
      </c>
      <c r="BW83" s="75" t="str">
        <f t="shared" si="232"/>
        <v>--</v>
      </c>
      <c r="BX83" s="75" t="str">
        <f t="shared" si="233"/>
        <v xml:space="preserve"> </v>
      </c>
      <c r="BY83" s="75" t="str">
        <f t="shared" si="234"/>
        <v/>
      </c>
      <c r="BZ83" s="75" t="str">
        <f t="shared" si="235"/>
        <v/>
      </c>
      <c r="CA83" s="1670" t="str">
        <f t="shared" si="266"/>
        <v>--</v>
      </c>
      <c r="CB83" s="75" t="str">
        <f t="shared" si="236"/>
        <v>--</v>
      </c>
      <c r="CC83" s="75" t="str">
        <f t="shared" si="237"/>
        <v xml:space="preserve"> </v>
      </c>
      <c r="CD83" s="75" t="str">
        <f t="shared" si="238"/>
        <v/>
      </c>
      <c r="CE83" s="75" t="str">
        <f t="shared" si="239"/>
        <v/>
      </c>
      <c r="CF83" s="1670" t="str">
        <f t="shared" si="267"/>
        <v>--</v>
      </c>
      <c r="CG83" s="75">
        <f t="shared" si="240"/>
        <v>0.3</v>
      </c>
      <c r="CH83" s="75" t="str">
        <f t="shared" si="241"/>
        <v>IRIS 1991</v>
      </c>
      <c r="CI83" s="75">
        <f t="shared" si="242"/>
        <v>0.3</v>
      </c>
      <c r="CJ83" s="75" t="str">
        <f t="shared" si="243"/>
        <v>I</v>
      </c>
      <c r="CK83" s="1670" t="str">
        <f t="shared" si="268"/>
        <v>--</v>
      </c>
      <c r="CL83" s="75" t="str">
        <f t="shared" si="244"/>
        <v>--</v>
      </c>
      <c r="CM83" s="75" t="str">
        <f t="shared" si="245"/>
        <v xml:space="preserve"> </v>
      </c>
      <c r="CN83" s="75" t="str">
        <f t="shared" si="246"/>
        <v/>
      </c>
      <c r="CO83" s="75" t="str">
        <f t="shared" si="247"/>
        <v/>
      </c>
      <c r="CP83" s="1670" t="str">
        <f t="shared" si="269"/>
        <v>--</v>
      </c>
      <c r="CR83" s="1686" t="str">
        <f t="shared" si="270"/>
        <v>--</v>
      </c>
      <c r="CS83" s="1686" t="str">
        <f t="shared" si="271"/>
        <v>--</v>
      </c>
      <c r="CT83" s="1686" t="str">
        <f t="shared" si="272"/>
        <v>--</v>
      </c>
      <c r="CU83" s="1686" t="str">
        <f t="shared" si="273"/>
        <v>--</v>
      </c>
    </row>
    <row r="84" spans="1:99">
      <c r="A84" s="136" t="s">
        <v>237</v>
      </c>
      <c r="B84" s="427" t="s">
        <v>238</v>
      </c>
      <c r="C84" s="1563" t="str">
        <f t="shared" si="183"/>
        <v>O</v>
      </c>
      <c r="D84" t="e">
        <f t="shared" si="184"/>
        <v>#N/A</v>
      </c>
      <c r="E84" s="1563">
        <f t="shared" si="185"/>
        <v>84</v>
      </c>
      <c r="F84">
        <f t="shared" si="186"/>
        <v>84</v>
      </c>
      <c r="G84" s="1160">
        <f t="shared" si="248"/>
        <v>0</v>
      </c>
      <c r="H84" s="1563" t="str">
        <f t="shared" si="187"/>
        <v>V</v>
      </c>
      <c r="I84" t="str">
        <f t="shared" si="188"/>
        <v>V</v>
      </c>
      <c r="J84" s="1160">
        <f t="shared" si="249"/>
        <v>0</v>
      </c>
      <c r="K84" s="1563">
        <f t="shared" si="189"/>
        <v>228.3</v>
      </c>
      <c r="L84">
        <f t="shared" si="190"/>
        <v>228.3</v>
      </c>
      <c r="M84" s="1160">
        <f t="shared" si="250"/>
        <v>0</v>
      </c>
      <c r="N84" s="1563">
        <f t="shared" si="191"/>
        <v>2.1E-7</v>
      </c>
      <c r="O84">
        <f t="shared" si="192"/>
        <v>2.1E-7</v>
      </c>
      <c r="P84" s="1160">
        <f t="shared" si="251"/>
        <v>0</v>
      </c>
      <c r="Q84" s="1563">
        <f t="shared" si="193"/>
        <v>9.4000000000000004E-3</v>
      </c>
      <c r="R84">
        <f t="shared" si="194"/>
        <v>9.4000000000000004E-3</v>
      </c>
      <c r="S84" s="1160">
        <f t="shared" si="252"/>
        <v>0</v>
      </c>
      <c r="T84" s="1563">
        <f t="shared" si="195"/>
        <v>1.2E-5</v>
      </c>
      <c r="U84">
        <f t="shared" si="196"/>
        <v>1.2E-5</v>
      </c>
      <c r="V84" s="1160">
        <f t="shared" si="253"/>
        <v>0</v>
      </c>
      <c r="W84" s="1563">
        <f t="shared" si="197"/>
        <v>4.9059689289000005E-4</v>
      </c>
      <c r="X84">
        <f t="shared" si="198"/>
        <v>4.9059689289000005E-4</v>
      </c>
      <c r="Y84" s="1160">
        <f t="shared" si="254"/>
        <v>0</v>
      </c>
      <c r="Z84" s="1563">
        <f t="shared" si="199"/>
        <v>176900</v>
      </c>
      <c r="AA84">
        <f t="shared" si="200"/>
        <v>176900</v>
      </c>
      <c r="AB84" s="1160">
        <f t="shared" si="255"/>
        <v>0</v>
      </c>
      <c r="AC84" s="1563">
        <f t="shared" si="201"/>
        <v>1061.4000000000001</v>
      </c>
      <c r="AD84" t="str">
        <f t="shared" si="202"/>
        <v/>
      </c>
      <c r="AE84" s="1160">
        <f t="shared" si="256"/>
        <v>1</v>
      </c>
      <c r="AF84" s="1563">
        <f t="shared" si="203"/>
        <v>2.6113777679239999E-2</v>
      </c>
      <c r="AG84">
        <f t="shared" si="204"/>
        <v>2.6113777679239999E-2</v>
      </c>
      <c r="AH84" s="1160">
        <f t="shared" si="257"/>
        <v>0</v>
      </c>
      <c r="AI84" s="1563">
        <f t="shared" si="205"/>
        <v>6.7494732657100002E-6</v>
      </c>
      <c r="AJ84">
        <f t="shared" si="206"/>
        <v>6.7494732657100002E-6</v>
      </c>
      <c r="AK84" s="1160">
        <f t="shared" si="258"/>
        <v>0</v>
      </c>
      <c r="AL84" s="1563">
        <f t="shared" si="207"/>
        <v>29365.474484000002</v>
      </c>
      <c r="AM84" t="e">
        <f t="shared" si="208"/>
        <v>#N/A</v>
      </c>
      <c r="AN84" s="1563">
        <f t="shared" si="209"/>
        <v>9.9781008730156291</v>
      </c>
      <c r="AO84" t="str">
        <f t="shared" si="210"/>
        <v/>
      </c>
      <c r="AP84" s="1160">
        <f t="shared" si="211"/>
        <v>1</v>
      </c>
      <c r="AQ84" s="1563">
        <f t="shared" si="212"/>
        <v>6.833693336496253E-10</v>
      </c>
      <c r="AS84" s="1563">
        <f t="shared" si="213"/>
        <v>4412380.0575060016</v>
      </c>
      <c r="AU84" s="1563">
        <f t="shared" si="214"/>
        <v>4326694.618194377</v>
      </c>
      <c r="AW84" s="1563">
        <f t="shared" si="215"/>
        <v>977304.00641072146</v>
      </c>
      <c r="AY84" s="1592">
        <f t="shared" si="216"/>
        <v>1</v>
      </c>
      <c r="AZ84" s="821">
        <f t="shared" si="217"/>
        <v>1</v>
      </c>
      <c r="BA84" s="1160">
        <f t="shared" si="259"/>
        <v>0</v>
      </c>
      <c r="BB84" s="1592">
        <f t="shared" si="218"/>
        <v>0.13</v>
      </c>
      <c r="BC84" s="821">
        <f t="shared" si="219"/>
        <v>0.13</v>
      </c>
      <c r="BD84" s="1160">
        <f t="shared" si="260"/>
        <v>0</v>
      </c>
      <c r="BE84" s="1592" t="str">
        <f t="shared" si="220"/>
        <v>No</v>
      </c>
      <c r="BF84" s="1592">
        <f t="shared" si="221"/>
        <v>0.55200000000000005</v>
      </c>
      <c r="BG84" s="821">
        <f t="shared" si="222"/>
        <v>0.55200000000000005</v>
      </c>
      <c r="BH84" s="1160">
        <f t="shared" si="261"/>
        <v>0</v>
      </c>
      <c r="BI84" s="1592">
        <f t="shared" si="223"/>
        <v>1</v>
      </c>
      <c r="BJ84" s="1592">
        <f t="shared" si="224"/>
        <v>3.2078842222611401</v>
      </c>
      <c r="BK84" s="821">
        <f t="shared" si="225"/>
        <v>3.2078842222611401</v>
      </c>
      <c r="BL84" s="1160">
        <f t="shared" si="262"/>
        <v>0</v>
      </c>
      <c r="BM84" s="1592">
        <f t="shared" si="226"/>
        <v>1.99677324839304</v>
      </c>
      <c r="BN84" s="821">
        <f t="shared" si="227"/>
        <v>1.99677324839304</v>
      </c>
      <c r="BO84" s="1160">
        <f t="shared" si="263"/>
        <v>0</v>
      </c>
      <c r="BP84" s="1592">
        <f t="shared" si="228"/>
        <v>8.4818237910935093</v>
      </c>
      <c r="BQ84" s="821">
        <f t="shared" si="229"/>
        <v>8.4818237910935093</v>
      </c>
      <c r="BR84" s="1160">
        <f t="shared" si="264"/>
        <v>0</v>
      </c>
      <c r="BS84" s="1592" t="str">
        <f t="shared" si="230"/>
        <v>Yes</v>
      </c>
      <c r="BT84" s="821" t="str">
        <f t="shared" si="231"/>
        <v>M</v>
      </c>
      <c r="BU84" s="1160">
        <f t="shared" si="265"/>
        <v>0</v>
      </c>
      <c r="BW84" s="75">
        <f t="shared" si="232"/>
        <v>0.1</v>
      </c>
      <c r="BX84" s="75" t="str">
        <f t="shared" si="233"/>
        <v>IRIS 2017</v>
      </c>
      <c r="BY84" s="75">
        <f t="shared" si="234"/>
        <v>0.1</v>
      </c>
      <c r="BZ84" s="75" t="str">
        <f t="shared" si="235"/>
        <v>E</v>
      </c>
      <c r="CA84" s="1670" t="str">
        <f t="shared" si="266"/>
        <v>--</v>
      </c>
      <c r="CB84" s="75">
        <f t="shared" si="236"/>
        <v>1.1E-4</v>
      </c>
      <c r="CC84" s="75" t="str">
        <f t="shared" si="237"/>
        <v>OEHHA 2009</v>
      </c>
      <c r="CD84" s="75">
        <f t="shared" si="238"/>
        <v>6.0000000000000002E-5</v>
      </c>
      <c r="CE84" s="75" t="str">
        <f t="shared" si="239"/>
        <v>E</v>
      </c>
      <c r="CF84" s="1671" t="str">
        <f t="shared" si="267"/>
        <v>check</v>
      </c>
      <c r="CG84" s="75" t="str">
        <f t="shared" si="240"/>
        <v>--</v>
      </c>
      <c r="CH84" s="75" t="str">
        <f t="shared" si="241"/>
        <v xml:space="preserve"> </v>
      </c>
      <c r="CI84" s="75" t="str">
        <f t="shared" si="242"/>
        <v/>
      </c>
      <c r="CJ84" s="75" t="str">
        <f t="shared" si="243"/>
        <v/>
      </c>
      <c r="CK84" s="1670" t="str">
        <f t="shared" si="268"/>
        <v>--</v>
      </c>
      <c r="CL84" s="75" t="str">
        <f t="shared" si="244"/>
        <v>--</v>
      </c>
      <c r="CM84" s="75" t="str">
        <f t="shared" si="245"/>
        <v xml:space="preserve"> </v>
      </c>
      <c r="CN84" s="75" t="str">
        <f t="shared" si="246"/>
        <v/>
      </c>
      <c r="CO84" s="75" t="str">
        <f t="shared" si="247"/>
        <v/>
      </c>
      <c r="CP84" s="1670" t="str">
        <f t="shared" si="269"/>
        <v>--</v>
      </c>
      <c r="CR84" s="1686" t="str">
        <f t="shared" si="270"/>
        <v>--</v>
      </c>
      <c r="CS84" s="1686" t="str">
        <f t="shared" si="271"/>
        <v>x</v>
      </c>
      <c r="CT84" s="1686" t="str">
        <f t="shared" si="272"/>
        <v>--</v>
      </c>
      <c r="CU84" s="1686" t="str">
        <f t="shared" si="273"/>
        <v>--</v>
      </c>
    </row>
    <row r="85" spans="1:99">
      <c r="A85" s="136" t="s">
        <v>239</v>
      </c>
      <c r="B85" s="427" t="s">
        <v>240</v>
      </c>
      <c r="C85" s="1563" t="str">
        <f t="shared" si="183"/>
        <v>O</v>
      </c>
      <c r="D85" t="e">
        <f t="shared" si="184"/>
        <v>#N/A</v>
      </c>
      <c r="E85" s="1563">
        <f t="shared" si="185"/>
        <v>176.5</v>
      </c>
      <c r="F85">
        <f t="shared" si="186"/>
        <v>176.5</v>
      </c>
      <c r="G85" s="1160">
        <f t="shared" si="248"/>
        <v>0</v>
      </c>
      <c r="H85" s="1563" t="str">
        <f t="shared" si="187"/>
        <v>NV</v>
      </c>
      <c r="I85">
        <f t="shared" si="188"/>
        <v>0</v>
      </c>
      <c r="J85" s="1160">
        <f t="shared" si="249"/>
        <v>0</v>
      </c>
      <c r="K85" s="1563">
        <f t="shared" si="189"/>
        <v>252.32</v>
      </c>
      <c r="L85">
        <f t="shared" si="190"/>
        <v>252.32</v>
      </c>
      <c r="M85" s="1160">
        <f t="shared" si="250"/>
        <v>0</v>
      </c>
      <c r="N85" s="1563">
        <f t="shared" si="191"/>
        <v>5.4899999999999999E-9</v>
      </c>
      <c r="O85">
        <f t="shared" si="192"/>
        <v>5.4899999999999999E-9</v>
      </c>
      <c r="P85" s="1160">
        <f t="shared" si="251"/>
        <v>0</v>
      </c>
      <c r="Q85" s="1563">
        <f t="shared" si="193"/>
        <v>1.6199999999999999E-3</v>
      </c>
      <c r="R85">
        <f t="shared" si="194"/>
        <v>1.6199999999999999E-3</v>
      </c>
      <c r="S85" s="1160">
        <f t="shared" si="252"/>
        <v>0</v>
      </c>
      <c r="T85" s="1563">
        <f t="shared" si="195"/>
        <v>4.5699999999999998E-7</v>
      </c>
      <c r="U85">
        <f t="shared" si="196"/>
        <v>4.5699999999999998E-7</v>
      </c>
      <c r="V85" s="1160">
        <f t="shared" si="253"/>
        <v>0</v>
      </c>
      <c r="W85" s="1563">
        <f t="shared" si="197"/>
        <v>1.8683564999999999E-5</v>
      </c>
      <c r="X85">
        <f t="shared" si="198"/>
        <v>1.8683564999999999E-5</v>
      </c>
      <c r="Y85" s="1160">
        <f t="shared" si="254"/>
        <v>0</v>
      </c>
      <c r="Z85" s="1563">
        <f t="shared" si="199"/>
        <v>587400</v>
      </c>
      <c r="AA85">
        <f t="shared" si="200"/>
        <v>587400</v>
      </c>
      <c r="AB85" s="1160">
        <f t="shared" si="255"/>
        <v>0</v>
      </c>
      <c r="AC85" s="1563">
        <f t="shared" si="201"/>
        <v>3524.4</v>
      </c>
      <c r="AD85" t="str">
        <f t="shared" si="202"/>
        <v/>
      </c>
      <c r="AE85" s="1160">
        <f t="shared" si="256"/>
        <v>1</v>
      </c>
      <c r="AF85" s="1563">
        <f t="shared" si="203"/>
        <v>2.547643760558E-2</v>
      </c>
      <c r="AG85">
        <f t="shared" si="204"/>
        <v>2.547643760558E-2</v>
      </c>
      <c r="AH85" s="1160">
        <f t="shared" si="257"/>
        <v>0</v>
      </c>
      <c r="AI85" s="1563">
        <f t="shared" si="205"/>
        <v>6.58406296339E-6</v>
      </c>
      <c r="AJ85">
        <f t="shared" si="206"/>
        <v>6.58406296339E-6</v>
      </c>
      <c r="AK85" s="1160">
        <f t="shared" si="258"/>
        <v>0</v>
      </c>
      <c r="AL85" s="1563">
        <f t="shared" si="207"/>
        <v>97508.402836599009</v>
      </c>
      <c r="AM85" t="e">
        <f t="shared" si="208"/>
        <v>#N/A</v>
      </c>
      <c r="AN85" s="1563">
        <f t="shared" si="209"/>
        <v>5.7096900057298612</v>
      </c>
      <c r="AO85" t="str">
        <f t="shared" si="210"/>
        <v/>
      </c>
      <c r="AP85" s="1160">
        <f t="shared" si="211"/>
        <v>1</v>
      </c>
      <c r="AQ85" s="1563" t="str">
        <f t="shared" si="212"/>
        <v>--</v>
      </c>
      <c r="AS85" s="1563" t="str">
        <f t="shared" si="213"/>
        <v>--</v>
      </c>
      <c r="AU85" s="1563" t="str">
        <f t="shared" si="214"/>
        <v>--</v>
      </c>
      <c r="AW85" s="1563" t="str">
        <f t="shared" si="215"/>
        <v>--</v>
      </c>
      <c r="AY85" s="1592">
        <f t="shared" si="216"/>
        <v>1</v>
      </c>
      <c r="AZ85" s="821">
        <f t="shared" si="217"/>
        <v>1</v>
      </c>
      <c r="BA85" s="1160">
        <f t="shared" si="259"/>
        <v>0</v>
      </c>
      <c r="BB85" s="1592">
        <f t="shared" si="218"/>
        <v>0.13</v>
      </c>
      <c r="BC85" s="821">
        <f t="shared" si="219"/>
        <v>0.13</v>
      </c>
      <c r="BD85" s="1160">
        <f t="shared" si="260"/>
        <v>0</v>
      </c>
      <c r="BE85" s="1592" t="str">
        <f t="shared" si="220"/>
        <v>No</v>
      </c>
      <c r="BF85" s="1592">
        <f t="shared" si="221"/>
        <v>0.71299999999999997</v>
      </c>
      <c r="BG85" s="821">
        <f t="shared" si="222"/>
        <v>0.71299999999999997</v>
      </c>
      <c r="BH85" s="1160">
        <f t="shared" si="261"/>
        <v>0</v>
      </c>
      <c r="BI85" s="1592">
        <f t="shared" si="223"/>
        <v>1</v>
      </c>
      <c r="BJ85" s="1592">
        <f t="shared" si="224"/>
        <v>4.3560416128113797</v>
      </c>
      <c r="BK85" s="821">
        <f t="shared" si="225"/>
        <v>4.3560416128113797</v>
      </c>
      <c r="BL85" s="1160">
        <f t="shared" si="262"/>
        <v>0</v>
      </c>
      <c r="BM85" s="1592">
        <f t="shared" si="226"/>
        <v>2.72170311040471</v>
      </c>
      <c r="BN85" s="821">
        <f t="shared" si="227"/>
        <v>2.72170311040471</v>
      </c>
      <c r="BO85" s="1160">
        <f t="shared" si="263"/>
        <v>0</v>
      </c>
      <c r="BP85" s="1592">
        <f t="shared" si="228"/>
        <v>11.8221045485476</v>
      </c>
      <c r="BQ85" s="821">
        <f t="shared" si="229"/>
        <v>11.8221045485476</v>
      </c>
      <c r="BR85" s="1160">
        <f t="shared" si="264"/>
        <v>0</v>
      </c>
      <c r="BS85" s="1592" t="str">
        <f t="shared" si="230"/>
        <v>Yes</v>
      </c>
      <c r="BT85" s="821" t="str">
        <f t="shared" si="231"/>
        <v>M</v>
      </c>
      <c r="BU85" s="1160">
        <f t="shared" si="265"/>
        <v>0</v>
      </c>
      <c r="BW85" s="75">
        <f t="shared" si="232"/>
        <v>1</v>
      </c>
      <c r="BX85" s="75" t="str">
        <f t="shared" si="233"/>
        <v>IRIS 2017</v>
      </c>
      <c r="BY85" s="75">
        <f t="shared" si="234"/>
        <v>1</v>
      </c>
      <c r="BZ85" s="75" t="str">
        <f t="shared" si="235"/>
        <v>I</v>
      </c>
      <c r="CA85" s="1670" t="str">
        <f t="shared" si="266"/>
        <v>--</v>
      </c>
      <c r="CB85" s="75">
        <f t="shared" si="236"/>
        <v>1.1000000000000001E-3</v>
      </c>
      <c r="CC85" s="75" t="str">
        <f t="shared" si="237"/>
        <v>OEHHA 2009</v>
      </c>
      <c r="CD85" s="75">
        <f t="shared" si="238"/>
        <v>5.9999999999999995E-4</v>
      </c>
      <c r="CE85" s="75" t="str">
        <f t="shared" si="239"/>
        <v>I</v>
      </c>
      <c r="CF85" s="1671" t="str">
        <f t="shared" si="267"/>
        <v>check</v>
      </c>
      <c r="CG85" s="75">
        <f t="shared" si="240"/>
        <v>2.9999999999999997E-4</v>
      </c>
      <c r="CH85" s="75" t="str">
        <f t="shared" si="241"/>
        <v>IRIS 2017</v>
      </c>
      <c r="CI85" s="75">
        <f t="shared" si="242"/>
        <v>2.9999999999999997E-4</v>
      </c>
      <c r="CJ85" s="75" t="str">
        <f t="shared" si="243"/>
        <v>I</v>
      </c>
      <c r="CK85" s="1670" t="str">
        <f t="shared" si="268"/>
        <v>--</v>
      </c>
      <c r="CL85" s="75">
        <f t="shared" si="244"/>
        <v>2E-3</v>
      </c>
      <c r="CM85" s="75" t="str">
        <f t="shared" si="245"/>
        <v>IRIS 2017</v>
      </c>
      <c r="CN85" s="75">
        <f t="shared" si="246"/>
        <v>2E-3</v>
      </c>
      <c r="CO85" s="75" t="str">
        <f t="shared" si="247"/>
        <v>I</v>
      </c>
      <c r="CP85" s="1670" t="str">
        <f t="shared" si="269"/>
        <v>--</v>
      </c>
      <c r="CR85" s="1686" t="str">
        <f t="shared" si="270"/>
        <v>--</v>
      </c>
      <c r="CS85" s="1686" t="str">
        <f t="shared" si="271"/>
        <v>x</v>
      </c>
      <c r="CT85" s="1686" t="str">
        <f t="shared" si="272"/>
        <v>--</v>
      </c>
      <c r="CU85" s="1686" t="str">
        <f t="shared" si="273"/>
        <v>--</v>
      </c>
    </row>
    <row r="86" spans="1:99">
      <c r="A86" s="136" t="s">
        <v>241</v>
      </c>
      <c r="B86" s="427" t="s">
        <v>242</v>
      </c>
      <c r="C86" s="1563" t="str">
        <f t="shared" si="183"/>
        <v>O</v>
      </c>
      <c r="D86" t="e">
        <f t="shared" si="184"/>
        <v>#N/A</v>
      </c>
      <c r="E86" s="1563">
        <f t="shared" si="185"/>
        <v>168</v>
      </c>
      <c r="F86">
        <f t="shared" si="186"/>
        <v>168</v>
      </c>
      <c r="G86" s="1160">
        <f t="shared" si="248"/>
        <v>0</v>
      </c>
      <c r="H86" s="1563" t="str">
        <f t="shared" si="187"/>
        <v>NV</v>
      </c>
      <c r="I86">
        <f t="shared" si="188"/>
        <v>0</v>
      </c>
      <c r="J86" s="1160">
        <f t="shared" si="249"/>
        <v>0</v>
      </c>
      <c r="K86" s="1563">
        <f t="shared" si="189"/>
        <v>252.32</v>
      </c>
      <c r="L86">
        <f t="shared" si="190"/>
        <v>252.32</v>
      </c>
      <c r="M86" s="1160">
        <f t="shared" si="250"/>
        <v>0</v>
      </c>
      <c r="N86" s="1563">
        <f t="shared" si="191"/>
        <v>4.9999999999999998E-7</v>
      </c>
      <c r="O86">
        <f t="shared" si="192"/>
        <v>4.9999999999999998E-7</v>
      </c>
      <c r="P86" s="1160">
        <f t="shared" si="251"/>
        <v>0</v>
      </c>
      <c r="Q86" s="1563">
        <f t="shared" si="193"/>
        <v>1.5E-3</v>
      </c>
      <c r="R86">
        <f t="shared" si="194"/>
        <v>1.5E-3</v>
      </c>
      <c r="S86" s="1160">
        <f t="shared" si="252"/>
        <v>0</v>
      </c>
      <c r="T86" s="1563">
        <f t="shared" si="195"/>
        <v>6.5700000000000002E-7</v>
      </c>
      <c r="U86">
        <f t="shared" si="196"/>
        <v>6.5700000000000002E-7</v>
      </c>
      <c r="V86" s="1160">
        <f t="shared" si="253"/>
        <v>0</v>
      </c>
      <c r="W86" s="1563">
        <f t="shared" si="197"/>
        <v>2.6860179890000001E-5</v>
      </c>
      <c r="X86">
        <f t="shared" si="198"/>
        <v>2.6860179890000001E-5</v>
      </c>
      <c r="Y86" s="1160">
        <f t="shared" si="254"/>
        <v>0</v>
      </c>
      <c r="Z86" s="1563">
        <f t="shared" si="199"/>
        <v>599400</v>
      </c>
      <c r="AA86">
        <f t="shared" si="200"/>
        <v>599400</v>
      </c>
      <c r="AB86" s="1160">
        <f t="shared" si="255"/>
        <v>0</v>
      </c>
      <c r="AC86" s="1563">
        <f t="shared" si="201"/>
        <v>3596.4</v>
      </c>
      <c r="AD86" t="str">
        <f t="shared" si="202"/>
        <v/>
      </c>
      <c r="AE86" s="1160">
        <f t="shared" si="256"/>
        <v>1</v>
      </c>
      <c r="AF86" s="1563">
        <f t="shared" si="203"/>
        <v>2.502243175992E-2</v>
      </c>
      <c r="AG86">
        <f t="shared" si="204"/>
        <v>2.502243175992E-2</v>
      </c>
      <c r="AH86" s="1160">
        <f t="shared" si="257"/>
        <v>0</v>
      </c>
      <c r="AI86" s="1563">
        <f t="shared" si="205"/>
        <v>6.4337884593199996E-6</v>
      </c>
      <c r="AJ86">
        <f t="shared" si="206"/>
        <v>6.4337884593199996E-6</v>
      </c>
      <c r="AK86" s="1160">
        <f t="shared" si="258"/>
        <v>0</v>
      </c>
      <c r="AL86" s="1563">
        <f t="shared" si="207"/>
        <v>99500.404077999003</v>
      </c>
      <c r="AM86" t="e">
        <f t="shared" si="208"/>
        <v>#N/A</v>
      </c>
      <c r="AN86" s="1563">
        <f t="shared" si="209"/>
        <v>5.3947500076272776</v>
      </c>
      <c r="AO86" t="str">
        <f t="shared" si="210"/>
        <v/>
      </c>
      <c r="AP86" s="1160">
        <f t="shared" si="211"/>
        <v>1</v>
      </c>
      <c r="AQ86" s="1563" t="str">
        <f t="shared" si="212"/>
        <v>--</v>
      </c>
      <c r="AS86" s="1563" t="str">
        <f t="shared" si="213"/>
        <v>--</v>
      </c>
      <c r="AU86" s="1563" t="str">
        <f t="shared" si="214"/>
        <v>--</v>
      </c>
      <c r="AW86" s="1563" t="str">
        <f t="shared" si="215"/>
        <v>--</v>
      </c>
      <c r="AY86" s="1592">
        <f t="shared" si="216"/>
        <v>1</v>
      </c>
      <c r="AZ86" s="821">
        <f t="shared" si="217"/>
        <v>1</v>
      </c>
      <c r="BA86" s="1160">
        <f t="shared" si="259"/>
        <v>0</v>
      </c>
      <c r="BB86" s="1592">
        <f t="shared" si="218"/>
        <v>0.13</v>
      </c>
      <c r="BC86" s="821">
        <f t="shared" si="219"/>
        <v>0.13</v>
      </c>
      <c r="BD86" s="1160">
        <f t="shared" si="260"/>
        <v>0</v>
      </c>
      <c r="BE86" s="1592" t="str">
        <f t="shared" si="220"/>
        <v>No</v>
      </c>
      <c r="BF86" s="1592">
        <f t="shared" si="221"/>
        <v>0.41699999999999998</v>
      </c>
      <c r="BG86" s="821">
        <f t="shared" si="222"/>
        <v>0.41699999999999998</v>
      </c>
      <c r="BH86" s="1160">
        <f t="shared" si="261"/>
        <v>0</v>
      </c>
      <c r="BI86" s="1592">
        <f t="shared" si="223"/>
        <v>1</v>
      </c>
      <c r="BJ86" s="1592">
        <f t="shared" si="224"/>
        <v>2.5476428506905302</v>
      </c>
      <c r="BK86" s="821">
        <f t="shared" si="225"/>
        <v>2.5476428506905302</v>
      </c>
      <c r="BL86" s="1160">
        <f t="shared" si="262"/>
        <v>0</v>
      </c>
      <c r="BM86" s="1592">
        <f t="shared" si="226"/>
        <v>2.72170311040471</v>
      </c>
      <c r="BN86" s="821">
        <f t="shared" si="227"/>
        <v>2.72170311040471</v>
      </c>
      <c r="BO86" s="1160">
        <f t="shared" si="263"/>
        <v>0</v>
      </c>
      <c r="BP86" s="1592">
        <f t="shared" si="228"/>
        <v>11.342074091747</v>
      </c>
      <c r="BQ86" s="821">
        <f t="shared" si="229"/>
        <v>11.342074091747</v>
      </c>
      <c r="BR86" s="1160">
        <f t="shared" si="264"/>
        <v>0</v>
      </c>
      <c r="BS86" s="1592" t="str">
        <f t="shared" si="230"/>
        <v>Yes</v>
      </c>
      <c r="BT86" s="821" t="str">
        <f t="shared" si="231"/>
        <v>M</v>
      </c>
      <c r="BU86" s="1160">
        <f t="shared" si="265"/>
        <v>0</v>
      </c>
      <c r="BW86" s="75">
        <f t="shared" si="232"/>
        <v>0.1</v>
      </c>
      <c r="BX86" s="75" t="str">
        <f t="shared" si="233"/>
        <v>IRIS 2017</v>
      </c>
      <c r="BY86" s="75">
        <f t="shared" si="234"/>
        <v>0.1</v>
      </c>
      <c r="BZ86" s="75" t="str">
        <f t="shared" si="235"/>
        <v>E</v>
      </c>
      <c r="CA86" s="1670" t="str">
        <f t="shared" si="266"/>
        <v>--</v>
      </c>
      <c r="CB86" s="75">
        <f t="shared" si="236"/>
        <v>1.1E-4</v>
      </c>
      <c r="CC86" s="75" t="str">
        <f t="shared" si="237"/>
        <v>OEHHA 2009</v>
      </c>
      <c r="CD86" s="75">
        <f t="shared" si="238"/>
        <v>6.0000000000000002E-5</v>
      </c>
      <c r="CE86" s="75" t="str">
        <f t="shared" si="239"/>
        <v>E</v>
      </c>
      <c r="CF86" s="1671" t="str">
        <f t="shared" si="267"/>
        <v>check</v>
      </c>
      <c r="CG86" s="75" t="str">
        <f t="shared" si="240"/>
        <v>--</v>
      </c>
      <c r="CH86" s="75" t="str">
        <f t="shared" si="241"/>
        <v xml:space="preserve"> </v>
      </c>
      <c r="CI86" s="75" t="str">
        <f t="shared" si="242"/>
        <v/>
      </c>
      <c r="CJ86" s="75" t="str">
        <f t="shared" si="243"/>
        <v/>
      </c>
      <c r="CK86" s="1670" t="str">
        <f t="shared" si="268"/>
        <v>--</v>
      </c>
      <c r="CL86" s="75" t="str">
        <f t="shared" si="244"/>
        <v>--</v>
      </c>
      <c r="CM86" s="75" t="str">
        <f t="shared" si="245"/>
        <v xml:space="preserve"> </v>
      </c>
      <c r="CN86" s="75" t="str">
        <f t="shared" si="246"/>
        <v/>
      </c>
      <c r="CO86" s="75" t="str">
        <f t="shared" si="247"/>
        <v/>
      </c>
      <c r="CP86" s="1670" t="str">
        <f t="shared" si="269"/>
        <v>--</v>
      </c>
      <c r="CR86" s="1686" t="str">
        <f t="shared" si="270"/>
        <v>--</v>
      </c>
      <c r="CS86" s="1686" t="str">
        <f t="shared" si="271"/>
        <v>x</v>
      </c>
      <c r="CT86" s="1686" t="str">
        <f t="shared" si="272"/>
        <v>--</v>
      </c>
      <c r="CU86" s="1686" t="str">
        <f t="shared" si="273"/>
        <v>--</v>
      </c>
    </row>
    <row r="87" spans="1:99">
      <c r="A87" s="136" t="s">
        <v>243</v>
      </c>
      <c r="B87" s="427" t="s">
        <v>244</v>
      </c>
      <c r="C87" s="1563" t="str">
        <f t="shared" si="183"/>
        <v>O</v>
      </c>
      <c r="D87" t="e">
        <f t="shared" si="184"/>
        <v>#N/A</v>
      </c>
      <c r="E87" s="1563">
        <f t="shared" si="185"/>
        <v>217</v>
      </c>
      <c r="F87">
        <f t="shared" si="186"/>
        <v>217</v>
      </c>
      <c r="G87" s="1160">
        <f t="shared" si="248"/>
        <v>0</v>
      </c>
      <c r="H87" s="1563" t="str">
        <f t="shared" si="187"/>
        <v>NV</v>
      </c>
      <c r="I87">
        <f t="shared" si="188"/>
        <v>0</v>
      </c>
      <c r="J87" s="1160">
        <f t="shared" si="249"/>
        <v>0</v>
      </c>
      <c r="K87" s="1563">
        <f t="shared" si="189"/>
        <v>252.32</v>
      </c>
      <c r="L87">
        <f t="shared" si="190"/>
        <v>252.32</v>
      </c>
      <c r="M87" s="1160">
        <f t="shared" si="250"/>
        <v>0</v>
      </c>
      <c r="N87" s="1563">
        <f t="shared" si="191"/>
        <v>9.6500000000000008E-10</v>
      </c>
      <c r="O87">
        <f t="shared" si="192"/>
        <v>9.6500000000000008E-10</v>
      </c>
      <c r="P87" s="1160">
        <f t="shared" si="251"/>
        <v>0</v>
      </c>
      <c r="Q87" s="1563">
        <f t="shared" si="193"/>
        <v>8.0000000000000004E-4</v>
      </c>
      <c r="R87">
        <f t="shared" si="194"/>
        <v>8.0000000000000004E-4</v>
      </c>
      <c r="S87" s="1160">
        <f t="shared" si="252"/>
        <v>0</v>
      </c>
      <c r="T87" s="1563">
        <f t="shared" si="195"/>
        <v>5.8400000000000004E-7</v>
      </c>
      <c r="U87">
        <f t="shared" si="196"/>
        <v>5.8400000000000004E-7</v>
      </c>
      <c r="V87" s="1160">
        <f t="shared" si="253"/>
        <v>0</v>
      </c>
      <c r="W87" s="1563">
        <f t="shared" si="197"/>
        <v>2.3875715449999999E-5</v>
      </c>
      <c r="X87">
        <f t="shared" si="198"/>
        <v>2.3875715449999999E-5</v>
      </c>
      <c r="Y87" s="1160">
        <f t="shared" si="254"/>
        <v>0</v>
      </c>
      <c r="Z87" s="1563">
        <f t="shared" si="199"/>
        <v>587400</v>
      </c>
      <c r="AA87">
        <f t="shared" si="200"/>
        <v>587400</v>
      </c>
      <c r="AB87" s="1160">
        <f t="shared" si="255"/>
        <v>0</v>
      </c>
      <c r="AC87" s="1563">
        <f t="shared" si="201"/>
        <v>3524.4</v>
      </c>
      <c r="AD87" t="str">
        <f t="shared" si="202"/>
        <v/>
      </c>
      <c r="AE87" s="1160">
        <f t="shared" si="256"/>
        <v>1</v>
      </c>
      <c r="AF87" s="1563">
        <f t="shared" si="203"/>
        <v>2.502243175992E-2</v>
      </c>
      <c r="AG87">
        <f t="shared" si="204"/>
        <v>2.502243175992E-2</v>
      </c>
      <c r="AH87" s="1160">
        <f t="shared" si="257"/>
        <v>0</v>
      </c>
      <c r="AI87" s="1563">
        <f t="shared" si="205"/>
        <v>6.4337884593199996E-6</v>
      </c>
      <c r="AJ87">
        <f t="shared" si="206"/>
        <v>6.4337884593199996E-6</v>
      </c>
      <c r="AK87" s="1160">
        <f t="shared" si="258"/>
        <v>0</v>
      </c>
      <c r="AL87" s="1563">
        <f t="shared" si="207"/>
        <v>97508.403624888015</v>
      </c>
      <c r="AM87" t="e">
        <f t="shared" si="208"/>
        <v>#N/A</v>
      </c>
      <c r="AN87" s="1563">
        <f t="shared" si="209"/>
        <v>2.8196000036158946</v>
      </c>
      <c r="AO87" t="str">
        <f t="shared" si="210"/>
        <v/>
      </c>
      <c r="AP87" s="1160">
        <f t="shared" si="211"/>
        <v>1</v>
      </c>
      <c r="AQ87" s="1563" t="str">
        <f t="shared" si="212"/>
        <v>--</v>
      </c>
      <c r="AS87" s="1563" t="str">
        <f t="shared" si="213"/>
        <v>--</v>
      </c>
      <c r="AU87" s="1563" t="str">
        <f t="shared" si="214"/>
        <v>--</v>
      </c>
      <c r="AW87" s="1563" t="str">
        <f t="shared" si="215"/>
        <v>--</v>
      </c>
      <c r="AY87" s="1592">
        <f t="shared" si="216"/>
        <v>1</v>
      </c>
      <c r="AZ87" s="821">
        <f t="shared" si="217"/>
        <v>1</v>
      </c>
      <c r="BA87" s="1160">
        <f t="shared" si="259"/>
        <v>0</v>
      </c>
      <c r="BB87" s="1592">
        <f t="shared" si="218"/>
        <v>0.13</v>
      </c>
      <c r="BC87" s="821">
        <f t="shared" si="219"/>
        <v>0.13</v>
      </c>
      <c r="BD87" s="1160">
        <f t="shared" si="260"/>
        <v>0</v>
      </c>
      <c r="BE87" s="1592" t="str">
        <f t="shared" si="220"/>
        <v>No</v>
      </c>
      <c r="BF87" s="1592">
        <f t="shared" si="221"/>
        <v>0.69099999999999995</v>
      </c>
      <c r="BG87" s="821">
        <f t="shared" si="222"/>
        <v>0.69099999999999995</v>
      </c>
      <c r="BH87" s="1160">
        <f t="shared" si="261"/>
        <v>0</v>
      </c>
      <c r="BI87" s="1592">
        <f t="shared" si="223"/>
        <v>0.9</v>
      </c>
      <c r="BJ87" s="1592">
        <f t="shared" si="224"/>
        <v>4.22163359670781</v>
      </c>
      <c r="BK87" s="821">
        <f t="shared" si="225"/>
        <v>4.22163359670781</v>
      </c>
      <c r="BL87" s="1160">
        <f t="shared" si="262"/>
        <v>0</v>
      </c>
      <c r="BM87" s="1592">
        <f t="shared" si="226"/>
        <v>2.72170311040471</v>
      </c>
      <c r="BN87" s="821">
        <f t="shared" si="227"/>
        <v>2.72170311040471</v>
      </c>
      <c r="BO87" s="1160">
        <f t="shared" si="263"/>
        <v>0</v>
      </c>
      <c r="BP87" s="1592">
        <f t="shared" si="228"/>
        <v>11.7971618300472</v>
      </c>
      <c r="BQ87" s="821">
        <f t="shared" si="229"/>
        <v>11.7971618300472</v>
      </c>
      <c r="BR87" s="1160">
        <f t="shared" si="264"/>
        <v>0</v>
      </c>
      <c r="BS87" s="1592" t="str">
        <f t="shared" si="230"/>
        <v>Yes</v>
      </c>
      <c r="BT87" s="821" t="str">
        <f t="shared" si="231"/>
        <v>M</v>
      </c>
      <c r="BU87" s="1160">
        <f t="shared" si="265"/>
        <v>0</v>
      </c>
      <c r="BW87" s="75">
        <f t="shared" si="232"/>
        <v>0.01</v>
      </c>
      <c r="BX87" s="75" t="str">
        <f t="shared" si="233"/>
        <v>IRIS 2017</v>
      </c>
      <c r="BY87" s="75">
        <f t="shared" si="234"/>
        <v>0.01</v>
      </c>
      <c r="BZ87" s="75" t="str">
        <f t="shared" si="235"/>
        <v>E</v>
      </c>
      <c r="CA87" s="1670" t="str">
        <f t="shared" si="266"/>
        <v>--</v>
      </c>
      <c r="CB87" s="75">
        <f t="shared" si="236"/>
        <v>1.1E-4</v>
      </c>
      <c r="CC87" s="75" t="str">
        <f t="shared" si="237"/>
        <v>OEHHA 2009</v>
      </c>
      <c r="CD87" s="75">
        <f t="shared" si="238"/>
        <v>6.0000000000000002E-6</v>
      </c>
      <c r="CE87" s="75" t="str">
        <f t="shared" si="239"/>
        <v>E</v>
      </c>
      <c r="CF87" s="1671" t="str">
        <f t="shared" si="267"/>
        <v>check</v>
      </c>
      <c r="CG87" s="75" t="str">
        <f t="shared" si="240"/>
        <v>--</v>
      </c>
      <c r="CH87" s="75" t="str">
        <f t="shared" si="241"/>
        <v xml:space="preserve"> </v>
      </c>
      <c r="CI87" s="75" t="str">
        <f t="shared" si="242"/>
        <v/>
      </c>
      <c r="CJ87" s="75" t="str">
        <f t="shared" si="243"/>
        <v/>
      </c>
      <c r="CK87" s="1670" t="str">
        <f t="shared" si="268"/>
        <v>--</v>
      </c>
      <c r="CL87" s="75" t="str">
        <f t="shared" si="244"/>
        <v>--</v>
      </c>
      <c r="CM87" s="75" t="str">
        <f t="shared" si="245"/>
        <v xml:space="preserve"> </v>
      </c>
      <c r="CN87" s="75" t="str">
        <f t="shared" si="246"/>
        <v/>
      </c>
      <c r="CO87" s="75" t="str">
        <f t="shared" si="247"/>
        <v/>
      </c>
      <c r="CP87" s="1670" t="str">
        <f t="shared" si="269"/>
        <v>--</v>
      </c>
      <c r="CR87" s="1686" t="str">
        <f t="shared" si="270"/>
        <v>--</v>
      </c>
      <c r="CS87" s="1686" t="str">
        <f t="shared" si="271"/>
        <v>x</v>
      </c>
      <c r="CT87" s="1686" t="str">
        <f t="shared" si="272"/>
        <v>--</v>
      </c>
      <c r="CU87" s="1686" t="str">
        <f t="shared" si="273"/>
        <v>--</v>
      </c>
    </row>
    <row r="88" spans="1:99">
      <c r="A88" s="136" t="s">
        <v>245</v>
      </c>
      <c r="B88" s="427" t="s">
        <v>246</v>
      </c>
      <c r="C88" s="1563" t="str">
        <f t="shared" si="183"/>
        <v>O</v>
      </c>
      <c r="D88" t="e">
        <f t="shared" si="184"/>
        <v>#N/A</v>
      </c>
      <c r="E88" s="1563">
        <f t="shared" si="185"/>
        <v>258.2</v>
      </c>
      <c r="F88">
        <f t="shared" si="186"/>
        <v>258.2</v>
      </c>
      <c r="G88" s="1160">
        <f t="shared" si="248"/>
        <v>0</v>
      </c>
      <c r="H88" s="1563" t="str">
        <f t="shared" si="187"/>
        <v>NV</v>
      </c>
      <c r="I88">
        <f t="shared" si="188"/>
        <v>0</v>
      </c>
      <c r="J88" s="1160">
        <f t="shared" si="249"/>
        <v>0</v>
      </c>
      <c r="K88" s="1563">
        <f t="shared" si="189"/>
        <v>228.3</v>
      </c>
      <c r="L88">
        <f t="shared" si="190"/>
        <v>228.3</v>
      </c>
      <c r="M88" s="1160">
        <f t="shared" si="250"/>
        <v>0</v>
      </c>
      <c r="N88" s="1563">
        <f t="shared" si="191"/>
        <v>6.2300000000000002E-9</v>
      </c>
      <c r="O88">
        <f t="shared" si="192"/>
        <v>6.2300000000000002E-9</v>
      </c>
      <c r="P88" s="1160">
        <f t="shared" si="251"/>
        <v>0</v>
      </c>
      <c r="Q88" s="1563">
        <f t="shared" si="193"/>
        <v>2E-3</v>
      </c>
      <c r="R88">
        <f t="shared" si="194"/>
        <v>2E-3</v>
      </c>
      <c r="S88" s="1160">
        <f t="shared" si="252"/>
        <v>0</v>
      </c>
      <c r="T88" s="1563">
        <f t="shared" si="195"/>
        <v>5.2299999999999999E-6</v>
      </c>
      <c r="U88">
        <f t="shared" si="196"/>
        <v>5.2299999999999999E-6</v>
      </c>
      <c r="V88" s="1160">
        <f t="shared" si="253"/>
        <v>0</v>
      </c>
      <c r="W88" s="1563">
        <f t="shared" si="197"/>
        <v>2.1381847915000001E-4</v>
      </c>
      <c r="X88">
        <f t="shared" si="198"/>
        <v>2.1381847915000001E-4</v>
      </c>
      <c r="Y88" s="1160">
        <f t="shared" si="254"/>
        <v>0</v>
      </c>
      <c r="Z88" s="1563">
        <f t="shared" si="199"/>
        <v>180500</v>
      </c>
      <c r="AA88">
        <f t="shared" si="200"/>
        <v>180500</v>
      </c>
      <c r="AB88" s="1160">
        <f t="shared" si="255"/>
        <v>0</v>
      </c>
      <c r="AC88" s="1563">
        <f t="shared" si="201"/>
        <v>1083</v>
      </c>
      <c r="AD88" t="str">
        <f t="shared" si="202"/>
        <v/>
      </c>
      <c r="AE88" s="1160">
        <f t="shared" si="256"/>
        <v>1</v>
      </c>
      <c r="AF88" s="1563">
        <f t="shared" si="203"/>
        <v>2.6113777679239999E-2</v>
      </c>
      <c r="AG88">
        <f t="shared" si="204"/>
        <v>2.6113777679239999E-2</v>
      </c>
      <c r="AH88" s="1160">
        <f t="shared" si="257"/>
        <v>0</v>
      </c>
      <c r="AI88" s="1563">
        <f t="shared" si="205"/>
        <v>6.7494732657100002E-6</v>
      </c>
      <c r="AJ88">
        <f t="shared" si="206"/>
        <v>6.7494732657100002E-6</v>
      </c>
      <c r="AK88" s="1160">
        <f t="shared" si="258"/>
        <v>0</v>
      </c>
      <c r="AL88" s="1563">
        <f t="shared" si="207"/>
        <v>29963.032462610001</v>
      </c>
      <c r="AM88" t="e">
        <f t="shared" si="208"/>
        <v>#N/A</v>
      </c>
      <c r="AN88" s="1563">
        <f t="shared" si="209"/>
        <v>2.1662000809551727</v>
      </c>
      <c r="AO88" t="str">
        <f t="shared" si="210"/>
        <v/>
      </c>
      <c r="AP88" s="1160">
        <f t="shared" si="211"/>
        <v>1</v>
      </c>
      <c r="AQ88" s="1563" t="str">
        <f t="shared" si="212"/>
        <v>--</v>
      </c>
      <c r="AS88" s="1563" t="str">
        <f t="shared" si="213"/>
        <v>--</v>
      </c>
      <c r="AU88" s="1563" t="str">
        <f t="shared" si="214"/>
        <v>--</v>
      </c>
      <c r="AW88" s="1563" t="str">
        <f t="shared" si="215"/>
        <v>--</v>
      </c>
      <c r="AY88" s="1592">
        <f t="shared" si="216"/>
        <v>1</v>
      </c>
      <c r="AZ88" s="821">
        <f t="shared" si="217"/>
        <v>1</v>
      </c>
      <c r="BA88" s="1160">
        <f t="shared" si="259"/>
        <v>0</v>
      </c>
      <c r="BB88" s="1592">
        <f t="shared" si="218"/>
        <v>0.13</v>
      </c>
      <c r="BC88" s="821">
        <f t="shared" si="219"/>
        <v>0.13</v>
      </c>
      <c r="BD88" s="1160">
        <f t="shared" si="260"/>
        <v>0</v>
      </c>
      <c r="BE88" s="1592" t="str">
        <f t="shared" si="220"/>
        <v>No</v>
      </c>
      <c r="BF88" s="1592">
        <f t="shared" si="221"/>
        <v>0.59599999999999997</v>
      </c>
      <c r="BG88" s="821">
        <f t="shared" si="222"/>
        <v>0.59599999999999997</v>
      </c>
      <c r="BH88" s="1160">
        <f t="shared" si="261"/>
        <v>0</v>
      </c>
      <c r="BI88" s="1592">
        <f t="shared" si="223"/>
        <v>1</v>
      </c>
      <c r="BJ88" s="1592">
        <f t="shared" si="224"/>
        <v>3.4635851385283298</v>
      </c>
      <c r="BK88" s="821">
        <f t="shared" si="225"/>
        <v>3.4635851385283298</v>
      </c>
      <c r="BL88" s="1160">
        <f t="shared" si="262"/>
        <v>0</v>
      </c>
      <c r="BM88" s="1592">
        <f t="shared" si="226"/>
        <v>1.99677324839304</v>
      </c>
      <c r="BN88" s="821">
        <f t="shared" si="227"/>
        <v>1.99677324839304</v>
      </c>
      <c r="BO88" s="1160">
        <f t="shared" si="263"/>
        <v>0</v>
      </c>
      <c r="BP88" s="1592">
        <f t="shared" si="228"/>
        <v>8.5324002686394103</v>
      </c>
      <c r="BQ88" s="821">
        <f t="shared" si="229"/>
        <v>8.5324002686394103</v>
      </c>
      <c r="BR88" s="1160">
        <f t="shared" si="264"/>
        <v>0</v>
      </c>
      <c r="BS88" s="1592" t="str">
        <f t="shared" si="230"/>
        <v>Yes</v>
      </c>
      <c r="BT88" s="821" t="str">
        <f t="shared" si="231"/>
        <v>M</v>
      </c>
      <c r="BU88" s="1160">
        <f t="shared" si="265"/>
        <v>0</v>
      </c>
      <c r="BW88" s="75">
        <f t="shared" si="232"/>
        <v>1E-3</v>
      </c>
      <c r="BX88" s="75" t="str">
        <f t="shared" si="233"/>
        <v>IRIS 2017</v>
      </c>
      <c r="BY88" s="75">
        <f t="shared" si="234"/>
        <v>1E-3</v>
      </c>
      <c r="BZ88" s="75" t="str">
        <f t="shared" si="235"/>
        <v>E</v>
      </c>
      <c r="CA88" s="1670" t="str">
        <f t="shared" si="266"/>
        <v>--</v>
      </c>
      <c r="CB88" s="75">
        <f t="shared" si="236"/>
        <v>1.1E-5</v>
      </c>
      <c r="CC88" s="75" t="str">
        <f t="shared" si="237"/>
        <v>OEHHA 2009</v>
      </c>
      <c r="CD88" s="75">
        <f t="shared" si="238"/>
        <v>5.9999999999999997E-7</v>
      </c>
      <c r="CE88" s="75" t="str">
        <f t="shared" si="239"/>
        <v>E</v>
      </c>
      <c r="CF88" s="1671" t="str">
        <f t="shared" si="267"/>
        <v>check</v>
      </c>
      <c r="CG88" s="75" t="str">
        <f t="shared" si="240"/>
        <v>--</v>
      </c>
      <c r="CH88" s="75" t="str">
        <f t="shared" si="241"/>
        <v xml:space="preserve"> </v>
      </c>
      <c r="CI88" s="75" t="str">
        <f t="shared" si="242"/>
        <v/>
      </c>
      <c r="CJ88" s="75" t="str">
        <f t="shared" si="243"/>
        <v/>
      </c>
      <c r="CK88" s="1670" t="str">
        <f t="shared" si="268"/>
        <v>--</v>
      </c>
      <c r="CL88" s="75" t="str">
        <f t="shared" si="244"/>
        <v>--</v>
      </c>
      <c r="CM88" s="75" t="str">
        <f t="shared" si="245"/>
        <v xml:space="preserve"> </v>
      </c>
      <c r="CN88" s="75" t="str">
        <f t="shared" si="246"/>
        <v/>
      </c>
      <c r="CO88" s="75" t="str">
        <f t="shared" si="247"/>
        <v/>
      </c>
      <c r="CP88" s="1670" t="str">
        <f t="shared" si="269"/>
        <v>--</v>
      </c>
      <c r="CR88" s="1686" t="str">
        <f t="shared" si="270"/>
        <v>--</v>
      </c>
      <c r="CS88" s="1686" t="str">
        <f t="shared" si="271"/>
        <v>x</v>
      </c>
      <c r="CT88" s="1686" t="str">
        <f t="shared" si="272"/>
        <v>--</v>
      </c>
      <c r="CU88" s="1686" t="str">
        <f t="shared" si="273"/>
        <v>--</v>
      </c>
    </row>
    <row r="89" spans="1:99">
      <c r="A89" s="136" t="s">
        <v>247</v>
      </c>
      <c r="B89" s="427" t="s">
        <v>248</v>
      </c>
      <c r="C89" s="1563" t="str">
        <f t="shared" si="183"/>
        <v>O</v>
      </c>
      <c r="D89" t="e">
        <f t="shared" si="184"/>
        <v>#N/A</v>
      </c>
      <c r="E89" s="1563">
        <f t="shared" si="185"/>
        <v>269.5</v>
      </c>
      <c r="F89">
        <f t="shared" si="186"/>
        <v>269.5</v>
      </c>
      <c r="G89" s="1160">
        <f t="shared" si="248"/>
        <v>0</v>
      </c>
      <c r="H89" s="1563" t="str">
        <f t="shared" si="187"/>
        <v>NV</v>
      </c>
      <c r="I89">
        <f t="shared" si="188"/>
        <v>0</v>
      </c>
      <c r="J89" s="1160">
        <f t="shared" si="249"/>
        <v>0</v>
      </c>
      <c r="K89" s="1563">
        <f t="shared" si="189"/>
        <v>278.36</v>
      </c>
      <c r="L89">
        <f t="shared" si="190"/>
        <v>278.36</v>
      </c>
      <c r="M89" s="1160">
        <f t="shared" si="250"/>
        <v>0</v>
      </c>
      <c r="N89" s="1563">
        <f t="shared" si="191"/>
        <v>9.5499999999999991E-10</v>
      </c>
      <c r="O89">
        <f t="shared" si="192"/>
        <v>9.5499999999999991E-10</v>
      </c>
      <c r="P89" s="1160">
        <f t="shared" si="251"/>
        <v>0</v>
      </c>
      <c r="Q89" s="1563">
        <f t="shared" si="193"/>
        <v>2.49E-3</v>
      </c>
      <c r="R89">
        <f t="shared" si="194"/>
        <v>2.49E-3</v>
      </c>
      <c r="S89" s="1160">
        <f t="shared" si="252"/>
        <v>0</v>
      </c>
      <c r="T89" s="1563">
        <f t="shared" si="195"/>
        <v>1.4100000000000001E-7</v>
      </c>
      <c r="U89">
        <f t="shared" si="196"/>
        <v>1.4100000000000001E-7</v>
      </c>
      <c r="V89" s="1160">
        <f t="shared" si="253"/>
        <v>0</v>
      </c>
      <c r="W89" s="1563">
        <f t="shared" si="197"/>
        <v>5.7645134914099999E-6</v>
      </c>
      <c r="X89">
        <f t="shared" si="198"/>
        <v>5.7645134914099999E-6</v>
      </c>
      <c r="Y89" s="1160">
        <f t="shared" si="254"/>
        <v>0</v>
      </c>
      <c r="Z89" s="1563">
        <f t="shared" si="199"/>
        <v>1912000</v>
      </c>
      <c r="AA89">
        <f t="shared" si="200"/>
        <v>1912000</v>
      </c>
      <c r="AB89" s="1160">
        <f t="shared" si="255"/>
        <v>0</v>
      </c>
      <c r="AC89" s="1563">
        <f t="shared" si="201"/>
        <v>11472</v>
      </c>
      <c r="AD89" t="str">
        <f t="shared" si="202"/>
        <v/>
      </c>
      <c r="AE89" s="1160">
        <f t="shared" si="256"/>
        <v>1</v>
      </c>
      <c r="AF89" s="1563">
        <f t="shared" si="203"/>
        <v>2.3619333430940002E-2</v>
      </c>
      <c r="AG89">
        <f t="shared" si="204"/>
        <v>2.3619333430940002E-2</v>
      </c>
      <c r="AH89" s="1160">
        <f t="shared" si="257"/>
        <v>0</v>
      </c>
      <c r="AI89" s="1563">
        <f t="shared" si="205"/>
        <v>6.0150672880599997E-6</v>
      </c>
      <c r="AJ89">
        <f t="shared" si="206"/>
        <v>6.0150672880599997E-6</v>
      </c>
      <c r="AK89" s="1160">
        <f t="shared" si="258"/>
        <v>0</v>
      </c>
      <c r="AL89" s="1563">
        <f t="shared" si="207"/>
        <v>317392.00087518699</v>
      </c>
      <c r="AM89" t="e">
        <f t="shared" si="208"/>
        <v>#N/A</v>
      </c>
      <c r="AN89" s="1563">
        <f t="shared" si="209"/>
        <v>28.565529002717266</v>
      </c>
      <c r="AO89" t="str">
        <f t="shared" si="210"/>
        <v/>
      </c>
      <c r="AP89" s="1160">
        <f t="shared" si="211"/>
        <v>1</v>
      </c>
      <c r="AQ89" s="1563" t="str">
        <f t="shared" si="212"/>
        <v>--</v>
      </c>
      <c r="AS89" s="1563" t="str">
        <f t="shared" si="213"/>
        <v>--</v>
      </c>
      <c r="AU89" s="1563" t="str">
        <f t="shared" si="214"/>
        <v>--</v>
      </c>
      <c r="AW89" s="1563" t="str">
        <f t="shared" si="215"/>
        <v>--</v>
      </c>
      <c r="AY89" s="1592">
        <f t="shared" si="216"/>
        <v>1</v>
      </c>
      <c r="AZ89" s="821">
        <f t="shared" si="217"/>
        <v>1</v>
      </c>
      <c r="BA89" s="1160">
        <f t="shared" si="259"/>
        <v>0</v>
      </c>
      <c r="BB89" s="1592">
        <f t="shared" si="218"/>
        <v>0.13</v>
      </c>
      <c r="BC89" s="821">
        <f t="shared" si="219"/>
        <v>0.13</v>
      </c>
      <c r="BD89" s="1160">
        <f t="shared" si="260"/>
        <v>0</v>
      </c>
      <c r="BE89" s="1592" t="str">
        <f t="shared" si="220"/>
        <v>No</v>
      </c>
      <c r="BF89" s="1592">
        <f t="shared" si="221"/>
        <v>0.95299999999999996</v>
      </c>
      <c r="BG89" s="821">
        <f t="shared" si="222"/>
        <v>0.95299999999999996</v>
      </c>
      <c r="BH89" s="1160">
        <f t="shared" si="261"/>
        <v>0</v>
      </c>
      <c r="BI89" s="1592">
        <f t="shared" si="223"/>
        <v>0.6</v>
      </c>
      <c r="BJ89" s="1592">
        <f t="shared" si="224"/>
        <v>6.1153732128582599</v>
      </c>
      <c r="BK89" s="821">
        <f t="shared" si="225"/>
        <v>6.1153732128582599</v>
      </c>
      <c r="BL89" s="1160">
        <f t="shared" si="262"/>
        <v>0</v>
      </c>
      <c r="BM89" s="1592">
        <f t="shared" si="226"/>
        <v>3.8077177598421001</v>
      </c>
      <c r="BN89" s="821">
        <f t="shared" si="227"/>
        <v>3.8077177598421001</v>
      </c>
      <c r="BO89" s="1160">
        <f t="shared" si="263"/>
        <v>0</v>
      </c>
      <c r="BP89" s="1592">
        <f t="shared" si="228"/>
        <v>16.878565185445101</v>
      </c>
      <c r="BQ89" s="821">
        <f t="shared" si="229"/>
        <v>16.878565185445101</v>
      </c>
      <c r="BR89" s="1160">
        <f t="shared" si="264"/>
        <v>0</v>
      </c>
      <c r="BS89" s="1592" t="str">
        <f t="shared" si="230"/>
        <v>Yes</v>
      </c>
      <c r="BT89" s="821" t="str">
        <f t="shared" si="231"/>
        <v>M</v>
      </c>
      <c r="BU89" s="1160">
        <f t="shared" si="265"/>
        <v>0</v>
      </c>
      <c r="BW89" s="75">
        <f t="shared" si="232"/>
        <v>4.0999999999999996</v>
      </c>
      <c r="BX89" s="75" t="str">
        <f t="shared" si="233"/>
        <v>OEHHA 1992</v>
      </c>
      <c r="BY89" s="75">
        <f t="shared" si="234"/>
        <v>1</v>
      </c>
      <c r="BZ89" s="75" t="str">
        <f t="shared" si="235"/>
        <v>E</v>
      </c>
      <c r="CA89" s="1671" t="str">
        <f t="shared" si="266"/>
        <v>check</v>
      </c>
      <c r="CB89" s="75">
        <f t="shared" si="236"/>
        <v>1.1999999999999999E-3</v>
      </c>
      <c r="CC89" s="75" t="str">
        <f t="shared" si="237"/>
        <v>OEHHA 2009</v>
      </c>
      <c r="CD89" s="75">
        <f t="shared" si="238"/>
        <v>5.9999999999999995E-4</v>
      </c>
      <c r="CE89" s="75" t="str">
        <f t="shared" si="239"/>
        <v>E</v>
      </c>
      <c r="CF89" s="1671" t="str">
        <f t="shared" si="267"/>
        <v>check</v>
      </c>
      <c r="CG89" s="75" t="str">
        <f t="shared" si="240"/>
        <v>--</v>
      </c>
      <c r="CH89" s="75" t="str">
        <f t="shared" si="241"/>
        <v xml:space="preserve"> </v>
      </c>
      <c r="CI89" s="75" t="str">
        <f t="shared" si="242"/>
        <v/>
      </c>
      <c r="CJ89" s="75" t="str">
        <f t="shared" si="243"/>
        <v/>
      </c>
      <c r="CK89" s="1670" t="str">
        <f t="shared" si="268"/>
        <v>--</v>
      </c>
      <c r="CL89" s="75" t="str">
        <f t="shared" si="244"/>
        <v>--</v>
      </c>
      <c r="CM89" s="75" t="str">
        <f t="shared" si="245"/>
        <v xml:space="preserve"> </v>
      </c>
      <c r="CN89" s="75" t="str">
        <f t="shared" si="246"/>
        <v/>
      </c>
      <c r="CO89" s="75" t="str">
        <f t="shared" si="247"/>
        <v/>
      </c>
      <c r="CP89" s="1670" t="str">
        <f t="shared" si="269"/>
        <v>--</v>
      </c>
      <c r="CR89" s="1686" t="str">
        <f t="shared" si="270"/>
        <v>x</v>
      </c>
      <c r="CS89" s="1686" t="str">
        <f t="shared" si="271"/>
        <v>x</v>
      </c>
      <c r="CT89" s="1686" t="str">
        <f t="shared" si="272"/>
        <v>--</v>
      </c>
      <c r="CU89" s="1686" t="str">
        <f t="shared" si="273"/>
        <v>--</v>
      </c>
    </row>
    <row r="90" spans="1:99">
      <c r="A90" s="136" t="s">
        <v>249</v>
      </c>
      <c r="B90" s="427" t="s">
        <v>250</v>
      </c>
      <c r="C90" s="1563" t="str">
        <f t="shared" si="183"/>
        <v>O</v>
      </c>
      <c r="D90" t="e">
        <f t="shared" si="184"/>
        <v>#N/A</v>
      </c>
      <c r="E90" s="1563">
        <f t="shared" si="185"/>
        <v>107.8</v>
      </c>
      <c r="F90">
        <f t="shared" si="186"/>
        <v>107.8</v>
      </c>
      <c r="G90" s="1160">
        <f t="shared" si="248"/>
        <v>0</v>
      </c>
      <c r="H90" s="1563" t="str">
        <f t="shared" si="187"/>
        <v>NV</v>
      </c>
      <c r="I90">
        <f t="shared" si="188"/>
        <v>0</v>
      </c>
      <c r="J90" s="1160">
        <f t="shared" si="249"/>
        <v>0</v>
      </c>
      <c r="K90" s="1563">
        <f t="shared" si="189"/>
        <v>202.26</v>
      </c>
      <c r="L90">
        <f t="shared" si="190"/>
        <v>202.26</v>
      </c>
      <c r="M90" s="1160">
        <f t="shared" si="250"/>
        <v>0</v>
      </c>
      <c r="N90" s="1563">
        <f t="shared" si="191"/>
        <v>9.2199999999999998E-6</v>
      </c>
      <c r="O90">
        <f t="shared" si="192"/>
        <v>9.2199999999999998E-6</v>
      </c>
      <c r="P90" s="1160">
        <f t="shared" si="251"/>
        <v>0</v>
      </c>
      <c r="Q90" s="1563">
        <f t="shared" si="193"/>
        <v>0.26</v>
      </c>
      <c r="R90">
        <f t="shared" si="194"/>
        <v>0.26</v>
      </c>
      <c r="S90" s="1160">
        <f t="shared" si="252"/>
        <v>0</v>
      </c>
      <c r="T90" s="1563">
        <f t="shared" si="195"/>
        <v>8.8599999999999999E-6</v>
      </c>
      <c r="U90">
        <f t="shared" si="196"/>
        <v>8.8599999999999999E-6</v>
      </c>
      <c r="V90" s="1160">
        <f t="shared" si="253"/>
        <v>0</v>
      </c>
      <c r="W90" s="1563">
        <f t="shared" si="197"/>
        <v>3.6222403925000003E-4</v>
      </c>
      <c r="X90">
        <f t="shared" si="198"/>
        <v>3.6222403925000003E-4</v>
      </c>
      <c r="Y90" s="1160">
        <f t="shared" si="254"/>
        <v>0</v>
      </c>
      <c r="Z90" s="1563">
        <f t="shared" si="199"/>
        <v>55450</v>
      </c>
      <c r="AA90">
        <f t="shared" si="200"/>
        <v>55450</v>
      </c>
      <c r="AB90" s="1160">
        <f t="shared" si="255"/>
        <v>0</v>
      </c>
      <c r="AC90" s="1563">
        <f t="shared" si="201"/>
        <v>332.7</v>
      </c>
      <c r="AD90" t="str">
        <f t="shared" si="202"/>
        <v/>
      </c>
      <c r="AE90" s="1160">
        <f t="shared" si="256"/>
        <v>1</v>
      </c>
      <c r="AF90" s="1563">
        <f t="shared" si="203"/>
        <v>2.7595746957609999E-2</v>
      </c>
      <c r="AG90">
        <f t="shared" si="204"/>
        <v>2.7595746957609999E-2</v>
      </c>
      <c r="AH90" s="1160">
        <f t="shared" si="257"/>
        <v>0</v>
      </c>
      <c r="AI90" s="1563">
        <f t="shared" si="205"/>
        <v>7.1827105768400001E-6</v>
      </c>
      <c r="AJ90">
        <f t="shared" si="206"/>
        <v>7.1827105768400001E-6</v>
      </c>
      <c r="AK90" s="1160">
        <f t="shared" si="258"/>
        <v>0</v>
      </c>
      <c r="AL90" s="1563">
        <f t="shared" si="207"/>
        <v>9204.7549940200006</v>
      </c>
      <c r="AM90" t="e">
        <f t="shared" si="208"/>
        <v>#N/A</v>
      </c>
      <c r="AN90" s="1563">
        <f t="shared" si="209"/>
        <v>86.528017828712763</v>
      </c>
      <c r="AO90" t="str">
        <f t="shared" si="210"/>
        <v/>
      </c>
      <c r="AP90" s="1160">
        <f t="shared" si="211"/>
        <v>1</v>
      </c>
      <c r="AQ90" s="1563" t="str">
        <f t="shared" si="212"/>
        <v>--</v>
      </c>
      <c r="AS90" s="1563" t="str">
        <f t="shared" si="213"/>
        <v>--</v>
      </c>
      <c r="AU90" s="1563" t="str">
        <f t="shared" si="214"/>
        <v>--</v>
      </c>
      <c r="AW90" s="1563" t="str">
        <f t="shared" si="215"/>
        <v>--</v>
      </c>
      <c r="AY90" s="1592">
        <f t="shared" si="216"/>
        <v>1</v>
      </c>
      <c r="AZ90" s="821">
        <f t="shared" si="217"/>
        <v>1</v>
      </c>
      <c r="BA90" s="1160">
        <f t="shared" si="259"/>
        <v>0</v>
      </c>
      <c r="BB90" s="1592">
        <f t="shared" si="218"/>
        <v>0.13</v>
      </c>
      <c r="BC90" s="821">
        <f t="shared" si="219"/>
        <v>0.13</v>
      </c>
      <c r="BD90" s="1160">
        <f t="shared" si="260"/>
        <v>0</v>
      </c>
      <c r="BE90" s="1592" t="str">
        <f t="shared" si="220"/>
        <v>No</v>
      </c>
      <c r="BF90" s="1592">
        <f t="shared" si="221"/>
        <v>0.308</v>
      </c>
      <c r="BG90" s="821">
        <f t="shared" si="222"/>
        <v>0.308</v>
      </c>
      <c r="BH90" s="1160">
        <f t="shared" si="261"/>
        <v>0</v>
      </c>
      <c r="BI90" s="1592">
        <f t="shared" si="223"/>
        <v>1</v>
      </c>
      <c r="BJ90" s="1592">
        <f t="shared" si="224"/>
        <v>1.6847379934306901</v>
      </c>
      <c r="BK90" s="821">
        <f t="shared" si="225"/>
        <v>1.6847379934306901</v>
      </c>
      <c r="BL90" s="1160">
        <f t="shared" si="262"/>
        <v>0</v>
      </c>
      <c r="BM90" s="1592">
        <f t="shared" si="226"/>
        <v>1.42726543921932</v>
      </c>
      <c r="BN90" s="821">
        <f t="shared" si="227"/>
        <v>1.42726543921932</v>
      </c>
      <c r="BO90" s="1160">
        <f t="shared" si="263"/>
        <v>0</v>
      </c>
      <c r="BP90" s="1592">
        <f t="shared" si="228"/>
        <v>5.7297979152854701</v>
      </c>
      <c r="BQ90" s="821">
        <f t="shared" si="229"/>
        <v>5.7297979152854701</v>
      </c>
      <c r="BR90" s="1160">
        <f t="shared" si="264"/>
        <v>0</v>
      </c>
      <c r="BS90" s="1592" t="str">
        <f t="shared" si="230"/>
        <v>--</v>
      </c>
      <c r="BT90" s="821">
        <f t="shared" si="231"/>
        <v>0</v>
      </c>
      <c r="BU90" s="1160">
        <f t="shared" si="265"/>
        <v>0</v>
      </c>
      <c r="BW90" s="75" t="str">
        <f t="shared" si="232"/>
        <v>--</v>
      </c>
      <c r="BX90" s="75" t="str">
        <f t="shared" si="233"/>
        <v xml:space="preserve"> </v>
      </c>
      <c r="BY90" s="75" t="str">
        <f t="shared" si="234"/>
        <v/>
      </c>
      <c r="BZ90" s="75" t="str">
        <f t="shared" si="235"/>
        <v/>
      </c>
      <c r="CA90" s="1670" t="str">
        <f t="shared" si="266"/>
        <v>--</v>
      </c>
      <c r="CB90" s="75" t="str">
        <f t="shared" si="236"/>
        <v>--</v>
      </c>
      <c r="CC90" s="75" t="str">
        <f t="shared" si="237"/>
        <v xml:space="preserve"> </v>
      </c>
      <c r="CD90" s="75" t="str">
        <f t="shared" si="238"/>
        <v/>
      </c>
      <c r="CE90" s="75" t="str">
        <f t="shared" si="239"/>
        <v/>
      </c>
      <c r="CF90" s="1670" t="str">
        <f t="shared" si="267"/>
        <v>--</v>
      </c>
      <c r="CG90" s="75">
        <f t="shared" si="240"/>
        <v>0.04</v>
      </c>
      <c r="CH90" s="75" t="str">
        <f t="shared" si="241"/>
        <v>IRIS 1990</v>
      </c>
      <c r="CI90" s="75">
        <f t="shared" si="242"/>
        <v>0.04</v>
      </c>
      <c r="CJ90" s="75" t="str">
        <f t="shared" si="243"/>
        <v>I</v>
      </c>
      <c r="CK90" s="1670" t="str">
        <f t="shared" si="268"/>
        <v>--</v>
      </c>
      <c r="CL90" s="75" t="str">
        <f t="shared" si="244"/>
        <v>--</v>
      </c>
      <c r="CM90" s="75" t="str">
        <f t="shared" si="245"/>
        <v xml:space="preserve"> </v>
      </c>
      <c r="CN90" s="75" t="str">
        <f t="shared" si="246"/>
        <v/>
      </c>
      <c r="CO90" s="75" t="str">
        <f t="shared" si="247"/>
        <v/>
      </c>
      <c r="CP90" s="1670" t="str">
        <f t="shared" si="269"/>
        <v>--</v>
      </c>
      <c r="CR90" s="1686" t="str">
        <f t="shared" si="270"/>
        <v>--</v>
      </c>
      <c r="CS90" s="1686" t="str">
        <f t="shared" si="271"/>
        <v>--</v>
      </c>
      <c r="CT90" s="1686" t="str">
        <f t="shared" si="272"/>
        <v>--</v>
      </c>
      <c r="CU90" s="1686" t="str">
        <f t="shared" si="273"/>
        <v>--</v>
      </c>
    </row>
    <row r="91" spans="1:99">
      <c r="A91" s="136" t="s">
        <v>251</v>
      </c>
      <c r="B91" s="427" t="s">
        <v>252</v>
      </c>
      <c r="C91" s="1563" t="str">
        <f t="shared" si="183"/>
        <v>O</v>
      </c>
      <c r="D91" t="e">
        <f t="shared" si="184"/>
        <v>#N/A</v>
      </c>
      <c r="E91" s="1563">
        <f t="shared" si="185"/>
        <v>114.8</v>
      </c>
      <c r="F91">
        <f t="shared" si="186"/>
        <v>114.8</v>
      </c>
      <c r="G91" s="1160">
        <f t="shared" si="248"/>
        <v>0</v>
      </c>
      <c r="H91" s="1563" t="str">
        <f t="shared" si="187"/>
        <v>V</v>
      </c>
      <c r="I91" t="str">
        <f t="shared" si="188"/>
        <v>V</v>
      </c>
      <c r="J91" s="1160">
        <f t="shared" si="249"/>
        <v>0</v>
      </c>
      <c r="K91" s="1563">
        <f t="shared" si="189"/>
        <v>166.22</v>
      </c>
      <c r="L91">
        <f t="shared" si="190"/>
        <v>166.22</v>
      </c>
      <c r="M91" s="1160">
        <f t="shared" si="250"/>
        <v>0</v>
      </c>
      <c r="N91" s="1563">
        <f t="shared" si="191"/>
        <v>5.9999999999999995E-4</v>
      </c>
      <c r="O91">
        <f t="shared" si="192"/>
        <v>5.9999999999999995E-4</v>
      </c>
      <c r="P91" s="1160">
        <f t="shared" si="251"/>
        <v>0</v>
      </c>
      <c r="Q91" s="1563">
        <f t="shared" si="193"/>
        <v>1.69</v>
      </c>
      <c r="R91">
        <f t="shared" si="194"/>
        <v>1.69</v>
      </c>
      <c r="S91" s="1160">
        <f t="shared" si="252"/>
        <v>0</v>
      </c>
      <c r="T91" s="1563">
        <f t="shared" si="195"/>
        <v>9.6199999999999994E-5</v>
      </c>
      <c r="U91">
        <f t="shared" si="196"/>
        <v>9.6199999999999994E-5</v>
      </c>
      <c r="V91" s="1160">
        <f t="shared" si="253"/>
        <v>0</v>
      </c>
      <c r="W91" s="1563">
        <f t="shared" si="197"/>
        <v>3.9329517579699998E-3</v>
      </c>
      <c r="X91">
        <f t="shared" si="198"/>
        <v>3.9329517579699998E-3</v>
      </c>
      <c r="Y91" s="1160">
        <f t="shared" si="254"/>
        <v>0</v>
      </c>
      <c r="Z91" s="1563">
        <f t="shared" si="199"/>
        <v>9160</v>
      </c>
      <c r="AA91">
        <f t="shared" si="200"/>
        <v>9160</v>
      </c>
      <c r="AB91" s="1160">
        <f t="shared" si="255"/>
        <v>0</v>
      </c>
      <c r="AC91" s="1563">
        <f t="shared" si="201"/>
        <v>54.96</v>
      </c>
      <c r="AD91" t="str">
        <f t="shared" si="202"/>
        <v/>
      </c>
      <c r="AE91" s="1160">
        <f t="shared" si="256"/>
        <v>1</v>
      </c>
      <c r="AF91" s="1563">
        <f t="shared" si="203"/>
        <v>4.3974282206059999E-2</v>
      </c>
      <c r="AG91">
        <f t="shared" si="204"/>
        <v>4.3974282206059999E-2</v>
      </c>
      <c r="AH91" s="1160">
        <f t="shared" si="257"/>
        <v>0</v>
      </c>
      <c r="AI91" s="1563">
        <f t="shared" si="205"/>
        <v>7.8889859242199994E-6</v>
      </c>
      <c r="AJ91">
        <f t="shared" si="206"/>
        <v>7.8889859242199994E-6</v>
      </c>
      <c r="AK91" s="1160">
        <f t="shared" si="258"/>
        <v>0</v>
      </c>
      <c r="AL91" s="1563">
        <f t="shared" si="207"/>
        <v>1521.1571134000001</v>
      </c>
      <c r="AM91" t="e">
        <f t="shared" si="208"/>
        <v>#N/A</v>
      </c>
      <c r="AN91" s="1563">
        <f t="shared" si="209"/>
        <v>93.052658272471547</v>
      </c>
      <c r="AO91" t="str">
        <f t="shared" si="210"/>
        <v/>
      </c>
      <c r="AP91" s="1160">
        <f t="shared" si="211"/>
        <v>1</v>
      </c>
      <c r="AQ91" s="1563">
        <f t="shared" si="212"/>
        <v>1.6825561834773298E-7</v>
      </c>
      <c r="AS91" s="1563">
        <f t="shared" si="213"/>
        <v>281200.3574987824</v>
      </c>
      <c r="AU91" s="1563">
        <f t="shared" si="214"/>
        <v>275739.63656068442</v>
      </c>
      <c r="AW91" s="1563">
        <f t="shared" si="215"/>
        <v>62283.446214064803</v>
      </c>
      <c r="AY91" s="1592">
        <f t="shared" si="216"/>
        <v>1</v>
      </c>
      <c r="AZ91" s="821">
        <f t="shared" si="217"/>
        <v>1</v>
      </c>
      <c r="BA91" s="1160">
        <f t="shared" si="259"/>
        <v>0</v>
      </c>
      <c r="BB91" s="1592">
        <f t="shared" si="218"/>
        <v>0.13</v>
      </c>
      <c r="BC91" s="821">
        <f t="shared" si="219"/>
        <v>0.13</v>
      </c>
      <c r="BD91" s="1160">
        <f t="shared" si="260"/>
        <v>0</v>
      </c>
      <c r="BE91" s="1592" t="str">
        <f t="shared" si="220"/>
        <v>Yes</v>
      </c>
      <c r="BF91" s="1592">
        <f t="shared" si="221"/>
        <v>0.11</v>
      </c>
      <c r="BG91" s="821">
        <f t="shared" si="222"/>
        <v>0.11</v>
      </c>
      <c r="BH91" s="1160">
        <f t="shared" si="261"/>
        <v>0</v>
      </c>
      <c r="BI91" s="1592">
        <f t="shared" si="223"/>
        <v>1</v>
      </c>
      <c r="BJ91" s="1592">
        <f t="shared" si="224"/>
        <v>0.54545757350781998</v>
      </c>
      <c r="BK91" s="821">
        <f t="shared" si="225"/>
        <v>0.54545757350781998</v>
      </c>
      <c r="BL91" s="1160">
        <f t="shared" si="262"/>
        <v>0</v>
      </c>
      <c r="BM91" s="1592">
        <f t="shared" si="226"/>
        <v>0.89676933595412001</v>
      </c>
      <c r="BN91" s="821">
        <f t="shared" si="227"/>
        <v>0.89676933595412001</v>
      </c>
      <c r="BO91" s="1160">
        <f t="shared" si="263"/>
        <v>0</v>
      </c>
      <c r="BP91" s="1592">
        <f t="shared" si="228"/>
        <v>2.1522464062898998</v>
      </c>
      <c r="BQ91" s="821">
        <f t="shared" si="229"/>
        <v>2.1522464062898998</v>
      </c>
      <c r="BR91" s="1160">
        <f t="shared" si="264"/>
        <v>0</v>
      </c>
      <c r="BS91" s="1592" t="str">
        <f t="shared" si="230"/>
        <v>--</v>
      </c>
      <c r="BT91" s="821">
        <f t="shared" si="231"/>
        <v>0</v>
      </c>
      <c r="BU91" s="1160">
        <f t="shared" si="265"/>
        <v>0</v>
      </c>
      <c r="BW91" s="75" t="str">
        <f t="shared" si="232"/>
        <v>--</v>
      </c>
      <c r="BX91" s="75" t="str">
        <f t="shared" si="233"/>
        <v xml:space="preserve"> </v>
      </c>
      <c r="BY91" s="75" t="str">
        <f t="shared" si="234"/>
        <v/>
      </c>
      <c r="BZ91" s="75" t="str">
        <f t="shared" si="235"/>
        <v/>
      </c>
      <c r="CA91" s="1670" t="str">
        <f t="shared" si="266"/>
        <v>--</v>
      </c>
      <c r="CB91" s="75" t="str">
        <f t="shared" si="236"/>
        <v>--</v>
      </c>
      <c r="CC91" s="75" t="str">
        <f t="shared" si="237"/>
        <v xml:space="preserve"> </v>
      </c>
      <c r="CD91" s="75" t="str">
        <f t="shared" si="238"/>
        <v/>
      </c>
      <c r="CE91" s="75" t="str">
        <f t="shared" si="239"/>
        <v/>
      </c>
      <c r="CF91" s="1670" t="str">
        <f t="shared" si="267"/>
        <v>--</v>
      </c>
      <c r="CG91" s="75">
        <f t="shared" si="240"/>
        <v>0.04</v>
      </c>
      <c r="CH91" s="75" t="str">
        <f t="shared" si="241"/>
        <v>IRIS 1990</v>
      </c>
      <c r="CI91" s="75">
        <f t="shared" si="242"/>
        <v>0.04</v>
      </c>
      <c r="CJ91" s="75" t="str">
        <f t="shared" si="243"/>
        <v>I</v>
      </c>
      <c r="CK91" s="1670" t="str">
        <f t="shared" si="268"/>
        <v>--</v>
      </c>
      <c r="CL91" s="75" t="str">
        <f t="shared" si="244"/>
        <v>--</v>
      </c>
      <c r="CM91" s="75" t="str">
        <f t="shared" si="245"/>
        <v xml:space="preserve"> </v>
      </c>
      <c r="CN91" s="75" t="str">
        <f t="shared" si="246"/>
        <v/>
      </c>
      <c r="CO91" s="75" t="str">
        <f t="shared" si="247"/>
        <v/>
      </c>
      <c r="CP91" s="1670" t="str">
        <f t="shared" si="269"/>
        <v>--</v>
      </c>
      <c r="CR91" s="1686" t="str">
        <f t="shared" si="270"/>
        <v>--</v>
      </c>
      <c r="CS91" s="1686" t="str">
        <f t="shared" si="271"/>
        <v>--</v>
      </c>
      <c r="CT91" s="1686" t="str">
        <f t="shared" si="272"/>
        <v>--</v>
      </c>
      <c r="CU91" s="1686" t="str">
        <f t="shared" si="273"/>
        <v>--</v>
      </c>
    </row>
    <row r="92" spans="1:99">
      <c r="A92" s="136" t="s">
        <v>253</v>
      </c>
      <c r="B92" s="427" t="s">
        <v>254</v>
      </c>
      <c r="C92" s="1563" t="str">
        <f t="shared" si="183"/>
        <v>O</v>
      </c>
      <c r="D92" t="e">
        <f t="shared" si="184"/>
        <v>#N/A</v>
      </c>
      <c r="E92" s="1563">
        <f t="shared" si="185"/>
        <v>163.6</v>
      </c>
      <c r="F92">
        <f t="shared" si="186"/>
        <v>163.6</v>
      </c>
      <c r="G92" s="1160">
        <f t="shared" si="248"/>
        <v>0</v>
      </c>
      <c r="H92" s="1563" t="str">
        <f t="shared" si="187"/>
        <v>NV</v>
      </c>
      <c r="I92">
        <f t="shared" si="188"/>
        <v>0</v>
      </c>
      <c r="J92" s="1160">
        <f t="shared" si="249"/>
        <v>0</v>
      </c>
      <c r="K92" s="1563">
        <f t="shared" si="189"/>
        <v>276.33999999999997</v>
      </c>
      <c r="L92">
        <f t="shared" si="190"/>
        <v>276.33999999999997</v>
      </c>
      <c r="M92" s="1160">
        <f t="shared" si="250"/>
        <v>0</v>
      </c>
      <c r="N92" s="1563">
        <f t="shared" si="191"/>
        <v>1.2500000000000001E-10</v>
      </c>
      <c r="O92">
        <f t="shared" si="192"/>
        <v>1.2500000000000001E-10</v>
      </c>
      <c r="P92" s="1160">
        <f t="shared" si="251"/>
        <v>0</v>
      </c>
      <c r="Q92" s="1563">
        <f t="shared" si="193"/>
        <v>1.9000000000000001E-4</v>
      </c>
      <c r="R92">
        <f t="shared" si="194"/>
        <v>1.9000000000000001E-4</v>
      </c>
      <c r="S92" s="1160">
        <f t="shared" si="252"/>
        <v>0</v>
      </c>
      <c r="T92" s="1563">
        <f t="shared" si="195"/>
        <v>3.4799999999999999E-7</v>
      </c>
      <c r="U92">
        <f t="shared" si="196"/>
        <v>3.4799999999999999E-7</v>
      </c>
      <c r="V92" s="1160">
        <f t="shared" si="253"/>
        <v>0</v>
      </c>
      <c r="W92" s="1563">
        <f t="shared" si="197"/>
        <v>1.4227309889999999E-5</v>
      </c>
      <c r="X92">
        <f t="shared" si="198"/>
        <v>1.4227309889999999E-5</v>
      </c>
      <c r="Y92" s="1160">
        <f t="shared" si="254"/>
        <v>0</v>
      </c>
      <c r="Z92" s="1563">
        <f t="shared" si="199"/>
        <v>1951000</v>
      </c>
      <c r="AA92">
        <f t="shared" si="200"/>
        <v>1951000</v>
      </c>
      <c r="AB92" s="1160">
        <f t="shared" si="255"/>
        <v>0</v>
      </c>
      <c r="AC92" s="1563">
        <f t="shared" si="201"/>
        <v>11706</v>
      </c>
      <c r="AD92" t="str">
        <f t="shared" si="202"/>
        <v/>
      </c>
      <c r="AE92" s="1160">
        <f t="shared" si="256"/>
        <v>1</v>
      </c>
      <c r="AF92" s="1563">
        <f t="shared" si="203"/>
        <v>2.471303505976E-2</v>
      </c>
      <c r="AG92">
        <f t="shared" si="204"/>
        <v>2.471303505976E-2</v>
      </c>
      <c r="AH92" s="1160">
        <f t="shared" si="257"/>
        <v>0</v>
      </c>
      <c r="AI92" s="1563">
        <f t="shared" si="205"/>
        <v>6.3691626699499999E-6</v>
      </c>
      <c r="AJ92">
        <f t="shared" si="206"/>
        <v>6.3691626699499999E-6</v>
      </c>
      <c r="AK92" s="1160">
        <f t="shared" si="258"/>
        <v>0</v>
      </c>
      <c r="AL92" s="1563">
        <f t="shared" si="207"/>
        <v>323866.00216003601</v>
      </c>
      <c r="AM92" t="e">
        <f t="shared" si="208"/>
        <v>#N/A</v>
      </c>
      <c r="AN92" s="1563">
        <f t="shared" si="209"/>
        <v>2.2241590005117358</v>
      </c>
      <c r="AO92" t="str">
        <f t="shared" si="210"/>
        <v/>
      </c>
      <c r="AP92" s="1160">
        <f t="shared" si="211"/>
        <v>1</v>
      </c>
      <c r="AQ92" s="1563" t="str">
        <f t="shared" si="212"/>
        <v>--</v>
      </c>
      <c r="AS92" s="1563" t="str">
        <f t="shared" si="213"/>
        <v>--</v>
      </c>
      <c r="AU92" s="1563" t="str">
        <f t="shared" si="214"/>
        <v>--</v>
      </c>
      <c r="AW92" s="1563" t="str">
        <f t="shared" si="215"/>
        <v>--</v>
      </c>
      <c r="AY92" s="1592">
        <f t="shared" si="216"/>
        <v>1</v>
      </c>
      <c r="AZ92" s="821">
        <f t="shared" si="217"/>
        <v>1</v>
      </c>
      <c r="BA92" s="1160">
        <f t="shared" si="259"/>
        <v>0</v>
      </c>
      <c r="BB92" s="1592">
        <f t="shared" si="218"/>
        <v>0.13</v>
      </c>
      <c r="BC92" s="821">
        <f t="shared" si="219"/>
        <v>0.13</v>
      </c>
      <c r="BD92" s="1160">
        <f t="shared" si="260"/>
        <v>0</v>
      </c>
      <c r="BE92" s="1592" t="str">
        <f t="shared" si="220"/>
        <v>No</v>
      </c>
      <c r="BF92" s="1592">
        <f t="shared" si="221"/>
        <v>1.24</v>
      </c>
      <c r="BG92" s="821">
        <f t="shared" si="222"/>
        <v>1.24</v>
      </c>
      <c r="BH92" s="1160">
        <f t="shared" si="261"/>
        <v>0</v>
      </c>
      <c r="BI92" s="1592">
        <f t="shared" si="223"/>
        <v>0.6</v>
      </c>
      <c r="BJ92" s="1592">
        <f t="shared" si="224"/>
        <v>7.92811997831343</v>
      </c>
      <c r="BK92" s="821">
        <f t="shared" si="225"/>
        <v>7.92811997831343</v>
      </c>
      <c r="BL92" s="1160">
        <f t="shared" si="262"/>
        <v>0</v>
      </c>
      <c r="BM92" s="1592">
        <f t="shared" si="226"/>
        <v>3.7098192431956001</v>
      </c>
      <c r="BN92" s="821">
        <f t="shared" si="227"/>
        <v>3.7098192431956001</v>
      </c>
      <c r="BO92" s="1160">
        <f t="shared" si="263"/>
        <v>0</v>
      </c>
      <c r="BP92" s="1592">
        <f t="shared" si="228"/>
        <v>16.651939304483601</v>
      </c>
      <c r="BQ92" s="821">
        <f t="shared" si="229"/>
        <v>16.651939304483601</v>
      </c>
      <c r="BR92" s="1160">
        <f t="shared" si="264"/>
        <v>0</v>
      </c>
      <c r="BS92" s="1592" t="str">
        <f t="shared" si="230"/>
        <v>Yes</v>
      </c>
      <c r="BT92" s="821" t="str">
        <f t="shared" si="231"/>
        <v>M</v>
      </c>
      <c r="BU92" s="1160">
        <f t="shared" si="265"/>
        <v>0</v>
      </c>
      <c r="BW92" s="75">
        <f t="shared" si="232"/>
        <v>0.1</v>
      </c>
      <c r="BX92" s="75" t="str">
        <f t="shared" si="233"/>
        <v>IRIS 2017</v>
      </c>
      <c r="BY92" s="75">
        <f t="shared" si="234"/>
        <v>0.1</v>
      </c>
      <c r="BZ92" s="75" t="str">
        <f t="shared" si="235"/>
        <v>E</v>
      </c>
      <c r="CA92" s="1670" t="str">
        <f t="shared" si="266"/>
        <v>--</v>
      </c>
      <c r="CB92" s="75">
        <f t="shared" si="236"/>
        <v>1.1E-4</v>
      </c>
      <c r="CC92" s="75" t="str">
        <f t="shared" si="237"/>
        <v>OEHHA 2009</v>
      </c>
      <c r="CD92" s="75">
        <f t="shared" si="238"/>
        <v>6.0000000000000002E-5</v>
      </c>
      <c r="CE92" s="75" t="str">
        <f t="shared" si="239"/>
        <v>E</v>
      </c>
      <c r="CF92" s="1671" t="str">
        <f t="shared" si="267"/>
        <v>check</v>
      </c>
      <c r="CG92" s="75" t="str">
        <f t="shared" si="240"/>
        <v>--</v>
      </c>
      <c r="CH92" s="75" t="str">
        <f t="shared" si="241"/>
        <v xml:space="preserve"> </v>
      </c>
      <c r="CI92" s="75" t="str">
        <f t="shared" si="242"/>
        <v/>
      </c>
      <c r="CJ92" s="75" t="str">
        <f t="shared" si="243"/>
        <v/>
      </c>
      <c r="CK92" s="1670" t="str">
        <f t="shared" si="268"/>
        <v>--</v>
      </c>
      <c r="CL92" s="75" t="str">
        <f t="shared" si="244"/>
        <v>--</v>
      </c>
      <c r="CM92" s="75" t="str">
        <f t="shared" si="245"/>
        <v xml:space="preserve"> </v>
      </c>
      <c r="CN92" s="75" t="str">
        <f t="shared" si="246"/>
        <v/>
      </c>
      <c r="CO92" s="75" t="str">
        <f t="shared" si="247"/>
        <v/>
      </c>
      <c r="CP92" s="1670" t="str">
        <f t="shared" si="269"/>
        <v>--</v>
      </c>
      <c r="CR92" s="1686" t="str">
        <f t="shared" si="270"/>
        <v>--</v>
      </c>
      <c r="CS92" s="1686" t="str">
        <f t="shared" si="271"/>
        <v>x</v>
      </c>
      <c r="CT92" s="1686" t="str">
        <f t="shared" si="272"/>
        <v>--</v>
      </c>
      <c r="CU92" s="1686" t="str">
        <f t="shared" si="273"/>
        <v>--</v>
      </c>
    </row>
    <row r="93" spans="1:99">
      <c r="A93" s="136" t="s">
        <v>255</v>
      </c>
      <c r="B93" s="427" t="s">
        <v>256</v>
      </c>
      <c r="C93" s="1563" t="str">
        <f t="shared" si="183"/>
        <v>O</v>
      </c>
      <c r="D93" t="e">
        <f t="shared" si="184"/>
        <v>#N/A</v>
      </c>
      <c r="E93" s="1563">
        <f t="shared" si="185"/>
        <v>80.2</v>
      </c>
      <c r="F93">
        <f t="shared" si="186"/>
        <v>80.2</v>
      </c>
      <c r="G93" s="1160">
        <f t="shared" si="248"/>
        <v>0</v>
      </c>
      <c r="H93" s="1563" t="str">
        <f t="shared" si="187"/>
        <v>V</v>
      </c>
      <c r="I93" t="str">
        <f t="shared" si="188"/>
        <v>V</v>
      </c>
      <c r="J93" s="1160">
        <f t="shared" si="249"/>
        <v>0</v>
      </c>
      <c r="K93" s="1563">
        <f t="shared" si="189"/>
        <v>128.18</v>
      </c>
      <c r="L93">
        <f t="shared" si="190"/>
        <v>128.18</v>
      </c>
      <c r="M93" s="1160">
        <f t="shared" si="250"/>
        <v>0</v>
      </c>
      <c r="N93" s="1563">
        <f t="shared" si="191"/>
        <v>8.5000000000000006E-2</v>
      </c>
      <c r="O93">
        <f t="shared" si="192"/>
        <v>8.5000000000000006E-2</v>
      </c>
      <c r="P93" s="1160">
        <f t="shared" si="251"/>
        <v>0</v>
      </c>
      <c r="Q93" s="1563">
        <f t="shared" si="193"/>
        <v>31</v>
      </c>
      <c r="R93">
        <f t="shared" si="194"/>
        <v>31</v>
      </c>
      <c r="S93" s="1160">
        <f t="shared" si="252"/>
        <v>0</v>
      </c>
      <c r="T93" s="1563">
        <f t="shared" si="195"/>
        <v>4.4000000000000002E-4</v>
      </c>
      <c r="U93">
        <f t="shared" si="196"/>
        <v>4.4000000000000002E-4</v>
      </c>
      <c r="V93" s="1160">
        <f t="shared" si="253"/>
        <v>0</v>
      </c>
      <c r="W93" s="1563">
        <f t="shared" si="197"/>
        <v>1.7988552739170001E-2</v>
      </c>
      <c r="X93">
        <f t="shared" si="198"/>
        <v>1.7988552739170001E-2</v>
      </c>
      <c r="Y93" s="1160">
        <f t="shared" si="254"/>
        <v>0</v>
      </c>
      <c r="Z93" s="1563">
        <f t="shared" si="199"/>
        <v>1544</v>
      </c>
      <c r="AA93">
        <f t="shared" si="200"/>
        <v>1544</v>
      </c>
      <c r="AB93" s="1160">
        <f t="shared" si="255"/>
        <v>0</v>
      </c>
      <c r="AC93" s="1563">
        <f t="shared" si="201"/>
        <v>9.2639999999999993</v>
      </c>
      <c r="AD93" t="str">
        <f t="shared" si="202"/>
        <v/>
      </c>
      <c r="AE93" s="1160">
        <f t="shared" si="256"/>
        <v>1</v>
      </c>
      <c r="AF93" s="1563">
        <f t="shared" si="203"/>
        <v>6.0499398843050001E-2</v>
      </c>
      <c r="AG93">
        <f t="shared" si="204"/>
        <v>6.0499398843050001E-2</v>
      </c>
      <c r="AH93" s="1160">
        <f t="shared" si="257"/>
        <v>0</v>
      </c>
      <c r="AI93" s="1563">
        <f t="shared" si="205"/>
        <v>8.3770322160000004E-6</v>
      </c>
      <c r="AJ93">
        <f t="shared" si="206"/>
        <v>8.3770322160000004E-6</v>
      </c>
      <c r="AK93" s="1160">
        <f t="shared" si="258"/>
        <v>0</v>
      </c>
      <c r="AL93" s="1563">
        <f t="shared" si="207"/>
        <v>259.03508000000005</v>
      </c>
      <c r="AM93" t="e">
        <f t="shared" si="208"/>
        <v>#N/A</v>
      </c>
      <c r="AN93" s="1563">
        <f t="shared" si="209"/>
        <v>290.38956678340202</v>
      </c>
      <c r="AO93" t="str">
        <f t="shared" si="210"/>
        <v/>
      </c>
      <c r="AP93" s="1160">
        <f t="shared" si="211"/>
        <v>1</v>
      </c>
      <c r="AQ93" s="1563">
        <f t="shared" si="212"/>
        <v>6.1953571192215736E-6</v>
      </c>
      <c r="AS93" s="1563">
        <f t="shared" si="213"/>
        <v>46341.2221544887</v>
      </c>
      <c r="AU93" s="1563">
        <f t="shared" si="214"/>
        <v>45441.306932591557</v>
      </c>
      <c r="AW93" s="1563">
        <f t="shared" si="215"/>
        <v>10264.179758610804</v>
      </c>
      <c r="AY93" s="1592">
        <f t="shared" si="216"/>
        <v>1</v>
      </c>
      <c r="AZ93" s="821">
        <f t="shared" si="217"/>
        <v>1</v>
      </c>
      <c r="BA93" s="1160">
        <f t="shared" si="259"/>
        <v>0</v>
      </c>
      <c r="BB93" s="1592">
        <f t="shared" si="218"/>
        <v>0.13</v>
      </c>
      <c r="BC93" s="821">
        <f t="shared" si="219"/>
        <v>0.13</v>
      </c>
      <c r="BD93" s="1160">
        <f t="shared" si="260"/>
        <v>0</v>
      </c>
      <c r="BE93" s="1592" t="str">
        <f t="shared" si="220"/>
        <v>Yes</v>
      </c>
      <c r="BF93" s="1592">
        <f t="shared" si="221"/>
        <v>4.6600000000000003E-2</v>
      </c>
      <c r="BG93" s="821">
        <f t="shared" si="222"/>
        <v>4.6600000000000003E-2</v>
      </c>
      <c r="BH93" s="1160">
        <f t="shared" si="261"/>
        <v>0</v>
      </c>
      <c r="BI93" s="1592">
        <f t="shared" si="223"/>
        <v>1</v>
      </c>
      <c r="BJ93" s="1592">
        <f t="shared" si="224"/>
        <v>0.20291899482685</v>
      </c>
      <c r="BK93" s="821">
        <f t="shared" si="225"/>
        <v>0.20291899482685</v>
      </c>
      <c r="BL93" s="1160">
        <f t="shared" si="262"/>
        <v>0</v>
      </c>
      <c r="BM93" s="1592">
        <f t="shared" si="226"/>
        <v>0.54910670856167998</v>
      </c>
      <c r="BN93" s="821">
        <f t="shared" si="227"/>
        <v>0.54910670856167998</v>
      </c>
      <c r="BO93" s="1160">
        <f t="shared" si="263"/>
        <v>0</v>
      </c>
      <c r="BP93" s="1592">
        <f t="shared" si="228"/>
        <v>1.31785610054804</v>
      </c>
      <c r="BQ93" s="821">
        <f t="shared" si="229"/>
        <v>1.31785610054804</v>
      </c>
      <c r="BR93" s="1160">
        <f t="shared" si="264"/>
        <v>0</v>
      </c>
      <c r="BS93" s="1592" t="str">
        <f t="shared" si="230"/>
        <v>--</v>
      </c>
      <c r="BT93" s="821">
        <f t="shared" si="231"/>
        <v>0</v>
      </c>
      <c r="BU93" s="1160">
        <f t="shared" si="265"/>
        <v>0</v>
      </c>
      <c r="BW93" s="75">
        <f t="shared" si="232"/>
        <v>0.12</v>
      </c>
      <c r="BX93" s="75" t="str">
        <f t="shared" si="233"/>
        <v>OEHHA 2009</v>
      </c>
      <c r="BY93" s="75">
        <f t="shared" si="234"/>
        <v>0.12</v>
      </c>
      <c r="BZ93" s="75" t="str">
        <f t="shared" si="235"/>
        <v>C</v>
      </c>
      <c r="CA93" s="1670" t="str">
        <f t="shared" si="266"/>
        <v>--</v>
      </c>
      <c r="CB93" s="75">
        <f t="shared" si="236"/>
        <v>3.4E-5</v>
      </c>
      <c r="CC93" s="75" t="str">
        <f t="shared" si="237"/>
        <v>OEHHA 2009</v>
      </c>
      <c r="CD93" s="75">
        <f t="shared" si="238"/>
        <v>3.4E-5</v>
      </c>
      <c r="CE93" s="75" t="str">
        <f t="shared" si="239"/>
        <v>C</v>
      </c>
      <c r="CF93" s="1670" t="str">
        <f t="shared" si="267"/>
        <v>--</v>
      </c>
      <c r="CG93" s="75">
        <f t="shared" si="240"/>
        <v>0.02</v>
      </c>
      <c r="CH93" s="75" t="str">
        <f t="shared" si="241"/>
        <v>IRIS 1998</v>
      </c>
      <c r="CI93" s="75">
        <f t="shared" si="242"/>
        <v>0.02</v>
      </c>
      <c r="CJ93" s="75" t="str">
        <f t="shared" si="243"/>
        <v>I</v>
      </c>
      <c r="CK93" s="1670" t="str">
        <f t="shared" si="268"/>
        <v>--</v>
      </c>
      <c r="CL93" s="75">
        <f t="shared" si="244"/>
        <v>3</v>
      </c>
      <c r="CM93" s="75" t="str">
        <f t="shared" si="245"/>
        <v>IRIS 1998</v>
      </c>
      <c r="CN93" s="75">
        <f t="shared" si="246"/>
        <v>3</v>
      </c>
      <c r="CO93" s="75" t="str">
        <f t="shared" si="247"/>
        <v>I</v>
      </c>
      <c r="CP93" s="1670" t="str">
        <f t="shared" si="269"/>
        <v>--</v>
      </c>
      <c r="CR93" s="1686" t="str">
        <f t="shared" si="270"/>
        <v>--</v>
      </c>
      <c r="CS93" s="1686" t="str">
        <f t="shared" si="271"/>
        <v>--</v>
      </c>
      <c r="CT93" s="1686" t="str">
        <f t="shared" si="272"/>
        <v>--</v>
      </c>
      <c r="CU93" s="1686" t="str">
        <f t="shared" si="273"/>
        <v>--</v>
      </c>
    </row>
    <row r="94" spans="1:99">
      <c r="A94" s="136" t="s">
        <v>257</v>
      </c>
      <c r="B94" s="427" t="s">
        <v>258</v>
      </c>
      <c r="C94" s="1563" t="str">
        <f t="shared" si="183"/>
        <v>O</v>
      </c>
      <c r="D94" t="e">
        <f t="shared" si="184"/>
        <v>#N/A</v>
      </c>
      <c r="E94" s="1563">
        <f t="shared" si="185"/>
        <v>151.19999999999999</v>
      </c>
      <c r="F94">
        <f t="shared" si="186"/>
        <v>151.19999999999999</v>
      </c>
      <c r="G94" s="1160">
        <f t="shared" si="248"/>
        <v>0</v>
      </c>
      <c r="H94" s="1563" t="str">
        <f t="shared" si="187"/>
        <v>V</v>
      </c>
      <c r="I94" t="str">
        <f t="shared" si="188"/>
        <v>V</v>
      </c>
      <c r="J94" s="1160">
        <f t="shared" si="249"/>
        <v>0</v>
      </c>
      <c r="K94" s="1563">
        <f t="shared" si="189"/>
        <v>202.26</v>
      </c>
      <c r="L94">
        <f t="shared" si="190"/>
        <v>202.26</v>
      </c>
      <c r="M94" s="1160">
        <f t="shared" si="250"/>
        <v>0</v>
      </c>
      <c r="N94" s="1563">
        <f t="shared" si="191"/>
        <v>4.5000000000000001E-6</v>
      </c>
      <c r="O94">
        <f t="shared" si="192"/>
        <v>4.5000000000000001E-6</v>
      </c>
      <c r="P94" s="1160">
        <f t="shared" si="251"/>
        <v>0</v>
      </c>
      <c r="Q94" s="1563">
        <f t="shared" si="193"/>
        <v>0.13500000000000001</v>
      </c>
      <c r="R94">
        <f t="shared" si="194"/>
        <v>0.13500000000000001</v>
      </c>
      <c r="S94" s="1160">
        <f t="shared" si="252"/>
        <v>0</v>
      </c>
      <c r="T94" s="1563">
        <f t="shared" si="195"/>
        <v>1.19E-5</v>
      </c>
      <c r="U94">
        <f t="shared" si="196"/>
        <v>1.19E-5</v>
      </c>
      <c r="V94" s="1160">
        <f t="shared" si="253"/>
        <v>0</v>
      </c>
      <c r="W94" s="1563">
        <f t="shared" si="197"/>
        <v>4.8650858544999997E-4</v>
      </c>
      <c r="X94">
        <f t="shared" si="198"/>
        <v>4.8650858544999997E-4</v>
      </c>
      <c r="Y94" s="1160">
        <f t="shared" si="254"/>
        <v>0</v>
      </c>
      <c r="Z94" s="1563">
        <f t="shared" si="199"/>
        <v>54340</v>
      </c>
      <c r="AA94">
        <f t="shared" si="200"/>
        <v>54340</v>
      </c>
      <c r="AB94" s="1160">
        <f t="shared" si="255"/>
        <v>0</v>
      </c>
      <c r="AC94" s="1563">
        <f t="shared" si="201"/>
        <v>326.04000000000002</v>
      </c>
      <c r="AD94" t="str">
        <f t="shared" si="202"/>
        <v/>
      </c>
      <c r="AE94" s="1160">
        <f t="shared" si="256"/>
        <v>1</v>
      </c>
      <c r="AF94" s="1563">
        <f t="shared" si="203"/>
        <v>2.7787275434940001E-2</v>
      </c>
      <c r="AG94">
        <f t="shared" si="204"/>
        <v>2.7787275434940001E-2</v>
      </c>
      <c r="AH94" s="1160">
        <f t="shared" si="257"/>
        <v>0</v>
      </c>
      <c r="AI94" s="1563">
        <f t="shared" si="205"/>
        <v>7.2479151442499996E-6</v>
      </c>
      <c r="AJ94">
        <f t="shared" si="206"/>
        <v>7.2479151442499996E-6</v>
      </c>
      <c r="AK94" s="1160">
        <f t="shared" si="258"/>
        <v>0</v>
      </c>
      <c r="AL94" s="1563">
        <f t="shared" si="207"/>
        <v>9020.5138633000006</v>
      </c>
      <c r="AM94" t="e">
        <f t="shared" si="208"/>
        <v>#N/A</v>
      </c>
      <c r="AN94" s="1563">
        <f t="shared" si="209"/>
        <v>44.028912433507159</v>
      </c>
      <c r="AO94" t="str">
        <f t="shared" si="210"/>
        <v/>
      </c>
      <c r="AP94" s="1160">
        <f t="shared" si="211"/>
        <v>1</v>
      </c>
      <c r="AQ94" s="1563">
        <f t="shared" si="212"/>
        <v>2.3494488896368745E-9</v>
      </c>
      <c r="AS94" s="1563">
        <f t="shared" si="213"/>
        <v>2379675.0384497549</v>
      </c>
      <c r="AU94" s="1563">
        <f t="shared" si="214"/>
        <v>2333463.3571278774</v>
      </c>
      <c r="AW94" s="1563">
        <f t="shared" si="215"/>
        <v>527077.43184458674</v>
      </c>
      <c r="AY94" s="1592">
        <f t="shared" si="216"/>
        <v>1</v>
      </c>
      <c r="AZ94" s="821">
        <f t="shared" si="217"/>
        <v>1</v>
      </c>
      <c r="BA94" s="1160">
        <f t="shared" si="259"/>
        <v>0</v>
      </c>
      <c r="BB94" s="1592">
        <f t="shared" si="218"/>
        <v>0.13</v>
      </c>
      <c r="BC94" s="821">
        <f t="shared" si="219"/>
        <v>0.13</v>
      </c>
      <c r="BD94" s="1160">
        <f t="shared" si="260"/>
        <v>0</v>
      </c>
      <c r="BE94" s="1592" t="str">
        <f t="shared" si="220"/>
        <v>Yes</v>
      </c>
      <c r="BF94" s="1592">
        <f t="shared" si="221"/>
        <v>0.20100000000000001</v>
      </c>
      <c r="BG94" s="821">
        <f t="shared" si="222"/>
        <v>0.20100000000000001</v>
      </c>
      <c r="BH94" s="1160">
        <f t="shared" si="261"/>
        <v>0</v>
      </c>
      <c r="BI94" s="1592">
        <f t="shared" si="223"/>
        <v>1</v>
      </c>
      <c r="BJ94" s="1592">
        <f t="shared" si="224"/>
        <v>1.09945563857003</v>
      </c>
      <c r="BK94" s="821">
        <f t="shared" si="225"/>
        <v>1.09945563857003</v>
      </c>
      <c r="BL94" s="1160">
        <f t="shared" si="262"/>
        <v>0</v>
      </c>
      <c r="BM94" s="1592">
        <f t="shared" si="226"/>
        <v>1.42726543921932</v>
      </c>
      <c r="BN94" s="821">
        <f t="shared" si="227"/>
        <v>1.42726543921932</v>
      </c>
      <c r="BO94" s="1160">
        <f t="shared" si="263"/>
        <v>0</v>
      </c>
      <c r="BP94" s="1592">
        <f t="shared" si="228"/>
        <v>5.53530713863268</v>
      </c>
      <c r="BQ94" s="821">
        <f t="shared" si="229"/>
        <v>5.53530713863268</v>
      </c>
      <c r="BR94" s="1160">
        <f t="shared" si="264"/>
        <v>0</v>
      </c>
      <c r="BS94" s="1592" t="str">
        <f t="shared" si="230"/>
        <v>--</v>
      </c>
      <c r="BT94" s="821">
        <f t="shared" si="231"/>
        <v>0</v>
      </c>
      <c r="BU94" s="1160">
        <f t="shared" si="265"/>
        <v>0</v>
      </c>
      <c r="BW94" s="75" t="str">
        <f t="shared" si="232"/>
        <v>--</v>
      </c>
      <c r="BX94" s="75" t="str">
        <f t="shared" si="233"/>
        <v xml:space="preserve"> </v>
      </c>
      <c r="BY94" s="75" t="str">
        <f t="shared" si="234"/>
        <v/>
      </c>
      <c r="BZ94" s="75" t="str">
        <f t="shared" si="235"/>
        <v/>
      </c>
      <c r="CA94" s="1670" t="str">
        <f t="shared" si="266"/>
        <v>--</v>
      </c>
      <c r="CB94" s="75" t="str">
        <f t="shared" si="236"/>
        <v>--</v>
      </c>
      <c r="CC94" s="75" t="str">
        <f t="shared" si="237"/>
        <v xml:space="preserve"> </v>
      </c>
      <c r="CD94" s="75" t="str">
        <f t="shared" si="238"/>
        <v/>
      </c>
      <c r="CE94" s="75" t="str">
        <f t="shared" si="239"/>
        <v/>
      </c>
      <c r="CF94" s="1670" t="str">
        <f t="shared" si="267"/>
        <v>--</v>
      </c>
      <c r="CG94" s="75">
        <f t="shared" si="240"/>
        <v>0.03</v>
      </c>
      <c r="CH94" s="75" t="str">
        <f t="shared" si="241"/>
        <v>IRIS 1991</v>
      </c>
      <c r="CI94" s="75">
        <f t="shared" si="242"/>
        <v>0.03</v>
      </c>
      <c r="CJ94" s="75" t="str">
        <f t="shared" si="243"/>
        <v>I</v>
      </c>
      <c r="CK94" s="1670" t="str">
        <f t="shared" si="268"/>
        <v>--</v>
      </c>
      <c r="CL94" s="75" t="str">
        <f t="shared" si="244"/>
        <v>--</v>
      </c>
      <c r="CM94" s="75" t="str">
        <f t="shared" si="245"/>
        <v xml:space="preserve"> </v>
      </c>
      <c r="CN94" s="75" t="str">
        <f t="shared" si="246"/>
        <v/>
      </c>
      <c r="CO94" s="75" t="str">
        <f t="shared" si="247"/>
        <v/>
      </c>
      <c r="CP94" s="1670" t="str">
        <f t="shared" si="269"/>
        <v>--</v>
      </c>
      <c r="CR94" s="1686" t="str">
        <f t="shared" si="270"/>
        <v>--</v>
      </c>
      <c r="CS94" s="1686" t="str">
        <f t="shared" si="271"/>
        <v>--</v>
      </c>
      <c r="CT94" s="1686" t="str">
        <f t="shared" si="272"/>
        <v>--</v>
      </c>
      <c r="CU94" s="1686" t="str">
        <f t="shared" si="273"/>
        <v>--</v>
      </c>
    </row>
    <row r="95" spans="1:99">
      <c r="A95" s="309" t="s">
        <v>259</v>
      </c>
      <c r="B95" s="427" t="s">
        <v>260</v>
      </c>
      <c r="C95" s="1563" t="str">
        <f t="shared" si="183"/>
        <v>O</v>
      </c>
      <c r="D95" t="e">
        <f t="shared" si="184"/>
        <v>#N/A</v>
      </c>
      <c r="E95" s="1563">
        <f t="shared" si="185"/>
        <v>174</v>
      </c>
      <c r="F95">
        <f t="shared" si="186"/>
        <v>174</v>
      </c>
      <c r="G95" s="1160">
        <f t="shared" si="248"/>
        <v>0</v>
      </c>
      <c r="H95" s="1563" t="str">
        <f t="shared" si="187"/>
        <v>NV</v>
      </c>
      <c r="I95">
        <f t="shared" si="188"/>
        <v>0</v>
      </c>
      <c r="J95" s="1160">
        <f t="shared" si="249"/>
        <v>0</v>
      </c>
      <c r="K95" s="1563">
        <f t="shared" si="189"/>
        <v>266.33999999999997</v>
      </c>
      <c r="L95">
        <f t="shared" si="190"/>
        <v>266.33999999999997</v>
      </c>
      <c r="M95" s="1160">
        <f t="shared" si="250"/>
        <v>0</v>
      </c>
      <c r="N95" s="1563">
        <f t="shared" si="191"/>
        <v>1.1E-4</v>
      </c>
      <c r="O95">
        <f t="shared" si="192"/>
        <v>1.1E-4</v>
      </c>
      <c r="P95" s="1160">
        <f t="shared" si="251"/>
        <v>0</v>
      </c>
      <c r="Q95" s="1563">
        <f t="shared" si="193"/>
        <v>14</v>
      </c>
      <c r="R95">
        <f t="shared" si="194"/>
        <v>14</v>
      </c>
      <c r="S95" s="1160">
        <f t="shared" si="252"/>
        <v>0</v>
      </c>
      <c r="T95" s="1563">
        <f t="shared" si="195"/>
        <v>2.4500000000000001E-8</v>
      </c>
      <c r="U95">
        <f t="shared" si="196"/>
        <v>2.4500000000000001E-8</v>
      </c>
      <c r="V95" s="1160">
        <f t="shared" si="253"/>
        <v>0</v>
      </c>
      <c r="W95" s="1563">
        <f t="shared" si="197"/>
        <v>1.0016353229800001E-6</v>
      </c>
      <c r="X95">
        <f t="shared" si="198"/>
        <v>1.0016353229800001E-6</v>
      </c>
      <c r="Y95" s="1160">
        <f t="shared" si="254"/>
        <v>0</v>
      </c>
      <c r="Z95" s="1563">
        <f t="shared" si="199"/>
        <v>592</v>
      </c>
      <c r="AA95">
        <f t="shared" si="200"/>
        <v>592</v>
      </c>
      <c r="AB95" s="1160">
        <f t="shared" si="255"/>
        <v>0</v>
      </c>
      <c r="AC95" s="1563">
        <f t="shared" si="201"/>
        <v>3.552</v>
      </c>
      <c r="AD95" t="str">
        <f t="shared" si="202"/>
        <v/>
      </c>
      <c r="AE95" s="1160">
        <f t="shared" si="256"/>
        <v>1</v>
      </c>
      <c r="AF95" s="1563">
        <f t="shared" si="203"/>
        <v>2.9519689785330001E-2</v>
      </c>
      <c r="AG95">
        <f t="shared" si="204"/>
        <v>2.9519689785330001E-2</v>
      </c>
      <c r="AH95" s="1160">
        <f t="shared" si="257"/>
        <v>0</v>
      </c>
      <c r="AI95" s="1563">
        <f t="shared" si="205"/>
        <v>8.0120879260399998E-6</v>
      </c>
      <c r="AJ95">
        <f t="shared" si="206"/>
        <v>8.0120879260399998E-6</v>
      </c>
      <c r="AK95" s="1160">
        <f t="shared" si="258"/>
        <v>0</v>
      </c>
      <c r="AL95" s="1563">
        <f t="shared" si="207"/>
        <v>98.272152071500003</v>
      </c>
      <c r="AM95" t="e">
        <f t="shared" si="208"/>
        <v>#N/A</v>
      </c>
      <c r="AN95" s="1563">
        <f t="shared" si="209"/>
        <v>51.128002654648597</v>
      </c>
      <c r="AO95" t="str">
        <f t="shared" si="210"/>
        <v/>
      </c>
      <c r="AP95" s="1160">
        <f t="shared" si="211"/>
        <v>1</v>
      </c>
      <c r="AQ95" s="1563" t="str">
        <f t="shared" si="212"/>
        <v>--</v>
      </c>
      <c r="AS95" s="1563" t="str">
        <f t="shared" si="213"/>
        <v>--</v>
      </c>
      <c r="AU95" s="1563" t="str">
        <f t="shared" si="214"/>
        <v>--</v>
      </c>
      <c r="AW95" s="1563" t="str">
        <f t="shared" si="215"/>
        <v>--</v>
      </c>
      <c r="AY95" s="1592">
        <f t="shared" si="216"/>
        <v>1</v>
      </c>
      <c r="AZ95" s="821">
        <f t="shared" si="217"/>
        <v>1</v>
      </c>
      <c r="BA95" s="1160">
        <f t="shared" si="259"/>
        <v>0</v>
      </c>
      <c r="BB95" s="1592">
        <f t="shared" si="218"/>
        <v>0.25</v>
      </c>
      <c r="BC95" s="821">
        <f t="shared" si="219"/>
        <v>0.25</v>
      </c>
      <c r="BD95" s="1160">
        <f t="shared" si="260"/>
        <v>0</v>
      </c>
      <c r="BE95" s="1592" t="str">
        <f t="shared" si="220"/>
        <v>Yes</v>
      </c>
      <c r="BF95" s="1592">
        <f t="shared" si="221"/>
        <v>0.127</v>
      </c>
      <c r="BG95" s="821">
        <f t="shared" si="222"/>
        <v>0.127</v>
      </c>
      <c r="BH95" s="1160">
        <f t="shared" si="261"/>
        <v>0</v>
      </c>
      <c r="BI95" s="1592">
        <f t="shared" si="223"/>
        <v>0.9</v>
      </c>
      <c r="BJ95" s="1592">
        <f t="shared" si="224"/>
        <v>0.79716563913217997</v>
      </c>
      <c r="BK95" s="821">
        <f t="shared" si="225"/>
        <v>0.79716563913217997</v>
      </c>
      <c r="BL95" s="1160">
        <f t="shared" si="262"/>
        <v>0</v>
      </c>
      <c r="BM95" s="1592">
        <f t="shared" si="226"/>
        <v>3.2610146481414501</v>
      </c>
      <c r="BN95" s="821">
        <f t="shared" si="227"/>
        <v>3.2610146481414501</v>
      </c>
      <c r="BO95" s="1160">
        <f t="shared" si="263"/>
        <v>0</v>
      </c>
      <c r="BP95" s="1592">
        <f t="shared" si="228"/>
        <v>12.5468979093956</v>
      </c>
      <c r="BQ95" s="821">
        <f t="shared" si="229"/>
        <v>12.5468979093956</v>
      </c>
      <c r="BR95" s="1160">
        <f t="shared" si="264"/>
        <v>0</v>
      </c>
      <c r="BS95" s="1592" t="str">
        <f t="shared" si="230"/>
        <v>--</v>
      </c>
      <c r="BT95" s="821">
        <f t="shared" si="231"/>
        <v>0</v>
      </c>
      <c r="BU95" s="1160">
        <f t="shared" si="265"/>
        <v>0</v>
      </c>
      <c r="BW95" s="75">
        <f t="shared" si="232"/>
        <v>0.4</v>
      </c>
      <c r="BX95" s="75" t="str">
        <f t="shared" si="233"/>
        <v>IRIS 2010</v>
      </c>
      <c r="BY95" s="75">
        <f t="shared" si="234"/>
        <v>0.4</v>
      </c>
      <c r="BZ95" s="75" t="str">
        <f t="shared" si="235"/>
        <v>I</v>
      </c>
      <c r="CA95" s="1670" t="str">
        <f t="shared" si="266"/>
        <v>--</v>
      </c>
      <c r="CB95" s="75">
        <f t="shared" si="236"/>
        <v>5.1000000000000003E-6</v>
      </c>
      <c r="CC95" s="75" t="str">
        <f t="shared" si="237"/>
        <v>OEHHA 2009</v>
      </c>
      <c r="CD95" s="75">
        <f t="shared" si="238"/>
        <v>5.1000000000000003E-6</v>
      </c>
      <c r="CE95" s="75" t="str">
        <f t="shared" si="239"/>
        <v>C</v>
      </c>
      <c r="CF95" s="1670" t="str">
        <f t="shared" si="267"/>
        <v>--</v>
      </c>
      <c r="CG95" s="75">
        <f t="shared" si="240"/>
        <v>5.0000000000000001E-3</v>
      </c>
      <c r="CH95" s="75" t="str">
        <f t="shared" si="241"/>
        <v>IRIS 2010</v>
      </c>
      <c r="CI95" s="75">
        <f t="shared" si="242"/>
        <v>5.0000000000000001E-3</v>
      </c>
      <c r="CJ95" s="75" t="str">
        <f t="shared" si="243"/>
        <v>I</v>
      </c>
      <c r="CK95" s="1670" t="str">
        <f t="shared" si="268"/>
        <v>--</v>
      </c>
      <c r="CL95" s="75" t="str">
        <f t="shared" si="244"/>
        <v>--</v>
      </c>
      <c r="CM95" s="75" t="str">
        <f t="shared" si="245"/>
        <v xml:space="preserve"> </v>
      </c>
      <c r="CN95" s="75" t="str">
        <f t="shared" si="246"/>
        <v/>
      </c>
      <c r="CO95" s="75" t="str">
        <f t="shared" si="247"/>
        <v/>
      </c>
      <c r="CP95" s="1670" t="str">
        <f t="shared" si="269"/>
        <v>--</v>
      </c>
      <c r="CR95" s="1686" t="str">
        <f t="shared" si="270"/>
        <v>--</v>
      </c>
      <c r="CS95" s="1686" t="str">
        <f t="shared" si="271"/>
        <v>--</v>
      </c>
      <c r="CT95" s="1686" t="str">
        <f t="shared" si="272"/>
        <v>--</v>
      </c>
      <c r="CU95" s="1686" t="str">
        <f t="shared" si="273"/>
        <v>--</v>
      </c>
    </row>
    <row r="96" spans="1:99">
      <c r="A96" s="309" t="s">
        <v>261</v>
      </c>
      <c r="B96" s="427" t="s">
        <v>1261</v>
      </c>
      <c r="C96" s="1563" t="str">
        <f t="shared" si="183"/>
        <v>I</v>
      </c>
      <c r="D96" t="e">
        <f t="shared" si="184"/>
        <v>#N/A</v>
      </c>
      <c r="E96" s="1563" t="str">
        <f t="shared" si="185"/>
        <v>--</v>
      </c>
      <c r="F96" t="str">
        <f t="shared" si="186"/>
        <v/>
      </c>
      <c r="G96" s="1160">
        <f t="shared" si="248"/>
        <v>1</v>
      </c>
      <c r="H96" s="1563" t="str">
        <f t="shared" si="187"/>
        <v>NV</v>
      </c>
      <c r="I96">
        <f t="shared" si="188"/>
        <v>0</v>
      </c>
      <c r="J96" s="1160">
        <f t="shared" si="249"/>
        <v>0</v>
      </c>
      <c r="K96" s="1563">
        <f t="shared" si="189"/>
        <v>117.49</v>
      </c>
      <c r="L96">
        <f t="shared" si="190"/>
        <v>117.49</v>
      </c>
      <c r="M96" s="1160">
        <f t="shared" si="250"/>
        <v>0</v>
      </c>
      <c r="N96" s="1563" t="str">
        <f t="shared" si="191"/>
        <v>--</v>
      </c>
      <c r="O96" t="str">
        <f t="shared" si="192"/>
        <v/>
      </c>
      <c r="P96" s="1160">
        <f t="shared" si="251"/>
        <v>0</v>
      </c>
      <c r="Q96" s="1563">
        <f t="shared" si="193"/>
        <v>245000</v>
      </c>
      <c r="R96">
        <f t="shared" si="194"/>
        <v>245000</v>
      </c>
      <c r="S96" s="1160">
        <f t="shared" si="252"/>
        <v>0</v>
      </c>
      <c r="T96" s="1563" t="str">
        <f t="shared" si="195"/>
        <v>--</v>
      </c>
      <c r="U96" t="str">
        <f t="shared" si="196"/>
        <v/>
      </c>
      <c r="V96" s="1160">
        <f t="shared" si="253"/>
        <v>0</v>
      </c>
      <c r="W96" s="1563" t="str">
        <f t="shared" si="197"/>
        <v>--</v>
      </c>
      <c r="X96" t="str">
        <f t="shared" si="198"/>
        <v/>
      </c>
      <c r="Y96" s="1160">
        <f t="shared" si="254"/>
        <v>0</v>
      </c>
      <c r="Z96" s="1563" t="str">
        <f t="shared" si="199"/>
        <v>--</v>
      </c>
      <c r="AA96" t="str">
        <f t="shared" si="200"/>
        <v/>
      </c>
      <c r="AB96" s="1160">
        <f t="shared" si="255"/>
        <v>0</v>
      </c>
      <c r="AC96" s="1563" t="str">
        <f t="shared" si="201"/>
        <v>--</v>
      </c>
      <c r="AD96" t="str">
        <f t="shared" si="202"/>
        <v/>
      </c>
      <c r="AE96" s="1160">
        <f t="shared" si="256"/>
        <v>0</v>
      </c>
      <c r="AF96" s="1563">
        <f t="shared" si="203"/>
        <v>7.9205072971129997E-2</v>
      </c>
      <c r="AG96">
        <f t="shared" si="204"/>
        <v>7.9205072971129997E-2</v>
      </c>
      <c r="AH96" s="1160">
        <f t="shared" si="257"/>
        <v>0</v>
      </c>
      <c r="AI96" s="1563">
        <f t="shared" si="205"/>
        <v>9.2544874734699998E-6</v>
      </c>
      <c r="AJ96">
        <f t="shared" si="206"/>
        <v>9.2544874734699998E-6</v>
      </c>
      <c r="AK96" s="1160">
        <f t="shared" si="258"/>
        <v>0</v>
      </c>
      <c r="AL96" s="1563">
        <f t="shared" si="207"/>
        <v>20</v>
      </c>
      <c r="AM96" t="e">
        <f t="shared" si="208"/>
        <v>#N/A</v>
      </c>
      <c r="AN96" s="1563" t="str">
        <f t="shared" si="209"/>
        <v>--</v>
      </c>
      <c r="AO96" t="str">
        <f t="shared" si="210"/>
        <v/>
      </c>
      <c r="AP96" s="1160">
        <f t="shared" si="211"/>
        <v>1</v>
      </c>
      <c r="AQ96" s="1563" t="str">
        <f t="shared" si="212"/>
        <v>--</v>
      </c>
      <c r="AS96" s="1563" t="str">
        <f t="shared" si="213"/>
        <v>--</v>
      </c>
      <c r="AU96" s="1563" t="str">
        <f t="shared" si="214"/>
        <v>--</v>
      </c>
      <c r="AW96" s="1563" t="str">
        <f t="shared" si="215"/>
        <v>--</v>
      </c>
      <c r="AY96" s="1592">
        <f t="shared" si="216"/>
        <v>1</v>
      </c>
      <c r="AZ96" s="821">
        <f t="shared" si="217"/>
        <v>1</v>
      </c>
      <c r="BA96" s="1160">
        <f t="shared" si="259"/>
        <v>0</v>
      </c>
      <c r="BB96" s="1592" t="str">
        <f t="shared" si="218"/>
        <v>--</v>
      </c>
      <c r="BC96" s="821" t="str">
        <f t="shared" si="219"/>
        <v/>
      </c>
      <c r="BD96" s="1160">
        <f t="shared" si="260"/>
        <v>0</v>
      </c>
      <c r="BE96" s="1592" t="str">
        <f t="shared" si="220"/>
        <v>Yes</v>
      </c>
      <c r="BF96" s="1592">
        <f t="shared" si="221"/>
        <v>1E-3</v>
      </c>
      <c r="BG96" s="821">
        <f t="shared" si="222"/>
        <v>1E-3</v>
      </c>
      <c r="BH96" s="1160">
        <f t="shared" si="261"/>
        <v>0</v>
      </c>
      <c r="BI96" s="1592">
        <f t="shared" si="223"/>
        <v>1</v>
      </c>
      <c r="BJ96" s="1592">
        <f t="shared" si="224"/>
        <v>4.1689540072800003E-3</v>
      </c>
      <c r="BK96" s="821">
        <f t="shared" si="225"/>
        <v>4.1689540072800003E-3</v>
      </c>
      <c r="BL96" s="1160">
        <f t="shared" si="262"/>
        <v>0</v>
      </c>
      <c r="BM96" s="1592">
        <f t="shared" si="226"/>
        <v>0.47840173896024002</v>
      </c>
      <c r="BN96" s="821">
        <f t="shared" si="227"/>
        <v>0.47840173896024002</v>
      </c>
      <c r="BO96" s="1160">
        <f t="shared" si="263"/>
        <v>0</v>
      </c>
      <c r="BP96" s="1592">
        <f t="shared" si="228"/>
        <v>1.14816417350457</v>
      </c>
      <c r="BQ96" s="821">
        <f t="shared" si="229"/>
        <v>1.14816417350457</v>
      </c>
      <c r="BR96" s="1160">
        <f t="shared" si="264"/>
        <v>0</v>
      </c>
      <c r="BS96" s="1592" t="str">
        <f t="shared" si="230"/>
        <v>--</v>
      </c>
      <c r="BT96" s="821">
        <f t="shared" si="231"/>
        <v>0</v>
      </c>
      <c r="BU96" s="1160">
        <f t="shared" si="265"/>
        <v>0</v>
      </c>
      <c r="BW96" s="75" t="str">
        <f t="shared" si="232"/>
        <v>--</v>
      </c>
      <c r="BX96" s="75" t="str">
        <f t="shared" si="233"/>
        <v xml:space="preserve"> </v>
      </c>
      <c r="BY96" s="75" t="str">
        <f t="shared" si="234"/>
        <v/>
      </c>
      <c r="BZ96" s="75" t="str">
        <f t="shared" si="235"/>
        <v/>
      </c>
      <c r="CA96" s="1670" t="str">
        <f t="shared" si="266"/>
        <v>--</v>
      </c>
      <c r="CB96" s="75" t="str">
        <f t="shared" si="236"/>
        <v>--</v>
      </c>
      <c r="CC96" s="75" t="str">
        <f t="shared" si="237"/>
        <v xml:space="preserve"> </v>
      </c>
      <c r="CD96" s="75" t="str">
        <f t="shared" si="238"/>
        <v/>
      </c>
      <c r="CE96" s="75" t="str">
        <f t="shared" si="239"/>
        <v/>
      </c>
      <c r="CF96" s="1670" t="str">
        <f t="shared" si="267"/>
        <v>--</v>
      </c>
      <c r="CG96" s="75">
        <f t="shared" si="240"/>
        <v>6.9999999999999999E-4</v>
      </c>
      <c r="CH96" s="75" t="str">
        <f t="shared" si="241"/>
        <v>IRIS 2005</v>
      </c>
      <c r="CI96" s="75">
        <f t="shared" si="242"/>
        <v>6.9999999999999999E-4</v>
      </c>
      <c r="CJ96" s="75" t="str">
        <f t="shared" si="243"/>
        <v>I</v>
      </c>
      <c r="CK96" s="1670" t="str">
        <f t="shared" si="268"/>
        <v>--</v>
      </c>
      <c r="CL96" s="75" t="str">
        <f t="shared" si="244"/>
        <v>--</v>
      </c>
      <c r="CM96" s="75" t="str">
        <f t="shared" si="245"/>
        <v xml:space="preserve"> </v>
      </c>
      <c r="CN96" s="75" t="str">
        <f t="shared" si="246"/>
        <v/>
      </c>
      <c r="CO96" s="75" t="str">
        <f t="shared" si="247"/>
        <v/>
      </c>
      <c r="CP96" s="1670" t="str">
        <f t="shared" si="269"/>
        <v>--</v>
      </c>
      <c r="CR96" s="1686" t="str">
        <f t="shared" si="270"/>
        <v>--</v>
      </c>
      <c r="CS96" s="1686" t="str">
        <f t="shared" si="271"/>
        <v>--</v>
      </c>
      <c r="CT96" s="1686" t="str">
        <f t="shared" si="272"/>
        <v>--</v>
      </c>
      <c r="CU96" s="1686" t="str">
        <f t="shared" si="273"/>
        <v>--</v>
      </c>
    </row>
    <row r="97" spans="1:99">
      <c r="A97" s="1573" t="s">
        <v>263</v>
      </c>
      <c r="B97" s="1569" t="s">
        <v>115</v>
      </c>
      <c r="C97" s="1563" t="str">
        <f t="shared" ref="C97:C102" si="274">VLOOKUP($A97,Table_IP_1, MATCH("OI", heading_IP_1, 0), FALSE)</f>
        <v>O</v>
      </c>
      <c r="D97" t="e">
        <f t="shared" ref="D97:D133" si="275">VLOOKUP($B97,Table_RSL, MATCH("OI", Heading_RSL, 0), FALSE)</f>
        <v>#N/A</v>
      </c>
      <c r="E97" s="1563">
        <f t="shared" ref="E97:E133" si="276">VLOOKUP($A97,Table_IP_1, MATCH("mt", heading_IP_1, 0), FALSE)</f>
        <v>-90</v>
      </c>
      <c r="F97" t="e">
        <f t="shared" ref="F97:F133" si="277">VLOOKUP($B97,Table_RSL, MATCH("mt", Heading_RSL, 0), FALSE)</f>
        <v>#N/A</v>
      </c>
      <c r="G97" s="1160" t="e">
        <f t="shared" si="248"/>
        <v>#N/A</v>
      </c>
      <c r="H97" s="1563" t="str">
        <f t="shared" ref="H97:H102" si="278">VLOOKUP($A97,Table_IP_1, MATCH("volatility", heading_IP_1, 0), FALSE)</f>
        <v>V</v>
      </c>
      <c r="I97" t="e">
        <f t="shared" ref="I97:I133" si="279">VLOOKUP($B97,Table_RSL, MATCH("v", Heading_RSL, 0), FALSE)</f>
        <v>#N/A</v>
      </c>
      <c r="J97" s="1160" t="e">
        <f t="shared" si="249"/>
        <v>#N/A</v>
      </c>
      <c r="K97" s="1563">
        <f t="shared" ref="K97:K102" si="280">VLOOKUP($A97,Table_IP_1, MATCH("mw", heading_IP_1, 0), FALSE)</f>
        <v>108</v>
      </c>
      <c r="L97" t="e">
        <f t="shared" ref="L97:L133" si="281">VLOOKUP($B97,Table_RSL, MATCH("mw", Heading_RSL, 0), FALSE)</f>
        <v>#N/A</v>
      </c>
      <c r="M97" s="1160" t="e">
        <f t="shared" si="250"/>
        <v>#N/A</v>
      </c>
      <c r="N97" s="1563">
        <f t="shared" ref="N97:N102" si="282">VLOOKUP($A97,Table_IP_1, MATCH("vp", heading_IP_1, 0), FALSE)</f>
        <v>300</v>
      </c>
      <c r="O97" t="e">
        <f t="shared" ref="O97:O133" si="283">VLOOKUP($B97,Table_RSL, MATCH("VP", Heading_RSL, 0), FALSE)</f>
        <v>#N/A</v>
      </c>
      <c r="P97" s="1160" t="e">
        <f t="shared" si="251"/>
        <v>#N/A</v>
      </c>
      <c r="Q97" s="1563">
        <f t="shared" ref="Q97:Q102" si="284">VLOOKUP($A97,Table_IP_1, MATCH("sol", heading_IP_1, 0), FALSE)</f>
        <v>240</v>
      </c>
      <c r="R97" t="e">
        <f t="shared" ref="R97:R133" si="285">VLOOKUP($B97,Table_RSL, MATCH("S", Heading_RSL, 0), FALSE)</f>
        <v>#N/A</v>
      </c>
      <c r="S97" s="1160" t="e">
        <f t="shared" si="252"/>
        <v>#N/A</v>
      </c>
      <c r="T97" s="1563">
        <f t="shared" ref="T97:T102" si="286">VLOOKUP($A97,Table_IP_1, MATCH("H", heading_IP_1, 0), FALSE)</f>
        <v>1.79</v>
      </c>
      <c r="U97" t="e">
        <f t="shared" ref="U97:U133" si="287">VLOOKUP($B97,Table_RSL, MATCH("H", Heading_RSL, 0), FALSE)</f>
        <v>#N/A</v>
      </c>
      <c r="V97" s="1160" t="e">
        <f t="shared" si="253"/>
        <v>#N/A</v>
      </c>
      <c r="W97" s="1563">
        <f t="shared" ref="W97:W102" si="288">VLOOKUP($A97,Table_IP_1, MATCH("H'", heading_IP_1, 0), FALSE)</f>
        <v>73.262600000000006</v>
      </c>
      <c r="X97" t="e">
        <f t="shared" ref="X97:X133" si="289">VLOOKUP($B97,Table_RSL, MATCH("H'", Heading_RSL, 0), FALSE)</f>
        <v>#N/A</v>
      </c>
      <c r="Y97" s="1160" t="e">
        <f t="shared" si="254"/>
        <v>#N/A</v>
      </c>
      <c r="Z97" s="1563">
        <f t="shared" ref="Z97:Z102" si="290">VLOOKUP($A97,Table_IP_1, MATCH("koc", heading_IP_1, 0), FALSE)</f>
        <v>130</v>
      </c>
      <c r="AA97" t="e">
        <f t="shared" ref="AA97:AA133" si="291">VLOOKUP($B97,Table_RSL, MATCH("koc", Heading_RSL, 0), FALSE)</f>
        <v>#N/A</v>
      </c>
      <c r="AB97" s="1160" t="e">
        <f t="shared" si="255"/>
        <v>#N/A</v>
      </c>
      <c r="AC97" s="1563">
        <f t="shared" ref="AC97:AC102" si="292">VLOOKUP($A97,Table_IP_1, MATCH("kd", heading_IP_1, 0), FALSE)</f>
        <v>0.78</v>
      </c>
      <c r="AD97" t="e">
        <f t="shared" ref="AD97:AD133" si="293">VLOOKUP($B97,Table_RSL, MATCH("kd", Heading_RSL, 0), FALSE)</f>
        <v>#N/A</v>
      </c>
      <c r="AE97" s="1160" t="e">
        <f t="shared" si="256"/>
        <v>#N/A</v>
      </c>
      <c r="AF97" s="1563">
        <f t="shared" ref="AF97:AF102" si="294">VLOOKUP($A97,Table_IP_1, MATCH("da", heading_IP_1, 0), FALSE)</f>
        <v>7.2999999999999995E-2</v>
      </c>
      <c r="AG97" t="e">
        <f t="shared" ref="AG97:AG133" si="295">VLOOKUP($B97,Table_RSL, MATCH("dia", Heading_RSL, 0), FALSE)</f>
        <v>#N/A</v>
      </c>
      <c r="AH97" s="1160" t="e">
        <f t="shared" si="257"/>
        <v>#N/A</v>
      </c>
      <c r="AI97" s="1563">
        <f t="shared" ref="AI97:AI102" si="296">VLOOKUP($A97,Table_IP_1, MATCH("dw", heading_IP_1, 0), FALSE)</f>
        <v>8.1999999999999994E-6</v>
      </c>
      <c r="AJ97" t="e">
        <f t="shared" ref="AJ97:AJ133" si="297">VLOOKUP($B97,Table_RSL, MATCH("diw", Heading_RSL, 0), FALSE)</f>
        <v>#N/A</v>
      </c>
      <c r="AK97" s="1160" t="e">
        <f t="shared" si="258"/>
        <v>#N/A</v>
      </c>
      <c r="AL97" s="1563">
        <f t="shared" ref="AL97:AL102" si="298">VLOOKUP($A97,Table_IP_1, MATCH("daf", heading_IP_1, 0), FALSE)</f>
        <v>11132.11</v>
      </c>
      <c r="AM97" t="e">
        <f t="shared" ref="AM97:AM133" si="299">VLOOKUP($B97,Table_RSL, MATCH("daf", Heading_RSL, 0), FALSE)</f>
        <v>#N/A</v>
      </c>
      <c r="AN97" s="1563">
        <f t="shared" ref="AN97:AN102" si="300">VLOOKUP($A97,Table_IP_1, MATCH("sat lim", heading_IP_1, 0), FALSE)</f>
        <v>1000</v>
      </c>
      <c r="AO97" t="e">
        <f t="shared" ref="AO97:AO133" si="301">VLOOKUP($B97,Table_RSL, MATCH("csat", Heading_RSL, 0), FALSE)</f>
        <v>#N/A</v>
      </c>
      <c r="AP97" s="1160" t="e">
        <f t="shared" ref="AP97:AP133" si="302">IF(AO97=AN97,,1)</f>
        <v>#N/A</v>
      </c>
      <c r="AQ97" s="1563">
        <f t="shared" ref="AQ97:AQ102" si="303">VLOOKUP($A97,Table_IP_1, MATCH("app diffus", heading_IP_1, 0), FALSE)</f>
        <v>1.9318649987988549E-2</v>
      </c>
      <c r="AS97" s="1563">
        <f t="shared" ref="AS97:AS102" si="304">VLOOKUP($A97,Table_IP_1, MATCH("VFr", heading_IP_1, 0), FALSE)</f>
        <v>829.87421134325189</v>
      </c>
      <c r="AU97" s="1563">
        <f t="shared" ref="AU97:AU102" si="305">VLOOKUP($A97,Table_IP_1, MATCH("VFc", heading_IP_1, 0), FALSE)</f>
        <v>813.75861489743534</v>
      </c>
      <c r="AW97" s="1563">
        <f t="shared" ref="AW97:AW102" si="306">VLOOKUP($A97,Table_IP_1, MATCH("VFcw", heading_IP_1, 0), FALSE)</f>
        <v>183.80995766287631</v>
      </c>
      <c r="AY97" s="1592" t="e">
        <f t="shared" ref="AY97:AY133" si="307">VLOOKUP($A97,Table_IP_2, MATCH("giabs", heading_IP_2, 0), FALSE)</f>
        <v>#N/A</v>
      </c>
      <c r="AZ97" s="821" t="e">
        <f t="shared" ref="AZ97:AZ133" si="308">VLOOKUP($B97,Table_RSL, MATCH("giabs", Heading_RSL, 0), FALSE)</f>
        <v>#N/A</v>
      </c>
      <c r="BA97" s="1160" t="e">
        <f t="shared" si="259"/>
        <v>#N/A</v>
      </c>
      <c r="BB97" s="1592" t="e">
        <f t="shared" ref="BB97:BB133" si="309">VLOOKUP($A97,Table_IP_2, MATCH("abs", heading_IP_2, 0), FALSE)</f>
        <v>#N/A</v>
      </c>
      <c r="BC97" s="821" t="e">
        <f t="shared" ref="BC97:BC133" si="310">VLOOKUP($B97,Table_RSL, MATCH("abs", Heading_RSL, 0), FALSE)</f>
        <v>#N/A</v>
      </c>
      <c r="BD97" s="1160" t="e">
        <f t="shared" si="260"/>
        <v>#N/A</v>
      </c>
      <c r="BE97" s="1592" t="e">
        <f t="shared" ref="BE97:BE133" si="311">VLOOKUP($A97,Table_IP_2, MATCH("epd", heading_IP_2, 0), FALSE)</f>
        <v>#N/A</v>
      </c>
      <c r="BF97" s="1592" t="e">
        <f t="shared" ref="BF97:BF133" si="312">VLOOKUP($A97,Table_IP_2, MATCH("kp", heading_IP_2, 0), FALSE)</f>
        <v>#N/A</v>
      </c>
      <c r="BG97" s="821" t="e">
        <f t="shared" ref="BG97:BG133" si="313">VLOOKUP($B97,Table_RSL, MATCH("kp", Heading_RSL, 0), FALSE)</f>
        <v>#N/A</v>
      </c>
      <c r="BH97" s="1160" t="e">
        <f t="shared" si="261"/>
        <v>#N/A</v>
      </c>
      <c r="BI97" s="1592" t="e">
        <f t="shared" ref="BI97:BI133" si="314">VLOOKUP($A97,Table_IP_2, MATCH("fa", heading_IP_2, 0), FALSE)</f>
        <v>#N/A</v>
      </c>
      <c r="BJ97" s="1592" t="e">
        <f t="shared" ref="BJ97:BJ133" si="315">VLOOKUP($A97,Table_IP_2, MATCH("b", heading_IP_2, 0), FALSE)</f>
        <v>#N/A</v>
      </c>
      <c r="BK97" s="821" t="e">
        <f t="shared" ref="BK97:BK133" si="316">VLOOKUP($B97,Table_RSL, MATCH("b", Heading_RSL, 0), FALSE)</f>
        <v>#N/A</v>
      </c>
      <c r="BL97" s="1160" t="e">
        <f t="shared" si="262"/>
        <v>#N/A</v>
      </c>
      <c r="BM97" s="1592" t="e">
        <f t="shared" ref="BM97:BM133" si="317">VLOOKUP($A97,Table_IP_2, MATCH("t_event", heading_IP_2, 0), FALSE)</f>
        <v>#N/A</v>
      </c>
      <c r="BN97" s="821" t="e">
        <f t="shared" ref="BN97:BN133" si="318">VLOOKUP($B97,Table_RSL, MATCH("t_event", Heading_RSL, 0), FALSE)</f>
        <v>#N/A</v>
      </c>
      <c r="BO97" s="1160" t="e">
        <f t="shared" si="263"/>
        <v>#N/A</v>
      </c>
      <c r="BP97" s="1592" t="e">
        <f t="shared" ref="BP97:BP133" si="319">VLOOKUP($A97,Table_IP_2, MATCH("t", heading_IP_2, 0), FALSE)</f>
        <v>#N/A</v>
      </c>
      <c r="BQ97" s="821" t="e">
        <f t="shared" ref="BQ97:BQ133" si="320">VLOOKUP($B97,Table_RSL, MATCH("t", Heading_RSL, 0), FALSE)</f>
        <v>#N/A</v>
      </c>
      <c r="BR97" s="1160" t="e">
        <f t="shared" si="264"/>
        <v>#N/A</v>
      </c>
      <c r="BS97" s="1592" t="e">
        <f t="shared" ref="BS97:BS133" si="321">VLOOKUP($A97,Table_IP_2, MATCH("mut", heading_IP_2, 0), FALSE)</f>
        <v>#N/A</v>
      </c>
      <c r="BT97" s="821" t="e">
        <f t="shared" ref="BT97:BT133" si="322">VLOOKUP($B97,Table_RSL, MATCH("mut", Heading_RSL, 0), FALSE)</f>
        <v>#N/A</v>
      </c>
      <c r="BU97" s="1160" t="e">
        <f t="shared" si="265"/>
        <v>#N/A</v>
      </c>
      <c r="BW97" s="75" t="e">
        <f t="shared" si="232"/>
        <v>#N/A</v>
      </c>
      <c r="BX97" s="75" t="e">
        <f t="shared" si="233"/>
        <v>#N/A</v>
      </c>
      <c r="BY97" s="75" t="e">
        <f t="shared" si="234"/>
        <v>#N/A</v>
      </c>
      <c r="BZ97" s="75" t="e">
        <f t="shared" si="235"/>
        <v>#N/A</v>
      </c>
      <c r="CA97" s="1670" t="e">
        <f t="shared" si="266"/>
        <v>#N/A</v>
      </c>
      <c r="CB97" s="75" t="e">
        <f t="shared" si="236"/>
        <v>#N/A</v>
      </c>
      <c r="CC97" s="75" t="e">
        <f t="shared" si="237"/>
        <v>#N/A</v>
      </c>
      <c r="CD97" s="75" t="e">
        <f t="shared" si="238"/>
        <v>#N/A</v>
      </c>
      <c r="CE97" s="75" t="e">
        <f t="shared" si="239"/>
        <v>#N/A</v>
      </c>
      <c r="CF97" s="1670" t="e">
        <f t="shared" si="267"/>
        <v>#N/A</v>
      </c>
      <c r="CG97" s="75" t="e">
        <f t="shared" si="240"/>
        <v>#N/A</v>
      </c>
      <c r="CH97" s="75" t="e">
        <f t="shared" si="241"/>
        <v>#N/A</v>
      </c>
      <c r="CI97" s="75" t="e">
        <f t="shared" si="242"/>
        <v>#N/A</v>
      </c>
      <c r="CJ97" s="75" t="e">
        <f t="shared" si="243"/>
        <v>#N/A</v>
      </c>
      <c r="CK97" s="1670" t="e">
        <f t="shared" si="268"/>
        <v>#N/A</v>
      </c>
      <c r="CL97" s="75" t="e">
        <f t="shared" si="244"/>
        <v>#N/A</v>
      </c>
      <c r="CM97" s="75" t="e">
        <f t="shared" si="245"/>
        <v>#N/A</v>
      </c>
      <c r="CN97" s="75" t="e">
        <f t="shared" si="246"/>
        <v>#N/A</v>
      </c>
      <c r="CO97" s="75" t="e">
        <f t="shared" si="247"/>
        <v>#N/A</v>
      </c>
      <c r="CP97" s="1670" t="e">
        <f t="shared" si="269"/>
        <v>#N/A</v>
      </c>
      <c r="CR97" s="1686" t="e">
        <f t="shared" si="270"/>
        <v>#N/A</v>
      </c>
      <c r="CS97" s="1686" t="e">
        <f t="shared" si="271"/>
        <v>#N/A</v>
      </c>
      <c r="CT97" s="1686" t="e">
        <f t="shared" si="272"/>
        <v>#N/A</v>
      </c>
      <c r="CU97" s="1686" t="e">
        <f t="shared" si="273"/>
        <v>#N/A</v>
      </c>
    </row>
    <row r="98" spans="1:99">
      <c r="A98" s="1573" t="s">
        <v>264</v>
      </c>
      <c r="B98" s="1569" t="s">
        <v>115</v>
      </c>
      <c r="C98" s="1563" t="str">
        <f t="shared" si="274"/>
        <v>O</v>
      </c>
      <c r="D98" t="e">
        <f t="shared" si="275"/>
        <v>#N/A</v>
      </c>
      <c r="E98" s="1563">
        <f t="shared" si="276"/>
        <v>-40</v>
      </c>
      <c r="F98" t="e">
        <f t="shared" si="277"/>
        <v>#N/A</v>
      </c>
      <c r="G98" s="1160" t="e">
        <f t="shared" si="248"/>
        <v>#N/A</v>
      </c>
      <c r="H98" s="1563" t="str">
        <f t="shared" si="278"/>
        <v>V</v>
      </c>
      <c r="I98" t="e">
        <f t="shared" si="279"/>
        <v>#N/A</v>
      </c>
      <c r="J98" s="1160" t="e">
        <f t="shared" si="249"/>
        <v>#N/A</v>
      </c>
      <c r="K98" s="1563">
        <f t="shared" si="280"/>
        <v>142</v>
      </c>
      <c r="L98" t="e">
        <f t="shared" si="281"/>
        <v>#N/A</v>
      </c>
      <c r="M98" s="1160" t="e">
        <f t="shared" si="250"/>
        <v>#N/A</v>
      </c>
      <c r="N98" s="1563">
        <f t="shared" si="282"/>
        <v>3</v>
      </c>
      <c r="O98" t="e">
        <f t="shared" si="283"/>
        <v>#N/A</v>
      </c>
      <c r="P98" s="1160" t="e">
        <f t="shared" si="251"/>
        <v>#N/A</v>
      </c>
      <c r="Q98" s="1563">
        <f t="shared" si="284"/>
        <v>5</v>
      </c>
      <c r="R98" t="e">
        <f t="shared" si="285"/>
        <v>#N/A</v>
      </c>
      <c r="S98" s="1160" t="e">
        <f t="shared" si="252"/>
        <v>#N/A</v>
      </c>
      <c r="T98" s="1563">
        <f t="shared" si="286"/>
        <v>1.96</v>
      </c>
      <c r="U98" t="e">
        <f t="shared" si="287"/>
        <v>#N/A</v>
      </c>
      <c r="V98" s="1160" t="e">
        <f t="shared" si="253"/>
        <v>#N/A</v>
      </c>
      <c r="W98" s="1563">
        <f t="shared" si="288"/>
        <v>80.290400000000005</v>
      </c>
      <c r="X98" t="e">
        <f t="shared" si="289"/>
        <v>#N/A</v>
      </c>
      <c r="Y98" s="1160" t="e">
        <f t="shared" si="254"/>
        <v>#N/A</v>
      </c>
      <c r="Z98" s="1563">
        <f t="shared" si="290"/>
        <v>800</v>
      </c>
      <c r="AA98" t="e">
        <f t="shared" si="291"/>
        <v>#N/A</v>
      </c>
      <c r="AB98" s="1160" t="e">
        <f t="shared" si="255"/>
        <v>#N/A</v>
      </c>
      <c r="AC98" s="1563">
        <f t="shared" si="292"/>
        <v>4.8</v>
      </c>
      <c r="AD98" t="e">
        <f t="shared" si="293"/>
        <v>#N/A</v>
      </c>
      <c r="AE98" s="1160" t="e">
        <f t="shared" si="256"/>
        <v>#N/A</v>
      </c>
      <c r="AF98" s="1563">
        <f t="shared" si="294"/>
        <v>5.0999999999999997E-2</v>
      </c>
      <c r="AG98" t="e">
        <f t="shared" si="295"/>
        <v>#N/A</v>
      </c>
      <c r="AH98" s="1160" t="e">
        <f t="shared" si="257"/>
        <v>#N/A</v>
      </c>
      <c r="AI98" s="1563">
        <f t="shared" si="296"/>
        <v>6.8000000000000001E-6</v>
      </c>
      <c r="AJ98" t="e">
        <f t="shared" si="297"/>
        <v>#N/A</v>
      </c>
      <c r="AK98" s="1160" t="e">
        <f t="shared" si="258"/>
        <v>#N/A</v>
      </c>
      <c r="AL98" s="1563">
        <f t="shared" si="298"/>
        <v>12298.519999999999</v>
      </c>
      <c r="AM98" t="e">
        <f t="shared" si="299"/>
        <v>#N/A</v>
      </c>
      <c r="AN98" s="1563">
        <f t="shared" si="300"/>
        <v>2286</v>
      </c>
      <c r="AO98" t="e">
        <f t="shared" si="301"/>
        <v>#N/A</v>
      </c>
      <c r="AP98" s="1160" t="e">
        <f t="shared" si="302"/>
        <v>#N/A</v>
      </c>
      <c r="AQ98" s="1563">
        <f t="shared" si="303"/>
        <v>1.0853906620899256E-2</v>
      </c>
      <c r="AS98" s="1563">
        <f t="shared" si="304"/>
        <v>1107.1529346063164</v>
      </c>
      <c r="AU98" s="1563">
        <f t="shared" si="305"/>
        <v>1085.6527727094469</v>
      </c>
      <c r="AW98" s="1563">
        <f t="shared" si="306"/>
        <v>245.22479582407752</v>
      </c>
      <c r="AY98" s="1592" t="e">
        <f t="shared" si="307"/>
        <v>#N/A</v>
      </c>
      <c r="AZ98" s="821" t="e">
        <f t="shared" si="308"/>
        <v>#N/A</v>
      </c>
      <c r="BA98" s="1160" t="e">
        <f t="shared" si="259"/>
        <v>#N/A</v>
      </c>
      <c r="BB98" s="1592" t="e">
        <f t="shared" si="309"/>
        <v>#N/A</v>
      </c>
      <c r="BC98" s="821" t="e">
        <f t="shared" si="310"/>
        <v>#N/A</v>
      </c>
      <c r="BD98" s="1160" t="e">
        <f t="shared" si="260"/>
        <v>#N/A</v>
      </c>
      <c r="BE98" s="1592" t="e">
        <f t="shared" si="311"/>
        <v>#N/A</v>
      </c>
      <c r="BF98" s="1592" t="e">
        <f t="shared" si="312"/>
        <v>#N/A</v>
      </c>
      <c r="BG98" s="821" t="e">
        <f t="shared" si="313"/>
        <v>#N/A</v>
      </c>
      <c r="BH98" s="1160" t="e">
        <f t="shared" si="261"/>
        <v>#N/A</v>
      </c>
      <c r="BI98" s="1592" t="e">
        <f t="shared" si="314"/>
        <v>#N/A</v>
      </c>
      <c r="BJ98" s="1592" t="e">
        <f t="shared" si="315"/>
        <v>#N/A</v>
      </c>
      <c r="BK98" s="821" t="e">
        <f t="shared" si="316"/>
        <v>#N/A</v>
      </c>
      <c r="BL98" s="1160" t="e">
        <f t="shared" si="262"/>
        <v>#N/A</v>
      </c>
      <c r="BM98" s="1592" t="e">
        <f t="shared" si="317"/>
        <v>#N/A</v>
      </c>
      <c r="BN98" s="821" t="e">
        <f t="shared" si="318"/>
        <v>#N/A</v>
      </c>
      <c r="BO98" s="1160" t="e">
        <f t="shared" si="263"/>
        <v>#N/A</v>
      </c>
      <c r="BP98" s="1592" t="e">
        <f t="shared" si="319"/>
        <v>#N/A</v>
      </c>
      <c r="BQ98" s="821" t="e">
        <f t="shared" si="320"/>
        <v>#N/A</v>
      </c>
      <c r="BR98" s="1160" t="e">
        <f t="shared" si="264"/>
        <v>#N/A</v>
      </c>
      <c r="BS98" s="1592" t="e">
        <f t="shared" si="321"/>
        <v>#N/A</v>
      </c>
      <c r="BT98" s="821" t="e">
        <f t="shared" si="322"/>
        <v>#N/A</v>
      </c>
      <c r="BU98" s="1160" t="e">
        <f t="shared" si="265"/>
        <v>#N/A</v>
      </c>
      <c r="BW98" s="75" t="e">
        <f t="shared" si="232"/>
        <v>#N/A</v>
      </c>
      <c r="BX98" s="75" t="e">
        <f t="shared" si="233"/>
        <v>#N/A</v>
      </c>
      <c r="BY98" s="75" t="e">
        <f t="shared" si="234"/>
        <v>#N/A</v>
      </c>
      <c r="BZ98" s="75" t="e">
        <f t="shared" si="235"/>
        <v>#N/A</v>
      </c>
      <c r="CA98" s="1670" t="e">
        <f t="shared" si="266"/>
        <v>#N/A</v>
      </c>
      <c r="CB98" s="75" t="e">
        <f t="shared" si="236"/>
        <v>#N/A</v>
      </c>
      <c r="CC98" s="75" t="e">
        <f t="shared" si="237"/>
        <v>#N/A</v>
      </c>
      <c r="CD98" s="75" t="e">
        <f t="shared" si="238"/>
        <v>#N/A</v>
      </c>
      <c r="CE98" s="75" t="e">
        <f t="shared" si="239"/>
        <v>#N/A</v>
      </c>
      <c r="CF98" s="1670" t="e">
        <f t="shared" si="267"/>
        <v>#N/A</v>
      </c>
      <c r="CG98" s="75" t="e">
        <f t="shared" si="240"/>
        <v>#N/A</v>
      </c>
      <c r="CH98" s="75" t="e">
        <f t="shared" si="241"/>
        <v>#N/A</v>
      </c>
      <c r="CI98" s="75" t="e">
        <f t="shared" si="242"/>
        <v>#N/A</v>
      </c>
      <c r="CJ98" s="75" t="e">
        <f t="shared" si="243"/>
        <v>#N/A</v>
      </c>
      <c r="CK98" s="1670" t="e">
        <f t="shared" si="268"/>
        <v>#N/A</v>
      </c>
      <c r="CL98" s="75" t="e">
        <f t="shared" si="244"/>
        <v>#N/A</v>
      </c>
      <c r="CM98" s="75" t="e">
        <f t="shared" si="245"/>
        <v>#N/A</v>
      </c>
      <c r="CN98" s="75" t="e">
        <f t="shared" si="246"/>
        <v>#N/A</v>
      </c>
      <c r="CO98" s="75" t="e">
        <f t="shared" si="247"/>
        <v>#N/A</v>
      </c>
      <c r="CP98" s="1670" t="e">
        <f t="shared" si="269"/>
        <v>#N/A</v>
      </c>
      <c r="CR98" s="1686" t="e">
        <f t="shared" si="270"/>
        <v>#N/A</v>
      </c>
      <c r="CS98" s="1686" t="e">
        <f t="shared" si="271"/>
        <v>#N/A</v>
      </c>
      <c r="CT98" s="1686" t="e">
        <f t="shared" si="272"/>
        <v>#N/A</v>
      </c>
      <c r="CU98" s="1686" t="e">
        <f t="shared" si="273"/>
        <v>#N/A</v>
      </c>
    </row>
    <row r="99" spans="1:99">
      <c r="A99" s="1573" t="s">
        <v>265</v>
      </c>
      <c r="B99" s="1569" t="s">
        <v>115</v>
      </c>
      <c r="C99" s="1563" t="str">
        <f t="shared" si="274"/>
        <v>O</v>
      </c>
      <c r="D99" t="e">
        <f t="shared" si="275"/>
        <v>#N/A</v>
      </c>
      <c r="E99" s="1563">
        <f t="shared" si="276"/>
        <v>-47</v>
      </c>
      <c r="F99" t="e">
        <f t="shared" si="277"/>
        <v>#N/A</v>
      </c>
      <c r="G99" s="1160" t="e">
        <f t="shared" si="248"/>
        <v>#N/A</v>
      </c>
      <c r="H99" s="1563" t="str">
        <f t="shared" si="278"/>
        <v>V</v>
      </c>
      <c r="I99" t="e">
        <f t="shared" si="279"/>
        <v>#N/A</v>
      </c>
      <c r="J99" s="1160" t="e">
        <f t="shared" si="249"/>
        <v>#N/A</v>
      </c>
      <c r="K99" s="1563">
        <f t="shared" si="280"/>
        <v>184</v>
      </c>
      <c r="L99" t="e">
        <f t="shared" si="281"/>
        <v>#N/A</v>
      </c>
      <c r="M99" s="1160" t="e">
        <f t="shared" si="250"/>
        <v>#N/A</v>
      </c>
      <c r="N99" s="1563">
        <f t="shared" si="282"/>
        <v>7.5</v>
      </c>
      <c r="O99" t="e">
        <f t="shared" si="283"/>
        <v>#N/A</v>
      </c>
      <c r="P99" s="1160" t="e">
        <f t="shared" si="251"/>
        <v>#N/A</v>
      </c>
      <c r="Q99" s="1563">
        <f t="shared" si="284"/>
        <v>5</v>
      </c>
      <c r="R99" t="e">
        <f t="shared" si="285"/>
        <v>#N/A</v>
      </c>
      <c r="S99" s="1160" t="e">
        <f t="shared" si="252"/>
        <v>#N/A</v>
      </c>
      <c r="T99" s="1563">
        <f t="shared" si="286"/>
        <v>1.96</v>
      </c>
      <c r="U99" t="e">
        <f t="shared" si="287"/>
        <v>#N/A</v>
      </c>
      <c r="V99" s="1160" t="e">
        <f t="shared" si="253"/>
        <v>#N/A</v>
      </c>
      <c r="W99" s="1563">
        <f t="shared" si="288"/>
        <v>80.290400000000005</v>
      </c>
      <c r="X99" t="e">
        <f t="shared" si="289"/>
        <v>#N/A</v>
      </c>
      <c r="Y99" s="1160" t="e">
        <f t="shared" si="254"/>
        <v>#N/A</v>
      </c>
      <c r="Z99" s="1563">
        <f t="shared" si="290"/>
        <v>800</v>
      </c>
      <c r="AA99" t="e">
        <f t="shared" si="291"/>
        <v>#N/A</v>
      </c>
      <c r="AB99" s="1160" t="e">
        <f t="shared" si="255"/>
        <v>#N/A</v>
      </c>
      <c r="AC99" s="1563">
        <f t="shared" si="292"/>
        <v>4.8</v>
      </c>
      <c r="AD99" t="e">
        <f t="shared" si="293"/>
        <v>#N/A</v>
      </c>
      <c r="AE99" s="1160" t="e">
        <f t="shared" si="256"/>
        <v>#N/A</v>
      </c>
      <c r="AF99" s="1563">
        <f t="shared" si="294"/>
        <v>5.0999999999999997E-2</v>
      </c>
      <c r="AG99" t="e">
        <f t="shared" si="295"/>
        <v>#N/A</v>
      </c>
      <c r="AH99" s="1160" t="e">
        <f t="shared" si="257"/>
        <v>#N/A</v>
      </c>
      <c r="AI99" s="1563">
        <f t="shared" si="296"/>
        <v>6.8000000000000001E-6</v>
      </c>
      <c r="AJ99" t="e">
        <f t="shared" si="297"/>
        <v>#N/A</v>
      </c>
      <c r="AK99" s="1160" t="e">
        <f t="shared" si="258"/>
        <v>#N/A</v>
      </c>
      <c r="AL99" s="1563">
        <f t="shared" si="298"/>
        <v>12298.519999999999</v>
      </c>
      <c r="AM99" t="e">
        <f t="shared" si="299"/>
        <v>#N/A</v>
      </c>
      <c r="AN99" s="1563">
        <f t="shared" si="300"/>
        <v>2286</v>
      </c>
      <c r="AO99" t="e">
        <f t="shared" si="301"/>
        <v>#N/A</v>
      </c>
      <c r="AP99" s="1160" t="e">
        <f t="shared" si="302"/>
        <v>#N/A</v>
      </c>
      <c r="AQ99" s="1563">
        <f t="shared" si="303"/>
        <v>1.0853906620899256E-2</v>
      </c>
      <c r="AS99" s="1563">
        <f t="shared" si="304"/>
        <v>1107.1529346063164</v>
      </c>
      <c r="AU99" s="1563">
        <f t="shared" si="305"/>
        <v>1085.6527727094469</v>
      </c>
      <c r="AW99" s="1563">
        <f t="shared" si="306"/>
        <v>245.22479582407752</v>
      </c>
      <c r="AY99" s="1592" t="e">
        <f t="shared" si="307"/>
        <v>#N/A</v>
      </c>
      <c r="AZ99" s="821" t="e">
        <f t="shared" si="308"/>
        <v>#N/A</v>
      </c>
      <c r="BA99" s="1160" t="e">
        <f t="shared" si="259"/>
        <v>#N/A</v>
      </c>
      <c r="BB99" s="1592" t="e">
        <f t="shared" si="309"/>
        <v>#N/A</v>
      </c>
      <c r="BC99" s="821" t="e">
        <f t="shared" si="310"/>
        <v>#N/A</v>
      </c>
      <c r="BD99" s="1160" t="e">
        <f t="shared" si="260"/>
        <v>#N/A</v>
      </c>
      <c r="BE99" s="1592" t="e">
        <f t="shared" si="311"/>
        <v>#N/A</v>
      </c>
      <c r="BF99" s="1592" t="e">
        <f t="shared" si="312"/>
        <v>#N/A</v>
      </c>
      <c r="BG99" s="821" t="e">
        <f t="shared" si="313"/>
        <v>#N/A</v>
      </c>
      <c r="BH99" s="1160" t="e">
        <f t="shared" si="261"/>
        <v>#N/A</v>
      </c>
      <c r="BI99" s="1592" t="e">
        <f t="shared" si="314"/>
        <v>#N/A</v>
      </c>
      <c r="BJ99" s="1592" t="e">
        <f t="shared" si="315"/>
        <v>#N/A</v>
      </c>
      <c r="BK99" s="821" t="e">
        <f t="shared" si="316"/>
        <v>#N/A</v>
      </c>
      <c r="BL99" s="1160" t="e">
        <f t="shared" si="262"/>
        <v>#N/A</v>
      </c>
      <c r="BM99" s="1592" t="e">
        <f t="shared" si="317"/>
        <v>#N/A</v>
      </c>
      <c r="BN99" s="821" t="e">
        <f t="shared" si="318"/>
        <v>#N/A</v>
      </c>
      <c r="BO99" s="1160" t="e">
        <f t="shared" si="263"/>
        <v>#N/A</v>
      </c>
      <c r="BP99" s="1592" t="e">
        <f t="shared" si="319"/>
        <v>#N/A</v>
      </c>
      <c r="BQ99" s="821" t="e">
        <f t="shared" si="320"/>
        <v>#N/A</v>
      </c>
      <c r="BR99" s="1160" t="e">
        <f t="shared" si="264"/>
        <v>#N/A</v>
      </c>
      <c r="BS99" s="1592" t="e">
        <f t="shared" si="321"/>
        <v>#N/A</v>
      </c>
      <c r="BT99" s="821" t="e">
        <f t="shared" si="322"/>
        <v>#N/A</v>
      </c>
      <c r="BU99" s="1160" t="e">
        <f t="shared" si="265"/>
        <v>#N/A</v>
      </c>
      <c r="BW99" s="75" t="e">
        <f t="shared" si="232"/>
        <v>#N/A</v>
      </c>
      <c r="BX99" s="75" t="e">
        <f t="shared" si="233"/>
        <v>#N/A</v>
      </c>
      <c r="BY99" s="75" t="e">
        <f t="shared" si="234"/>
        <v>#N/A</v>
      </c>
      <c r="BZ99" s="75" t="e">
        <f t="shared" si="235"/>
        <v>#N/A</v>
      </c>
      <c r="CA99" s="1670" t="e">
        <f t="shared" si="266"/>
        <v>#N/A</v>
      </c>
      <c r="CB99" s="75" t="e">
        <f t="shared" si="236"/>
        <v>#N/A</v>
      </c>
      <c r="CC99" s="75" t="e">
        <f t="shared" si="237"/>
        <v>#N/A</v>
      </c>
      <c r="CD99" s="75" t="e">
        <f t="shared" si="238"/>
        <v>#N/A</v>
      </c>
      <c r="CE99" s="75" t="e">
        <f t="shared" si="239"/>
        <v>#N/A</v>
      </c>
      <c r="CF99" s="1670" t="e">
        <f t="shared" si="267"/>
        <v>#N/A</v>
      </c>
      <c r="CG99" s="75" t="e">
        <f t="shared" si="240"/>
        <v>#N/A</v>
      </c>
      <c r="CH99" s="75" t="e">
        <f t="shared" si="241"/>
        <v>#N/A</v>
      </c>
      <c r="CI99" s="75" t="e">
        <f t="shared" si="242"/>
        <v>#N/A</v>
      </c>
      <c r="CJ99" s="75" t="e">
        <f t="shared" si="243"/>
        <v>#N/A</v>
      </c>
      <c r="CK99" s="1670" t="e">
        <f t="shared" si="268"/>
        <v>#N/A</v>
      </c>
      <c r="CL99" s="75" t="e">
        <f t="shared" si="244"/>
        <v>#N/A</v>
      </c>
      <c r="CM99" s="75" t="e">
        <f t="shared" si="245"/>
        <v>#N/A</v>
      </c>
      <c r="CN99" s="75" t="e">
        <f t="shared" si="246"/>
        <v>#N/A</v>
      </c>
      <c r="CO99" s="75" t="e">
        <f t="shared" si="247"/>
        <v>#N/A</v>
      </c>
      <c r="CP99" s="1670" t="e">
        <f t="shared" si="269"/>
        <v>#N/A</v>
      </c>
      <c r="CR99" s="1686" t="e">
        <f t="shared" si="270"/>
        <v>#N/A</v>
      </c>
      <c r="CS99" s="1686" t="e">
        <f t="shared" si="271"/>
        <v>#N/A</v>
      </c>
      <c r="CT99" s="1686" t="e">
        <f t="shared" si="272"/>
        <v>#N/A</v>
      </c>
      <c r="CU99" s="1686" t="e">
        <f t="shared" si="273"/>
        <v>#N/A</v>
      </c>
    </row>
    <row r="100" spans="1:99">
      <c r="A100" s="1573" t="s">
        <v>266</v>
      </c>
      <c r="B100" s="1569" t="s">
        <v>115</v>
      </c>
      <c r="C100" s="1563" t="str">
        <f t="shared" si="274"/>
        <v>O</v>
      </c>
      <c r="D100" t="e">
        <f t="shared" si="275"/>
        <v>#N/A</v>
      </c>
      <c r="E100" s="1563">
        <f t="shared" si="276"/>
        <v>-30</v>
      </c>
      <c r="F100" t="e">
        <f t="shared" si="277"/>
        <v>#N/A</v>
      </c>
      <c r="G100" s="1160" t="e">
        <f t="shared" si="248"/>
        <v>#N/A</v>
      </c>
      <c r="H100" s="1563" t="str">
        <f t="shared" si="278"/>
        <v>V</v>
      </c>
      <c r="I100" t="e">
        <f t="shared" si="279"/>
        <v>#N/A</v>
      </c>
      <c r="J100" s="1160" t="e">
        <f t="shared" si="249"/>
        <v>#N/A</v>
      </c>
      <c r="K100" s="1563">
        <f t="shared" si="280"/>
        <v>200</v>
      </c>
      <c r="L100" t="e">
        <f t="shared" si="281"/>
        <v>#N/A</v>
      </c>
      <c r="M100" s="1160" t="e">
        <f t="shared" si="250"/>
        <v>#N/A</v>
      </c>
      <c r="N100" s="1563">
        <f t="shared" si="282"/>
        <v>0.5</v>
      </c>
      <c r="O100" t="e">
        <f t="shared" si="283"/>
        <v>#N/A</v>
      </c>
      <c r="P100" s="1160" t="e">
        <f t="shared" si="251"/>
        <v>#N/A</v>
      </c>
      <c r="Q100" s="1563">
        <f t="shared" si="284"/>
        <v>5</v>
      </c>
      <c r="R100" t="e">
        <f t="shared" si="285"/>
        <v>#N/A</v>
      </c>
      <c r="S100" s="1160" t="e">
        <f t="shared" si="252"/>
        <v>#N/A</v>
      </c>
      <c r="T100" s="1563">
        <f t="shared" si="286"/>
        <v>1.76</v>
      </c>
      <c r="U100" t="e">
        <f t="shared" si="287"/>
        <v>#N/A</v>
      </c>
      <c r="V100" s="1160" t="e">
        <f t="shared" si="253"/>
        <v>#N/A</v>
      </c>
      <c r="W100" s="1563">
        <f t="shared" si="288"/>
        <v>72.256399999999999</v>
      </c>
      <c r="X100" t="e">
        <f t="shared" si="289"/>
        <v>#N/A</v>
      </c>
      <c r="Y100" s="1160" t="e">
        <f t="shared" si="254"/>
        <v>#N/A</v>
      </c>
      <c r="Z100" s="1563">
        <f t="shared" si="290"/>
        <v>1500</v>
      </c>
      <c r="AA100" t="e">
        <f t="shared" si="291"/>
        <v>#N/A</v>
      </c>
      <c r="AB100" s="1160" t="e">
        <f t="shared" si="255"/>
        <v>#N/A</v>
      </c>
      <c r="AC100" s="1563">
        <f t="shared" si="292"/>
        <v>9</v>
      </c>
      <c r="AD100" t="e">
        <f t="shared" si="293"/>
        <v>#N/A</v>
      </c>
      <c r="AE100" s="1160" t="e">
        <f t="shared" si="256"/>
        <v>#N/A</v>
      </c>
      <c r="AF100" s="1563">
        <f t="shared" si="294"/>
        <v>0.06</v>
      </c>
      <c r="AG100" t="e">
        <f t="shared" si="295"/>
        <v>#N/A</v>
      </c>
      <c r="AH100" s="1160" t="e">
        <f t="shared" si="257"/>
        <v>#N/A</v>
      </c>
      <c r="AI100" s="1563">
        <f t="shared" si="296"/>
        <v>8.3999999999999992E-6</v>
      </c>
      <c r="AJ100" t="e">
        <f t="shared" si="297"/>
        <v>#N/A</v>
      </c>
      <c r="AK100" s="1160" t="e">
        <f t="shared" si="258"/>
        <v>#N/A</v>
      </c>
      <c r="AL100" s="1563">
        <f t="shared" si="298"/>
        <v>11173.32</v>
      </c>
      <c r="AM100" t="e">
        <f t="shared" si="299"/>
        <v>#N/A</v>
      </c>
      <c r="AN100" s="1563">
        <f t="shared" si="300"/>
        <v>2286</v>
      </c>
      <c r="AO100" t="e">
        <f t="shared" si="301"/>
        <v>#N/A</v>
      </c>
      <c r="AP100" s="1160" t="e">
        <f t="shared" si="302"/>
        <v>#N/A</v>
      </c>
      <c r="AQ100" s="1563">
        <f t="shared" si="303"/>
        <v>1.0140011743866289E-2</v>
      </c>
      <c r="AS100" s="1563">
        <f t="shared" si="304"/>
        <v>1145.4639535361009</v>
      </c>
      <c r="AU100" s="1563">
        <f t="shared" si="305"/>
        <v>1123.2198175380222</v>
      </c>
      <c r="AW100" s="1563">
        <f t="shared" si="306"/>
        <v>253.71035504648916</v>
      </c>
      <c r="AY100" s="1592" t="e">
        <f t="shared" si="307"/>
        <v>#N/A</v>
      </c>
      <c r="AZ100" s="821" t="e">
        <f t="shared" si="308"/>
        <v>#N/A</v>
      </c>
      <c r="BA100" s="1160" t="e">
        <f t="shared" si="259"/>
        <v>#N/A</v>
      </c>
      <c r="BB100" s="1592" t="e">
        <f t="shared" si="309"/>
        <v>#N/A</v>
      </c>
      <c r="BC100" s="821" t="e">
        <f t="shared" si="310"/>
        <v>#N/A</v>
      </c>
      <c r="BD100" s="1160" t="e">
        <f t="shared" si="260"/>
        <v>#N/A</v>
      </c>
      <c r="BE100" s="1592" t="e">
        <f t="shared" si="311"/>
        <v>#N/A</v>
      </c>
      <c r="BF100" s="1592" t="e">
        <f t="shared" si="312"/>
        <v>#N/A</v>
      </c>
      <c r="BG100" s="821" t="e">
        <f t="shared" si="313"/>
        <v>#N/A</v>
      </c>
      <c r="BH100" s="1160" t="e">
        <f t="shared" si="261"/>
        <v>#N/A</v>
      </c>
      <c r="BI100" s="1592" t="e">
        <f t="shared" si="314"/>
        <v>#N/A</v>
      </c>
      <c r="BJ100" s="1592" t="e">
        <f t="shared" si="315"/>
        <v>#N/A</v>
      </c>
      <c r="BK100" s="821" t="e">
        <f t="shared" si="316"/>
        <v>#N/A</v>
      </c>
      <c r="BL100" s="1160" t="e">
        <f t="shared" si="262"/>
        <v>#N/A</v>
      </c>
      <c r="BM100" s="1592" t="e">
        <f t="shared" si="317"/>
        <v>#N/A</v>
      </c>
      <c r="BN100" s="821" t="e">
        <f t="shared" si="318"/>
        <v>#N/A</v>
      </c>
      <c r="BO100" s="1160" t="e">
        <f t="shared" si="263"/>
        <v>#N/A</v>
      </c>
      <c r="BP100" s="1592" t="e">
        <f t="shared" si="319"/>
        <v>#N/A</v>
      </c>
      <c r="BQ100" s="821" t="e">
        <f t="shared" si="320"/>
        <v>#N/A</v>
      </c>
      <c r="BR100" s="1160" t="e">
        <f t="shared" si="264"/>
        <v>#N/A</v>
      </c>
      <c r="BS100" s="1592" t="e">
        <f t="shared" si="321"/>
        <v>#N/A</v>
      </c>
      <c r="BT100" s="821" t="e">
        <f t="shared" si="322"/>
        <v>#N/A</v>
      </c>
      <c r="BU100" s="1160" t="e">
        <f t="shared" si="265"/>
        <v>#N/A</v>
      </c>
      <c r="BW100" s="75" t="e">
        <f t="shared" si="232"/>
        <v>#N/A</v>
      </c>
      <c r="BX100" s="75" t="e">
        <f t="shared" si="233"/>
        <v>#N/A</v>
      </c>
      <c r="BY100" s="75" t="e">
        <f t="shared" si="234"/>
        <v>#N/A</v>
      </c>
      <c r="BZ100" s="75" t="e">
        <f t="shared" si="235"/>
        <v>#N/A</v>
      </c>
      <c r="CA100" s="1670" t="e">
        <f t="shared" si="266"/>
        <v>#N/A</v>
      </c>
      <c r="CB100" s="75" t="e">
        <f t="shared" si="236"/>
        <v>#N/A</v>
      </c>
      <c r="CC100" s="75" t="e">
        <f t="shared" si="237"/>
        <v>#N/A</v>
      </c>
      <c r="CD100" s="75" t="e">
        <f t="shared" si="238"/>
        <v>#N/A</v>
      </c>
      <c r="CE100" s="75" t="e">
        <f t="shared" si="239"/>
        <v>#N/A</v>
      </c>
      <c r="CF100" s="1670" t="e">
        <f t="shared" si="267"/>
        <v>#N/A</v>
      </c>
      <c r="CG100" s="75" t="e">
        <f t="shared" si="240"/>
        <v>#N/A</v>
      </c>
      <c r="CH100" s="75" t="e">
        <f t="shared" si="241"/>
        <v>#N/A</v>
      </c>
      <c r="CI100" s="75" t="e">
        <f t="shared" si="242"/>
        <v>#N/A</v>
      </c>
      <c r="CJ100" s="75" t="e">
        <f t="shared" si="243"/>
        <v>#N/A</v>
      </c>
      <c r="CK100" s="1670" t="e">
        <f t="shared" si="268"/>
        <v>#N/A</v>
      </c>
      <c r="CL100" s="75" t="e">
        <f t="shared" si="244"/>
        <v>#N/A</v>
      </c>
      <c r="CM100" s="75" t="e">
        <f t="shared" si="245"/>
        <v>#N/A</v>
      </c>
      <c r="CN100" s="75" t="e">
        <f t="shared" si="246"/>
        <v>#N/A</v>
      </c>
      <c r="CO100" s="75" t="e">
        <f t="shared" si="247"/>
        <v>#N/A</v>
      </c>
      <c r="CP100" s="1670" t="e">
        <f t="shared" si="269"/>
        <v>#N/A</v>
      </c>
      <c r="CR100" s="1686" t="e">
        <f t="shared" si="270"/>
        <v>#N/A</v>
      </c>
      <c r="CS100" s="1686" t="e">
        <f t="shared" si="271"/>
        <v>#N/A</v>
      </c>
      <c r="CT100" s="1686" t="e">
        <f t="shared" si="272"/>
        <v>#N/A</v>
      </c>
      <c r="CU100" s="1686" t="e">
        <f t="shared" si="273"/>
        <v>#N/A</v>
      </c>
    </row>
    <row r="101" spans="1:99">
      <c r="A101" s="1573" t="s">
        <v>267</v>
      </c>
      <c r="B101" s="1569" t="s">
        <v>115</v>
      </c>
      <c r="C101" s="1563" t="str">
        <f t="shared" si="274"/>
        <v>O</v>
      </c>
      <c r="D101" t="e">
        <f t="shared" si="275"/>
        <v>#N/A</v>
      </c>
      <c r="E101" s="1563">
        <f t="shared" si="276"/>
        <v>0</v>
      </c>
      <c r="F101" t="e">
        <f t="shared" si="277"/>
        <v>#N/A</v>
      </c>
      <c r="G101" s="1160" t="e">
        <f t="shared" si="248"/>
        <v>#N/A</v>
      </c>
      <c r="H101" s="1563" t="str">
        <f t="shared" si="278"/>
        <v>NV</v>
      </c>
      <c r="I101" t="e">
        <f t="shared" si="279"/>
        <v>#N/A</v>
      </c>
      <c r="J101" s="1160" t="e">
        <f t="shared" si="249"/>
        <v>#N/A</v>
      </c>
      <c r="K101" s="1563">
        <f t="shared" si="280"/>
        <v>188</v>
      </c>
      <c r="L101" t="e">
        <f t="shared" si="281"/>
        <v>#N/A</v>
      </c>
      <c r="M101" s="1160" t="e">
        <f t="shared" si="250"/>
        <v>#N/A</v>
      </c>
      <c r="N101" s="1563">
        <f t="shared" si="282"/>
        <v>1.3E-7</v>
      </c>
      <c r="O101" t="e">
        <f t="shared" si="283"/>
        <v>#N/A</v>
      </c>
      <c r="P101" s="1160" t="e">
        <f t="shared" si="251"/>
        <v>#N/A</v>
      </c>
      <c r="Q101" s="1563">
        <f t="shared" si="284"/>
        <v>228.7</v>
      </c>
      <c r="R101" t="e">
        <f t="shared" si="285"/>
        <v>#N/A</v>
      </c>
      <c r="S101" s="1160" t="e">
        <f t="shared" si="252"/>
        <v>#N/A</v>
      </c>
      <c r="T101" s="1563">
        <f t="shared" si="286"/>
        <v>1.4600000000000001E-10</v>
      </c>
      <c r="U101" t="e">
        <f t="shared" si="287"/>
        <v>#N/A</v>
      </c>
      <c r="V101" s="1160" t="e">
        <f t="shared" si="253"/>
        <v>#N/A</v>
      </c>
      <c r="W101" s="1563">
        <f t="shared" si="288"/>
        <v>5.9600000000000001E-9</v>
      </c>
      <c r="X101" t="e">
        <f t="shared" si="289"/>
        <v>#N/A</v>
      </c>
      <c r="Y101" s="1160" t="e">
        <f t="shared" si="254"/>
        <v>#N/A</v>
      </c>
      <c r="Z101" s="1563">
        <f t="shared" si="290"/>
        <v>234.5</v>
      </c>
      <c r="AA101" t="e">
        <f t="shared" si="291"/>
        <v>#N/A</v>
      </c>
      <c r="AB101" s="1160" t="e">
        <f t="shared" si="255"/>
        <v>#N/A</v>
      </c>
      <c r="AC101" s="1563">
        <f t="shared" si="292"/>
        <v>1.407</v>
      </c>
      <c r="AD101" t="e">
        <f t="shared" si="293"/>
        <v>#N/A</v>
      </c>
      <c r="AE101" s="1160" t="e">
        <f t="shared" si="256"/>
        <v>#N/A</v>
      </c>
      <c r="AF101" s="1563" t="str">
        <f t="shared" si="294"/>
        <v>--</v>
      </c>
      <c r="AG101" t="e">
        <f t="shared" si="295"/>
        <v>#N/A</v>
      </c>
      <c r="AH101" s="1160" t="e">
        <f t="shared" si="257"/>
        <v>#N/A</v>
      </c>
      <c r="AI101" s="1563" t="str">
        <f t="shared" si="296"/>
        <v>--</v>
      </c>
      <c r="AJ101" t="e">
        <f t="shared" si="297"/>
        <v>#N/A</v>
      </c>
      <c r="AK101" s="1160" t="e">
        <f t="shared" si="258"/>
        <v>#N/A</v>
      </c>
      <c r="AL101" s="1563" t="str">
        <f t="shared" si="298"/>
        <v>--</v>
      </c>
      <c r="AM101" t="e">
        <f t="shared" si="299"/>
        <v>#N/A</v>
      </c>
      <c r="AN101" s="1563" t="str">
        <f t="shared" si="300"/>
        <v>--</v>
      </c>
      <c r="AO101" t="e">
        <f t="shared" si="301"/>
        <v>#N/A</v>
      </c>
      <c r="AP101" s="1160" t="e">
        <f t="shared" si="302"/>
        <v>#N/A</v>
      </c>
      <c r="AQ101" s="1563" t="str">
        <f t="shared" si="303"/>
        <v>--</v>
      </c>
      <c r="AS101" s="1563" t="str">
        <f t="shared" si="304"/>
        <v>--</v>
      </c>
      <c r="AU101" s="1563" t="str">
        <f t="shared" si="305"/>
        <v>--</v>
      </c>
      <c r="AW101" s="1563" t="str">
        <f t="shared" si="306"/>
        <v>--</v>
      </c>
      <c r="AY101" s="1592" t="e">
        <f t="shared" si="307"/>
        <v>#N/A</v>
      </c>
      <c r="AZ101" s="821" t="e">
        <f t="shared" si="308"/>
        <v>#N/A</v>
      </c>
      <c r="BA101" s="1160" t="e">
        <f t="shared" si="259"/>
        <v>#N/A</v>
      </c>
      <c r="BB101" s="1592" t="e">
        <f t="shared" si="309"/>
        <v>#N/A</v>
      </c>
      <c r="BC101" s="821" t="e">
        <f t="shared" si="310"/>
        <v>#N/A</v>
      </c>
      <c r="BD101" s="1160" t="e">
        <f t="shared" si="260"/>
        <v>#N/A</v>
      </c>
      <c r="BE101" s="1592" t="e">
        <f t="shared" si="311"/>
        <v>#N/A</v>
      </c>
      <c r="BF101" s="1592" t="e">
        <f t="shared" si="312"/>
        <v>#N/A</v>
      </c>
      <c r="BG101" s="821" t="e">
        <f t="shared" si="313"/>
        <v>#N/A</v>
      </c>
      <c r="BH101" s="1160" t="e">
        <f t="shared" si="261"/>
        <v>#N/A</v>
      </c>
      <c r="BI101" s="1592" t="e">
        <f t="shared" si="314"/>
        <v>#N/A</v>
      </c>
      <c r="BJ101" s="1592" t="e">
        <f t="shared" si="315"/>
        <v>#N/A</v>
      </c>
      <c r="BK101" s="821" t="e">
        <f t="shared" si="316"/>
        <v>#N/A</v>
      </c>
      <c r="BL101" s="1160" t="e">
        <f t="shared" si="262"/>
        <v>#N/A</v>
      </c>
      <c r="BM101" s="1592" t="e">
        <f t="shared" si="317"/>
        <v>#N/A</v>
      </c>
      <c r="BN101" s="821" t="e">
        <f t="shared" si="318"/>
        <v>#N/A</v>
      </c>
      <c r="BO101" s="1160" t="e">
        <f t="shared" si="263"/>
        <v>#N/A</v>
      </c>
      <c r="BP101" s="1592" t="e">
        <f t="shared" si="319"/>
        <v>#N/A</v>
      </c>
      <c r="BQ101" s="821" t="e">
        <f t="shared" si="320"/>
        <v>#N/A</v>
      </c>
      <c r="BR101" s="1160" t="e">
        <f t="shared" si="264"/>
        <v>#N/A</v>
      </c>
      <c r="BS101" s="1592" t="e">
        <f t="shared" si="321"/>
        <v>#N/A</v>
      </c>
      <c r="BT101" s="821" t="e">
        <f t="shared" si="322"/>
        <v>#N/A</v>
      </c>
      <c r="BU101" s="1160" t="e">
        <f t="shared" si="265"/>
        <v>#N/A</v>
      </c>
      <c r="BW101" s="75" t="e">
        <f t="shared" si="232"/>
        <v>#N/A</v>
      </c>
      <c r="BX101" s="75" t="e">
        <f t="shared" si="233"/>
        <v>#N/A</v>
      </c>
      <c r="BY101" s="75" t="e">
        <f t="shared" si="234"/>
        <v>#N/A</v>
      </c>
      <c r="BZ101" s="75" t="e">
        <f t="shared" si="235"/>
        <v>#N/A</v>
      </c>
      <c r="CA101" s="1670" t="e">
        <f t="shared" si="266"/>
        <v>#N/A</v>
      </c>
      <c r="CB101" s="75" t="e">
        <f t="shared" si="236"/>
        <v>#N/A</v>
      </c>
      <c r="CC101" s="75" t="e">
        <f t="shared" si="237"/>
        <v>#N/A</v>
      </c>
      <c r="CD101" s="75" t="e">
        <f t="shared" si="238"/>
        <v>#N/A</v>
      </c>
      <c r="CE101" s="75" t="e">
        <f t="shared" si="239"/>
        <v>#N/A</v>
      </c>
      <c r="CF101" s="1670" t="e">
        <f t="shared" si="267"/>
        <v>#N/A</v>
      </c>
      <c r="CG101" s="75" t="e">
        <f t="shared" si="240"/>
        <v>#N/A</v>
      </c>
      <c r="CH101" s="75" t="e">
        <f t="shared" si="241"/>
        <v>#N/A</v>
      </c>
      <c r="CI101" s="75" t="e">
        <f t="shared" si="242"/>
        <v>#N/A</v>
      </c>
      <c r="CJ101" s="75" t="e">
        <f t="shared" si="243"/>
        <v>#N/A</v>
      </c>
      <c r="CK101" s="1670" t="e">
        <f t="shared" si="268"/>
        <v>#N/A</v>
      </c>
      <c r="CL101" s="75" t="e">
        <f t="shared" si="244"/>
        <v>#N/A</v>
      </c>
      <c r="CM101" s="75" t="e">
        <f t="shared" si="245"/>
        <v>#N/A</v>
      </c>
      <c r="CN101" s="75" t="e">
        <f t="shared" si="246"/>
        <v>#N/A</v>
      </c>
      <c r="CO101" s="75" t="e">
        <f t="shared" si="247"/>
        <v>#N/A</v>
      </c>
      <c r="CP101" s="1670" t="e">
        <f t="shared" si="269"/>
        <v>#N/A</v>
      </c>
      <c r="CR101" s="1686" t="e">
        <f t="shared" si="270"/>
        <v>#N/A</v>
      </c>
      <c r="CS101" s="1686" t="e">
        <f t="shared" si="271"/>
        <v>#N/A</v>
      </c>
      <c r="CT101" s="1686" t="e">
        <f t="shared" si="272"/>
        <v>#N/A</v>
      </c>
      <c r="CU101" s="1686" t="e">
        <f t="shared" si="273"/>
        <v>#N/A</v>
      </c>
    </row>
    <row r="102" spans="1:99">
      <c r="A102" s="1573" t="s">
        <v>268</v>
      </c>
      <c r="B102" s="1569" t="s">
        <v>115</v>
      </c>
      <c r="C102" s="1563" t="str">
        <f t="shared" si="274"/>
        <v>O</v>
      </c>
      <c r="D102" t="e">
        <f t="shared" si="275"/>
        <v>#N/A</v>
      </c>
      <c r="E102" s="1563">
        <f t="shared" si="276"/>
        <v>-10</v>
      </c>
      <c r="F102" t="e">
        <f t="shared" si="277"/>
        <v>#N/A</v>
      </c>
      <c r="G102" s="1160" t="e">
        <f t="shared" si="248"/>
        <v>#N/A</v>
      </c>
      <c r="H102" s="1563" t="str">
        <f t="shared" si="278"/>
        <v>NV</v>
      </c>
      <c r="I102" t="e">
        <f t="shared" si="279"/>
        <v>#N/A</v>
      </c>
      <c r="J102" s="1160" t="e">
        <f t="shared" si="249"/>
        <v>#N/A</v>
      </c>
      <c r="K102" s="1563">
        <f t="shared" si="280"/>
        <v>366</v>
      </c>
      <c r="L102" t="e">
        <f t="shared" si="281"/>
        <v>#N/A</v>
      </c>
      <c r="M102" s="1160" t="e">
        <f t="shared" si="250"/>
        <v>#N/A</v>
      </c>
      <c r="N102" s="1563" t="str">
        <f t="shared" si="282"/>
        <v>--</v>
      </c>
      <c r="O102" t="e">
        <f t="shared" si="283"/>
        <v>#N/A</v>
      </c>
      <c r="P102" s="1160" t="e">
        <f t="shared" si="251"/>
        <v>#N/A</v>
      </c>
      <c r="Q102" s="1563" t="str">
        <f t="shared" si="284"/>
        <v>--</v>
      </c>
      <c r="R102" t="e">
        <f t="shared" si="285"/>
        <v>#N/A</v>
      </c>
      <c r="S102" s="1160" t="e">
        <f t="shared" si="252"/>
        <v>#N/A</v>
      </c>
      <c r="T102" s="1563" t="str">
        <f t="shared" si="286"/>
        <v>--</v>
      </c>
      <c r="U102" t="e">
        <f t="shared" si="287"/>
        <v>#N/A</v>
      </c>
      <c r="V102" s="1160" t="e">
        <f t="shared" si="253"/>
        <v>#N/A</v>
      </c>
      <c r="W102" s="1563" t="str">
        <f t="shared" si="288"/>
        <v>--</v>
      </c>
      <c r="X102" t="e">
        <f t="shared" si="289"/>
        <v>#N/A</v>
      </c>
      <c r="Y102" s="1160" t="e">
        <f t="shared" si="254"/>
        <v>#N/A</v>
      </c>
      <c r="Z102" s="1563" t="str">
        <f t="shared" si="290"/>
        <v>--</v>
      </c>
      <c r="AA102" t="e">
        <f t="shared" si="291"/>
        <v>#N/A</v>
      </c>
      <c r="AB102" s="1160" t="e">
        <f t="shared" si="255"/>
        <v>#N/A</v>
      </c>
      <c r="AC102" s="1563" t="str">
        <f t="shared" si="292"/>
        <v>--</v>
      </c>
      <c r="AD102" t="e">
        <f t="shared" si="293"/>
        <v>#N/A</v>
      </c>
      <c r="AE102" s="1160" t="e">
        <f t="shared" si="256"/>
        <v>#N/A</v>
      </c>
      <c r="AF102" s="1563" t="str">
        <f t="shared" si="294"/>
        <v>--</v>
      </c>
      <c r="AG102" t="e">
        <f t="shared" si="295"/>
        <v>#N/A</v>
      </c>
      <c r="AH102" s="1160" t="e">
        <f t="shared" si="257"/>
        <v>#N/A</v>
      </c>
      <c r="AI102" s="1563" t="str">
        <f t="shared" si="296"/>
        <v>--</v>
      </c>
      <c r="AJ102" t="e">
        <f t="shared" si="297"/>
        <v>#N/A</v>
      </c>
      <c r="AK102" s="1160" t="e">
        <f t="shared" si="258"/>
        <v>#N/A</v>
      </c>
      <c r="AL102" s="1563" t="str">
        <f t="shared" si="298"/>
        <v>--</v>
      </c>
      <c r="AM102" t="e">
        <f t="shared" si="299"/>
        <v>#N/A</v>
      </c>
      <c r="AN102" s="1563">
        <f t="shared" si="300"/>
        <v>5143</v>
      </c>
      <c r="AO102" t="e">
        <f t="shared" si="301"/>
        <v>#N/A</v>
      </c>
      <c r="AP102" s="1160" t="e">
        <f t="shared" si="302"/>
        <v>#N/A</v>
      </c>
      <c r="AQ102" s="1563" t="str">
        <f t="shared" si="303"/>
        <v>--</v>
      </c>
      <c r="AS102" s="1563" t="str">
        <f t="shared" si="304"/>
        <v>--</v>
      </c>
      <c r="AU102" s="1563" t="str">
        <f t="shared" si="305"/>
        <v>--</v>
      </c>
      <c r="AW102" s="1563" t="str">
        <f t="shared" si="306"/>
        <v>--</v>
      </c>
      <c r="AY102" s="1592" t="e">
        <f t="shared" si="307"/>
        <v>#N/A</v>
      </c>
      <c r="AZ102" s="821" t="e">
        <f t="shared" si="308"/>
        <v>#N/A</v>
      </c>
      <c r="BA102" s="1160" t="e">
        <f t="shared" si="259"/>
        <v>#N/A</v>
      </c>
      <c r="BB102" s="1592" t="e">
        <f t="shared" si="309"/>
        <v>#N/A</v>
      </c>
      <c r="BC102" s="821" t="e">
        <f t="shared" si="310"/>
        <v>#N/A</v>
      </c>
      <c r="BD102" s="1160" t="e">
        <f t="shared" si="260"/>
        <v>#N/A</v>
      </c>
      <c r="BE102" s="1592" t="e">
        <f t="shared" si="311"/>
        <v>#N/A</v>
      </c>
      <c r="BF102" s="1592" t="e">
        <f t="shared" si="312"/>
        <v>#N/A</v>
      </c>
      <c r="BG102" s="821" t="e">
        <f t="shared" si="313"/>
        <v>#N/A</v>
      </c>
      <c r="BH102" s="1160" t="e">
        <f t="shared" si="261"/>
        <v>#N/A</v>
      </c>
      <c r="BI102" s="1592" t="e">
        <f t="shared" si="314"/>
        <v>#N/A</v>
      </c>
      <c r="BJ102" s="1592" t="e">
        <f t="shared" si="315"/>
        <v>#N/A</v>
      </c>
      <c r="BK102" s="821" t="e">
        <f t="shared" si="316"/>
        <v>#N/A</v>
      </c>
      <c r="BL102" s="1160" t="e">
        <f t="shared" si="262"/>
        <v>#N/A</v>
      </c>
      <c r="BM102" s="1592" t="e">
        <f t="shared" si="317"/>
        <v>#N/A</v>
      </c>
      <c r="BN102" s="821" t="e">
        <f t="shared" si="318"/>
        <v>#N/A</v>
      </c>
      <c r="BO102" s="1160" t="e">
        <f t="shared" si="263"/>
        <v>#N/A</v>
      </c>
      <c r="BP102" s="1592" t="e">
        <f t="shared" si="319"/>
        <v>#N/A</v>
      </c>
      <c r="BQ102" s="821" t="e">
        <f t="shared" si="320"/>
        <v>#N/A</v>
      </c>
      <c r="BR102" s="1160" t="e">
        <f t="shared" si="264"/>
        <v>#N/A</v>
      </c>
      <c r="BS102" s="1592" t="e">
        <f t="shared" si="321"/>
        <v>#N/A</v>
      </c>
      <c r="BT102" s="821" t="e">
        <f t="shared" si="322"/>
        <v>#N/A</v>
      </c>
      <c r="BU102" s="1160" t="e">
        <f t="shared" si="265"/>
        <v>#N/A</v>
      </c>
      <c r="BW102" s="75" t="e">
        <f t="shared" si="232"/>
        <v>#N/A</v>
      </c>
      <c r="BX102" s="75" t="e">
        <f t="shared" si="233"/>
        <v>#N/A</v>
      </c>
      <c r="BY102" s="75" t="e">
        <f t="shared" si="234"/>
        <v>#N/A</v>
      </c>
      <c r="BZ102" s="75" t="e">
        <f t="shared" si="235"/>
        <v>#N/A</v>
      </c>
      <c r="CA102" s="1670" t="e">
        <f t="shared" si="266"/>
        <v>#N/A</v>
      </c>
      <c r="CB102" s="75" t="e">
        <f t="shared" si="236"/>
        <v>#N/A</v>
      </c>
      <c r="CC102" s="75" t="e">
        <f t="shared" si="237"/>
        <v>#N/A</v>
      </c>
      <c r="CD102" s="75" t="e">
        <f t="shared" si="238"/>
        <v>#N/A</v>
      </c>
      <c r="CE102" s="75" t="e">
        <f t="shared" si="239"/>
        <v>#N/A</v>
      </c>
      <c r="CF102" s="1670" t="e">
        <f t="shared" si="267"/>
        <v>#N/A</v>
      </c>
      <c r="CG102" s="75" t="e">
        <f t="shared" si="240"/>
        <v>#N/A</v>
      </c>
      <c r="CH102" s="75" t="e">
        <f t="shared" si="241"/>
        <v>#N/A</v>
      </c>
      <c r="CI102" s="75" t="e">
        <f t="shared" si="242"/>
        <v>#N/A</v>
      </c>
      <c r="CJ102" s="75" t="e">
        <f t="shared" si="243"/>
        <v>#N/A</v>
      </c>
      <c r="CK102" s="1670" t="e">
        <f t="shared" si="268"/>
        <v>#N/A</v>
      </c>
      <c r="CL102" s="75" t="e">
        <f t="shared" si="244"/>
        <v>#N/A</v>
      </c>
      <c r="CM102" s="75" t="e">
        <f t="shared" si="245"/>
        <v>#N/A</v>
      </c>
      <c r="CN102" s="75" t="e">
        <f t="shared" si="246"/>
        <v>#N/A</v>
      </c>
      <c r="CO102" s="75" t="e">
        <f t="shared" si="247"/>
        <v>#N/A</v>
      </c>
      <c r="CP102" s="1670" t="e">
        <f t="shared" si="269"/>
        <v>#N/A</v>
      </c>
      <c r="CR102" s="1686" t="e">
        <f t="shared" si="270"/>
        <v>#N/A</v>
      </c>
      <c r="CS102" s="1686" t="e">
        <f t="shared" si="271"/>
        <v>#N/A</v>
      </c>
      <c r="CT102" s="1686" t="e">
        <f t="shared" si="272"/>
        <v>#N/A</v>
      </c>
      <c r="CU102" s="1686" t="e">
        <f t="shared" si="273"/>
        <v>#N/A</v>
      </c>
    </row>
    <row r="103" spans="1:99">
      <c r="A103" s="1470" t="s">
        <v>719</v>
      </c>
      <c r="B103" s="1567" t="s">
        <v>3413</v>
      </c>
      <c r="C103" s="1563" t="str">
        <f t="shared" ref="C103:C107" si="323">VLOOKUP($A103,Table_IP_1, MATCH("OI", heading_IP_1, 0), FALSE)</f>
        <v>O</v>
      </c>
      <c r="D103" t="e">
        <f t="shared" ref="D103:D107" si="324">VLOOKUP($B103,Table_RSL, MATCH("OI", Heading_RSL, 0), FALSE)</f>
        <v>#N/A</v>
      </c>
      <c r="E103" s="1563">
        <f t="shared" ref="E103:E107" si="325">VLOOKUP($A103,Table_IP_1, MATCH("mt", heading_IP_1, 0), FALSE)</f>
        <v>-96.47</v>
      </c>
      <c r="F103">
        <f t="shared" ref="F103:F107" si="326">VLOOKUP($B103,Table_RSL, MATCH("mt", Heading_RSL, 0), FALSE)</f>
        <v>-96.47</v>
      </c>
      <c r="G103" s="1160">
        <f t="shared" ref="G103:G107" si="327">IF(F103=E103,,1)</f>
        <v>0</v>
      </c>
      <c r="H103" s="1563" t="str">
        <f t="shared" ref="H103:H107" si="328">VLOOKUP($A103,Table_IP_1, MATCH("volatility", heading_IP_1, 0), FALSE)</f>
        <v>V</v>
      </c>
      <c r="I103" t="str">
        <f t="shared" ref="I103:I107" si="329">VLOOKUP($B103,Table_RSL, MATCH("v", Heading_RSL, 0), FALSE)</f>
        <v>V</v>
      </c>
      <c r="J103" s="1160">
        <f t="shared" ref="J103:J107" si="330">IF(I103=H103,,IF(AND(H103="NV",I103=0),,1))</f>
        <v>0</v>
      </c>
      <c r="K103" s="1563">
        <f t="shared" ref="K103:K107" si="331">VLOOKUP($A103,Table_IP_1, MATCH("mw", heading_IP_1, 0), FALSE)</f>
        <v>89.5</v>
      </c>
      <c r="L103">
        <f t="shared" ref="L103:L107" si="332">VLOOKUP($B103,Table_RSL, MATCH("mw", Heading_RSL, 0), FALSE)</f>
        <v>89.5</v>
      </c>
      <c r="M103" s="1160">
        <f t="shared" ref="M103:M107" si="333">IF(L103=K103,,1)</f>
        <v>0</v>
      </c>
      <c r="N103" s="1563">
        <f t="shared" ref="N103:N107" si="334">VLOOKUP($A103,Table_IP_1, MATCH("vp", heading_IP_1, 0), FALSE)</f>
        <v>95.43</v>
      </c>
      <c r="O103">
        <f t="shared" ref="O103:O107" si="335">VLOOKUP($B103,Table_RSL, MATCH("VP", Heading_RSL, 0), FALSE)</f>
        <v>95.43</v>
      </c>
      <c r="P103" s="1160">
        <f t="shared" ref="P103:P107" si="336">IF(O103=N103,,IF(AND(N103="--",OR(O103="",O103=0)),,1))</f>
        <v>0</v>
      </c>
      <c r="Q103" s="1563">
        <f t="shared" ref="Q103:Q107" si="337">VLOOKUP($A103,Table_IP_1, MATCH("sol", heading_IP_1, 0), FALSE)</f>
        <v>75.3</v>
      </c>
      <c r="R103">
        <f t="shared" ref="R103:R107" si="338">VLOOKUP($B103,Table_RSL, MATCH("S", Heading_RSL, 0), FALSE)</f>
        <v>75.3</v>
      </c>
      <c r="S103" s="1160">
        <f t="shared" ref="S103:S107" si="339">IF(R103=Q103,,IF(AND(Q103="--",OR(R103="",R103=0)),,1))</f>
        <v>0</v>
      </c>
      <c r="T103" s="1563">
        <f t="shared" ref="T103:T107" si="340">VLOOKUP($A103,Table_IP_1, MATCH("H", heading_IP_1, 0), FALSE)</f>
        <v>1.81</v>
      </c>
      <c r="U103">
        <f t="shared" ref="U103:U107" si="341">VLOOKUP($B103,Table_RSL, MATCH("H", Heading_RSL, 0), FALSE)</f>
        <v>4.5499999999999999E-2</v>
      </c>
      <c r="V103" s="1160">
        <f t="shared" ref="V103:V107" si="342">IF(U103=T103,,IF(AND(T103="--",OR(U103="",U103=0)),,1))</f>
        <v>1</v>
      </c>
      <c r="W103" s="1563">
        <f t="shared" ref="W103:W107" si="343">VLOOKUP($A103,Table_IP_1, MATCH("H'", heading_IP_1, 0), FALSE)</f>
        <v>74</v>
      </c>
      <c r="X103">
        <f t="shared" ref="X103:X107" si="344">VLOOKUP($B103,Table_RSL, MATCH("H'", Heading_RSL, 0), FALSE)</f>
        <v>1.86</v>
      </c>
      <c r="Y103" s="1160">
        <f t="shared" ref="Y103:Y107" si="345">IF(X103=W103,,IF(AND(W103="--",OR(X103="",X103=0)),,1))</f>
        <v>1</v>
      </c>
      <c r="Z103" s="1563">
        <f t="shared" ref="Z103:Z107" si="346">VLOOKUP($A103,Table_IP_1, MATCH("koc", heading_IP_1, 0), FALSE)</f>
        <v>172.4</v>
      </c>
      <c r="AA103">
        <f t="shared" ref="AA103:AA107" si="347">VLOOKUP($B103,Table_RSL, MATCH("koc", Heading_RSL, 0), FALSE)</f>
        <v>172.4</v>
      </c>
      <c r="AB103" s="1160">
        <f t="shared" ref="AB103:AB107" si="348">IF(AA103=Z103,,IF(AND(Z103="--",OR(AA103="",AA103=0)),,1))</f>
        <v>0</v>
      </c>
      <c r="AC103" s="1563">
        <f t="shared" ref="AC103:AC107" si="349">VLOOKUP($A103,Table_IP_1, MATCH("kd", heading_IP_1, 0), FALSE)</f>
        <v>1.0344</v>
      </c>
      <c r="AD103" t="str">
        <f t="shared" ref="AD103:AD107" si="350">VLOOKUP($B103,Table_RSL, MATCH("kd", Heading_RSL, 0), FALSE)</f>
        <v/>
      </c>
      <c r="AE103" s="1160">
        <f t="shared" ref="AE103:AE107" si="351">IF(AD103=AC103,,IF(AND(AC103="--",OR(AD103="",AD103=0)),,1))</f>
        <v>1</v>
      </c>
      <c r="AF103" s="1563">
        <f t="shared" ref="AF103:AF107" si="352">VLOOKUP($A103,Table_IP_1, MATCH("da", heading_IP_1, 0), FALSE)</f>
        <v>7.3483287836679997E-2</v>
      </c>
      <c r="AG103">
        <f t="shared" ref="AG103:AG107" si="353">VLOOKUP($B103,Table_RSL, MATCH("dia", Heading_RSL, 0), FALSE)</f>
        <v>7.3483287836679997E-2</v>
      </c>
      <c r="AH103" s="1160">
        <f t="shared" ref="AH103:AH107" si="354">IF(AG103=AF103,,1)</f>
        <v>0</v>
      </c>
      <c r="AI103" s="1563">
        <f t="shared" ref="AI103:AI107" si="355">VLOOKUP($A103,Table_IP_1, MATCH("dw", heading_IP_1, 0), FALSE)</f>
        <v>8.3847369791600002E-6</v>
      </c>
      <c r="AJ103">
        <f t="shared" ref="AJ103:AJ107" si="356">VLOOKUP($B103,Table_RSL, MATCH("diw", Heading_RSL, 0), FALSE)</f>
        <v>8.3847369791600002E-6</v>
      </c>
      <c r="AK103" s="1160">
        <f t="shared" ref="AK103:AK107" si="357">IF(AJ103=AI103,,1)</f>
        <v>0</v>
      </c>
      <c r="AL103" s="1563">
        <f t="shared" ref="AL103:AL107" si="358">VLOOKUP($A103,Table_IP_1, MATCH("daf", heading_IP_1, 0), FALSE)</f>
        <v>11263.288399999999</v>
      </c>
      <c r="AM103" t="e">
        <f t="shared" ref="AM103:AM107" si="359">VLOOKUP($B103,Table_RSL, MATCH("daf", Heading_RSL, 0), FALSE)</f>
        <v>#N/A</v>
      </c>
      <c r="AN103" s="1563">
        <f t="shared" ref="AN103:AN107" si="360">VLOOKUP($A103,Table_IP_1, MATCH("sat lim", heading_IP_1, 0), FALSE)</f>
        <v>1140.2833388679244</v>
      </c>
      <c r="AO103">
        <f t="shared" ref="AO103:AO107" si="361">VLOOKUP($B103,Table_RSL, MATCH("csat", Heading_RSL, 0), FALSE)</f>
        <v>112</v>
      </c>
      <c r="AP103" s="1160">
        <f t="shared" ref="AP103:AP107" si="362">IF(AO103=AN103,,1)</f>
        <v>1</v>
      </c>
      <c r="AQ103" s="1563">
        <f t="shared" ref="AQ103:AQ107" si="363">VLOOKUP($A103,Table_IP_1, MATCH("app diffus", heading_IP_1, 0), FALSE)</f>
        <v>1.9131226747727402E-2</v>
      </c>
      <c r="AS103" s="1563">
        <f t="shared" ref="AS103:AS107" si="364">VLOOKUP($A103,Table_IP_1, MATCH("VFr", heading_IP_1, 0), FALSE)</f>
        <v>833.92932580569038</v>
      </c>
      <c r="AU103" s="1563">
        <f t="shared" ref="AU103:AU107" si="365">VLOOKUP($A103,Table_IP_1, MATCH("VFc", heading_IP_1, 0), FALSE)</f>
        <v>817.73498177701742</v>
      </c>
      <c r="AW103" s="1563">
        <f t="shared" ref="AW103:AW118" si="366">VLOOKUP($A103,Table_IP_1, MATCH("VFcw", heading_IP_1, 0), FALSE)</f>
        <v>184.70813043107509</v>
      </c>
      <c r="AY103" s="1592">
        <f t="shared" ref="AY103:AY107" si="367">VLOOKUP($A103,Table_IP_2, MATCH("giabs", heading_IP_2, 0), FALSE)</f>
        <v>1</v>
      </c>
      <c r="AZ103" s="821">
        <f t="shared" ref="AZ103:AZ107" si="368">VLOOKUP($B103,Table_RSL, MATCH("giabs", Heading_RSL, 0), FALSE)</f>
        <v>1</v>
      </c>
      <c r="BA103" s="1160">
        <f t="shared" ref="BA103:BA107" si="369">IF(AZ103=AY103,,IF(AND(AY103="--",OR(AZ103="",AZ103=0)),,1))</f>
        <v>0</v>
      </c>
      <c r="BB103" s="1592" t="str">
        <f t="shared" ref="BB103:BB107" si="370">VLOOKUP($A103,Table_IP_2, MATCH("abs", heading_IP_2, 0), FALSE)</f>
        <v>--</v>
      </c>
      <c r="BC103" s="821" t="str">
        <f t="shared" ref="BC103:BC107" si="371">VLOOKUP($B103,Table_RSL, MATCH("abs", Heading_RSL, 0), FALSE)</f>
        <v/>
      </c>
      <c r="BD103" s="1160">
        <f t="shared" ref="BD103:BD107" si="372">IF(BC103=BB103,,IF(AND(BB103="--",OR(BC103="",BC103=0)),,1))</f>
        <v>0</v>
      </c>
      <c r="BE103" s="1592" t="str">
        <f t="shared" ref="BE103:BE107" si="373">VLOOKUP($A103,Table_IP_2, MATCH("epd", heading_IP_2, 0), FALSE)</f>
        <v>Yes</v>
      </c>
      <c r="BF103" s="1592">
        <f t="shared" ref="BF103:BF107" si="374">VLOOKUP($A103,Table_IP_2, MATCH("kp", heading_IP_2, 0), FALSE)</f>
        <v>0.26</v>
      </c>
      <c r="BG103" s="821">
        <f t="shared" ref="BG103:BG107" si="375">VLOOKUP($B103,Table_RSL, MATCH("kp", Heading_RSL, 0), FALSE)</f>
        <v>0.26</v>
      </c>
      <c r="BH103" s="1160">
        <f t="shared" ref="BH103:BH107" si="376">IF(BG103=BF103,,IF(AND(BF103="--",OR(BG103="",BG103=0)),,1))</f>
        <v>0</v>
      </c>
      <c r="BI103" s="1592">
        <f t="shared" ref="BI103:BI107" si="377">VLOOKUP($A103,Table_IP_2, MATCH("fa", heading_IP_2, 0), FALSE)</f>
        <v>1</v>
      </c>
      <c r="BJ103" s="1592">
        <f t="shared" ref="BJ103:BJ107" si="378">VLOOKUP($A103,Table_IP_2, MATCH("b", heading_IP_2, 0), FALSE)</f>
        <v>0.94604439642122995</v>
      </c>
      <c r="BK103" s="821">
        <f t="shared" ref="BK103:BK107" si="379">VLOOKUP($B103,Table_RSL, MATCH("b", Heading_RSL, 0), FALSE)</f>
        <v>0.94604439642122995</v>
      </c>
      <c r="BL103" s="1160">
        <f t="shared" ref="BL103:BL107" si="380">IF(BK103=BJ103,,IF(AND(BJ103="--",OR(BK103="",BK103=0)),,1))</f>
        <v>0</v>
      </c>
      <c r="BM103" s="1592">
        <f t="shared" ref="BM103:BM107" si="381">VLOOKUP($A103,Table_IP_2, MATCH("t_event", heading_IP_2, 0), FALSE)</f>
        <v>0.33346384202540003</v>
      </c>
      <c r="BN103" s="821">
        <f t="shared" ref="BN103:BN107" si="382">VLOOKUP($B103,Table_RSL, MATCH("t_event", Heading_RSL, 0), FALSE)</f>
        <v>0.33346384202540003</v>
      </c>
      <c r="BO103" s="1160">
        <f t="shared" ref="BO103:BO107" si="383">IF(BN103=BM103,,IF(AND(BM103="--",OR(BN103="",BN103=0)),,1))</f>
        <v>0</v>
      </c>
      <c r="BP103" s="1592">
        <f t="shared" ref="BP103:BP107" si="384">VLOOKUP($A103,Table_IP_2, MATCH("t", heading_IP_2, 0), FALSE)</f>
        <v>1.28390082056411</v>
      </c>
      <c r="BQ103" s="821">
        <f t="shared" ref="BQ103:BQ107" si="385">VLOOKUP($B103,Table_RSL, MATCH("t", Heading_RSL, 0), FALSE)</f>
        <v>1.28390082056411</v>
      </c>
      <c r="BR103" s="1160">
        <f t="shared" ref="BR103:BR107" si="386">IF(BQ103=BP103,,IF(AND(BP103="--",OR(BQ103="",BQ103=0)),,1))</f>
        <v>0</v>
      </c>
      <c r="BS103" s="1592" t="str">
        <f t="shared" ref="BS103:BS107" si="387">VLOOKUP($A103,Table_IP_2, MATCH("mut", heading_IP_2, 0), FALSE)</f>
        <v>--</v>
      </c>
      <c r="BT103" s="821">
        <f t="shared" ref="BT103:BT107" si="388">VLOOKUP($B103,Table_RSL, MATCH("mut", Heading_RSL, 0), FALSE)</f>
        <v>0</v>
      </c>
      <c r="BU103" s="1160">
        <f t="shared" ref="BU103:BU107" si="389">IF(AND(BT103="M",BS103="yes"),,IF(AND(BS103="--",OR(BT103="",BT103=0)),,1))</f>
        <v>0</v>
      </c>
      <c r="BW103" s="75" t="str">
        <f t="shared" ref="BW103:BW134" si="390">VLOOKUP($A103,Table_IP_2, MATCH("sfo", heading_IP_2, 0), FALSE)</f>
        <v>--</v>
      </c>
      <c r="BX103" s="75" t="str">
        <f t="shared" ref="BX103:BX134" si="391">VLOOKUP($A103,Table_IP_2, MATCH("sfo-r", heading_IP_2, 0), FALSE)</f>
        <v xml:space="preserve"> </v>
      </c>
      <c r="BY103" s="75" t="str">
        <f t="shared" ref="BY103:BY134" si="392">VLOOKUP($B103,Table_RSL, MATCH("Sfo", Heading_RSL, 0), FALSE)</f>
        <v/>
      </c>
      <c r="BZ103" s="75" t="str">
        <f t="shared" ref="BZ103:BZ134" si="393">IF(VLOOKUP($B103,Table_RSL, MATCH("Sfo-r", Heading_RSL, 0), FALSE)=0,"",VLOOKUP($B103,Table_RSL, MATCH("Sfo-r", Heading_RSL, 0), FALSE))</f>
        <v/>
      </c>
      <c r="CA103" s="1670" t="str">
        <f t="shared" si="266"/>
        <v>--</v>
      </c>
      <c r="CB103" s="75" t="str">
        <f t="shared" ref="CB103:CB134" si="394">VLOOKUP($A103,Table_IP_2, MATCH("IUR", heading_IP_2, 0), FALSE)</f>
        <v>--</v>
      </c>
      <c r="CC103" s="75" t="str">
        <f t="shared" ref="CC103:CC134" si="395">VLOOKUP($A103,Table_IP_2, MATCH("IUR-r", heading_IP_2, 0), FALSE)</f>
        <v xml:space="preserve"> </v>
      </c>
      <c r="CD103" s="75" t="str">
        <f t="shared" ref="CD103:CD134" si="396">VLOOKUP($B103,Table_RSL, MATCH("IUR", Heading_RSL, 0), FALSE)</f>
        <v/>
      </c>
      <c r="CE103" s="75" t="str">
        <f t="shared" ref="CE103:CE134" si="397">IF(VLOOKUP($B103,Table_RSL, MATCH("IUR-r", Heading_RSL, 0), FALSE)=0,"",VLOOKUP($B103,Table_RSL, MATCH("IUR-r", Heading_RSL, 0), FALSE))</f>
        <v/>
      </c>
      <c r="CF103" s="1670" t="str">
        <f t="shared" si="267"/>
        <v>--</v>
      </c>
      <c r="CG103" s="75">
        <f t="shared" ref="CG103:CG134" si="398">VLOOKUP($A103,Table_IP_2, MATCH("RfDo", heading_IP_2, 0), FALSE)</f>
        <v>0.3</v>
      </c>
      <c r="CH103" s="75" t="str">
        <f t="shared" ref="CH103:CH134" si="399">VLOOKUP($A103,Table_IP_2, MATCH("Rfdo-r", heading_IP_2, 0), FALSE)</f>
        <v>ESL Table IP-9</v>
      </c>
      <c r="CI103" s="75">
        <f t="shared" ref="CI103:CI134" si="400">VLOOKUP($B103,Table_RSL, MATCH("RFDo", Heading_RSL, 0), FALSE)</f>
        <v>5.0000000000000001E-3</v>
      </c>
      <c r="CJ103" s="75" t="str">
        <f t="shared" ref="CJ103:CJ134" si="401">IF(VLOOKUP($B103,Table_RSL, MATCH("RFDO-r", Heading_RSL, 0), FALSE)=0,"",VLOOKUP($B103,Table_RSL, MATCH("RFDo-r", Heading_RSL, 0), FALSE))</f>
        <v>P</v>
      </c>
      <c r="CK103" s="1670"/>
      <c r="CL103" s="75">
        <f t="shared" ref="CL103:CL134" si="402">VLOOKUP($A103,Table_IP_2, MATCH("Rfc", heading_IP_2, 0), FALSE)</f>
        <v>700</v>
      </c>
      <c r="CM103" s="75" t="str">
        <f t="shared" ref="CM103:CM134" si="403">VLOOKUP($A103,Table_IP_2, MATCH("Rfc-r", heading_IP_2, 0), FALSE)</f>
        <v>ESL Table IP-9</v>
      </c>
      <c r="CN103" s="75">
        <f t="shared" ref="CN103:CN134" si="404">IF(VLOOKUP($B103,Table_RSL,MATCH("RFC",Heading_RSL,0),FALSE)="","",VLOOKUP($B103,Table_RSL,MATCH("RFC",Heading_RSL,0),FALSE)*1000)</f>
        <v>400</v>
      </c>
      <c r="CO103" s="75" t="str">
        <f t="shared" ref="CO103:CO134" si="405">IF(VLOOKUP($B103,Table_RSL, MATCH("RFC-r", Heading_RSL, 0), FALSE)=0,"",VLOOKUP($B103,Table_RSL, MATCH("RFC-r", Heading_RSL, 0), FALSE))</f>
        <v>P</v>
      </c>
      <c r="CP103" s="1670"/>
      <c r="CR103" s="1686" t="str">
        <f t="shared" si="270"/>
        <v>--</v>
      </c>
      <c r="CS103" s="1686" t="str">
        <f t="shared" si="271"/>
        <v>--</v>
      </c>
      <c r="CT103" s="1686" t="str">
        <f t="shared" si="272"/>
        <v>x</v>
      </c>
      <c r="CU103" s="1686" t="str">
        <f t="shared" si="273"/>
        <v>x</v>
      </c>
    </row>
    <row r="104" spans="1:99">
      <c r="A104" s="1470" t="s">
        <v>720</v>
      </c>
      <c r="B104" s="1567" t="s">
        <v>3416</v>
      </c>
      <c r="C104" s="1563" t="str">
        <f t="shared" si="323"/>
        <v>O</v>
      </c>
      <c r="D104" t="e">
        <f t="shared" si="324"/>
        <v>#N/A</v>
      </c>
      <c r="E104" s="1563">
        <f t="shared" si="325"/>
        <v>-53.5</v>
      </c>
      <c r="F104">
        <f t="shared" si="326"/>
        <v>-53.5</v>
      </c>
      <c r="G104" s="1160">
        <f t="shared" si="327"/>
        <v>0</v>
      </c>
      <c r="H104" s="1563" t="str">
        <f t="shared" si="328"/>
        <v>V</v>
      </c>
      <c r="I104" t="str">
        <f t="shared" si="329"/>
        <v>V</v>
      </c>
      <c r="J104" s="1160">
        <f t="shared" si="330"/>
        <v>0</v>
      </c>
      <c r="K104" s="1563">
        <f t="shared" si="331"/>
        <v>128.26</v>
      </c>
      <c r="L104">
        <f t="shared" si="332"/>
        <v>128.26</v>
      </c>
      <c r="M104" s="1160">
        <f t="shared" si="333"/>
        <v>0</v>
      </c>
      <c r="N104" s="1563">
        <f t="shared" si="334"/>
        <v>4.45</v>
      </c>
      <c r="O104">
        <f t="shared" si="335"/>
        <v>4.45</v>
      </c>
      <c r="P104" s="1160">
        <f t="shared" si="336"/>
        <v>0</v>
      </c>
      <c r="Q104" s="1563">
        <f t="shared" si="337"/>
        <v>0.22</v>
      </c>
      <c r="R104">
        <f t="shared" si="338"/>
        <v>0.22</v>
      </c>
      <c r="S104" s="1160">
        <f t="shared" si="339"/>
        <v>0</v>
      </c>
      <c r="T104" s="1563">
        <f t="shared" si="340"/>
        <v>3.42</v>
      </c>
      <c r="U104">
        <f t="shared" si="341"/>
        <v>3.4</v>
      </c>
      <c r="V104" s="1160">
        <f t="shared" si="342"/>
        <v>1</v>
      </c>
      <c r="W104" s="1563">
        <f t="shared" si="343"/>
        <v>140</v>
      </c>
      <c r="X104">
        <f t="shared" si="344"/>
        <v>139.00245298446401</v>
      </c>
      <c r="Y104" s="1160">
        <f t="shared" si="345"/>
        <v>1</v>
      </c>
      <c r="Z104" s="1563">
        <f t="shared" si="346"/>
        <v>796</v>
      </c>
      <c r="AA104">
        <f t="shared" si="347"/>
        <v>796</v>
      </c>
      <c r="AB104" s="1160">
        <f t="shared" si="348"/>
        <v>0</v>
      </c>
      <c r="AC104" s="1563">
        <f t="shared" si="349"/>
        <v>4.7759999999999998</v>
      </c>
      <c r="AD104" t="str">
        <f t="shared" si="350"/>
        <v/>
      </c>
      <c r="AE104" s="1160">
        <f t="shared" si="351"/>
        <v>1</v>
      </c>
      <c r="AF104" s="1563">
        <f t="shared" si="352"/>
        <v>5.1431994696579997E-2</v>
      </c>
      <c r="AG104">
        <f t="shared" si="353"/>
        <v>5.1431994696579997E-2</v>
      </c>
      <c r="AH104" s="1160">
        <f t="shared" si="354"/>
        <v>0</v>
      </c>
      <c r="AI104" s="1563">
        <f t="shared" si="355"/>
        <v>6.7690362122699998E-6</v>
      </c>
      <c r="AJ104">
        <f t="shared" si="356"/>
        <v>6.7690362122699998E-6</v>
      </c>
      <c r="AK104" s="1160">
        <f t="shared" si="357"/>
        <v>0</v>
      </c>
      <c r="AL104" s="1563">
        <f t="shared" si="358"/>
        <v>21360.075999999997</v>
      </c>
      <c r="AM104" t="e">
        <f t="shared" si="359"/>
        <v>#N/A</v>
      </c>
      <c r="AN104" s="1563">
        <f t="shared" si="360"/>
        <v>6.9034118238993711</v>
      </c>
      <c r="AO104">
        <f t="shared" si="361"/>
        <v>6.86</v>
      </c>
      <c r="AP104" s="1160">
        <f t="shared" si="362"/>
        <v>1</v>
      </c>
      <c r="AQ104" s="1563">
        <f t="shared" si="363"/>
        <v>1.2225330075497174E-2</v>
      </c>
      <c r="AS104" s="1563">
        <f t="shared" si="364"/>
        <v>1043.2066796188317</v>
      </c>
      <c r="AU104" s="1563">
        <f t="shared" si="365"/>
        <v>1022.9483107859152</v>
      </c>
      <c r="AW104" s="1563">
        <f t="shared" si="366"/>
        <v>231.06125361335637</v>
      </c>
      <c r="AY104" s="1592">
        <f t="shared" si="367"/>
        <v>1</v>
      </c>
      <c r="AZ104" s="821">
        <f t="shared" si="368"/>
        <v>1</v>
      </c>
      <c r="BA104" s="1160">
        <f t="shared" si="369"/>
        <v>0</v>
      </c>
      <c r="BB104" s="1592" t="str">
        <f t="shared" si="370"/>
        <v>--</v>
      </c>
      <c r="BC104" s="821" t="str">
        <f t="shared" si="371"/>
        <v/>
      </c>
      <c r="BD104" s="1160">
        <f t="shared" si="372"/>
        <v>0</v>
      </c>
      <c r="BE104" s="1592" t="str">
        <f t="shared" si="373"/>
        <v>No</v>
      </c>
      <c r="BF104" s="1592">
        <f t="shared" si="374"/>
        <v>1.7</v>
      </c>
      <c r="BG104" s="821">
        <f t="shared" si="375"/>
        <v>1.7</v>
      </c>
      <c r="BH104" s="1160">
        <f t="shared" si="376"/>
        <v>0</v>
      </c>
      <c r="BI104" s="1592">
        <f t="shared" si="377"/>
        <v>1</v>
      </c>
      <c r="BJ104" s="1592">
        <f t="shared" si="378"/>
        <v>7.4049339860175696</v>
      </c>
      <c r="BK104" s="821">
        <f t="shared" si="379"/>
        <v>7.4049339860175696</v>
      </c>
      <c r="BL104" s="1160">
        <f t="shared" si="380"/>
        <v>0</v>
      </c>
      <c r="BM104" s="1592">
        <f t="shared" si="381"/>
        <v>0.54967343630260002</v>
      </c>
      <c r="BN104" s="821">
        <f t="shared" si="382"/>
        <v>0.54967343630260002</v>
      </c>
      <c r="BO104" s="1160">
        <f t="shared" si="383"/>
        <v>0</v>
      </c>
      <c r="BP104" s="1592">
        <f t="shared" si="384"/>
        <v>2.4597368290978299</v>
      </c>
      <c r="BQ104" s="821">
        <f t="shared" si="385"/>
        <v>2.4597368290978299</v>
      </c>
      <c r="BR104" s="1160">
        <f t="shared" si="386"/>
        <v>0</v>
      </c>
      <c r="BS104" s="1592" t="str">
        <f t="shared" si="387"/>
        <v>--</v>
      </c>
      <c r="BT104" s="821">
        <f t="shared" si="388"/>
        <v>0</v>
      </c>
      <c r="BU104" s="1160">
        <f t="shared" si="389"/>
        <v>0</v>
      </c>
      <c r="BW104" s="75" t="str">
        <f t="shared" si="390"/>
        <v>--</v>
      </c>
      <c r="BX104" s="75" t="str">
        <f t="shared" si="391"/>
        <v xml:space="preserve"> </v>
      </c>
      <c r="BY104" s="75" t="str">
        <f t="shared" si="392"/>
        <v/>
      </c>
      <c r="BZ104" s="75" t="str">
        <f t="shared" si="393"/>
        <v/>
      </c>
      <c r="CA104" s="1670" t="str">
        <f t="shared" si="266"/>
        <v>--</v>
      </c>
      <c r="CB104" s="75" t="str">
        <f t="shared" si="394"/>
        <v>--</v>
      </c>
      <c r="CC104" s="75" t="str">
        <f t="shared" si="395"/>
        <v xml:space="preserve"> </v>
      </c>
      <c r="CD104" s="75" t="str">
        <f t="shared" si="396"/>
        <v/>
      </c>
      <c r="CE104" s="75" t="str">
        <f t="shared" si="397"/>
        <v/>
      </c>
      <c r="CF104" s="1670" t="str">
        <f t="shared" si="267"/>
        <v>--</v>
      </c>
      <c r="CG104" s="75">
        <f t="shared" si="398"/>
        <v>0.01</v>
      </c>
      <c r="CH104" s="75" t="str">
        <f t="shared" si="399"/>
        <v>ESL Table IP-9</v>
      </c>
      <c r="CI104" s="75">
        <f t="shared" si="400"/>
        <v>0.01</v>
      </c>
      <c r="CJ104" s="75" t="str">
        <f t="shared" si="401"/>
        <v>X</v>
      </c>
      <c r="CK104" s="1670"/>
      <c r="CL104" s="75">
        <f t="shared" si="402"/>
        <v>100</v>
      </c>
      <c r="CM104" s="75" t="str">
        <f t="shared" si="403"/>
        <v>ESL Table IP-9</v>
      </c>
      <c r="CN104" s="75">
        <f t="shared" si="404"/>
        <v>100</v>
      </c>
      <c r="CO104" s="75" t="str">
        <f t="shared" si="405"/>
        <v>P</v>
      </c>
      <c r="CP104" s="1670"/>
      <c r="CR104" s="1686" t="str">
        <f t="shared" si="270"/>
        <v>--</v>
      </c>
      <c r="CS104" s="1686" t="str">
        <f t="shared" si="271"/>
        <v>--</v>
      </c>
      <c r="CT104" s="1686" t="str">
        <f t="shared" si="272"/>
        <v>--</v>
      </c>
      <c r="CU104" s="1686" t="str">
        <f t="shared" si="273"/>
        <v>--</v>
      </c>
    </row>
    <row r="105" spans="1:99">
      <c r="A105" s="1470" t="s">
        <v>721</v>
      </c>
      <c r="B105" s="1568" t="s">
        <v>3411</v>
      </c>
      <c r="C105" s="1563" t="str">
        <f t="shared" si="323"/>
        <v>O</v>
      </c>
      <c r="D105" t="e">
        <f t="shared" si="324"/>
        <v>#N/A</v>
      </c>
      <c r="E105" s="1563">
        <f t="shared" si="325"/>
        <v>-9.6</v>
      </c>
      <c r="F105">
        <f t="shared" si="326"/>
        <v>-9.6</v>
      </c>
      <c r="G105" s="1160">
        <f t="shared" si="327"/>
        <v>0</v>
      </c>
      <c r="H105" s="1563" t="str">
        <f t="shared" si="328"/>
        <v>V</v>
      </c>
      <c r="I105" t="str">
        <f t="shared" si="329"/>
        <v>V</v>
      </c>
      <c r="J105" s="1160">
        <f t="shared" si="330"/>
        <v>0</v>
      </c>
      <c r="K105" s="1563">
        <f t="shared" si="331"/>
        <v>170.34</v>
      </c>
      <c r="L105">
        <f t="shared" si="332"/>
        <v>170.34</v>
      </c>
      <c r="M105" s="1160">
        <f t="shared" si="333"/>
        <v>0</v>
      </c>
      <c r="N105" s="1563">
        <f t="shared" si="334"/>
        <v>0.13500000000000001</v>
      </c>
      <c r="O105">
        <f t="shared" si="335"/>
        <v>0.13500000000000001</v>
      </c>
      <c r="P105" s="1160">
        <f t="shared" si="336"/>
        <v>0</v>
      </c>
      <c r="Q105" s="1563">
        <f t="shared" si="337"/>
        <v>3.7000000000000002E-3</v>
      </c>
      <c r="R105">
        <f t="shared" si="338"/>
        <v>3.7000000000000002E-3</v>
      </c>
      <c r="S105" s="1160">
        <f t="shared" si="339"/>
        <v>0</v>
      </c>
      <c r="T105" s="1563">
        <f t="shared" si="340"/>
        <v>8.07</v>
      </c>
      <c r="U105">
        <f t="shared" si="341"/>
        <v>8.18</v>
      </c>
      <c r="V105" s="1160">
        <f t="shared" si="342"/>
        <v>1</v>
      </c>
      <c r="W105" s="1563">
        <f t="shared" si="343"/>
        <v>330</v>
      </c>
      <c r="X105">
        <f t="shared" si="344"/>
        <v>334.423548650859</v>
      </c>
      <c r="Y105" s="1160">
        <f t="shared" si="345"/>
        <v>1</v>
      </c>
      <c r="Z105" s="1563">
        <f t="shared" si="346"/>
        <v>4818</v>
      </c>
      <c r="AA105">
        <f t="shared" si="347"/>
        <v>4818</v>
      </c>
      <c r="AB105" s="1160">
        <f t="shared" si="348"/>
        <v>0</v>
      </c>
      <c r="AC105" s="1563">
        <f t="shared" si="349"/>
        <v>28.908000000000001</v>
      </c>
      <c r="AD105" t="str">
        <f t="shared" si="350"/>
        <v/>
      </c>
      <c r="AE105" s="1160">
        <f t="shared" si="351"/>
        <v>1</v>
      </c>
      <c r="AF105" s="1563">
        <f t="shared" si="352"/>
        <v>3.6194044102260001E-2</v>
      </c>
      <c r="AG105">
        <f t="shared" si="353"/>
        <v>3.6194044102260001E-2</v>
      </c>
      <c r="AH105" s="1160">
        <f t="shared" si="354"/>
        <v>0</v>
      </c>
      <c r="AI105" s="1563">
        <f t="shared" si="355"/>
        <v>6.4310449015000002E-6</v>
      </c>
      <c r="AJ105">
        <f t="shared" si="356"/>
        <v>6.4310449015000002E-6</v>
      </c>
      <c r="AK105" s="1160">
        <f t="shared" si="357"/>
        <v>0</v>
      </c>
      <c r="AL105" s="1563">
        <f t="shared" si="358"/>
        <v>50890.278000000006</v>
      </c>
      <c r="AM105" t="e">
        <f t="shared" si="359"/>
        <v>#N/A</v>
      </c>
      <c r="AN105" s="1563">
        <f t="shared" si="360"/>
        <v>0.33847488301886802</v>
      </c>
      <c r="AO105">
        <f t="shared" si="361"/>
        <v>0.34200000000000003</v>
      </c>
      <c r="AP105" s="1160">
        <f t="shared" si="362"/>
        <v>1</v>
      </c>
      <c r="AQ105" s="1563">
        <f t="shared" si="363"/>
        <v>6.9561125259370981E-3</v>
      </c>
      <c r="AS105" s="1563">
        <f t="shared" si="364"/>
        <v>1382.9846396928767</v>
      </c>
      <c r="AU105" s="1563">
        <f t="shared" si="365"/>
        <v>1356.1280124602044</v>
      </c>
      <c r="AW105" s="1563">
        <f t="shared" si="366"/>
        <v>306.31913197892021</v>
      </c>
      <c r="AY105" s="1592">
        <f t="shared" si="367"/>
        <v>1</v>
      </c>
      <c r="AZ105" s="821">
        <f t="shared" si="368"/>
        <v>1</v>
      </c>
      <c r="BA105" s="1160">
        <f t="shared" si="369"/>
        <v>0</v>
      </c>
      <c r="BB105" s="1592" t="str">
        <f t="shared" si="370"/>
        <v>--</v>
      </c>
      <c r="BC105" s="821" t="str">
        <f t="shared" si="371"/>
        <v/>
      </c>
      <c r="BD105" s="1160">
        <f t="shared" si="372"/>
        <v>0</v>
      </c>
      <c r="BE105" s="1592" t="str">
        <f t="shared" si="373"/>
        <v>No</v>
      </c>
      <c r="BF105" s="1592">
        <f t="shared" si="374"/>
        <v>1.96</v>
      </c>
      <c r="BG105" s="821">
        <f t="shared" si="375"/>
        <v>1.96</v>
      </c>
      <c r="BH105" s="1160">
        <f t="shared" si="376"/>
        <v>0</v>
      </c>
      <c r="BI105" s="1592">
        <f t="shared" si="377"/>
        <v>1</v>
      </c>
      <c r="BJ105" s="1592">
        <f t="shared" si="378"/>
        <v>9.8387753603645205</v>
      </c>
      <c r="BK105" s="821">
        <f t="shared" si="379"/>
        <v>9.8387753603645205</v>
      </c>
      <c r="BL105" s="1160">
        <f t="shared" si="380"/>
        <v>0</v>
      </c>
      <c r="BM105" s="1592">
        <f t="shared" si="381"/>
        <v>0.94569860762913005</v>
      </c>
      <c r="BN105" s="821">
        <f t="shared" si="382"/>
        <v>0.94569860762913005</v>
      </c>
      <c r="BO105" s="1160">
        <f t="shared" si="383"/>
        <v>0</v>
      </c>
      <c r="BP105" s="1592">
        <f t="shared" si="384"/>
        <v>4.2817373398877798</v>
      </c>
      <c r="BQ105" s="821">
        <f t="shared" si="385"/>
        <v>4.2817373398877798</v>
      </c>
      <c r="BR105" s="1160">
        <f t="shared" si="386"/>
        <v>0</v>
      </c>
      <c r="BS105" s="1592" t="str">
        <f t="shared" si="387"/>
        <v>--</v>
      </c>
      <c r="BT105" s="821">
        <f t="shared" si="388"/>
        <v>0</v>
      </c>
      <c r="BU105" s="1160">
        <f t="shared" si="389"/>
        <v>0</v>
      </c>
      <c r="BW105" s="75" t="str">
        <f t="shared" si="390"/>
        <v>--</v>
      </c>
      <c r="BX105" s="75" t="str">
        <f t="shared" si="391"/>
        <v xml:space="preserve"> </v>
      </c>
      <c r="BY105" s="75" t="str">
        <f t="shared" si="392"/>
        <v/>
      </c>
      <c r="BZ105" s="75" t="str">
        <f t="shared" si="393"/>
        <v/>
      </c>
      <c r="CA105" s="1670" t="str">
        <f t="shared" si="266"/>
        <v>--</v>
      </c>
      <c r="CB105" s="75" t="str">
        <f t="shared" si="394"/>
        <v>--</v>
      </c>
      <c r="CC105" s="75" t="str">
        <f t="shared" si="395"/>
        <v xml:space="preserve"> </v>
      </c>
      <c r="CD105" s="75" t="str">
        <f t="shared" si="396"/>
        <v/>
      </c>
      <c r="CE105" s="75" t="str">
        <f t="shared" si="397"/>
        <v/>
      </c>
      <c r="CF105" s="1670" t="str">
        <f t="shared" si="267"/>
        <v>--</v>
      </c>
      <c r="CG105" s="75">
        <f t="shared" si="398"/>
        <v>3</v>
      </c>
      <c r="CH105" s="75" t="str">
        <f t="shared" si="399"/>
        <v>ESL Table IP-9</v>
      </c>
      <c r="CI105" s="75">
        <f t="shared" si="400"/>
        <v>3</v>
      </c>
      <c r="CJ105" s="75" t="str">
        <f t="shared" si="401"/>
        <v>P</v>
      </c>
      <c r="CK105" s="1670"/>
      <c r="CL105" s="75" t="str">
        <f t="shared" si="402"/>
        <v>--</v>
      </c>
      <c r="CM105" s="75" t="str">
        <f t="shared" si="403"/>
        <v xml:space="preserve"> </v>
      </c>
      <c r="CN105" s="75" t="str">
        <f t="shared" si="404"/>
        <v/>
      </c>
      <c r="CO105" s="75" t="str">
        <f t="shared" si="405"/>
        <v/>
      </c>
      <c r="CP105" s="1670"/>
      <c r="CR105" s="1686" t="str">
        <f t="shared" si="270"/>
        <v>--</v>
      </c>
      <c r="CS105" s="1686" t="str">
        <f t="shared" si="271"/>
        <v>--</v>
      </c>
      <c r="CT105" s="1686" t="str">
        <f t="shared" si="272"/>
        <v>--</v>
      </c>
      <c r="CU105" s="1686" t="str">
        <f t="shared" si="273"/>
        <v>--</v>
      </c>
    </row>
    <row r="106" spans="1:99">
      <c r="A106" s="1470" t="s">
        <v>722</v>
      </c>
      <c r="B106" s="1568" t="s">
        <v>3420</v>
      </c>
      <c r="C106" s="1563" t="str">
        <f t="shared" si="323"/>
        <v>O</v>
      </c>
      <c r="D106" t="e">
        <f t="shared" si="324"/>
        <v>#N/A</v>
      </c>
      <c r="E106" s="1563">
        <f t="shared" si="325"/>
        <v>-37.966666670000002</v>
      </c>
      <c r="F106">
        <f t="shared" si="326"/>
        <v>-37.966666670000002</v>
      </c>
      <c r="G106" s="1160">
        <f t="shared" si="327"/>
        <v>0</v>
      </c>
      <c r="H106" s="1563" t="str">
        <f t="shared" si="328"/>
        <v>V</v>
      </c>
      <c r="I106" t="str">
        <f t="shared" si="329"/>
        <v>V</v>
      </c>
      <c r="J106" s="1160">
        <f t="shared" si="330"/>
        <v>0</v>
      </c>
      <c r="K106" s="1563">
        <f t="shared" si="331"/>
        <v>120.2</v>
      </c>
      <c r="L106">
        <f t="shared" si="332"/>
        <v>120.2</v>
      </c>
      <c r="M106" s="1160">
        <f t="shared" si="333"/>
        <v>0</v>
      </c>
      <c r="N106" s="1563">
        <f t="shared" si="334"/>
        <v>2.0895333329999999</v>
      </c>
      <c r="O106">
        <f t="shared" si="335"/>
        <v>2.0895333329999999</v>
      </c>
      <c r="P106" s="1160">
        <f t="shared" si="336"/>
        <v>0</v>
      </c>
      <c r="Q106" s="1563">
        <f t="shared" si="337"/>
        <v>60.133333329999999</v>
      </c>
      <c r="R106">
        <f t="shared" si="338"/>
        <v>60.133333329999999</v>
      </c>
      <c r="S106" s="1160">
        <f t="shared" si="339"/>
        <v>0</v>
      </c>
      <c r="T106" s="1563">
        <f t="shared" si="340"/>
        <v>6.3600000000000002E-3</v>
      </c>
      <c r="U106">
        <f t="shared" si="341"/>
        <v>6.43E-3</v>
      </c>
      <c r="V106" s="1160">
        <f t="shared" si="342"/>
        <v>1</v>
      </c>
      <c r="W106" s="1563">
        <f t="shared" si="343"/>
        <v>0.26</v>
      </c>
      <c r="X106">
        <f t="shared" si="344"/>
        <v>0.26287816800000002</v>
      </c>
      <c r="Y106" s="1160">
        <f t="shared" si="345"/>
        <v>1</v>
      </c>
      <c r="Z106" s="1563">
        <f t="shared" si="346"/>
        <v>614.43333329999996</v>
      </c>
      <c r="AA106">
        <f t="shared" si="347"/>
        <v>614.43333329999996</v>
      </c>
      <c r="AB106" s="1160">
        <f t="shared" si="348"/>
        <v>0</v>
      </c>
      <c r="AC106" s="1563">
        <f t="shared" si="349"/>
        <v>3.6865999997999999</v>
      </c>
      <c r="AD106" t="str">
        <f t="shared" si="350"/>
        <v/>
      </c>
      <c r="AE106" s="1160">
        <f t="shared" si="351"/>
        <v>1</v>
      </c>
      <c r="AF106" s="1563">
        <f t="shared" si="352"/>
        <v>6.072024173019E-2</v>
      </c>
      <c r="AG106">
        <f t="shared" si="353"/>
        <v>6.072024173019E-2</v>
      </c>
      <c r="AH106" s="1160">
        <f t="shared" si="354"/>
        <v>0</v>
      </c>
      <c r="AI106" s="1563">
        <f t="shared" si="355"/>
        <v>7.9286302722500004E-6</v>
      </c>
      <c r="AJ106">
        <f t="shared" si="356"/>
        <v>7.9286302722500004E-6</v>
      </c>
      <c r="AK106" s="1160">
        <f t="shared" si="357"/>
        <v>0</v>
      </c>
      <c r="AL106" s="1563">
        <f t="shared" si="358"/>
        <v>141.4724533278</v>
      </c>
      <c r="AM106" t="e">
        <f t="shared" si="359"/>
        <v>#N/A</v>
      </c>
      <c r="AN106" s="1563">
        <f t="shared" si="360"/>
        <v>230.66065020579524</v>
      </c>
      <c r="AO106">
        <f t="shared" si="361"/>
        <v>231</v>
      </c>
      <c r="AP106" s="1160">
        <f t="shared" si="362"/>
        <v>1</v>
      </c>
      <c r="AQ106" s="1563">
        <f t="shared" si="363"/>
        <v>2.1928798474249537E-4</v>
      </c>
      <c r="AS106" s="1563">
        <f t="shared" si="364"/>
        <v>7789.2068618945659</v>
      </c>
      <c r="AU106" s="1563">
        <f t="shared" si="365"/>
        <v>7637.9457277329266</v>
      </c>
      <c r="AW106" s="1563">
        <f t="shared" si="366"/>
        <v>1725.2419269599807</v>
      </c>
      <c r="AY106" s="1592">
        <f t="shared" si="367"/>
        <v>1</v>
      </c>
      <c r="AZ106" s="821">
        <f t="shared" si="368"/>
        <v>1</v>
      </c>
      <c r="BA106" s="1160">
        <f t="shared" si="369"/>
        <v>0</v>
      </c>
      <c r="BB106" s="1592" t="str">
        <f t="shared" si="370"/>
        <v>--</v>
      </c>
      <c r="BC106" s="821" t="str">
        <f t="shared" si="371"/>
        <v/>
      </c>
      <c r="BD106" s="1160">
        <f t="shared" si="372"/>
        <v>0</v>
      </c>
      <c r="BE106" s="1592" t="str">
        <f t="shared" si="373"/>
        <v>Yes</v>
      </c>
      <c r="BF106" s="1592">
        <f t="shared" si="374"/>
        <v>7.9166666999999996E-2</v>
      </c>
      <c r="BG106" s="821">
        <f t="shared" si="375"/>
        <v>7.9166666999999996E-2</v>
      </c>
      <c r="BH106" s="1160">
        <f t="shared" si="376"/>
        <v>0</v>
      </c>
      <c r="BI106" s="1592">
        <f t="shared" si="377"/>
        <v>1</v>
      </c>
      <c r="BJ106" s="1592">
        <f t="shared" si="378"/>
        <v>0.33382683653334</v>
      </c>
      <c r="BK106" s="821">
        <f t="shared" si="379"/>
        <v>0.33382683653334</v>
      </c>
      <c r="BL106" s="1160">
        <f t="shared" si="380"/>
        <v>0</v>
      </c>
      <c r="BM106" s="1592">
        <f t="shared" si="381"/>
        <v>0.49541454114276001</v>
      </c>
      <c r="BN106" s="821">
        <f t="shared" si="382"/>
        <v>0.49541454114276001</v>
      </c>
      <c r="BO106" s="1160">
        <f t="shared" si="383"/>
        <v>0</v>
      </c>
      <c r="BP106" s="1592">
        <f t="shared" si="384"/>
        <v>1.18899489874263</v>
      </c>
      <c r="BQ106" s="821">
        <f t="shared" si="385"/>
        <v>1.18899489874263</v>
      </c>
      <c r="BR106" s="1160">
        <f t="shared" si="386"/>
        <v>0</v>
      </c>
      <c r="BS106" s="1592" t="str">
        <f t="shared" si="387"/>
        <v>--</v>
      </c>
      <c r="BT106" s="821">
        <f t="shared" si="388"/>
        <v>0</v>
      </c>
      <c r="BU106" s="1160">
        <f t="shared" si="389"/>
        <v>0</v>
      </c>
      <c r="BW106" s="75" t="str">
        <f t="shared" si="390"/>
        <v>--</v>
      </c>
      <c r="BX106" s="75" t="str">
        <f t="shared" si="391"/>
        <v xml:space="preserve"> </v>
      </c>
      <c r="BY106" s="75" t="str">
        <f t="shared" si="392"/>
        <v/>
      </c>
      <c r="BZ106" s="75" t="str">
        <f t="shared" si="393"/>
        <v/>
      </c>
      <c r="CA106" s="1670" t="str">
        <f t="shared" si="266"/>
        <v>--</v>
      </c>
      <c r="CB106" s="75" t="str">
        <f t="shared" si="394"/>
        <v>--</v>
      </c>
      <c r="CC106" s="75" t="str">
        <f t="shared" si="395"/>
        <v xml:space="preserve"> </v>
      </c>
      <c r="CD106" s="75" t="str">
        <f t="shared" si="396"/>
        <v/>
      </c>
      <c r="CE106" s="75" t="str">
        <f t="shared" si="397"/>
        <v/>
      </c>
      <c r="CF106" s="1670" t="str">
        <f t="shared" si="267"/>
        <v>--</v>
      </c>
      <c r="CG106" s="75">
        <f t="shared" si="398"/>
        <v>0.03</v>
      </c>
      <c r="CH106" s="75" t="str">
        <f t="shared" si="399"/>
        <v>ESL Table IP-9</v>
      </c>
      <c r="CI106" s="75">
        <f t="shared" si="400"/>
        <v>0.01</v>
      </c>
      <c r="CJ106" s="75" t="str">
        <f t="shared" si="401"/>
        <v>P</v>
      </c>
      <c r="CK106" s="1670"/>
      <c r="CL106" s="75">
        <f t="shared" si="402"/>
        <v>50</v>
      </c>
      <c r="CM106" s="75" t="str">
        <f t="shared" si="403"/>
        <v>ESL Table IP-9</v>
      </c>
      <c r="CN106" s="75">
        <f t="shared" si="404"/>
        <v>60</v>
      </c>
      <c r="CO106" s="75" t="str">
        <f t="shared" si="405"/>
        <v>P</v>
      </c>
      <c r="CP106" s="1670"/>
      <c r="CR106" s="1686" t="str">
        <f t="shared" si="270"/>
        <v>--</v>
      </c>
      <c r="CS106" s="1686" t="str">
        <f t="shared" si="271"/>
        <v>--</v>
      </c>
      <c r="CT106" s="1686" t="str">
        <f t="shared" si="272"/>
        <v>x</v>
      </c>
      <c r="CU106" s="1686" t="str">
        <f t="shared" si="273"/>
        <v>x</v>
      </c>
    </row>
    <row r="107" spans="1:99">
      <c r="A107" s="1470" t="s">
        <v>723</v>
      </c>
      <c r="B107" s="1568" t="s">
        <v>3418</v>
      </c>
      <c r="C107" s="1563" t="str">
        <f t="shared" si="323"/>
        <v>O</v>
      </c>
      <c r="D107" t="e">
        <f t="shared" si="324"/>
        <v>#N/A</v>
      </c>
      <c r="E107" s="1563">
        <f t="shared" si="325"/>
        <v>176.5</v>
      </c>
      <c r="F107">
        <f t="shared" si="326"/>
        <v>176.5</v>
      </c>
      <c r="G107" s="1160">
        <f t="shared" si="327"/>
        <v>0</v>
      </c>
      <c r="H107" s="1563" t="str">
        <f t="shared" si="328"/>
        <v>NV</v>
      </c>
      <c r="I107">
        <f t="shared" si="329"/>
        <v>0</v>
      </c>
      <c r="J107" s="1160">
        <f t="shared" si="330"/>
        <v>0</v>
      </c>
      <c r="K107" s="1563">
        <f t="shared" si="331"/>
        <v>252.32</v>
      </c>
      <c r="L107">
        <f t="shared" si="332"/>
        <v>252.32</v>
      </c>
      <c r="M107" s="1160">
        <f t="shared" si="333"/>
        <v>0</v>
      </c>
      <c r="N107" s="1563">
        <f t="shared" si="334"/>
        <v>5.4899999999999999E-9</v>
      </c>
      <c r="O107">
        <f t="shared" si="335"/>
        <v>5.4899999999999999E-9</v>
      </c>
      <c r="P107" s="1160">
        <f t="shared" si="336"/>
        <v>0</v>
      </c>
      <c r="Q107" s="1563">
        <f t="shared" si="337"/>
        <v>1.6199999999999999E-3</v>
      </c>
      <c r="R107">
        <f t="shared" si="338"/>
        <v>1.6199999999999999E-3</v>
      </c>
      <c r="S107" s="1160">
        <f t="shared" si="339"/>
        <v>0</v>
      </c>
      <c r="T107" s="1563">
        <f t="shared" si="340"/>
        <v>8.8000000000000004E-6</v>
      </c>
      <c r="U107">
        <f t="shared" si="341"/>
        <v>4.5699999999999998E-7</v>
      </c>
      <c r="V107" s="1160">
        <f t="shared" si="342"/>
        <v>1</v>
      </c>
      <c r="W107" s="1563">
        <f t="shared" si="343"/>
        <v>3.6000000000000002E-4</v>
      </c>
      <c r="X107">
        <f t="shared" si="344"/>
        <v>1.8683564999999999E-5</v>
      </c>
      <c r="Y107" s="1160">
        <f t="shared" si="345"/>
        <v>1</v>
      </c>
      <c r="Z107" s="1563">
        <f t="shared" si="346"/>
        <v>587400</v>
      </c>
      <c r="AA107">
        <f t="shared" si="347"/>
        <v>587400</v>
      </c>
      <c r="AB107" s="1160">
        <f t="shared" si="348"/>
        <v>0</v>
      </c>
      <c r="AC107" s="1563">
        <f t="shared" si="349"/>
        <v>3524.4</v>
      </c>
      <c r="AD107" t="str">
        <f t="shared" si="350"/>
        <v/>
      </c>
      <c r="AE107" s="1160">
        <f t="shared" si="351"/>
        <v>1</v>
      </c>
      <c r="AF107" s="1563">
        <f t="shared" si="352"/>
        <v>2.547643760558E-2</v>
      </c>
      <c r="AG107">
        <f t="shared" si="353"/>
        <v>2.547643760558E-2</v>
      </c>
      <c r="AH107" s="1160">
        <f t="shared" si="354"/>
        <v>0</v>
      </c>
      <c r="AI107" s="1563">
        <f t="shared" si="355"/>
        <v>6.58406296339E-6</v>
      </c>
      <c r="AJ107">
        <f t="shared" si="356"/>
        <v>6.58406296339E-6</v>
      </c>
      <c r="AK107" s="1160">
        <f t="shared" si="357"/>
        <v>0</v>
      </c>
      <c r="AL107" s="1563">
        <f t="shared" si="358"/>
        <v>97508.454621600002</v>
      </c>
      <c r="AM107" t="e">
        <f t="shared" si="359"/>
        <v>#N/A</v>
      </c>
      <c r="AN107" s="1563">
        <f t="shared" si="360"/>
        <v>5.7096901104045283</v>
      </c>
      <c r="AO107" t="str">
        <f t="shared" si="361"/>
        <v/>
      </c>
      <c r="AP107" s="1160">
        <f t="shared" si="362"/>
        <v>1</v>
      </c>
      <c r="AQ107" s="1563" t="str">
        <f t="shared" si="363"/>
        <v>--</v>
      </c>
      <c r="AS107" s="1563" t="str">
        <f t="shared" si="364"/>
        <v>--</v>
      </c>
      <c r="AU107" s="1563" t="str">
        <f t="shared" si="365"/>
        <v>--</v>
      </c>
      <c r="AW107" s="1563" t="str">
        <f>VLOOKUP($A107,Table_IP_1, MATCH("VFcw", heading_IP_1, 0), FALSE)</f>
        <v>--</v>
      </c>
      <c r="AY107" s="1592">
        <f t="shared" si="367"/>
        <v>1</v>
      </c>
      <c r="AZ107" s="821">
        <f t="shared" si="368"/>
        <v>1</v>
      </c>
      <c r="BA107" s="1160">
        <f t="shared" si="369"/>
        <v>0</v>
      </c>
      <c r="BB107" s="1592">
        <f t="shared" si="370"/>
        <v>0.13</v>
      </c>
      <c r="BC107" s="821">
        <f t="shared" si="371"/>
        <v>0.13</v>
      </c>
      <c r="BD107" s="1160">
        <f t="shared" si="372"/>
        <v>0</v>
      </c>
      <c r="BE107" s="1592" t="str">
        <f t="shared" si="373"/>
        <v>No</v>
      </c>
      <c r="BF107" s="1592">
        <f t="shared" si="374"/>
        <v>0.71299999999999997</v>
      </c>
      <c r="BG107" s="821">
        <f t="shared" si="375"/>
        <v>0.71299999999999997</v>
      </c>
      <c r="BH107" s="1160">
        <f t="shared" si="376"/>
        <v>0</v>
      </c>
      <c r="BI107" s="1592">
        <f t="shared" si="377"/>
        <v>1</v>
      </c>
      <c r="BJ107" s="1592">
        <f t="shared" si="378"/>
        <v>4.3560416128113797</v>
      </c>
      <c r="BK107" s="821">
        <f t="shared" si="379"/>
        <v>4.3560416128113797</v>
      </c>
      <c r="BL107" s="1160">
        <f t="shared" si="380"/>
        <v>0</v>
      </c>
      <c r="BM107" s="1592">
        <f t="shared" si="381"/>
        <v>2.72170311040471</v>
      </c>
      <c r="BN107" s="821">
        <f t="shared" si="382"/>
        <v>2.72170311040471</v>
      </c>
      <c r="BO107" s="1160">
        <f t="shared" si="383"/>
        <v>0</v>
      </c>
      <c r="BP107" s="1592">
        <f t="shared" si="384"/>
        <v>11.8221045485476</v>
      </c>
      <c r="BQ107" s="821">
        <f t="shared" si="385"/>
        <v>11.8221045485476</v>
      </c>
      <c r="BR107" s="1160">
        <f t="shared" si="386"/>
        <v>0</v>
      </c>
      <c r="BS107" s="1592" t="str">
        <f t="shared" si="387"/>
        <v>Yes</v>
      </c>
      <c r="BT107" s="821" t="str">
        <f t="shared" si="388"/>
        <v>M</v>
      </c>
      <c r="BU107" s="1160">
        <f t="shared" si="389"/>
        <v>0</v>
      </c>
      <c r="BW107" s="75" t="str">
        <f t="shared" si="390"/>
        <v>--</v>
      </c>
      <c r="BX107" s="75" t="str">
        <f t="shared" si="391"/>
        <v xml:space="preserve"> </v>
      </c>
      <c r="BY107" s="75" t="str">
        <f t="shared" si="392"/>
        <v/>
      </c>
      <c r="BZ107" s="75" t="str">
        <f t="shared" si="393"/>
        <v/>
      </c>
      <c r="CA107" s="1670" t="str">
        <f t="shared" si="266"/>
        <v>--</v>
      </c>
      <c r="CB107" s="75" t="str">
        <f t="shared" si="394"/>
        <v>--</v>
      </c>
      <c r="CC107" s="75" t="str">
        <f t="shared" si="395"/>
        <v xml:space="preserve"> </v>
      </c>
      <c r="CD107" s="75" t="str">
        <f t="shared" si="396"/>
        <v/>
      </c>
      <c r="CE107" s="75" t="str">
        <f t="shared" si="397"/>
        <v/>
      </c>
      <c r="CF107" s="1670" t="str">
        <f t="shared" si="267"/>
        <v>--</v>
      </c>
      <c r="CG107" s="75">
        <f t="shared" si="398"/>
        <v>0.04</v>
      </c>
      <c r="CH107" s="75" t="str">
        <f t="shared" si="399"/>
        <v>ESL Table IP-9</v>
      </c>
      <c r="CI107" s="75">
        <f t="shared" si="400"/>
        <v>2.9999999999999997E-4</v>
      </c>
      <c r="CJ107" s="75" t="str">
        <f t="shared" si="401"/>
        <v>P</v>
      </c>
      <c r="CK107" s="1670"/>
      <c r="CL107" s="75" t="str">
        <f t="shared" si="402"/>
        <v>--</v>
      </c>
      <c r="CM107" s="75" t="str">
        <f t="shared" si="403"/>
        <v xml:space="preserve"> </v>
      </c>
      <c r="CN107" s="75">
        <f t="shared" si="404"/>
        <v>2E-3</v>
      </c>
      <c r="CO107" s="75" t="str">
        <f t="shared" si="405"/>
        <v>P</v>
      </c>
      <c r="CP107" s="1670"/>
      <c r="CR107" s="1686" t="str">
        <f t="shared" si="270"/>
        <v>--</v>
      </c>
      <c r="CS107" s="1686" t="str">
        <f t="shared" si="271"/>
        <v>--</v>
      </c>
      <c r="CT107" s="1686" t="str">
        <f t="shared" si="272"/>
        <v>x</v>
      </c>
      <c r="CU107" s="1686" t="str">
        <f t="shared" si="273"/>
        <v>x</v>
      </c>
    </row>
    <row r="108" spans="1:99">
      <c r="A108" s="1574" t="s">
        <v>1262</v>
      </c>
      <c r="B108" s="1184" t="s">
        <v>115</v>
      </c>
      <c r="D108" t="e">
        <f t="shared" si="275"/>
        <v>#N/A</v>
      </c>
      <c r="E108" s="1563" t="e">
        <f t="shared" si="276"/>
        <v>#N/A</v>
      </c>
      <c r="F108" t="e">
        <f t="shared" si="277"/>
        <v>#N/A</v>
      </c>
      <c r="G108" s="1160" t="e">
        <f t="shared" si="248"/>
        <v>#N/A</v>
      </c>
      <c r="I108" t="e">
        <f t="shared" si="279"/>
        <v>#N/A</v>
      </c>
      <c r="J108" s="1160" t="e">
        <f t="shared" si="249"/>
        <v>#N/A</v>
      </c>
      <c r="L108" t="e">
        <f t="shared" si="281"/>
        <v>#N/A</v>
      </c>
      <c r="M108" s="1160" t="e">
        <f t="shared" si="250"/>
        <v>#N/A</v>
      </c>
      <c r="O108" t="e">
        <f t="shared" si="283"/>
        <v>#N/A</v>
      </c>
      <c r="P108" s="1160" t="e">
        <f t="shared" si="251"/>
        <v>#N/A</v>
      </c>
      <c r="R108" t="e">
        <f t="shared" si="285"/>
        <v>#N/A</v>
      </c>
      <c r="S108" s="1160" t="e">
        <f t="shared" si="252"/>
        <v>#N/A</v>
      </c>
      <c r="U108" t="e">
        <f t="shared" si="287"/>
        <v>#N/A</v>
      </c>
      <c r="V108" s="1160" t="e">
        <f t="shared" si="253"/>
        <v>#N/A</v>
      </c>
      <c r="X108" t="e">
        <f t="shared" si="289"/>
        <v>#N/A</v>
      </c>
      <c r="Y108" s="1160" t="e">
        <f t="shared" si="254"/>
        <v>#N/A</v>
      </c>
      <c r="AA108" t="e">
        <f t="shared" si="291"/>
        <v>#N/A</v>
      </c>
      <c r="AB108" s="1160" t="e">
        <f t="shared" si="255"/>
        <v>#N/A</v>
      </c>
      <c r="AD108" t="e">
        <f t="shared" si="293"/>
        <v>#N/A</v>
      </c>
      <c r="AE108" s="1160" t="e">
        <f t="shared" si="256"/>
        <v>#N/A</v>
      </c>
      <c r="AG108" t="e">
        <f t="shared" si="295"/>
        <v>#N/A</v>
      </c>
      <c r="AH108" s="1160" t="e">
        <f t="shared" si="257"/>
        <v>#N/A</v>
      </c>
      <c r="AJ108" t="e">
        <f t="shared" si="297"/>
        <v>#N/A</v>
      </c>
      <c r="AK108" s="1160" t="e">
        <f t="shared" si="258"/>
        <v>#N/A</v>
      </c>
      <c r="AM108" t="e">
        <f t="shared" si="299"/>
        <v>#N/A</v>
      </c>
      <c r="AO108" t="e">
        <f t="shared" si="301"/>
        <v>#N/A</v>
      </c>
      <c r="AP108" s="1160" t="e">
        <f t="shared" si="302"/>
        <v>#N/A</v>
      </c>
      <c r="AW108" s="1563" t="e">
        <f>VLOOKUP($A108,Table_IP_1, MATCH("VFcw", heading_IP_1, 0), FALSE)</f>
        <v>#N/A</v>
      </c>
      <c r="AY108" s="1592">
        <f t="shared" si="307"/>
        <v>1</v>
      </c>
      <c r="AZ108" s="821" t="e">
        <f t="shared" si="308"/>
        <v>#N/A</v>
      </c>
      <c r="BA108" s="1160" t="e">
        <f t="shared" si="259"/>
        <v>#N/A</v>
      </c>
      <c r="BB108" s="1592" t="str">
        <f t="shared" si="309"/>
        <v>--</v>
      </c>
      <c r="BC108" s="821" t="e">
        <f t="shared" si="310"/>
        <v>#N/A</v>
      </c>
      <c r="BD108" s="1160" t="e">
        <f t="shared" si="260"/>
        <v>#N/A</v>
      </c>
      <c r="BE108" s="1592" t="str">
        <f t="shared" si="311"/>
        <v>Yes</v>
      </c>
      <c r="BF108" s="1592">
        <f t="shared" si="312"/>
        <v>0.2</v>
      </c>
      <c r="BG108" s="821" t="e">
        <f t="shared" si="313"/>
        <v>#N/A</v>
      </c>
      <c r="BH108" s="1160" t="e">
        <f t="shared" si="261"/>
        <v>#N/A</v>
      </c>
      <c r="BI108" s="1592">
        <f t="shared" si="314"/>
        <v>1</v>
      </c>
      <c r="BJ108" s="1592">
        <f t="shared" si="315"/>
        <v>0.72</v>
      </c>
      <c r="BK108" s="821" t="e">
        <f t="shared" si="316"/>
        <v>#N/A</v>
      </c>
      <c r="BL108" s="1160" t="e">
        <f t="shared" si="262"/>
        <v>#N/A</v>
      </c>
      <c r="BM108" s="1592">
        <f t="shared" si="317"/>
        <v>0.32</v>
      </c>
      <c r="BN108" s="821" t="e">
        <f t="shared" si="318"/>
        <v>#N/A</v>
      </c>
      <c r="BO108" s="1160" t="e">
        <f t="shared" si="263"/>
        <v>#N/A</v>
      </c>
      <c r="BP108" s="1592">
        <f t="shared" si="319"/>
        <v>1.2</v>
      </c>
      <c r="BQ108" s="821" t="e">
        <f t="shared" si="320"/>
        <v>#N/A</v>
      </c>
      <c r="BR108" s="1160" t="e">
        <f t="shared" si="264"/>
        <v>#N/A</v>
      </c>
      <c r="BS108" s="1592" t="str">
        <f t="shared" si="321"/>
        <v>--</v>
      </c>
      <c r="BT108" s="821" t="e">
        <f t="shared" si="322"/>
        <v>#N/A</v>
      </c>
      <c r="BU108" s="1160" t="e">
        <f t="shared" si="265"/>
        <v>#N/A</v>
      </c>
      <c r="BW108" s="75" t="str">
        <f t="shared" si="390"/>
        <v>--</v>
      </c>
      <c r="BX108" s="75" t="str">
        <f t="shared" si="391"/>
        <v xml:space="preserve"> </v>
      </c>
      <c r="BY108" s="75" t="e">
        <f t="shared" si="392"/>
        <v>#N/A</v>
      </c>
      <c r="BZ108" s="75" t="e">
        <f t="shared" si="393"/>
        <v>#N/A</v>
      </c>
      <c r="CA108" s="1670" t="e">
        <f t="shared" si="266"/>
        <v>#N/A</v>
      </c>
      <c r="CB108" s="75" t="str">
        <f t="shared" si="394"/>
        <v>--</v>
      </c>
      <c r="CC108" s="75">
        <f t="shared" si="395"/>
        <v>0</v>
      </c>
      <c r="CD108" s="75" t="e">
        <f t="shared" si="396"/>
        <v>#N/A</v>
      </c>
      <c r="CE108" s="75" t="e">
        <f t="shared" si="397"/>
        <v>#N/A</v>
      </c>
      <c r="CF108" s="1670" t="e">
        <f t="shared" si="267"/>
        <v>#N/A</v>
      </c>
      <c r="CG108" s="75">
        <f t="shared" si="398"/>
        <v>0.3</v>
      </c>
      <c r="CH108" s="75" t="str">
        <f t="shared" si="399"/>
        <v>ESL Table IP-9</v>
      </c>
      <c r="CI108" s="75" t="e">
        <f t="shared" si="400"/>
        <v>#N/A</v>
      </c>
      <c r="CJ108" s="75" t="e">
        <f t="shared" si="401"/>
        <v>#N/A</v>
      </c>
      <c r="CK108" s="1670" t="e">
        <f t="shared" si="268"/>
        <v>#N/A</v>
      </c>
      <c r="CL108" s="75">
        <f t="shared" si="402"/>
        <v>619.46902654867256</v>
      </c>
      <c r="CM108" s="75" t="str">
        <f t="shared" si="403"/>
        <v>ESL Table IP-9</v>
      </c>
      <c r="CN108" s="75" t="e">
        <f t="shared" si="404"/>
        <v>#N/A</v>
      </c>
      <c r="CO108" s="75" t="e">
        <f t="shared" si="405"/>
        <v>#N/A</v>
      </c>
      <c r="CP108" s="1670" t="e">
        <f t="shared" si="269"/>
        <v>#N/A</v>
      </c>
      <c r="CR108" s="1686" t="e">
        <f t="shared" si="270"/>
        <v>#N/A</v>
      </c>
      <c r="CS108" s="1686" t="e">
        <f t="shared" si="271"/>
        <v>#N/A</v>
      </c>
      <c r="CT108" s="1686" t="e">
        <f t="shared" si="272"/>
        <v>#N/A</v>
      </c>
      <c r="CU108" s="1686" t="e">
        <f t="shared" si="273"/>
        <v>#N/A</v>
      </c>
    </row>
    <row r="109" spans="1:99">
      <c r="A109" s="1574" t="s">
        <v>1264</v>
      </c>
      <c r="B109" s="1184" t="s">
        <v>115</v>
      </c>
      <c r="D109" t="e">
        <f t="shared" si="275"/>
        <v>#N/A</v>
      </c>
      <c r="E109" s="1563" t="e">
        <f t="shared" si="276"/>
        <v>#N/A</v>
      </c>
      <c r="F109" t="e">
        <f t="shared" si="277"/>
        <v>#N/A</v>
      </c>
      <c r="G109" s="1160" t="e">
        <f t="shared" si="248"/>
        <v>#N/A</v>
      </c>
      <c r="I109" t="e">
        <f t="shared" si="279"/>
        <v>#N/A</v>
      </c>
      <c r="J109" s="1160" t="e">
        <f t="shared" si="249"/>
        <v>#N/A</v>
      </c>
      <c r="L109" t="e">
        <f t="shared" si="281"/>
        <v>#N/A</v>
      </c>
      <c r="M109" s="1160" t="e">
        <f t="shared" si="250"/>
        <v>#N/A</v>
      </c>
      <c r="O109" t="e">
        <f t="shared" si="283"/>
        <v>#N/A</v>
      </c>
      <c r="P109" s="1160" t="e">
        <f t="shared" si="251"/>
        <v>#N/A</v>
      </c>
      <c r="R109" t="e">
        <f t="shared" si="285"/>
        <v>#N/A</v>
      </c>
      <c r="S109" s="1160" t="e">
        <f t="shared" si="252"/>
        <v>#N/A</v>
      </c>
      <c r="U109" t="e">
        <f t="shared" si="287"/>
        <v>#N/A</v>
      </c>
      <c r="V109" s="1160" t="e">
        <f t="shared" si="253"/>
        <v>#N/A</v>
      </c>
      <c r="X109" t="e">
        <f t="shared" si="289"/>
        <v>#N/A</v>
      </c>
      <c r="Y109" s="1160" t="e">
        <f t="shared" si="254"/>
        <v>#N/A</v>
      </c>
      <c r="AA109" t="e">
        <f t="shared" si="291"/>
        <v>#N/A</v>
      </c>
      <c r="AB109" s="1160" t="e">
        <f t="shared" si="255"/>
        <v>#N/A</v>
      </c>
      <c r="AD109" t="e">
        <f t="shared" si="293"/>
        <v>#N/A</v>
      </c>
      <c r="AE109" s="1160" t="e">
        <f t="shared" si="256"/>
        <v>#N/A</v>
      </c>
      <c r="AG109" t="e">
        <f t="shared" si="295"/>
        <v>#N/A</v>
      </c>
      <c r="AH109" s="1160" t="e">
        <f t="shared" si="257"/>
        <v>#N/A</v>
      </c>
      <c r="AJ109" t="e">
        <f t="shared" si="297"/>
        <v>#N/A</v>
      </c>
      <c r="AK109" s="1160" t="e">
        <f t="shared" si="258"/>
        <v>#N/A</v>
      </c>
      <c r="AM109" t="e">
        <f t="shared" si="299"/>
        <v>#N/A</v>
      </c>
      <c r="AO109" t="e">
        <f t="shared" si="301"/>
        <v>#N/A</v>
      </c>
      <c r="AP109" s="1160" t="e">
        <f t="shared" si="302"/>
        <v>#N/A</v>
      </c>
      <c r="AW109" s="1563" t="e">
        <f t="shared" si="366"/>
        <v>#N/A</v>
      </c>
      <c r="AY109" s="1592">
        <f t="shared" si="307"/>
        <v>1</v>
      </c>
      <c r="AZ109" s="821" t="e">
        <f t="shared" si="308"/>
        <v>#N/A</v>
      </c>
      <c r="BA109" s="1160" t="e">
        <f t="shared" si="259"/>
        <v>#N/A</v>
      </c>
      <c r="BB109" s="1592" t="str">
        <f t="shared" si="309"/>
        <v>--</v>
      </c>
      <c r="BC109" s="821" t="e">
        <f t="shared" si="310"/>
        <v>#N/A</v>
      </c>
      <c r="BD109" s="1160" t="e">
        <f t="shared" si="260"/>
        <v>#N/A</v>
      </c>
      <c r="BE109" s="1592" t="str">
        <f t="shared" si="311"/>
        <v>Yes</v>
      </c>
      <c r="BF109" s="1592">
        <f t="shared" si="312"/>
        <v>1.2</v>
      </c>
      <c r="BG109" s="821" t="e">
        <f t="shared" si="313"/>
        <v>#N/A</v>
      </c>
      <c r="BH109" s="1160" t="e">
        <f t="shared" si="261"/>
        <v>#N/A</v>
      </c>
      <c r="BI109" s="1592" t="str">
        <f t="shared" si="314"/>
        <v>--</v>
      </c>
      <c r="BJ109" s="1592" t="str">
        <f t="shared" si="315"/>
        <v>--</v>
      </c>
      <c r="BK109" s="821" t="e">
        <f t="shared" si="316"/>
        <v>#N/A</v>
      </c>
      <c r="BL109" s="1160" t="e">
        <f t="shared" si="262"/>
        <v>#N/A</v>
      </c>
      <c r="BM109" s="1592" t="str">
        <f t="shared" si="317"/>
        <v>--</v>
      </c>
      <c r="BN109" s="821" t="e">
        <f t="shared" si="318"/>
        <v>#N/A</v>
      </c>
      <c r="BO109" s="1160" t="e">
        <f t="shared" si="263"/>
        <v>#N/A</v>
      </c>
      <c r="BP109" s="1592" t="str">
        <f t="shared" si="319"/>
        <v>--</v>
      </c>
      <c r="BQ109" s="821" t="e">
        <f t="shared" si="320"/>
        <v>#N/A</v>
      </c>
      <c r="BR109" s="1160" t="e">
        <f t="shared" si="264"/>
        <v>#N/A</v>
      </c>
      <c r="BS109" s="1592" t="str">
        <f t="shared" si="321"/>
        <v>--</v>
      </c>
      <c r="BT109" s="821" t="e">
        <f t="shared" si="322"/>
        <v>#N/A</v>
      </c>
      <c r="BU109" s="1160" t="e">
        <f t="shared" si="265"/>
        <v>#N/A</v>
      </c>
      <c r="BW109" s="75" t="str">
        <f t="shared" si="390"/>
        <v>--</v>
      </c>
      <c r="BX109" s="75" t="str">
        <f t="shared" si="391"/>
        <v xml:space="preserve"> </v>
      </c>
      <c r="BY109" s="75" t="e">
        <f t="shared" si="392"/>
        <v>#N/A</v>
      </c>
      <c r="BZ109" s="75" t="e">
        <f t="shared" si="393"/>
        <v>#N/A</v>
      </c>
      <c r="CA109" s="1670" t="e">
        <f t="shared" si="266"/>
        <v>#N/A</v>
      </c>
      <c r="CB109" s="75" t="str">
        <f t="shared" si="394"/>
        <v>--</v>
      </c>
      <c r="CC109" s="75">
        <f t="shared" si="395"/>
        <v>0</v>
      </c>
      <c r="CD109" s="75" t="e">
        <f t="shared" si="396"/>
        <v>#N/A</v>
      </c>
      <c r="CE109" s="75" t="e">
        <f t="shared" si="397"/>
        <v>#N/A</v>
      </c>
      <c r="CF109" s="1670" t="e">
        <f t="shared" si="267"/>
        <v>#N/A</v>
      </c>
      <c r="CG109" s="75">
        <f t="shared" si="398"/>
        <v>3.8839285714285708E-2</v>
      </c>
      <c r="CH109" s="75" t="str">
        <f t="shared" si="399"/>
        <v>ESL Table IP-9</v>
      </c>
      <c r="CI109" s="75" t="e">
        <f t="shared" si="400"/>
        <v>#N/A</v>
      </c>
      <c r="CJ109" s="75" t="e">
        <f t="shared" si="401"/>
        <v>#N/A</v>
      </c>
      <c r="CK109" s="1670" t="e">
        <f t="shared" si="268"/>
        <v>#N/A</v>
      </c>
      <c r="CL109" s="75">
        <f t="shared" si="402"/>
        <v>619.46902654867256</v>
      </c>
      <c r="CM109" s="75" t="str">
        <f t="shared" si="403"/>
        <v>ESL Table IP-9</v>
      </c>
      <c r="CN109" s="75" t="e">
        <f t="shared" si="404"/>
        <v>#N/A</v>
      </c>
      <c r="CO109" s="75" t="e">
        <f t="shared" si="405"/>
        <v>#N/A</v>
      </c>
      <c r="CP109" s="1670" t="e">
        <f t="shared" si="269"/>
        <v>#N/A</v>
      </c>
      <c r="CR109" s="1686" t="e">
        <f t="shared" si="270"/>
        <v>#N/A</v>
      </c>
      <c r="CS109" s="1686" t="e">
        <f t="shared" si="271"/>
        <v>#N/A</v>
      </c>
      <c r="CT109" s="1686" t="e">
        <f t="shared" si="272"/>
        <v>#N/A</v>
      </c>
      <c r="CU109" s="1686" t="e">
        <f t="shared" si="273"/>
        <v>#N/A</v>
      </c>
    </row>
    <row r="110" spans="1:99">
      <c r="A110" s="1575" t="s">
        <v>1265</v>
      </c>
      <c r="B110" s="1184" t="s">
        <v>115</v>
      </c>
      <c r="D110" t="e">
        <f t="shared" si="275"/>
        <v>#N/A</v>
      </c>
      <c r="E110" s="1563" t="e">
        <f t="shared" si="276"/>
        <v>#N/A</v>
      </c>
      <c r="F110" t="e">
        <f t="shared" si="277"/>
        <v>#N/A</v>
      </c>
      <c r="G110" s="1160" t="e">
        <f t="shared" si="248"/>
        <v>#N/A</v>
      </c>
      <c r="I110" t="e">
        <f t="shared" si="279"/>
        <v>#N/A</v>
      </c>
      <c r="J110" s="1160" t="e">
        <f t="shared" si="249"/>
        <v>#N/A</v>
      </c>
      <c r="L110" t="e">
        <f t="shared" si="281"/>
        <v>#N/A</v>
      </c>
      <c r="M110" s="1160" t="e">
        <f t="shared" si="250"/>
        <v>#N/A</v>
      </c>
      <c r="O110" t="e">
        <f t="shared" si="283"/>
        <v>#N/A</v>
      </c>
      <c r="P110" s="1160" t="e">
        <f t="shared" si="251"/>
        <v>#N/A</v>
      </c>
      <c r="R110" t="e">
        <f t="shared" si="285"/>
        <v>#N/A</v>
      </c>
      <c r="S110" s="1160" t="e">
        <f t="shared" si="252"/>
        <v>#N/A</v>
      </c>
      <c r="U110" t="e">
        <f t="shared" si="287"/>
        <v>#N/A</v>
      </c>
      <c r="V110" s="1160" t="e">
        <f t="shared" si="253"/>
        <v>#N/A</v>
      </c>
      <c r="X110" t="e">
        <f t="shared" si="289"/>
        <v>#N/A</v>
      </c>
      <c r="Y110" s="1160" t="e">
        <f t="shared" si="254"/>
        <v>#N/A</v>
      </c>
      <c r="AA110" t="e">
        <f t="shared" si="291"/>
        <v>#N/A</v>
      </c>
      <c r="AB110" s="1160" t="e">
        <f t="shared" si="255"/>
        <v>#N/A</v>
      </c>
      <c r="AD110" t="e">
        <f t="shared" si="293"/>
        <v>#N/A</v>
      </c>
      <c r="AE110" s="1160" t="e">
        <f t="shared" si="256"/>
        <v>#N/A</v>
      </c>
      <c r="AG110" t="e">
        <f t="shared" si="295"/>
        <v>#N/A</v>
      </c>
      <c r="AH110" s="1160" t="e">
        <f t="shared" si="257"/>
        <v>#N/A</v>
      </c>
      <c r="AJ110" t="e">
        <f t="shared" si="297"/>
        <v>#N/A</v>
      </c>
      <c r="AK110" s="1160" t="e">
        <f t="shared" si="258"/>
        <v>#N/A</v>
      </c>
      <c r="AM110" t="e">
        <f t="shared" si="299"/>
        <v>#N/A</v>
      </c>
      <c r="AO110" t="e">
        <f t="shared" si="301"/>
        <v>#N/A</v>
      </c>
      <c r="AP110" s="1160" t="e">
        <f t="shared" si="302"/>
        <v>#N/A</v>
      </c>
      <c r="AW110" s="1563" t="e">
        <f t="shared" si="366"/>
        <v>#N/A</v>
      </c>
      <c r="AY110" s="1592">
        <f t="shared" si="307"/>
        <v>1</v>
      </c>
      <c r="AZ110" s="821" t="e">
        <f t="shared" si="308"/>
        <v>#N/A</v>
      </c>
      <c r="BA110" s="1160" t="e">
        <f t="shared" si="259"/>
        <v>#N/A</v>
      </c>
      <c r="BB110" s="1592" t="str">
        <f t="shared" si="309"/>
        <v>--</v>
      </c>
      <c r="BC110" s="821" t="e">
        <f t="shared" si="310"/>
        <v>#N/A</v>
      </c>
      <c r="BD110" s="1160" t="e">
        <f t="shared" si="260"/>
        <v>#N/A</v>
      </c>
      <c r="BE110" s="1592" t="str">
        <f t="shared" si="311"/>
        <v>Yes</v>
      </c>
      <c r="BF110" s="1592">
        <f t="shared" si="312"/>
        <v>6.9000000000000006E-2</v>
      </c>
      <c r="BG110" s="821" t="e">
        <f t="shared" si="313"/>
        <v>#N/A</v>
      </c>
      <c r="BH110" s="1160" t="e">
        <f t="shared" si="261"/>
        <v>#N/A</v>
      </c>
      <c r="BI110" s="1592">
        <f t="shared" si="314"/>
        <v>1</v>
      </c>
      <c r="BJ110" s="1592">
        <f t="shared" si="315"/>
        <v>0.31</v>
      </c>
      <c r="BK110" s="821" t="e">
        <f t="shared" si="316"/>
        <v>#N/A</v>
      </c>
      <c r="BL110" s="1160" t="e">
        <f t="shared" si="262"/>
        <v>#N/A</v>
      </c>
      <c r="BM110" s="1592">
        <f t="shared" si="317"/>
        <v>0.6</v>
      </c>
      <c r="BN110" s="821" t="e">
        <f t="shared" si="318"/>
        <v>#N/A</v>
      </c>
      <c r="BO110" s="1160" t="e">
        <f t="shared" si="263"/>
        <v>#N/A</v>
      </c>
      <c r="BP110" s="1592">
        <f t="shared" si="319"/>
        <v>1.4</v>
      </c>
      <c r="BQ110" s="821" t="e">
        <f t="shared" si="320"/>
        <v>#N/A</v>
      </c>
      <c r="BR110" s="1160" t="e">
        <f t="shared" si="264"/>
        <v>#N/A</v>
      </c>
      <c r="BS110" s="1592" t="str">
        <f t="shared" si="321"/>
        <v>--</v>
      </c>
      <c r="BT110" s="821" t="e">
        <f t="shared" si="322"/>
        <v>#N/A</v>
      </c>
      <c r="BU110" s="1160" t="e">
        <f t="shared" si="265"/>
        <v>#N/A</v>
      </c>
      <c r="BW110" s="75" t="str">
        <f t="shared" si="390"/>
        <v>--</v>
      </c>
      <c r="BX110" s="75" t="str">
        <f t="shared" si="391"/>
        <v xml:space="preserve"> </v>
      </c>
      <c r="BY110" s="75" t="e">
        <f t="shared" si="392"/>
        <v>#N/A</v>
      </c>
      <c r="BZ110" s="75" t="e">
        <f t="shared" si="393"/>
        <v>#N/A</v>
      </c>
      <c r="CA110" s="1670" t="e">
        <f t="shared" si="266"/>
        <v>#N/A</v>
      </c>
      <c r="CB110" s="75" t="str">
        <f t="shared" si="394"/>
        <v>--</v>
      </c>
      <c r="CC110" s="75">
        <f t="shared" si="395"/>
        <v>0</v>
      </c>
      <c r="CD110" s="75" t="e">
        <f t="shared" si="396"/>
        <v>#N/A</v>
      </c>
      <c r="CE110" s="75" t="e">
        <f t="shared" si="397"/>
        <v>#N/A</v>
      </c>
      <c r="CF110" s="1670" t="e">
        <f t="shared" si="267"/>
        <v>#N/A</v>
      </c>
      <c r="CG110" s="75">
        <f t="shared" si="398"/>
        <v>0.03</v>
      </c>
      <c r="CH110" s="75" t="str">
        <f t="shared" si="399"/>
        <v>ESL Table IP-9</v>
      </c>
      <c r="CI110" s="75" t="e">
        <f t="shared" si="400"/>
        <v>#N/A</v>
      </c>
      <c r="CJ110" s="75" t="e">
        <f t="shared" si="401"/>
        <v>#N/A</v>
      </c>
      <c r="CK110" s="1670" t="e">
        <f t="shared" si="268"/>
        <v>#N/A</v>
      </c>
      <c r="CL110" s="75">
        <f t="shared" si="402"/>
        <v>296.61016949152543</v>
      </c>
      <c r="CM110" s="75" t="str">
        <f t="shared" si="403"/>
        <v>ESL Table IP-9</v>
      </c>
      <c r="CN110" s="75" t="e">
        <f t="shared" si="404"/>
        <v>#N/A</v>
      </c>
      <c r="CO110" s="75" t="e">
        <f t="shared" si="405"/>
        <v>#N/A</v>
      </c>
      <c r="CP110" s="1670" t="e">
        <f t="shared" si="269"/>
        <v>#N/A</v>
      </c>
      <c r="CR110" s="1686" t="e">
        <f t="shared" si="270"/>
        <v>#N/A</v>
      </c>
      <c r="CS110" s="1686" t="e">
        <f t="shared" si="271"/>
        <v>#N/A</v>
      </c>
      <c r="CT110" s="1686" t="e">
        <f t="shared" si="272"/>
        <v>#N/A</v>
      </c>
      <c r="CU110" s="1686" t="e">
        <f t="shared" si="273"/>
        <v>#N/A</v>
      </c>
    </row>
    <row r="111" spans="1:99">
      <c r="A111" s="1575" t="s">
        <v>1266</v>
      </c>
      <c r="B111" s="1184" t="s">
        <v>115</v>
      </c>
      <c r="D111" t="e">
        <f t="shared" si="275"/>
        <v>#N/A</v>
      </c>
      <c r="E111" s="1563" t="e">
        <f t="shared" si="276"/>
        <v>#N/A</v>
      </c>
      <c r="F111" t="e">
        <f t="shared" si="277"/>
        <v>#N/A</v>
      </c>
      <c r="G111" s="1160" t="e">
        <f t="shared" si="248"/>
        <v>#N/A</v>
      </c>
      <c r="I111" t="e">
        <f t="shared" si="279"/>
        <v>#N/A</v>
      </c>
      <c r="J111" s="1160" t="e">
        <f t="shared" si="249"/>
        <v>#N/A</v>
      </c>
      <c r="L111" t="e">
        <f t="shared" si="281"/>
        <v>#N/A</v>
      </c>
      <c r="M111" s="1160" t="e">
        <f t="shared" si="250"/>
        <v>#N/A</v>
      </c>
      <c r="O111" t="e">
        <f t="shared" si="283"/>
        <v>#N/A</v>
      </c>
      <c r="P111" s="1160" t="e">
        <f t="shared" si="251"/>
        <v>#N/A</v>
      </c>
      <c r="R111" t="e">
        <f t="shared" si="285"/>
        <v>#N/A</v>
      </c>
      <c r="S111" s="1160" t="e">
        <f t="shared" si="252"/>
        <v>#N/A</v>
      </c>
      <c r="U111" t="e">
        <f t="shared" si="287"/>
        <v>#N/A</v>
      </c>
      <c r="V111" s="1160" t="e">
        <f t="shared" si="253"/>
        <v>#N/A</v>
      </c>
      <c r="X111" t="e">
        <f t="shared" si="289"/>
        <v>#N/A</v>
      </c>
      <c r="Y111" s="1160" t="e">
        <f t="shared" si="254"/>
        <v>#N/A</v>
      </c>
      <c r="AA111" t="e">
        <f t="shared" si="291"/>
        <v>#N/A</v>
      </c>
      <c r="AB111" s="1160" t="e">
        <f t="shared" si="255"/>
        <v>#N/A</v>
      </c>
      <c r="AD111" t="e">
        <f t="shared" si="293"/>
        <v>#N/A</v>
      </c>
      <c r="AE111" s="1160" t="e">
        <f t="shared" si="256"/>
        <v>#N/A</v>
      </c>
      <c r="AG111" t="e">
        <f t="shared" si="295"/>
        <v>#N/A</v>
      </c>
      <c r="AH111" s="1160" t="e">
        <f t="shared" si="257"/>
        <v>#N/A</v>
      </c>
      <c r="AJ111" t="e">
        <f t="shared" si="297"/>
        <v>#N/A</v>
      </c>
      <c r="AK111" s="1160" t="e">
        <f t="shared" si="258"/>
        <v>#N/A</v>
      </c>
      <c r="AM111" t="e">
        <f t="shared" si="299"/>
        <v>#N/A</v>
      </c>
      <c r="AO111" t="e">
        <f t="shared" si="301"/>
        <v>#N/A</v>
      </c>
      <c r="AP111" s="1160" t="e">
        <f t="shared" si="302"/>
        <v>#N/A</v>
      </c>
      <c r="AW111" s="1563" t="e">
        <f t="shared" si="366"/>
        <v>#N/A</v>
      </c>
      <c r="AY111" s="1592">
        <f t="shared" si="307"/>
        <v>1</v>
      </c>
      <c r="AZ111" s="821" t="e">
        <f t="shared" si="308"/>
        <v>#N/A</v>
      </c>
      <c r="BA111" s="1160" t="e">
        <f t="shared" si="259"/>
        <v>#N/A</v>
      </c>
      <c r="BB111" s="1592" t="str">
        <f t="shared" si="309"/>
        <v>--</v>
      </c>
      <c r="BC111" s="821" t="e">
        <f t="shared" si="310"/>
        <v>#N/A</v>
      </c>
      <c r="BD111" s="1160" t="e">
        <f t="shared" si="260"/>
        <v>#N/A</v>
      </c>
      <c r="BE111" s="1592" t="str">
        <f t="shared" si="311"/>
        <v>No</v>
      </c>
      <c r="BF111" s="1592" t="str">
        <f t="shared" si="312"/>
        <v>--</v>
      </c>
      <c r="BG111" s="821" t="e">
        <f t="shared" si="313"/>
        <v>#N/A</v>
      </c>
      <c r="BH111" s="1160" t="e">
        <f t="shared" si="261"/>
        <v>#N/A</v>
      </c>
      <c r="BI111" s="1592" t="str">
        <f t="shared" si="314"/>
        <v>--</v>
      </c>
      <c r="BJ111" s="1592" t="str">
        <f t="shared" si="315"/>
        <v>--</v>
      </c>
      <c r="BK111" s="821" t="e">
        <f t="shared" si="316"/>
        <v>#N/A</v>
      </c>
      <c r="BL111" s="1160" t="e">
        <f t="shared" si="262"/>
        <v>#N/A</v>
      </c>
      <c r="BM111" s="1592" t="str">
        <f t="shared" si="317"/>
        <v>--</v>
      </c>
      <c r="BN111" s="821" t="e">
        <f t="shared" si="318"/>
        <v>#N/A</v>
      </c>
      <c r="BO111" s="1160" t="e">
        <f t="shared" si="263"/>
        <v>#N/A</v>
      </c>
      <c r="BP111" s="1592" t="str">
        <f t="shared" si="319"/>
        <v>--</v>
      </c>
      <c r="BQ111" s="821" t="e">
        <f t="shared" si="320"/>
        <v>#N/A</v>
      </c>
      <c r="BR111" s="1160" t="e">
        <f t="shared" si="264"/>
        <v>#N/A</v>
      </c>
      <c r="BS111" s="1592" t="str">
        <f t="shared" si="321"/>
        <v>--</v>
      </c>
      <c r="BT111" s="821" t="e">
        <f t="shared" si="322"/>
        <v>#N/A</v>
      </c>
      <c r="BU111" s="1160" t="e">
        <f t="shared" si="265"/>
        <v>#N/A</v>
      </c>
      <c r="BW111" s="75" t="str">
        <f t="shared" si="390"/>
        <v>--</v>
      </c>
      <c r="BX111" s="75" t="str">
        <f t="shared" si="391"/>
        <v xml:space="preserve"> </v>
      </c>
      <c r="BY111" s="75" t="e">
        <f t="shared" si="392"/>
        <v>#N/A</v>
      </c>
      <c r="BZ111" s="75" t="e">
        <f t="shared" si="393"/>
        <v>#N/A</v>
      </c>
      <c r="CA111" s="1670" t="e">
        <f t="shared" si="266"/>
        <v>#N/A</v>
      </c>
      <c r="CB111" s="75" t="str">
        <f t="shared" si="394"/>
        <v>--</v>
      </c>
      <c r="CC111" s="75">
        <f t="shared" si="395"/>
        <v>0</v>
      </c>
      <c r="CD111" s="75" t="e">
        <f t="shared" si="396"/>
        <v>#N/A</v>
      </c>
      <c r="CE111" s="75" t="e">
        <f t="shared" si="397"/>
        <v>#N/A</v>
      </c>
      <c r="CF111" s="1670" t="e">
        <f t="shared" si="267"/>
        <v>#N/A</v>
      </c>
      <c r="CG111" s="75">
        <f t="shared" si="398"/>
        <v>1.1029411764705881E-2</v>
      </c>
      <c r="CH111" s="75" t="str">
        <f t="shared" si="399"/>
        <v>ESL Table IP-9</v>
      </c>
      <c r="CI111" s="75" t="e">
        <f t="shared" si="400"/>
        <v>#N/A</v>
      </c>
      <c r="CJ111" s="75" t="e">
        <f t="shared" si="401"/>
        <v>#N/A</v>
      </c>
      <c r="CK111" s="1670" t="e">
        <f t="shared" si="268"/>
        <v>#N/A</v>
      </c>
      <c r="CL111" s="75">
        <f t="shared" si="402"/>
        <v>296.61016949152543</v>
      </c>
      <c r="CM111" s="75" t="str">
        <f t="shared" si="403"/>
        <v>ESL Table IP-9</v>
      </c>
      <c r="CN111" s="75" t="e">
        <f t="shared" si="404"/>
        <v>#N/A</v>
      </c>
      <c r="CO111" s="75" t="e">
        <f t="shared" si="405"/>
        <v>#N/A</v>
      </c>
      <c r="CP111" s="1670" t="e">
        <f t="shared" si="269"/>
        <v>#N/A</v>
      </c>
      <c r="CR111" s="1686" t="e">
        <f t="shared" si="270"/>
        <v>#N/A</v>
      </c>
      <c r="CS111" s="1686" t="e">
        <f t="shared" si="271"/>
        <v>#N/A</v>
      </c>
      <c r="CT111" s="1686" t="e">
        <f t="shared" si="272"/>
        <v>#N/A</v>
      </c>
      <c r="CU111" s="1686" t="e">
        <f t="shared" si="273"/>
        <v>#N/A</v>
      </c>
    </row>
    <row r="112" spans="1:99">
      <c r="A112" s="1575" t="s">
        <v>1267</v>
      </c>
      <c r="B112" s="1184" t="s">
        <v>115</v>
      </c>
      <c r="D112" t="e">
        <f t="shared" si="275"/>
        <v>#N/A</v>
      </c>
      <c r="E112" s="1563" t="e">
        <f t="shared" si="276"/>
        <v>#N/A</v>
      </c>
      <c r="F112" t="e">
        <f t="shared" si="277"/>
        <v>#N/A</v>
      </c>
      <c r="G112" s="1160" t="e">
        <f t="shared" si="248"/>
        <v>#N/A</v>
      </c>
      <c r="I112" t="e">
        <f t="shared" si="279"/>
        <v>#N/A</v>
      </c>
      <c r="J112" s="1160" t="e">
        <f t="shared" si="249"/>
        <v>#N/A</v>
      </c>
      <c r="L112" t="e">
        <f t="shared" si="281"/>
        <v>#N/A</v>
      </c>
      <c r="M112" s="1160" t="e">
        <f t="shared" si="250"/>
        <v>#N/A</v>
      </c>
      <c r="O112" t="e">
        <f t="shared" si="283"/>
        <v>#N/A</v>
      </c>
      <c r="P112" s="1160" t="e">
        <f t="shared" si="251"/>
        <v>#N/A</v>
      </c>
      <c r="R112" t="e">
        <f t="shared" si="285"/>
        <v>#N/A</v>
      </c>
      <c r="S112" s="1160" t="e">
        <f t="shared" si="252"/>
        <v>#N/A</v>
      </c>
      <c r="U112" t="e">
        <f t="shared" si="287"/>
        <v>#N/A</v>
      </c>
      <c r="V112" s="1160" t="e">
        <f t="shared" si="253"/>
        <v>#N/A</v>
      </c>
      <c r="X112" t="e">
        <f t="shared" si="289"/>
        <v>#N/A</v>
      </c>
      <c r="Y112" s="1160" t="e">
        <f t="shared" si="254"/>
        <v>#N/A</v>
      </c>
      <c r="AA112" t="e">
        <f t="shared" si="291"/>
        <v>#N/A</v>
      </c>
      <c r="AB112" s="1160" t="e">
        <f t="shared" si="255"/>
        <v>#N/A</v>
      </c>
      <c r="AD112" t="e">
        <f t="shared" si="293"/>
        <v>#N/A</v>
      </c>
      <c r="AE112" s="1160" t="e">
        <f t="shared" si="256"/>
        <v>#N/A</v>
      </c>
      <c r="AG112" t="e">
        <f t="shared" si="295"/>
        <v>#N/A</v>
      </c>
      <c r="AH112" s="1160" t="e">
        <f t="shared" si="257"/>
        <v>#N/A</v>
      </c>
      <c r="AJ112" t="e">
        <f t="shared" si="297"/>
        <v>#N/A</v>
      </c>
      <c r="AK112" s="1160" t="e">
        <f t="shared" si="258"/>
        <v>#N/A</v>
      </c>
      <c r="AM112" t="e">
        <f t="shared" si="299"/>
        <v>#N/A</v>
      </c>
      <c r="AO112" t="e">
        <f t="shared" si="301"/>
        <v>#N/A</v>
      </c>
      <c r="AP112" s="1160" t="e">
        <f t="shared" si="302"/>
        <v>#N/A</v>
      </c>
      <c r="AW112" s="1563" t="e">
        <f t="shared" si="366"/>
        <v>#N/A</v>
      </c>
      <c r="AY112" s="1592">
        <f t="shared" si="307"/>
        <v>1</v>
      </c>
      <c r="AZ112" s="821" t="e">
        <f t="shared" si="308"/>
        <v>#N/A</v>
      </c>
      <c r="BA112" s="1160" t="e">
        <f t="shared" si="259"/>
        <v>#N/A</v>
      </c>
      <c r="BB112" s="1592" t="str">
        <f t="shared" si="309"/>
        <v>--</v>
      </c>
      <c r="BC112" s="821" t="e">
        <f t="shared" si="310"/>
        <v>#N/A</v>
      </c>
      <c r="BD112" s="1160" t="e">
        <f t="shared" si="260"/>
        <v>#N/A</v>
      </c>
      <c r="BE112" s="1592" t="str">
        <f t="shared" si="311"/>
        <v>Yes</v>
      </c>
      <c r="BF112" s="1592">
        <f t="shared" si="312"/>
        <v>6.9000000000000006E-2</v>
      </c>
      <c r="BG112" s="821" t="e">
        <f t="shared" si="313"/>
        <v>#N/A</v>
      </c>
      <c r="BH112" s="1160" t="e">
        <f t="shared" si="261"/>
        <v>#N/A</v>
      </c>
      <c r="BI112" s="1592">
        <f t="shared" si="314"/>
        <v>1</v>
      </c>
      <c r="BJ112" s="1592">
        <f t="shared" si="315"/>
        <v>0.31</v>
      </c>
      <c r="BK112" s="821" t="e">
        <f t="shared" si="316"/>
        <v>#N/A</v>
      </c>
      <c r="BL112" s="1160" t="e">
        <f t="shared" si="262"/>
        <v>#N/A</v>
      </c>
      <c r="BM112" s="1592">
        <f t="shared" si="317"/>
        <v>0.6</v>
      </c>
      <c r="BN112" s="821" t="e">
        <f t="shared" si="318"/>
        <v>#N/A</v>
      </c>
      <c r="BO112" s="1160" t="e">
        <f t="shared" si="263"/>
        <v>#N/A</v>
      </c>
      <c r="BP112" s="1592">
        <f t="shared" si="319"/>
        <v>1.4</v>
      </c>
      <c r="BQ112" s="821" t="e">
        <f t="shared" si="320"/>
        <v>#N/A</v>
      </c>
      <c r="BR112" s="1160" t="e">
        <f t="shared" si="264"/>
        <v>#N/A</v>
      </c>
      <c r="BS112" s="1592" t="str">
        <f t="shared" si="321"/>
        <v>--</v>
      </c>
      <c r="BT112" s="821" t="e">
        <f t="shared" si="322"/>
        <v>#N/A</v>
      </c>
      <c r="BU112" s="1160" t="e">
        <f t="shared" si="265"/>
        <v>#N/A</v>
      </c>
      <c r="BW112" s="75" t="str">
        <f t="shared" si="390"/>
        <v>--</v>
      </c>
      <c r="BX112" s="75" t="str">
        <f t="shared" si="391"/>
        <v xml:space="preserve"> </v>
      </c>
      <c r="BY112" s="75" t="e">
        <f t="shared" si="392"/>
        <v>#N/A</v>
      </c>
      <c r="BZ112" s="75" t="e">
        <f t="shared" si="393"/>
        <v>#N/A</v>
      </c>
      <c r="CA112" s="1670" t="e">
        <f t="shared" si="266"/>
        <v>#N/A</v>
      </c>
      <c r="CB112" s="75" t="str">
        <f t="shared" si="394"/>
        <v>--</v>
      </c>
      <c r="CC112" s="75">
        <f t="shared" si="395"/>
        <v>0</v>
      </c>
      <c r="CD112" s="75" t="e">
        <f t="shared" si="396"/>
        <v>#N/A</v>
      </c>
      <c r="CE112" s="75" t="e">
        <f t="shared" si="397"/>
        <v>#N/A</v>
      </c>
      <c r="CF112" s="1670" t="e">
        <f t="shared" si="267"/>
        <v>#N/A</v>
      </c>
      <c r="CG112" s="75">
        <f t="shared" si="398"/>
        <v>0.03</v>
      </c>
      <c r="CH112" s="75" t="str">
        <f t="shared" si="399"/>
        <v>ESL Table IP-9</v>
      </c>
      <c r="CI112" s="75" t="e">
        <f t="shared" si="400"/>
        <v>#N/A</v>
      </c>
      <c r="CJ112" s="75" t="e">
        <f t="shared" si="401"/>
        <v>#N/A</v>
      </c>
      <c r="CK112" s="1670" t="e">
        <f t="shared" si="268"/>
        <v>#N/A</v>
      </c>
      <c r="CL112" s="75">
        <f t="shared" si="402"/>
        <v>296.61016949152543</v>
      </c>
      <c r="CM112" s="75" t="str">
        <f t="shared" si="403"/>
        <v>ESL Table IP-9</v>
      </c>
      <c r="CN112" s="75" t="e">
        <f t="shared" si="404"/>
        <v>#N/A</v>
      </c>
      <c r="CO112" s="75" t="e">
        <f t="shared" si="405"/>
        <v>#N/A</v>
      </c>
      <c r="CP112" s="1670" t="e">
        <f t="shared" si="269"/>
        <v>#N/A</v>
      </c>
      <c r="CR112" s="1686" t="e">
        <f t="shared" si="270"/>
        <v>#N/A</v>
      </c>
      <c r="CS112" s="1686" t="e">
        <f t="shared" si="271"/>
        <v>#N/A</v>
      </c>
      <c r="CT112" s="1686" t="e">
        <f t="shared" si="272"/>
        <v>#N/A</v>
      </c>
      <c r="CU112" s="1686" t="e">
        <f t="shared" si="273"/>
        <v>#N/A</v>
      </c>
    </row>
    <row r="113" spans="1:99">
      <c r="A113" s="1576" t="s">
        <v>1268</v>
      </c>
      <c r="B113" s="1184" t="s">
        <v>115</v>
      </c>
      <c r="D113" t="e">
        <f t="shared" si="275"/>
        <v>#N/A</v>
      </c>
      <c r="E113" s="1563" t="e">
        <f t="shared" si="276"/>
        <v>#N/A</v>
      </c>
      <c r="F113" t="e">
        <f t="shared" si="277"/>
        <v>#N/A</v>
      </c>
      <c r="G113" s="1160" t="e">
        <f t="shared" si="248"/>
        <v>#N/A</v>
      </c>
      <c r="I113" t="e">
        <f t="shared" si="279"/>
        <v>#N/A</v>
      </c>
      <c r="J113" s="1160" t="e">
        <f t="shared" si="249"/>
        <v>#N/A</v>
      </c>
      <c r="L113" t="e">
        <f t="shared" si="281"/>
        <v>#N/A</v>
      </c>
      <c r="M113" s="1160" t="e">
        <f t="shared" si="250"/>
        <v>#N/A</v>
      </c>
      <c r="O113" t="e">
        <f t="shared" si="283"/>
        <v>#N/A</v>
      </c>
      <c r="P113" s="1160" t="e">
        <f t="shared" si="251"/>
        <v>#N/A</v>
      </c>
      <c r="R113" t="e">
        <f t="shared" si="285"/>
        <v>#N/A</v>
      </c>
      <c r="S113" s="1160" t="e">
        <f t="shared" si="252"/>
        <v>#N/A</v>
      </c>
      <c r="U113" t="e">
        <f t="shared" si="287"/>
        <v>#N/A</v>
      </c>
      <c r="V113" s="1160" t="e">
        <f t="shared" si="253"/>
        <v>#N/A</v>
      </c>
      <c r="X113" t="e">
        <f t="shared" si="289"/>
        <v>#N/A</v>
      </c>
      <c r="Y113" s="1160" t="e">
        <f t="shared" si="254"/>
        <v>#N/A</v>
      </c>
      <c r="AA113" t="e">
        <f t="shared" si="291"/>
        <v>#N/A</v>
      </c>
      <c r="AB113" s="1160" t="e">
        <f t="shared" si="255"/>
        <v>#N/A</v>
      </c>
      <c r="AD113" t="e">
        <f t="shared" si="293"/>
        <v>#N/A</v>
      </c>
      <c r="AE113" s="1160" t="e">
        <f t="shared" si="256"/>
        <v>#N/A</v>
      </c>
      <c r="AG113" t="e">
        <f t="shared" si="295"/>
        <v>#N/A</v>
      </c>
      <c r="AH113" s="1160" t="e">
        <f t="shared" si="257"/>
        <v>#N/A</v>
      </c>
      <c r="AJ113" t="e">
        <f t="shared" si="297"/>
        <v>#N/A</v>
      </c>
      <c r="AK113" s="1160" t="e">
        <f t="shared" si="258"/>
        <v>#N/A</v>
      </c>
      <c r="AM113" t="e">
        <f t="shared" si="299"/>
        <v>#N/A</v>
      </c>
      <c r="AO113" t="e">
        <f t="shared" si="301"/>
        <v>#N/A</v>
      </c>
      <c r="AP113" s="1160" t="e">
        <f t="shared" si="302"/>
        <v>#N/A</v>
      </c>
      <c r="AW113" s="1563" t="e">
        <f t="shared" si="366"/>
        <v>#N/A</v>
      </c>
      <c r="AY113" s="1592">
        <f t="shared" si="307"/>
        <v>1</v>
      </c>
      <c r="AZ113" s="821" t="e">
        <f t="shared" si="308"/>
        <v>#N/A</v>
      </c>
      <c r="BA113" s="1160" t="e">
        <f t="shared" si="259"/>
        <v>#N/A</v>
      </c>
      <c r="BB113" s="1592" t="str">
        <f t="shared" si="309"/>
        <v>--</v>
      </c>
      <c r="BC113" s="821" t="e">
        <f t="shared" si="310"/>
        <v>#N/A</v>
      </c>
      <c r="BD113" s="1160" t="e">
        <f t="shared" si="260"/>
        <v>#N/A</v>
      </c>
      <c r="BE113" s="1592" t="str">
        <f t="shared" si="311"/>
        <v>No</v>
      </c>
      <c r="BF113" s="1592" t="str">
        <f t="shared" si="312"/>
        <v>--</v>
      </c>
      <c r="BG113" s="821" t="e">
        <f t="shared" si="313"/>
        <v>#N/A</v>
      </c>
      <c r="BH113" s="1160" t="e">
        <f t="shared" si="261"/>
        <v>#N/A</v>
      </c>
      <c r="BI113" s="1592" t="str">
        <f t="shared" si="314"/>
        <v>--</v>
      </c>
      <c r="BJ113" s="1592" t="str">
        <f t="shared" si="315"/>
        <v>--</v>
      </c>
      <c r="BK113" s="821" t="e">
        <f t="shared" si="316"/>
        <v>#N/A</v>
      </c>
      <c r="BL113" s="1160" t="e">
        <f t="shared" si="262"/>
        <v>#N/A</v>
      </c>
      <c r="BM113" s="1592" t="str">
        <f t="shared" si="317"/>
        <v>--</v>
      </c>
      <c r="BN113" s="821" t="e">
        <f t="shared" si="318"/>
        <v>#N/A</v>
      </c>
      <c r="BO113" s="1160" t="e">
        <f t="shared" si="263"/>
        <v>#N/A</v>
      </c>
      <c r="BP113" s="1592" t="str">
        <f t="shared" si="319"/>
        <v>--</v>
      </c>
      <c r="BQ113" s="821" t="e">
        <f t="shared" si="320"/>
        <v>#N/A</v>
      </c>
      <c r="BR113" s="1160" t="e">
        <f t="shared" si="264"/>
        <v>#N/A</v>
      </c>
      <c r="BS113" s="1592" t="str">
        <f t="shared" si="321"/>
        <v>--</v>
      </c>
      <c r="BT113" s="821" t="e">
        <f t="shared" si="322"/>
        <v>#N/A</v>
      </c>
      <c r="BU113" s="1160" t="e">
        <f t="shared" si="265"/>
        <v>#N/A</v>
      </c>
      <c r="BW113" s="75" t="str">
        <f t="shared" si="390"/>
        <v>--</v>
      </c>
      <c r="BX113" s="75" t="str">
        <f t="shared" si="391"/>
        <v xml:space="preserve"> </v>
      </c>
      <c r="BY113" s="75" t="e">
        <f t="shared" si="392"/>
        <v>#N/A</v>
      </c>
      <c r="BZ113" s="75" t="e">
        <f t="shared" si="393"/>
        <v>#N/A</v>
      </c>
      <c r="CA113" s="1670" t="e">
        <f t="shared" si="266"/>
        <v>#N/A</v>
      </c>
      <c r="CB113" s="75" t="str">
        <f t="shared" si="394"/>
        <v>--</v>
      </c>
      <c r="CC113" s="75">
        <f t="shared" si="395"/>
        <v>0</v>
      </c>
      <c r="CD113" s="75" t="e">
        <f t="shared" si="396"/>
        <v>#N/A</v>
      </c>
      <c r="CE113" s="75" t="e">
        <f t="shared" si="397"/>
        <v>#N/A</v>
      </c>
      <c r="CF113" s="1670" t="e">
        <f t="shared" si="267"/>
        <v>#N/A</v>
      </c>
      <c r="CG113" s="75">
        <f t="shared" si="398"/>
        <v>1.2195121951219513E-2</v>
      </c>
      <c r="CH113" s="75" t="str">
        <f t="shared" si="399"/>
        <v>ESL Table IP-9</v>
      </c>
      <c r="CI113" s="75" t="e">
        <f t="shared" si="400"/>
        <v>#N/A</v>
      </c>
      <c r="CJ113" s="75" t="e">
        <f t="shared" si="401"/>
        <v>#N/A</v>
      </c>
      <c r="CK113" s="1670" t="e">
        <f t="shared" si="268"/>
        <v>#N/A</v>
      </c>
      <c r="CL113" s="75">
        <f t="shared" si="402"/>
        <v>296.61016949152543</v>
      </c>
      <c r="CM113" s="75" t="str">
        <f t="shared" si="403"/>
        <v>ESL Table IP-9</v>
      </c>
      <c r="CN113" s="75" t="e">
        <f t="shared" si="404"/>
        <v>#N/A</v>
      </c>
      <c r="CO113" s="75" t="e">
        <f t="shared" si="405"/>
        <v>#N/A</v>
      </c>
      <c r="CP113" s="1670" t="e">
        <f t="shared" si="269"/>
        <v>#N/A</v>
      </c>
      <c r="CR113" s="1686" t="e">
        <f t="shared" si="270"/>
        <v>#N/A</v>
      </c>
      <c r="CS113" s="1686" t="e">
        <f t="shared" si="271"/>
        <v>#N/A</v>
      </c>
      <c r="CT113" s="1686" t="e">
        <f t="shared" si="272"/>
        <v>#N/A</v>
      </c>
      <c r="CU113" s="1686" t="e">
        <f t="shared" si="273"/>
        <v>#N/A</v>
      </c>
    </row>
    <row r="114" spans="1:99">
      <c r="A114" s="1575" t="s">
        <v>1269</v>
      </c>
      <c r="B114" s="1184" t="s">
        <v>115</v>
      </c>
      <c r="D114" t="e">
        <f t="shared" si="275"/>
        <v>#N/A</v>
      </c>
      <c r="E114" s="1563" t="e">
        <f t="shared" si="276"/>
        <v>#N/A</v>
      </c>
      <c r="F114" t="e">
        <f t="shared" si="277"/>
        <v>#N/A</v>
      </c>
      <c r="G114" s="1160" t="e">
        <f t="shared" si="248"/>
        <v>#N/A</v>
      </c>
      <c r="I114" t="e">
        <f t="shared" si="279"/>
        <v>#N/A</v>
      </c>
      <c r="J114" s="1160" t="e">
        <f t="shared" si="249"/>
        <v>#N/A</v>
      </c>
      <c r="L114" t="e">
        <f t="shared" si="281"/>
        <v>#N/A</v>
      </c>
      <c r="M114" s="1160" t="e">
        <f t="shared" si="250"/>
        <v>#N/A</v>
      </c>
      <c r="O114" t="e">
        <f t="shared" si="283"/>
        <v>#N/A</v>
      </c>
      <c r="P114" s="1160" t="e">
        <f t="shared" si="251"/>
        <v>#N/A</v>
      </c>
      <c r="R114" t="e">
        <f t="shared" si="285"/>
        <v>#N/A</v>
      </c>
      <c r="S114" s="1160" t="e">
        <f t="shared" si="252"/>
        <v>#N/A</v>
      </c>
      <c r="U114" t="e">
        <f t="shared" si="287"/>
        <v>#N/A</v>
      </c>
      <c r="V114" s="1160" t="e">
        <f t="shared" si="253"/>
        <v>#N/A</v>
      </c>
      <c r="X114" t="e">
        <f t="shared" si="289"/>
        <v>#N/A</v>
      </c>
      <c r="Y114" s="1160" t="e">
        <f t="shared" si="254"/>
        <v>#N/A</v>
      </c>
      <c r="AA114" t="e">
        <f t="shared" si="291"/>
        <v>#N/A</v>
      </c>
      <c r="AB114" s="1160" t="e">
        <f t="shared" si="255"/>
        <v>#N/A</v>
      </c>
      <c r="AD114" t="e">
        <f t="shared" si="293"/>
        <v>#N/A</v>
      </c>
      <c r="AE114" s="1160" t="e">
        <f t="shared" si="256"/>
        <v>#N/A</v>
      </c>
      <c r="AG114" t="e">
        <f t="shared" si="295"/>
        <v>#N/A</v>
      </c>
      <c r="AH114" s="1160" t="e">
        <f t="shared" si="257"/>
        <v>#N/A</v>
      </c>
      <c r="AJ114" t="e">
        <f t="shared" si="297"/>
        <v>#N/A</v>
      </c>
      <c r="AK114" s="1160" t="e">
        <f t="shared" si="258"/>
        <v>#N/A</v>
      </c>
      <c r="AM114" t="e">
        <f t="shared" si="299"/>
        <v>#N/A</v>
      </c>
      <c r="AO114" t="e">
        <f t="shared" si="301"/>
        <v>#N/A</v>
      </c>
      <c r="AP114" s="1160" t="e">
        <f t="shared" si="302"/>
        <v>#N/A</v>
      </c>
      <c r="AW114" s="1563" t="e">
        <f t="shared" si="366"/>
        <v>#N/A</v>
      </c>
      <c r="AY114" s="1592">
        <f t="shared" si="307"/>
        <v>1</v>
      </c>
      <c r="AZ114" s="821" t="e">
        <f t="shared" si="308"/>
        <v>#N/A</v>
      </c>
      <c r="BA114" s="1160" t="e">
        <f t="shared" si="259"/>
        <v>#N/A</v>
      </c>
      <c r="BB114" s="1592" t="str">
        <f t="shared" si="309"/>
        <v>--</v>
      </c>
      <c r="BC114" s="821" t="e">
        <f t="shared" si="310"/>
        <v>#N/A</v>
      </c>
      <c r="BD114" s="1160" t="e">
        <f t="shared" si="260"/>
        <v>#N/A</v>
      </c>
      <c r="BE114" s="1592" t="str">
        <f t="shared" si="311"/>
        <v>Yes</v>
      </c>
      <c r="BF114" s="1592">
        <f t="shared" si="312"/>
        <v>6.9000000000000006E-2</v>
      </c>
      <c r="BG114" s="821" t="e">
        <f t="shared" si="313"/>
        <v>#N/A</v>
      </c>
      <c r="BH114" s="1160" t="e">
        <f t="shared" si="261"/>
        <v>#N/A</v>
      </c>
      <c r="BI114" s="1592">
        <f t="shared" si="314"/>
        <v>1</v>
      </c>
      <c r="BJ114" s="1592">
        <f t="shared" si="315"/>
        <v>0.31</v>
      </c>
      <c r="BK114" s="821" t="e">
        <f t="shared" si="316"/>
        <v>#N/A</v>
      </c>
      <c r="BL114" s="1160" t="e">
        <f t="shared" si="262"/>
        <v>#N/A</v>
      </c>
      <c r="BM114" s="1592">
        <f t="shared" si="317"/>
        <v>0.6</v>
      </c>
      <c r="BN114" s="821" t="e">
        <f t="shared" si="318"/>
        <v>#N/A</v>
      </c>
      <c r="BO114" s="1160" t="e">
        <f t="shared" si="263"/>
        <v>#N/A</v>
      </c>
      <c r="BP114" s="1592">
        <f t="shared" si="319"/>
        <v>1.4</v>
      </c>
      <c r="BQ114" s="821" t="e">
        <f t="shared" si="320"/>
        <v>#N/A</v>
      </c>
      <c r="BR114" s="1160" t="e">
        <f t="shared" si="264"/>
        <v>#N/A</v>
      </c>
      <c r="BS114" s="1592" t="str">
        <f t="shared" si="321"/>
        <v>--</v>
      </c>
      <c r="BT114" s="821" t="e">
        <f t="shared" si="322"/>
        <v>#N/A</v>
      </c>
      <c r="BU114" s="1160" t="e">
        <f t="shared" si="265"/>
        <v>#N/A</v>
      </c>
      <c r="BW114" s="75" t="str">
        <f t="shared" si="390"/>
        <v>--</v>
      </c>
      <c r="BX114" s="75" t="str">
        <f t="shared" si="391"/>
        <v xml:space="preserve"> </v>
      </c>
      <c r="BY114" s="75" t="e">
        <f t="shared" si="392"/>
        <v>#N/A</v>
      </c>
      <c r="BZ114" s="75" t="e">
        <f t="shared" si="393"/>
        <v>#N/A</v>
      </c>
      <c r="CA114" s="1670" t="e">
        <f t="shared" si="266"/>
        <v>#N/A</v>
      </c>
      <c r="CB114" s="75" t="str">
        <f t="shared" si="394"/>
        <v>--</v>
      </c>
      <c r="CC114" s="75">
        <f t="shared" si="395"/>
        <v>0</v>
      </c>
      <c r="CD114" s="75" t="e">
        <f t="shared" si="396"/>
        <v>#N/A</v>
      </c>
      <c r="CE114" s="75" t="e">
        <f t="shared" si="397"/>
        <v>#N/A</v>
      </c>
      <c r="CF114" s="1670" t="e">
        <f t="shared" si="267"/>
        <v>#N/A</v>
      </c>
      <c r="CG114" s="75">
        <f t="shared" si="398"/>
        <v>0.03</v>
      </c>
      <c r="CH114" s="75" t="str">
        <f t="shared" si="399"/>
        <v>ESL Table IP-9</v>
      </c>
      <c r="CI114" s="75" t="e">
        <f t="shared" si="400"/>
        <v>#N/A</v>
      </c>
      <c r="CJ114" s="75" t="e">
        <f t="shared" si="401"/>
        <v>#N/A</v>
      </c>
      <c r="CK114" s="1670" t="e">
        <f t="shared" si="268"/>
        <v>#N/A</v>
      </c>
      <c r="CL114" s="75">
        <f t="shared" si="402"/>
        <v>194.44444444444443</v>
      </c>
      <c r="CM114" s="75" t="str">
        <f t="shared" si="403"/>
        <v>ESL Table IP-9</v>
      </c>
      <c r="CN114" s="75" t="e">
        <f t="shared" si="404"/>
        <v>#N/A</v>
      </c>
      <c r="CO114" s="75" t="e">
        <f t="shared" si="405"/>
        <v>#N/A</v>
      </c>
      <c r="CP114" s="1670" t="e">
        <f t="shared" si="269"/>
        <v>#N/A</v>
      </c>
      <c r="CR114" s="1686" t="e">
        <f t="shared" si="270"/>
        <v>#N/A</v>
      </c>
      <c r="CS114" s="1686" t="e">
        <f t="shared" si="271"/>
        <v>#N/A</v>
      </c>
      <c r="CT114" s="1686" t="e">
        <f t="shared" si="272"/>
        <v>#N/A</v>
      </c>
      <c r="CU114" s="1686" t="e">
        <f t="shared" si="273"/>
        <v>#N/A</v>
      </c>
    </row>
    <row r="115" spans="1:99">
      <c r="A115" s="1576" t="s">
        <v>1270</v>
      </c>
      <c r="B115" s="1184" t="s">
        <v>115</v>
      </c>
      <c r="D115" t="e">
        <f t="shared" si="275"/>
        <v>#N/A</v>
      </c>
      <c r="E115" s="1563" t="e">
        <f t="shared" si="276"/>
        <v>#N/A</v>
      </c>
      <c r="F115" t="e">
        <f t="shared" si="277"/>
        <v>#N/A</v>
      </c>
      <c r="G115" s="1160" t="e">
        <f t="shared" si="248"/>
        <v>#N/A</v>
      </c>
      <c r="I115" t="e">
        <f t="shared" si="279"/>
        <v>#N/A</v>
      </c>
      <c r="J115" s="1160" t="e">
        <f t="shared" si="249"/>
        <v>#N/A</v>
      </c>
      <c r="L115" t="e">
        <f t="shared" si="281"/>
        <v>#N/A</v>
      </c>
      <c r="M115" s="1160" t="e">
        <f t="shared" si="250"/>
        <v>#N/A</v>
      </c>
      <c r="O115" t="e">
        <f t="shared" si="283"/>
        <v>#N/A</v>
      </c>
      <c r="P115" s="1160" t="e">
        <f t="shared" si="251"/>
        <v>#N/A</v>
      </c>
      <c r="R115" t="e">
        <f t="shared" si="285"/>
        <v>#N/A</v>
      </c>
      <c r="S115" s="1160" t="e">
        <f t="shared" si="252"/>
        <v>#N/A</v>
      </c>
      <c r="U115" t="e">
        <f t="shared" si="287"/>
        <v>#N/A</v>
      </c>
      <c r="V115" s="1160" t="e">
        <f t="shared" si="253"/>
        <v>#N/A</v>
      </c>
      <c r="X115" t="e">
        <f t="shared" si="289"/>
        <v>#N/A</v>
      </c>
      <c r="Y115" s="1160" t="e">
        <f t="shared" si="254"/>
        <v>#N/A</v>
      </c>
      <c r="AA115" t="e">
        <f t="shared" si="291"/>
        <v>#N/A</v>
      </c>
      <c r="AB115" s="1160" t="e">
        <f t="shared" si="255"/>
        <v>#N/A</v>
      </c>
      <c r="AD115" t="e">
        <f t="shared" si="293"/>
        <v>#N/A</v>
      </c>
      <c r="AE115" s="1160" t="e">
        <f t="shared" si="256"/>
        <v>#N/A</v>
      </c>
      <c r="AG115" t="e">
        <f t="shared" si="295"/>
        <v>#N/A</v>
      </c>
      <c r="AH115" s="1160" t="e">
        <f t="shared" si="257"/>
        <v>#N/A</v>
      </c>
      <c r="AJ115" t="e">
        <f t="shared" si="297"/>
        <v>#N/A</v>
      </c>
      <c r="AK115" s="1160" t="e">
        <f t="shared" si="258"/>
        <v>#N/A</v>
      </c>
      <c r="AM115" t="e">
        <f t="shared" si="299"/>
        <v>#N/A</v>
      </c>
      <c r="AO115" t="e">
        <f t="shared" si="301"/>
        <v>#N/A</v>
      </c>
      <c r="AP115" s="1160" t="e">
        <f t="shared" si="302"/>
        <v>#N/A</v>
      </c>
      <c r="AW115" s="1563" t="e">
        <f t="shared" si="366"/>
        <v>#N/A</v>
      </c>
      <c r="AY115" s="1592">
        <f t="shared" si="307"/>
        <v>1</v>
      </c>
      <c r="AZ115" s="821" t="e">
        <f t="shared" si="308"/>
        <v>#N/A</v>
      </c>
      <c r="BA115" s="1160" t="e">
        <f t="shared" si="259"/>
        <v>#N/A</v>
      </c>
      <c r="BB115" s="1592" t="str">
        <f t="shared" si="309"/>
        <v>--</v>
      </c>
      <c r="BC115" s="821" t="e">
        <f t="shared" si="310"/>
        <v>#N/A</v>
      </c>
      <c r="BD115" s="1160" t="e">
        <f t="shared" si="260"/>
        <v>#N/A</v>
      </c>
      <c r="BE115" s="1592" t="str">
        <f t="shared" si="311"/>
        <v>No</v>
      </c>
      <c r="BF115" s="1592" t="str">
        <f t="shared" si="312"/>
        <v>--</v>
      </c>
      <c r="BG115" s="821" t="e">
        <f t="shared" si="313"/>
        <v>#N/A</v>
      </c>
      <c r="BH115" s="1160" t="e">
        <f t="shared" si="261"/>
        <v>#N/A</v>
      </c>
      <c r="BI115" s="1592" t="str">
        <f t="shared" si="314"/>
        <v>--</v>
      </c>
      <c r="BJ115" s="1592" t="str">
        <f t="shared" si="315"/>
        <v>--</v>
      </c>
      <c r="BK115" s="821" t="e">
        <f t="shared" si="316"/>
        <v>#N/A</v>
      </c>
      <c r="BL115" s="1160" t="e">
        <f t="shared" si="262"/>
        <v>#N/A</v>
      </c>
      <c r="BM115" s="1592" t="str">
        <f t="shared" si="317"/>
        <v>--</v>
      </c>
      <c r="BN115" s="821" t="e">
        <f t="shared" si="318"/>
        <v>#N/A</v>
      </c>
      <c r="BO115" s="1160" t="e">
        <f t="shared" si="263"/>
        <v>#N/A</v>
      </c>
      <c r="BP115" s="1592" t="str">
        <f t="shared" si="319"/>
        <v>--</v>
      </c>
      <c r="BQ115" s="821" t="e">
        <f t="shared" si="320"/>
        <v>#N/A</v>
      </c>
      <c r="BR115" s="1160" t="e">
        <f t="shared" si="264"/>
        <v>#N/A</v>
      </c>
      <c r="BS115" s="1592" t="str">
        <f t="shared" si="321"/>
        <v>--</v>
      </c>
      <c r="BT115" s="821" t="e">
        <f t="shared" si="322"/>
        <v>#N/A</v>
      </c>
      <c r="BU115" s="1160" t="e">
        <f t="shared" si="265"/>
        <v>#N/A</v>
      </c>
      <c r="BW115" s="75" t="str">
        <f t="shared" si="390"/>
        <v>--</v>
      </c>
      <c r="BX115" s="75" t="str">
        <f t="shared" si="391"/>
        <v xml:space="preserve"> </v>
      </c>
      <c r="BY115" s="75" t="e">
        <f t="shared" si="392"/>
        <v>#N/A</v>
      </c>
      <c r="BZ115" s="75" t="e">
        <f t="shared" si="393"/>
        <v>#N/A</v>
      </c>
      <c r="CA115" s="1670" t="e">
        <f t="shared" si="266"/>
        <v>#N/A</v>
      </c>
      <c r="CB115" s="75" t="str">
        <f t="shared" si="394"/>
        <v>--</v>
      </c>
      <c r="CC115" s="75">
        <f t="shared" si="395"/>
        <v>0</v>
      </c>
      <c r="CD115" s="75" t="e">
        <f t="shared" si="396"/>
        <v>#N/A</v>
      </c>
      <c r="CE115" s="75" t="e">
        <f t="shared" si="397"/>
        <v>#N/A</v>
      </c>
      <c r="CF115" s="1670" t="e">
        <f t="shared" si="267"/>
        <v>#N/A</v>
      </c>
      <c r="CG115" s="75">
        <f t="shared" si="398"/>
        <v>1.931123270035404E-2</v>
      </c>
      <c r="CH115" s="75" t="str">
        <f t="shared" si="399"/>
        <v>ESL Table IP-9</v>
      </c>
      <c r="CI115" s="75" t="e">
        <f t="shared" si="400"/>
        <v>#N/A</v>
      </c>
      <c r="CJ115" s="75" t="e">
        <f t="shared" si="401"/>
        <v>#N/A</v>
      </c>
      <c r="CK115" s="1670" t="e">
        <f t="shared" si="268"/>
        <v>#N/A</v>
      </c>
      <c r="CL115" s="75">
        <f t="shared" si="402"/>
        <v>194.44444444444443</v>
      </c>
      <c r="CM115" s="75" t="str">
        <f t="shared" si="403"/>
        <v>ESL Table IP-9</v>
      </c>
      <c r="CN115" s="75" t="e">
        <f t="shared" si="404"/>
        <v>#N/A</v>
      </c>
      <c r="CO115" s="75" t="e">
        <f t="shared" si="405"/>
        <v>#N/A</v>
      </c>
      <c r="CP115" s="1670" t="e">
        <f t="shared" si="269"/>
        <v>#N/A</v>
      </c>
      <c r="CR115" s="1686" t="e">
        <f t="shared" si="270"/>
        <v>#N/A</v>
      </c>
      <c r="CS115" s="1686" t="e">
        <f t="shared" si="271"/>
        <v>#N/A</v>
      </c>
      <c r="CT115" s="1686" t="e">
        <f t="shared" si="272"/>
        <v>#N/A</v>
      </c>
      <c r="CU115" s="1686" t="e">
        <f t="shared" si="273"/>
        <v>#N/A</v>
      </c>
    </row>
    <row r="116" spans="1:99">
      <c r="A116" s="1575" t="s">
        <v>1271</v>
      </c>
      <c r="B116" s="1184" t="s">
        <v>115</v>
      </c>
      <c r="D116" t="e">
        <f t="shared" si="275"/>
        <v>#N/A</v>
      </c>
      <c r="E116" s="1563" t="e">
        <f t="shared" si="276"/>
        <v>#N/A</v>
      </c>
      <c r="F116" t="e">
        <f t="shared" si="277"/>
        <v>#N/A</v>
      </c>
      <c r="G116" s="1160" t="e">
        <f t="shared" si="248"/>
        <v>#N/A</v>
      </c>
      <c r="I116" t="e">
        <f t="shared" si="279"/>
        <v>#N/A</v>
      </c>
      <c r="J116" s="1160" t="e">
        <f t="shared" si="249"/>
        <v>#N/A</v>
      </c>
      <c r="L116" t="e">
        <f t="shared" si="281"/>
        <v>#N/A</v>
      </c>
      <c r="M116" s="1160" t="e">
        <f t="shared" si="250"/>
        <v>#N/A</v>
      </c>
      <c r="O116" t="e">
        <f t="shared" si="283"/>
        <v>#N/A</v>
      </c>
      <c r="P116" s="1160" t="e">
        <f t="shared" si="251"/>
        <v>#N/A</v>
      </c>
      <c r="R116" t="e">
        <f t="shared" si="285"/>
        <v>#N/A</v>
      </c>
      <c r="S116" s="1160" t="e">
        <f t="shared" si="252"/>
        <v>#N/A</v>
      </c>
      <c r="U116" t="e">
        <f t="shared" si="287"/>
        <v>#N/A</v>
      </c>
      <c r="V116" s="1160" t="e">
        <f t="shared" si="253"/>
        <v>#N/A</v>
      </c>
      <c r="X116" t="e">
        <f t="shared" si="289"/>
        <v>#N/A</v>
      </c>
      <c r="Y116" s="1160" t="e">
        <f t="shared" si="254"/>
        <v>#N/A</v>
      </c>
      <c r="AA116" t="e">
        <f t="shared" si="291"/>
        <v>#N/A</v>
      </c>
      <c r="AB116" s="1160" t="e">
        <f t="shared" si="255"/>
        <v>#N/A</v>
      </c>
      <c r="AD116" t="e">
        <f t="shared" si="293"/>
        <v>#N/A</v>
      </c>
      <c r="AE116" s="1160" t="e">
        <f t="shared" si="256"/>
        <v>#N/A</v>
      </c>
      <c r="AG116" t="e">
        <f t="shared" si="295"/>
        <v>#N/A</v>
      </c>
      <c r="AH116" s="1160" t="e">
        <f t="shared" si="257"/>
        <v>#N/A</v>
      </c>
      <c r="AJ116" t="e">
        <f t="shared" si="297"/>
        <v>#N/A</v>
      </c>
      <c r="AK116" s="1160" t="e">
        <f t="shared" si="258"/>
        <v>#N/A</v>
      </c>
      <c r="AM116" t="e">
        <f t="shared" si="299"/>
        <v>#N/A</v>
      </c>
      <c r="AO116" t="e">
        <f t="shared" si="301"/>
        <v>#N/A</v>
      </c>
      <c r="AP116" s="1160" t="e">
        <f t="shared" si="302"/>
        <v>#N/A</v>
      </c>
      <c r="AW116" s="1563" t="e">
        <f t="shared" si="366"/>
        <v>#N/A</v>
      </c>
      <c r="AY116" s="1592">
        <f t="shared" si="307"/>
        <v>1</v>
      </c>
      <c r="AZ116" s="821" t="e">
        <f t="shared" si="308"/>
        <v>#N/A</v>
      </c>
      <c r="BA116" s="1160" t="e">
        <f t="shared" si="259"/>
        <v>#N/A</v>
      </c>
      <c r="BB116" s="1592" t="str">
        <f t="shared" si="309"/>
        <v>--</v>
      </c>
      <c r="BC116" s="821" t="e">
        <f t="shared" si="310"/>
        <v>#N/A</v>
      </c>
      <c r="BD116" s="1160" t="e">
        <f t="shared" si="260"/>
        <v>#N/A</v>
      </c>
      <c r="BE116" s="1592" t="str">
        <f t="shared" si="311"/>
        <v>Yes</v>
      </c>
      <c r="BF116" s="1592">
        <f t="shared" si="312"/>
        <v>2.58E-2</v>
      </c>
      <c r="BG116" s="821" t="e">
        <f t="shared" si="313"/>
        <v>#N/A</v>
      </c>
      <c r="BH116" s="1160" t="e">
        <f t="shared" si="261"/>
        <v>#N/A</v>
      </c>
      <c r="BI116" s="1592">
        <f t="shared" si="314"/>
        <v>1</v>
      </c>
      <c r="BJ116" s="1592">
        <f t="shared" si="315"/>
        <v>0.13600000000000001</v>
      </c>
      <c r="BK116" s="821" t="e">
        <f t="shared" si="316"/>
        <v>#N/A</v>
      </c>
      <c r="BL116" s="1160" t="e">
        <f t="shared" si="262"/>
        <v>#N/A</v>
      </c>
      <c r="BM116" s="1592">
        <f t="shared" si="317"/>
        <v>1.2</v>
      </c>
      <c r="BN116" s="821" t="e">
        <f t="shared" si="318"/>
        <v>#N/A</v>
      </c>
      <c r="BO116" s="1160" t="e">
        <f t="shared" si="263"/>
        <v>#N/A</v>
      </c>
      <c r="BP116" s="1592">
        <f t="shared" si="319"/>
        <v>2.91</v>
      </c>
      <c r="BQ116" s="821" t="e">
        <f t="shared" si="320"/>
        <v>#N/A</v>
      </c>
      <c r="BR116" s="1160" t="e">
        <f t="shared" si="264"/>
        <v>#N/A</v>
      </c>
      <c r="BS116" s="1592" t="str">
        <f t="shared" si="321"/>
        <v>--</v>
      </c>
      <c r="BT116" s="821" t="e">
        <f t="shared" si="322"/>
        <v>#N/A</v>
      </c>
      <c r="BU116" s="1160" t="e">
        <f t="shared" si="265"/>
        <v>#N/A</v>
      </c>
      <c r="BW116" s="75" t="str">
        <f t="shared" si="390"/>
        <v>--</v>
      </c>
      <c r="BX116" s="75" t="str">
        <f t="shared" si="391"/>
        <v xml:space="preserve"> </v>
      </c>
      <c r="BY116" s="75" t="e">
        <f t="shared" si="392"/>
        <v>#N/A</v>
      </c>
      <c r="BZ116" s="75" t="e">
        <f t="shared" si="393"/>
        <v>#N/A</v>
      </c>
      <c r="CA116" s="1670" t="e">
        <f t="shared" si="266"/>
        <v>#N/A</v>
      </c>
      <c r="CB116" s="75" t="str">
        <f t="shared" si="394"/>
        <v>--</v>
      </c>
      <c r="CC116" s="75">
        <f t="shared" si="395"/>
        <v>0</v>
      </c>
      <c r="CD116" s="75" t="e">
        <f t="shared" si="396"/>
        <v>#N/A</v>
      </c>
      <c r="CE116" s="75" t="e">
        <f t="shared" si="397"/>
        <v>#N/A</v>
      </c>
      <c r="CF116" s="1670" t="e">
        <f t="shared" si="267"/>
        <v>#N/A</v>
      </c>
      <c r="CG116" s="75">
        <f t="shared" si="398"/>
        <v>0.03</v>
      </c>
      <c r="CH116" s="75" t="str">
        <f t="shared" si="399"/>
        <v>See UG Ch 4</v>
      </c>
      <c r="CI116" s="75" t="e">
        <f t="shared" si="400"/>
        <v>#N/A</v>
      </c>
      <c r="CJ116" s="75" t="e">
        <f t="shared" si="401"/>
        <v>#N/A</v>
      </c>
      <c r="CK116" s="1670" t="e">
        <f t="shared" si="268"/>
        <v>#N/A</v>
      </c>
      <c r="CL116" s="75" t="str">
        <f t="shared" si="402"/>
        <v>--</v>
      </c>
      <c r="CM116" s="75" t="str">
        <f t="shared" si="403"/>
        <v xml:space="preserve"> </v>
      </c>
      <c r="CN116" s="75" t="e">
        <f t="shared" si="404"/>
        <v>#N/A</v>
      </c>
      <c r="CO116" s="75" t="e">
        <f t="shared" si="405"/>
        <v>#N/A</v>
      </c>
      <c r="CP116" s="1670" t="e">
        <f t="shared" si="269"/>
        <v>#N/A</v>
      </c>
      <c r="CR116" s="1686" t="e">
        <f t="shared" si="270"/>
        <v>#N/A</v>
      </c>
      <c r="CS116" s="1686" t="e">
        <f t="shared" si="271"/>
        <v>#N/A</v>
      </c>
      <c r="CT116" s="1686" t="e">
        <f t="shared" si="272"/>
        <v>#N/A</v>
      </c>
      <c r="CU116" s="1686" t="e">
        <f t="shared" si="273"/>
        <v>#N/A</v>
      </c>
    </row>
    <row r="117" spans="1:99">
      <c r="A117" s="1576" t="s">
        <v>1273</v>
      </c>
      <c r="B117" s="1184" t="s">
        <v>115</v>
      </c>
      <c r="D117" t="e">
        <f t="shared" si="275"/>
        <v>#N/A</v>
      </c>
      <c r="E117" s="1563" t="e">
        <f t="shared" si="276"/>
        <v>#N/A</v>
      </c>
      <c r="F117" t="e">
        <f t="shared" si="277"/>
        <v>#N/A</v>
      </c>
      <c r="G117" s="1160" t="e">
        <f t="shared" si="248"/>
        <v>#N/A</v>
      </c>
      <c r="I117" t="e">
        <f t="shared" si="279"/>
        <v>#N/A</v>
      </c>
      <c r="J117" s="1160" t="e">
        <f t="shared" si="249"/>
        <v>#N/A</v>
      </c>
      <c r="L117" t="e">
        <f t="shared" si="281"/>
        <v>#N/A</v>
      </c>
      <c r="M117" s="1160" t="e">
        <f t="shared" si="250"/>
        <v>#N/A</v>
      </c>
      <c r="O117" t="e">
        <f t="shared" si="283"/>
        <v>#N/A</v>
      </c>
      <c r="P117" s="1160" t="e">
        <f t="shared" si="251"/>
        <v>#N/A</v>
      </c>
      <c r="R117" t="e">
        <f t="shared" si="285"/>
        <v>#N/A</v>
      </c>
      <c r="S117" s="1160" t="e">
        <f t="shared" si="252"/>
        <v>#N/A</v>
      </c>
      <c r="U117" t="e">
        <f t="shared" si="287"/>
        <v>#N/A</v>
      </c>
      <c r="V117" s="1160" t="e">
        <f t="shared" si="253"/>
        <v>#N/A</v>
      </c>
      <c r="X117" t="e">
        <f t="shared" si="289"/>
        <v>#N/A</v>
      </c>
      <c r="Y117" s="1160" t="e">
        <f t="shared" si="254"/>
        <v>#N/A</v>
      </c>
      <c r="AA117" t="e">
        <f t="shared" si="291"/>
        <v>#N/A</v>
      </c>
      <c r="AB117" s="1160" t="e">
        <f t="shared" si="255"/>
        <v>#N/A</v>
      </c>
      <c r="AD117" t="e">
        <f t="shared" si="293"/>
        <v>#N/A</v>
      </c>
      <c r="AE117" s="1160" t="e">
        <f t="shared" si="256"/>
        <v>#N/A</v>
      </c>
      <c r="AG117" t="e">
        <f t="shared" si="295"/>
        <v>#N/A</v>
      </c>
      <c r="AH117" s="1160" t="e">
        <f t="shared" si="257"/>
        <v>#N/A</v>
      </c>
      <c r="AJ117" t="e">
        <f t="shared" si="297"/>
        <v>#N/A</v>
      </c>
      <c r="AK117" s="1160" t="e">
        <f t="shared" si="258"/>
        <v>#N/A</v>
      </c>
      <c r="AM117" t="e">
        <f t="shared" si="299"/>
        <v>#N/A</v>
      </c>
      <c r="AO117" t="e">
        <f t="shared" si="301"/>
        <v>#N/A</v>
      </c>
      <c r="AP117" s="1160" t="e">
        <f t="shared" si="302"/>
        <v>#N/A</v>
      </c>
      <c r="AW117" s="1563" t="e">
        <f t="shared" si="366"/>
        <v>#N/A</v>
      </c>
      <c r="AY117" s="1592">
        <f t="shared" si="307"/>
        <v>1</v>
      </c>
      <c r="AZ117" s="821" t="e">
        <f t="shared" si="308"/>
        <v>#N/A</v>
      </c>
      <c r="BA117" s="1160" t="e">
        <f t="shared" si="259"/>
        <v>#N/A</v>
      </c>
      <c r="BB117" s="1592" t="str">
        <f t="shared" si="309"/>
        <v>--</v>
      </c>
      <c r="BC117" s="821" t="e">
        <f t="shared" si="310"/>
        <v>#N/A</v>
      </c>
      <c r="BD117" s="1160" t="e">
        <f t="shared" si="260"/>
        <v>#N/A</v>
      </c>
      <c r="BE117" s="1592" t="str">
        <f t="shared" si="311"/>
        <v>No</v>
      </c>
      <c r="BF117" s="1592" t="str">
        <f t="shared" si="312"/>
        <v>--</v>
      </c>
      <c r="BG117" s="821" t="e">
        <f t="shared" si="313"/>
        <v>#N/A</v>
      </c>
      <c r="BH117" s="1160" t="e">
        <f t="shared" si="261"/>
        <v>#N/A</v>
      </c>
      <c r="BI117" s="1592" t="str">
        <f t="shared" si="314"/>
        <v>--</v>
      </c>
      <c r="BJ117" s="1592" t="str">
        <f t="shared" si="315"/>
        <v>--</v>
      </c>
      <c r="BK117" s="821" t="e">
        <f t="shared" si="316"/>
        <v>#N/A</v>
      </c>
      <c r="BL117" s="1160" t="e">
        <f t="shared" si="262"/>
        <v>#N/A</v>
      </c>
      <c r="BM117" s="1592" t="str">
        <f t="shared" si="317"/>
        <v>--</v>
      </c>
      <c r="BN117" s="821" t="e">
        <f t="shared" si="318"/>
        <v>#N/A</v>
      </c>
      <c r="BO117" s="1160" t="e">
        <f t="shared" si="263"/>
        <v>#N/A</v>
      </c>
      <c r="BP117" s="1592" t="str">
        <f t="shared" si="319"/>
        <v>--</v>
      </c>
      <c r="BQ117" s="821" t="e">
        <f t="shared" si="320"/>
        <v>#N/A</v>
      </c>
      <c r="BR117" s="1160" t="e">
        <f t="shared" si="264"/>
        <v>#N/A</v>
      </c>
      <c r="BS117" s="1592" t="str">
        <f t="shared" si="321"/>
        <v>--</v>
      </c>
      <c r="BT117" s="821" t="e">
        <f t="shared" si="322"/>
        <v>#N/A</v>
      </c>
      <c r="BU117" s="1160" t="e">
        <f t="shared" si="265"/>
        <v>#N/A</v>
      </c>
      <c r="BW117" s="75" t="str">
        <f t="shared" si="390"/>
        <v>--</v>
      </c>
      <c r="BX117" s="75" t="str">
        <f t="shared" si="391"/>
        <v xml:space="preserve"> </v>
      </c>
      <c r="BY117" s="75" t="e">
        <f t="shared" si="392"/>
        <v>#N/A</v>
      </c>
      <c r="BZ117" s="75" t="e">
        <f t="shared" si="393"/>
        <v>#N/A</v>
      </c>
      <c r="CA117" s="1670" t="e">
        <f t="shared" si="266"/>
        <v>#N/A</v>
      </c>
      <c r="CB117" s="75" t="str">
        <f t="shared" si="394"/>
        <v>--</v>
      </c>
      <c r="CC117" s="75">
        <f t="shared" si="395"/>
        <v>0</v>
      </c>
      <c r="CD117" s="75" t="e">
        <f t="shared" si="396"/>
        <v>#N/A</v>
      </c>
      <c r="CE117" s="75" t="e">
        <f t="shared" si="397"/>
        <v>#N/A</v>
      </c>
      <c r="CF117" s="1670" t="e">
        <f t="shared" si="267"/>
        <v>#N/A</v>
      </c>
      <c r="CG117" s="75" t="str">
        <f t="shared" si="398"/>
        <v>--</v>
      </c>
      <c r="CH117" s="75" t="str">
        <f t="shared" si="399"/>
        <v xml:space="preserve"> </v>
      </c>
      <c r="CI117" s="75" t="e">
        <f t="shared" si="400"/>
        <v>#N/A</v>
      </c>
      <c r="CJ117" s="75" t="e">
        <f t="shared" si="401"/>
        <v>#N/A</v>
      </c>
      <c r="CK117" s="1670" t="e">
        <f t="shared" si="268"/>
        <v>#N/A</v>
      </c>
      <c r="CL117" s="75" t="str">
        <f t="shared" si="402"/>
        <v>--</v>
      </c>
      <c r="CM117" s="75" t="str">
        <f t="shared" si="403"/>
        <v xml:space="preserve"> </v>
      </c>
      <c r="CN117" s="75" t="e">
        <f t="shared" si="404"/>
        <v>#N/A</v>
      </c>
      <c r="CO117" s="75" t="e">
        <f t="shared" si="405"/>
        <v>#N/A</v>
      </c>
      <c r="CP117" s="1670" t="e">
        <f t="shared" si="269"/>
        <v>#N/A</v>
      </c>
      <c r="CR117" s="1686" t="e">
        <f t="shared" si="270"/>
        <v>#N/A</v>
      </c>
      <c r="CS117" s="1686" t="e">
        <f t="shared" si="271"/>
        <v>#N/A</v>
      </c>
      <c r="CT117" s="1686" t="e">
        <f t="shared" si="272"/>
        <v>#N/A</v>
      </c>
      <c r="CU117" s="1686" t="e">
        <f t="shared" si="273"/>
        <v>#N/A</v>
      </c>
    </row>
    <row r="118" spans="1:99">
      <c r="A118" s="1576" t="s">
        <v>1274</v>
      </c>
      <c r="B118" s="1184" t="s">
        <v>115</v>
      </c>
      <c r="D118" t="e">
        <f t="shared" si="275"/>
        <v>#N/A</v>
      </c>
      <c r="E118" s="1563" t="e">
        <f t="shared" si="276"/>
        <v>#N/A</v>
      </c>
      <c r="F118" t="e">
        <f t="shared" si="277"/>
        <v>#N/A</v>
      </c>
      <c r="G118" s="1160" t="e">
        <f t="shared" si="248"/>
        <v>#N/A</v>
      </c>
      <c r="I118" t="e">
        <f t="shared" si="279"/>
        <v>#N/A</v>
      </c>
      <c r="J118" s="1160" t="e">
        <f t="shared" si="249"/>
        <v>#N/A</v>
      </c>
      <c r="L118" t="e">
        <f t="shared" si="281"/>
        <v>#N/A</v>
      </c>
      <c r="M118" s="1160" t="e">
        <f t="shared" si="250"/>
        <v>#N/A</v>
      </c>
      <c r="O118" t="e">
        <f t="shared" si="283"/>
        <v>#N/A</v>
      </c>
      <c r="P118" s="1160" t="e">
        <f t="shared" si="251"/>
        <v>#N/A</v>
      </c>
      <c r="R118" t="e">
        <f t="shared" si="285"/>
        <v>#N/A</v>
      </c>
      <c r="S118" s="1160" t="e">
        <f t="shared" si="252"/>
        <v>#N/A</v>
      </c>
      <c r="U118" t="e">
        <f t="shared" si="287"/>
        <v>#N/A</v>
      </c>
      <c r="V118" s="1160" t="e">
        <f t="shared" si="253"/>
        <v>#N/A</v>
      </c>
      <c r="X118" t="e">
        <f t="shared" si="289"/>
        <v>#N/A</v>
      </c>
      <c r="Y118" s="1160" t="e">
        <f t="shared" si="254"/>
        <v>#N/A</v>
      </c>
      <c r="AA118" t="e">
        <f t="shared" si="291"/>
        <v>#N/A</v>
      </c>
      <c r="AB118" s="1160" t="e">
        <f t="shared" si="255"/>
        <v>#N/A</v>
      </c>
      <c r="AD118" t="e">
        <f t="shared" si="293"/>
        <v>#N/A</v>
      </c>
      <c r="AE118" s="1160" t="e">
        <f t="shared" si="256"/>
        <v>#N/A</v>
      </c>
      <c r="AG118" t="e">
        <f t="shared" si="295"/>
        <v>#N/A</v>
      </c>
      <c r="AH118" s="1160" t="e">
        <f t="shared" si="257"/>
        <v>#N/A</v>
      </c>
      <c r="AJ118" t="e">
        <f t="shared" si="297"/>
        <v>#N/A</v>
      </c>
      <c r="AK118" s="1160" t="e">
        <f t="shared" si="258"/>
        <v>#N/A</v>
      </c>
      <c r="AM118" t="e">
        <f t="shared" si="299"/>
        <v>#N/A</v>
      </c>
      <c r="AO118" t="e">
        <f t="shared" si="301"/>
        <v>#N/A</v>
      </c>
      <c r="AP118" s="1160" t="e">
        <f t="shared" si="302"/>
        <v>#N/A</v>
      </c>
      <c r="AW118" s="1563" t="e">
        <f t="shared" si="366"/>
        <v>#N/A</v>
      </c>
      <c r="AY118" s="1592">
        <f t="shared" si="307"/>
        <v>1</v>
      </c>
      <c r="AZ118" s="821" t="e">
        <f t="shared" si="308"/>
        <v>#N/A</v>
      </c>
      <c r="BA118" s="1160" t="e">
        <f t="shared" si="259"/>
        <v>#N/A</v>
      </c>
      <c r="BB118" s="1592" t="str">
        <f t="shared" si="309"/>
        <v>--</v>
      </c>
      <c r="BC118" s="821" t="e">
        <f t="shared" si="310"/>
        <v>#N/A</v>
      </c>
      <c r="BD118" s="1160" t="e">
        <f t="shared" si="260"/>
        <v>#N/A</v>
      </c>
      <c r="BE118" s="1592" t="str">
        <f t="shared" si="311"/>
        <v>No</v>
      </c>
      <c r="BF118" s="1592" t="str">
        <f t="shared" si="312"/>
        <v>--</v>
      </c>
      <c r="BG118" s="821" t="e">
        <f t="shared" si="313"/>
        <v>#N/A</v>
      </c>
      <c r="BH118" s="1160" t="e">
        <f t="shared" si="261"/>
        <v>#N/A</v>
      </c>
      <c r="BI118" s="1592" t="str">
        <f t="shared" si="314"/>
        <v>--</v>
      </c>
      <c r="BJ118" s="1592" t="str">
        <f t="shared" si="315"/>
        <v>--</v>
      </c>
      <c r="BK118" s="821" t="e">
        <f t="shared" si="316"/>
        <v>#N/A</v>
      </c>
      <c r="BL118" s="1160" t="e">
        <f t="shared" si="262"/>
        <v>#N/A</v>
      </c>
      <c r="BM118" s="1592" t="str">
        <f t="shared" si="317"/>
        <v>--</v>
      </c>
      <c r="BN118" s="821" t="e">
        <f t="shared" si="318"/>
        <v>#N/A</v>
      </c>
      <c r="BO118" s="1160" t="e">
        <f t="shared" si="263"/>
        <v>#N/A</v>
      </c>
      <c r="BP118" s="1592" t="str">
        <f t="shared" si="319"/>
        <v>--</v>
      </c>
      <c r="BQ118" s="821" t="e">
        <f t="shared" si="320"/>
        <v>#N/A</v>
      </c>
      <c r="BR118" s="1160" t="e">
        <f t="shared" si="264"/>
        <v>#N/A</v>
      </c>
      <c r="BS118" s="1592" t="str">
        <f t="shared" si="321"/>
        <v>--</v>
      </c>
      <c r="BT118" s="821" t="e">
        <f t="shared" si="322"/>
        <v>#N/A</v>
      </c>
      <c r="BU118" s="1160" t="e">
        <f t="shared" si="265"/>
        <v>#N/A</v>
      </c>
      <c r="BW118" s="75" t="str">
        <f t="shared" si="390"/>
        <v>--</v>
      </c>
      <c r="BX118" s="75" t="str">
        <f t="shared" si="391"/>
        <v xml:space="preserve"> </v>
      </c>
      <c r="BY118" s="75" t="e">
        <f t="shared" si="392"/>
        <v>#N/A</v>
      </c>
      <c r="BZ118" s="75" t="e">
        <f t="shared" si="393"/>
        <v>#N/A</v>
      </c>
      <c r="CA118" s="1670" t="e">
        <f t="shared" si="266"/>
        <v>#N/A</v>
      </c>
      <c r="CB118" s="75" t="str">
        <f t="shared" si="394"/>
        <v>--</v>
      </c>
      <c r="CC118" s="75">
        <f t="shared" si="395"/>
        <v>0</v>
      </c>
      <c r="CD118" s="75" t="e">
        <f t="shared" si="396"/>
        <v>#N/A</v>
      </c>
      <c r="CE118" s="75" t="e">
        <f t="shared" si="397"/>
        <v>#N/A</v>
      </c>
      <c r="CF118" s="1670" t="e">
        <f t="shared" si="267"/>
        <v>#N/A</v>
      </c>
      <c r="CG118" s="75">
        <f t="shared" si="398"/>
        <v>0.15384615384615385</v>
      </c>
      <c r="CH118" s="75" t="str">
        <f t="shared" si="399"/>
        <v>ESL Table IP-9</v>
      </c>
      <c r="CI118" s="75" t="e">
        <f t="shared" si="400"/>
        <v>#N/A</v>
      </c>
      <c r="CJ118" s="75" t="e">
        <f t="shared" si="401"/>
        <v>#N/A</v>
      </c>
      <c r="CK118" s="1670" t="e">
        <f t="shared" si="268"/>
        <v>#N/A</v>
      </c>
      <c r="CL118" s="75" t="str">
        <f t="shared" si="402"/>
        <v>--</v>
      </c>
      <c r="CM118" s="75" t="str">
        <f t="shared" si="403"/>
        <v xml:space="preserve"> </v>
      </c>
      <c r="CN118" s="75" t="e">
        <f t="shared" si="404"/>
        <v>#N/A</v>
      </c>
      <c r="CO118" s="75" t="e">
        <f t="shared" si="405"/>
        <v>#N/A</v>
      </c>
      <c r="CP118" s="1670" t="e">
        <f t="shared" si="269"/>
        <v>#N/A</v>
      </c>
      <c r="CR118" s="1686" t="e">
        <f t="shared" si="270"/>
        <v>#N/A</v>
      </c>
      <c r="CS118" s="1686" t="e">
        <f t="shared" si="271"/>
        <v>#N/A</v>
      </c>
      <c r="CT118" s="1686" t="e">
        <f t="shared" si="272"/>
        <v>#N/A</v>
      </c>
      <c r="CU118" s="1686" t="e">
        <f t="shared" si="273"/>
        <v>#N/A</v>
      </c>
    </row>
    <row r="119" spans="1:99">
      <c r="A119" s="1400" t="s">
        <v>269</v>
      </c>
      <c r="B119" s="1570" t="s">
        <v>270</v>
      </c>
      <c r="C119" s="1563" t="str">
        <f t="shared" ref="C119:C157" si="406">VLOOKUP($A119,Table_IP_1, MATCH("OI", heading_IP_1, 0), FALSE)</f>
        <v>O</v>
      </c>
      <c r="D119" t="e">
        <f t="shared" si="275"/>
        <v>#N/A</v>
      </c>
      <c r="E119" s="1563">
        <f t="shared" si="276"/>
        <v>-1.5</v>
      </c>
      <c r="F119">
        <f t="shared" si="277"/>
        <v>-1.5</v>
      </c>
      <c r="G119" s="1160">
        <f t="shared" si="248"/>
        <v>0</v>
      </c>
      <c r="H119" s="1563" t="str">
        <f t="shared" ref="H119:H157" si="407">VLOOKUP($A119,Table_IP_1, MATCH("volatility", heading_IP_1, 0), FALSE)</f>
        <v>V</v>
      </c>
      <c r="I119" t="str">
        <f t="shared" si="279"/>
        <v>V</v>
      </c>
      <c r="J119" s="1160">
        <f t="shared" si="249"/>
        <v>0</v>
      </c>
      <c r="K119" s="1563">
        <f t="shared" ref="K119:K157" si="408">VLOOKUP($A119,Table_IP_1, MATCH("mw", heading_IP_1, 0), FALSE)</f>
        <v>164</v>
      </c>
      <c r="L119">
        <f t="shared" si="281"/>
        <v>164</v>
      </c>
      <c r="M119" s="1160">
        <f t="shared" si="250"/>
        <v>0</v>
      </c>
      <c r="N119" s="1563">
        <f t="shared" ref="N119:N157" si="409">VLOOKUP($A119,Table_IP_1, MATCH("vp", heading_IP_1, 0), FALSE)</f>
        <v>40</v>
      </c>
      <c r="O119">
        <f t="shared" si="283"/>
        <v>40</v>
      </c>
      <c r="P119" s="1160">
        <f t="shared" si="251"/>
        <v>0</v>
      </c>
      <c r="Q119" s="1563">
        <f t="shared" ref="Q119:Q157" si="410">VLOOKUP($A119,Table_IP_1, MATCH("sol", heading_IP_1, 0), FALSE)</f>
        <v>100000</v>
      </c>
      <c r="R119">
        <f t="shared" si="285"/>
        <v>100000</v>
      </c>
      <c r="S119" s="1160">
        <f t="shared" si="252"/>
        <v>0</v>
      </c>
      <c r="T119" s="1563">
        <f t="shared" ref="T119:T157" si="411">VLOOKUP($A119,Table_IP_1, MATCH("H", heading_IP_1, 0), FALSE)</f>
        <v>2.27E-5</v>
      </c>
      <c r="U119">
        <f t="shared" si="287"/>
        <v>2.27E-5</v>
      </c>
      <c r="V119" s="1160">
        <f t="shared" si="253"/>
        <v>0</v>
      </c>
      <c r="W119" s="1563">
        <f t="shared" ref="W119:W157" si="412">VLOOKUP($A119,Table_IP_1, MATCH("H'", heading_IP_1, 0), FALSE)</f>
        <v>9.2699999999999998E-4</v>
      </c>
      <c r="X119">
        <f t="shared" si="289"/>
        <v>9.2699999999999998E-4</v>
      </c>
      <c r="Y119" s="1160">
        <f t="shared" si="254"/>
        <v>0</v>
      </c>
      <c r="Z119" s="1563">
        <f t="shared" ref="Z119:Z157" si="413">VLOOKUP($A119,Table_IP_1, MATCH("koc", heading_IP_1, 0), FALSE)</f>
        <v>5.89</v>
      </c>
      <c r="AA119">
        <f t="shared" si="291"/>
        <v>5.89</v>
      </c>
      <c r="AB119" s="1160">
        <f t="shared" si="255"/>
        <v>0</v>
      </c>
      <c r="AC119" s="1563">
        <f t="shared" ref="AC119:AC157" si="414">VLOOKUP($A119,Table_IP_1, MATCH("kd", heading_IP_1, 0), FALSE)</f>
        <v>3.5339999999999996E-2</v>
      </c>
      <c r="AD119" t="str">
        <f t="shared" si="293"/>
        <v/>
      </c>
      <c r="AE119" s="1160">
        <f t="shared" si="256"/>
        <v>1</v>
      </c>
      <c r="AF119" s="1563">
        <f t="shared" ref="AF119:AF157" si="415">VLOOKUP($A119,Table_IP_1, MATCH("da", heading_IP_1, 0), FALSE)</f>
        <v>5.0665361035689999E-2</v>
      </c>
      <c r="AG119">
        <f t="shared" si="295"/>
        <v>5.0665361035689999E-2</v>
      </c>
      <c r="AH119" s="1160">
        <f t="shared" si="257"/>
        <v>0</v>
      </c>
      <c r="AI119" s="1563">
        <f t="shared" ref="AI119:AI157" si="416">VLOOKUP($A119,Table_IP_1, MATCH("dw", heading_IP_1, 0), FALSE)</f>
        <v>9.2983781565900005E-6</v>
      </c>
      <c r="AJ119">
        <f t="shared" si="297"/>
        <v>9.2983781565900005E-6</v>
      </c>
      <c r="AK119" s="1160">
        <f t="shared" si="258"/>
        <v>0</v>
      </c>
      <c r="AL119" s="1563">
        <f t="shared" ref="AL119:AL157" si="417">VLOOKUP($A119,Table_IP_1, MATCH("daf", heading_IP_1, 0), FALSE)</f>
        <v>1.1186388999999999</v>
      </c>
      <c r="AM119" t="e">
        <f t="shared" si="299"/>
        <v>#N/A</v>
      </c>
      <c r="AN119" s="1563">
        <f t="shared" ref="AN119:AN157" si="418">VLOOKUP($A119,Table_IP_1, MATCH("sat lim", heading_IP_1, 0), FALSE)</f>
        <v>13551.548867924532</v>
      </c>
      <c r="AO119">
        <f t="shared" si="301"/>
        <v>13600</v>
      </c>
      <c r="AP119" s="1160">
        <f t="shared" si="302"/>
        <v>1</v>
      </c>
      <c r="AQ119" s="1563">
        <f t="shared" ref="AQ119:AQ157" si="419">VLOOKUP($A119,Table_IP_1, MATCH("app diffus", heading_IP_1, 0), FALSE)</f>
        <v>1.890026954799744E-5</v>
      </c>
      <c r="AS119" s="1563">
        <f t="shared" ref="AS119:AS157" si="420">VLOOKUP($A119,Table_IP_1, MATCH("VFr", heading_IP_1, 0), FALSE)</f>
        <v>26531.796464351719</v>
      </c>
      <c r="AU119" s="1563">
        <f t="shared" ref="AU119:AU157" si="421">VLOOKUP($A119,Table_IP_1, MATCH("VFc", heading_IP_1, 0), FALSE)</f>
        <v>26016.566904307976</v>
      </c>
      <c r="AW119" s="1563">
        <f t="shared" ref="AW119:AW157" si="422">VLOOKUP($A119,Table_IP_1, MATCH("VFcw", heading_IP_1, 0), FALSE)</f>
        <v>5876.5633612578895</v>
      </c>
      <c r="AY119" s="1592">
        <f t="shared" si="307"/>
        <v>1</v>
      </c>
      <c r="AZ119" s="821">
        <f t="shared" si="308"/>
        <v>1</v>
      </c>
      <c r="BA119" s="1160">
        <f t="shared" si="259"/>
        <v>0</v>
      </c>
      <c r="BB119" s="1592" t="str">
        <f t="shared" si="309"/>
        <v>--</v>
      </c>
      <c r="BC119" s="821" t="str">
        <f t="shared" si="310"/>
        <v/>
      </c>
      <c r="BD119" s="1160">
        <f t="shared" si="260"/>
        <v>0</v>
      </c>
      <c r="BE119" s="1592" t="str">
        <f t="shared" si="311"/>
        <v>Yes</v>
      </c>
      <c r="BF119" s="1592">
        <f t="shared" si="312"/>
        <v>1.7799999999999999E-3</v>
      </c>
      <c r="BG119" s="821">
        <f t="shared" si="313"/>
        <v>1.7799999999999999E-3</v>
      </c>
      <c r="BH119" s="1160">
        <f t="shared" si="261"/>
        <v>0</v>
      </c>
      <c r="BI119" s="1592">
        <f t="shared" si="314"/>
        <v>1</v>
      </c>
      <c r="BJ119" s="1592">
        <f t="shared" si="315"/>
        <v>8.7673547251000006E-3</v>
      </c>
      <c r="BK119" s="821">
        <f t="shared" si="316"/>
        <v>8.7673547251000006E-3</v>
      </c>
      <c r="BL119" s="1160">
        <f t="shared" si="262"/>
        <v>0</v>
      </c>
      <c r="BM119" s="1592">
        <f t="shared" si="317"/>
        <v>0.87146259218906996</v>
      </c>
      <c r="BN119" s="821">
        <f t="shared" si="318"/>
        <v>0.87146259218906996</v>
      </c>
      <c r="BO119" s="1160">
        <f t="shared" si="263"/>
        <v>0</v>
      </c>
      <c r="BP119" s="1592">
        <f t="shared" si="319"/>
        <v>2.09151022125377</v>
      </c>
      <c r="BQ119" s="821">
        <f t="shared" si="320"/>
        <v>2.09151022125377</v>
      </c>
      <c r="BR119" s="1160">
        <f t="shared" si="264"/>
        <v>0</v>
      </c>
      <c r="BS119" s="1592" t="str">
        <f t="shared" si="321"/>
        <v>--</v>
      </c>
      <c r="BT119" s="821">
        <f t="shared" si="322"/>
        <v>0</v>
      </c>
      <c r="BU119" s="1160">
        <f t="shared" si="265"/>
        <v>0</v>
      </c>
      <c r="BW119" s="75" t="str">
        <f t="shared" si="390"/>
        <v>--</v>
      </c>
      <c r="BX119" s="75" t="str">
        <f t="shared" si="391"/>
        <v xml:space="preserve"> </v>
      </c>
      <c r="BY119" s="75" t="str">
        <f t="shared" si="392"/>
        <v/>
      </c>
      <c r="BZ119" s="75" t="str">
        <f t="shared" si="393"/>
        <v/>
      </c>
      <c r="CA119" s="1670" t="str">
        <f t="shared" si="266"/>
        <v>--</v>
      </c>
      <c r="CB119" s="75" t="str">
        <f t="shared" si="394"/>
        <v>--</v>
      </c>
      <c r="CC119" s="75" t="str">
        <f t="shared" si="395"/>
        <v xml:space="preserve"> </v>
      </c>
      <c r="CD119" s="75" t="str">
        <f t="shared" si="396"/>
        <v/>
      </c>
      <c r="CE119" s="75" t="str">
        <f t="shared" si="397"/>
        <v/>
      </c>
      <c r="CF119" s="1670" t="str">
        <f t="shared" si="267"/>
        <v>--</v>
      </c>
      <c r="CG119" s="75">
        <f t="shared" si="398"/>
        <v>5.0000000000000001E-4</v>
      </c>
      <c r="CH119" s="75" t="str">
        <f t="shared" si="399"/>
        <v>EPA HERA ORD</v>
      </c>
      <c r="CI119" s="75">
        <f t="shared" si="400"/>
        <v>5.0000000000000001E-4</v>
      </c>
      <c r="CJ119" s="75" t="str">
        <f t="shared" si="401"/>
        <v>R</v>
      </c>
      <c r="CK119" s="1670" t="str">
        <f t="shared" si="268"/>
        <v>--</v>
      </c>
      <c r="CL119" s="75" t="str">
        <f t="shared" si="402"/>
        <v>--</v>
      </c>
      <c r="CM119" s="75" t="str">
        <f t="shared" si="403"/>
        <v xml:space="preserve"> </v>
      </c>
      <c r="CN119" s="75" t="str">
        <f t="shared" si="404"/>
        <v/>
      </c>
      <c r="CO119" s="75" t="str">
        <f t="shared" si="405"/>
        <v/>
      </c>
      <c r="CP119" s="1670" t="str">
        <f t="shared" si="269"/>
        <v>--</v>
      </c>
      <c r="CR119" s="1686" t="str">
        <f t="shared" si="270"/>
        <v>--</v>
      </c>
      <c r="CS119" s="1686" t="str">
        <f t="shared" si="271"/>
        <v>--</v>
      </c>
      <c r="CT119" s="1686" t="str">
        <f t="shared" si="272"/>
        <v>--</v>
      </c>
      <c r="CU119" s="1686" t="str">
        <f t="shared" si="273"/>
        <v>--</v>
      </c>
    </row>
    <row r="120" spans="1:99">
      <c r="A120" s="1400" t="s">
        <v>271</v>
      </c>
      <c r="B120" s="1570" t="s">
        <v>272</v>
      </c>
      <c r="C120" s="1563" t="str">
        <f t="shared" si="406"/>
        <v>O</v>
      </c>
      <c r="D120" t="e">
        <f t="shared" si="275"/>
        <v>#N/A</v>
      </c>
      <c r="E120" s="1563">
        <f t="shared" si="276"/>
        <v>-19.95</v>
      </c>
      <c r="F120">
        <f t="shared" si="277"/>
        <v>-19.95</v>
      </c>
      <c r="G120" s="1160">
        <f t="shared" si="248"/>
        <v>0</v>
      </c>
      <c r="H120" s="1563" t="str">
        <f t="shared" si="407"/>
        <v>V</v>
      </c>
      <c r="I120" t="str">
        <f t="shared" si="279"/>
        <v>V</v>
      </c>
      <c r="J120" s="1160">
        <f t="shared" si="249"/>
        <v>0</v>
      </c>
      <c r="K120" s="1563">
        <f t="shared" si="408"/>
        <v>214</v>
      </c>
      <c r="L120">
        <f t="shared" si="281"/>
        <v>214</v>
      </c>
      <c r="M120" s="1160">
        <f t="shared" si="250"/>
        <v>0</v>
      </c>
      <c r="N120" s="1563">
        <f t="shared" si="409"/>
        <v>15</v>
      </c>
      <c r="O120">
        <f t="shared" si="283"/>
        <v>15</v>
      </c>
      <c r="P120" s="1160">
        <f t="shared" si="251"/>
        <v>0</v>
      </c>
      <c r="Q120" s="1563">
        <f t="shared" si="410"/>
        <v>4614</v>
      </c>
      <c r="R120">
        <f t="shared" si="285"/>
        <v>4614</v>
      </c>
      <c r="S120" s="1160">
        <f t="shared" si="252"/>
        <v>0</v>
      </c>
      <c r="T120" s="1563">
        <f t="shared" si="411"/>
        <v>1.1900000000000001E-4</v>
      </c>
      <c r="U120">
        <f t="shared" si="287"/>
        <v>1.1900000000000001E-4</v>
      </c>
      <c r="V120" s="1160">
        <f t="shared" si="253"/>
        <v>0</v>
      </c>
      <c r="W120" s="1563">
        <f t="shared" si="412"/>
        <v>4.8650860000000002E-3</v>
      </c>
      <c r="X120">
        <f t="shared" si="289"/>
        <v>4.8650860000000002E-3</v>
      </c>
      <c r="Y120" s="1160">
        <f t="shared" si="254"/>
        <v>0</v>
      </c>
      <c r="Z120" s="1563">
        <f t="shared" si="413"/>
        <v>75.86</v>
      </c>
      <c r="AA120">
        <f t="shared" si="291"/>
        <v>75.86</v>
      </c>
      <c r="AB120" s="1160">
        <f t="shared" si="255"/>
        <v>0</v>
      </c>
      <c r="AC120" s="1563">
        <f t="shared" si="414"/>
        <v>0.45516000000000001</v>
      </c>
      <c r="AD120" t="str">
        <f t="shared" si="293"/>
        <v/>
      </c>
      <c r="AE120" s="1160">
        <f t="shared" si="256"/>
        <v>1</v>
      </c>
      <c r="AF120" s="1563">
        <f t="shared" si="415"/>
        <v>3.031015778763E-2</v>
      </c>
      <c r="AG120">
        <f t="shared" si="295"/>
        <v>3.031015778763E-2</v>
      </c>
      <c r="AH120" s="1160">
        <f t="shared" si="257"/>
        <v>0</v>
      </c>
      <c r="AI120" s="1563">
        <f t="shared" si="416"/>
        <v>8.1674908419499994E-6</v>
      </c>
      <c r="AJ120">
        <f t="shared" si="297"/>
        <v>8.1674908419499994E-6</v>
      </c>
      <c r="AK120" s="1160">
        <f t="shared" si="258"/>
        <v>0</v>
      </c>
      <c r="AL120" s="1563">
        <f t="shared" si="417"/>
        <v>13.331393</v>
      </c>
      <c r="AM120" t="e">
        <f t="shared" si="299"/>
        <v>#N/A</v>
      </c>
      <c r="AN120" s="1563">
        <f t="shared" si="418"/>
        <v>2565.7577365710717</v>
      </c>
      <c r="AO120">
        <f t="shared" si="301"/>
        <v>2570</v>
      </c>
      <c r="AP120" s="1160">
        <f t="shared" si="302"/>
        <v>1</v>
      </c>
      <c r="AQ120" s="1563">
        <f t="shared" si="419"/>
        <v>1.4221245098130114E-5</v>
      </c>
      <c r="AS120" s="1563">
        <f t="shared" si="420"/>
        <v>30586.645193075441</v>
      </c>
      <c r="AU120" s="1563">
        <f t="shared" si="421"/>
        <v>29992.673210544352</v>
      </c>
      <c r="AW120" s="1563">
        <f t="shared" si="422"/>
        <v>6774.677271737989</v>
      </c>
      <c r="AY120" s="1592">
        <f t="shared" si="307"/>
        <v>1</v>
      </c>
      <c r="AZ120" s="821">
        <f t="shared" si="308"/>
        <v>1</v>
      </c>
      <c r="BA120" s="1160">
        <f t="shared" si="259"/>
        <v>0</v>
      </c>
      <c r="BB120" s="1592" t="str">
        <f t="shared" si="309"/>
        <v>--</v>
      </c>
      <c r="BC120" s="821" t="str">
        <f t="shared" si="310"/>
        <v/>
      </c>
      <c r="BD120" s="1160">
        <f t="shared" si="260"/>
        <v>0</v>
      </c>
      <c r="BE120" s="1592" t="str">
        <f t="shared" si="311"/>
        <v>Yes</v>
      </c>
      <c r="BF120" s="1592">
        <f t="shared" si="312"/>
        <v>4.0619308244100004E-3</v>
      </c>
      <c r="BG120" s="821">
        <f t="shared" si="313"/>
        <v>4.0619308244100004E-3</v>
      </c>
      <c r="BH120" s="1160">
        <f t="shared" si="261"/>
        <v>0</v>
      </c>
      <c r="BI120" s="1592">
        <f t="shared" si="314"/>
        <v>1</v>
      </c>
      <c r="BJ120" s="1592">
        <f t="shared" si="315"/>
        <v>2.2854202003729999E-2</v>
      </c>
      <c r="BK120" s="821">
        <f t="shared" si="316"/>
        <v>2.2854202003729999E-2</v>
      </c>
      <c r="BL120" s="1160">
        <f t="shared" si="262"/>
        <v>0</v>
      </c>
      <c r="BM120" s="1592">
        <f t="shared" si="317"/>
        <v>1.6605377365906999</v>
      </c>
      <c r="BN120" s="821">
        <f t="shared" si="318"/>
        <v>1.6605377365906999</v>
      </c>
      <c r="BO120" s="1160">
        <f t="shared" si="263"/>
        <v>0</v>
      </c>
      <c r="BP120" s="1592">
        <f t="shared" si="319"/>
        <v>3.9852905678176702</v>
      </c>
      <c r="BQ120" s="821">
        <f t="shared" si="320"/>
        <v>3.9852905678176702</v>
      </c>
      <c r="BR120" s="1160">
        <f t="shared" si="264"/>
        <v>0</v>
      </c>
      <c r="BS120" s="1592" t="str">
        <f t="shared" si="321"/>
        <v>--</v>
      </c>
      <c r="BT120" s="821">
        <f t="shared" si="322"/>
        <v>0</v>
      </c>
      <c r="BU120" s="1160">
        <f t="shared" si="265"/>
        <v>0</v>
      </c>
      <c r="BW120" s="75" t="str">
        <f t="shared" si="390"/>
        <v>--</v>
      </c>
      <c r="BX120" s="75" t="str">
        <f t="shared" si="391"/>
        <v xml:space="preserve"> </v>
      </c>
      <c r="BY120" s="75" t="str">
        <f t="shared" si="392"/>
        <v/>
      </c>
      <c r="BZ120" s="75" t="str">
        <f t="shared" si="393"/>
        <v/>
      </c>
      <c r="CA120" s="1670" t="str">
        <f t="shared" si="266"/>
        <v>--</v>
      </c>
      <c r="CB120" s="75" t="str">
        <f t="shared" si="394"/>
        <v>--</v>
      </c>
      <c r="CC120" s="75" t="str">
        <f t="shared" si="395"/>
        <v xml:space="preserve"> </v>
      </c>
      <c r="CD120" s="75" t="str">
        <f t="shared" si="396"/>
        <v/>
      </c>
      <c r="CE120" s="75" t="str">
        <f t="shared" si="397"/>
        <v/>
      </c>
      <c r="CF120" s="1670" t="str">
        <f t="shared" si="267"/>
        <v>--</v>
      </c>
      <c r="CG120" s="75">
        <f t="shared" si="398"/>
        <v>1E-3</v>
      </c>
      <c r="CH120" s="75" t="str">
        <f t="shared" si="399"/>
        <v>IRIS</v>
      </c>
      <c r="CI120" s="75">
        <f t="shared" si="400"/>
        <v>1E-3</v>
      </c>
      <c r="CJ120" s="75" t="str">
        <f t="shared" si="401"/>
        <v>I</v>
      </c>
      <c r="CK120" s="1670" t="str">
        <f t="shared" si="268"/>
        <v>--</v>
      </c>
      <c r="CL120" s="75" t="str">
        <f t="shared" si="402"/>
        <v>--</v>
      </c>
      <c r="CM120" s="75" t="str">
        <f t="shared" si="403"/>
        <v xml:space="preserve"> </v>
      </c>
      <c r="CN120" s="75" t="str">
        <f t="shared" si="404"/>
        <v/>
      </c>
      <c r="CO120" s="75" t="str">
        <f t="shared" si="405"/>
        <v/>
      </c>
      <c r="CP120" s="1670" t="str">
        <f t="shared" si="269"/>
        <v>--</v>
      </c>
      <c r="CR120" s="1686" t="str">
        <f t="shared" si="270"/>
        <v>--</v>
      </c>
      <c r="CS120" s="1686" t="str">
        <f t="shared" si="271"/>
        <v>--</v>
      </c>
      <c r="CT120" s="1686" t="str">
        <f t="shared" si="272"/>
        <v>--</v>
      </c>
      <c r="CU120" s="1686" t="str">
        <f t="shared" si="273"/>
        <v>--</v>
      </c>
    </row>
    <row r="121" spans="1:99">
      <c r="A121" s="1400" t="s">
        <v>273</v>
      </c>
      <c r="B121" s="1570" t="s">
        <v>274</v>
      </c>
      <c r="C121" s="1563" t="str">
        <f t="shared" si="406"/>
        <v>O</v>
      </c>
      <c r="D121" t="e">
        <f t="shared" si="275"/>
        <v>#N/A</v>
      </c>
      <c r="E121" s="1563">
        <f t="shared" si="276"/>
        <v>-13.2</v>
      </c>
      <c r="F121" t="e">
        <f t="shared" si="277"/>
        <v>#N/A</v>
      </c>
      <c r="G121" s="1160" t="e">
        <f t="shared" si="248"/>
        <v>#N/A</v>
      </c>
      <c r="H121" s="1563" t="str">
        <f t="shared" si="407"/>
        <v>V</v>
      </c>
      <c r="I121" t="e">
        <f t="shared" si="279"/>
        <v>#N/A</v>
      </c>
      <c r="J121" s="1160" t="e">
        <f t="shared" si="249"/>
        <v>#N/A</v>
      </c>
      <c r="K121" s="1563">
        <f t="shared" si="408"/>
        <v>264</v>
      </c>
      <c r="L121" t="e">
        <f t="shared" si="281"/>
        <v>#N/A</v>
      </c>
      <c r="M121" s="1160" t="e">
        <f t="shared" si="250"/>
        <v>#N/A</v>
      </c>
      <c r="N121" s="1563">
        <f t="shared" si="409"/>
        <v>20</v>
      </c>
      <c r="O121" t="e">
        <f t="shared" si="283"/>
        <v>#N/A</v>
      </c>
      <c r="P121" s="1160" t="e">
        <f t="shared" si="251"/>
        <v>#N/A</v>
      </c>
      <c r="Q121" s="1563">
        <f t="shared" si="410"/>
        <v>9812</v>
      </c>
      <c r="R121" t="e">
        <f t="shared" si="285"/>
        <v>#N/A</v>
      </c>
      <c r="S121" s="1160" t="e">
        <f t="shared" si="252"/>
        <v>#N/A</v>
      </c>
      <c r="T121" s="1563">
        <f t="shared" si="411"/>
        <v>1.5E-5</v>
      </c>
      <c r="U121" t="e">
        <f t="shared" si="287"/>
        <v>#N/A</v>
      </c>
      <c r="V121" s="1160" t="e">
        <f t="shared" si="253"/>
        <v>#N/A</v>
      </c>
      <c r="W121" s="1563">
        <f t="shared" si="412"/>
        <v>6.1224489795918364E-4</v>
      </c>
      <c r="X121" t="e">
        <f t="shared" si="289"/>
        <v>#N/A</v>
      </c>
      <c r="Y121" s="1160" t="e">
        <f t="shared" si="254"/>
        <v>#N/A</v>
      </c>
      <c r="Z121" s="1563">
        <f t="shared" si="413"/>
        <v>147.9</v>
      </c>
      <c r="AA121" t="e">
        <f t="shared" si="291"/>
        <v>#N/A</v>
      </c>
      <c r="AB121" s="1160" t="e">
        <f t="shared" si="255"/>
        <v>#N/A</v>
      </c>
      <c r="AC121" s="1563">
        <f t="shared" si="414"/>
        <v>0.88740000000000008</v>
      </c>
      <c r="AD121" t="e">
        <f t="shared" si="293"/>
        <v>#N/A</v>
      </c>
      <c r="AE121" s="1160" t="e">
        <f t="shared" si="256"/>
        <v>#N/A</v>
      </c>
      <c r="AF121" s="1563" t="str">
        <f t="shared" si="415"/>
        <v>--</v>
      </c>
      <c r="AG121" t="e">
        <f t="shared" si="295"/>
        <v>#N/A</v>
      </c>
      <c r="AH121" s="1160" t="e">
        <f t="shared" si="257"/>
        <v>#N/A</v>
      </c>
      <c r="AI121" s="1563" t="str">
        <f t="shared" si="416"/>
        <v>--</v>
      </c>
      <c r="AJ121" t="e">
        <f t="shared" si="297"/>
        <v>#N/A</v>
      </c>
      <c r="AK121" s="1160" t="e">
        <f t="shared" si="258"/>
        <v>#N/A</v>
      </c>
      <c r="AL121" s="1563">
        <f t="shared" si="417"/>
        <v>24.644505000000002</v>
      </c>
      <c r="AM121" t="e">
        <f t="shared" si="299"/>
        <v>#N/A</v>
      </c>
      <c r="AN121" s="1600">
        <f t="shared" si="418"/>
        <v>9689.5060398921833</v>
      </c>
      <c r="AO121" t="e">
        <f t="shared" si="301"/>
        <v>#N/A</v>
      </c>
      <c r="AP121" s="1160" t="e">
        <f t="shared" si="302"/>
        <v>#N/A</v>
      </c>
      <c r="AQ121" s="1563" t="str">
        <f t="shared" si="419"/>
        <v>--</v>
      </c>
      <c r="AS121" s="1563" t="str">
        <f t="shared" si="420"/>
        <v>--</v>
      </c>
      <c r="AU121" s="1563" t="str">
        <f t="shared" si="421"/>
        <v>--</v>
      </c>
      <c r="AW121" s="1563" t="str">
        <f t="shared" si="422"/>
        <v>--</v>
      </c>
      <c r="AY121" s="1592" t="str">
        <f t="shared" si="307"/>
        <v>--</v>
      </c>
      <c r="AZ121" s="821" t="e">
        <f t="shared" si="308"/>
        <v>#N/A</v>
      </c>
      <c r="BA121" s="1160" t="e">
        <f t="shared" si="259"/>
        <v>#N/A</v>
      </c>
      <c r="BB121" s="1592" t="str">
        <f t="shared" si="309"/>
        <v>--</v>
      </c>
      <c r="BC121" s="821" t="e">
        <f t="shared" si="310"/>
        <v>#N/A</v>
      </c>
      <c r="BD121" s="1160" t="e">
        <f t="shared" si="260"/>
        <v>#N/A</v>
      </c>
      <c r="BE121" s="1592" t="str">
        <f t="shared" si="311"/>
        <v>--</v>
      </c>
      <c r="BF121" s="1592" t="str">
        <f t="shared" si="312"/>
        <v>--</v>
      </c>
      <c r="BG121" s="821" t="e">
        <f t="shared" si="313"/>
        <v>#N/A</v>
      </c>
      <c r="BH121" s="1160" t="e">
        <f t="shared" si="261"/>
        <v>#N/A</v>
      </c>
      <c r="BI121" s="1592" t="str">
        <f t="shared" si="314"/>
        <v>--</v>
      </c>
      <c r="BJ121" s="1592" t="str">
        <f t="shared" si="315"/>
        <v>--</v>
      </c>
      <c r="BK121" s="821" t="e">
        <f t="shared" si="316"/>
        <v>#N/A</v>
      </c>
      <c r="BL121" s="1160" t="e">
        <f t="shared" si="262"/>
        <v>#N/A</v>
      </c>
      <c r="BM121" s="1592" t="str">
        <f t="shared" si="317"/>
        <v>--</v>
      </c>
      <c r="BN121" s="821" t="e">
        <f t="shared" si="318"/>
        <v>#N/A</v>
      </c>
      <c r="BO121" s="1160" t="e">
        <f t="shared" si="263"/>
        <v>#N/A</v>
      </c>
      <c r="BP121" s="1592" t="str">
        <f t="shared" si="319"/>
        <v>--</v>
      </c>
      <c r="BQ121" s="1606" t="s">
        <v>115</v>
      </c>
      <c r="BR121" s="1160">
        <f t="shared" si="264"/>
        <v>0</v>
      </c>
      <c r="BS121" s="1592" t="str">
        <f t="shared" si="321"/>
        <v>--</v>
      </c>
      <c r="BT121" s="821" t="e">
        <f t="shared" si="322"/>
        <v>#N/A</v>
      </c>
      <c r="BU121" s="1160" t="e">
        <f t="shared" si="265"/>
        <v>#N/A</v>
      </c>
      <c r="BW121" s="75" t="str">
        <f t="shared" si="390"/>
        <v>--</v>
      </c>
      <c r="BX121" s="75" t="str">
        <f t="shared" si="391"/>
        <v xml:space="preserve"> </v>
      </c>
      <c r="BY121" s="75" t="e">
        <f t="shared" si="392"/>
        <v>#N/A</v>
      </c>
      <c r="BZ121" s="75" t="e">
        <f t="shared" si="393"/>
        <v>#N/A</v>
      </c>
      <c r="CA121" s="1670" t="e">
        <f t="shared" si="266"/>
        <v>#N/A</v>
      </c>
      <c r="CB121" s="75" t="str">
        <f t="shared" si="394"/>
        <v>--</v>
      </c>
      <c r="CC121" s="75" t="str">
        <f t="shared" si="395"/>
        <v xml:space="preserve"> </v>
      </c>
      <c r="CD121" s="75" t="e">
        <f t="shared" si="396"/>
        <v>#N/A</v>
      </c>
      <c r="CE121" s="75" t="e">
        <f t="shared" si="397"/>
        <v>#N/A</v>
      </c>
      <c r="CF121" s="1670" t="e">
        <f t="shared" si="267"/>
        <v>#N/A</v>
      </c>
      <c r="CG121" s="75" t="str">
        <f t="shared" si="398"/>
        <v>--</v>
      </c>
      <c r="CH121" s="75" t="str">
        <f t="shared" si="399"/>
        <v xml:space="preserve"> </v>
      </c>
      <c r="CI121" s="75" t="e">
        <f t="shared" si="400"/>
        <v>#N/A</v>
      </c>
      <c r="CJ121" s="75" t="e">
        <f t="shared" si="401"/>
        <v>#N/A</v>
      </c>
      <c r="CK121" s="1670" t="e">
        <f t="shared" si="268"/>
        <v>#N/A</v>
      </c>
      <c r="CL121" s="75" t="str">
        <f t="shared" si="402"/>
        <v>--</v>
      </c>
      <c r="CM121" s="75" t="str">
        <f t="shared" si="403"/>
        <v xml:space="preserve"> </v>
      </c>
      <c r="CN121" s="75" t="e">
        <f t="shared" si="404"/>
        <v>#N/A</v>
      </c>
      <c r="CO121" s="75" t="e">
        <f t="shared" si="405"/>
        <v>#N/A</v>
      </c>
      <c r="CP121" s="1670" t="e">
        <f t="shared" si="269"/>
        <v>#N/A</v>
      </c>
      <c r="CR121" s="1686" t="e">
        <f t="shared" si="270"/>
        <v>#N/A</v>
      </c>
      <c r="CS121" s="1686" t="e">
        <f t="shared" si="271"/>
        <v>#N/A</v>
      </c>
      <c r="CT121" s="1686" t="e">
        <f t="shared" si="272"/>
        <v>#N/A</v>
      </c>
      <c r="CU121" s="1686" t="e">
        <f t="shared" si="273"/>
        <v>#N/A</v>
      </c>
    </row>
    <row r="122" spans="1:99">
      <c r="A122" s="1400" t="s">
        <v>275</v>
      </c>
      <c r="B122" s="1570" t="s">
        <v>276</v>
      </c>
      <c r="C122" s="1563" t="str">
        <f t="shared" si="406"/>
        <v>O</v>
      </c>
      <c r="D122" t="e">
        <f t="shared" si="275"/>
        <v>#N/A</v>
      </c>
      <c r="E122" s="1563">
        <f t="shared" si="276"/>
        <v>12</v>
      </c>
      <c r="F122">
        <f t="shared" si="277"/>
        <v>12</v>
      </c>
      <c r="G122" s="1160">
        <f t="shared" si="248"/>
        <v>0</v>
      </c>
      <c r="H122" s="1563" t="str">
        <f t="shared" si="407"/>
        <v>NV</v>
      </c>
      <c r="I122">
        <f t="shared" si="279"/>
        <v>0</v>
      </c>
      <c r="J122" s="1160">
        <f t="shared" si="249"/>
        <v>0</v>
      </c>
      <c r="K122" s="1563">
        <f t="shared" si="408"/>
        <v>314.10000000000002</v>
      </c>
      <c r="L122">
        <f t="shared" si="281"/>
        <v>314.10000000000002</v>
      </c>
      <c r="M122" s="1160">
        <f t="shared" si="250"/>
        <v>0</v>
      </c>
      <c r="N122" s="1563">
        <f t="shared" si="409"/>
        <v>0.33</v>
      </c>
      <c r="O122">
        <f t="shared" si="283"/>
        <v>0.33</v>
      </c>
      <c r="P122" s="1160">
        <f t="shared" si="251"/>
        <v>0</v>
      </c>
      <c r="Q122" s="1563">
        <f t="shared" si="410"/>
        <v>250000</v>
      </c>
      <c r="R122">
        <f t="shared" si="285"/>
        <v>250000</v>
      </c>
      <c r="S122" s="1160">
        <f t="shared" si="252"/>
        <v>0</v>
      </c>
      <c r="T122" s="1563">
        <f t="shared" si="411"/>
        <v>2.3500000000000002E-10</v>
      </c>
      <c r="U122">
        <f t="shared" si="287"/>
        <v>2.3500000000000002E-10</v>
      </c>
      <c r="V122" s="1160">
        <f t="shared" si="253"/>
        <v>0</v>
      </c>
      <c r="W122" s="1563">
        <f t="shared" si="412"/>
        <v>9.6099999999999997E-9</v>
      </c>
      <c r="X122">
        <f t="shared" si="289"/>
        <v>9.6099999999999997E-9</v>
      </c>
      <c r="Y122" s="1160">
        <f t="shared" si="254"/>
        <v>0</v>
      </c>
      <c r="Z122" s="1563">
        <f t="shared" si="413"/>
        <v>20.420000000000002</v>
      </c>
      <c r="AA122">
        <f t="shared" si="291"/>
        <v>20.420000000000002</v>
      </c>
      <c r="AB122" s="1160">
        <f t="shared" si="255"/>
        <v>0</v>
      </c>
      <c r="AC122" s="1563">
        <f t="shared" si="414"/>
        <v>0.12252000000000002</v>
      </c>
      <c r="AD122" t="str">
        <f t="shared" si="293"/>
        <v/>
      </c>
      <c r="AE122" s="1160">
        <f t="shared" si="256"/>
        <v>1</v>
      </c>
      <c r="AF122" s="1563">
        <f t="shared" si="415"/>
        <v>2.5766087591470001E-2</v>
      </c>
      <c r="AG122">
        <f t="shared" si="295"/>
        <v>2.5766087591470001E-2</v>
      </c>
      <c r="AH122" s="1160">
        <f t="shared" si="257"/>
        <v>0</v>
      </c>
      <c r="AI122" s="1563">
        <f t="shared" si="416"/>
        <v>6.7707152924800003E-6</v>
      </c>
      <c r="AJ122">
        <f t="shared" si="297"/>
        <v>6.7707152924800003E-6</v>
      </c>
      <c r="AK122" s="1160">
        <f t="shared" si="258"/>
        <v>0</v>
      </c>
      <c r="AL122" s="1563">
        <f t="shared" si="417"/>
        <v>3.3897214586450004</v>
      </c>
      <c r="AM122" t="e">
        <f t="shared" si="299"/>
        <v>#N/A</v>
      </c>
      <c r="AN122" s="1600">
        <f t="shared" si="418"/>
        <v>55630.0004548129</v>
      </c>
      <c r="AO122" t="str">
        <f t="shared" si="301"/>
        <v/>
      </c>
      <c r="AP122" s="1160">
        <f t="shared" si="302"/>
        <v>1</v>
      </c>
      <c r="AQ122" s="1563" t="str">
        <f t="shared" si="419"/>
        <v>--</v>
      </c>
      <c r="AS122" s="1563" t="str">
        <f t="shared" si="420"/>
        <v>--</v>
      </c>
      <c r="AU122" s="1563" t="str">
        <f t="shared" si="421"/>
        <v>--</v>
      </c>
      <c r="AW122" s="1563" t="str">
        <f t="shared" si="422"/>
        <v>--</v>
      </c>
      <c r="AY122" s="1592">
        <f t="shared" si="307"/>
        <v>1</v>
      </c>
      <c r="AZ122" s="821">
        <f t="shared" si="308"/>
        <v>1</v>
      </c>
      <c r="BA122" s="1160">
        <f t="shared" si="259"/>
        <v>0</v>
      </c>
      <c r="BB122" s="1592">
        <f t="shared" si="309"/>
        <v>0.1</v>
      </c>
      <c r="BC122" s="821">
        <f t="shared" si="310"/>
        <v>0.1</v>
      </c>
      <c r="BD122" s="1160">
        <f t="shared" si="260"/>
        <v>0</v>
      </c>
      <c r="BE122" s="1592" t="str">
        <f t="shared" si="311"/>
        <v>Yes</v>
      </c>
      <c r="BF122" s="1592">
        <f t="shared" si="312"/>
        <v>2.6862743795000001E-4</v>
      </c>
      <c r="BG122" s="821">
        <f t="shared" si="313"/>
        <v>2.6862743795000001E-4</v>
      </c>
      <c r="BH122" s="1160">
        <f t="shared" si="261"/>
        <v>0</v>
      </c>
      <c r="BI122" s="1592">
        <f t="shared" si="314"/>
        <v>1</v>
      </c>
      <c r="BJ122" s="1592">
        <f t="shared" si="315"/>
        <v>1.83109547847E-3</v>
      </c>
      <c r="BK122" s="821">
        <f t="shared" si="316"/>
        <v>1.83109547847E-3</v>
      </c>
      <c r="BL122" s="1160">
        <f t="shared" si="262"/>
        <v>0</v>
      </c>
      <c r="BM122" s="1592">
        <f t="shared" si="317"/>
        <v>6.0368272689997298</v>
      </c>
      <c r="BN122" s="821">
        <f t="shared" si="318"/>
        <v>6.0368272689997298</v>
      </c>
      <c r="BO122" s="1160">
        <f t="shared" si="263"/>
        <v>0</v>
      </c>
      <c r="BP122" s="1592">
        <f t="shared" si="319"/>
        <v>14.4883854455994</v>
      </c>
      <c r="BQ122" s="821">
        <f t="shared" si="320"/>
        <v>14.4883854455994</v>
      </c>
      <c r="BR122" s="1160">
        <f t="shared" si="264"/>
        <v>0</v>
      </c>
      <c r="BS122" s="1592" t="str">
        <f t="shared" si="321"/>
        <v>--</v>
      </c>
      <c r="BT122" s="821">
        <f t="shared" si="322"/>
        <v>0</v>
      </c>
      <c r="BU122" s="1160">
        <f t="shared" si="265"/>
        <v>0</v>
      </c>
      <c r="BW122" s="75" t="str">
        <f t="shared" si="390"/>
        <v>--</v>
      </c>
      <c r="BX122" s="75" t="str">
        <f t="shared" si="391"/>
        <v xml:space="preserve"> </v>
      </c>
      <c r="BY122" s="75" t="str">
        <f t="shared" si="392"/>
        <v/>
      </c>
      <c r="BZ122" s="75" t="str">
        <f t="shared" si="393"/>
        <v/>
      </c>
      <c r="CA122" s="1670" t="str">
        <f t="shared" si="266"/>
        <v>--</v>
      </c>
      <c r="CB122" s="75" t="str">
        <f t="shared" si="394"/>
        <v>--</v>
      </c>
      <c r="CC122" s="75" t="str">
        <f t="shared" si="395"/>
        <v xml:space="preserve"> </v>
      </c>
      <c r="CD122" s="75" t="str">
        <f t="shared" si="396"/>
        <v/>
      </c>
      <c r="CE122" s="75" t="str">
        <f t="shared" si="397"/>
        <v/>
      </c>
      <c r="CF122" s="1670" t="str">
        <f t="shared" si="267"/>
        <v>--</v>
      </c>
      <c r="CG122" s="75">
        <f t="shared" si="398"/>
        <v>5.0000000000000001E-4</v>
      </c>
      <c r="CH122" s="75" t="str">
        <f t="shared" si="399"/>
        <v>IRIS</v>
      </c>
      <c r="CI122" s="75">
        <f t="shared" si="400"/>
        <v>5.0000000000000001E-4</v>
      </c>
      <c r="CJ122" s="75" t="str">
        <f t="shared" si="401"/>
        <v>I</v>
      </c>
      <c r="CK122" s="1670" t="str">
        <f t="shared" si="268"/>
        <v>--</v>
      </c>
      <c r="CL122" s="75" t="str">
        <f t="shared" si="402"/>
        <v>--</v>
      </c>
      <c r="CM122" s="75" t="str">
        <f t="shared" si="403"/>
        <v xml:space="preserve"> </v>
      </c>
      <c r="CN122" s="75" t="str">
        <f t="shared" si="404"/>
        <v/>
      </c>
      <c r="CO122" s="75" t="str">
        <f t="shared" si="405"/>
        <v/>
      </c>
      <c r="CP122" s="1670" t="str">
        <f t="shared" si="269"/>
        <v>--</v>
      </c>
      <c r="CR122" s="1686" t="str">
        <f t="shared" si="270"/>
        <v>--</v>
      </c>
      <c r="CS122" s="1686" t="str">
        <f t="shared" si="271"/>
        <v>--</v>
      </c>
      <c r="CT122" s="1686" t="str">
        <f t="shared" si="272"/>
        <v>--</v>
      </c>
      <c r="CU122" s="1686" t="str">
        <f t="shared" si="273"/>
        <v>--</v>
      </c>
    </row>
    <row r="123" spans="1:99">
      <c r="A123" s="1400" t="s">
        <v>277</v>
      </c>
      <c r="B123" s="1570" t="s">
        <v>278</v>
      </c>
      <c r="C123" s="1563" t="str">
        <f t="shared" si="406"/>
        <v>O</v>
      </c>
      <c r="D123" t="e">
        <f t="shared" si="275"/>
        <v>#N/A</v>
      </c>
      <c r="E123" s="1563">
        <f t="shared" si="276"/>
        <v>1.8</v>
      </c>
      <c r="F123" t="e">
        <f t="shared" si="277"/>
        <v>#N/A</v>
      </c>
      <c r="G123" s="1160" t="e">
        <f t="shared" si="248"/>
        <v>#N/A</v>
      </c>
      <c r="H123" s="1563" t="str">
        <f t="shared" si="407"/>
        <v>V</v>
      </c>
      <c r="I123" t="e">
        <f t="shared" si="279"/>
        <v>#N/A</v>
      </c>
      <c r="J123" s="1160" t="e">
        <f t="shared" si="249"/>
        <v>#N/A</v>
      </c>
      <c r="K123" s="1563">
        <f t="shared" si="408"/>
        <v>364</v>
      </c>
      <c r="L123" t="e">
        <f t="shared" si="281"/>
        <v>#N/A</v>
      </c>
      <c r="M123" s="1160" t="e">
        <f t="shared" si="250"/>
        <v>#N/A</v>
      </c>
      <c r="N123" s="1563">
        <f t="shared" si="409"/>
        <v>15</v>
      </c>
      <c r="O123" t="e">
        <f t="shared" si="283"/>
        <v>#N/A</v>
      </c>
      <c r="P123" s="1160" t="e">
        <f t="shared" si="251"/>
        <v>#N/A</v>
      </c>
      <c r="Q123" s="1563">
        <f t="shared" si="410"/>
        <v>118000</v>
      </c>
      <c r="R123" t="e">
        <f t="shared" si="285"/>
        <v>#N/A</v>
      </c>
      <c r="S123" s="1160" t="e">
        <f t="shared" si="252"/>
        <v>#N/A</v>
      </c>
      <c r="T123" s="1563">
        <f t="shared" si="411"/>
        <v>5.66E-6</v>
      </c>
      <c r="U123" t="e">
        <f t="shared" si="287"/>
        <v>#N/A</v>
      </c>
      <c r="V123" s="1160" t="e">
        <f t="shared" si="253"/>
        <v>#N/A</v>
      </c>
      <c r="W123" s="1563">
        <f t="shared" si="412"/>
        <v>2.3102040816326531E-4</v>
      </c>
      <c r="X123" t="e">
        <f t="shared" si="289"/>
        <v>#N/A</v>
      </c>
      <c r="Y123" s="1160" t="e">
        <f t="shared" si="254"/>
        <v>#N/A</v>
      </c>
      <c r="Z123" s="1563">
        <f t="shared" si="413"/>
        <v>575.4</v>
      </c>
      <c r="AA123" t="e">
        <f t="shared" si="291"/>
        <v>#N/A</v>
      </c>
      <c r="AB123" s="1160" t="e">
        <f t="shared" si="255"/>
        <v>#N/A</v>
      </c>
      <c r="AC123" s="1563">
        <f t="shared" si="414"/>
        <v>3.4523999999999999</v>
      </c>
      <c r="AD123" t="e">
        <f t="shared" si="293"/>
        <v>#N/A</v>
      </c>
      <c r="AE123" s="1160" t="e">
        <f t="shared" si="256"/>
        <v>#N/A</v>
      </c>
      <c r="AF123" s="1563" t="str">
        <f t="shared" si="415"/>
        <v>--</v>
      </c>
      <c r="AG123" t="e">
        <f t="shared" si="295"/>
        <v>#N/A</v>
      </c>
      <c r="AH123" s="1160" t="e">
        <f t="shared" si="257"/>
        <v>#N/A</v>
      </c>
      <c r="AI123" s="1563" t="str">
        <f t="shared" si="416"/>
        <v>--</v>
      </c>
      <c r="AJ123" t="e">
        <f t="shared" si="297"/>
        <v>#N/A</v>
      </c>
      <c r="AK123" s="1160" t="e">
        <f t="shared" si="258"/>
        <v>#N/A</v>
      </c>
      <c r="AL123" s="1563">
        <f t="shared" si="417"/>
        <v>95.551531620000006</v>
      </c>
      <c r="AM123" t="e">
        <f t="shared" si="299"/>
        <v>#N/A</v>
      </c>
      <c r="AN123" s="1600">
        <f t="shared" si="418"/>
        <v>419188.36061814916</v>
      </c>
      <c r="AO123" t="e">
        <f t="shared" si="301"/>
        <v>#N/A</v>
      </c>
      <c r="AP123" s="1160" t="e">
        <f t="shared" si="302"/>
        <v>#N/A</v>
      </c>
      <c r="AQ123" s="1563" t="str">
        <f t="shared" si="419"/>
        <v>--</v>
      </c>
      <c r="AS123" s="1563" t="str">
        <f t="shared" si="420"/>
        <v>--</v>
      </c>
      <c r="AU123" s="1563" t="str">
        <f t="shared" si="421"/>
        <v>--</v>
      </c>
      <c r="AW123" s="1563" t="str">
        <f t="shared" si="422"/>
        <v>--</v>
      </c>
      <c r="AY123" s="1592" t="str">
        <f t="shared" si="307"/>
        <v>--</v>
      </c>
      <c r="AZ123" s="821" t="e">
        <f t="shared" si="308"/>
        <v>#N/A</v>
      </c>
      <c r="BA123" s="1160" t="e">
        <f t="shared" si="259"/>
        <v>#N/A</v>
      </c>
      <c r="BB123" s="1592" t="str">
        <f t="shared" si="309"/>
        <v>--</v>
      </c>
      <c r="BC123" s="821" t="e">
        <f t="shared" si="310"/>
        <v>#N/A</v>
      </c>
      <c r="BD123" s="1160" t="e">
        <f t="shared" si="260"/>
        <v>#N/A</v>
      </c>
      <c r="BE123" s="1592" t="str">
        <f t="shared" si="311"/>
        <v>--</v>
      </c>
      <c r="BF123" s="1592" t="str">
        <f t="shared" si="312"/>
        <v>--</v>
      </c>
      <c r="BG123" s="821" t="e">
        <f t="shared" si="313"/>
        <v>#N/A</v>
      </c>
      <c r="BH123" s="1160" t="e">
        <f t="shared" si="261"/>
        <v>#N/A</v>
      </c>
      <c r="BI123" s="1592" t="str">
        <f t="shared" si="314"/>
        <v>--</v>
      </c>
      <c r="BJ123" s="1592" t="str">
        <f t="shared" si="315"/>
        <v>--</v>
      </c>
      <c r="BK123" s="821" t="e">
        <f t="shared" si="316"/>
        <v>#N/A</v>
      </c>
      <c r="BL123" s="1160" t="e">
        <f t="shared" si="262"/>
        <v>#N/A</v>
      </c>
      <c r="BM123" s="1592" t="str">
        <f t="shared" si="317"/>
        <v>--</v>
      </c>
      <c r="BN123" s="821" t="e">
        <f t="shared" si="318"/>
        <v>#N/A</v>
      </c>
      <c r="BO123" s="1160" t="e">
        <f t="shared" si="263"/>
        <v>#N/A</v>
      </c>
      <c r="BP123" s="1592" t="str">
        <f t="shared" si="319"/>
        <v>--</v>
      </c>
      <c r="BQ123" s="1606" t="s">
        <v>115</v>
      </c>
      <c r="BR123" s="1160">
        <f t="shared" si="264"/>
        <v>0</v>
      </c>
      <c r="BS123" s="1592" t="str">
        <f t="shared" si="321"/>
        <v>--</v>
      </c>
      <c r="BT123" s="821" t="e">
        <f t="shared" si="322"/>
        <v>#N/A</v>
      </c>
      <c r="BU123" s="1160" t="e">
        <f t="shared" si="265"/>
        <v>#N/A</v>
      </c>
      <c r="BW123" s="75" t="str">
        <f t="shared" si="390"/>
        <v>--</v>
      </c>
      <c r="BX123" s="75" t="str">
        <f t="shared" si="391"/>
        <v xml:space="preserve"> </v>
      </c>
      <c r="BY123" s="75" t="e">
        <f t="shared" si="392"/>
        <v>#N/A</v>
      </c>
      <c r="BZ123" s="75" t="e">
        <f t="shared" si="393"/>
        <v>#N/A</v>
      </c>
      <c r="CA123" s="1670" t="e">
        <f t="shared" si="266"/>
        <v>#N/A</v>
      </c>
      <c r="CB123" s="75" t="str">
        <f t="shared" si="394"/>
        <v>--</v>
      </c>
      <c r="CC123" s="75" t="str">
        <f t="shared" si="395"/>
        <v xml:space="preserve"> </v>
      </c>
      <c r="CD123" s="75" t="e">
        <f t="shared" si="396"/>
        <v>#N/A</v>
      </c>
      <c r="CE123" s="75" t="e">
        <f t="shared" si="397"/>
        <v>#N/A</v>
      </c>
      <c r="CF123" s="1670" t="e">
        <f t="shared" si="267"/>
        <v>#N/A</v>
      </c>
      <c r="CG123" s="75" t="str">
        <f t="shared" si="398"/>
        <v>--</v>
      </c>
      <c r="CH123" s="75" t="str">
        <f t="shared" si="399"/>
        <v xml:space="preserve"> </v>
      </c>
      <c r="CI123" s="75" t="e">
        <f t="shared" si="400"/>
        <v>#N/A</v>
      </c>
      <c r="CJ123" s="75" t="e">
        <f t="shared" si="401"/>
        <v>#N/A</v>
      </c>
      <c r="CK123" s="1670" t="e">
        <f t="shared" si="268"/>
        <v>#N/A</v>
      </c>
      <c r="CL123" s="75" t="str">
        <f t="shared" si="402"/>
        <v>--</v>
      </c>
      <c r="CM123" s="75" t="str">
        <f t="shared" si="403"/>
        <v xml:space="preserve"> </v>
      </c>
      <c r="CN123" s="75" t="e">
        <f t="shared" si="404"/>
        <v>#N/A</v>
      </c>
      <c r="CO123" s="75" t="e">
        <f t="shared" si="405"/>
        <v>#N/A</v>
      </c>
      <c r="CP123" s="1670" t="e">
        <f t="shared" si="269"/>
        <v>#N/A</v>
      </c>
      <c r="CR123" s="1686" t="e">
        <f t="shared" si="270"/>
        <v>#N/A</v>
      </c>
      <c r="CS123" s="1686" t="e">
        <f t="shared" si="271"/>
        <v>#N/A</v>
      </c>
      <c r="CT123" s="1686" t="e">
        <f t="shared" si="272"/>
        <v>#N/A</v>
      </c>
      <c r="CU123" s="1686" t="e">
        <f t="shared" si="273"/>
        <v>#N/A</v>
      </c>
    </row>
    <row r="124" spans="1:99">
      <c r="A124" s="1400" t="s">
        <v>279</v>
      </c>
      <c r="B124" s="1570" t="s">
        <v>280</v>
      </c>
      <c r="C124" s="1563" t="str">
        <f t="shared" si="406"/>
        <v>O</v>
      </c>
      <c r="D124" t="e">
        <f t="shared" si="275"/>
        <v>#N/A</v>
      </c>
      <c r="E124" s="1563">
        <f t="shared" si="276"/>
        <v>53</v>
      </c>
      <c r="F124">
        <f t="shared" si="277"/>
        <v>53</v>
      </c>
      <c r="G124" s="1160">
        <f t="shared" si="248"/>
        <v>0</v>
      </c>
      <c r="H124" s="1563" t="str">
        <f t="shared" si="407"/>
        <v>NV</v>
      </c>
      <c r="I124">
        <f t="shared" si="279"/>
        <v>0</v>
      </c>
      <c r="J124" s="1160">
        <f t="shared" si="249"/>
        <v>0</v>
      </c>
      <c r="K124" s="1563">
        <f t="shared" si="408"/>
        <v>414.4</v>
      </c>
      <c r="L124">
        <f t="shared" si="281"/>
        <v>414.4</v>
      </c>
      <c r="M124" s="1160">
        <f t="shared" si="250"/>
        <v>0</v>
      </c>
      <c r="N124" s="1563">
        <f t="shared" si="409"/>
        <v>0.03</v>
      </c>
      <c r="O124">
        <f t="shared" si="283"/>
        <v>0.03</v>
      </c>
      <c r="P124" s="1160">
        <f t="shared" si="251"/>
        <v>0</v>
      </c>
      <c r="Q124" s="1563">
        <f t="shared" si="410"/>
        <v>9500</v>
      </c>
      <c r="R124">
        <f t="shared" si="285"/>
        <v>9500</v>
      </c>
      <c r="S124" s="1160">
        <f t="shared" si="252"/>
        <v>0</v>
      </c>
      <c r="T124" s="1563">
        <f t="shared" si="411"/>
        <v>3.5727000000000001E-6</v>
      </c>
      <c r="U124">
        <f t="shared" si="287"/>
        <v>3.5727000000000001E-6</v>
      </c>
      <c r="V124" s="1160">
        <f t="shared" si="253"/>
        <v>0</v>
      </c>
      <c r="W124" s="1563">
        <f t="shared" si="412"/>
        <v>1.4603399999999999E-4</v>
      </c>
      <c r="X124">
        <f t="shared" si="289"/>
        <v>1.4603399999999999E-4</v>
      </c>
      <c r="Y124" s="1160">
        <f t="shared" si="254"/>
        <v>0</v>
      </c>
      <c r="Z124" s="1563">
        <f t="shared" si="413"/>
        <v>114.8</v>
      </c>
      <c r="AA124">
        <f t="shared" si="291"/>
        <v>114.8</v>
      </c>
      <c r="AB124" s="1160">
        <f t="shared" si="255"/>
        <v>0</v>
      </c>
      <c r="AC124" s="1563">
        <f t="shared" si="414"/>
        <v>15</v>
      </c>
      <c r="AD124">
        <f t="shared" si="293"/>
        <v>15</v>
      </c>
      <c r="AE124" s="1160">
        <f t="shared" si="256"/>
        <v>0</v>
      </c>
      <c r="AF124" s="1563">
        <f t="shared" si="415"/>
        <v>2.2560846153160001E-2</v>
      </c>
      <c r="AG124">
        <f t="shared" si="295"/>
        <v>2.2560846153160001E-2</v>
      </c>
      <c r="AH124" s="1160">
        <f t="shared" si="257"/>
        <v>0</v>
      </c>
      <c r="AI124" s="1563">
        <f t="shared" si="416"/>
        <v>5.7919222953000001E-6</v>
      </c>
      <c r="AJ124">
        <f t="shared" si="297"/>
        <v>5.7919222953000001E-6</v>
      </c>
      <c r="AK124" s="1160">
        <f t="shared" si="258"/>
        <v>0</v>
      </c>
      <c r="AL124" s="1563">
        <f t="shared" si="417"/>
        <v>19.0789757489</v>
      </c>
      <c r="AM124" t="e">
        <f t="shared" si="299"/>
        <v>#N/A</v>
      </c>
      <c r="AN124" s="1563">
        <f t="shared" si="418"/>
        <v>143450.26263158678</v>
      </c>
      <c r="AO124" t="str">
        <f t="shared" si="301"/>
        <v/>
      </c>
      <c r="AP124" s="1160">
        <f t="shared" si="302"/>
        <v>1</v>
      </c>
      <c r="AQ124" s="1563" t="str">
        <f t="shared" si="419"/>
        <v>--</v>
      </c>
      <c r="AS124" s="1563" t="str">
        <f t="shared" si="420"/>
        <v>--</v>
      </c>
      <c r="AU124" s="1563" t="str">
        <f t="shared" si="421"/>
        <v>--</v>
      </c>
      <c r="AW124" s="1563" t="str">
        <f t="shared" si="422"/>
        <v>--</v>
      </c>
      <c r="AY124" s="1592">
        <f t="shared" si="307"/>
        <v>1</v>
      </c>
      <c r="AZ124" s="821">
        <f t="shared" si="308"/>
        <v>1</v>
      </c>
      <c r="BA124" s="1160">
        <f t="shared" si="259"/>
        <v>0</v>
      </c>
      <c r="BB124" s="1592">
        <f t="shared" si="309"/>
        <v>0.1</v>
      </c>
      <c r="BC124" s="821">
        <f t="shared" si="310"/>
        <v>0.1</v>
      </c>
      <c r="BD124" s="1160">
        <f t="shared" si="260"/>
        <v>0</v>
      </c>
      <c r="BE124" s="1592" t="str">
        <f t="shared" si="311"/>
        <v>Yes</v>
      </c>
      <c r="BF124" s="1592">
        <f t="shared" si="312"/>
        <v>2.1575111239999999E-5</v>
      </c>
      <c r="BG124" s="821">
        <f t="shared" si="313"/>
        <v>2.1575111239999999E-5</v>
      </c>
      <c r="BH124" s="1160">
        <f t="shared" si="261"/>
        <v>0</v>
      </c>
      <c r="BI124" s="1592">
        <f t="shared" si="314"/>
        <v>1</v>
      </c>
      <c r="BJ124" s="1592">
        <f t="shared" si="315"/>
        <v>1.6892330463000001E-4</v>
      </c>
      <c r="BK124" s="821">
        <f t="shared" si="316"/>
        <v>1.6892330463000001E-4</v>
      </c>
      <c r="BL124" s="1160">
        <f t="shared" si="262"/>
        <v>0</v>
      </c>
      <c r="BM124" s="1592">
        <f t="shared" si="317"/>
        <v>22.003347093039999</v>
      </c>
      <c r="BN124" s="821">
        <f t="shared" si="318"/>
        <v>22.003347093039999</v>
      </c>
      <c r="BO124" s="1160">
        <f t="shared" si="263"/>
        <v>0</v>
      </c>
      <c r="BP124" s="1592">
        <f t="shared" si="319"/>
        <v>52.808033023296097</v>
      </c>
      <c r="BQ124" s="821">
        <f t="shared" si="320"/>
        <v>52.808033023296097</v>
      </c>
      <c r="BR124" s="1160">
        <f t="shared" si="264"/>
        <v>0</v>
      </c>
      <c r="BS124" s="1592" t="str">
        <f t="shared" si="321"/>
        <v>--</v>
      </c>
      <c r="BT124" s="821">
        <f t="shared" si="322"/>
        <v>0</v>
      </c>
      <c r="BU124" s="1160">
        <f t="shared" si="265"/>
        <v>0</v>
      </c>
      <c r="BW124" s="75">
        <f t="shared" si="390"/>
        <v>29300</v>
      </c>
      <c r="BX124" s="75" t="str">
        <f t="shared" si="391"/>
        <v>EPA Office of Water</v>
      </c>
      <c r="BY124" s="75">
        <f t="shared" si="392"/>
        <v>29300</v>
      </c>
      <c r="BZ124" s="75" t="str">
        <f t="shared" si="393"/>
        <v>D</v>
      </c>
      <c r="CA124" s="1670" t="str">
        <f t="shared" si="266"/>
        <v>--</v>
      </c>
      <c r="CB124" s="75" t="str">
        <f t="shared" si="394"/>
        <v>--</v>
      </c>
      <c r="CC124" s="75" t="str">
        <f t="shared" si="395"/>
        <v xml:space="preserve"> </v>
      </c>
      <c r="CD124" s="75" t="str">
        <f t="shared" si="396"/>
        <v/>
      </c>
      <c r="CE124" s="75" t="str">
        <f t="shared" si="397"/>
        <v/>
      </c>
      <c r="CF124" s="1670" t="str">
        <f t="shared" si="267"/>
        <v>--</v>
      </c>
      <c r="CG124" s="75">
        <f t="shared" si="398"/>
        <v>2.9999999999999997E-8</v>
      </c>
      <c r="CH124" s="75" t="str">
        <f t="shared" si="399"/>
        <v>EPA Office of Water</v>
      </c>
      <c r="CI124" s="75">
        <f t="shared" si="400"/>
        <v>2.9999999999999997E-8</v>
      </c>
      <c r="CJ124" s="75" t="str">
        <f t="shared" si="401"/>
        <v>D</v>
      </c>
      <c r="CK124" s="1670" t="str">
        <f t="shared" si="268"/>
        <v>--</v>
      </c>
      <c r="CL124" s="75" t="str">
        <f t="shared" si="402"/>
        <v>--</v>
      </c>
      <c r="CM124" s="75" t="str">
        <f t="shared" si="403"/>
        <v xml:space="preserve"> </v>
      </c>
      <c r="CN124" s="75" t="str">
        <f t="shared" si="404"/>
        <v/>
      </c>
      <c r="CO124" s="75" t="str">
        <f t="shared" si="405"/>
        <v/>
      </c>
      <c r="CP124" s="1670" t="str">
        <f t="shared" si="269"/>
        <v>--</v>
      </c>
      <c r="CR124" s="1686" t="str">
        <f t="shared" si="270"/>
        <v>--</v>
      </c>
      <c r="CS124" s="1686" t="str">
        <f t="shared" si="271"/>
        <v>--</v>
      </c>
      <c r="CT124" s="1686" t="str">
        <f t="shared" si="272"/>
        <v>--</v>
      </c>
      <c r="CU124" s="1686" t="str">
        <f t="shared" si="273"/>
        <v>--</v>
      </c>
    </row>
    <row r="125" spans="1:99">
      <c r="A125" s="1400" t="s">
        <v>281</v>
      </c>
      <c r="B125" s="1570" t="s">
        <v>282</v>
      </c>
      <c r="C125" s="1563" t="str">
        <f t="shared" si="406"/>
        <v>O</v>
      </c>
      <c r="D125" t="e">
        <f t="shared" si="275"/>
        <v>#N/A</v>
      </c>
      <c r="E125" s="1563">
        <f t="shared" si="276"/>
        <v>68</v>
      </c>
      <c r="F125">
        <f t="shared" si="277"/>
        <v>68</v>
      </c>
      <c r="G125" s="1160">
        <f t="shared" si="248"/>
        <v>0</v>
      </c>
      <c r="H125" s="1563" t="str">
        <f t="shared" si="407"/>
        <v>V</v>
      </c>
      <c r="I125">
        <f t="shared" si="279"/>
        <v>0</v>
      </c>
      <c r="J125" s="1602">
        <f t="shared" si="249"/>
        <v>1</v>
      </c>
      <c r="K125" s="1563">
        <f t="shared" si="408"/>
        <v>464.1</v>
      </c>
      <c r="L125">
        <f t="shared" si="281"/>
        <v>464.1</v>
      </c>
      <c r="M125" s="1160">
        <f t="shared" si="250"/>
        <v>0</v>
      </c>
      <c r="N125" s="1563">
        <f t="shared" si="409"/>
        <v>9.5300000000000003E-3</v>
      </c>
      <c r="O125">
        <f t="shared" si="283"/>
        <v>9.5300000000000003E-3</v>
      </c>
      <c r="P125" s="1160">
        <f t="shared" si="251"/>
        <v>0</v>
      </c>
      <c r="Q125" s="1563">
        <f t="shared" si="410"/>
        <v>1299</v>
      </c>
      <c r="R125">
        <f t="shared" si="285"/>
        <v>1299</v>
      </c>
      <c r="S125" s="1160">
        <f t="shared" si="252"/>
        <v>0</v>
      </c>
      <c r="T125" s="1563">
        <f t="shared" si="411"/>
        <v>1.9E-3</v>
      </c>
      <c r="U125" t="str">
        <f t="shared" si="287"/>
        <v/>
      </c>
      <c r="V125" s="1602">
        <f t="shared" si="253"/>
        <v>1</v>
      </c>
      <c r="W125" s="1563">
        <f t="shared" si="412"/>
        <v>7.7551020408163265E-2</v>
      </c>
      <c r="X125" t="str">
        <f t="shared" si="289"/>
        <v/>
      </c>
      <c r="Y125" s="1602">
        <f t="shared" si="254"/>
        <v>1</v>
      </c>
      <c r="Z125" s="1563">
        <f t="shared" si="413"/>
        <v>245.5</v>
      </c>
      <c r="AA125">
        <f t="shared" si="291"/>
        <v>245.5</v>
      </c>
      <c r="AB125" s="1160">
        <f t="shared" si="255"/>
        <v>0</v>
      </c>
      <c r="AC125" s="1563">
        <f t="shared" si="414"/>
        <v>4</v>
      </c>
      <c r="AD125">
        <f t="shared" si="293"/>
        <v>4</v>
      </c>
      <c r="AE125" s="1160">
        <f t="shared" si="256"/>
        <v>0</v>
      </c>
      <c r="AF125" s="1563">
        <f t="shared" si="415"/>
        <v>2.1339777797830001E-2</v>
      </c>
      <c r="AG125">
        <f t="shared" si="295"/>
        <v>2.1339777797830001E-2</v>
      </c>
      <c r="AH125" s="1160">
        <f t="shared" si="257"/>
        <v>0</v>
      </c>
      <c r="AI125" s="1563">
        <f t="shared" si="416"/>
        <v>5.4258568744099996E-6</v>
      </c>
      <c r="AJ125">
        <f t="shared" si="297"/>
        <v>5.4258568744099996E-6</v>
      </c>
      <c r="AK125" s="1160">
        <f t="shared" si="258"/>
        <v>0</v>
      </c>
      <c r="AL125" s="1563">
        <f t="shared" si="417"/>
        <v>52.546300000000002</v>
      </c>
      <c r="AM125" t="e">
        <f t="shared" si="299"/>
        <v>#N/A</v>
      </c>
      <c r="AN125" s="1563">
        <f t="shared" si="418"/>
        <v>5344.9706738544483</v>
      </c>
      <c r="AO125" t="str">
        <f t="shared" si="301"/>
        <v/>
      </c>
      <c r="AP125" s="1160">
        <f t="shared" si="302"/>
        <v>1</v>
      </c>
      <c r="AQ125" s="1563">
        <f t="shared" si="419"/>
        <v>2.143636299012265E-5</v>
      </c>
      <c r="AS125" s="1563">
        <f t="shared" si="420"/>
        <v>24912.947035663088</v>
      </c>
      <c r="AU125" s="1563">
        <f t="shared" si="421"/>
        <v>24429.154437682617</v>
      </c>
      <c r="AW125" s="1563">
        <f t="shared" si="422"/>
        <v>5518.0022192407268</v>
      </c>
      <c r="AY125" s="1592">
        <f t="shared" si="307"/>
        <v>1</v>
      </c>
      <c r="AZ125" s="821">
        <f t="shared" si="308"/>
        <v>1</v>
      </c>
      <c r="BA125" s="1160">
        <f t="shared" si="259"/>
        <v>0</v>
      </c>
      <c r="BB125" s="1592">
        <f t="shared" si="309"/>
        <v>0.1</v>
      </c>
      <c r="BC125" s="821">
        <f t="shared" si="310"/>
        <v>0.1</v>
      </c>
      <c r="BD125" s="1160">
        <f t="shared" si="260"/>
        <v>0</v>
      </c>
      <c r="BE125" s="1592" t="str">
        <f t="shared" si="311"/>
        <v>Yes</v>
      </c>
      <c r="BF125" s="1592">
        <f t="shared" si="312"/>
        <v>1.9883275267E-4</v>
      </c>
      <c r="BG125" s="821">
        <f t="shared" si="313"/>
        <v>1.9883275267E-4</v>
      </c>
      <c r="BH125" s="1160">
        <f t="shared" si="261"/>
        <v>0</v>
      </c>
      <c r="BI125" s="1592">
        <f t="shared" si="314"/>
        <v>1</v>
      </c>
      <c r="BJ125" s="1592">
        <f t="shared" si="315"/>
        <v>1.64748079727E-3</v>
      </c>
      <c r="BK125" s="821">
        <f t="shared" si="316"/>
        <v>1.64748079727E-3</v>
      </c>
      <c r="BL125" s="1160">
        <f t="shared" si="262"/>
        <v>0</v>
      </c>
      <c r="BM125" s="1592">
        <f t="shared" si="317"/>
        <v>41.7646407078199</v>
      </c>
      <c r="BN125" s="821">
        <f t="shared" si="318"/>
        <v>41.7646407078199</v>
      </c>
      <c r="BO125" s="1160">
        <f t="shared" si="263"/>
        <v>0</v>
      </c>
      <c r="BP125" s="1592">
        <f t="shared" si="319"/>
        <v>100.235137698768</v>
      </c>
      <c r="BQ125" s="821">
        <f t="shared" si="320"/>
        <v>100.235137698768</v>
      </c>
      <c r="BR125" s="1160">
        <f t="shared" si="264"/>
        <v>0</v>
      </c>
      <c r="BS125" s="1592" t="str">
        <f t="shared" si="321"/>
        <v>--</v>
      </c>
      <c r="BT125" s="821">
        <f t="shared" si="322"/>
        <v>0</v>
      </c>
      <c r="BU125" s="1160">
        <f t="shared" si="265"/>
        <v>0</v>
      </c>
      <c r="BW125" s="75" t="str">
        <f t="shared" si="390"/>
        <v>--</v>
      </c>
      <c r="BX125" s="75" t="str">
        <f t="shared" si="391"/>
        <v xml:space="preserve"> </v>
      </c>
      <c r="BY125" s="75" t="str">
        <f t="shared" si="392"/>
        <v/>
      </c>
      <c r="BZ125" s="75" t="str">
        <f t="shared" si="393"/>
        <v/>
      </c>
      <c r="CA125" s="1670" t="str">
        <f t="shared" si="266"/>
        <v>--</v>
      </c>
      <c r="CB125" s="75" t="str">
        <f t="shared" si="394"/>
        <v>--</v>
      </c>
      <c r="CC125" s="75" t="str">
        <f t="shared" si="395"/>
        <v xml:space="preserve"> </v>
      </c>
      <c r="CD125" s="75" t="str">
        <f t="shared" si="396"/>
        <v/>
      </c>
      <c r="CE125" s="75" t="str">
        <f t="shared" si="397"/>
        <v/>
      </c>
      <c r="CF125" s="1670" t="str">
        <f t="shared" si="267"/>
        <v>--</v>
      </c>
      <c r="CG125" s="75">
        <f t="shared" si="398"/>
        <v>3.0000000000000001E-6</v>
      </c>
      <c r="CH125" s="75" t="str">
        <f t="shared" si="399"/>
        <v>ATSDR</v>
      </c>
      <c r="CI125" s="75">
        <f t="shared" si="400"/>
        <v>3.0000000000000001E-6</v>
      </c>
      <c r="CJ125" s="75" t="str">
        <f t="shared" si="401"/>
        <v>A</v>
      </c>
      <c r="CK125" s="1670" t="str">
        <f t="shared" si="268"/>
        <v>--</v>
      </c>
      <c r="CL125" s="75" t="str">
        <f t="shared" si="402"/>
        <v>--</v>
      </c>
      <c r="CM125" s="75" t="str">
        <f t="shared" si="403"/>
        <v xml:space="preserve"> </v>
      </c>
      <c r="CN125" s="75" t="str">
        <f t="shared" si="404"/>
        <v/>
      </c>
      <c r="CO125" s="75" t="str">
        <f t="shared" si="405"/>
        <v/>
      </c>
      <c r="CP125" s="1670" t="str">
        <f t="shared" si="269"/>
        <v>--</v>
      </c>
      <c r="CR125" s="1686" t="str">
        <f t="shared" si="270"/>
        <v>--</v>
      </c>
      <c r="CS125" s="1686" t="str">
        <f t="shared" si="271"/>
        <v>--</v>
      </c>
      <c r="CT125" s="1686" t="str">
        <f t="shared" si="272"/>
        <v>--</v>
      </c>
      <c r="CU125" s="1686" t="str">
        <f t="shared" si="273"/>
        <v>--</v>
      </c>
    </row>
    <row r="126" spans="1:99">
      <c r="A126" s="1400" t="s">
        <v>283</v>
      </c>
      <c r="B126" s="1570" t="s">
        <v>284</v>
      </c>
      <c r="C126" s="1563" t="str">
        <f t="shared" si="406"/>
        <v>O</v>
      </c>
      <c r="D126" t="e">
        <f t="shared" si="275"/>
        <v>#N/A</v>
      </c>
      <c r="E126" s="1563">
        <f t="shared" si="276"/>
        <v>77</v>
      </c>
      <c r="F126">
        <f t="shared" si="277"/>
        <v>77</v>
      </c>
      <c r="G126" s="1160">
        <f t="shared" si="248"/>
        <v>0</v>
      </c>
      <c r="H126" s="1563" t="str">
        <f t="shared" si="407"/>
        <v>NV</v>
      </c>
      <c r="I126">
        <f t="shared" si="279"/>
        <v>0</v>
      </c>
      <c r="J126" s="1160">
        <f t="shared" si="249"/>
        <v>0</v>
      </c>
      <c r="K126" s="1563">
        <f t="shared" si="408"/>
        <v>514</v>
      </c>
      <c r="L126">
        <f t="shared" si="281"/>
        <v>514.1</v>
      </c>
      <c r="M126" s="1602">
        <f t="shared" si="250"/>
        <v>1</v>
      </c>
      <c r="N126" s="1563">
        <f t="shared" si="409"/>
        <v>1.5299999999999999E-3</v>
      </c>
      <c r="O126">
        <f t="shared" si="283"/>
        <v>1.5299999999999999E-3</v>
      </c>
      <c r="P126" s="1160">
        <f t="shared" si="251"/>
        <v>0</v>
      </c>
      <c r="Q126" s="1563">
        <f t="shared" si="410"/>
        <v>2690</v>
      </c>
      <c r="R126">
        <f t="shared" si="285"/>
        <v>2690</v>
      </c>
      <c r="S126" s="1160">
        <f t="shared" si="252"/>
        <v>0</v>
      </c>
      <c r="T126" s="1563">
        <f t="shared" si="411"/>
        <v>1.51E-10</v>
      </c>
      <c r="U126">
        <f t="shared" si="287"/>
        <v>1.51E-10</v>
      </c>
      <c r="V126" s="1160">
        <f t="shared" si="253"/>
        <v>0</v>
      </c>
      <c r="W126" s="1563">
        <f t="shared" si="412"/>
        <v>6.1730000000000001E-9</v>
      </c>
      <c r="X126">
        <f t="shared" si="289"/>
        <v>6.1730000000000001E-9</v>
      </c>
      <c r="Y126" s="1160">
        <f t="shared" si="254"/>
        <v>0</v>
      </c>
      <c r="Z126" s="1563">
        <f t="shared" si="413"/>
        <v>912</v>
      </c>
      <c r="AA126">
        <f t="shared" si="291"/>
        <v>912</v>
      </c>
      <c r="AB126" s="1160">
        <f t="shared" si="255"/>
        <v>0</v>
      </c>
      <c r="AC126" s="1563">
        <f t="shared" si="414"/>
        <v>5.4720000000000004</v>
      </c>
      <c r="AD126" t="str">
        <f t="shared" si="293"/>
        <v/>
      </c>
      <c r="AE126" s="1160">
        <f t="shared" si="256"/>
        <v>1</v>
      </c>
      <c r="AF126" s="1563">
        <f t="shared" si="415"/>
        <v>1.9734960432579999E-2</v>
      </c>
      <c r="AG126">
        <f t="shared" si="295"/>
        <v>1.9734960432579999E-2</v>
      </c>
      <c r="AH126" s="1160">
        <f t="shared" si="257"/>
        <v>0</v>
      </c>
      <c r="AI126" s="1563">
        <f t="shared" si="416"/>
        <v>4.9429170447400003E-6</v>
      </c>
      <c r="AJ126">
        <f t="shared" si="297"/>
        <v>4.9429170447400003E-6</v>
      </c>
      <c r="AK126" s="1160">
        <f t="shared" si="258"/>
        <v>0</v>
      </c>
      <c r="AL126" s="1563">
        <f t="shared" si="417"/>
        <v>151.392000937257</v>
      </c>
      <c r="AM126" t="e">
        <f t="shared" si="299"/>
        <v>#N/A</v>
      </c>
      <c r="AN126" s="1563">
        <f t="shared" si="418"/>
        <v>14988.68000314353</v>
      </c>
      <c r="AO126" t="str">
        <f t="shared" si="301"/>
        <v/>
      </c>
      <c r="AP126" s="1160">
        <f t="shared" si="302"/>
        <v>1</v>
      </c>
      <c r="AQ126" s="1563" t="str">
        <f t="shared" si="419"/>
        <v>--</v>
      </c>
      <c r="AS126" s="1563" t="str">
        <f t="shared" si="420"/>
        <v>--</v>
      </c>
      <c r="AU126" s="1563" t="str">
        <f t="shared" si="421"/>
        <v>--</v>
      </c>
      <c r="AW126" s="1563" t="str">
        <f t="shared" si="422"/>
        <v>--</v>
      </c>
      <c r="AY126" s="1592">
        <f t="shared" si="307"/>
        <v>1</v>
      </c>
      <c r="AZ126" s="821">
        <f t="shared" si="308"/>
        <v>1</v>
      </c>
      <c r="BA126" s="1160">
        <f t="shared" ref="BA126" si="423">IF(AZ126=AY126,,IF(AND(AY126="--",OR(AZ126="",AZ126=0)),,1))</f>
        <v>0</v>
      </c>
      <c r="BB126" s="1592">
        <f t="shared" si="309"/>
        <v>0.1</v>
      </c>
      <c r="BC126" s="821">
        <f t="shared" si="310"/>
        <v>0.1</v>
      </c>
      <c r="BD126" s="1160">
        <f t="shared" ref="BD126" si="424">IF(BC126=BB126,,IF(AND(BB126="--",OR(BC126="",BC126=0)),,1))</f>
        <v>0</v>
      </c>
      <c r="BE126" s="1592" t="str">
        <f t="shared" si="311"/>
        <v>Yes</v>
      </c>
      <c r="BF126" s="1592">
        <f t="shared" si="312"/>
        <v>0.60299999999999998</v>
      </c>
      <c r="BG126" s="821">
        <f t="shared" si="313"/>
        <v>0.60299999999999998</v>
      </c>
      <c r="BH126" s="1160">
        <f t="shared" ref="BH126" si="425">IF(BG126=BF126,,IF(AND(BF126="--",OR(BG126="",BG126=0)),,1))</f>
        <v>0</v>
      </c>
      <c r="BI126" s="1592" t="str">
        <f t="shared" si="314"/>
        <v>--</v>
      </c>
      <c r="BJ126" s="1592">
        <f t="shared" si="315"/>
        <v>5.2585712913896296</v>
      </c>
      <c r="BK126" s="821">
        <f t="shared" si="316"/>
        <v>5.2585712913896296</v>
      </c>
      <c r="BL126" s="1160">
        <f t="shared" ref="BL126" si="426">IF(BK126=BJ126,,IF(AND(BJ126="--",OR(BK126="",BK126=0)),,1))</f>
        <v>0</v>
      </c>
      <c r="BM126" s="1592">
        <f t="shared" si="317"/>
        <v>79.580882268599694</v>
      </c>
      <c r="BN126" s="821">
        <f t="shared" si="318"/>
        <v>79.580882268599694</v>
      </c>
      <c r="BO126" s="1160">
        <f t="shared" si="263"/>
        <v>0</v>
      </c>
      <c r="BP126" s="1592">
        <f t="shared" si="319"/>
        <v>349.78817584811202</v>
      </c>
      <c r="BQ126" s="821">
        <f t="shared" si="320"/>
        <v>349.78817584811202</v>
      </c>
      <c r="BR126" s="1160">
        <f t="shared" si="264"/>
        <v>0</v>
      </c>
      <c r="BS126" s="1592" t="str">
        <f t="shared" si="321"/>
        <v>--</v>
      </c>
      <c r="BT126" s="821">
        <f t="shared" si="322"/>
        <v>0</v>
      </c>
      <c r="BU126" s="1160">
        <f t="shared" si="265"/>
        <v>0</v>
      </c>
      <c r="BW126" s="75" t="str">
        <f t="shared" si="390"/>
        <v>--</v>
      </c>
      <c r="BX126" s="75" t="str">
        <f t="shared" si="391"/>
        <v xml:space="preserve"> </v>
      </c>
      <c r="BY126" s="75" t="str">
        <f t="shared" si="392"/>
        <v/>
      </c>
      <c r="BZ126" s="75" t="str">
        <f t="shared" si="393"/>
        <v/>
      </c>
      <c r="CA126" s="1670" t="str">
        <f t="shared" si="266"/>
        <v>--</v>
      </c>
      <c r="CB126" s="75" t="str">
        <f t="shared" si="394"/>
        <v>--</v>
      </c>
      <c r="CC126" s="75" t="str">
        <f t="shared" si="395"/>
        <v xml:space="preserve"> </v>
      </c>
      <c r="CD126" s="75" t="str">
        <f t="shared" si="396"/>
        <v/>
      </c>
      <c r="CE126" s="75" t="str">
        <f t="shared" si="397"/>
        <v/>
      </c>
      <c r="CF126" s="1670" t="str">
        <f t="shared" si="267"/>
        <v>--</v>
      </c>
      <c r="CG126" s="75">
        <f t="shared" si="398"/>
        <v>2.0000000000000001E-9</v>
      </c>
      <c r="CH126" s="75" t="str">
        <f t="shared" si="399"/>
        <v>IRIS</v>
      </c>
      <c r="CI126" s="75">
        <f t="shared" si="400"/>
        <v>2.0000000000000001E-9</v>
      </c>
      <c r="CJ126" s="75" t="str">
        <f t="shared" si="401"/>
        <v>I</v>
      </c>
      <c r="CK126" s="1670" t="str">
        <f t="shared" si="268"/>
        <v>--</v>
      </c>
      <c r="CL126" s="75" t="str">
        <f t="shared" si="402"/>
        <v>--</v>
      </c>
      <c r="CM126" s="75" t="str">
        <f t="shared" si="403"/>
        <v xml:space="preserve"> </v>
      </c>
      <c r="CN126" s="75" t="str">
        <f t="shared" si="404"/>
        <v/>
      </c>
      <c r="CO126" s="75" t="str">
        <f t="shared" si="405"/>
        <v/>
      </c>
      <c r="CP126" s="1670" t="str">
        <f t="shared" si="269"/>
        <v>--</v>
      </c>
      <c r="CR126" s="1686" t="str">
        <f t="shared" si="270"/>
        <v>--</v>
      </c>
      <c r="CS126" s="1686" t="str">
        <f t="shared" si="271"/>
        <v>--</v>
      </c>
      <c r="CT126" s="1686" t="str">
        <f t="shared" si="272"/>
        <v>--</v>
      </c>
      <c r="CU126" s="1686" t="str">
        <f t="shared" si="273"/>
        <v>--</v>
      </c>
    </row>
    <row r="127" spans="1:99">
      <c r="A127" s="1400" t="s">
        <v>285</v>
      </c>
      <c r="B127" s="1570" t="s">
        <v>286</v>
      </c>
      <c r="C127" s="1563" t="str">
        <f t="shared" si="406"/>
        <v>O</v>
      </c>
      <c r="D127" t="e">
        <f t="shared" si="275"/>
        <v>#N/A</v>
      </c>
      <c r="E127" s="1563">
        <f t="shared" si="276"/>
        <v>112</v>
      </c>
      <c r="F127">
        <f t="shared" si="277"/>
        <v>112</v>
      </c>
      <c r="G127" s="1160">
        <f t="shared" si="248"/>
        <v>0</v>
      </c>
      <c r="H127" s="1563" t="str">
        <f t="shared" si="407"/>
        <v>NV</v>
      </c>
      <c r="I127">
        <f t="shared" si="279"/>
        <v>0</v>
      </c>
      <c r="J127" s="1160">
        <f t="shared" si="249"/>
        <v>0</v>
      </c>
      <c r="K127" s="1563">
        <f t="shared" si="408"/>
        <v>564.1</v>
      </c>
      <c r="L127">
        <f t="shared" si="281"/>
        <v>564.1</v>
      </c>
      <c r="M127" s="1160">
        <f t="shared" si="250"/>
        <v>0</v>
      </c>
      <c r="N127" s="1563">
        <f t="shared" si="409"/>
        <v>7.4100000000000001E-4</v>
      </c>
      <c r="O127">
        <f t="shared" si="283"/>
        <v>7.4100000000000001E-4</v>
      </c>
      <c r="P127" s="1160">
        <f t="shared" si="251"/>
        <v>0</v>
      </c>
      <c r="Q127" s="1563">
        <f t="shared" si="410"/>
        <v>91.9</v>
      </c>
      <c r="R127">
        <f t="shared" si="285"/>
        <v>91.9</v>
      </c>
      <c r="S127" s="1160">
        <f t="shared" si="252"/>
        <v>0</v>
      </c>
      <c r="T127" s="1563">
        <f t="shared" si="411"/>
        <v>3.3099999999999999E-10</v>
      </c>
      <c r="U127">
        <f t="shared" si="287"/>
        <v>3.3099999999999999E-10</v>
      </c>
      <c r="V127" s="1160">
        <f t="shared" si="253"/>
        <v>0</v>
      </c>
      <c r="W127" s="1563">
        <f t="shared" si="412"/>
        <v>1.35E-8</v>
      </c>
      <c r="X127">
        <f t="shared" si="289"/>
        <v>1.35E-8</v>
      </c>
      <c r="Y127" s="1160">
        <f t="shared" si="254"/>
        <v>0</v>
      </c>
      <c r="Z127" s="1563">
        <f t="shared" si="413"/>
        <v>3631</v>
      </c>
      <c r="AA127">
        <f t="shared" si="291"/>
        <v>3631</v>
      </c>
      <c r="AB127" s="1160">
        <f t="shared" si="255"/>
        <v>0</v>
      </c>
      <c r="AC127" s="1563">
        <f t="shared" si="414"/>
        <v>21.786000000000001</v>
      </c>
      <c r="AD127" t="str">
        <f t="shared" si="293"/>
        <v/>
      </c>
      <c r="AE127" s="1160">
        <f t="shared" si="256"/>
        <v>1</v>
      </c>
      <c r="AF127" s="1563">
        <f t="shared" si="415"/>
        <v>1.9361069150969999E-2</v>
      </c>
      <c r="AG127">
        <f t="shared" si="295"/>
        <v>1.9361069150969999E-2</v>
      </c>
      <c r="AH127" s="1160">
        <f t="shared" si="257"/>
        <v>0</v>
      </c>
      <c r="AI127" s="1563">
        <f t="shared" si="416"/>
        <v>4.8424512429599998E-6</v>
      </c>
      <c r="AJ127">
        <f t="shared" si="297"/>
        <v>4.8424512429599998E-6</v>
      </c>
      <c r="AK127" s="1160">
        <f t="shared" si="258"/>
        <v>0</v>
      </c>
      <c r="AL127" s="1563">
        <f t="shared" si="417"/>
        <v>602.74600205451702</v>
      </c>
      <c r="AM127" t="e">
        <f t="shared" si="299"/>
        <v>#N/A</v>
      </c>
      <c r="AN127" s="1563">
        <f t="shared" si="418"/>
        <v>2011.3234002348654</v>
      </c>
      <c r="AO127" t="str">
        <f t="shared" si="301"/>
        <v/>
      </c>
      <c r="AP127" s="1160">
        <f t="shared" si="302"/>
        <v>1</v>
      </c>
      <c r="AQ127" s="1563" t="str">
        <f t="shared" si="419"/>
        <v>--</v>
      </c>
      <c r="AS127" s="1563" t="str">
        <f t="shared" si="420"/>
        <v>--</v>
      </c>
      <c r="AU127" s="1563" t="str">
        <f t="shared" si="421"/>
        <v>--</v>
      </c>
      <c r="AW127" s="1563" t="str">
        <f t="shared" si="422"/>
        <v>--</v>
      </c>
      <c r="AY127" s="1592">
        <f t="shared" si="307"/>
        <v>1</v>
      </c>
      <c r="AZ127" s="821">
        <f t="shared" si="308"/>
        <v>1</v>
      </c>
      <c r="BA127" s="1160">
        <f t="shared" si="259"/>
        <v>0</v>
      </c>
      <c r="BB127" s="1592">
        <f t="shared" si="309"/>
        <v>0.1</v>
      </c>
      <c r="BC127" s="821">
        <f t="shared" si="310"/>
        <v>0.1</v>
      </c>
      <c r="BD127" s="1160">
        <f t="shared" si="260"/>
        <v>0</v>
      </c>
      <c r="BE127" s="1592" t="str">
        <f t="shared" si="311"/>
        <v>Yes</v>
      </c>
      <c r="BF127" s="1592">
        <f t="shared" si="312"/>
        <v>1.39</v>
      </c>
      <c r="BG127" s="821">
        <f t="shared" si="313"/>
        <v>1.39</v>
      </c>
      <c r="BH127" s="1160">
        <f t="shared" si="261"/>
        <v>0</v>
      </c>
      <c r="BI127" s="1592" t="str">
        <f t="shared" si="314"/>
        <v>--</v>
      </c>
      <c r="BJ127" s="1592">
        <f t="shared" si="315"/>
        <v>12.697537442378</v>
      </c>
      <c r="BK127" s="821">
        <f t="shared" si="316"/>
        <v>12.697537442378</v>
      </c>
      <c r="BL127" s="1160">
        <f t="shared" si="262"/>
        <v>0</v>
      </c>
      <c r="BM127" s="1592">
        <f t="shared" si="317"/>
        <v>151.63824506367399</v>
      </c>
      <c r="BN127" s="821">
        <f t="shared" si="318"/>
        <v>151.63824506367399</v>
      </c>
      <c r="BO127" s="1160">
        <f t="shared" si="263"/>
        <v>0</v>
      </c>
      <c r="BP127" s="1592">
        <f t="shared" si="319"/>
        <v>692.35345273905796</v>
      </c>
      <c r="BQ127" s="821">
        <f t="shared" si="320"/>
        <v>692.35345273905796</v>
      </c>
      <c r="BR127" s="1160">
        <f t="shared" si="264"/>
        <v>0</v>
      </c>
      <c r="BS127" s="1592" t="str">
        <f t="shared" si="321"/>
        <v>--</v>
      </c>
      <c r="BT127" s="821">
        <f t="shared" si="322"/>
        <v>0</v>
      </c>
      <c r="BU127" s="1160">
        <f t="shared" si="265"/>
        <v>0</v>
      </c>
      <c r="BW127" s="75" t="str">
        <f t="shared" si="390"/>
        <v>--</v>
      </c>
      <c r="BX127" s="75" t="str">
        <f t="shared" si="391"/>
        <v xml:space="preserve"> </v>
      </c>
      <c r="BY127" s="75" t="str">
        <f t="shared" si="392"/>
        <v/>
      </c>
      <c r="BZ127" s="75" t="str">
        <f t="shared" si="393"/>
        <v/>
      </c>
      <c r="CA127" s="1670" t="str">
        <f t="shared" si="266"/>
        <v>--</v>
      </c>
      <c r="CB127" s="75" t="str">
        <f t="shared" si="394"/>
        <v>--</v>
      </c>
      <c r="CC127" s="75" t="str">
        <f t="shared" si="395"/>
        <v xml:space="preserve"> </v>
      </c>
      <c r="CD127" s="75" t="str">
        <f t="shared" si="396"/>
        <v/>
      </c>
      <c r="CE127" s="75" t="str">
        <f t="shared" si="397"/>
        <v/>
      </c>
      <c r="CF127" s="1670" t="str">
        <f t="shared" si="267"/>
        <v>--</v>
      </c>
      <c r="CG127" s="75">
        <f t="shared" si="398"/>
        <v>2.9999999999999997E-4</v>
      </c>
      <c r="CH127" s="75" t="str">
        <f t="shared" si="399"/>
        <v>WI</v>
      </c>
      <c r="CI127" s="75">
        <f t="shared" si="400"/>
        <v>2.9999999999999997E-4</v>
      </c>
      <c r="CJ127" s="75" t="str">
        <f t="shared" si="401"/>
        <v>N</v>
      </c>
      <c r="CK127" s="1670" t="str">
        <f t="shared" si="268"/>
        <v>--</v>
      </c>
      <c r="CL127" s="75" t="str">
        <f t="shared" si="402"/>
        <v>--</v>
      </c>
      <c r="CM127" s="75" t="str">
        <f t="shared" si="403"/>
        <v xml:space="preserve"> </v>
      </c>
      <c r="CN127" s="75" t="str">
        <f t="shared" si="404"/>
        <v/>
      </c>
      <c r="CO127" s="75" t="str">
        <f t="shared" si="405"/>
        <v/>
      </c>
      <c r="CP127" s="1670" t="str">
        <f t="shared" si="269"/>
        <v>--</v>
      </c>
      <c r="CR127" s="1686" t="str">
        <f t="shared" si="270"/>
        <v>--</v>
      </c>
      <c r="CS127" s="1686" t="str">
        <f t="shared" si="271"/>
        <v>--</v>
      </c>
      <c r="CT127" s="1686" t="str">
        <f t="shared" si="272"/>
        <v>--</v>
      </c>
      <c r="CU127" s="1686" t="str">
        <f t="shared" si="273"/>
        <v>--</v>
      </c>
    </row>
    <row r="128" spans="1:99">
      <c r="A128" s="1400" t="s">
        <v>287</v>
      </c>
      <c r="B128" s="1570" t="s">
        <v>288</v>
      </c>
      <c r="C128" s="1563" t="str">
        <f t="shared" si="406"/>
        <v>O</v>
      </c>
      <c r="D128" t="e">
        <f t="shared" si="275"/>
        <v>#N/A</v>
      </c>
      <c r="E128" s="1563">
        <f t="shared" si="276"/>
        <v>108</v>
      </c>
      <c r="F128">
        <f t="shared" si="277"/>
        <v>108</v>
      </c>
      <c r="G128" s="1160">
        <f t="shared" si="248"/>
        <v>0</v>
      </c>
      <c r="H128" s="1563" t="str">
        <f t="shared" si="407"/>
        <v>NV</v>
      </c>
      <c r="I128">
        <f t="shared" si="279"/>
        <v>0</v>
      </c>
      <c r="J128" s="1160">
        <f t="shared" si="249"/>
        <v>0</v>
      </c>
      <c r="K128" s="1563">
        <f t="shared" si="408"/>
        <v>614.1</v>
      </c>
      <c r="L128">
        <f t="shared" si="281"/>
        <v>614.1</v>
      </c>
      <c r="M128" s="1160">
        <f t="shared" si="250"/>
        <v>0</v>
      </c>
      <c r="N128" s="1563">
        <f t="shared" si="409"/>
        <v>2.0999999999999999E-5</v>
      </c>
      <c r="O128">
        <f t="shared" si="283"/>
        <v>2.0999999999999999E-5</v>
      </c>
      <c r="P128" s="1160">
        <f t="shared" si="251"/>
        <v>0</v>
      </c>
      <c r="Q128" s="1563">
        <f t="shared" si="410"/>
        <v>82.9</v>
      </c>
      <c r="R128">
        <f t="shared" si="285"/>
        <v>82.9</v>
      </c>
      <c r="S128" s="1160">
        <f t="shared" si="252"/>
        <v>0</v>
      </c>
      <c r="T128" s="1563">
        <f t="shared" si="411"/>
        <v>3.3900000000000002E-10</v>
      </c>
      <c r="U128">
        <f t="shared" si="287"/>
        <v>3.3900000000000002E-10</v>
      </c>
      <c r="V128" s="1160">
        <f t="shared" si="253"/>
        <v>0</v>
      </c>
      <c r="W128" s="1563">
        <f t="shared" si="412"/>
        <v>1.39E-8</v>
      </c>
      <c r="X128">
        <f t="shared" si="289"/>
        <v>1.39E-8</v>
      </c>
      <c r="Y128" s="1160">
        <f t="shared" si="254"/>
        <v>0</v>
      </c>
      <c r="Z128" s="1563">
        <f t="shared" si="413"/>
        <v>85100</v>
      </c>
      <c r="AA128">
        <f t="shared" si="291"/>
        <v>85100</v>
      </c>
      <c r="AB128" s="1160">
        <f t="shared" si="255"/>
        <v>0</v>
      </c>
      <c r="AC128" s="1563">
        <f t="shared" si="414"/>
        <v>510.6</v>
      </c>
      <c r="AD128" t="str">
        <f t="shared" si="293"/>
        <v/>
      </c>
      <c r="AE128" s="1160">
        <f t="shared" si="256"/>
        <v>1</v>
      </c>
      <c r="AF128" s="1563">
        <f t="shared" si="415"/>
        <v>1.8582906855979998E-2</v>
      </c>
      <c r="AG128">
        <f t="shared" si="295"/>
        <v>1.8582906855979998E-2</v>
      </c>
      <c r="AH128" s="1160">
        <f t="shared" si="257"/>
        <v>0</v>
      </c>
      <c r="AI128" s="1563">
        <f t="shared" si="416"/>
        <v>4.6171198278899998E-6</v>
      </c>
      <c r="AJ128">
        <f t="shared" si="297"/>
        <v>4.6171198278899998E-6</v>
      </c>
      <c r="AK128" s="1160">
        <f t="shared" si="258"/>
        <v>0</v>
      </c>
      <c r="AL128" s="1563">
        <f t="shared" si="417"/>
        <v>14126.600002104173</v>
      </c>
      <c r="AM128" t="e">
        <f t="shared" si="299"/>
        <v>#N/A</v>
      </c>
      <c r="AN128" s="1563">
        <f t="shared" si="418"/>
        <v>42337.030000218154</v>
      </c>
      <c r="AO128" t="str">
        <f t="shared" si="301"/>
        <v/>
      </c>
      <c r="AP128" s="1160">
        <f t="shared" si="302"/>
        <v>1</v>
      </c>
      <c r="AQ128" s="1563" t="str">
        <f t="shared" si="419"/>
        <v>--</v>
      </c>
      <c r="AS128" s="1563" t="str">
        <f t="shared" si="420"/>
        <v>--</v>
      </c>
      <c r="AU128" s="1563" t="str">
        <f t="shared" si="421"/>
        <v>--</v>
      </c>
      <c r="AW128" s="1563" t="str">
        <f t="shared" si="422"/>
        <v>--</v>
      </c>
      <c r="AY128" s="1592">
        <f t="shared" si="307"/>
        <v>1</v>
      </c>
      <c r="AZ128" s="821">
        <f t="shared" si="308"/>
        <v>1</v>
      </c>
      <c r="BA128" s="1160">
        <f t="shared" si="259"/>
        <v>0</v>
      </c>
      <c r="BB128" s="1592">
        <f t="shared" si="309"/>
        <v>0.1</v>
      </c>
      <c r="BC128" s="821">
        <f t="shared" si="310"/>
        <v>0.1</v>
      </c>
      <c r="BD128" s="1160">
        <f t="shared" si="260"/>
        <v>0</v>
      </c>
      <c r="BE128" s="1592" t="str">
        <f t="shared" si="311"/>
        <v>No</v>
      </c>
      <c r="BF128" s="1592">
        <f t="shared" si="312"/>
        <v>3.19</v>
      </c>
      <c r="BG128" s="821">
        <f t="shared" si="313"/>
        <v>3.19</v>
      </c>
      <c r="BH128" s="1160">
        <f t="shared" si="261"/>
        <v>0</v>
      </c>
      <c r="BI128" s="1592" t="str">
        <f t="shared" si="314"/>
        <v>--</v>
      </c>
      <c r="BJ128" s="1592">
        <f t="shared" si="315"/>
        <v>30.404431245282499</v>
      </c>
      <c r="BK128" s="821">
        <f t="shared" si="316"/>
        <v>30.404431245282499</v>
      </c>
      <c r="BL128" s="1160">
        <f t="shared" si="262"/>
        <v>0</v>
      </c>
      <c r="BM128" s="1592">
        <f t="shared" si="317"/>
        <v>288.940719309717</v>
      </c>
      <c r="BN128" s="821">
        <f t="shared" si="318"/>
        <v>288.940719309717</v>
      </c>
      <c r="BO128" s="1160">
        <f t="shared" si="263"/>
        <v>0</v>
      </c>
      <c r="BP128" s="1592">
        <f t="shared" si="319"/>
        <v>1343.04813834519</v>
      </c>
      <c r="BQ128" s="821">
        <f t="shared" si="320"/>
        <v>1343.04813834519</v>
      </c>
      <c r="BR128" s="1160">
        <f t="shared" si="264"/>
        <v>0</v>
      </c>
      <c r="BS128" s="1592" t="str">
        <f t="shared" si="321"/>
        <v>--</v>
      </c>
      <c r="BT128" s="821">
        <f t="shared" si="322"/>
        <v>0</v>
      </c>
      <c r="BU128" s="1160">
        <f t="shared" si="265"/>
        <v>0</v>
      </c>
      <c r="BW128" s="75" t="str">
        <f t="shared" si="390"/>
        <v>--</v>
      </c>
      <c r="BX128" s="75" t="str">
        <f t="shared" si="391"/>
        <v xml:space="preserve"> </v>
      </c>
      <c r="BY128" s="75" t="str">
        <f t="shared" si="392"/>
        <v/>
      </c>
      <c r="BZ128" s="75" t="str">
        <f t="shared" si="393"/>
        <v/>
      </c>
      <c r="CA128" s="1670" t="str">
        <f t="shared" si="266"/>
        <v>--</v>
      </c>
      <c r="CB128" s="75" t="str">
        <f t="shared" si="394"/>
        <v>--</v>
      </c>
      <c r="CC128" s="75" t="str">
        <f t="shared" si="395"/>
        <v xml:space="preserve"> </v>
      </c>
      <c r="CD128" s="75" t="str">
        <f t="shared" si="396"/>
        <v/>
      </c>
      <c r="CE128" s="75" t="str">
        <f t="shared" si="397"/>
        <v/>
      </c>
      <c r="CF128" s="1670" t="str">
        <f t="shared" si="267"/>
        <v>--</v>
      </c>
      <c r="CG128" s="75">
        <f t="shared" si="398"/>
        <v>5.0000000000000002E-5</v>
      </c>
      <c r="CH128" s="75" t="str">
        <f t="shared" si="399"/>
        <v>WI</v>
      </c>
      <c r="CI128" s="75">
        <f t="shared" si="400"/>
        <v>5.0000000000000002E-5</v>
      </c>
      <c r="CJ128" s="75" t="str">
        <f t="shared" si="401"/>
        <v>N</v>
      </c>
      <c r="CK128" s="1670" t="str">
        <f t="shared" si="268"/>
        <v>--</v>
      </c>
      <c r="CL128" s="75" t="str">
        <f t="shared" si="402"/>
        <v>--</v>
      </c>
      <c r="CM128" s="75" t="str">
        <f t="shared" si="403"/>
        <v xml:space="preserve"> </v>
      </c>
      <c r="CN128" s="75" t="str">
        <f t="shared" si="404"/>
        <v/>
      </c>
      <c r="CO128" s="75" t="str">
        <f t="shared" si="405"/>
        <v/>
      </c>
      <c r="CP128" s="1670" t="str">
        <f t="shared" si="269"/>
        <v>--</v>
      </c>
      <c r="CR128" s="1686" t="str">
        <f t="shared" si="270"/>
        <v>--</v>
      </c>
      <c r="CS128" s="1686" t="str">
        <f t="shared" si="271"/>
        <v>--</v>
      </c>
      <c r="CT128" s="1686" t="str">
        <f t="shared" si="272"/>
        <v>--</v>
      </c>
      <c r="CU128" s="1686" t="str">
        <f t="shared" si="273"/>
        <v>--</v>
      </c>
    </row>
    <row r="129" spans="1:99">
      <c r="A129" s="1400" t="s">
        <v>289</v>
      </c>
      <c r="B129" s="1570" t="s">
        <v>290</v>
      </c>
      <c r="C129" s="1563" t="str">
        <f t="shared" si="406"/>
        <v>O</v>
      </c>
      <c r="D129" t="e">
        <f t="shared" si="275"/>
        <v>#N/A</v>
      </c>
      <c r="E129" s="1563">
        <f t="shared" si="276"/>
        <v>130</v>
      </c>
      <c r="F129">
        <f t="shared" si="277"/>
        <v>130</v>
      </c>
      <c r="G129" s="1160">
        <f t="shared" si="248"/>
        <v>0</v>
      </c>
      <c r="H129" s="1563" t="str">
        <f t="shared" si="407"/>
        <v>NV</v>
      </c>
      <c r="I129">
        <f t="shared" si="279"/>
        <v>0</v>
      </c>
      <c r="J129" s="1160">
        <f t="shared" si="249"/>
        <v>0</v>
      </c>
      <c r="K129" s="1563">
        <f t="shared" si="408"/>
        <v>714.1</v>
      </c>
      <c r="L129">
        <f t="shared" si="281"/>
        <v>714.1</v>
      </c>
      <c r="M129" s="1160">
        <f t="shared" si="250"/>
        <v>0</v>
      </c>
      <c r="N129" s="1563">
        <f t="shared" si="409"/>
        <v>4.2400000000000001E-4</v>
      </c>
      <c r="O129">
        <f t="shared" si="283"/>
        <v>4.2400000000000001E-4</v>
      </c>
      <c r="P129" s="1160">
        <f t="shared" si="251"/>
        <v>0</v>
      </c>
      <c r="Q129" s="1563">
        <f t="shared" si="410"/>
        <v>0.29599999999999999</v>
      </c>
      <c r="R129">
        <f t="shared" si="285"/>
        <v>0.29599999999999999</v>
      </c>
      <c r="S129" s="1160">
        <f t="shared" si="252"/>
        <v>0</v>
      </c>
      <c r="T129" s="1563">
        <f t="shared" si="411"/>
        <v>3.5500000000000001E-10</v>
      </c>
      <c r="U129">
        <f t="shared" si="287"/>
        <v>3.5500000000000001E-10</v>
      </c>
      <c r="V129" s="1160">
        <f t="shared" si="253"/>
        <v>0</v>
      </c>
      <c r="W129" s="1563">
        <f t="shared" si="412"/>
        <v>1.4500000000000001E-8</v>
      </c>
      <c r="X129">
        <f t="shared" si="289"/>
        <v>1.4500000000000001E-8</v>
      </c>
      <c r="Y129" s="1160">
        <f t="shared" si="254"/>
        <v>0</v>
      </c>
      <c r="Z129" s="1563">
        <f t="shared" si="413"/>
        <v>234000</v>
      </c>
      <c r="AA129">
        <f t="shared" si="291"/>
        <v>234000</v>
      </c>
      <c r="AB129" s="1160">
        <f t="shared" si="255"/>
        <v>0</v>
      </c>
      <c r="AC129" s="1563">
        <f t="shared" si="414"/>
        <v>1404</v>
      </c>
      <c r="AD129" t="str">
        <f t="shared" si="293"/>
        <v/>
      </c>
      <c r="AE129" s="1160">
        <f t="shared" si="256"/>
        <v>1</v>
      </c>
      <c r="AF129" s="1563">
        <f t="shared" si="415"/>
        <v>1.7375246313909999E-2</v>
      </c>
      <c r="AG129">
        <f t="shared" si="295"/>
        <v>1.7375246313909999E-2</v>
      </c>
      <c r="AH129" s="1160">
        <f t="shared" si="257"/>
        <v>0</v>
      </c>
      <c r="AI129" s="1563">
        <f t="shared" si="416"/>
        <v>4.27291366833E-6</v>
      </c>
      <c r="AJ129">
        <f t="shared" si="297"/>
        <v>4.27291366833E-6</v>
      </c>
      <c r="AK129" s="1160">
        <f t="shared" si="258"/>
        <v>0</v>
      </c>
      <c r="AL129" s="1563">
        <f t="shared" si="417"/>
        <v>38844.000002203487</v>
      </c>
      <c r="AM129" t="e">
        <f t="shared" si="299"/>
        <v>#N/A</v>
      </c>
      <c r="AN129" s="1563">
        <f t="shared" si="418"/>
        <v>415.61360000081248</v>
      </c>
      <c r="AO129" t="str">
        <f t="shared" si="301"/>
        <v/>
      </c>
      <c r="AP129" s="1160">
        <f t="shared" si="302"/>
        <v>1</v>
      </c>
      <c r="AQ129" s="1563" t="str">
        <f t="shared" si="419"/>
        <v>--</v>
      </c>
      <c r="AS129" s="1563" t="str">
        <f t="shared" si="420"/>
        <v>--</v>
      </c>
      <c r="AU129" s="1563" t="str">
        <f t="shared" si="421"/>
        <v>--</v>
      </c>
      <c r="AW129" s="1563" t="str">
        <f t="shared" si="422"/>
        <v>--</v>
      </c>
      <c r="AY129" s="1592">
        <f t="shared" si="307"/>
        <v>1</v>
      </c>
      <c r="AZ129" s="821">
        <f t="shared" si="308"/>
        <v>1</v>
      </c>
      <c r="BA129" s="1160">
        <f t="shared" si="259"/>
        <v>0</v>
      </c>
      <c r="BB129" s="1592">
        <f t="shared" si="309"/>
        <v>0.1</v>
      </c>
      <c r="BC129" s="821">
        <f t="shared" si="310"/>
        <v>0.1</v>
      </c>
      <c r="BD129" s="1160">
        <f t="shared" si="260"/>
        <v>0</v>
      </c>
      <c r="BE129" s="1592" t="str">
        <f t="shared" si="311"/>
        <v>No</v>
      </c>
      <c r="BF129" s="1592">
        <f t="shared" si="312"/>
        <v>16.8</v>
      </c>
      <c r="BG129" s="821">
        <f t="shared" si="313"/>
        <v>16.8</v>
      </c>
      <c r="BH129" s="1160">
        <f t="shared" si="261"/>
        <v>0</v>
      </c>
      <c r="BI129" s="1592" t="str">
        <f t="shared" si="314"/>
        <v>--</v>
      </c>
      <c r="BJ129" s="1592">
        <f t="shared" si="315"/>
        <v>172.66942798580999</v>
      </c>
      <c r="BK129" s="821">
        <f t="shared" si="316"/>
        <v>172.66942798580999</v>
      </c>
      <c r="BL129" s="1160">
        <f t="shared" si="262"/>
        <v>0</v>
      </c>
      <c r="BM129" s="1592">
        <f t="shared" si="317"/>
        <v>1049.0803431084601</v>
      </c>
      <c r="BN129" s="821">
        <f t="shared" si="318"/>
        <v>1049.0803431084601</v>
      </c>
      <c r="BO129" s="1160">
        <f t="shared" si="263"/>
        <v>0</v>
      </c>
      <c r="BP129" s="1592">
        <f t="shared" si="319"/>
        <v>4931.4633092449803</v>
      </c>
      <c r="BQ129" s="821">
        <f t="shared" si="320"/>
        <v>4931.4633092449803</v>
      </c>
      <c r="BR129" s="1160">
        <f t="shared" si="264"/>
        <v>0</v>
      </c>
      <c r="BS129" s="1592" t="str">
        <f t="shared" si="321"/>
        <v>--</v>
      </c>
      <c r="BT129" s="821">
        <f t="shared" si="322"/>
        <v>0</v>
      </c>
      <c r="BU129" s="1160">
        <f t="shared" si="265"/>
        <v>0</v>
      </c>
      <c r="BW129" s="75" t="str">
        <f t="shared" si="390"/>
        <v>--</v>
      </c>
      <c r="BX129" s="75" t="str">
        <f t="shared" si="391"/>
        <v xml:space="preserve"> </v>
      </c>
      <c r="BY129" s="75" t="str">
        <f t="shared" si="392"/>
        <v/>
      </c>
      <c r="BZ129" s="75" t="str">
        <f t="shared" si="393"/>
        <v/>
      </c>
      <c r="CA129" s="1670" t="str">
        <f t="shared" si="266"/>
        <v>--</v>
      </c>
      <c r="CB129" s="75" t="str">
        <f t="shared" si="394"/>
        <v>--</v>
      </c>
      <c r="CC129" s="75" t="str">
        <f t="shared" si="395"/>
        <v xml:space="preserve"> </v>
      </c>
      <c r="CD129" s="75" t="str">
        <f t="shared" si="396"/>
        <v/>
      </c>
      <c r="CE129" s="75" t="str">
        <f t="shared" si="397"/>
        <v/>
      </c>
      <c r="CF129" s="1670" t="str">
        <f t="shared" si="267"/>
        <v>--</v>
      </c>
      <c r="CG129" s="75">
        <f t="shared" si="398"/>
        <v>1E-3</v>
      </c>
      <c r="CH129" s="75" t="str">
        <f t="shared" si="399"/>
        <v>WI</v>
      </c>
      <c r="CI129" s="75">
        <f t="shared" si="400"/>
        <v>1E-3</v>
      </c>
      <c r="CJ129" s="75" t="str">
        <f t="shared" si="401"/>
        <v>N</v>
      </c>
      <c r="CK129" s="1670" t="str">
        <f t="shared" si="268"/>
        <v>--</v>
      </c>
      <c r="CL129" s="75" t="str">
        <f t="shared" si="402"/>
        <v>--</v>
      </c>
      <c r="CM129" s="75" t="str">
        <f t="shared" si="403"/>
        <v xml:space="preserve"> </v>
      </c>
      <c r="CN129" s="75" t="str">
        <f t="shared" si="404"/>
        <v/>
      </c>
      <c r="CO129" s="75" t="str">
        <f t="shared" si="405"/>
        <v/>
      </c>
      <c r="CP129" s="1670" t="str">
        <f t="shared" si="269"/>
        <v>--</v>
      </c>
      <c r="CR129" s="1686" t="str">
        <f t="shared" si="270"/>
        <v>--</v>
      </c>
      <c r="CS129" s="1686" t="str">
        <f t="shared" si="271"/>
        <v>--</v>
      </c>
      <c r="CT129" s="1686" t="str">
        <f t="shared" si="272"/>
        <v>--</v>
      </c>
      <c r="CU129" s="1686" t="str">
        <f t="shared" si="273"/>
        <v>--</v>
      </c>
    </row>
    <row r="130" spans="1:99">
      <c r="A130" s="1400" t="s">
        <v>291</v>
      </c>
      <c r="B130" s="1570" t="s">
        <v>292</v>
      </c>
      <c r="C130" s="1563" t="str">
        <f t="shared" si="406"/>
        <v>O</v>
      </c>
      <c r="D130" t="e">
        <f t="shared" si="275"/>
        <v>#N/A</v>
      </c>
      <c r="E130" s="1563">
        <f t="shared" si="276"/>
        <v>113</v>
      </c>
      <c r="F130">
        <f t="shared" si="277"/>
        <v>113</v>
      </c>
      <c r="G130" s="1160">
        <f t="shared" si="248"/>
        <v>0</v>
      </c>
      <c r="H130" s="1563" t="str">
        <f t="shared" si="407"/>
        <v>NV</v>
      </c>
      <c r="I130">
        <f t="shared" si="279"/>
        <v>0</v>
      </c>
      <c r="J130" s="1160">
        <f t="shared" si="249"/>
        <v>0</v>
      </c>
      <c r="K130" s="1563">
        <f t="shared" si="408"/>
        <v>914.1</v>
      </c>
      <c r="L130">
        <f t="shared" si="281"/>
        <v>914.1</v>
      </c>
      <c r="M130" s="1160">
        <f t="shared" si="250"/>
        <v>0</v>
      </c>
      <c r="N130" s="1563">
        <f t="shared" si="409"/>
        <v>1.26E-5</v>
      </c>
      <c r="O130">
        <f t="shared" si="283"/>
        <v>1.26E-5</v>
      </c>
      <c r="P130" s="1160">
        <f t="shared" si="251"/>
        <v>0</v>
      </c>
      <c r="Q130" s="1563">
        <f t="shared" si="410"/>
        <v>4.7000000000000002E-3</v>
      </c>
      <c r="R130">
        <f t="shared" si="285"/>
        <v>4.7000000000000002E-3</v>
      </c>
      <c r="S130" s="1160">
        <f t="shared" si="252"/>
        <v>0</v>
      </c>
      <c r="T130" s="1563">
        <f t="shared" si="411"/>
        <v>1.3799999999999999E-10</v>
      </c>
      <c r="U130">
        <f t="shared" si="287"/>
        <v>1.3799999999999999E-10</v>
      </c>
      <c r="V130" s="1160">
        <f t="shared" si="253"/>
        <v>0</v>
      </c>
      <c r="W130" s="1563">
        <f t="shared" si="412"/>
        <v>5.6400000000000004E-9</v>
      </c>
      <c r="X130">
        <f t="shared" si="289"/>
        <v>5.6400000000000004E-9</v>
      </c>
      <c r="Y130" s="1160">
        <f t="shared" si="254"/>
        <v>0</v>
      </c>
      <c r="Z130" s="1563">
        <f t="shared" si="413"/>
        <v>135000</v>
      </c>
      <c r="AA130">
        <f t="shared" si="291"/>
        <v>135000</v>
      </c>
      <c r="AB130" s="1160">
        <f t="shared" si="255"/>
        <v>0</v>
      </c>
      <c r="AC130" s="1563">
        <f t="shared" si="414"/>
        <v>810</v>
      </c>
      <c r="AD130" t="str">
        <f t="shared" si="293"/>
        <v/>
      </c>
      <c r="AE130" s="1160">
        <f t="shared" si="256"/>
        <v>1</v>
      </c>
      <c r="AF130" s="1563">
        <f t="shared" si="415"/>
        <v>1.5810432933440002E-2</v>
      </c>
      <c r="AG130">
        <f t="shared" si="295"/>
        <v>1.5810432933440002E-2</v>
      </c>
      <c r="AH130" s="1160">
        <f t="shared" si="257"/>
        <v>0</v>
      </c>
      <c r="AI130" s="1563">
        <f t="shared" si="416"/>
        <v>3.8369610628699997E-6</v>
      </c>
      <c r="AJ130">
        <f t="shared" si="297"/>
        <v>3.8369610628699997E-6</v>
      </c>
      <c r="AK130" s="1160">
        <f t="shared" si="258"/>
        <v>0</v>
      </c>
      <c r="AL130" s="1563">
        <f t="shared" si="417"/>
        <v>22410.000000856566</v>
      </c>
      <c r="AM130" t="e">
        <f t="shared" si="299"/>
        <v>#N/A</v>
      </c>
      <c r="AN130" s="1563">
        <f t="shared" si="418"/>
        <v>3.807470000005019</v>
      </c>
      <c r="AO130" t="str">
        <f t="shared" si="301"/>
        <v/>
      </c>
      <c r="AP130" s="1160">
        <f t="shared" si="302"/>
        <v>1</v>
      </c>
      <c r="AQ130" s="1563" t="str">
        <f t="shared" si="419"/>
        <v>--</v>
      </c>
      <c r="AS130" s="1563" t="str">
        <f t="shared" si="420"/>
        <v>--</v>
      </c>
      <c r="AU130" s="1563" t="str">
        <f t="shared" si="421"/>
        <v>--</v>
      </c>
      <c r="AW130" s="1563" t="str">
        <f t="shared" si="422"/>
        <v>--</v>
      </c>
      <c r="AY130" s="1592">
        <f t="shared" si="307"/>
        <v>1</v>
      </c>
      <c r="AZ130" s="821">
        <f t="shared" si="308"/>
        <v>1</v>
      </c>
      <c r="BA130" s="1160">
        <f t="shared" si="259"/>
        <v>0</v>
      </c>
      <c r="BB130" s="1592">
        <f t="shared" si="309"/>
        <v>0.1</v>
      </c>
      <c r="BC130" s="821">
        <f t="shared" si="310"/>
        <v>0.1</v>
      </c>
      <c r="BD130" s="1160">
        <f t="shared" si="260"/>
        <v>0</v>
      </c>
      <c r="BE130" s="1592" t="str">
        <f t="shared" si="311"/>
        <v>No</v>
      </c>
      <c r="BF130" s="1592">
        <f t="shared" si="312"/>
        <v>470</v>
      </c>
      <c r="BG130" s="821">
        <f t="shared" si="313"/>
        <v>470</v>
      </c>
      <c r="BH130" s="1160">
        <f t="shared" si="261"/>
        <v>0</v>
      </c>
      <c r="BI130" s="1592" t="str">
        <f t="shared" si="314"/>
        <v>--</v>
      </c>
      <c r="BJ130" s="1592">
        <f t="shared" si="315"/>
        <v>5465.3926000049896</v>
      </c>
      <c r="BK130" s="821">
        <f t="shared" si="316"/>
        <v>5465.3926000049896</v>
      </c>
      <c r="BL130" s="1160">
        <f t="shared" si="262"/>
        <v>0</v>
      </c>
      <c r="BM130" s="1592">
        <f t="shared" si="317"/>
        <v>13829.5723158979</v>
      </c>
      <c r="BN130" s="821">
        <f t="shared" si="318"/>
        <v>13829.5723158979</v>
      </c>
      <c r="BO130" s="1160">
        <f t="shared" si="263"/>
        <v>0</v>
      </c>
      <c r="BP130" s="1592">
        <f t="shared" si="319"/>
        <v>65165.207362626803</v>
      </c>
      <c r="BQ130" s="821">
        <f t="shared" si="320"/>
        <v>65165.207362626803</v>
      </c>
      <c r="BR130" s="1160">
        <f t="shared" si="264"/>
        <v>0</v>
      </c>
      <c r="BS130" s="1592" t="str">
        <f t="shared" si="321"/>
        <v>--</v>
      </c>
      <c r="BT130" s="821">
        <f t="shared" si="322"/>
        <v>0</v>
      </c>
      <c r="BU130" s="1160">
        <f t="shared" si="265"/>
        <v>0</v>
      </c>
      <c r="BW130" s="75" t="str">
        <f t="shared" si="390"/>
        <v>--</v>
      </c>
      <c r="BX130" s="75" t="str">
        <f t="shared" si="391"/>
        <v xml:space="preserve"> </v>
      </c>
      <c r="BY130" s="75" t="str">
        <f t="shared" si="392"/>
        <v/>
      </c>
      <c r="BZ130" s="75" t="str">
        <f t="shared" si="393"/>
        <v/>
      </c>
      <c r="CA130" s="1670" t="str">
        <f t="shared" si="266"/>
        <v>--</v>
      </c>
      <c r="CB130" s="75" t="str">
        <f t="shared" si="394"/>
        <v>--</v>
      </c>
      <c r="CC130" s="75" t="str">
        <f t="shared" si="395"/>
        <v xml:space="preserve"> </v>
      </c>
      <c r="CD130" s="75" t="str">
        <f t="shared" si="396"/>
        <v/>
      </c>
      <c r="CE130" s="75" t="str">
        <f t="shared" si="397"/>
        <v/>
      </c>
      <c r="CF130" s="1670" t="str">
        <f t="shared" si="267"/>
        <v>--</v>
      </c>
      <c r="CG130" s="75">
        <f t="shared" si="398"/>
        <v>0.04</v>
      </c>
      <c r="CH130" s="75" t="str">
        <f t="shared" si="399"/>
        <v>WI</v>
      </c>
      <c r="CI130" s="75">
        <f t="shared" si="400"/>
        <v>0.04</v>
      </c>
      <c r="CJ130" s="75" t="str">
        <f t="shared" si="401"/>
        <v>N</v>
      </c>
      <c r="CK130" s="1670" t="str">
        <f t="shared" si="268"/>
        <v>--</v>
      </c>
      <c r="CL130" s="75" t="str">
        <f t="shared" si="402"/>
        <v>--</v>
      </c>
      <c r="CM130" s="75" t="str">
        <f t="shared" si="403"/>
        <v xml:space="preserve"> </v>
      </c>
      <c r="CN130" s="75" t="str">
        <f t="shared" si="404"/>
        <v/>
      </c>
      <c r="CO130" s="75" t="str">
        <f t="shared" si="405"/>
        <v/>
      </c>
      <c r="CP130" s="1670" t="str">
        <f t="shared" si="269"/>
        <v>--</v>
      </c>
      <c r="CR130" s="1686" t="str">
        <f t="shared" si="270"/>
        <v>--</v>
      </c>
      <c r="CS130" s="1686" t="str">
        <f t="shared" si="271"/>
        <v>--</v>
      </c>
      <c r="CT130" s="1686" t="str">
        <f t="shared" si="272"/>
        <v>--</v>
      </c>
      <c r="CU130" s="1686" t="str">
        <f t="shared" si="273"/>
        <v>--</v>
      </c>
    </row>
    <row r="131" spans="1:99">
      <c r="A131" s="1400" t="s">
        <v>293</v>
      </c>
      <c r="B131" s="1570" t="s">
        <v>294</v>
      </c>
      <c r="C131" s="1563" t="str">
        <f t="shared" si="406"/>
        <v>O</v>
      </c>
      <c r="D131" t="e">
        <f t="shared" si="275"/>
        <v>#N/A</v>
      </c>
      <c r="E131" s="1563">
        <f t="shared" si="276"/>
        <v>-21</v>
      </c>
      <c r="F131">
        <f t="shared" si="277"/>
        <v>-21</v>
      </c>
      <c r="G131" s="1160">
        <f t="shared" si="248"/>
        <v>0</v>
      </c>
      <c r="H131" s="1563" t="str">
        <f t="shared" si="407"/>
        <v>NV</v>
      </c>
      <c r="I131">
        <f t="shared" si="279"/>
        <v>0</v>
      </c>
      <c r="J131" s="1160">
        <f t="shared" si="249"/>
        <v>0</v>
      </c>
      <c r="K131" s="1563">
        <f t="shared" si="408"/>
        <v>300.10000000000002</v>
      </c>
      <c r="L131">
        <f t="shared" si="281"/>
        <v>300.10000000000002</v>
      </c>
      <c r="M131" s="1160">
        <f t="shared" si="250"/>
        <v>0</v>
      </c>
      <c r="N131" s="1563">
        <f t="shared" si="409"/>
        <v>0.05</v>
      </c>
      <c r="O131">
        <f t="shared" si="283"/>
        <v>0.05</v>
      </c>
      <c r="P131" s="1160">
        <f t="shared" si="251"/>
        <v>0</v>
      </c>
      <c r="Q131" s="1563">
        <f t="shared" si="410"/>
        <v>256600</v>
      </c>
      <c r="R131">
        <f t="shared" si="285"/>
        <v>256600</v>
      </c>
      <c r="S131" s="1160">
        <f t="shared" si="252"/>
        <v>0</v>
      </c>
      <c r="T131" s="1563">
        <f t="shared" si="411"/>
        <v>2.9500000000000002E-10</v>
      </c>
      <c r="U131">
        <f t="shared" si="287"/>
        <v>2.9500000000000002E-10</v>
      </c>
      <c r="V131" s="1160">
        <f t="shared" si="253"/>
        <v>0</v>
      </c>
      <c r="W131" s="1563">
        <f t="shared" si="412"/>
        <v>1.2040816326530613E-8</v>
      </c>
      <c r="X131">
        <f t="shared" si="289"/>
        <v>1.20605069501E-8</v>
      </c>
      <c r="Y131" s="1602">
        <f t="shared" si="254"/>
        <v>1</v>
      </c>
      <c r="Z131" s="1563">
        <f t="shared" si="413"/>
        <v>61.66</v>
      </c>
      <c r="AA131">
        <f t="shared" si="291"/>
        <v>61.66</v>
      </c>
      <c r="AB131" s="1160">
        <f t="shared" si="255"/>
        <v>0</v>
      </c>
      <c r="AC131" s="1563">
        <f t="shared" si="414"/>
        <v>0.3</v>
      </c>
      <c r="AD131">
        <f t="shared" si="293"/>
        <v>0.3</v>
      </c>
      <c r="AE131" s="1160">
        <f t="shared" si="256"/>
        <v>0</v>
      </c>
      <c r="AF131" s="1563">
        <f t="shared" si="415"/>
        <v>2.6792467805000001E-2</v>
      </c>
      <c r="AG131">
        <f t="shared" si="295"/>
        <v>2.6792467805000001E-2</v>
      </c>
      <c r="AH131" s="1160">
        <f t="shared" si="257"/>
        <v>0</v>
      </c>
      <c r="AI131" s="1563">
        <f t="shared" si="416"/>
        <v>7.1043945869699999E-6</v>
      </c>
      <c r="AJ131">
        <f t="shared" si="297"/>
        <v>7.1043945869699999E-6</v>
      </c>
      <c r="AK131" s="1160">
        <f t="shared" si="258"/>
        <v>0</v>
      </c>
      <c r="AL131" s="1563">
        <f t="shared" si="417"/>
        <v>10.235561831064999</v>
      </c>
      <c r="AM131" t="e">
        <f t="shared" si="299"/>
        <v>#N/A</v>
      </c>
      <c r="AN131" s="1600">
        <f t="shared" si="418"/>
        <v>102640.00058490044</v>
      </c>
      <c r="AO131" t="str">
        <f t="shared" si="301"/>
        <v/>
      </c>
      <c r="AP131" s="1160">
        <f t="shared" si="302"/>
        <v>1</v>
      </c>
      <c r="AQ131" s="1563" t="str">
        <f t="shared" si="419"/>
        <v>--</v>
      </c>
      <c r="AS131" s="1563" t="str">
        <f t="shared" si="420"/>
        <v>--</v>
      </c>
      <c r="AU131" s="1563" t="str">
        <f t="shared" si="421"/>
        <v>--</v>
      </c>
      <c r="AW131" s="1563" t="str">
        <f t="shared" si="422"/>
        <v>--</v>
      </c>
      <c r="AY131" s="1592">
        <f t="shared" si="307"/>
        <v>1</v>
      </c>
      <c r="AZ131" s="821">
        <f t="shared" si="308"/>
        <v>1</v>
      </c>
      <c r="BA131" s="1160">
        <f t="shared" si="259"/>
        <v>0</v>
      </c>
      <c r="BB131" s="1592">
        <f t="shared" si="309"/>
        <v>0.1</v>
      </c>
      <c r="BC131" s="821">
        <f t="shared" si="310"/>
        <v>0.1</v>
      </c>
      <c r="BD131" s="1160">
        <f t="shared" si="260"/>
        <v>0</v>
      </c>
      <c r="BE131" s="1592" t="str">
        <f t="shared" si="311"/>
        <v>Yes</v>
      </c>
      <c r="BF131" s="1592">
        <f t="shared" si="312"/>
        <v>1.926976463E-5</v>
      </c>
      <c r="BG131" s="821">
        <f t="shared" si="313"/>
        <v>1.926976463E-5</v>
      </c>
      <c r="BH131" s="1160">
        <f t="shared" si="261"/>
        <v>0</v>
      </c>
      <c r="BI131" s="1592">
        <f t="shared" si="314"/>
        <v>1</v>
      </c>
      <c r="BJ131" s="1592">
        <f t="shared" si="315"/>
        <v>1.2839143703E-4</v>
      </c>
      <c r="BK131" s="821">
        <f t="shared" si="316"/>
        <v>1.2839143703E-4</v>
      </c>
      <c r="BL131" s="1160">
        <f t="shared" si="262"/>
        <v>0</v>
      </c>
      <c r="BM131" s="1592">
        <f t="shared" si="317"/>
        <v>5.0397471695603402</v>
      </c>
      <c r="BN131" s="821">
        <f t="shared" si="318"/>
        <v>5.0397471695603402</v>
      </c>
      <c r="BO131" s="1160">
        <f t="shared" si="263"/>
        <v>0</v>
      </c>
      <c r="BP131" s="1592">
        <f t="shared" si="319"/>
        <v>12.0953932069448</v>
      </c>
      <c r="BQ131" s="821">
        <f t="shared" si="320"/>
        <v>12.0953932069448</v>
      </c>
      <c r="BR131" s="1160">
        <f t="shared" si="264"/>
        <v>0</v>
      </c>
      <c r="BS131" s="1592" t="str">
        <f t="shared" si="321"/>
        <v>--</v>
      </c>
      <c r="BT131" s="821">
        <f t="shared" si="322"/>
        <v>0</v>
      </c>
      <c r="BU131" s="1160">
        <f t="shared" si="265"/>
        <v>0</v>
      </c>
      <c r="BW131" s="75" t="str">
        <f t="shared" si="390"/>
        <v>--</v>
      </c>
      <c r="BX131" s="75" t="str">
        <f t="shared" si="391"/>
        <v xml:space="preserve"> </v>
      </c>
      <c r="BY131" s="75" t="str">
        <f t="shared" si="392"/>
        <v/>
      </c>
      <c r="BZ131" s="75" t="str">
        <f t="shared" si="393"/>
        <v/>
      </c>
      <c r="CA131" s="1670" t="str">
        <f t="shared" si="266"/>
        <v>--</v>
      </c>
      <c r="CB131" s="75" t="str">
        <f t="shared" si="394"/>
        <v>--</v>
      </c>
      <c r="CC131" s="75" t="str">
        <f t="shared" si="395"/>
        <v xml:space="preserve"> </v>
      </c>
      <c r="CD131" s="75" t="str">
        <f t="shared" si="396"/>
        <v/>
      </c>
      <c r="CE131" s="75" t="str">
        <f t="shared" si="397"/>
        <v/>
      </c>
      <c r="CF131" s="1670" t="str">
        <f t="shared" si="267"/>
        <v>--</v>
      </c>
      <c r="CG131" s="75">
        <f t="shared" si="398"/>
        <v>2.9999999999999997E-4</v>
      </c>
      <c r="CH131" s="75" t="str">
        <f t="shared" si="399"/>
        <v>EPA HERA ORD</v>
      </c>
      <c r="CI131" s="75">
        <f t="shared" si="400"/>
        <v>2.9999999999999997E-4</v>
      </c>
      <c r="CJ131" s="75" t="str">
        <f t="shared" si="401"/>
        <v>P</v>
      </c>
      <c r="CK131" s="1670" t="str">
        <f t="shared" si="268"/>
        <v>--</v>
      </c>
      <c r="CL131" s="75" t="str">
        <f t="shared" si="402"/>
        <v>--</v>
      </c>
      <c r="CM131" s="75" t="str">
        <f t="shared" si="403"/>
        <v xml:space="preserve"> </v>
      </c>
      <c r="CN131" s="75" t="str">
        <f t="shared" si="404"/>
        <v/>
      </c>
      <c r="CO131" s="75" t="str">
        <f t="shared" si="405"/>
        <v/>
      </c>
      <c r="CP131" s="1670" t="str">
        <f t="shared" si="269"/>
        <v>--</v>
      </c>
      <c r="CR131" s="1686" t="str">
        <f t="shared" si="270"/>
        <v>--</v>
      </c>
      <c r="CS131" s="1686" t="str">
        <f t="shared" si="271"/>
        <v>--</v>
      </c>
      <c r="CT131" s="1686" t="str">
        <f t="shared" si="272"/>
        <v>--</v>
      </c>
      <c r="CU131" s="1686" t="str">
        <f t="shared" si="273"/>
        <v>--</v>
      </c>
    </row>
    <row r="132" spans="1:99">
      <c r="A132" s="1400" t="s">
        <v>295</v>
      </c>
      <c r="B132" s="1570" t="s">
        <v>296</v>
      </c>
      <c r="C132" s="1563" t="str">
        <f t="shared" si="406"/>
        <v>O</v>
      </c>
      <c r="D132" t="e">
        <f t="shared" si="275"/>
        <v>#N/A</v>
      </c>
      <c r="E132" s="1563">
        <f t="shared" si="276"/>
        <v>41</v>
      </c>
      <c r="F132">
        <f t="shared" si="277"/>
        <v>41</v>
      </c>
      <c r="G132" s="1160">
        <f t="shared" si="248"/>
        <v>0</v>
      </c>
      <c r="H132" s="1563" t="str">
        <f t="shared" si="407"/>
        <v>V</v>
      </c>
      <c r="I132">
        <f t="shared" si="279"/>
        <v>0</v>
      </c>
      <c r="J132" s="1602">
        <f t="shared" si="249"/>
        <v>1</v>
      </c>
      <c r="K132" s="1563">
        <f t="shared" si="408"/>
        <v>400.1</v>
      </c>
      <c r="L132">
        <f t="shared" si="281"/>
        <v>400.1</v>
      </c>
      <c r="M132" s="1160">
        <f t="shared" si="250"/>
        <v>0</v>
      </c>
      <c r="N132" s="1563">
        <f t="shared" si="409"/>
        <v>0.36</v>
      </c>
      <c r="O132" t="str">
        <f t="shared" si="283"/>
        <v/>
      </c>
      <c r="P132" s="1602">
        <f t="shared" si="251"/>
        <v>1</v>
      </c>
      <c r="Q132" s="1563">
        <f t="shared" si="410"/>
        <v>243</v>
      </c>
      <c r="R132">
        <f t="shared" si="285"/>
        <v>243</v>
      </c>
      <c r="S132" s="1160">
        <f t="shared" si="252"/>
        <v>0</v>
      </c>
      <c r="T132" s="1563">
        <f t="shared" si="411"/>
        <v>1E-4</v>
      </c>
      <c r="U132" t="str">
        <f t="shared" si="287"/>
        <v/>
      </c>
      <c r="V132" s="1602">
        <f t="shared" si="253"/>
        <v>1</v>
      </c>
      <c r="W132" s="1563">
        <f t="shared" si="412"/>
        <v>4.0816326530612249E-3</v>
      </c>
      <c r="X132" t="str">
        <f t="shared" si="289"/>
        <v/>
      </c>
      <c r="Y132" s="1602">
        <f t="shared" si="254"/>
        <v>1</v>
      </c>
      <c r="Z132" s="1563">
        <f t="shared" si="413"/>
        <v>112.2</v>
      </c>
      <c r="AA132">
        <f t="shared" si="291"/>
        <v>112.2</v>
      </c>
      <c r="AB132" s="1160">
        <f t="shared" si="255"/>
        <v>0</v>
      </c>
      <c r="AC132" s="1563">
        <f t="shared" si="414"/>
        <v>0.67320000000000002</v>
      </c>
      <c r="AD132" t="str">
        <f t="shared" si="293"/>
        <v/>
      </c>
      <c r="AE132" s="1160">
        <f t="shared" si="256"/>
        <v>1</v>
      </c>
      <c r="AF132" s="1563">
        <f t="shared" si="415"/>
        <v>2.3263362763010002E-2</v>
      </c>
      <c r="AG132">
        <f t="shared" si="295"/>
        <v>2.3263362763010002E-2</v>
      </c>
      <c r="AH132" s="1160">
        <f t="shared" si="257"/>
        <v>0</v>
      </c>
      <c r="AI132" s="1563">
        <f t="shared" si="416"/>
        <v>6.0117777098300001E-6</v>
      </c>
      <c r="AJ132">
        <f t="shared" si="297"/>
        <v>6.0117777098300001E-6</v>
      </c>
      <c r="AK132" s="1160">
        <f t="shared" si="258"/>
        <v>0</v>
      </c>
      <c r="AL132" s="1563">
        <f t="shared" si="417"/>
        <v>19.245900000000002</v>
      </c>
      <c r="AM132" t="e">
        <f t="shared" si="299"/>
        <v>#N/A</v>
      </c>
      <c r="AN132" s="1563">
        <f t="shared" si="418"/>
        <v>188.0753628032345</v>
      </c>
      <c r="AO132" t="str">
        <f t="shared" si="301"/>
        <v/>
      </c>
      <c r="AP132" s="1160">
        <f t="shared" si="302"/>
        <v>1</v>
      </c>
      <c r="AQ132" s="1563">
        <f t="shared" si="419"/>
        <v>6.5854432956474988E-6</v>
      </c>
      <c r="AS132" s="1563">
        <f t="shared" si="420"/>
        <v>44947.769874712569</v>
      </c>
      <c r="AU132" s="1563">
        <f t="shared" si="421"/>
        <v>44074.914554545627</v>
      </c>
      <c r="AW132" s="1563">
        <f t="shared" si="422"/>
        <v>9955.5421349204498</v>
      </c>
      <c r="AY132" s="1592">
        <f t="shared" si="307"/>
        <v>1</v>
      </c>
      <c r="AZ132" s="821">
        <f t="shared" si="308"/>
        <v>1</v>
      </c>
      <c r="BA132" s="1160">
        <f t="shared" si="259"/>
        <v>0</v>
      </c>
      <c r="BB132" s="1592">
        <f t="shared" si="309"/>
        <v>0.1</v>
      </c>
      <c r="BC132" s="821">
        <f t="shared" si="310"/>
        <v>0.1</v>
      </c>
      <c r="BD132" s="1160">
        <f t="shared" si="260"/>
        <v>0</v>
      </c>
      <c r="BE132" s="1592" t="str">
        <f t="shared" si="311"/>
        <v>Yes</v>
      </c>
      <c r="BF132" s="1592">
        <f t="shared" si="312"/>
        <v>2.5807510932999999E-4</v>
      </c>
      <c r="BG132" s="821">
        <f t="shared" si="313"/>
        <v>2.5807510932999999E-4</v>
      </c>
      <c r="BH132" s="1160">
        <f t="shared" si="261"/>
        <v>0</v>
      </c>
      <c r="BI132" s="1592">
        <f t="shared" si="314"/>
        <v>1</v>
      </c>
      <c r="BJ132" s="1592">
        <f t="shared" si="315"/>
        <v>1.9854412823499998E-3</v>
      </c>
      <c r="BK132" s="821">
        <f t="shared" si="316"/>
        <v>1.9854412823499998E-3</v>
      </c>
      <c r="BL132" s="1160">
        <f t="shared" si="262"/>
        <v>0</v>
      </c>
      <c r="BM132" s="1592">
        <f t="shared" si="317"/>
        <v>18.298215988570899</v>
      </c>
      <c r="BN132" s="821">
        <f t="shared" si="318"/>
        <v>18.298215988570899</v>
      </c>
      <c r="BO132" s="1160">
        <f t="shared" si="263"/>
        <v>0</v>
      </c>
      <c r="BP132" s="1592">
        <f t="shared" si="319"/>
        <v>43.915718372570097</v>
      </c>
      <c r="BQ132" s="821">
        <f t="shared" si="320"/>
        <v>43.915718372570097</v>
      </c>
      <c r="BR132" s="1160">
        <f t="shared" si="264"/>
        <v>0</v>
      </c>
      <c r="BS132" s="1592" t="str">
        <f t="shared" si="321"/>
        <v>--</v>
      </c>
      <c r="BT132" s="821">
        <f t="shared" si="322"/>
        <v>0</v>
      </c>
      <c r="BU132" s="1160">
        <f t="shared" si="265"/>
        <v>0</v>
      </c>
      <c r="BW132" s="75" t="str">
        <f t="shared" si="390"/>
        <v>--</v>
      </c>
      <c r="BX132" s="75" t="str">
        <f t="shared" si="391"/>
        <v xml:space="preserve"> </v>
      </c>
      <c r="BY132" s="75" t="str">
        <f t="shared" si="392"/>
        <v/>
      </c>
      <c r="BZ132" s="75" t="str">
        <f t="shared" si="393"/>
        <v/>
      </c>
      <c r="CA132" s="1670" t="str">
        <f t="shared" si="266"/>
        <v>--</v>
      </c>
      <c r="CB132" s="75" t="str">
        <f t="shared" si="394"/>
        <v>--</v>
      </c>
      <c r="CC132" s="75" t="str">
        <f t="shared" si="395"/>
        <v xml:space="preserve"> </v>
      </c>
      <c r="CD132" s="75" t="str">
        <f t="shared" si="396"/>
        <v/>
      </c>
      <c r="CE132" s="75" t="str">
        <f t="shared" si="397"/>
        <v/>
      </c>
      <c r="CF132" s="1670" t="str">
        <f t="shared" si="267"/>
        <v>--</v>
      </c>
      <c r="CG132" s="75">
        <f t="shared" si="398"/>
        <v>2.0000000000000002E-5</v>
      </c>
      <c r="CH132" s="75" t="str">
        <f t="shared" si="399"/>
        <v>ATSDR</v>
      </c>
      <c r="CI132" s="75">
        <f t="shared" si="400"/>
        <v>2.0000000000000002E-5</v>
      </c>
      <c r="CJ132" s="75" t="str">
        <f t="shared" si="401"/>
        <v>A</v>
      </c>
      <c r="CK132" s="1670" t="str">
        <f t="shared" si="268"/>
        <v>--</v>
      </c>
      <c r="CL132" s="75" t="str">
        <f t="shared" si="402"/>
        <v>--</v>
      </c>
      <c r="CM132" s="75" t="str">
        <f t="shared" si="403"/>
        <v xml:space="preserve"> </v>
      </c>
      <c r="CN132" s="75" t="str">
        <f t="shared" si="404"/>
        <v/>
      </c>
      <c r="CO132" s="75" t="str">
        <f t="shared" si="405"/>
        <v/>
      </c>
      <c r="CP132" s="1670" t="str">
        <f t="shared" si="269"/>
        <v>--</v>
      </c>
      <c r="CR132" s="1686" t="str">
        <f t="shared" si="270"/>
        <v>--</v>
      </c>
      <c r="CS132" s="1686" t="str">
        <f t="shared" si="271"/>
        <v>--</v>
      </c>
      <c r="CT132" s="1686" t="str">
        <f t="shared" si="272"/>
        <v>--</v>
      </c>
      <c r="CU132" s="1686" t="str">
        <f t="shared" si="273"/>
        <v>--</v>
      </c>
    </row>
    <row r="133" spans="1:99">
      <c r="A133" s="1400" t="s">
        <v>297</v>
      </c>
      <c r="B133" s="1570" t="s">
        <v>298</v>
      </c>
      <c r="C133" s="1563" t="str">
        <f t="shared" si="406"/>
        <v>O</v>
      </c>
      <c r="D133" t="e">
        <f t="shared" si="275"/>
        <v>#N/A</v>
      </c>
      <c r="E133" s="1563">
        <f t="shared" si="276"/>
        <v>84</v>
      </c>
      <c r="F133">
        <f t="shared" si="277"/>
        <v>84</v>
      </c>
      <c r="G133" s="1160">
        <f t="shared" si="248"/>
        <v>0</v>
      </c>
      <c r="H133" s="1563" t="str">
        <f t="shared" si="407"/>
        <v>NV</v>
      </c>
      <c r="I133">
        <f t="shared" si="279"/>
        <v>0</v>
      </c>
      <c r="J133" s="1160">
        <f t="shared" si="249"/>
        <v>0</v>
      </c>
      <c r="K133" s="1563">
        <f t="shared" si="408"/>
        <v>500.1</v>
      </c>
      <c r="L133">
        <f t="shared" si="281"/>
        <v>500.1</v>
      </c>
      <c r="M133" s="1160">
        <f t="shared" si="250"/>
        <v>0</v>
      </c>
      <c r="N133" s="1563">
        <f t="shared" si="409"/>
        <v>6.5300000000000004E-4</v>
      </c>
      <c r="O133">
        <f t="shared" si="283"/>
        <v>6.5300000000000004E-4</v>
      </c>
      <c r="P133" s="1160">
        <f t="shared" si="251"/>
        <v>0</v>
      </c>
      <c r="Q133" s="1563">
        <f t="shared" si="410"/>
        <v>680</v>
      </c>
      <c r="R133">
        <f t="shared" si="285"/>
        <v>680</v>
      </c>
      <c r="S133" s="1160">
        <f t="shared" si="252"/>
        <v>0</v>
      </c>
      <c r="T133" s="1563">
        <f t="shared" si="411"/>
        <v>4.34E-7</v>
      </c>
      <c r="U133">
        <f t="shared" si="287"/>
        <v>4.34E-7</v>
      </c>
      <c r="V133" s="1160">
        <f t="shared" si="253"/>
        <v>0</v>
      </c>
      <c r="W133" s="1563">
        <f t="shared" si="412"/>
        <v>1.7743254289999999E-5</v>
      </c>
      <c r="X133">
        <f t="shared" si="289"/>
        <v>1.7743254289999999E-5</v>
      </c>
      <c r="Y133" s="1160">
        <f t="shared" si="254"/>
        <v>0</v>
      </c>
      <c r="Z133" s="1563">
        <f t="shared" si="413"/>
        <v>371.5</v>
      </c>
      <c r="AA133">
        <f t="shared" si="291"/>
        <v>371.5</v>
      </c>
      <c r="AB133" s="1160">
        <f t="shared" si="255"/>
        <v>0</v>
      </c>
      <c r="AC133" s="1563">
        <f t="shared" si="414"/>
        <v>7.42</v>
      </c>
      <c r="AD133">
        <f t="shared" si="293"/>
        <v>7.42</v>
      </c>
      <c r="AE133" s="1160">
        <f t="shared" si="256"/>
        <v>0</v>
      </c>
      <c r="AF133" s="1563">
        <f t="shared" si="415"/>
        <v>2.0813768112350001E-2</v>
      </c>
      <c r="AG133">
        <f t="shared" si="295"/>
        <v>2.0813768112350001E-2</v>
      </c>
      <c r="AH133" s="1160">
        <f t="shared" si="257"/>
        <v>0</v>
      </c>
      <c r="AI133" s="1563">
        <f t="shared" si="416"/>
        <v>5.2740069270300003E-6</v>
      </c>
      <c r="AJ133">
        <f t="shared" si="297"/>
        <v>5.2740069270300003E-6</v>
      </c>
      <c r="AK133" s="1160">
        <f t="shared" si="258"/>
        <v>0</v>
      </c>
      <c r="AL133" s="1563">
        <f t="shared" si="417"/>
        <v>61.671693838000003</v>
      </c>
      <c r="AM133" t="e">
        <f t="shared" si="299"/>
        <v>#N/A</v>
      </c>
      <c r="AN133" s="1563">
        <f t="shared" si="418"/>
        <v>5113.602284081313</v>
      </c>
      <c r="AO133" t="str">
        <f t="shared" si="301"/>
        <v/>
      </c>
      <c r="AP133" s="1160">
        <f t="shared" si="302"/>
        <v>1</v>
      </c>
      <c r="AQ133" s="1563" t="str">
        <f t="shared" si="419"/>
        <v>--</v>
      </c>
      <c r="AS133" s="1563" t="str">
        <f t="shared" si="420"/>
        <v>--</v>
      </c>
      <c r="AU133" s="1563" t="str">
        <f t="shared" si="421"/>
        <v>--</v>
      </c>
      <c r="AW133" s="1563" t="str">
        <f t="shared" si="422"/>
        <v>--</v>
      </c>
      <c r="AY133" s="1592">
        <f t="shared" si="307"/>
        <v>1</v>
      </c>
      <c r="AZ133" s="821">
        <f t="shared" si="308"/>
        <v>1</v>
      </c>
      <c r="BA133" s="1160">
        <f t="shared" si="259"/>
        <v>0</v>
      </c>
      <c r="BB133" s="1592">
        <f t="shared" si="309"/>
        <v>0.1</v>
      </c>
      <c r="BC133" s="821">
        <f t="shared" si="310"/>
        <v>0.1</v>
      </c>
      <c r="BD133" s="1160">
        <f t="shared" si="260"/>
        <v>0</v>
      </c>
      <c r="BE133" s="1592" t="str">
        <f t="shared" si="311"/>
        <v>No</v>
      </c>
      <c r="BF133" s="1592">
        <f t="shared" si="312"/>
        <v>4.6851381349800002E-7</v>
      </c>
      <c r="BG133" s="821">
        <f t="shared" si="313"/>
        <v>4.6851381349800002E-7</v>
      </c>
      <c r="BH133" s="1160">
        <f t="shared" si="261"/>
        <v>0</v>
      </c>
      <c r="BI133" s="1592">
        <f t="shared" si="314"/>
        <v>1</v>
      </c>
      <c r="BJ133" s="1592">
        <f t="shared" si="315"/>
        <v>4.0297442039099998E-6</v>
      </c>
      <c r="BK133" s="821">
        <f t="shared" si="316"/>
        <v>4.0297442039099998E-6</v>
      </c>
      <c r="BL133" s="1160">
        <f t="shared" si="262"/>
        <v>0</v>
      </c>
      <c r="BM133" s="1592">
        <f t="shared" si="317"/>
        <v>66.436806668935006</v>
      </c>
      <c r="BN133" s="821">
        <f t="shared" si="318"/>
        <v>66.436806668935006</v>
      </c>
      <c r="BO133" s="1160">
        <f t="shared" si="263"/>
        <v>0</v>
      </c>
      <c r="BP133" s="1592">
        <f t="shared" si="319"/>
        <v>159.44833600544399</v>
      </c>
      <c r="BQ133" s="821">
        <f t="shared" si="320"/>
        <v>159.44833600544399</v>
      </c>
      <c r="BR133" s="1160">
        <f t="shared" si="264"/>
        <v>0</v>
      </c>
      <c r="BS133" s="1592" t="str">
        <f t="shared" si="321"/>
        <v>--</v>
      </c>
      <c r="BT133" s="821">
        <f t="shared" si="322"/>
        <v>0</v>
      </c>
      <c r="BU133" s="1160">
        <f t="shared" si="265"/>
        <v>0</v>
      </c>
      <c r="BW133" s="75">
        <f t="shared" si="390"/>
        <v>39.5</v>
      </c>
      <c r="BX133" s="75" t="str">
        <f t="shared" si="391"/>
        <v>EPA Office of Water</v>
      </c>
      <c r="BY133" s="75">
        <f t="shared" si="392"/>
        <v>39.5</v>
      </c>
      <c r="BZ133" s="75" t="str">
        <f t="shared" si="393"/>
        <v>D</v>
      </c>
      <c r="CA133" s="1670" t="str">
        <f t="shared" si="266"/>
        <v>--</v>
      </c>
      <c r="CB133" s="75" t="str">
        <f t="shared" si="394"/>
        <v>--</v>
      </c>
      <c r="CC133" s="75" t="str">
        <f t="shared" si="395"/>
        <v xml:space="preserve"> </v>
      </c>
      <c r="CD133" s="75" t="str">
        <f t="shared" si="396"/>
        <v/>
      </c>
      <c r="CE133" s="75" t="str">
        <f t="shared" si="397"/>
        <v/>
      </c>
      <c r="CF133" s="1670" t="str">
        <f t="shared" si="267"/>
        <v>--</v>
      </c>
      <c r="CG133" s="75">
        <f t="shared" si="398"/>
        <v>9.9999999999999995E-8</v>
      </c>
      <c r="CH133" s="75" t="str">
        <f t="shared" si="399"/>
        <v>EPA Office of Water</v>
      </c>
      <c r="CI133" s="75">
        <f t="shared" si="400"/>
        <v>9.9999999999999995E-8</v>
      </c>
      <c r="CJ133" s="75" t="str">
        <f t="shared" si="401"/>
        <v>D</v>
      </c>
      <c r="CK133" s="1670" t="str">
        <f t="shared" si="268"/>
        <v>--</v>
      </c>
      <c r="CL133" s="75" t="str">
        <f t="shared" si="402"/>
        <v>--</v>
      </c>
      <c r="CM133" s="75" t="str">
        <f t="shared" si="403"/>
        <v xml:space="preserve"> </v>
      </c>
      <c r="CN133" s="75" t="str">
        <f t="shared" si="404"/>
        <v/>
      </c>
      <c r="CO133" s="75" t="str">
        <f t="shared" si="405"/>
        <v/>
      </c>
      <c r="CP133" s="1670" t="str">
        <f t="shared" si="269"/>
        <v>--</v>
      </c>
      <c r="CR133" s="1686" t="str">
        <f t="shared" si="270"/>
        <v>--</v>
      </c>
      <c r="CS133" s="1686" t="str">
        <f t="shared" si="271"/>
        <v>--</v>
      </c>
      <c r="CT133" s="1686" t="str">
        <f t="shared" si="272"/>
        <v>--</v>
      </c>
      <c r="CU133" s="1686" t="str">
        <f t="shared" si="273"/>
        <v>--</v>
      </c>
    </row>
    <row r="134" spans="1:99">
      <c r="A134" s="1400" t="s">
        <v>299</v>
      </c>
      <c r="B134" s="1570" t="s">
        <v>300</v>
      </c>
      <c r="C134" s="1563" t="str">
        <f t="shared" si="406"/>
        <v>O</v>
      </c>
      <c r="D134" t="e">
        <f t="shared" ref="D134:D157" si="427">VLOOKUP($B134,Table_RSL, MATCH("OI", Heading_RSL, 0), FALSE)</f>
        <v>#N/A</v>
      </c>
      <c r="E134" s="1563">
        <f t="shared" ref="E134:E157" si="428">VLOOKUP($A134,Table_IP_1, MATCH("mt", heading_IP_1, 0), FALSE)</f>
        <v>-40</v>
      </c>
      <c r="F134">
        <f t="shared" ref="F134:F157" si="429">VLOOKUP($B134,Table_RSL, MATCH("mt", Heading_RSL, 0), FALSE)</f>
        <v>-40</v>
      </c>
      <c r="G134" s="1160">
        <f t="shared" si="248"/>
        <v>0</v>
      </c>
      <c r="H134" s="1563" t="str">
        <f t="shared" si="407"/>
        <v>V</v>
      </c>
      <c r="I134" t="str">
        <f t="shared" ref="I134:I157" si="430">VLOOKUP($B134,Table_RSL, MATCH("v", Heading_RSL, 0), FALSE)</f>
        <v>V</v>
      </c>
      <c r="J134" s="1160">
        <f t="shared" si="249"/>
        <v>0</v>
      </c>
      <c r="K134" s="1563">
        <f t="shared" si="408"/>
        <v>330.1</v>
      </c>
      <c r="L134">
        <f t="shared" ref="L134:L157" si="431">VLOOKUP($B134,Table_RSL, MATCH("mw", Heading_RSL, 0), FALSE)</f>
        <v>330.1</v>
      </c>
      <c r="M134" s="1160">
        <f t="shared" si="250"/>
        <v>0</v>
      </c>
      <c r="N134" s="1563">
        <f t="shared" si="409"/>
        <v>2.2949999999999999</v>
      </c>
      <c r="O134">
        <f t="shared" ref="O134:O157" si="432">VLOOKUP($B134,Table_RSL, MATCH("VP", Heading_RSL, 0), FALSE)</f>
        <v>2.2949999999999999</v>
      </c>
      <c r="P134" s="1160">
        <f t="shared" si="251"/>
        <v>0</v>
      </c>
      <c r="Q134" s="1563">
        <f t="shared" si="410"/>
        <v>756000</v>
      </c>
      <c r="R134">
        <f t="shared" ref="R134:R157" si="433">VLOOKUP($B134,Table_RSL, MATCH("S", Heading_RSL, 0), FALSE)</f>
        <v>756000</v>
      </c>
      <c r="S134" s="1160">
        <f t="shared" si="252"/>
        <v>0</v>
      </c>
      <c r="T134" s="1563">
        <f t="shared" si="411"/>
        <v>2.5000000000000001E-4</v>
      </c>
      <c r="U134">
        <f t="shared" ref="U134:U157" si="434">VLOOKUP($B134,Table_RSL, MATCH("H", Heading_RSL, 0), FALSE)</f>
        <v>2.5000000000000001E-4</v>
      </c>
      <c r="V134" s="1160">
        <f t="shared" si="253"/>
        <v>0</v>
      </c>
      <c r="W134" s="1563">
        <f t="shared" si="412"/>
        <v>1.022E-2</v>
      </c>
      <c r="X134">
        <f t="shared" ref="X134:X157" si="435">VLOOKUP($B134,Table_RSL, MATCH("H'", Heading_RSL, 0), FALSE)</f>
        <v>1.022E-2</v>
      </c>
      <c r="Y134" s="1160">
        <f t="shared" si="254"/>
        <v>0</v>
      </c>
      <c r="Z134" s="1563">
        <f t="shared" si="413"/>
        <v>407</v>
      </c>
      <c r="AA134">
        <f t="shared" ref="AA134:AA157" si="436">VLOOKUP($B134,Table_RSL, MATCH("koc", Heading_RSL, 0), FALSE)</f>
        <v>407</v>
      </c>
      <c r="AB134" s="1160">
        <f t="shared" si="255"/>
        <v>0</v>
      </c>
      <c r="AC134" s="1563">
        <f t="shared" si="414"/>
        <v>2.4420000000000002</v>
      </c>
      <c r="AD134" t="str">
        <f t="shared" ref="AD134:AD157" si="437">VLOOKUP($B134,Table_RSL, MATCH("kd", Heading_RSL, 0), FALSE)</f>
        <v/>
      </c>
      <c r="AE134" s="1160">
        <f t="shared" si="256"/>
        <v>1</v>
      </c>
      <c r="AF134" s="1563">
        <f t="shared" si="415"/>
        <v>2.504486907312E-2</v>
      </c>
      <c r="AG134">
        <f t="shared" ref="AG134:AG157" si="438">VLOOKUP($B134,Table_RSL, MATCH("dia", Heading_RSL, 0), FALSE)</f>
        <v>2.504486907312E-2</v>
      </c>
      <c r="AH134" s="1160">
        <f t="shared" si="257"/>
        <v>0</v>
      </c>
      <c r="AI134" s="1563">
        <f t="shared" si="416"/>
        <v>6.5449643628700004E-6</v>
      </c>
      <c r="AJ134">
        <f t="shared" ref="AJ134:AJ157" si="439">VLOOKUP($B134,Table_RSL, MATCH("diw", Heading_RSL, 0), FALSE)</f>
        <v>6.5449643628700004E-6</v>
      </c>
      <c r="AK134" s="1160">
        <f t="shared" si="258"/>
        <v>0</v>
      </c>
      <c r="AL134" s="1563">
        <f t="shared" si="417"/>
        <v>69.113749999999996</v>
      </c>
      <c r="AM134" t="e">
        <f t="shared" ref="AM134:AM157" si="440">VLOOKUP($B134,Table_RSL, MATCH("daf", Heading_RSL, 0), FALSE)</f>
        <v>#N/A</v>
      </c>
      <c r="AN134" s="1563">
        <f t="shared" si="418"/>
        <v>1923214.6555471697</v>
      </c>
      <c r="AO134">
        <f t="shared" ref="AO134:AO157" si="441">VLOOKUP($B134,Table_RSL, MATCH("csat", Heading_RSL, 0), FALSE)</f>
        <v>1920000</v>
      </c>
      <c r="AP134" s="1160">
        <f t="shared" ref="AP134:AP157" si="442">IF(AO134=AN134,,1)</f>
        <v>1</v>
      </c>
      <c r="AQ134" s="1563">
        <f t="shared" si="419"/>
        <v>5.3768153669210263E-6</v>
      </c>
      <c r="AS134" s="1563">
        <f t="shared" si="420"/>
        <v>49743.700991434998</v>
      </c>
      <c r="AU134" s="1563">
        <f t="shared" si="421"/>
        <v>48777.711929548423</v>
      </c>
      <c r="AW134" s="1563">
        <f t="shared" si="422"/>
        <v>11017.799382427806</v>
      </c>
      <c r="AY134" s="1592">
        <f t="shared" ref="AY134:AY157" si="443">VLOOKUP($A134,Table_IP_2, MATCH("giabs", heading_IP_2, 0), FALSE)</f>
        <v>1</v>
      </c>
      <c r="AZ134" s="821">
        <f t="shared" ref="AZ134:AZ157" si="444">VLOOKUP($B134,Table_RSL, MATCH("giabs", Heading_RSL, 0), FALSE)</f>
        <v>1</v>
      </c>
      <c r="BA134" s="1160">
        <f t="shared" si="259"/>
        <v>0</v>
      </c>
      <c r="BB134" s="1592" t="str">
        <f t="shared" ref="BB134:BB157" si="445">VLOOKUP($A134,Table_IP_2, MATCH("abs", heading_IP_2, 0), FALSE)</f>
        <v>--</v>
      </c>
      <c r="BC134" s="821" t="str">
        <f t="shared" ref="BC134:BC157" si="446">VLOOKUP($B134,Table_RSL, MATCH("abs", Heading_RSL, 0), FALSE)</f>
        <v/>
      </c>
      <c r="BD134" s="1160">
        <f t="shared" si="260"/>
        <v>0</v>
      </c>
      <c r="BE134" s="1592" t="str">
        <f t="shared" ref="BE134:BE157" si="447">VLOOKUP($A134,Table_IP_2, MATCH("epd", heading_IP_2, 0), FALSE)</f>
        <v>Yes</v>
      </c>
      <c r="BF134" s="1592">
        <f t="shared" ref="BF134:BF157" si="448">VLOOKUP($A134,Table_IP_2, MATCH("kp", heading_IP_2, 0), FALSE)</f>
        <v>8.6675186538739998E-2</v>
      </c>
      <c r="BG134" s="821">
        <f t="shared" ref="BG134:BG157" si="449">VLOOKUP($B134,Table_RSL, MATCH("kp", Heading_RSL, 0), FALSE)</f>
        <v>8.6675186538739998E-2</v>
      </c>
      <c r="BH134" s="1160">
        <f t="shared" si="261"/>
        <v>0</v>
      </c>
      <c r="BI134" s="1592">
        <f t="shared" ref="BI134:BI157" si="450">VLOOKUP($A134,Table_IP_2, MATCH("fa", heading_IP_2, 0), FALSE)</f>
        <v>0.8</v>
      </c>
      <c r="BJ134" s="1592">
        <f t="shared" ref="BJ134:BJ157" si="451">VLOOKUP($A134,Table_IP_2, MATCH("b", heading_IP_2, 0), FALSE)</f>
        <v>0.60568134723914002</v>
      </c>
      <c r="BK134" s="821">
        <f t="shared" ref="BK134:BK157" si="452">VLOOKUP($B134,Table_RSL, MATCH("b", Heading_RSL, 0), FALSE)</f>
        <v>0.60568134723914002</v>
      </c>
      <c r="BL134" s="1160">
        <f t="shared" si="262"/>
        <v>0</v>
      </c>
      <c r="BM134" s="1592">
        <f t="shared" ref="BM134:BM157" si="453">VLOOKUP($A134,Table_IP_2, MATCH("t_event", heading_IP_2, 0), FALSE)</f>
        <v>7.4200827668435902</v>
      </c>
      <c r="BN134" s="821">
        <f t="shared" ref="BN134:BN157" si="454">VLOOKUP($B134,Table_RSL, MATCH("t_event", Heading_RSL, 0), FALSE)</f>
        <v>7.4200827668435902</v>
      </c>
      <c r="BO134" s="1160">
        <f t="shared" si="263"/>
        <v>0</v>
      </c>
      <c r="BP134" s="1592">
        <f t="shared" ref="BP134:BP157" si="455">VLOOKUP($A134,Table_IP_2, MATCH("t", heading_IP_2, 0), FALSE)</f>
        <v>29.9301819752346</v>
      </c>
      <c r="BQ134" s="821">
        <f t="shared" ref="BQ134:BQ157" si="456">VLOOKUP($B134,Table_RSL, MATCH("t", Heading_RSL, 0), FALSE)</f>
        <v>29.9301819752346</v>
      </c>
      <c r="BR134" s="1160">
        <f t="shared" si="264"/>
        <v>0</v>
      </c>
      <c r="BS134" s="1592" t="str">
        <f t="shared" ref="BS134:BS157" si="457">VLOOKUP($A134,Table_IP_2, MATCH("mut", heading_IP_2, 0), FALSE)</f>
        <v>--</v>
      </c>
      <c r="BT134" s="821">
        <f t="shared" ref="BT134:BT157" si="458">VLOOKUP($B134,Table_RSL, MATCH("mut", Heading_RSL, 0), FALSE)</f>
        <v>0</v>
      </c>
      <c r="BU134" s="1160">
        <f t="shared" si="265"/>
        <v>0</v>
      </c>
      <c r="BW134" s="75" t="str">
        <f t="shared" si="390"/>
        <v>--</v>
      </c>
      <c r="BX134" s="75" t="str">
        <f t="shared" si="391"/>
        <v xml:space="preserve"> </v>
      </c>
      <c r="BY134" s="75" t="str">
        <f t="shared" si="392"/>
        <v/>
      </c>
      <c r="BZ134" s="75" t="str">
        <f t="shared" si="393"/>
        <v/>
      </c>
      <c r="CA134" s="1670" t="str">
        <f t="shared" si="266"/>
        <v>--</v>
      </c>
      <c r="CB134" s="75" t="str">
        <f t="shared" si="394"/>
        <v>--</v>
      </c>
      <c r="CC134" s="75" t="str">
        <f t="shared" si="395"/>
        <v xml:space="preserve"> </v>
      </c>
      <c r="CD134" s="75" t="str">
        <f t="shared" si="396"/>
        <v/>
      </c>
      <c r="CE134" s="75" t="str">
        <f t="shared" si="397"/>
        <v/>
      </c>
      <c r="CF134" s="1670" t="str">
        <f t="shared" si="267"/>
        <v>--</v>
      </c>
      <c r="CG134" s="75">
        <f t="shared" si="398"/>
        <v>3.0000000000000001E-6</v>
      </c>
      <c r="CH134" s="75" t="str">
        <f t="shared" si="399"/>
        <v>EPA Office of Water</v>
      </c>
      <c r="CI134" s="75">
        <f t="shared" si="400"/>
        <v>3.0000000000000001E-6</v>
      </c>
      <c r="CJ134" s="75" t="str">
        <f t="shared" si="401"/>
        <v>D</v>
      </c>
      <c r="CK134" s="1670" t="str">
        <f t="shared" si="268"/>
        <v>--</v>
      </c>
      <c r="CL134" s="75" t="str">
        <f t="shared" si="402"/>
        <v>--</v>
      </c>
      <c r="CM134" s="75" t="str">
        <f t="shared" si="403"/>
        <v xml:space="preserve"> </v>
      </c>
      <c r="CN134" s="75" t="str">
        <f t="shared" si="404"/>
        <v/>
      </c>
      <c r="CO134" s="75" t="str">
        <f t="shared" si="405"/>
        <v/>
      </c>
      <c r="CP134" s="1670" t="str">
        <f t="shared" si="269"/>
        <v>--</v>
      </c>
      <c r="CR134" s="1686" t="str">
        <f t="shared" si="270"/>
        <v>--</v>
      </c>
      <c r="CS134" s="1686" t="str">
        <f t="shared" si="271"/>
        <v>--</v>
      </c>
      <c r="CT134" s="1686" t="str">
        <f t="shared" si="272"/>
        <v>--</v>
      </c>
      <c r="CU134" s="1686" t="str">
        <f t="shared" si="273"/>
        <v>--</v>
      </c>
    </row>
    <row r="135" spans="1:99">
      <c r="A135" s="1470" t="s">
        <v>301</v>
      </c>
      <c r="B135" s="1571" t="s">
        <v>302</v>
      </c>
      <c r="C135" s="1563" t="str">
        <f t="shared" si="406"/>
        <v>O</v>
      </c>
      <c r="D135" t="e">
        <f t="shared" si="427"/>
        <v>#N/A</v>
      </c>
      <c r="E135" s="1563">
        <f t="shared" si="428"/>
        <v>40.9</v>
      </c>
      <c r="F135">
        <f t="shared" si="429"/>
        <v>40.9</v>
      </c>
      <c r="G135" s="1160">
        <f t="shared" ref="G135:G157" si="459">IF(F135=E135,,1)</f>
        <v>0</v>
      </c>
      <c r="H135" s="1563" t="str">
        <f t="shared" si="407"/>
        <v>NV</v>
      </c>
      <c r="I135">
        <f t="shared" si="430"/>
        <v>0</v>
      </c>
      <c r="J135" s="1160">
        <f t="shared" ref="J135:J157" si="460">IF(I135=H135,,IF(AND(H135="NV",I135=0),,1))</f>
        <v>0</v>
      </c>
      <c r="K135" s="1563">
        <f t="shared" si="408"/>
        <v>94.114000000000004</v>
      </c>
      <c r="L135">
        <f t="shared" si="431"/>
        <v>94.114000000000004</v>
      </c>
      <c r="M135" s="1160">
        <f t="shared" ref="M135:M157" si="461">IF(L135=K135,,1)</f>
        <v>0</v>
      </c>
      <c r="N135" s="1563">
        <f t="shared" si="409"/>
        <v>0.35</v>
      </c>
      <c r="O135">
        <f t="shared" si="432"/>
        <v>0.35</v>
      </c>
      <c r="P135" s="1160">
        <f t="shared" ref="P135:P157" si="462">IF(O135=N135,,IF(AND(N135="--",OR(O135="",O135=0)),,1))</f>
        <v>0</v>
      </c>
      <c r="Q135" s="1563">
        <f t="shared" si="410"/>
        <v>82800</v>
      </c>
      <c r="R135">
        <f t="shared" si="433"/>
        <v>82800</v>
      </c>
      <c r="S135" s="1160">
        <f t="shared" ref="S135:S157" si="463">IF(R135=Q135,,IF(AND(Q135="--",OR(R135="",R135=0)),,1))</f>
        <v>0</v>
      </c>
      <c r="T135" s="1563">
        <f t="shared" si="411"/>
        <v>3.3299999999999998E-7</v>
      </c>
      <c r="U135">
        <f t="shared" si="434"/>
        <v>3.3299999999999998E-7</v>
      </c>
      <c r="V135" s="1160">
        <f t="shared" ref="V135:V157" si="464">IF(U135=T135,,IF(AND(T135="--",OR(U135="",U135=0)),,1))</f>
        <v>0</v>
      </c>
      <c r="W135" s="1563">
        <f t="shared" si="412"/>
        <v>1.3614063779999999E-5</v>
      </c>
      <c r="X135">
        <f t="shared" si="435"/>
        <v>1.3614063779999999E-5</v>
      </c>
      <c r="Y135" s="1160">
        <f t="shared" ref="Y135:Y157" si="465">IF(X135=W135,,IF(AND(W135="--",OR(X135="",X135=0)),,1))</f>
        <v>0</v>
      </c>
      <c r="Z135" s="1563">
        <f t="shared" si="413"/>
        <v>187.2</v>
      </c>
      <c r="AA135">
        <f t="shared" si="436"/>
        <v>187.2</v>
      </c>
      <c r="AB135" s="1160">
        <f t="shared" ref="AB135:AB157" si="466">IF(AA135=Z135,,IF(AND(Z135="--",OR(AA135="",AA135=0)),,1))</f>
        <v>0</v>
      </c>
      <c r="AC135" s="1563">
        <f t="shared" si="414"/>
        <v>1.1232</v>
      </c>
      <c r="AD135" t="str">
        <f t="shared" si="437"/>
        <v/>
      </c>
      <c r="AE135" s="1160">
        <f t="shared" ref="AE135:AE157" si="467">IF(AD135=AC135,,IF(AND(AC135="--",OR(AD135="",AD135=0)),,1))</f>
        <v>1</v>
      </c>
      <c r="AF135" s="1563">
        <f t="shared" si="415"/>
        <v>8.3398295459199995E-2</v>
      </c>
      <c r="AG135">
        <f t="shared" si="438"/>
        <v>8.3398295459199995E-2</v>
      </c>
      <c r="AH135" s="1160">
        <f t="shared" ref="AH135:AH157" si="468">IF(AG135=AF135,,1)</f>
        <v>0</v>
      </c>
      <c r="AI135" s="1563">
        <f t="shared" si="416"/>
        <v>1.025432748E-5</v>
      </c>
      <c r="AJ135">
        <f t="shared" si="439"/>
        <v>1.025432748E-5</v>
      </c>
      <c r="AK135" s="1160">
        <f t="shared" ref="AK135:AK157" si="469">IF(AJ135=AI135,,1)</f>
        <v>0</v>
      </c>
      <c r="AL135" s="1563">
        <f t="shared" si="417"/>
        <v>31.077266931</v>
      </c>
      <c r="AM135" t="e">
        <f t="shared" si="440"/>
        <v>#N/A</v>
      </c>
      <c r="AN135" s="1563">
        <f t="shared" si="418"/>
        <v>101281.17339659671</v>
      </c>
      <c r="AO135" t="str">
        <f t="shared" si="441"/>
        <v/>
      </c>
      <c r="AP135" s="1160">
        <f t="shared" si="442"/>
        <v>1</v>
      </c>
      <c r="AQ135" s="1563" t="str">
        <f t="shared" si="419"/>
        <v>--</v>
      </c>
      <c r="AS135" s="1563" t="str">
        <f t="shared" si="420"/>
        <v>--</v>
      </c>
      <c r="AU135" s="1563" t="str">
        <f t="shared" si="421"/>
        <v>--</v>
      </c>
      <c r="AW135" s="1563" t="str">
        <f t="shared" si="422"/>
        <v>--</v>
      </c>
      <c r="AY135" s="1592">
        <f t="shared" si="443"/>
        <v>1</v>
      </c>
      <c r="AZ135" s="821">
        <f t="shared" si="444"/>
        <v>1</v>
      </c>
      <c r="BA135" s="1160">
        <f t="shared" ref="BA135:BA157" si="470">IF(AZ135=AY135,,IF(AND(AY135="--",OR(AZ135="",AZ135=0)),,1))</f>
        <v>0</v>
      </c>
      <c r="BB135" s="1592">
        <f t="shared" si="445"/>
        <v>0.1</v>
      </c>
      <c r="BC135" s="821">
        <f t="shared" si="446"/>
        <v>0.1</v>
      </c>
      <c r="BD135" s="1160">
        <f t="shared" ref="BD135:BD157" si="471">IF(BC135=BB135,,IF(AND(BB135="--",OR(BC135="",BC135=0)),,1))</f>
        <v>0</v>
      </c>
      <c r="BE135" s="1592" t="str">
        <f t="shared" si="447"/>
        <v>Yes</v>
      </c>
      <c r="BF135" s="1592">
        <f t="shared" si="448"/>
        <v>4.3400000000000001E-3</v>
      </c>
      <c r="BG135" s="821">
        <f t="shared" si="449"/>
        <v>4.3400000000000001E-3</v>
      </c>
      <c r="BH135" s="1160">
        <f t="shared" ref="BH135:BH157" si="472">IF(BG135=BF135,,IF(AND(BF135="--",OR(BG135="",BG135=0)),,1))</f>
        <v>0</v>
      </c>
      <c r="BI135" s="1592">
        <f t="shared" si="450"/>
        <v>1</v>
      </c>
      <c r="BJ135" s="1592">
        <f t="shared" si="451"/>
        <v>1.6193603357629999E-2</v>
      </c>
      <c r="BK135" s="821">
        <f t="shared" si="452"/>
        <v>1.6193603357629999E-2</v>
      </c>
      <c r="BL135" s="1160">
        <f t="shared" ref="BL135:BL157" si="473">IF(BK135=BJ135,,IF(AND(BJ135="--",OR(BK135="",BK135=0)),,1))</f>
        <v>0</v>
      </c>
      <c r="BM135" s="1592">
        <f t="shared" si="453"/>
        <v>0.35390536767007003</v>
      </c>
      <c r="BN135" s="821">
        <f t="shared" si="454"/>
        <v>0.35390536767007003</v>
      </c>
      <c r="BO135" s="1160">
        <f t="shared" ref="BO135:BO157" si="474">IF(BN135=BM135,,IF(AND(BM135="--",OR(BN135="",BN135=0)),,1))</f>
        <v>0</v>
      </c>
      <c r="BP135" s="1592">
        <f t="shared" si="455"/>
        <v>0.84937288240816</v>
      </c>
      <c r="BQ135" s="821">
        <f t="shared" si="456"/>
        <v>0.84937288240816</v>
      </c>
      <c r="BR135" s="1160">
        <f t="shared" ref="BR135:BR157" si="475">IF(BQ135=BP135,,IF(AND(BP135="--",OR(BQ135="",BQ135=0)),,1))</f>
        <v>0</v>
      </c>
      <c r="BS135" s="1592" t="str">
        <f t="shared" si="457"/>
        <v>--</v>
      </c>
      <c r="BT135" s="821">
        <f t="shared" si="458"/>
        <v>0</v>
      </c>
      <c r="BU135" s="1160">
        <f t="shared" ref="BU135:BU157" si="476">IF(AND(BT135="M",BS135="yes"),,IF(AND(BS135="--",OR(BT135="",BT135=0)),,1))</f>
        <v>0</v>
      </c>
      <c r="BW135" s="75" t="str">
        <f t="shared" ref="BW135:BW157" si="477">VLOOKUP($A135,Table_IP_2, MATCH("sfo", heading_IP_2, 0), FALSE)</f>
        <v>--</v>
      </c>
      <c r="BX135" s="75" t="str">
        <f t="shared" ref="BX135:BX157" si="478">VLOOKUP($A135,Table_IP_2, MATCH("sfo-r", heading_IP_2, 0), FALSE)</f>
        <v xml:space="preserve"> </v>
      </c>
      <c r="BY135" s="75" t="str">
        <f t="shared" ref="BY135:BY157" si="479">VLOOKUP($B135,Table_RSL, MATCH("Sfo", Heading_RSL, 0), FALSE)</f>
        <v/>
      </c>
      <c r="BZ135" s="75" t="str">
        <f t="shared" ref="BZ135:BZ157" si="480">IF(VLOOKUP($B135,Table_RSL, MATCH("Sfo-r", Heading_RSL, 0), FALSE)=0,"",VLOOKUP($B135,Table_RSL, MATCH("Sfo-r", Heading_RSL, 0), FALSE))</f>
        <v/>
      </c>
      <c r="CA135" s="1670" t="str">
        <f t="shared" si="266"/>
        <v>--</v>
      </c>
      <c r="CB135" s="75" t="str">
        <f t="shared" ref="CB135:CB157" si="481">VLOOKUP($A135,Table_IP_2, MATCH("IUR", heading_IP_2, 0), FALSE)</f>
        <v>--</v>
      </c>
      <c r="CC135" s="75" t="str">
        <f t="shared" ref="CC135:CC157" si="482">VLOOKUP($A135,Table_IP_2, MATCH("IUR-r", heading_IP_2, 0), FALSE)</f>
        <v xml:space="preserve"> </v>
      </c>
      <c r="CD135" s="75" t="str">
        <f t="shared" ref="CD135:CD157" si="483">VLOOKUP($B135,Table_RSL, MATCH("IUR", Heading_RSL, 0), FALSE)</f>
        <v/>
      </c>
      <c r="CE135" s="75" t="str">
        <f t="shared" ref="CE135:CE157" si="484">IF(VLOOKUP($B135,Table_RSL, MATCH("IUR-r", Heading_RSL, 0), FALSE)=0,"",VLOOKUP($B135,Table_RSL, MATCH("IUR-r", Heading_RSL, 0), FALSE))</f>
        <v/>
      </c>
      <c r="CF135" s="1670" t="str">
        <f t="shared" si="267"/>
        <v>--</v>
      </c>
      <c r="CG135" s="75">
        <f t="shared" ref="CG135:CG157" si="485">VLOOKUP($A135,Table_IP_2, MATCH("RfDo", heading_IP_2, 0), FALSE)</f>
        <v>0.3</v>
      </c>
      <c r="CH135" s="75" t="str">
        <f t="shared" ref="CH135:CH157" si="486">VLOOKUP($A135,Table_IP_2, MATCH("Rfdo-r", heading_IP_2, 0), FALSE)</f>
        <v>IRIS 2002</v>
      </c>
      <c r="CI135" s="75">
        <f t="shared" ref="CI135:CI157" si="487">VLOOKUP($B135,Table_RSL, MATCH("RFDo", Heading_RSL, 0), FALSE)</f>
        <v>0.3</v>
      </c>
      <c r="CJ135" s="75" t="str">
        <f t="shared" ref="CJ135:CJ157" si="488">IF(VLOOKUP($B135,Table_RSL, MATCH("RFDO-r", Heading_RSL, 0), FALSE)=0,"",VLOOKUP($B135,Table_RSL, MATCH("RFDo-r", Heading_RSL, 0), FALSE))</f>
        <v>I</v>
      </c>
      <c r="CK135" s="1670" t="str">
        <f t="shared" si="268"/>
        <v>--</v>
      </c>
      <c r="CL135" s="75">
        <f t="shared" ref="CL135:CL157" si="489">VLOOKUP($A135,Table_IP_2, MATCH("Rfc", heading_IP_2, 0), FALSE)</f>
        <v>200</v>
      </c>
      <c r="CM135" s="75" t="str">
        <f t="shared" ref="CM135:CM157" si="490">VLOOKUP($A135,Table_IP_2, MATCH("Rfc-r", heading_IP_2, 0), FALSE)</f>
        <v>OEHHA 2000</v>
      </c>
      <c r="CN135" s="75">
        <f t="shared" ref="CN135:CN157" si="491">IF(VLOOKUP($B135,Table_RSL,MATCH("RFC",Heading_RSL,0),FALSE)="","",VLOOKUP($B135,Table_RSL,MATCH("RFC",Heading_RSL,0),FALSE)*1000)</f>
        <v>200</v>
      </c>
      <c r="CO135" s="75" t="str">
        <f t="shared" ref="CO135:CO157" si="492">IF(VLOOKUP($B135,Table_RSL, MATCH("RFC-r", Heading_RSL, 0), FALSE)=0,"",VLOOKUP($B135,Table_RSL, MATCH("RFC-r", Heading_RSL, 0), FALSE))</f>
        <v>C</v>
      </c>
      <c r="CP135" s="1670" t="str">
        <f t="shared" si="269"/>
        <v>--</v>
      </c>
      <c r="CR135" s="1686" t="str">
        <f t="shared" si="270"/>
        <v>--</v>
      </c>
      <c r="CS135" s="1686" t="str">
        <f t="shared" si="271"/>
        <v>--</v>
      </c>
      <c r="CT135" s="1686" t="str">
        <f t="shared" si="272"/>
        <v>--</v>
      </c>
      <c r="CU135" s="1686" t="str">
        <f t="shared" si="273"/>
        <v>--</v>
      </c>
    </row>
    <row r="136" spans="1:99">
      <c r="A136" s="1470" t="s">
        <v>303</v>
      </c>
      <c r="B136" s="1571" t="s">
        <v>304</v>
      </c>
      <c r="C136" s="1563" t="str">
        <f t="shared" si="406"/>
        <v>O</v>
      </c>
      <c r="D136" t="e">
        <f t="shared" si="427"/>
        <v>#N/A</v>
      </c>
      <c r="E136" s="1563">
        <f t="shared" si="428"/>
        <v>122.32</v>
      </c>
      <c r="F136">
        <f t="shared" si="429"/>
        <v>122.32</v>
      </c>
      <c r="G136" s="1160">
        <f t="shared" si="459"/>
        <v>0</v>
      </c>
      <c r="H136" s="1563" t="str">
        <f t="shared" si="407"/>
        <v>V</v>
      </c>
      <c r="I136" t="str">
        <f t="shared" si="430"/>
        <v>V</v>
      </c>
      <c r="J136" s="1160">
        <f t="shared" si="460"/>
        <v>0</v>
      </c>
      <c r="K136" s="1563">
        <f t="shared" si="408"/>
        <v>291.99</v>
      </c>
      <c r="L136">
        <f t="shared" si="431"/>
        <v>291.99</v>
      </c>
      <c r="M136" s="1160">
        <f t="shared" si="461"/>
        <v>0</v>
      </c>
      <c r="N136" s="1563">
        <f t="shared" si="409"/>
        <v>4.9399999999999997E-4</v>
      </c>
      <c r="O136">
        <f t="shared" si="432"/>
        <v>4.9399999999999997E-4</v>
      </c>
      <c r="P136" s="1160">
        <f t="shared" si="462"/>
        <v>0</v>
      </c>
      <c r="Q136" s="1563">
        <f t="shared" si="410"/>
        <v>0.7</v>
      </c>
      <c r="R136">
        <f t="shared" si="433"/>
        <v>0.7</v>
      </c>
      <c r="S136" s="1160">
        <f t="shared" si="463"/>
        <v>0</v>
      </c>
      <c r="T136" s="1563">
        <f t="shared" si="411"/>
        <v>4.15E-4</v>
      </c>
      <c r="U136">
        <f t="shared" si="434"/>
        <v>4.15E-4</v>
      </c>
      <c r="V136" s="1160">
        <f t="shared" si="464"/>
        <v>0</v>
      </c>
      <c r="W136" s="1563">
        <f t="shared" si="412"/>
        <v>1.6966475878990001E-2</v>
      </c>
      <c r="X136">
        <f t="shared" si="435"/>
        <v>1.6966475878990001E-2</v>
      </c>
      <c r="Y136" s="1160">
        <f t="shared" si="465"/>
        <v>0</v>
      </c>
      <c r="Z136" s="1563">
        <f t="shared" si="413"/>
        <v>78100</v>
      </c>
      <c r="AA136">
        <f t="shared" si="436"/>
        <v>78100</v>
      </c>
      <c r="AB136" s="1160">
        <f t="shared" si="466"/>
        <v>0</v>
      </c>
      <c r="AC136" s="1563">
        <f t="shared" si="414"/>
        <v>468.6</v>
      </c>
      <c r="AD136" t="str">
        <f t="shared" si="437"/>
        <v/>
      </c>
      <c r="AE136" s="1160">
        <f t="shared" si="467"/>
        <v>1</v>
      </c>
      <c r="AF136" s="1563">
        <f t="shared" si="415"/>
        <v>2.4339655398689999E-2</v>
      </c>
      <c r="AG136">
        <f t="shared" si="438"/>
        <v>2.4339655398689999E-2</v>
      </c>
      <c r="AH136" s="1160">
        <f t="shared" si="468"/>
        <v>0</v>
      </c>
      <c r="AI136" s="1563">
        <f t="shared" si="416"/>
        <v>6.2671267752199998E-6</v>
      </c>
      <c r="AJ136">
        <f t="shared" si="439"/>
        <v>6.2671267752199998E-6</v>
      </c>
      <c r="AK136" s="1160">
        <f t="shared" si="469"/>
        <v>0</v>
      </c>
      <c r="AL136" s="1563">
        <f t="shared" si="417"/>
        <v>12967.175905</v>
      </c>
      <c r="AM136" t="e">
        <f t="shared" si="440"/>
        <v>#N/A</v>
      </c>
      <c r="AN136" s="1563">
        <f t="shared" si="418"/>
        <v>328.09224832482249</v>
      </c>
      <c r="AO136" t="str">
        <f t="shared" si="441"/>
        <v/>
      </c>
      <c r="AP136" s="1160">
        <f t="shared" si="442"/>
        <v>1</v>
      </c>
      <c r="AQ136" s="1563">
        <f t="shared" si="419"/>
        <v>4.7025453973914123E-8</v>
      </c>
      <c r="AS136" s="1563">
        <f t="shared" si="420"/>
        <v>531905.10382762493</v>
      </c>
      <c r="AU136" s="1563">
        <f t="shared" si="421"/>
        <v>521575.86611474142</v>
      </c>
      <c r="AW136" s="1563">
        <f t="shared" si="422"/>
        <v>117812.37840488122</v>
      </c>
      <c r="AY136" s="1592">
        <f t="shared" si="443"/>
        <v>1</v>
      </c>
      <c r="AZ136" s="821">
        <f t="shared" si="444"/>
        <v>1</v>
      </c>
      <c r="BA136" s="1160">
        <f t="shared" si="470"/>
        <v>0</v>
      </c>
      <c r="BB136" s="1592">
        <f t="shared" si="445"/>
        <v>0.14000000000000001</v>
      </c>
      <c r="BC136" s="821">
        <f t="shared" si="446"/>
        <v>0.14000000000000001</v>
      </c>
      <c r="BD136" s="1160">
        <f t="shared" si="471"/>
        <v>0</v>
      </c>
      <c r="BE136" s="1592" t="str">
        <f t="shared" si="447"/>
        <v>No</v>
      </c>
      <c r="BF136" s="1592">
        <f t="shared" si="448"/>
        <v>0.54500000000000004</v>
      </c>
      <c r="BG136" s="821">
        <f t="shared" si="449"/>
        <v>0.54500000000000004</v>
      </c>
      <c r="BH136" s="1160">
        <f t="shared" si="472"/>
        <v>0</v>
      </c>
      <c r="BI136" s="1592">
        <f t="shared" si="450"/>
        <v>0.7</v>
      </c>
      <c r="BJ136" s="1592">
        <f t="shared" si="451"/>
        <v>3.5818479278722002</v>
      </c>
      <c r="BK136" s="821">
        <f t="shared" si="452"/>
        <v>3.5818479278722002</v>
      </c>
      <c r="BL136" s="1160">
        <f t="shared" si="473"/>
        <v>0</v>
      </c>
      <c r="BM136" s="1592">
        <f t="shared" si="453"/>
        <v>4.5393403832826502</v>
      </c>
      <c r="BN136" s="821">
        <f t="shared" si="454"/>
        <v>4.5393403832826502</v>
      </c>
      <c r="BO136" s="1160">
        <f t="shared" si="474"/>
        <v>0</v>
      </c>
      <c r="BP136" s="1592">
        <f t="shared" si="455"/>
        <v>19.446178178515499</v>
      </c>
      <c r="BQ136" s="821">
        <f t="shared" si="456"/>
        <v>19.446178178515499</v>
      </c>
      <c r="BR136" s="1160">
        <f t="shared" si="475"/>
        <v>0</v>
      </c>
      <c r="BS136" s="1592" t="str">
        <f t="shared" si="457"/>
        <v>--</v>
      </c>
      <c r="BT136" s="821">
        <f t="shared" si="458"/>
        <v>0</v>
      </c>
      <c r="BU136" s="1160">
        <f t="shared" si="476"/>
        <v>0</v>
      </c>
      <c r="BW136" s="75">
        <f t="shared" si="477"/>
        <v>2</v>
      </c>
      <c r="BX136" s="75" t="str">
        <f t="shared" si="478"/>
        <v>IRIS 1996</v>
      </c>
      <c r="BY136" s="75">
        <f t="shared" si="479"/>
        <v>2</v>
      </c>
      <c r="BZ136" s="75" t="str">
        <f t="shared" si="480"/>
        <v>I</v>
      </c>
      <c r="CA136" s="1670" t="str">
        <f t="shared" ref="CA136:CA157" si="493">IF(AND(BW136="--",BY136=""),"--",IF(AND(BW136="--",BY136&lt;&gt;""),"R",IF(AND(BY136="",BW136&lt;&gt;"--"),"N",IF(BW136=BY136,"--",IF(BY136&gt;BW136,"&gt;","check")))))</f>
        <v>--</v>
      </c>
      <c r="CB136" s="75">
        <f t="shared" si="481"/>
        <v>5.6999999999999998E-4</v>
      </c>
      <c r="CC136" s="75" t="str">
        <f t="shared" si="482"/>
        <v>IRIS 1996</v>
      </c>
      <c r="CD136" s="75">
        <f t="shared" si="483"/>
        <v>5.71E-4</v>
      </c>
      <c r="CE136" s="75" t="str">
        <f t="shared" si="484"/>
        <v>I</v>
      </c>
      <c r="CF136" s="1671" t="str">
        <f t="shared" ref="CF136:CF157" si="494">IF(AND(CB136="--",CD136=""),"--",IF(AND(CB136="--",CD136&lt;&gt;""),"R",IF(AND(CD136="",CB136&lt;&gt;"--"),"N",IF(CB136=CD136,"--",IF(CD136&gt;CB136,"&gt;","check")))))</f>
        <v>&gt;</v>
      </c>
      <c r="CG136" s="75" t="str">
        <f t="shared" si="485"/>
        <v>--</v>
      </c>
      <c r="CH136" s="75" t="str">
        <f t="shared" si="486"/>
        <v xml:space="preserve"> </v>
      </c>
      <c r="CI136" s="75" t="str">
        <f t="shared" si="487"/>
        <v/>
      </c>
      <c r="CJ136" s="75" t="str">
        <f t="shared" si="488"/>
        <v/>
      </c>
      <c r="CK136" s="1670" t="str">
        <f t="shared" ref="CK136:CK157" si="495">IF(AND(CG136="--",CI136=""),"--",IF(AND(CG136="--",CI136&lt;&gt;""),"R",IF(AND(CI136="",CG136&lt;&gt;"--"),"N",IF(CG136=CI136,"--",IF(CI136&lt;CG136,"&lt;","check")))))</f>
        <v>--</v>
      </c>
      <c r="CL136" s="75" t="str">
        <f t="shared" si="489"/>
        <v>--</v>
      </c>
      <c r="CM136" s="75" t="str">
        <f t="shared" si="490"/>
        <v xml:space="preserve"> </v>
      </c>
      <c r="CN136" s="75" t="str">
        <f t="shared" si="491"/>
        <v/>
      </c>
      <c r="CO136" s="75" t="str">
        <f t="shared" si="492"/>
        <v/>
      </c>
      <c r="CP136" s="1670" t="str">
        <f t="shared" ref="CP136:CP157" si="496">IF(AND(CL136="--",CN136=""),"--",IF(AND(CL136="--",CN136&lt;&gt;""),"R",IF(AND(CN136="",CL136&lt;&gt;"--"),"N",IF(CL136=CN136,"--",IF(CN136&lt;CL136,"&lt;","check")))))</f>
        <v>--</v>
      </c>
      <c r="CR136" s="1686" t="str">
        <f t="shared" ref="CR136:CR157" si="497">IF(OR(AND(BW136="--",BY136=""),BW136=BY136),"--","x")</f>
        <v>--</v>
      </c>
      <c r="CS136" s="1764" t="s">
        <v>115</v>
      </c>
      <c r="CT136" s="1686" t="str">
        <f t="shared" ref="CT136:CT157" si="498">IF(OR(AND(CG136="--",CI136=""),CG136=CI136),"--","x")</f>
        <v>--</v>
      </c>
      <c r="CU136" s="1686" t="str">
        <f t="shared" ref="CU136:CU157" si="499">IF(OR(AND(CL136="--",CN136=""),CL136=CN136),"--","x")</f>
        <v>--</v>
      </c>
    </row>
    <row r="137" spans="1:99">
      <c r="A137" s="1470" t="s">
        <v>305</v>
      </c>
      <c r="B137" s="1571" t="s">
        <v>306</v>
      </c>
      <c r="C137" s="1563" t="str">
        <f t="shared" si="406"/>
        <v>I</v>
      </c>
      <c r="D137" t="e">
        <f t="shared" si="427"/>
        <v>#N/A</v>
      </c>
      <c r="E137" s="1563">
        <f t="shared" si="428"/>
        <v>221</v>
      </c>
      <c r="F137">
        <f t="shared" si="429"/>
        <v>221</v>
      </c>
      <c r="G137" s="1160">
        <f t="shared" si="459"/>
        <v>0</v>
      </c>
      <c r="H137" s="1563" t="str">
        <f t="shared" si="407"/>
        <v>NV</v>
      </c>
      <c r="I137">
        <f t="shared" si="430"/>
        <v>0</v>
      </c>
      <c r="J137" s="1160">
        <f t="shared" si="460"/>
        <v>0</v>
      </c>
      <c r="K137" s="1563">
        <f t="shared" si="408"/>
        <v>78.959999999999994</v>
      </c>
      <c r="L137">
        <f t="shared" si="431"/>
        <v>78.959999999999994</v>
      </c>
      <c r="M137" s="1160">
        <f t="shared" si="461"/>
        <v>0</v>
      </c>
      <c r="N137" s="1563">
        <f t="shared" si="409"/>
        <v>1.42E-10</v>
      </c>
      <c r="O137">
        <f t="shared" si="432"/>
        <v>1.42E-10</v>
      </c>
      <c r="P137" s="1160">
        <f t="shared" si="462"/>
        <v>0</v>
      </c>
      <c r="Q137" s="1563" t="str">
        <f t="shared" si="410"/>
        <v>--</v>
      </c>
      <c r="R137" t="str">
        <f t="shared" si="433"/>
        <v/>
      </c>
      <c r="S137" s="1160">
        <f t="shared" si="463"/>
        <v>0</v>
      </c>
      <c r="T137" s="1563" t="str">
        <f t="shared" si="411"/>
        <v>--</v>
      </c>
      <c r="U137" t="str">
        <f t="shared" si="434"/>
        <v/>
      </c>
      <c r="V137" s="1160">
        <f t="shared" si="464"/>
        <v>0</v>
      </c>
      <c r="W137" s="1563" t="str">
        <f t="shared" si="412"/>
        <v>--</v>
      </c>
      <c r="X137" t="str">
        <f t="shared" si="435"/>
        <v/>
      </c>
      <c r="Y137" s="1160">
        <f t="shared" si="465"/>
        <v>0</v>
      </c>
      <c r="Z137" s="1563" t="str">
        <f t="shared" si="413"/>
        <v>--</v>
      </c>
      <c r="AA137" t="str">
        <f t="shared" si="436"/>
        <v/>
      </c>
      <c r="AB137" s="1160">
        <f t="shared" si="466"/>
        <v>0</v>
      </c>
      <c r="AC137" s="1563">
        <f t="shared" si="414"/>
        <v>5</v>
      </c>
      <c r="AD137">
        <f t="shared" si="437"/>
        <v>5</v>
      </c>
      <c r="AE137" s="1160">
        <f t="shared" si="467"/>
        <v>0</v>
      </c>
      <c r="AF137" s="1563">
        <f t="shared" si="415"/>
        <v>0.17126393562896</v>
      </c>
      <c r="AG137">
        <f t="shared" si="438"/>
        <v>0.17126393562896</v>
      </c>
      <c r="AH137" s="1160">
        <f t="shared" si="468"/>
        <v>0</v>
      </c>
      <c r="AI137" s="1563">
        <f t="shared" si="416"/>
        <v>2.8317855019999999E-5</v>
      </c>
      <c r="AJ137">
        <f t="shared" si="439"/>
        <v>2.8317855019999999E-5</v>
      </c>
      <c r="AK137" s="1160">
        <f t="shared" si="469"/>
        <v>0</v>
      </c>
      <c r="AL137" s="1563" t="str">
        <f t="shared" si="417"/>
        <v>--</v>
      </c>
      <c r="AM137" t="e">
        <f t="shared" si="440"/>
        <v>#N/A</v>
      </c>
      <c r="AN137" s="1563" t="str">
        <f t="shared" si="418"/>
        <v>--</v>
      </c>
      <c r="AO137" t="str">
        <f t="shared" si="441"/>
        <v/>
      </c>
      <c r="AP137" s="1160">
        <f t="shared" si="442"/>
        <v>1</v>
      </c>
      <c r="AQ137" s="1563" t="str">
        <f t="shared" si="419"/>
        <v>--</v>
      </c>
      <c r="AS137" s="1563" t="str">
        <f t="shared" si="420"/>
        <v>--</v>
      </c>
      <c r="AU137" s="1563" t="str">
        <f t="shared" si="421"/>
        <v>--</v>
      </c>
      <c r="AW137" s="1563" t="str">
        <f t="shared" si="422"/>
        <v>--</v>
      </c>
      <c r="AY137" s="1592">
        <f t="shared" si="443"/>
        <v>1</v>
      </c>
      <c r="AZ137" s="821">
        <f t="shared" si="444"/>
        <v>1</v>
      </c>
      <c r="BA137" s="1160">
        <f t="shared" si="470"/>
        <v>0</v>
      </c>
      <c r="BB137" s="1592" t="str">
        <f t="shared" si="445"/>
        <v>--</v>
      </c>
      <c r="BC137" s="821" t="str">
        <f t="shared" si="446"/>
        <v/>
      </c>
      <c r="BD137" s="1160">
        <f t="shared" si="471"/>
        <v>0</v>
      </c>
      <c r="BE137" s="1592" t="str">
        <f t="shared" si="447"/>
        <v>Yes</v>
      </c>
      <c r="BF137" s="1592">
        <f t="shared" si="448"/>
        <v>1E-3</v>
      </c>
      <c r="BG137" s="821">
        <f t="shared" si="449"/>
        <v>1E-3</v>
      </c>
      <c r="BH137" s="1160">
        <f t="shared" si="472"/>
        <v>0</v>
      </c>
      <c r="BI137" s="1592">
        <f t="shared" si="450"/>
        <v>1</v>
      </c>
      <c r="BJ137" s="1592">
        <f t="shared" si="451"/>
        <v>3.4176707525400002E-3</v>
      </c>
      <c r="BK137" s="821">
        <f t="shared" si="452"/>
        <v>3.4176707525400002E-3</v>
      </c>
      <c r="BL137" s="1160">
        <f t="shared" si="473"/>
        <v>0</v>
      </c>
      <c r="BM137" s="1592">
        <f t="shared" si="453"/>
        <v>0.29108829990245999</v>
      </c>
      <c r="BN137" s="821">
        <f t="shared" si="454"/>
        <v>0.29108829990245999</v>
      </c>
      <c r="BO137" s="1160">
        <f t="shared" si="474"/>
        <v>0</v>
      </c>
      <c r="BP137" s="1592">
        <f t="shared" si="455"/>
        <v>0.69861191976590997</v>
      </c>
      <c r="BQ137" s="821">
        <f t="shared" si="456"/>
        <v>0.69861191976590997</v>
      </c>
      <c r="BR137" s="1160">
        <f t="shared" si="475"/>
        <v>0</v>
      </c>
      <c r="BS137" s="1592" t="str">
        <f t="shared" si="457"/>
        <v>--</v>
      </c>
      <c r="BT137" s="821">
        <f t="shared" si="458"/>
        <v>0</v>
      </c>
      <c r="BU137" s="1160">
        <f t="shared" si="476"/>
        <v>0</v>
      </c>
      <c r="BW137" s="75" t="str">
        <f t="shared" si="477"/>
        <v>--</v>
      </c>
      <c r="BX137" s="75" t="str">
        <f t="shared" si="478"/>
        <v xml:space="preserve"> </v>
      </c>
      <c r="BY137" s="75" t="str">
        <f t="shared" si="479"/>
        <v/>
      </c>
      <c r="BZ137" s="75" t="str">
        <f t="shared" si="480"/>
        <v/>
      </c>
      <c r="CA137" s="1670" t="str">
        <f t="shared" si="493"/>
        <v>--</v>
      </c>
      <c r="CB137" s="75" t="str">
        <f t="shared" si="481"/>
        <v>--</v>
      </c>
      <c r="CC137" s="75" t="str">
        <f t="shared" si="482"/>
        <v xml:space="preserve"> </v>
      </c>
      <c r="CD137" s="75" t="str">
        <f t="shared" si="483"/>
        <v/>
      </c>
      <c r="CE137" s="75" t="str">
        <f t="shared" si="484"/>
        <v/>
      </c>
      <c r="CF137" s="1670" t="str">
        <f t="shared" si="494"/>
        <v>--</v>
      </c>
      <c r="CG137" s="75">
        <f t="shared" si="485"/>
        <v>5.0000000000000001E-3</v>
      </c>
      <c r="CH137" s="75" t="str">
        <f t="shared" si="486"/>
        <v>IRIS 1991</v>
      </c>
      <c r="CI137" s="75">
        <f t="shared" si="487"/>
        <v>5.0000000000000001E-3</v>
      </c>
      <c r="CJ137" s="75" t="str">
        <f t="shared" si="488"/>
        <v>I</v>
      </c>
      <c r="CK137" s="1670" t="str">
        <f t="shared" si="495"/>
        <v>--</v>
      </c>
      <c r="CL137" s="75">
        <f t="shared" si="489"/>
        <v>20</v>
      </c>
      <c r="CM137" s="75" t="str">
        <f t="shared" si="490"/>
        <v>OEHHA 2008</v>
      </c>
      <c r="CN137" s="75">
        <f t="shared" si="491"/>
        <v>20</v>
      </c>
      <c r="CO137" s="75" t="str">
        <f t="shared" si="492"/>
        <v>C</v>
      </c>
      <c r="CP137" s="1670" t="str">
        <f t="shared" si="496"/>
        <v>--</v>
      </c>
      <c r="CR137" s="1686" t="str">
        <f t="shared" si="497"/>
        <v>--</v>
      </c>
      <c r="CS137" s="1686" t="str">
        <f t="shared" ref="CS137:CS157" si="500">IF(OR(AND(CB137="--",CD137=""),CB137=CD137),"--","x")</f>
        <v>--</v>
      </c>
      <c r="CT137" s="1686" t="str">
        <f t="shared" si="498"/>
        <v>--</v>
      </c>
      <c r="CU137" s="1686" t="str">
        <f t="shared" si="499"/>
        <v>--</v>
      </c>
    </row>
    <row r="138" spans="1:99">
      <c r="A138" s="1470" t="s">
        <v>307</v>
      </c>
      <c r="B138" s="1571" t="s">
        <v>308</v>
      </c>
      <c r="C138" s="1563" t="str">
        <f t="shared" si="406"/>
        <v>I</v>
      </c>
      <c r="D138" t="e">
        <f t="shared" si="427"/>
        <v>#N/A</v>
      </c>
      <c r="E138" s="1563">
        <f t="shared" si="428"/>
        <v>960.5</v>
      </c>
      <c r="F138">
        <f t="shared" si="429"/>
        <v>960.5</v>
      </c>
      <c r="G138" s="1160">
        <f t="shared" si="459"/>
        <v>0</v>
      </c>
      <c r="H138" s="1563" t="str">
        <f t="shared" si="407"/>
        <v>NV</v>
      </c>
      <c r="I138">
        <f t="shared" si="430"/>
        <v>0</v>
      </c>
      <c r="J138" s="1160">
        <f t="shared" si="460"/>
        <v>0</v>
      </c>
      <c r="K138" s="1563">
        <f t="shared" si="408"/>
        <v>107.87</v>
      </c>
      <c r="L138">
        <f t="shared" si="431"/>
        <v>107.87</v>
      </c>
      <c r="M138" s="1160">
        <f t="shared" si="461"/>
        <v>0</v>
      </c>
      <c r="N138" s="1563" t="str">
        <f t="shared" si="409"/>
        <v>--</v>
      </c>
      <c r="O138">
        <f t="shared" si="432"/>
        <v>0</v>
      </c>
      <c r="P138" s="1160">
        <f t="shared" si="462"/>
        <v>0</v>
      </c>
      <c r="Q138" s="1563" t="str">
        <f t="shared" si="410"/>
        <v>--</v>
      </c>
      <c r="R138" t="str">
        <f t="shared" si="433"/>
        <v/>
      </c>
      <c r="S138" s="1160">
        <f t="shared" si="463"/>
        <v>0</v>
      </c>
      <c r="T138" s="1563" t="str">
        <f t="shared" si="411"/>
        <v>--</v>
      </c>
      <c r="U138" t="str">
        <f t="shared" si="434"/>
        <v/>
      </c>
      <c r="V138" s="1160">
        <f t="shared" si="464"/>
        <v>0</v>
      </c>
      <c r="W138" s="1563" t="str">
        <f t="shared" si="412"/>
        <v>--</v>
      </c>
      <c r="X138" t="str">
        <f t="shared" si="435"/>
        <v/>
      </c>
      <c r="Y138" s="1160">
        <f t="shared" si="465"/>
        <v>0</v>
      </c>
      <c r="Z138" s="1563" t="str">
        <f t="shared" si="413"/>
        <v>--</v>
      </c>
      <c r="AA138" t="str">
        <f t="shared" si="436"/>
        <v/>
      </c>
      <c r="AB138" s="1160">
        <f t="shared" si="466"/>
        <v>0</v>
      </c>
      <c r="AC138" s="1563">
        <f t="shared" si="414"/>
        <v>8.3000000000000007</v>
      </c>
      <c r="AD138">
        <f t="shared" si="437"/>
        <v>8.3000000000000007</v>
      </c>
      <c r="AE138" s="1160">
        <f t="shared" si="467"/>
        <v>0</v>
      </c>
      <c r="AF138" s="1563">
        <f t="shared" si="415"/>
        <v>0.17502234991880999</v>
      </c>
      <c r="AG138">
        <f t="shared" si="438"/>
        <v>0.17502234991880999</v>
      </c>
      <c r="AH138" s="1160">
        <f t="shared" si="468"/>
        <v>0</v>
      </c>
      <c r="AI138" s="1563">
        <f t="shared" si="416"/>
        <v>3.751845481E-5</v>
      </c>
      <c r="AJ138">
        <f t="shared" si="439"/>
        <v>3.751845481E-5</v>
      </c>
      <c r="AK138" s="1160">
        <f t="shared" si="469"/>
        <v>0</v>
      </c>
      <c r="AL138" s="1563" t="str">
        <f t="shared" si="417"/>
        <v>--</v>
      </c>
      <c r="AM138" t="e">
        <f t="shared" si="440"/>
        <v>#N/A</v>
      </c>
      <c r="AN138" s="1563" t="str">
        <f t="shared" si="418"/>
        <v>--</v>
      </c>
      <c r="AO138" t="str">
        <f t="shared" si="441"/>
        <v/>
      </c>
      <c r="AP138" s="1160">
        <f t="shared" si="442"/>
        <v>1</v>
      </c>
      <c r="AQ138" s="1563" t="str">
        <f t="shared" si="419"/>
        <v>--</v>
      </c>
      <c r="AS138" s="1563" t="str">
        <f t="shared" si="420"/>
        <v>--</v>
      </c>
      <c r="AU138" s="1563" t="str">
        <f t="shared" si="421"/>
        <v>--</v>
      </c>
      <c r="AW138" s="1563" t="str">
        <f t="shared" si="422"/>
        <v>--</v>
      </c>
      <c r="AY138" s="1592">
        <f t="shared" si="443"/>
        <v>0.04</v>
      </c>
      <c r="AZ138" s="821">
        <f t="shared" si="444"/>
        <v>0.04</v>
      </c>
      <c r="BA138" s="1160">
        <f t="shared" si="470"/>
        <v>0</v>
      </c>
      <c r="BB138" s="1592" t="str">
        <f t="shared" si="445"/>
        <v>--</v>
      </c>
      <c r="BC138" s="821" t="str">
        <f t="shared" si="446"/>
        <v/>
      </c>
      <c r="BD138" s="1160">
        <f t="shared" si="471"/>
        <v>0</v>
      </c>
      <c r="BE138" s="1592" t="str">
        <f t="shared" si="447"/>
        <v>Yes</v>
      </c>
      <c r="BF138" s="1592">
        <f t="shared" si="448"/>
        <v>5.9999999999999995E-4</v>
      </c>
      <c r="BG138" s="821">
        <f t="shared" si="449"/>
        <v>5.9999999999999995E-4</v>
      </c>
      <c r="BH138" s="1160">
        <f t="shared" si="472"/>
        <v>0</v>
      </c>
      <c r="BI138" s="1592">
        <f t="shared" si="450"/>
        <v>1</v>
      </c>
      <c r="BJ138" s="1592">
        <f t="shared" si="451"/>
        <v>2.3967803848100001E-3</v>
      </c>
      <c r="BK138" s="821">
        <f t="shared" si="452"/>
        <v>2.3967803848100001E-3</v>
      </c>
      <c r="BL138" s="1160">
        <f t="shared" si="473"/>
        <v>0</v>
      </c>
      <c r="BM138" s="1592">
        <f t="shared" si="453"/>
        <v>0.42259149241587002</v>
      </c>
      <c r="BN138" s="821">
        <f t="shared" si="454"/>
        <v>0.42259149241587002</v>
      </c>
      <c r="BO138" s="1160">
        <f t="shared" si="474"/>
        <v>0</v>
      </c>
      <c r="BP138" s="1592">
        <f t="shared" si="455"/>
        <v>1.0142195817980899</v>
      </c>
      <c r="BQ138" s="821">
        <f t="shared" si="456"/>
        <v>1.0142195817980899</v>
      </c>
      <c r="BR138" s="1160">
        <f t="shared" si="475"/>
        <v>0</v>
      </c>
      <c r="BS138" s="1592" t="str">
        <f t="shared" si="457"/>
        <v>--</v>
      </c>
      <c r="BT138" s="821">
        <f t="shared" si="458"/>
        <v>0</v>
      </c>
      <c r="BU138" s="1160">
        <f t="shared" si="476"/>
        <v>0</v>
      </c>
      <c r="BW138" s="75" t="str">
        <f t="shared" si="477"/>
        <v>--</v>
      </c>
      <c r="BX138" s="75" t="str">
        <f t="shared" si="478"/>
        <v xml:space="preserve"> </v>
      </c>
      <c r="BY138" s="75" t="str">
        <f t="shared" si="479"/>
        <v/>
      </c>
      <c r="BZ138" s="75" t="str">
        <f t="shared" si="480"/>
        <v/>
      </c>
      <c r="CA138" s="1670" t="str">
        <f t="shared" si="493"/>
        <v>--</v>
      </c>
      <c r="CB138" s="75" t="str">
        <f t="shared" si="481"/>
        <v>--</v>
      </c>
      <c r="CC138" s="75" t="str">
        <f t="shared" si="482"/>
        <v xml:space="preserve"> </v>
      </c>
      <c r="CD138" s="75" t="str">
        <f t="shared" si="483"/>
        <v/>
      </c>
      <c r="CE138" s="75" t="str">
        <f t="shared" si="484"/>
        <v/>
      </c>
      <c r="CF138" s="1670" t="str">
        <f t="shared" si="494"/>
        <v>--</v>
      </c>
      <c r="CG138" s="75">
        <f t="shared" si="485"/>
        <v>5.0000000000000001E-3</v>
      </c>
      <c r="CH138" s="75" t="str">
        <f t="shared" si="486"/>
        <v>IRIS 1991</v>
      </c>
      <c r="CI138" s="75">
        <f t="shared" si="487"/>
        <v>5.0000000000000001E-3</v>
      </c>
      <c r="CJ138" s="75" t="str">
        <f t="shared" si="488"/>
        <v>I</v>
      </c>
      <c r="CK138" s="1670" t="str">
        <f t="shared" si="495"/>
        <v>--</v>
      </c>
      <c r="CL138" s="75" t="str">
        <f t="shared" si="489"/>
        <v>--</v>
      </c>
      <c r="CM138" s="75" t="str">
        <f t="shared" si="490"/>
        <v xml:space="preserve"> </v>
      </c>
      <c r="CN138" s="75" t="str">
        <f t="shared" si="491"/>
        <v/>
      </c>
      <c r="CO138" s="75" t="str">
        <f t="shared" si="492"/>
        <v/>
      </c>
      <c r="CP138" s="1670" t="str">
        <f t="shared" si="496"/>
        <v>--</v>
      </c>
      <c r="CR138" s="1686" t="str">
        <f t="shared" si="497"/>
        <v>--</v>
      </c>
      <c r="CS138" s="1686" t="str">
        <f t="shared" si="500"/>
        <v>--</v>
      </c>
      <c r="CT138" s="1686" t="str">
        <f t="shared" si="498"/>
        <v>--</v>
      </c>
      <c r="CU138" s="1686" t="str">
        <f t="shared" si="499"/>
        <v>--</v>
      </c>
    </row>
    <row r="139" spans="1:99">
      <c r="A139" s="1470" t="s">
        <v>309</v>
      </c>
      <c r="B139" s="1571" t="s">
        <v>310</v>
      </c>
      <c r="C139" s="1563" t="str">
        <f t="shared" si="406"/>
        <v>O</v>
      </c>
      <c r="D139" t="e">
        <f t="shared" si="427"/>
        <v>#N/A</v>
      </c>
      <c r="E139" s="1563">
        <f t="shared" si="428"/>
        <v>-31</v>
      </c>
      <c r="F139">
        <f t="shared" si="429"/>
        <v>-31</v>
      </c>
      <c r="G139" s="1160">
        <f t="shared" si="459"/>
        <v>0</v>
      </c>
      <c r="H139" s="1563" t="str">
        <f t="shared" si="407"/>
        <v>V</v>
      </c>
      <c r="I139" t="str">
        <f t="shared" si="430"/>
        <v>V</v>
      </c>
      <c r="J139" s="1160">
        <f t="shared" si="460"/>
        <v>0</v>
      </c>
      <c r="K139" s="1563">
        <f t="shared" si="408"/>
        <v>104.15</v>
      </c>
      <c r="L139">
        <f t="shared" si="431"/>
        <v>104.15</v>
      </c>
      <c r="M139" s="1160">
        <f t="shared" si="461"/>
        <v>0</v>
      </c>
      <c r="N139" s="1563">
        <f t="shared" si="409"/>
        <v>6.4</v>
      </c>
      <c r="O139">
        <f t="shared" si="432"/>
        <v>6.4</v>
      </c>
      <c r="P139" s="1160">
        <f t="shared" si="462"/>
        <v>0</v>
      </c>
      <c r="Q139" s="1563">
        <f t="shared" si="410"/>
        <v>310</v>
      </c>
      <c r="R139">
        <f t="shared" si="433"/>
        <v>310</v>
      </c>
      <c r="S139" s="1160">
        <f t="shared" si="463"/>
        <v>0</v>
      </c>
      <c r="T139" s="1563">
        <f t="shared" si="411"/>
        <v>2.7499999999999998E-3</v>
      </c>
      <c r="U139">
        <f t="shared" si="434"/>
        <v>2.7499999999999998E-3</v>
      </c>
      <c r="V139" s="1160">
        <f t="shared" si="464"/>
        <v>0</v>
      </c>
      <c r="W139" s="1563">
        <f t="shared" si="412"/>
        <v>0.11242845461978999</v>
      </c>
      <c r="X139">
        <f t="shared" si="435"/>
        <v>0.11242845461978999</v>
      </c>
      <c r="Y139" s="1160">
        <f t="shared" si="465"/>
        <v>0</v>
      </c>
      <c r="Z139" s="1563">
        <f t="shared" si="413"/>
        <v>446.1</v>
      </c>
      <c r="AA139">
        <f t="shared" si="436"/>
        <v>446.1</v>
      </c>
      <c r="AB139" s="1160">
        <f t="shared" si="466"/>
        <v>0</v>
      </c>
      <c r="AC139" s="1563">
        <f t="shared" si="414"/>
        <v>2.6766000000000001</v>
      </c>
      <c r="AD139" t="str">
        <f t="shared" si="437"/>
        <v/>
      </c>
      <c r="AE139" s="1160">
        <f t="shared" si="467"/>
        <v>1</v>
      </c>
      <c r="AF139" s="1563">
        <f t="shared" si="415"/>
        <v>7.1114019006519993E-2</v>
      </c>
      <c r="AG139">
        <f t="shared" si="438"/>
        <v>7.1114019006519993E-2</v>
      </c>
      <c r="AH139" s="1160">
        <f t="shared" si="468"/>
        <v>0</v>
      </c>
      <c r="AI139" s="1563">
        <f t="shared" si="416"/>
        <v>8.7838426783500005E-6</v>
      </c>
      <c r="AJ139">
        <f t="shared" si="439"/>
        <v>8.7838426783500005E-6</v>
      </c>
      <c r="AK139" s="1160">
        <f t="shared" si="469"/>
        <v>0</v>
      </c>
      <c r="AL139" s="1563">
        <f t="shared" si="417"/>
        <v>91.121850000000009</v>
      </c>
      <c r="AM139" t="e">
        <f t="shared" si="440"/>
        <v>#N/A</v>
      </c>
      <c r="AN139" s="1563">
        <f t="shared" si="418"/>
        <v>867.34392396262422</v>
      </c>
      <c r="AO139">
        <f t="shared" si="441"/>
        <v>867</v>
      </c>
      <c r="AP139" s="1160">
        <f t="shared" si="442"/>
        <v>1</v>
      </c>
      <c r="AQ139" s="1563">
        <f t="shared" si="419"/>
        <v>1.5226458669316049E-4</v>
      </c>
      <c r="AS139" s="1563">
        <f t="shared" si="420"/>
        <v>9347.6232902671545</v>
      </c>
      <c r="AU139" s="1563">
        <f t="shared" si="421"/>
        <v>9166.0987620743472</v>
      </c>
      <c r="AW139" s="1563">
        <f t="shared" si="422"/>
        <v>2070.4176822791378</v>
      </c>
      <c r="AY139" s="1592">
        <f t="shared" si="443"/>
        <v>1</v>
      </c>
      <c r="AZ139" s="821">
        <f t="shared" si="444"/>
        <v>1</v>
      </c>
      <c r="BA139" s="1160">
        <f t="shared" si="470"/>
        <v>0</v>
      </c>
      <c r="BB139" s="1592" t="str">
        <f t="shared" si="445"/>
        <v>--</v>
      </c>
      <c r="BC139" s="821" t="str">
        <f t="shared" si="446"/>
        <v/>
      </c>
      <c r="BD139" s="1160">
        <f t="shared" si="471"/>
        <v>0</v>
      </c>
      <c r="BE139" s="1592" t="str">
        <f t="shared" si="447"/>
        <v>Yes</v>
      </c>
      <c r="BF139" s="1592">
        <f t="shared" si="448"/>
        <v>3.7199999999999997E-2</v>
      </c>
      <c r="BG139" s="821">
        <f t="shared" si="449"/>
        <v>3.7199999999999997E-2</v>
      </c>
      <c r="BH139" s="1160">
        <f t="shared" si="472"/>
        <v>0</v>
      </c>
      <c r="BI139" s="1592">
        <f t="shared" si="450"/>
        <v>1</v>
      </c>
      <c r="BJ139" s="1592">
        <f t="shared" si="451"/>
        <v>0.14601559047828</v>
      </c>
      <c r="BK139" s="821">
        <f t="shared" si="452"/>
        <v>0.14601559047828</v>
      </c>
      <c r="BL139" s="1160">
        <f t="shared" si="473"/>
        <v>0</v>
      </c>
      <c r="BM139" s="1592">
        <f t="shared" si="453"/>
        <v>0.40279933938787998</v>
      </c>
      <c r="BN139" s="821">
        <f t="shared" si="454"/>
        <v>0.40279933938787998</v>
      </c>
      <c r="BO139" s="1160">
        <f t="shared" si="474"/>
        <v>0</v>
      </c>
      <c r="BP139" s="1592">
        <f t="shared" si="455"/>
        <v>0.96671841453092</v>
      </c>
      <c r="BQ139" s="821">
        <f t="shared" si="456"/>
        <v>0.96671841453092</v>
      </c>
      <c r="BR139" s="1160">
        <f t="shared" si="475"/>
        <v>0</v>
      </c>
      <c r="BS139" s="1592" t="str">
        <f t="shared" si="457"/>
        <v>--</v>
      </c>
      <c r="BT139" s="821">
        <f t="shared" si="458"/>
        <v>0</v>
      </c>
      <c r="BU139" s="1160">
        <f t="shared" si="476"/>
        <v>0</v>
      </c>
      <c r="BW139" s="75" t="str">
        <f t="shared" si="477"/>
        <v>--</v>
      </c>
      <c r="BX139" s="75" t="str">
        <f t="shared" si="478"/>
        <v xml:space="preserve"> </v>
      </c>
      <c r="BY139" s="75" t="str">
        <f t="shared" si="479"/>
        <v/>
      </c>
      <c r="BZ139" s="75" t="str">
        <f t="shared" si="480"/>
        <v/>
      </c>
      <c r="CA139" s="1670" t="str">
        <f t="shared" si="493"/>
        <v>--</v>
      </c>
      <c r="CB139" s="75" t="str">
        <f t="shared" si="481"/>
        <v>--</v>
      </c>
      <c r="CC139" s="75" t="str">
        <f t="shared" si="482"/>
        <v xml:space="preserve"> </v>
      </c>
      <c r="CD139" s="75" t="str">
        <f t="shared" si="483"/>
        <v/>
      </c>
      <c r="CE139" s="75" t="str">
        <f t="shared" si="484"/>
        <v/>
      </c>
      <c r="CF139" s="1670" t="str">
        <f t="shared" si="494"/>
        <v>--</v>
      </c>
      <c r="CG139" s="75">
        <f t="shared" si="485"/>
        <v>0.2</v>
      </c>
      <c r="CH139" s="75" t="str">
        <f t="shared" si="486"/>
        <v>IRIS 1992</v>
      </c>
      <c r="CI139" s="75">
        <f t="shared" si="487"/>
        <v>0.2</v>
      </c>
      <c r="CJ139" s="75" t="str">
        <f t="shared" si="488"/>
        <v>I</v>
      </c>
      <c r="CK139" s="1670" t="str">
        <f t="shared" si="495"/>
        <v>--</v>
      </c>
      <c r="CL139" s="75">
        <f t="shared" si="489"/>
        <v>900</v>
      </c>
      <c r="CM139" s="75" t="str">
        <f t="shared" si="490"/>
        <v>OEHHA 2008</v>
      </c>
      <c r="CN139" s="75">
        <f t="shared" si="491"/>
        <v>1000</v>
      </c>
      <c r="CO139" s="75" t="str">
        <f t="shared" si="492"/>
        <v>I</v>
      </c>
      <c r="CP139" s="1671" t="str">
        <f t="shared" si="496"/>
        <v>check</v>
      </c>
      <c r="CR139" s="1686" t="str">
        <f t="shared" si="497"/>
        <v>--</v>
      </c>
      <c r="CS139" s="1686" t="str">
        <f t="shared" si="500"/>
        <v>--</v>
      </c>
      <c r="CT139" s="1686" t="str">
        <f t="shared" si="498"/>
        <v>--</v>
      </c>
      <c r="CU139" s="1686" t="str">
        <f t="shared" si="499"/>
        <v>x</v>
      </c>
    </row>
    <row r="140" spans="1:99">
      <c r="A140" s="1470" t="s">
        <v>311</v>
      </c>
      <c r="B140" s="1571" t="s">
        <v>312</v>
      </c>
      <c r="C140" s="1563" t="str">
        <f t="shared" si="406"/>
        <v>O</v>
      </c>
      <c r="D140" t="e">
        <f t="shared" si="427"/>
        <v>#N/A</v>
      </c>
      <c r="E140" s="1563">
        <f t="shared" si="428"/>
        <v>25.4</v>
      </c>
      <c r="F140">
        <f t="shared" si="429"/>
        <v>25.4</v>
      </c>
      <c r="G140" s="1160">
        <f t="shared" si="459"/>
        <v>0</v>
      </c>
      <c r="H140" s="1563" t="str">
        <f t="shared" si="407"/>
        <v>V</v>
      </c>
      <c r="I140" t="str">
        <f t="shared" si="430"/>
        <v>V</v>
      </c>
      <c r="J140" s="1160">
        <f t="shared" si="460"/>
        <v>0</v>
      </c>
      <c r="K140" s="1563">
        <f t="shared" si="408"/>
        <v>74.123999999999995</v>
      </c>
      <c r="L140">
        <f t="shared" si="431"/>
        <v>74.123999999999995</v>
      </c>
      <c r="M140" s="1160">
        <f t="shared" si="461"/>
        <v>0</v>
      </c>
      <c r="N140" s="1563">
        <f t="shared" si="409"/>
        <v>40.700000000000003</v>
      </c>
      <c r="O140">
        <f t="shared" si="432"/>
        <v>40.700000000000003</v>
      </c>
      <c r="P140" s="1160">
        <f t="shared" si="462"/>
        <v>0</v>
      </c>
      <c r="Q140" s="1563">
        <f t="shared" si="410"/>
        <v>1000000</v>
      </c>
      <c r="R140">
        <f t="shared" si="433"/>
        <v>1000000</v>
      </c>
      <c r="S140" s="1160">
        <f t="shared" si="463"/>
        <v>0</v>
      </c>
      <c r="T140" s="1563">
        <f t="shared" si="411"/>
        <v>9.0499999999999997E-6</v>
      </c>
      <c r="U140">
        <f t="shared" si="434"/>
        <v>9.0499999999999997E-6</v>
      </c>
      <c r="V140" s="1160">
        <f t="shared" si="464"/>
        <v>0</v>
      </c>
      <c r="W140" s="1563">
        <f t="shared" si="412"/>
        <v>3.6999182339000002E-4</v>
      </c>
      <c r="X140">
        <f t="shared" si="435"/>
        <v>3.6999182339000002E-4</v>
      </c>
      <c r="Y140" s="1160">
        <f t="shared" si="465"/>
        <v>0</v>
      </c>
      <c r="Z140" s="1563">
        <f t="shared" si="413"/>
        <v>2.1110000000000002</v>
      </c>
      <c r="AA140">
        <f t="shared" si="436"/>
        <v>2.1110000000000002</v>
      </c>
      <c r="AB140" s="1160">
        <f t="shared" si="466"/>
        <v>0</v>
      </c>
      <c r="AC140" s="1563">
        <f t="shared" si="414"/>
        <v>1.2666000000000002E-2</v>
      </c>
      <c r="AD140" t="str">
        <f t="shared" si="437"/>
        <v/>
      </c>
      <c r="AE140" s="1160">
        <f t="shared" si="467"/>
        <v>1</v>
      </c>
      <c r="AF140" s="1563">
        <f t="shared" si="415"/>
        <v>8.9030987241509998E-2</v>
      </c>
      <c r="AG140">
        <f t="shared" si="438"/>
        <v>8.9030987241509998E-2</v>
      </c>
      <c r="AH140" s="1160">
        <f t="shared" si="468"/>
        <v>0</v>
      </c>
      <c r="AI140" s="1563">
        <f t="shared" si="416"/>
        <v>9.9413088784600001E-6</v>
      </c>
      <c r="AJ140">
        <f t="shared" si="439"/>
        <v>9.9413088784600001E-6</v>
      </c>
      <c r="AK140" s="1160">
        <f t="shared" si="469"/>
        <v>0</v>
      </c>
      <c r="AL140" s="1563">
        <f t="shared" si="417"/>
        <v>0.40659935000000008</v>
      </c>
      <c r="AM140" t="e">
        <f t="shared" si="440"/>
        <v>#N/A</v>
      </c>
      <c r="AN140" s="1563">
        <f t="shared" si="418"/>
        <v>112736.04247725812</v>
      </c>
      <c r="AO140" t="str">
        <f t="shared" si="441"/>
        <v/>
      </c>
      <c r="AP140" s="1160">
        <f t="shared" si="442"/>
        <v>1</v>
      </c>
      <c r="AQ140" s="1563">
        <f t="shared" si="419"/>
        <v>1.6126997010141869E-5</v>
      </c>
      <c r="AS140" s="1563">
        <f t="shared" si="420"/>
        <v>28722.610126324369</v>
      </c>
      <c r="AU140" s="1563">
        <f t="shared" si="421"/>
        <v>28164.836445278015</v>
      </c>
      <c r="AW140" s="1563">
        <f t="shared" si="422"/>
        <v>6361.8096322591737</v>
      </c>
      <c r="AY140" s="1592">
        <f t="shared" si="443"/>
        <v>1</v>
      </c>
      <c r="AZ140" s="821">
        <f t="shared" si="444"/>
        <v>1</v>
      </c>
      <c r="BA140" s="1160">
        <f t="shared" si="470"/>
        <v>0</v>
      </c>
      <c r="BB140" s="1592" t="str">
        <f t="shared" si="445"/>
        <v>--</v>
      </c>
      <c r="BC140" s="821" t="str">
        <f t="shared" si="446"/>
        <v/>
      </c>
      <c r="BD140" s="1160">
        <f t="shared" si="471"/>
        <v>0</v>
      </c>
      <c r="BE140" s="1592" t="str">
        <f t="shared" si="447"/>
        <v>Yes</v>
      </c>
      <c r="BF140" s="1592">
        <f t="shared" si="448"/>
        <v>1.0300000000000001E-3</v>
      </c>
      <c r="BG140" s="821">
        <f t="shared" si="449"/>
        <v>1.0300000000000001E-3</v>
      </c>
      <c r="BH140" s="1160">
        <f t="shared" si="472"/>
        <v>0</v>
      </c>
      <c r="BI140" s="1592">
        <f t="shared" si="450"/>
        <v>1</v>
      </c>
      <c r="BJ140" s="1592">
        <f t="shared" si="451"/>
        <v>3.4106982661499998E-3</v>
      </c>
      <c r="BK140" s="821">
        <f t="shared" si="452"/>
        <v>3.4106982661499998E-3</v>
      </c>
      <c r="BL140" s="1160">
        <f t="shared" si="473"/>
        <v>0</v>
      </c>
      <c r="BM140" s="1592">
        <f t="shared" si="453"/>
        <v>0.27349106952802998</v>
      </c>
      <c r="BN140" s="821">
        <f t="shared" si="454"/>
        <v>0.27349106952802998</v>
      </c>
      <c r="BO140" s="1160">
        <f t="shared" si="474"/>
        <v>0</v>
      </c>
      <c r="BP140" s="1592">
        <f t="shared" si="455"/>
        <v>0.65637856686726004</v>
      </c>
      <c r="BQ140" s="821">
        <f t="shared" si="456"/>
        <v>0.65637856686726004</v>
      </c>
      <c r="BR140" s="1160">
        <f t="shared" si="475"/>
        <v>0</v>
      </c>
      <c r="BS140" s="1592" t="str">
        <f t="shared" si="457"/>
        <v>--</v>
      </c>
      <c r="BT140" s="821">
        <f t="shared" si="458"/>
        <v>0</v>
      </c>
      <c r="BU140" s="1160">
        <f t="shared" si="476"/>
        <v>0</v>
      </c>
      <c r="BW140" s="75">
        <f t="shared" si="477"/>
        <v>5.0000000000000001E-4</v>
      </c>
      <c r="BX140" s="75" t="str">
        <f t="shared" si="478"/>
        <v>IRIS</v>
      </c>
      <c r="BY140" s="75">
        <f t="shared" si="479"/>
        <v>5.0000000000000001E-4</v>
      </c>
      <c r="BZ140" s="75" t="str">
        <f t="shared" si="480"/>
        <v>I</v>
      </c>
      <c r="CA140" s="1670" t="str">
        <f t="shared" si="493"/>
        <v>--</v>
      </c>
      <c r="CB140" s="75" t="str">
        <f t="shared" si="481"/>
        <v>--</v>
      </c>
      <c r="CC140" s="75" t="str">
        <f t="shared" si="482"/>
        <v xml:space="preserve"> </v>
      </c>
      <c r="CD140" s="75" t="str">
        <f t="shared" si="483"/>
        <v/>
      </c>
      <c r="CE140" s="75" t="str">
        <f t="shared" si="484"/>
        <v/>
      </c>
      <c r="CF140" s="1670" t="str">
        <f t="shared" si="494"/>
        <v>--</v>
      </c>
      <c r="CG140" s="75">
        <f t="shared" si="485"/>
        <v>0.4</v>
      </c>
      <c r="CH140" s="75" t="str">
        <f t="shared" si="486"/>
        <v>IRIS</v>
      </c>
      <c r="CI140" s="75">
        <f t="shared" si="487"/>
        <v>0.4</v>
      </c>
      <c r="CJ140" s="75" t="str">
        <f t="shared" si="488"/>
        <v>I</v>
      </c>
      <c r="CK140" s="1670" t="str">
        <f t="shared" si="495"/>
        <v>--</v>
      </c>
      <c r="CL140" s="75">
        <f t="shared" si="489"/>
        <v>5000</v>
      </c>
      <c r="CM140" s="75" t="str">
        <f t="shared" si="490"/>
        <v xml:space="preserve">IRIS </v>
      </c>
      <c r="CN140" s="75">
        <f t="shared" si="491"/>
        <v>5000</v>
      </c>
      <c r="CO140" s="75" t="str">
        <f t="shared" si="492"/>
        <v>I</v>
      </c>
      <c r="CP140" s="1670" t="str">
        <f t="shared" si="496"/>
        <v>--</v>
      </c>
      <c r="CR140" s="1686" t="str">
        <f t="shared" si="497"/>
        <v>--</v>
      </c>
      <c r="CS140" s="1686" t="str">
        <f t="shared" si="500"/>
        <v>--</v>
      </c>
      <c r="CT140" s="1686" t="str">
        <f t="shared" si="498"/>
        <v>--</v>
      </c>
      <c r="CU140" s="1686" t="str">
        <f t="shared" si="499"/>
        <v>--</v>
      </c>
    </row>
    <row r="141" spans="1:99">
      <c r="A141" s="1470" t="s">
        <v>313</v>
      </c>
      <c r="B141" s="1571" t="s">
        <v>314</v>
      </c>
      <c r="C141" s="1563" t="str">
        <f t="shared" si="406"/>
        <v>O</v>
      </c>
      <c r="D141" t="e">
        <f t="shared" si="427"/>
        <v>#N/A</v>
      </c>
      <c r="E141" s="1563">
        <f t="shared" si="428"/>
        <v>-70.2</v>
      </c>
      <c r="F141">
        <f t="shared" si="429"/>
        <v>-70.2</v>
      </c>
      <c r="G141" s="1160">
        <f t="shared" si="459"/>
        <v>0</v>
      </c>
      <c r="H141" s="1563" t="str">
        <f t="shared" si="407"/>
        <v>V</v>
      </c>
      <c r="I141" t="str">
        <f t="shared" si="430"/>
        <v>V</v>
      </c>
      <c r="J141" s="1160">
        <f t="shared" si="460"/>
        <v>0</v>
      </c>
      <c r="K141" s="1563">
        <f t="shared" si="408"/>
        <v>167.85</v>
      </c>
      <c r="L141">
        <f t="shared" si="431"/>
        <v>167.85</v>
      </c>
      <c r="M141" s="1160">
        <f t="shared" si="461"/>
        <v>0</v>
      </c>
      <c r="N141" s="1563">
        <f t="shared" si="409"/>
        <v>12</v>
      </c>
      <c r="O141">
        <f t="shared" si="432"/>
        <v>12</v>
      </c>
      <c r="P141" s="1160">
        <f t="shared" si="462"/>
        <v>0</v>
      </c>
      <c r="Q141" s="1563">
        <f t="shared" si="410"/>
        <v>1070</v>
      </c>
      <c r="R141">
        <f t="shared" si="433"/>
        <v>1070</v>
      </c>
      <c r="S141" s="1160">
        <f t="shared" si="463"/>
        <v>0</v>
      </c>
      <c r="T141" s="1563">
        <f t="shared" si="411"/>
        <v>2.5000000000000001E-3</v>
      </c>
      <c r="U141">
        <f t="shared" si="434"/>
        <v>2.5000000000000001E-3</v>
      </c>
      <c r="V141" s="1160">
        <f t="shared" si="464"/>
        <v>0</v>
      </c>
      <c r="W141" s="1563">
        <f t="shared" si="412"/>
        <v>0.10220768601799</v>
      </c>
      <c r="X141">
        <f t="shared" si="435"/>
        <v>0.10220768601799</v>
      </c>
      <c r="Y141" s="1160">
        <f t="shared" si="465"/>
        <v>0</v>
      </c>
      <c r="Z141" s="1563">
        <f t="shared" si="413"/>
        <v>86.03</v>
      </c>
      <c r="AA141">
        <f t="shared" si="436"/>
        <v>86.03</v>
      </c>
      <c r="AB141" s="1160">
        <f t="shared" si="466"/>
        <v>0</v>
      </c>
      <c r="AC141" s="1563">
        <f t="shared" si="414"/>
        <v>0.51617999999999997</v>
      </c>
      <c r="AD141" t="str">
        <f t="shared" si="437"/>
        <v/>
      </c>
      <c r="AE141" s="1160">
        <f t="shared" si="467"/>
        <v>1</v>
      </c>
      <c r="AF141" s="1563">
        <f t="shared" si="415"/>
        <v>4.8176070236370001E-2</v>
      </c>
      <c r="AG141">
        <f t="shared" si="438"/>
        <v>4.8176070236370001E-2</v>
      </c>
      <c r="AH141" s="1160">
        <f t="shared" si="468"/>
        <v>0</v>
      </c>
      <c r="AI141" s="1563">
        <f t="shared" si="416"/>
        <v>9.0977269942199995E-6</v>
      </c>
      <c r="AJ141">
        <f t="shared" si="439"/>
        <v>9.0977269942199995E-6</v>
      </c>
      <c r="AK141" s="1160">
        <f t="shared" si="469"/>
        <v>0</v>
      </c>
      <c r="AL141" s="1563">
        <f t="shared" si="417"/>
        <v>29.798480000000001</v>
      </c>
      <c r="AM141" t="e">
        <f t="shared" si="440"/>
        <v>#N/A</v>
      </c>
      <c r="AN141" s="1563">
        <f t="shared" si="418"/>
        <v>680.01576316717876</v>
      </c>
      <c r="AO141">
        <f t="shared" si="441"/>
        <v>680</v>
      </c>
      <c r="AP141" s="1160">
        <f t="shared" si="442"/>
        <v>1</v>
      </c>
      <c r="AQ141" s="1563">
        <f t="shared" si="419"/>
        <v>4.1287212944672873E-4</v>
      </c>
      <c r="AS141" s="1563">
        <f t="shared" si="420"/>
        <v>5676.6598582844317</v>
      </c>
      <c r="AU141" s="1563">
        <f t="shared" si="421"/>
        <v>5566.4229595040706</v>
      </c>
      <c r="AW141" s="1563">
        <f t="shared" si="422"/>
        <v>1257.331043615512</v>
      </c>
      <c r="AY141" s="1592">
        <f t="shared" si="443"/>
        <v>1</v>
      </c>
      <c r="AZ141" s="821">
        <f t="shared" si="444"/>
        <v>1</v>
      </c>
      <c r="BA141" s="1160">
        <f t="shared" si="470"/>
        <v>0</v>
      </c>
      <c r="BB141" s="1592" t="str">
        <f t="shared" si="445"/>
        <v>--</v>
      </c>
      <c r="BC141" s="821" t="str">
        <f t="shared" si="446"/>
        <v/>
      </c>
      <c r="BD141" s="1160">
        <f t="shared" si="471"/>
        <v>0</v>
      </c>
      <c r="BE141" s="1592" t="str">
        <f t="shared" si="447"/>
        <v>Yes</v>
      </c>
      <c r="BF141" s="1592">
        <f t="shared" si="448"/>
        <v>1.5900000000000001E-2</v>
      </c>
      <c r="BG141" s="821">
        <f t="shared" si="449"/>
        <v>1.5900000000000001E-2</v>
      </c>
      <c r="BH141" s="1160">
        <f t="shared" si="472"/>
        <v>0</v>
      </c>
      <c r="BI141" s="1592">
        <f t="shared" si="450"/>
        <v>1</v>
      </c>
      <c r="BJ141" s="1592">
        <f t="shared" si="451"/>
        <v>7.9229050112039998E-2</v>
      </c>
      <c r="BK141" s="821">
        <f t="shared" si="452"/>
        <v>7.9229050112039998E-2</v>
      </c>
      <c r="BL141" s="1160">
        <f t="shared" si="473"/>
        <v>0</v>
      </c>
      <c r="BM141" s="1592">
        <f t="shared" si="453"/>
        <v>0.91581710267245997</v>
      </c>
      <c r="BN141" s="821">
        <f t="shared" si="454"/>
        <v>0.91581710267245997</v>
      </c>
      <c r="BO141" s="1160">
        <f t="shared" si="474"/>
        <v>0</v>
      </c>
      <c r="BP141" s="1592">
        <f t="shared" si="455"/>
        <v>2.1979610464139001</v>
      </c>
      <c r="BQ141" s="821">
        <f t="shared" si="456"/>
        <v>2.1979610464139001</v>
      </c>
      <c r="BR141" s="1160">
        <f t="shared" si="475"/>
        <v>0</v>
      </c>
      <c r="BS141" s="1592" t="str">
        <f t="shared" si="457"/>
        <v>--</v>
      </c>
      <c r="BT141" s="821">
        <f t="shared" si="458"/>
        <v>0</v>
      </c>
      <c r="BU141" s="1160">
        <f t="shared" si="476"/>
        <v>0</v>
      </c>
      <c r="BW141" s="75">
        <f t="shared" si="477"/>
        <v>2.5999999999999999E-2</v>
      </c>
      <c r="BX141" s="75" t="str">
        <f t="shared" si="478"/>
        <v>IRIS 1991</v>
      </c>
      <c r="BY141" s="75">
        <f t="shared" si="479"/>
        <v>2.5999999999999999E-2</v>
      </c>
      <c r="BZ141" s="75" t="str">
        <f t="shared" si="480"/>
        <v>I</v>
      </c>
      <c r="CA141" s="1670" t="str">
        <f t="shared" si="493"/>
        <v>--</v>
      </c>
      <c r="CB141" s="75">
        <f t="shared" si="481"/>
        <v>7.4000000000000003E-6</v>
      </c>
      <c r="CC141" s="75" t="str">
        <f t="shared" si="482"/>
        <v>IRIS 1991</v>
      </c>
      <c r="CD141" s="75">
        <f t="shared" si="483"/>
        <v>7.4000000000000003E-6</v>
      </c>
      <c r="CE141" s="75" t="str">
        <f t="shared" si="484"/>
        <v>I</v>
      </c>
      <c r="CF141" s="1670" t="str">
        <f t="shared" si="494"/>
        <v>--</v>
      </c>
      <c r="CG141" s="75">
        <f t="shared" si="485"/>
        <v>0.03</v>
      </c>
      <c r="CH141" s="75" t="str">
        <f t="shared" si="486"/>
        <v>IRIS 1991</v>
      </c>
      <c r="CI141" s="75">
        <f t="shared" si="487"/>
        <v>0.03</v>
      </c>
      <c r="CJ141" s="75" t="str">
        <f t="shared" si="488"/>
        <v>I</v>
      </c>
      <c r="CK141" s="1670" t="str">
        <f t="shared" si="495"/>
        <v>--</v>
      </c>
      <c r="CL141" s="75" t="str">
        <f t="shared" si="489"/>
        <v>--</v>
      </c>
      <c r="CM141" s="75" t="str">
        <f t="shared" si="490"/>
        <v xml:space="preserve"> </v>
      </c>
      <c r="CN141" s="75" t="str">
        <f t="shared" si="491"/>
        <v/>
      </c>
      <c r="CO141" s="75" t="str">
        <f t="shared" si="492"/>
        <v/>
      </c>
      <c r="CP141" s="1670" t="str">
        <f t="shared" si="496"/>
        <v>--</v>
      </c>
      <c r="CR141" s="1686" t="str">
        <f t="shared" si="497"/>
        <v>--</v>
      </c>
      <c r="CS141" s="1686" t="str">
        <f t="shared" si="500"/>
        <v>--</v>
      </c>
      <c r="CT141" s="1686" t="str">
        <f t="shared" si="498"/>
        <v>--</v>
      </c>
      <c r="CU141" s="1686" t="str">
        <f t="shared" si="499"/>
        <v>--</v>
      </c>
    </row>
    <row r="142" spans="1:99">
      <c r="A142" s="1470" t="s">
        <v>315</v>
      </c>
      <c r="B142" s="1571" t="s">
        <v>316</v>
      </c>
      <c r="C142" s="1563" t="str">
        <f t="shared" si="406"/>
        <v>O</v>
      </c>
      <c r="D142" t="e">
        <f t="shared" si="427"/>
        <v>#N/A</v>
      </c>
      <c r="E142" s="1563">
        <f t="shared" si="428"/>
        <v>-43.8</v>
      </c>
      <c r="F142">
        <f t="shared" si="429"/>
        <v>-43.8</v>
      </c>
      <c r="G142" s="1160">
        <f t="shared" si="459"/>
        <v>0</v>
      </c>
      <c r="H142" s="1563" t="str">
        <f t="shared" si="407"/>
        <v>V</v>
      </c>
      <c r="I142" t="str">
        <f t="shared" si="430"/>
        <v>V</v>
      </c>
      <c r="J142" s="1160">
        <f t="shared" si="460"/>
        <v>0</v>
      </c>
      <c r="K142" s="1563">
        <f t="shared" si="408"/>
        <v>167.85</v>
      </c>
      <c r="L142">
        <f t="shared" si="431"/>
        <v>167.85</v>
      </c>
      <c r="M142" s="1160">
        <f t="shared" si="461"/>
        <v>0</v>
      </c>
      <c r="N142" s="1563">
        <f t="shared" si="409"/>
        <v>4.62</v>
      </c>
      <c r="O142">
        <f t="shared" si="432"/>
        <v>4.62</v>
      </c>
      <c r="P142" s="1160">
        <f t="shared" si="462"/>
        <v>0</v>
      </c>
      <c r="Q142" s="1563">
        <f t="shared" si="410"/>
        <v>2830</v>
      </c>
      <c r="R142">
        <f t="shared" si="433"/>
        <v>2830</v>
      </c>
      <c r="S142" s="1160">
        <f t="shared" si="463"/>
        <v>0</v>
      </c>
      <c r="T142" s="1563">
        <f t="shared" si="411"/>
        <v>3.6699999999999998E-4</v>
      </c>
      <c r="U142">
        <f t="shared" si="434"/>
        <v>3.6699999999999998E-4</v>
      </c>
      <c r="V142" s="1160">
        <f t="shared" si="464"/>
        <v>0</v>
      </c>
      <c r="W142" s="1563">
        <f t="shared" si="412"/>
        <v>1.5004088307439999E-2</v>
      </c>
      <c r="X142">
        <f t="shared" si="435"/>
        <v>1.5004088307439999E-2</v>
      </c>
      <c r="Y142" s="1160">
        <f t="shared" si="465"/>
        <v>0</v>
      </c>
      <c r="Z142" s="1563">
        <f t="shared" si="413"/>
        <v>94.94</v>
      </c>
      <c r="AA142">
        <f t="shared" si="436"/>
        <v>94.94</v>
      </c>
      <c r="AB142" s="1160">
        <f t="shared" si="466"/>
        <v>0</v>
      </c>
      <c r="AC142" s="1563">
        <f t="shared" si="414"/>
        <v>0.56964000000000004</v>
      </c>
      <c r="AD142" t="str">
        <f t="shared" si="437"/>
        <v/>
      </c>
      <c r="AE142" s="1160">
        <f t="shared" si="467"/>
        <v>1</v>
      </c>
      <c r="AF142" s="1563">
        <f t="shared" si="415"/>
        <v>4.8920615325250001E-2</v>
      </c>
      <c r="AG142">
        <f t="shared" si="438"/>
        <v>4.8920615325250001E-2</v>
      </c>
      <c r="AH142" s="1160">
        <f t="shared" si="468"/>
        <v>0</v>
      </c>
      <c r="AI142" s="1563">
        <f t="shared" si="416"/>
        <v>9.2901854476699995E-6</v>
      </c>
      <c r="AJ142">
        <f t="shared" si="439"/>
        <v>9.2901854476699995E-6</v>
      </c>
      <c r="AK142" s="1160">
        <f t="shared" si="469"/>
        <v>0</v>
      </c>
      <c r="AL142" s="1563">
        <f t="shared" si="417"/>
        <v>18.038008999999999</v>
      </c>
      <c r="AM142" t="e">
        <f t="shared" si="440"/>
        <v>#N/A</v>
      </c>
      <c r="AN142" s="1563">
        <f t="shared" si="418"/>
        <v>1903.1195223540417</v>
      </c>
      <c r="AO142">
        <f t="shared" si="441"/>
        <v>1900</v>
      </c>
      <c r="AP142" s="1160">
        <f t="shared" si="442"/>
        <v>1</v>
      </c>
      <c r="AQ142" s="1563">
        <f t="shared" si="419"/>
        <v>5.8239360106405106E-5</v>
      </c>
      <c r="AS142" s="1563">
        <f t="shared" si="420"/>
        <v>15114.450362613026</v>
      </c>
      <c r="AU142" s="1563">
        <f t="shared" si="421"/>
        <v>14820.937949267956</v>
      </c>
      <c r="AW142" s="1563">
        <f t="shared" si="422"/>
        <v>3347.7199836740492</v>
      </c>
      <c r="AY142" s="1592">
        <f t="shared" si="443"/>
        <v>1</v>
      </c>
      <c r="AZ142" s="821">
        <f t="shared" si="444"/>
        <v>1</v>
      </c>
      <c r="BA142" s="1160">
        <f t="shared" si="470"/>
        <v>0</v>
      </c>
      <c r="BB142" s="1592" t="str">
        <f t="shared" si="445"/>
        <v>--</v>
      </c>
      <c r="BC142" s="821" t="str">
        <f t="shared" si="446"/>
        <v/>
      </c>
      <c r="BD142" s="1160">
        <f t="shared" si="471"/>
        <v>0</v>
      </c>
      <c r="BE142" s="1592" t="str">
        <f t="shared" si="447"/>
        <v>Yes</v>
      </c>
      <c r="BF142" s="1592">
        <f t="shared" si="448"/>
        <v>6.94E-3</v>
      </c>
      <c r="BG142" s="821">
        <f t="shared" si="449"/>
        <v>6.94E-3</v>
      </c>
      <c r="BH142" s="1160">
        <f t="shared" si="472"/>
        <v>0</v>
      </c>
      <c r="BI142" s="1592">
        <f t="shared" si="450"/>
        <v>1</v>
      </c>
      <c r="BJ142" s="1592">
        <f t="shared" si="451"/>
        <v>3.4581736338209997E-2</v>
      </c>
      <c r="BK142" s="821">
        <f t="shared" si="452"/>
        <v>3.4581736338209997E-2</v>
      </c>
      <c r="BL142" s="1160">
        <f t="shared" si="473"/>
        <v>0</v>
      </c>
      <c r="BM142" s="1592">
        <f t="shared" si="453"/>
        <v>0.91581710267245997</v>
      </c>
      <c r="BN142" s="821">
        <f t="shared" si="454"/>
        <v>0.91581710267245997</v>
      </c>
      <c r="BO142" s="1160">
        <f t="shared" si="474"/>
        <v>0</v>
      </c>
      <c r="BP142" s="1592">
        <f t="shared" si="455"/>
        <v>2.1979610464139001</v>
      </c>
      <c r="BQ142" s="821">
        <f t="shared" si="456"/>
        <v>2.1979610464139001</v>
      </c>
      <c r="BR142" s="1160">
        <f t="shared" si="475"/>
        <v>0</v>
      </c>
      <c r="BS142" s="1592" t="str">
        <f t="shared" si="457"/>
        <v>--</v>
      </c>
      <c r="BT142" s="821">
        <f t="shared" si="458"/>
        <v>0</v>
      </c>
      <c r="BU142" s="1160">
        <f t="shared" si="476"/>
        <v>0</v>
      </c>
      <c r="BW142" s="75">
        <f t="shared" si="477"/>
        <v>0.2</v>
      </c>
      <c r="BX142" s="75" t="str">
        <f t="shared" si="478"/>
        <v>IRIS 2010</v>
      </c>
      <c r="BY142" s="75">
        <f t="shared" si="479"/>
        <v>0.2</v>
      </c>
      <c r="BZ142" s="75" t="str">
        <f t="shared" si="480"/>
        <v>I</v>
      </c>
      <c r="CA142" s="1670" t="str">
        <f t="shared" si="493"/>
        <v>--</v>
      </c>
      <c r="CB142" s="75">
        <f t="shared" si="481"/>
        <v>5.8E-5</v>
      </c>
      <c r="CC142" s="75" t="str">
        <f t="shared" si="482"/>
        <v>OEHHA 2009</v>
      </c>
      <c r="CD142" s="75">
        <f t="shared" si="483"/>
        <v>5.8E-5</v>
      </c>
      <c r="CE142" s="75" t="str">
        <f t="shared" si="484"/>
        <v>C</v>
      </c>
      <c r="CF142" s="1670" t="str">
        <f t="shared" si="494"/>
        <v>--</v>
      </c>
      <c r="CG142" s="75">
        <f t="shared" si="485"/>
        <v>0.02</v>
      </c>
      <c r="CH142" s="75" t="str">
        <f t="shared" si="486"/>
        <v>IRIS 2010</v>
      </c>
      <c r="CI142" s="75">
        <f t="shared" si="487"/>
        <v>0.02</v>
      </c>
      <c r="CJ142" s="75" t="str">
        <f t="shared" si="488"/>
        <v>I</v>
      </c>
      <c r="CK142" s="1670" t="str">
        <f t="shared" si="495"/>
        <v>--</v>
      </c>
      <c r="CL142" s="75" t="str">
        <f t="shared" si="489"/>
        <v>--</v>
      </c>
      <c r="CM142" s="75" t="str">
        <f t="shared" si="490"/>
        <v xml:space="preserve"> </v>
      </c>
      <c r="CN142" s="75" t="str">
        <f t="shared" si="491"/>
        <v/>
      </c>
      <c r="CO142" s="75" t="str">
        <f t="shared" si="492"/>
        <v/>
      </c>
      <c r="CP142" s="1670" t="str">
        <f t="shared" si="496"/>
        <v>--</v>
      </c>
      <c r="CR142" s="1686" t="str">
        <f t="shared" si="497"/>
        <v>--</v>
      </c>
      <c r="CS142" s="1686" t="str">
        <f t="shared" si="500"/>
        <v>--</v>
      </c>
      <c r="CT142" s="1686" t="str">
        <f t="shared" si="498"/>
        <v>--</v>
      </c>
      <c r="CU142" s="1686" t="str">
        <f t="shared" si="499"/>
        <v>--</v>
      </c>
    </row>
    <row r="143" spans="1:99">
      <c r="A143" s="1470" t="s">
        <v>317</v>
      </c>
      <c r="B143" s="1571" t="s">
        <v>318</v>
      </c>
      <c r="C143" s="1563" t="str">
        <f t="shared" si="406"/>
        <v>O</v>
      </c>
      <c r="D143" t="e">
        <f t="shared" si="427"/>
        <v>#N/A</v>
      </c>
      <c r="E143" s="1563">
        <f t="shared" si="428"/>
        <v>-22.3</v>
      </c>
      <c r="F143">
        <f t="shared" si="429"/>
        <v>-22.3</v>
      </c>
      <c r="G143" s="1160">
        <f t="shared" si="459"/>
        <v>0</v>
      </c>
      <c r="H143" s="1563" t="str">
        <f t="shared" si="407"/>
        <v>V</v>
      </c>
      <c r="I143" t="str">
        <f t="shared" si="430"/>
        <v>V</v>
      </c>
      <c r="J143" s="1160">
        <f t="shared" si="460"/>
        <v>0</v>
      </c>
      <c r="K143" s="1563">
        <f t="shared" si="408"/>
        <v>165.83</v>
      </c>
      <c r="L143">
        <f t="shared" si="431"/>
        <v>165.83</v>
      </c>
      <c r="M143" s="1160">
        <f t="shared" si="461"/>
        <v>0</v>
      </c>
      <c r="N143" s="1563">
        <f t="shared" si="409"/>
        <v>18.5</v>
      </c>
      <c r="O143">
        <f t="shared" si="432"/>
        <v>18.5</v>
      </c>
      <c r="P143" s="1160">
        <f t="shared" si="462"/>
        <v>0</v>
      </c>
      <c r="Q143" s="1563">
        <f t="shared" si="410"/>
        <v>206</v>
      </c>
      <c r="R143">
        <f t="shared" si="433"/>
        <v>206</v>
      </c>
      <c r="S143" s="1160">
        <f t="shared" si="463"/>
        <v>0</v>
      </c>
      <c r="T143" s="1563">
        <f t="shared" si="411"/>
        <v>1.77E-2</v>
      </c>
      <c r="U143">
        <f t="shared" si="434"/>
        <v>1.77E-2</v>
      </c>
      <c r="V143" s="1160">
        <f t="shared" si="464"/>
        <v>0</v>
      </c>
      <c r="W143" s="1563">
        <f t="shared" si="412"/>
        <v>0.72363041700735997</v>
      </c>
      <c r="X143">
        <f t="shared" si="435"/>
        <v>0.72363041700735997</v>
      </c>
      <c r="Y143" s="1160">
        <f t="shared" si="465"/>
        <v>0</v>
      </c>
      <c r="Z143" s="1563">
        <f t="shared" si="413"/>
        <v>94.94</v>
      </c>
      <c r="AA143">
        <f t="shared" si="436"/>
        <v>94.94</v>
      </c>
      <c r="AB143" s="1160">
        <f t="shared" si="466"/>
        <v>0</v>
      </c>
      <c r="AC143" s="1563">
        <f t="shared" si="414"/>
        <v>0.56964000000000004</v>
      </c>
      <c r="AD143" t="str">
        <f t="shared" si="437"/>
        <v/>
      </c>
      <c r="AE143" s="1160">
        <f t="shared" si="467"/>
        <v>1</v>
      </c>
      <c r="AF143" s="1563">
        <f t="shared" si="415"/>
        <v>5.0466374151020003E-2</v>
      </c>
      <c r="AG143">
        <f t="shared" si="438"/>
        <v>5.0466374151020003E-2</v>
      </c>
      <c r="AH143" s="1160">
        <f t="shared" si="468"/>
        <v>0</v>
      </c>
      <c r="AI143" s="1563">
        <f t="shared" si="416"/>
        <v>9.4550759772300007E-6</v>
      </c>
      <c r="AJ143">
        <f t="shared" si="439"/>
        <v>9.4550759772300007E-6</v>
      </c>
      <c r="AK143" s="1160">
        <f t="shared" si="469"/>
        <v>0</v>
      </c>
      <c r="AL143" s="1563">
        <f t="shared" si="417"/>
        <v>125.62394</v>
      </c>
      <c r="AM143" t="e">
        <f t="shared" si="440"/>
        <v>#N/A</v>
      </c>
      <c r="AN143" s="1563">
        <f t="shared" si="418"/>
        <v>166.16560580940779</v>
      </c>
      <c r="AO143">
        <f t="shared" si="441"/>
        <v>166</v>
      </c>
      <c r="AP143" s="1160">
        <f t="shared" si="442"/>
        <v>1</v>
      </c>
      <c r="AQ143" s="1563">
        <f t="shared" si="419"/>
        <v>2.4121185138982026E-3</v>
      </c>
      <c r="AS143" s="1563">
        <f t="shared" si="420"/>
        <v>2348.5582431127432</v>
      </c>
      <c r="AU143" s="1563">
        <f t="shared" si="421"/>
        <v>2302.9508289309742</v>
      </c>
      <c r="AW143" s="1563">
        <f t="shared" si="422"/>
        <v>520.18533090287576</v>
      </c>
      <c r="AY143" s="1592">
        <f t="shared" si="443"/>
        <v>1</v>
      </c>
      <c r="AZ143" s="821">
        <f t="shared" si="444"/>
        <v>1</v>
      </c>
      <c r="BA143" s="1160">
        <f t="shared" si="470"/>
        <v>0</v>
      </c>
      <c r="BB143" s="1592" t="str">
        <f t="shared" si="445"/>
        <v>--</v>
      </c>
      <c r="BC143" s="821" t="str">
        <f t="shared" si="446"/>
        <v/>
      </c>
      <c r="BD143" s="1160">
        <f t="shared" si="471"/>
        <v>0</v>
      </c>
      <c r="BE143" s="1592" t="str">
        <f t="shared" si="447"/>
        <v>Yes</v>
      </c>
      <c r="BF143" s="1592">
        <f t="shared" si="448"/>
        <v>3.3399999999999999E-2</v>
      </c>
      <c r="BG143" s="821">
        <f t="shared" si="449"/>
        <v>3.3399999999999999E-2</v>
      </c>
      <c r="BH143" s="1160">
        <f t="shared" si="472"/>
        <v>0</v>
      </c>
      <c r="BI143" s="1592">
        <f t="shared" si="450"/>
        <v>1</v>
      </c>
      <c r="BJ143" s="1592">
        <f t="shared" si="451"/>
        <v>0.16542634303645001</v>
      </c>
      <c r="BK143" s="821">
        <f t="shared" si="452"/>
        <v>0.16542634303645001</v>
      </c>
      <c r="BL143" s="1160">
        <f t="shared" si="473"/>
        <v>0</v>
      </c>
      <c r="BM143" s="1592">
        <f t="shared" si="453"/>
        <v>0.89227094155288</v>
      </c>
      <c r="BN143" s="821">
        <f t="shared" si="454"/>
        <v>0.89227094155288</v>
      </c>
      <c r="BO143" s="1160">
        <f t="shared" si="474"/>
        <v>0</v>
      </c>
      <c r="BP143" s="1592">
        <f t="shared" si="455"/>
        <v>2.1414502597269101</v>
      </c>
      <c r="BQ143" s="821">
        <f t="shared" si="456"/>
        <v>2.1414502597269101</v>
      </c>
      <c r="BR143" s="1160">
        <f t="shared" si="475"/>
        <v>0</v>
      </c>
      <c r="BS143" s="1592" t="str">
        <f t="shared" si="457"/>
        <v>--</v>
      </c>
      <c r="BT143" s="821">
        <f t="shared" si="458"/>
        <v>0</v>
      </c>
      <c r="BU143" s="1160">
        <f t="shared" si="476"/>
        <v>0</v>
      </c>
      <c r="BW143" s="75">
        <f t="shared" si="477"/>
        <v>0.54</v>
      </c>
      <c r="BX143" s="75" t="str">
        <f t="shared" si="478"/>
        <v>OEHHA 2013</v>
      </c>
      <c r="BY143" s="75">
        <f t="shared" si="479"/>
        <v>2.0999999999999999E-3</v>
      </c>
      <c r="BZ143" s="75" t="str">
        <f t="shared" si="480"/>
        <v>I</v>
      </c>
      <c r="CA143" s="1671" t="str">
        <f t="shared" si="493"/>
        <v>check</v>
      </c>
      <c r="CB143" s="75">
        <f t="shared" si="481"/>
        <v>6.1E-6</v>
      </c>
      <c r="CC143" s="75" t="str">
        <f t="shared" si="482"/>
        <v>OEHHA 2016</v>
      </c>
      <c r="CD143" s="75">
        <f t="shared" si="483"/>
        <v>2.6E-7</v>
      </c>
      <c r="CE143" s="75" t="str">
        <f t="shared" si="484"/>
        <v>I</v>
      </c>
      <c r="CF143" s="1671" t="str">
        <f t="shared" si="494"/>
        <v>check</v>
      </c>
      <c r="CG143" s="75">
        <f t="shared" si="485"/>
        <v>6.0000000000000001E-3</v>
      </c>
      <c r="CH143" s="75" t="str">
        <f t="shared" si="486"/>
        <v>IRIS 2012</v>
      </c>
      <c r="CI143" s="75">
        <f t="shared" si="487"/>
        <v>6.0000000000000001E-3</v>
      </c>
      <c r="CJ143" s="75" t="str">
        <f t="shared" si="488"/>
        <v>I</v>
      </c>
      <c r="CK143" s="1670" t="str">
        <f t="shared" si="495"/>
        <v>--</v>
      </c>
      <c r="CL143" s="75">
        <f t="shared" si="489"/>
        <v>40</v>
      </c>
      <c r="CM143" s="75" t="str">
        <f t="shared" si="490"/>
        <v>IRIS 2012</v>
      </c>
      <c r="CN143" s="75">
        <f t="shared" si="491"/>
        <v>40</v>
      </c>
      <c r="CO143" s="75" t="str">
        <f t="shared" si="492"/>
        <v>I</v>
      </c>
      <c r="CP143" s="1670" t="str">
        <f t="shared" si="496"/>
        <v>--</v>
      </c>
      <c r="CR143" s="1686" t="str">
        <f t="shared" si="497"/>
        <v>x</v>
      </c>
      <c r="CS143" s="1686" t="str">
        <f t="shared" si="500"/>
        <v>x</v>
      </c>
      <c r="CT143" s="1686" t="str">
        <f t="shared" si="498"/>
        <v>--</v>
      </c>
      <c r="CU143" s="1686" t="str">
        <f t="shared" si="499"/>
        <v>--</v>
      </c>
    </row>
    <row r="144" spans="1:99">
      <c r="A144" s="1470" t="s">
        <v>319</v>
      </c>
      <c r="B144" s="1571" t="s">
        <v>320</v>
      </c>
      <c r="C144" s="1563" t="str">
        <f t="shared" si="406"/>
        <v>I</v>
      </c>
      <c r="D144" t="e">
        <f t="shared" si="427"/>
        <v>#N/A</v>
      </c>
      <c r="E144" s="1563">
        <f t="shared" si="428"/>
        <v>303.5</v>
      </c>
      <c r="F144">
        <f t="shared" si="429"/>
        <v>303.5</v>
      </c>
      <c r="G144" s="1160">
        <f t="shared" si="459"/>
        <v>0</v>
      </c>
      <c r="H144" s="1563" t="str">
        <f t="shared" si="407"/>
        <v>NV</v>
      </c>
      <c r="I144">
        <f t="shared" si="430"/>
        <v>0</v>
      </c>
      <c r="J144" s="1160">
        <f t="shared" si="460"/>
        <v>0</v>
      </c>
      <c r="K144" s="1563">
        <f t="shared" si="408"/>
        <v>204.38</v>
      </c>
      <c r="L144">
        <f t="shared" si="431"/>
        <v>204.38</v>
      </c>
      <c r="M144" s="1160">
        <f t="shared" si="461"/>
        <v>0</v>
      </c>
      <c r="N144" s="1563" t="str">
        <f t="shared" si="409"/>
        <v>--</v>
      </c>
      <c r="O144" t="str">
        <f t="shared" si="432"/>
        <v/>
      </c>
      <c r="P144" s="1160">
        <f t="shared" si="462"/>
        <v>0</v>
      </c>
      <c r="Q144" s="1563" t="str">
        <f t="shared" si="410"/>
        <v>--</v>
      </c>
      <c r="R144" t="str">
        <f t="shared" si="433"/>
        <v/>
      </c>
      <c r="S144" s="1160">
        <f t="shared" si="463"/>
        <v>0</v>
      </c>
      <c r="T144" s="1563" t="str">
        <f t="shared" si="411"/>
        <v>--</v>
      </c>
      <c r="U144" t="str">
        <f t="shared" si="434"/>
        <v/>
      </c>
      <c r="V144" s="1160">
        <f t="shared" si="464"/>
        <v>0</v>
      </c>
      <c r="W144" s="1563" t="str">
        <f t="shared" si="412"/>
        <v>--</v>
      </c>
      <c r="X144" t="str">
        <f t="shared" si="435"/>
        <v/>
      </c>
      <c r="Y144" s="1160">
        <f t="shared" si="465"/>
        <v>0</v>
      </c>
      <c r="Z144" s="1563" t="str">
        <f t="shared" si="413"/>
        <v>--</v>
      </c>
      <c r="AA144" t="str">
        <f t="shared" si="436"/>
        <v/>
      </c>
      <c r="AB144" s="1160">
        <f t="shared" si="466"/>
        <v>0</v>
      </c>
      <c r="AC144" s="1563">
        <f t="shared" si="414"/>
        <v>71</v>
      </c>
      <c r="AD144">
        <f t="shared" si="437"/>
        <v>71</v>
      </c>
      <c r="AE144" s="1160">
        <f t="shared" si="467"/>
        <v>0</v>
      </c>
      <c r="AF144" s="1563">
        <f t="shared" si="415"/>
        <v>6.7748058159589994E-2</v>
      </c>
      <c r="AG144">
        <f t="shared" si="438"/>
        <v>6.7748058159589994E-2</v>
      </c>
      <c r="AH144" s="1160">
        <f t="shared" si="468"/>
        <v>0</v>
      </c>
      <c r="AI144" s="1563">
        <f t="shared" si="416"/>
        <v>2.7424450790000001E-5</v>
      </c>
      <c r="AJ144">
        <f t="shared" si="439"/>
        <v>2.7424450790000001E-5</v>
      </c>
      <c r="AK144" s="1160">
        <f t="shared" si="469"/>
        <v>0</v>
      </c>
      <c r="AL144" s="1563" t="str">
        <f t="shared" si="417"/>
        <v>--</v>
      </c>
      <c r="AM144" t="e">
        <f t="shared" si="440"/>
        <v>#N/A</v>
      </c>
      <c r="AN144" s="1563" t="str">
        <f t="shared" si="418"/>
        <v>--</v>
      </c>
      <c r="AO144" t="str">
        <f t="shared" si="441"/>
        <v/>
      </c>
      <c r="AP144" s="1160">
        <f t="shared" si="442"/>
        <v>1</v>
      </c>
      <c r="AQ144" s="1563" t="str">
        <f t="shared" si="419"/>
        <v>--</v>
      </c>
      <c r="AS144" s="1563" t="str">
        <f t="shared" si="420"/>
        <v>--</v>
      </c>
      <c r="AU144" s="1563" t="str">
        <f t="shared" si="421"/>
        <v>--</v>
      </c>
      <c r="AW144" s="1563" t="str">
        <f t="shared" si="422"/>
        <v>--</v>
      </c>
      <c r="AY144" s="1592">
        <f t="shared" si="443"/>
        <v>1</v>
      </c>
      <c r="AZ144" s="821">
        <f t="shared" si="444"/>
        <v>1</v>
      </c>
      <c r="BA144" s="1160">
        <f t="shared" si="470"/>
        <v>0</v>
      </c>
      <c r="BB144" s="1592" t="str">
        <f t="shared" si="445"/>
        <v>--</v>
      </c>
      <c r="BC144" s="821" t="str">
        <f t="shared" si="446"/>
        <v/>
      </c>
      <c r="BD144" s="1160">
        <f t="shared" si="471"/>
        <v>0</v>
      </c>
      <c r="BE144" s="1592" t="str">
        <f t="shared" si="447"/>
        <v>Yes</v>
      </c>
      <c r="BF144" s="1592">
        <f t="shared" si="448"/>
        <v>1E-3</v>
      </c>
      <c r="BG144" s="821">
        <f t="shared" si="449"/>
        <v>1E-3</v>
      </c>
      <c r="BH144" s="1160">
        <f t="shared" si="472"/>
        <v>0</v>
      </c>
      <c r="BI144" s="1592">
        <f t="shared" si="450"/>
        <v>1</v>
      </c>
      <c r="BJ144" s="1592">
        <f t="shared" si="451"/>
        <v>5.4985205110700004E-3</v>
      </c>
      <c r="BK144" s="821">
        <f t="shared" si="452"/>
        <v>5.4985205110700004E-3</v>
      </c>
      <c r="BL144" s="1160">
        <f t="shared" si="473"/>
        <v>0</v>
      </c>
      <c r="BM144" s="1592">
        <f t="shared" si="453"/>
        <v>1.46681975246134</v>
      </c>
      <c r="BN144" s="821">
        <f t="shared" si="454"/>
        <v>1.46681975246134</v>
      </c>
      <c r="BO144" s="1160">
        <f t="shared" si="474"/>
        <v>0</v>
      </c>
      <c r="BP144" s="1592">
        <f t="shared" si="455"/>
        <v>3.5203674059072099</v>
      </c>
      <c r="BQ144" s="821">
        <f t="shared" si="456"/>
        <v>3.5203674059072099</v>
      </c>
      <c r="BR144" s="1160">
        <f t="shared" si="475"/>
        <v>0</v>
      </c>
      <c r="BS144" s="1592" t="str">
        <f t="shared" si="457"/>
        <v>--</v>
      </c>
      <c r="BT144" s="821">
        <f t="shared" si="458"/>
        <v>0</v>
      </c>
      <c r="BU144" s="1160">
        <f t="shared" si="476"/>
        <v>0</v>
      </c>
      <c r="BW144" s="75" t="str">
        <f t="shared" si="477"/>
        <v>--</v>
      </c>
      <c r="BX144" s="75" t="str">
        <f t="shared" si="478"/>
        <v xml:space="preserve"> </v>
      </c>
      <c r="BY144" s="75" t="str">
        <f t="shared" si="479"/>
        <v/>
      </c>
      <c r="BZ144" s="75" t="str">
        <f t="shared" si="480"/>
        <v/>
      </c>
      <c r="CA144" s="1670" t="str">
        <f t="shared" si="493"/>
        <v>--</v>
      </c>
      <c r="CB144" s="75" t="str">
        <f t="shared" si="481"/>
        <v>--</v>
      </c>
      <c r="CC144" s="75" t="str">
        <f t="shared" si="482"/>
        <v xml:space="preserve"> </v>
      </c>
      <c r="CD144" s="75" t="str">
        <f t="shared" si="483"/>
        <v/>
      </c>
      <c r="CE144" s="75" t="str">
        <f t="shared" si="484"/>
        <v/>
      </c>
      <c r="CF144" s="1670" t="str">
        <f t="shared" si="494"/>
        <v>--</v>
      </c>
      <c r="CG144" s="75">
        <f t="shared" si="485"/>
        <v>1.0000000000000001E-5</v>
      </c>
      <c r="CH144" s="75" t="str">
        <f t="shared" si="486"/>
        <v>PPRTV 2012</v>
      </c>
      <c r="CI144" s="75">
        <f t="shared" si="487"/>
        <v>1.0000000000000001E-5</v>
      </c>
      <c r="CJ144" s="75" t="str">
        <f t="shared" si="488"/>
        <v>X</v>
      </c>
      <c r="CK144" s="1670" t="str">
        <f t="shared" si="495"/>
        <v>--</v>
      </c>
      <c r="CL144" s="75" t="str">
        <f t="shared" si="489"/>
        <v>--</v>
      </c>
      <c r="CM144" s="75" t="str">
        <f t="shared" si="490"/>
        <v xml:space="preserve"> </v>
      </c>
      <c r="CN144" s="75" t="str">
        <f t="shared" si="491"/>
        <v/>
      </c>
      <c r="CO144" s="75" t="str">
        <f t="shared" si="492"/>
        <v/>
      </c>
      <c r="CP144" s="1670" t="str">
        <f t="shared" si="496"/>
        <v>--</v>
      </c>
      <c r="CR144" s="1686" t="str">
        <f t="shared" si="497"/>
        <v>--</v>
      </c>
      <c r="CS144" s="1686" t="str">
        <f t="shared" si="500"/>
        <v>--</v>
      </c>
      <c r="CT144" s="1686" t="str">
        <f t="shared" si="498"/>
        <v>--</v>
      </c>
      <c r="CU144" s="1686" t="str">
        <f t="shared" si="499"/>
        <v>--</v>
      </c>
    </row>
    <row r="145" spans="1:99">
      <c r="A145" s="1470" t="s">
        <v>321</v>
      </c>
      <c r="B145" s="1571" t="s">
        <v>322</v>
      </c>
      <c r="C145" s="1563" t="str">
        <f t="shared" si="406"/>
        <v>O</v>
      </c>
      <c r="D145" t="e">
        <f t="shared" si="427"/>
        <v>#N/A</v>
      </c>
      <c r="E145" s="1563">
        <f t="shared" si="428"/>
        <v>-94.9</v>
      </c>
      <c r="F145">
        <f t="shared" si="429"/>
        <v>-94.9</v>
      </c>
      <c r="G145" s="1160">
        <f t="shared" si="459"/>
        <v>0</v>
      </c>
      <c r="H145" s="1563" t="str">
        <f t="shared" si="407"/>
        <v>V</v>
      </c>
      <c r="I145" t="str">
        <f t="shared" si="430"/>
        <v>V</v>
      </c>
      <c r="J145" s="1160">
        <f t="shared" si="460"/>
        <v>0</v>
      </c>
      <c r="K145" s="1563">
        <f t="shared" si="408"/>
        <v>92.141999999999996</v>
      </c>
      <c r="L145">
        <f t="shared" si="431"/>
        <v>92.141999999999996</v>
      </c>
      <c r="M145" s="1160">
        <f t="shared" si="461"/>
        <v>0</v>
      </c>
      <c r="N145" s="1563">
        <f t="shared" si="409"/>
        <v>28.4</v>
      </c>
      <c r="O145">
        <f t="shared" si="432"/>
        <v>28.4</v>
      </c>
      <c r="P145" s="1160">
        <f t="shared" si="462"/>
        <v>0</v>
      </c>
      <c r="Q145" s="1563">
        <f t="shared" si="410"/>
        <v>526</v>
      </c>
      <c r="R145">
        <f t="shared" si="433"/>
        <v>526</v>
      </c>
      <c r="S145" s="1160">
        <f t="shared" si="463"/>
        <v>0</v>
      </c>
      <c r="T145" s="1563">
        <f t="shared" si="411"/>
        <v>6.6400000000000001E-3</v>
      </c>
      <c r="U145">
        <f t="shared" si="434"/>
        <v>6.6400000000000001E-3</v>
      </c>
      <c r="V145" s="1160">
        <f t="shared" si="464"/>
        <v>0</v>
      </c>
      <c r="W145" s="1563">
        <f t="shared" si="412"/>
        <v>0.27146361406378</v>
      </c>
      <c r="X145">
        <f t="shared" si="435"/>
        <v>0.27146361406378</v>
      </c>
      <c r="Y145" s="1160">
        <f t="shared" si="465"/>
        <v>0</v>
      </c>
      <c r="Z145" s="1563">
        <f t="shared" si="413"/>
        <v>233.9</v>
      </c>
      <c r="AA145">
        <f t="shared" si="436"/>
        <v>233.9</v>
      </c>
      <c r="AB145" s="1160">
        <f t="shared" si="466"/>
        <v>0</v>
      </c>
      <c r="AC145" s="1563">
        <f t="shared" si="414"/>
        <v>1.4034</v>
      </c>
      <c r="AD145" t="str">
        <f t="shared" si="437"/>
        <v/>
      </c>
      <c r="AE145" s="1160">
        <f t="shared" si="467"/>
        <v>1</v>
      </c>
      <c r="AF145" s="1563">
        <f t="shared" si="415"/>
        <v>7.7803873565410006E-2</v>
      </c>
      <c r="AG145">
        <f t="shared" si="438"/>
        <v>7.7803873565410006E-2</v>
      </c>
      <c r="AH145" s="1160">
        <f t="shared" si="468"/>
        <v>0</v>
      </c>
      <c r="AI145" s="1563">
        <f t="shared" si="416"/>
        <v>9.2043308800900001E-6</v>
      </c>
      <c r="AJ145">
        <f t="shared" si="439"/>
        <v>9.2043308800900001E-6</v>
      </c>
      <c r="AK145" s="1160">
        <f t="shared" si="469"/>
        <v>0</v>
      </c>
      <c r="AL145" s="1563">
        <f t="shared" si="417"/>
        <v>80.041880000000006</v>
      </c>
      <c r="AM145" t="e">
        <f t="shared" si="440"/>
        <v>#N/A</v>
      </c>
      <c r="AN145" s="1563">
        <f t="shared" si="418"/>
        <v>817.81968815110827</v>
      </c>
      <c r="AO145">
        <f t="shared" si="441"/>
        <v>818</v>
      </c>
      <c r="AP145" s="1160">
        <f t="shared" si="442"/>
        <v>1</v>
      </c>
      <c r="AQ145" s="1563">
        <f t="shared" si="419"/>
        <v>7.2377540608785287E-4</v>
      </c>
      <c r="AS145" s="1563">
        <f t="shared" si="420"/>
        <v>4287.4468090011242</v>
      </c>
      <c r="AU145" s="1563">
        <f t="shared" si="421"/>
        <v>4204.1874889592036</v>
      </c>
      <c r="AW145" s="1563">
        <f t="shared" si="422"/>
        <v>949.63237280109661</v>
      </c>
      <c r="AY145" s="1592">
        <f t="shared" si="443"/>
        <v>1</v>
      </c>
      <c r="AZ145" s="821">
        <f t="shared" si="444"/>
        <v>1</v>
      </c>
      <c r="BA145" s="1160">
        <f t="shared" si="470"/>
        <v>0</v>
      </c>
      <c r="BB145" s="1592" t="str">
        <f t="shared" si="445"/>
        <v>--</v>
      </c>
      <c r="BC145" s="821" t="str">
        <f t="shared" si="446"/>
        <v/>
      </c>
      <c r="BD145" s="1160">
        <f t="shared" si="471"/>
        <v>0</v>
      </c>
      <c r="BE145" s="1592" t="str">
        <f t="shared" si="447"/>
        <v>Yes</v>
      </c>
      <c r="BF145" s="1592">
        <f t="shared" si="448"/>
        <v>3.1099999999999999E-2</v>
      </c>
      <c r="BG145" s="821">
        <f t="shared" si="449"/>
        <v>3.1099999999999999E-2</v>
      </c>
      <c r="BH145" s="1160">
        <f t="shared" si="472"/>
        <v>0</v>
      </c>
      <c r="BI145" s="1592">
        <f t="shared" si="450"/>
        <v>1</v>
      </c>
      <c r="BJ145" s="1592">
        <f t="shared" si="451"/>
        <v>0.11481955474085</v>
      </c>
      <c r="BK145" s="821">
        <f t="shared" si="452"/>
        <v>0.11481955474085</v>
      </c>
      <c r="BL145" s="1160">
        <f t="shared" si="473"/>
        <v>0</v>
      </c>
      <c r="BM145" s="1592">
        <f t="shared" si="453"/>
        <v>0.34501974481163</v>
      </c>
      <c r="BN145" s="821">
        <f t="shared" si="454"/>
        <v>0.34501974481163</v>
      </c>
      <c r="BO145" s="1160">
        <f t="shared" si="474"/>
        <v>0</v>
      </c>
      <c r="BP145" s="1592">
        <f t="shared" si="455"/>
        <v>0.82804738754789997</v>
      </c>
      <c r="BQ145" s="821">
        <f t="shared" si="456"/>
        <v>0.82804738754789997</v>
      </c>
      <c r="BR145" s="1160">
        <f t="shared" si="475"/>
        <v>0</v>
      </c>
      <c r="BS145" s="1592" t="str">
        <f t="shared" si="457"/>
        <v>--</v>
      </c>
      <c r="BT145" s="821">
        <f t="shared" si="458"/>
        <v>0</v>
      </c>
      <c r="BU145" s="1160">
        <f t="shared" si="476"/>
        <v>0</v>
      </c>
      <c r="BW145" s="75" t="str">
        <f t="shared" si="477"/>
        <v>--</v>
      </c>
      <c r="BX145" s="75" t="str">
        <f t="shared" si="478"/>
        <v xml:space="preserve"> </v>
      </c>
      <c r="BY145" s="75" t="str">
        <f t="shared" si="479"/>
        <v/>
      </c>
      <c r="BZ145" s="75" t="str">
        <f t="shared" si="480"/>
        <v/>
      </c>
      <c r="CA145" s="1670" t="str">
        <f t="shared" si="493"/>
        <v>--</v>
      </c>
      <c r="CB145" s="75" t="str">
        <f t="shared" si="481"/>
        <v>--</v>
      </c>
      <c r="CC145" s="75" t="str">
        <f t="shared" si="482"/>
        <v xml:space="preserve"> </v>
      </c>
      <c r="CD145" s="75" t="str">
        <f t="shared" si="483"/>
        <v/>
      </c>
      <c r="CE145" s="75" t="str">
        <f t="shared" si="484"/>
        <v/>
      </c>
      <c r="CF145" s="1670" t="str">
        <f t="shared" si="494"/>
        <v>--</v>
      </c>
      <c r="CG145" s="75">
        <f t="shared" si="485"/>
        <v>0.08</v>
      </c>
      <c r="CH145" s="75" t="str">
        <f t="shared" si="486"/>
        <v>IRIS 2005</v>
      </c>
      <c r="CI145" s="75">
        <f t="shared" si="487"/>
        <v>0.08</v>
      </c>
      <c r="CJ145" s="75" t="str">
        <f t="shared" si="488"/>
        <v>I</v>
      </c>
      <c r="CK145" s="1670" t="str">
        <f t="shared" si="495"/>
        <v>--</v>
      </c>
      <c r="CL145" s="75">
        <f t="shared" si="489"/>
        <v>420</v>
      </c>
      <c r="CM145" s="75" t="str">
        <f t="shared" si="490"/>
        <v>OEHHA</v>
      </c>
      <c r="CN145" s="75">
        <f t="shared" si="491"/>
        <v>5000</v>
      </c>
      <c r="CO145" s="75" t="str">
        <f t="shared" si="492"/>
        <v>I</v>
      </c>
      <c r="CP145" s="1671" t="str">
        <f t="shared" si="496"/>
        <v>check</v>
      </c>
      <c r="CR145" s="1686" t="str">
        <f t="shared" si="497"/>
        <v>--</v>
      </c>
      <c r="CS145" s="1686" t="str">
        <f t="shared" si="500"/>
        <v>--</v>
      </c>
      <c r="CT145" s="1686" t="str">
        <f t="shared" si="498"/>
        <v>--</v>
      </c>
      <c r="CU145" s="1686" t="str">
        <f t="shared" si="499"/>
        <v>x</v>
      </c>
    </row>
    <row r="146" spans="1:99">
      <c r="A146" s="1470" t="s">
        <v>323</v>
      </c>
      <c r="B146" s="1571" t="s">
        <v>324</v>
      </c>
      <c r="C146" s="1563" t="str">
        <f t="shared" si="406"/>
        <v>O</v>
      </c>
      <c r="D146" t="e">
        <f t="shared" si="427"/>
        <v>#N/A</v>
      </c>
      <c r="E146" s="1563">
        <f t="shared" si="428"/>
        <v>77</v>
      </c>
      <c r="F146">
        <f t="shared" si="429"/>
        <v>77</v>
      </c>
      <c r="G146" s="1160">
        <f t="shared" si="459"/>
        <v>0</v>
      </c>
      <c r="H146" s="1563" t="str">
        <f t="shared" si="407"/>
        <v>NV</v>
      </c>
      <c r="I146">
        <f t="shared" si="430"/>
        <v>0</v>
      </c>
      <c r="J146" s="1160">
        <f t="shared" si="460"/>
        <v>0</v>
      </c>
      <c r="K146" s="1563">
        <f t="shared" si="408"/>
        <v>448.26</v>
      </c>
      <c r="L146">
        <f t="shared" si="431"/>
        <v>448.26</v>
      </c>
      <c r="M146" s="1160">
        <f t="shared" si="461"/>
        <v>0</v>
      </c>
      <c r="N146" s="1563">
        <f t="shared" si="409"/>
        <v>6.6900000000000003E-6</v>
      </c>
      <c r="O146">
        <f t="shared" si="432"/>
        <v>6.6900000000000003E-6</v>
      </c>
      <c r="P146" s="1160">
        <f t="shared" si="462"/>
        <v>0</v>
      </c>
      <c r="Q146" s="1563">
        <f t="shared" si="410"/>
        <v>0.55000000000000004</v>
      </c>
      <c r="R146">
        <f t="shared" si="433"/>
        <v>0.55000000000000004</v>
      </c>
      <c r="S146" s="1160">
        <f t="shared" si="463"/>
        <v>0</v>
      </c>
      <c r="T146" s="1563">
        <f t="shared" si="411"/>
        <v>6.0000000000000002E-6</v>
      </c>
      <c r="U146">
        <f t="shared" si="434"/>
        <v>6.0000000000000002E-6</v>
      </c>
      <c r="V146" s="1160">
        <f t="shared" si="464"/>
        <v>0</v>
      </c>
      <c r="W146" s="1563">
        <f t="shared" si="412"/>
        <v>2.4529844644000001E-4</v>
      </c>
      <c r="X146">
        <f t="shared" si="435"/>
        <v>2.4529844644000001E-4</v>
      </c>
      <c r="Y146" s="1160">
        <f t="shared" si="465"/>
        <v>0</v>
      </c>
      <c r="Z146" s="1563">
        <f t="shared" si="413"/>
        <v>77200</v>
      </c>
      <c r="AA146">
        <f t="shared" si="436"/>
        <v>77200</v>
      </c>
      <c r="AB146" s="1160">
        <f t="shared" si="466"/>
        <v>0</v>
      </c>
      <c r="AC146" s="1563">
        <f t="shared" si="414"/>
        <v>463.2</v>
      </c>
      <c r="AD146" t="str">
        <f t="shared" si="437"/>
        <v/>
      </c>
      <c r="AE146" s="1160">
        <f t="shared" si="467"/>
        <v>1</v>
      </c>
      <c r="AF146" s="1563">
        <f t="shared" si="415"/>
        <v>2.083036168457E-2</v>
      </c>
      <c r="AG146">
        <f t="shared" si="438"/>
        <v>2.083036168457E-2</v>
      </c>
      <c r="AH146" s="1160">
        <f t="shared" si="468"/>
        <v>0</v>
      </c>
      <c r="AI146" s="1563">
        <f t="shared" si="416"/>
        <v>5.2582852998400003E-6</v>
      </c>
      <c r="AJ146">
        <f t="shared" si="439"/>
        <v>5.2582852998400003E-6</v>
      </c>
      <c r="AK146" s="1160">
        <f t="shared" si="469"/>
        <v>0</v>
      </c>
      <c r="AL146" s="1563">
        <f t="shared" si="417"/>
        <v>12815.237242000001</v>
      </c>
      <c r="AM146" t="e">
        <f t="shared" si="440"/>
        <v>#N/A</v>
      </c>
      <c r="AN146" s="1563">
        <f t="shared" si="418"/>
        <v>254.8150255403508</v>
      </c>
      <c r="AO146" t="str">
        <f t="shared" si="441"/>
        <v/>
      </c>
      <c r="AP146" s="1160">
        <f t="shared" si="442"/>
        <v>1</v>
      </c>
      <c r="AQ146" s="1563" t="str">
        <f t="shared" si="419"/>
        <v>--</v>
      </c>
      <c r="AS146" s="1563" t="str">
        <f t="shared" si="420"/>
        <v>--</v>
      </c>
      <c r="AU146" s="1563" t="str">
        <f t="shared" si="421"/>
        <v>--</v>
      </c>
      <c r="AW146" s="1563" t="str">
        <f t="shared" si="422"/>
        <v>--</v>
      </c>
      <c r="AY146" s="1592">
        <f t="shared" si="443"/>
        <v>1</v>
      </c>
      <c r="AZ146" s="821">
        <f t="shared" si="444"/>
        <v>1</v>
      </c>
      <c r="BA146" s="1160">
        <f t="shared" si="470"/>
        <v>0</v>
      </c>
      <c r="BB146" s="1592">
        <f t="shared" si="445"/>
        <v>0.1</v>
      </c>
      <c r="BC146" s="821">
        <f t="shared" si="446"/>
        <v>0.1</v>
      </c>
      <c r="BD146" s="1160">
        <f t="shared" si="471"/>
        <v>0</v>
      </c>
      <c r="BE146" s="1592" t="str">
        <f t="shared" si="447"/>
        <v>No</v>
      </c>
      <c r="BF146" s="1592">
        <f t="shared" si="448"/>
        <v>5.1799999999999999E-2</v>
      </c>
      <c r="BG146" s="821">
        <f t="shared" si="449"/>
        <v>5.1799999999999999E-2</v>
      </c>
      <c r="BH146" s="1160">
        <f t="shared" si="472"/>
        <v>0</v>
      </c>
      <c r="BI146" s="1592">
        <f t="shared" si="450"/>
        <v>0.8</v>
      </c>
      <c r="BJ146" s="1592">
        <f t="shared" si="451"/>
        <v>0.42181440336665998</v>
      </c>
      <c r="BK146" s="821">
        <f t="shared" si="452"/>
        <v>0.42181440336665998</v>
      </c>
      <c r="BL146" s="1160">
        <f t="shared" si="473"/>
        <v>0</v>
      </c>
      <c r="BM146" s="1592">
        <f t="shared" si="453"/>
        <v>34.049030432443402</v>
      </c>
      <c r="BN146" s="821">
        <f t="shared" si="454"/>
        <v>34.049030432443402</v>
      </c>
      <c r="BO146" s="1160">
        <f t="shared" si="474"/>
        <v>0</v>
      </c>
      <c r="BP146" s="1592">
        <f t="shared" si="455"/>
        <v>81.717673037864103</v>
      </c>
      <c r="BQ146" s="821">
        <f t="shared" si="456"/>
        <v>81.717673037864103</v>
      </c>
      <c r="BR146" s="1160">
        <f t="shared" si="475"/>
        <v>0</v>
      </c>
      <c r="BS146" s="1592" t="str">
        <f t="shared" si="457"/>
        <v>--</v>
      </c>
      <c r="BT146" s="821">
        <f t="shared" si="458"/>
        <v>0</v>
      </c>
      <c r="BU146" s="1160">
        <f t="shared" si="476"/>
        <v>0</v>
      </c>
      <c r="BW146" s="75">
        <f t="shared" si="477"/>
        <v>1.2</v>
      </c>
      <c r="BX146" s="75" t="str">
        <f t="shared" si="478"/>
        <v>OEHHA 2003</v>
      </c>
      <c r="BY146" s="75">
        <f t="shared" si="479"/>
        <v>1.1000000000000001</v>
      </c>
      <c r="BZ146" s="75" t="str">
        <f t="shared" si="480"/>
        <v>I</v>
      </c>
      <c r="CA146" s="1671" t="str">
        <f t="shared" si="493"/>
        <v>check</v>
      </c>
      <c r="CB146" s="75">
        <f t="shared" si="481"/>
        <v>3.2000000000000003E-4</v>
      </c>
      <c r="CC146" s="75" t="str">
        <f t="shared" si="482"/>
        <v>IRIS 1991</v>
      </c>
      <c r="CD146" s="75">
        <f t="shared" si="483"/>
        <v>3.2000000000000003E-4</v>
      </c>
      <c r="CE146" s="75" t="str">
        <f t="shared" si="484"/>
        <v>I</v>
      </c>
      <c r="CF146" s="1670" t="str">
        <f t="shared" si="494"/>
        <v>--</v>
      </c>
      <c r="CG146" s="75">
        <f t="shared" si="485"/>
        <v>9.0000000000000006E-5</v>
      </c>
      <c r="CH146" s="75" t="str">
        <f t="shared" si="486"/>
        <v xml:space="preserve"> PPRTV</v>
      </c>
      <c r="CI146" s="75">
        <f t="shared" si="487"/>
        <v>9.0000000000000006E-5</v>
      </c>
      <c r="CJ146" s="75" t="str">
        <f t="shared" si="488"/>
        <v>P</v>
      </c>
      <c r="CK146" s="1670" t="str">
        <f t="shared" si="495"/>
        <v>--</v>
      </c>
      <c r="CL146" s="75" t="str">
        <f t="shared" si="489"/>
        <v>--</v>
      </c>
      <c r="CM146" s="75" t="str">
        <f t="shared" si="490"/>
        <v xml:space="preserve"> </v>
      </c>
      <c r="CN146" s="75" t="str">
        <f t="shared" si="491"/>
        <v/>
      </c>
      <c r="CO146" s="75" t="str">
        <f t="shared" si="492"/>
        <v/>
      </c>
      <c r="CP146" s="1670" t="str">
        <f t="shared" si="496"/>
        <v>--</v>
      </c>
      <c r="CR146" s="1686" t="str">
        <f t="shared" si="497"/>
        <v>x</v>
      </c>
      <c r="CS146" s="1686" t="str">
        <f t="shared" si="500"/>
        <v>--</v>
      </c>
      <c r="CT146" s="1686" t="str">
        <f t="shared" si="498"/>
        <v>--</v>
      </c>
      <c r="CU146" s="1686" t="str">
        <f t="shared" si="499"/>
        <v>--</v>
      </c>
    </row>
    <row r="147" spans="1:99">
      <c r="A147" s="1408" t="s">
        <v>325</v>
      </c>
      <c r="B147" s="1571" t="s">
        <v>326</v>
      </c>
      <c r="C147" s="1563" t="str">
        <f t="shared" si="406"/>
        <v>O</v>
      </c>
      <c r="D147" t="e">
        <f t="shared" si="427"/>
        <v>#N/A</v>
      </c>
      <c r="E147" s="1563">
        <f t="shared" si="428"/>
        <v>17</v>
      </c>
      <c r="F147">
        <f t="shared" si="429"/>
        <v>17</v>
      </c>
      <c r="G147" s="1160">
        <f t="shared" si="459"/>
        <v>0</v>
      </c>
      <c r="H147" s="1563" t="str">
        <f t="shared" si="407"/>
        <v>V</v>
      </c>
      <c r="I147" t="str">
        <f t="shared" si="430"/>
        <v>V</v>
      </c>
      <c r="J147" s="1160">
        <f t="shared" si="460"/>
        <v>0</v>
      </c>
      <c r="K147" s="1563">
        <f t="shared" si="408"/>
        <v>181.45</v>
      </c>
      <c r="L147">
        <f t="shared" si="431"/>
        <v>181.45</v>
      </c>
      <c r="M147" s="1160">
        <f t="shared" si="461"/>
        <v>0</v>
      </c>
      <c r="N147" s="1563">
        <f t="shared" si="409"/>
        <v>0.46</v>
      </c>
      <c r="O147">
        <f t="shared" si="432"/>
        <v>0.46</v>
      </c>
      <c r="P147" s="1160">
        <f t="shared" si="462"/>
        <v>0</v>
      </c>
      <c r="Q147" s="1563">
        <f t="shared" si="410"/>
        <v>49</v>
      </c>
      <c r="R147">
        <f t="shared" si="433"/>
        <v>49</v>
      </c>
      <c r="S147" s="1160">
        <f t="shared" si="463"/>
        <v>0</v>
      </c>
      <c r="T147" s="1563">
        <f t="shared" si="411"/>
        <v>1.42E-3</v>
      </c>
      <c r="U147">
        <f t="shared" si="434"/>
        <v>1.42E-3</v>
      </c>
      <c r="V147" s="1160">
        <f t="shared" si="464"/>
        <v>0</v>
      </c>
      <c r="W147" s="1563">
        <f t="shared" si="412"/>
        <v>5.8053965658219998E-2</v>
      </c>
      <c r="X147">
        <f t="shared" si="435"/>
        <v>5.8053965658219998E-2</v>
      </c>
      <c r="Y147" s="1160">
        <f t="shared" si="465"/>
        <v>0</v>
      </c>
      <c r="Z147" s="1563">
        <f t="shared" si="413"/>
        <v>1356</v>
      </c>
      <c r="AA147">
        <f t="shared" si="436"/>
        <v>1356</v>
      </c>
      <c r="AB147" s="1160">
        <f t="shared" si="466"/>
        <v>0</v>
      </c>
      <c r="AC147" s="1563">
        <f t="shared" si="414"/>
        <v>8.136000000000001</v>
      </c>
      <c r="AD147" t="str">
        <f t="shared" si="437"/>
        <v/>
      </c>
      <c r="AE147" s="1160">
        <f t="shared" si="467"/>
        <v>1</v>
      </c>
      <c r="AF147" s="1563">
        <f t="shared" si="415"/>
        <v>3.9599247847320003E-2</v>
      </c>
      <c r="AG147">
        <f t="shared" si="438"/>
        <v>3.9599247847320003E-2</v>
      </c>
      <c r="AH147" s="1160">
        <f t="shared" si="468"/>
        <v>0</v>
      </c>
      <c r="AI147" s="1563">
        <f t="shared" si="416"/>
        <v>8.4033173162499994E-6</v>
      </c>
      <c r="AJ147">
        <f t="shared" si="439"/>
        <v>8.4033173162499994E-6</v>
      </c>
      <c r="AK147" s="1160">
        <f t="shared" si="469"/>
        <v>0</v>
      </c>
      <c r="AL147" s="1563">
        <f t="shared" si="417"/>
        <v>233.90994000000001</v>
      </c>
      <c r="AM147" t="e">
        <f t="shared" si="440"/>
        <v>#N/A</v>
      </c>
      <c r="AN147" s="1563">
        <f t="shared" si="418"/>
        <v>404.10251442735415</v>
      </c>
      <c r="AO147">
        <f t="shared" si="441"/>
        <v>404</v>
      </c>
      <c r="AP147" s="1160">
        <f t="shared" si="442"/>
        <v>1</v>
      </c>
      <c r="AQ147" s="1563">
        <f t="shared" si="419"/>
        <v>1.4857738573010236E-5</v>
      </c>
      <c r="AS147" s="1563">
        <f t="shared" si="420"/>
        <v>29924.320649551075</v>
      </c>
      <c r="AU147" s="1563">
        <f t="shared" si="421"/>
        <v>29343.210562128545</v>
      </c>
      <c r="AW147" s="1563">
        <f t="shared" si="422"/>
        <v>6627.9781158415235</v>
      </c>
      <c r="AY147" s="1592">
        <f t="shared" si="443"/>
        <v>1</v>
      </c>
      <c r="AZ147" s="821">
        <f t="shared" si="444"/>
        <v>1</v>
      </c>
      <c r="BA147" s="1160">
        <f t="shared" si="470"/>
        <v>0</v>
      </c>
      <c r="BB147" s="1592" t="str">
        <f t="shared" si="445"/>
        <v>--</v>
      </c>
      <c r="BC147" s="821" t="str">
        <f t="shared" si="446"/>
        <v/>
      </c>
      <c r="BD147" s="1160">
        <f t="shared" si="471"/>
        <v>0</v>
      </c>
      <c r="BE147" s="1592" t="str">
        <f t="shared" si="447"/>
        <v>Yes</v>
      </c>
      <c r="BF147" s="1592">
        <f t="shared" si="448"/>
        <v>7.0499999999999993E-2</v>
      </c>
      <c r="BG147" s="821">
        <f t="shared" si="449"/>
        <v>7.0499999999999993E-2</v>
      </c>
      <c r="BH147" s="1160">
        <f t="shared" si="472"/>
        <v>0</v>
      </c>
      <c r="BI147" s="1592">
        <f t="shared" si="450"/>
        <v>1</v>
      </c>
      <c r="BJ147" s="1592">
        <f t="shared" si="451"/>
        <v>0.36525338989715</v>
      </c>
      <c r="BK147" s="821">
        <f t="shared" si="452"/>
        <v>0.36525338989715</v>
      </c>
      <c r="BL147" s="1160">
        <f t="shared" si="473"/>
        <v>0</v>
      </c>
      <c r="BM147" s="1592">
        <f t="shared" si="453"/>
        <v>1.0913618028648799</v>
      </c>
      <c r="BN147" s="821">
        <f t="shared" si="454"/>
        <v>1.0913618028648799</v>
      </c>
      <c r="BO147" s="1160">
        <f t="shared" si="474"/>
        <v>0</v>
      </c>
      <c r="BP147" s="1592">
        <f t="shared" si="455"/>
        <v>2.61926832687571</v>
      </c>
      <c r="BQ147" s="821">
        <f t="shared" si="456"/>
        <v>2.61926832687571</v>
      </c>
      <c r="BR147" s="1160">
        <f t="shared" si="475"/>
        <v>0</v>
      </c>
      <c r="BS147" s="1592" t="str">
        <f t="shared" si="457"/>
        <v>--</v>
      </c>
      <c r="BT147" s="821">
        <f t="shared" si="458"/>
        <v>0</v>
      </c>
      <c r="BU147" s="1160">
        <f t="shared" si="476"/>
        <v>0</v>
      </c>
      <c r="BW147" s="75">
        <f t="shared" si="477"/>
        <v>2.9000000000000001E-2</v>
      </c>
      <c r="BX147" s="75" t="str">
        <f t="shared" si="478"/>
        <v>PPRTV 2009</v>
      </c>
      <c r="BY147" s="75">
        <f t="shared" si="479"/>
        <v>2.9000000000000001E-2</v>
      </c>
      <c r="BZ147" s="75" t="str">
        <f t="shared" si="480"/>
        <v>P</v>
      </c>
      <c r="CA147" s="1670" t="str">
        <f t="shared" si="493"/>
        <v>--</v>
      </c>
      <c r="CB147" s="75" t="str">
        <f t="shared" si="481"/>
        <v>--</v>
      </c>
      <c r="CC147" s="75" t="str">
        <f t="shared" si="482"/>
        <v xml:space="preserve"> </v>
      </c>
      <c r="CD147" s="75" t="str">
        <f t="shared" si="483"/>
        <v/>
      </c>
      <c r="CE147" s="75" t="str">
        <f t="shared" si="484"/>
        <v/>
      </c>
      <c r="CF147" s="1670" t="str">
        <f t="shared" si="494"/>
        <v>--</v>
      </c>
      <c r="CG147" s="75">
        <f t="shared" si="485"/>
        <v>0.01</v>
      </c>
      <c r="CH147" s="75" t="str">
        <f t="shared" si="486"/>
        <v>IRIS 1992</v>
      </c>
      <c r="CI147" s="75">
        <f t="shared" si="487"/>
        <v>0.01</v>
      </c>
      <c r="CJ147" s="75" t="str">
        <f t="shared" si="488"/>
        <v>I</v>
      </c>
      <c r="CK147" s="1670" t="str">
        <f t="shared" si="495"/>
        <v>--</v>
      </c>
      <c r="CL147" s="75">
        <f t="shared" si="489"/>
        <v>2</v>
      </c>
      <c r="CM147" s="75" t="str">
        <f t="shared" si="490"/>
        <v>PPRTV 2009</v>
      </c>
      <c r="CN147" s="75">
        <f t="shared" si="491"/>
        <v>2</v>
      </c>
      <c r="CO147" s="75" t="str">
        <f t="shared" si="492"/>
        <v>P</v>
      </c>
      <c r="CP147" s="1670" t="str">
        <f t="shared" si="496"/>
        <v>--</v>
      </c>
      <c r="CR147" s="1686" t="str">
        <f t="shared" si="497"/>
        <v>--</v>
      </c>
      <c r="CS147" s="1686" t="str">
        <f t="shared" si="500"/>
        <v>--</v>
      </c>
      <c r="CT147" s="1686" t="str">
        <f t="shared" si="498"/>
        <v>--</v>
      </c>
      <c r="CU147" s="1686" t="str">
        <f t="shared" si="499"/>
        <v>--</v>
      </c>
    </row>
    <row r="148" spans="1:99">
      <c r="A148" s="1572" t="s">
        <v>327</v>
      </c>
      <c r="B148" s="1571" t="s">
        <v>328</v>
      </c>
      <c r="C148" s="1563" t="str">
        <f t="shared" si="406"/>
        <v>O</v>
      </c>
      <c r="D148" t="e">
        <f t="shared" si="427"/>
        <v>#N/A</v>
      </c>
      <c r="E148" s="1563">
        <f t="shared" si="428"/>
        <v>-30.41</v>
      </c>
      <c r="F148">
        <f t="shared" si="429"/>
        <v>-30.41</v>
      </c>
      <c r="G148" s="1160">
        <f t="shared" si="459"/>
        <v>0</v>
      </c>
      <c r="H148" s="1563" t="str">
        <f t="shared" si="407"/>
        <v>V</v>
      </c>
      <c r="I148" t="str">
        <f t="shared" si="430"/>
        <v>V</v>
      </c>
      <c r="J148" s="1160">
        <f t="shared" si="460"/>
        <v>0</v>
      </c>
      <c r="K148" s="1563">
        <f t="shared" si="408"/>
        <v>133.41</v>
      </c>
      <c r="L148">
        <f t="shared" si="431"/>
        <v>133.41</v>
      </c>
      <c r="M148" s="1160">
        <f t="shared" si="461"/>
        <v>0</v>
      </c>
      <c r="N148" s="1563">
        <f t="shared" si="409"/>
        <v>124</v>
      </c>
      <c r="O148">
        <f t="shared" si="432"/>
        <v>124</v>
      </c>
      <c r="P148" s="1160">
        <f t="shared" si="462"/>
        <v>0</v>
      </c>
      <c r="Q148" s="1563">
        <f t="shared" si="410"/>
        <v>1290</v>
      </c>
      <c r="R148">
        <f t="shared" si="433"/>
        <v>1290</v>
      </c>
      <c r="S148" s="1160">
        <f t="shared" si="463"/>
        <v>0</v>
      </c>
      <c r="T148" s="1563">
        <f t="shared" si="411"/>
        <v>1.72E-2</v>
      </c>
      <c r="U148">
        <f t="shared" si="434"/>
        <v>1.72E-2</v>
      </c>
      <c r="V148" s="1160">
        <f t="shared" si="464"/>
        <v>0</v>
      </c>
      <c r="W148" s="1563">
        <f t="shared" si="412"/>
        <v>0.70318887980375999</v>
      </c>
      <c r="X148">
        <f t="shared" si="435"/>
        <v>0.70318887980375999</v>
      </c>
      <c r="Y148" s="1160">
        <f t="shared" si="465"/>
        <v>0</v>
      </c>
      <c r="Z148" s="1563">
        <f t="shared" si="413"/>
        <v>43.89</v>
      </c>
      <c r="AA148">
        <f t="shared" si="436"/>
        <v>43.89</v>
      </c>
      <c r="AB148" s="1160">
        <f t="shared" si="466"/>
        <v>0</v>
      </c>
      <c r="AC148" s="1563">
        <f t="shared" si="414"/>
        <v>0.26334000000000002</v>
      </c>
      <c r="AD148" t="str">
        <f t="shared" si="437"/>
        <v/>
      </c>
      <c r="AE148" s="1160">
        <f t="shared" si="467"/>
        <v>1</v>
      </c>
      <c r="AF148" s="1563">
        <f t="shared" si="415"/>
        <v>6.4817409072139995E-2</v>
      </c>
      <c r="AG148">
        <f t="shared" si="438"/>
        <v>6.4817409072139995E-2</v>
      </c>
      <c r="AH148" s="1160">
        <f t="shared" si="468"/>
        <v>0</v>
      </c>
      <c r="AI148" s="1563">
        <f t="shared" si="416"/>
        <v>9.5990242153400001E-6</v>
      </c>
      <c r="AJ148">
        <f t="shared" si="439"/>
        <v>9.5990242153400001E-6</v>
      </c>
      <c r="AK148" s="1160">
        <f t="shared" si="469"/>
        <v>0</v>
      </c>
      <c r="AL148" s="1563">
        <f t="shared" si="417"/>
        <v>114.04614000000001</v>
      </c>
      <c r="AM148" t="e">
        <f t="shared" si="440"/>
        <v>#N/A</v>
      </c>
      <c r="AN148" s="1563">
        <f t="shared" si="418"/>
        <v>640.43263153396356</v>
      </c>
      <c r="AO148">
        <f t="shared" si="441"/>
        <v>640</v>
      </c>
      <c r="AP148" s="1160">
        <f t="shared" si="442"/>
        <v>1</v>
      </c>
      <c r="AQ148" s="1563">
        <f t="shared" si="419"/>
        <v>4.891376131313816E-3</v>
      </c>
      <c r="AS148" s="1563">
        <f t="shared" si="420"/>
        <v>1649.2448096615076</v>
      </c>
      <c r="AU148" s="1563">
        <f t="shared" si="421"/>
        <v>1617.2175898376245</v>
      </c>
      <c r="AW148" s="1563">
        <f t="shared" si="422"/>
        <v>365.29345591896276</v>
      </c>
      <c r="AY148" s="1592">
        <f t="shared" si="443"/>
        <v>1</v>
      </c>
      <c r="AZ148" s="821">
        <f t="shared" si="444"/>
        <v>1</v>
      </c>
      <c r="BA148" s="1160">
        <f t="shared" si="470"/>
        <v>0</v>
      </c>
      <c r="BB148" s="1592" t="str">
        <f t="shared" si="445"/>
        <v>--</v>
      </c>
      <c r="BC148" s="821" t="str">
        <f t="shared" si="446"/>
        <v/>
      </c>
      <c r="BD148" s="1160">
        <f t="shared" si="471"/>
        <v>0</v>
      </c>
      <c r="BE148" s="1592" t="str">
        <f t="shared" si="447"/>
        <v>Yes</v>
      </c>
      <c r="BF148" s="1592">
        <f t="shared" si="448"/>
        <v>1.26E-2</v>
      </c>
      <c r="BG148" s="821">
        <f t="shared" si="449"/>
        <v>1.26E-2</v>
      </c>
      <c r="BH148" s="1160">
        <f t="shared" si="472"/>
        <v>0</v>
      </c>
      <c r="BI148" s="1592">
        <f t="shared" si="450"/>
        <v>1</v>
      </c>
      <c r="BJ148" s="1592">
        <f t="shared" si="451"/>
        <v>5.5974650327540003E-2</v>
      </c>
      <c r="BK148" s="821">
        <f t="shared" si="452"/>
        <v>5.5974650327540003E-2</v>
      </c>
      <c r="BL148" s="1160">
        <f t="shared" si="473"/>
        <v>0</v>
      </c>
      <c r="BM148" s="1592">
        <f t="shared" si="453"/>
        <v>0.58741461764628999</v>
      </c>
      <c r="BN148" s="821">
        <f t="shared" si="454"/>
        <v>0.58741461764628999</v>
      </c>
      <c r="BO148" s="1160">
        <f t="shared" si="474"/>
        <v>0</v>
      </c>
      <c r="BP148" s="1592">
        <f t="shared" si="455"/>
        <v>1.4097950823510901</v>
      </c>
      <c r="BQ148" s="821">
        <f t="shared" si="456"/>
        <v>1.4097950823510901</v>
      </c>
      <c r="BR148" s="1160">
        <f t="shared" si="475"/>
        <v>0</v>
      </c>
      <c r="BS148" s="1592" t="str">
        <f t="shared" si="457"/>
        <v>--</v>
      </c>
      <c r="BT148" s="821">
        <f t="shared" si="458"/>
        <v>0</v>
      </c>
      <c r="BU148" s="1160">
        <f t="shared" si="476"/>
        <v>0</v>
      </c>
      <c r="BW148" s="75" t="str">
        <f t="shared" si="477"/>
        <v>--</v>
      </c>
      <c r="BX148" s="75" t="str">
        <f t="shared" si="478"/>
        <v xml:space="preserve"> </v>
      </c>
      <c r="BY148" s="75" t="str">
        <f t="shared" si="479"/>
        <v/>
      </c>
      <c r="BZ148" s="75" t="str">
        <f t="shared" si="480"/>
        <v/>
      </c>
      <c r="CA148" s="1670" t="str">
        <f t="shared" si="493"/>
        <v>--</v>
      </c>
      <c r="CB148" s="75" t="str">
        <f t="shared" si="481"/>
        <v>--</v>
      </c>
      <c r="CC148" s="75" t="str">
        <f t="shared" si="482"/>
        <v xml:space="preserve"> </v>
      </c>
      <c r="CD148" s="75" t="str">
        <f t="shared" si="483"/>
        <v/>
      </c>
      <c r="CE148" s="75" t="str">
        <f t="shared" si="484"/>
        <v/>
      </c>
      <c r="CF148" s="1670" t="str">
        <f t="shared" si="494"/>
        <v>--</v>
      </c>
      <c r="CG148" s="75">
        <f t="shared" si="485"/>
        <v>2</v>
      </c>
      <c r="CH148" s="75" t="str">
        <f t="shared" si="486"/>
        <v>IRIS 2007</v>
      </c>
      <c r="CI148" s="75">
        <f t="shared" si="487"/>
        <v>2</v>
      </c>
      <c r="CJ148" s="75" t="str">
        <f t="shared" si="488"/>
        <v>I</v>
      </c>
      <c r="CK148" s="1670" t="str">
        <f t="shared" si="495"/>
        <v>--</v>
      </c>
      <c r="CL148" s="75">
        <f t="shared" si="489"/>
        <v>1000</v>
      </c>
      <c r="CM148" s="75" t="str">
        <f t="shared" si="490"/>
        <v>OEHHA 2000</v>
      </c>
      <c r="CN148" s="75">
        <f t="shared" si="491"/>
        <v>5000</v>
      </c>
      <c r="CO148" s="75" t="str">
        <f t="shared" si="492"/>
        <v>I</v>
      </c>
      <c r="CP148" s="1671" t="str">
        <f t="shared" si="496"/>
        <v>check</v>
      </c>
      <c r="CR148" s="1686" t="str">
        <f t="shared" si="497"/>
        <v>--</v>
      </c>
      <c r="CS148" s="1686" t="str">
        <f t="shared" si="500"/>
        <v>--</v>
      </c>
      <c r="CT148" s="1686" t="str">
        <f t="shared" si="498"/>
        <v>--</v>
      </c>
      <c r="CU148" s="1686" t="str">
        <f t="shared" si="499"/>
        <v>x</v>
      </c>
    </row>
    <row r="149" spans="1:99">
      <c r="A149" s="1572" t="s">
        <v>329</v>
      </c>
      <c r="B149" s="1571" t="s">
        <v>330</v>
      </c>
      <c r="C149" s="1563" t="str">
        <f t="shared" si="406"/>
        <v>O</v>
      </c>
      <c r="D149" t="e">
        <f t="shared" si="427"/>
        <v>#N/A</v>
      </c>
      <c r="E149" s="1563">
        <f t="shared" si="428"/>
        <v>-36.6</v>
      </c>
      <c r="F149">
        <f t="shared" si="429"/>
        <v>-36.6</v>
      </c>
      <c r="G149" s="1160">
        <f t="shared" si="459"/>
        <v>0</v>
      </c>
      <c r="H149" s="1563" t="str">
        <f t="shared" si="407"/>
        <v>V</v>
      </c>
      <c r="I149" t="str">
        <f t="shared" si="430"/>
        <v>V</v>
      </c>
      <c r="J149" s="1160">
        <f t="shared" si="460"/>
        <v>0</v>
      </c>
      <c r="K149" s="1563">
        <f t="shared" si="408"/>
        <v>133.41</v>
      </c>
      <c r="L149">
        <f t="shared" si="431"/>
        <v>133.41</v>
      </c>
      <c r="M149" s="1160">
        <f t="shared" si="461"/>
        <v>0</v>
      </c>
      <c r="N149" s="1563">
        <f t="shared" si="409"/>
        <v>23</v>
      </c>
      <c r="O149">
        <f t="shared" si="432"/>
        <v>23</v>
      </c>
      <c r="P149" s="1160">
        <f t="shared" si="462"/>
        <v>0</v>
      </c>
      <c r="Q149" s="1563">
        <f t="shared" si="410"/>
        <v>4590</v>
      </c>
      <c r="R149">
        <f t="shared" si="433"/>
        <v>4590</v>
      </c>
      <c r="S149" s="1160">
        <f t="shared" si="463"/>
        <v>0</v>
      </c>
      <c r="T149" s="1563">
        <f t="shared" si="411"/>
        <v>8.2399999999999997E-4</v>
      </c>
      <c r="U149">
        <f t="shared" si="434"/>
        <v>8.2399999999999997E-4</v>
      </c>
      <c r="V149" s="1160">
        <f t="shared" si="464"/>
        <v>0</v>
      </c>
      <c r="W149" s="1563">
        <f t="shared" si="412"/>
        <v>3.3687653311530001E-2</v>
      </c>
      <c r="X149">
        <f t="shared" si="435"/>
        <v>3.3687653311530001E-2</v>
      </c>
      <c r="Y149" s="1160">
        <f t="shared" si="465"/>
        <v>0</v>
      </c>
      <c r="Z149" s="1563">
        <f t="shared" si="413"/>
        <v>60.7</v>
      </c>
      <c r="AA149">
        <f t="shared" si="436"/>
        <v>60.7</v>
      </c>
      <c r="AB149" s="1160">
        <f t="shared" si="466"/>
        <v>0</v>
      </c>
      <c r="AC149" s="1563">
        <f t="shared" si="414"/>
        <v>0.36420000000000002</v>
      </c>
      <c r="AD149" t="str">
        <f t="shared" si="437"/>
        <v/>
      </c>
      <c r="AE149" s="1160">
        <f t="shared" si="467"/>
        <v>1</v>
      </c>
      <c r="AF149" s="1563">
        <f t="shared" si="415"/>
        <v>6.6890387936720003E-2</v>
      </c>
      <c r="AG149">
        <f t="shared" si="438"/>
        <v>6.6890387936720003E-2</v>
      </c>
      <c r="AH149" s="1160">
        <f t="shared" si="468"/>
        <v>0</v>
      </c>
      <c r="AI149" s="1563">
        <f t="shared" si="416"/>
        <v>1.0025867109999999E-5</v>
      </c>
      <c r="AJ149">
        <f t="shared" si="439"/>
        <v>1.0025867109999999E-5</v>
      </c>
      <c r="AK149" s="1160">
        <f t="shared" si="469"/>
        <v>0</v>
      </c>
      <c r="AL149" s="1563">
        <f t="shared" si="417"/>
        <v>15.190768000000002</v>
      </c>
      <c r="AM149" t="e">
        <f t="shared" si="440"/>
        <v>#N/A</v>
      </c>
      <c r="AN149" s="1563">
        <f t="shared" si="418"/>
        <v>2159.9500282633189</v>
      </c>
      <c r="AO149">
        <f t="shared" si="441"/>
        <v>2160</v>
      </c>
      <c r="AP149" s="1160">
        <f t="shared" si="442"/>
        <v>1</v>
      </c>
      <c r="AQ149" s="1563">
        <f t="shared" si="419"/>
        <v>2.5525477405977245E-4</v>
      </c>
      <c r="AS149" s="1563">
        <f t="shared" si="420"/>
        <v>7219.6096909635653</v>
      </c>
      <c r="AU149" s="1563">
        <f t="shared" si="421"/>
        <v>7079.4097489897695</v>
      </c>
      <c r="AW149" s="1563">
        <f t="shared" si="422"/>
        <v>1599.0810818070076</v>
      </c>
      <c r="AY149" s="1592">
        <f t="shared" si="443"/>
        <v>1</v>
      </c>
      <c r="AZ149" s="821">
        <f t="shared" si="444"/>
        <v>1</v>
      </c>
      <c r="BA149" s="1160">
        <f t="shared" si="470"/>
        <v>0</v>
      </c>
      <c r="BB149" s="1592" t="str">
        <f t="shared" si="445"/>
        <v>--</v>
      </c>
      <c r="BC149" s="821" t="str">
        <f t="shared" si="446"/>
        <v/>
      </c>
      <c r="BD149" s="1160">
        <f t="shared" si="471"/>
        <v>0</v>
      </c>
      <c r="BE149" s="1592" t="str">
        <f t="shared" si="447"/>
        <v>Yes</v>
      </c>
      <c r="BF149" s="1592">
        <f t="shared" si="448"/>
        <v>5.0400000000000002E-3</v>
      </c>
      <c r="BG149" s="821">
        <f t="shared" si="449"/>
        <v>5.0400000000000002E-3</v>
      </c>
      <c r="BH149" s="1160">
        <f t="shared" si="472"/>
        <v>0</v>
      </c>
      <c r="BI149" s="1592">
        <f t="shared" si="450"/>
        <v>1</v>
      </c>
      <c r="BJ149" s="1592">
        <f t="shared" si="451"/>
        <v>2.2389860131009999E-2</v>
      </c>
      <c r="BK149" s="821">
        <f t="shared" si="452"/>
        <v>2.2389860131009999E-2</v>
      </c>
      <c r="BL149" s="1160">
        <f t="shared" si="473"/>
        <v>0</v>
      </c>
      <c r="BM149" s="1592">
        <f t="shared" si="453"/>
        <v>0.58741461764628999</v>
      </c>
      <c r="BN149" s="821">
        <f t="shared" si="454"/>
        <v>0.58741461764628999</v>
      </c>
      <c r="BO149" s="1160">
        <f t="shared" si="474"/>
        <v>0</v>
      </c>
      <c r="BP149" s="1592">
        <f t="shared" si="455"/>
        <v>1.4097950823510901</v>
      </c>
      <c r="BQ149" s="821">
        <f t="shared" si="456"/>
        <v>1.4097950823510901</v>
      </c>
      <c r="BR149" s="1160">
        <f t="shared" si="475"/>
        <v>0</v>
      </c>
      <c r="BS149" s="1592" t="str">
        <f t="shared" si="457"/>
        <v>--</v>
      </c>
      <c r="BT149" s="821">
        <f t="shared" si="458"/>
        <v>0</v>
      </c>
      <c r="BU149" s="1160">
        <f t="shared" si="476"/>
        <v>0</v>
      </c>
      <c r="BW149" s="75">
        <f t="shared" si="477"/>
        <v>5.7000000000000002E-2</v>
      </c>
      <c r="BX149" s="75" t="str">
        <f t="shared" si="478"/>
        <v>IRIS 1991</v>
      </c>
      <c r="BY149" s="75">
        <f t="shared" si="479"/>
        <v>5.7000000000000002E-2</v>
      </c>
      <c r="BZ149" s="75" t="str">
        <f t="shared" si="480"/>
        <v>I</v>
      </c>
      <c r="CA149" s="1670" t="str">
        <f t="shared" si="493"/>
        <v>--</v>
      </c>
      <c r="CB149" s="75">
        <f t="shared" si="481"/>
        <v>1.5999999999999999E-5</v>
      </c>
      <c r="CC149" s="75" t="str">
        <f t="shared" si="482"/>
        <v>IRIS 1991</v>
      </c>
      <c r="CD149" s="75">
        <f t="shared" si="483"/>
        <v>1.5999999999999999E-5</v>
      </c>
      <c r="CE149" s="75" t="str">
        <f t="shared" si="484"/>
        <v>I</v>
      </c>
      <c r="CF149" s="1670" t="str">
        <f t="shared" si="494"/>
        <v>--</v>
      </c>
      <c r="CG149" s="75">
        <f t="shared" si="485"/>
        <v>4.0000000000000001E-3</v>
      </c>
      <c r="CH149" s="75" t="str">
        <f t="shared" si="486"/>
        <v>IRIS 1991</v>
      </c>
      <c r="CI149" s="75">
        <f t="shared" si="487"/>
        <v>4.0000000000000001E-3</v>
      </c>
      <c r="CJ149" s="75" t="str">
        <f t="shared" si="488"/>
        <v>I</v>
      </c>
      <c r="CK149" s="1670" t="str">
        <f t="shared" si="495"/>
        <v>--</v>
      </c>
      <c r="CL149" s="75">
        <f t="shared" si="489"/>
        <v>0.2</v>
      </c>
      <c r="CM149" s="75" t="str">
        <f t="shared" si="490"/>
        <v>PPRTV 2011</v>
      </c>
      <c r="CN149" s="75">
        <f t="shared" si="491"/>
        <v>0.2</v>
      </c>
      <c r="CO149" s="75" t="str">
        <f t="shared" si="492"/>
        <v>X</v>
      </c>
      <c r="CP149" s="1670" t="str">
        <f t="shared" si="496"/>
        <v>--</v>
      </c>
      <c r="CR149" s="1686" t="str">
        <f t="shared" si="497"/>
        <v>--</v>
      </c>
      <c r="CS149" s="1686" t="str">
        <f t="shared" si="500"/>
        <v>--</v>
      </c>
      <c r="CT149" s="1686" t="str">
        <f t="shared" si="498"/>
        <v>--</v>
      </c>
      <c r="CU149" s="1686" t="str">
        <f t="shared" si="499"/>
        <v>--</v>
      </c>
    </row>
    <row r="150" spans="1:99">
      <c r="A150" s="1572" t="s">
        <v>331</v>
      </c>
      <c r="B150" s="1571" t="s">
        <v>332</v>
      </c>
      <c r="C150" s="1563" t="str">
        <f t="shared" si="406"/>
        <v>O</v>
      </c>
      <c r="D150" t="e">
        <f t="shared" si="427"/>
        <v>#N/A</v>
      </c>
      <c r="E150" s="1563">
        <f t="shared" si="428"/>
        <v>-84.7</v>
      </c>
      <c r="F150">
        <f t="shared" si="429"/>
        <v>-84.7</v>
      </c>
      <c r="G150" s="1160">
        <f t="shared" si="459"/>
        <v>0</v>
      </c>
      <c r="H150" s="1563" t="str">
        <f t="shared" si="407"/>
        <v>V</v>
      </c>
      <c r="I150" t="str">
        <f t="shared" si="430"/>
        <v>V</v>
      </c>
      <c r="J150" s="1160">
        <f t="shared" si="460"/>
        <v>0</v>
      </c>
      <c r="K150" s="1563">
        <f t="shared" si="408"/>
        <v>131.38999999999999</v>
      </c>
      <c r="L150">
        <f t="shared" si="431"/>
        <v>131.38999999999999</v>
      </c>
      <c r="M150" s="1160">
        <f t="shared" si="461"/>
        <v>0</v>
      </c>
      <c r="N150" s="1563">
        <f t="shared" si="409"/>
        <v>69</v>
      </c>
      <c r="O150">
        <f t="shared" si="432"/>
        <v>69</v>
      </c>
      <c r="P150" s="1160">
        <f t="shared" si="462"/>
        <v>0</v>
      </c>
      <c r="Q150" s="1563">
        <f t="shared" si="410"/>
        <v>1280</v>
      </c>
      <c r="R150">
        <f t="shared" si="433"/>
        <v>1280</v>
      </c>
      <c r="S150" s="1160">
        <f t="shared" si="463"/>
        <v>0</v>
      </c>
      <c r="T150" s="1563">
        <f t="shared" si="411"/>
        <v>9.8499999999999994E-3</v>
      </c>
      <c r="U150">
        <f t="shared" si="434"/>
        <v>9.8499999999999994E-3</v>
      </c>
      <c r="V150" s="1160">
        <f t="shared" si="464"/>
        <v>0</v>
      </c>
      <c r="W150" s="1563">
        <f t="shared" si="412"/>
        <v>0.40269828291088</v>
      </c>
      <c r="X150">
        <f t="shared" si="435"/>
        <v>0.40269828291088</v>
      </c>
      <c r="Y150" s="1160">
        <f t="shared" si="465"/>
        <v>0</v>
      </c>
      <c r="Z150" s="1563">
        <f t="shared" si="413"/>
        <v>60.7</v>
      </c>
      <c r="AA150">
        <f t="shared" si="436"/>
        <v>60.7</v>
      </c>
      <c r="AB150" s="1160">
        <f t="shared" si="466"/>
        <v>0</v>
      </c>
      <c r="AC150" s="1563">
        <f t="shared" si="414"/>
        <v>0.36420000000000002</v>
      </c>
      <c r="AD150" t="str">
        <f t="shared" si="437"/>
        <v/>
      </c>
      <c r="AE150" s="1160">
        <f t="shared" si="467"/>
        <v>1</v>
      </c>
      <c r="AF150" s="1563">
        <f t="shared" si="415"/>
        <v>6.8661810409549995E-2</v>
      </c>
      <c r="AG150">
        <f t="shared" si="438"/>
        <v>6.8661810409549995E-2</v>
      </c>
      <c r="AH150" s="1160">
        <f t="shared" si="468"/>
        <v>0</v>
      </c>
      <c r="AI150" s="1563">
        <f t="shared" si="416"/>
        <v>1.022102912E-5</v>
      </c>
      <c r="AJ150">
        <f t="shared" si="439"/>
        <v>1.022102912E-5</v>
      </c>
      <c r="AK150" s="1160">
        <f t="shared" si="469"/>
        <v>0</v>
      </c>
      <c r="AL150" s="1563">
        <f t="shared" si="417"/>
        <v>71.215149999999994</v>
      </c>
      <c r="AM150" t="e">
        <f t="shared" si="440"/>
        <v>#N/A</v>
      </c>
      <c r="AN150" s="1563">
        <f t="shared" si="418"/>
        <v>691.75561914459365</v>
      </c>
      <c r="AO150">
        <f t="shared" si="441"/>
        <v>692</v>
      </c>
      <c r="AP150" s="1160">
        <f t="shared" si="442"/>
        <v>1</v>
      </c>
      <c r="AQ150" s="1563">
        <f t="shared" si="419"/>
        <v>2.7259110050931257E-3</v>
      </c>
      <c r="AS150" s="1563">
        <f t="shared" si="420"/>
        <v>2209.2497752330314</v>
      </c>
      <c r="AU150" s="1563">
        <f t="shared" si="421"/>
        <v>2166.3476373680192</v>
      </c>
      <c r="AW150" s="1563">
        <f t="shared" si="422"/>
        <v>489.32971057747352</v>
      </c>
      <c r="AY150" s="1592">
        <f t="shared" si="443"/>
        <v>1</v>
      </c>
      <c r="AZ150" s="821">
        <f t="shared" si="444"/>
        <v>1</v>
      </c>
      <c r="BA150" s="1160">
        <f t="shared" si="470"/>
        <v>0</v>
      </c>
      <c r="BB150" s="1592" t="str">
        <f t="shared" si="445"/>
        <v>--</v>
      </c>
      <c r="BC150" s="821" t="str">
        <f t="shared" si="446"/>
        <v/>
      </c>
      <c r="BD150" s="1160">
        <f t="shared" si="471"/>
        <v>0</v>
      </c>
      <c r="BE150" s="1592" t="str">
        <f t="shared" si="447"/>
        <v>Yes</v>
      </c>
      <c r="BF150" s="1592">
        <f t="shared" si="448"/>
        <v>1.1599999999999999E-2</v>
      </c>
      <c r="BG150" s="821">
        <f t="shared" si="449"/>
        <v>1.1599999999999999E-2</v>
      </c>
      <c r="BH150" s="1160">
        <f t="shared" si="472"/>
        <v>0</v>
      </c>
      <c r="BI150" s="1592">
        <f t="shared" si="450"/>
        <v>1</v>
      </c>
      <c r="BJ150" s="1592">
        <f t="shared" si="451"/>
        <v>5.1140597474600001E-2</v>
      </c>
      <c r="BK150" s="821">
        <f t="shared" si="452"/>
        <v>5.1140597474600001E-2</v>
      </c>
      <c r="BL150" s="1160">
        <f t="shared" si="473"/>
        <v>0</v>
      </c>
      <c r="BM150" s="1592">
        <f t="shared" si="453"/>
        <v>0.57231186493427</v>
      </c>
      <c r="BN150" s="821">
        <f t="shared" si="454"/>
        <v>0.57231186493427</v>
      </c>
      <c r="BO150" s="1160">
        <f t="shared" si="474"/>
        <v>0</v>
      </c>
      <c r="BP150" s="1592">
        <f t="shared" si="455"/>
        <v>1.37354847584226</v>
      </c>
      <c r="BQ150" s="821">
        <f t="shared" si="456"/>
        <v>1.37354847584226</v>
      </c>
      <c r="BR150" s="1160">
        <f t="shared" si="475"/>
        <v>0</v>
      </c>
      <c r="BS150" s="1592" t="str">
        <f t="shared" si="457"/>
        <v>Yes</v>
      </c>
      <c r="BT150" s="821" t="str">
        <f t="shared" si="458"/>
        <v>M</v>
      </c>
      <c r="BU150" s="1160">
        <f t="shared" si="476"/>
        <v>0</v>
      </c>
      <c r="BW150" s="75">
        <f t="shared" si="477"/>
        <v>4.5999999999999999E-2</v>
      </c>
      <c r="BX150" s="75" t="str">
        <f t="shared" si="478"/>
        <v>IRIS 2011</v>
      </c>
      <c r="BY150" s="75">
        <f t="shared" si="479"/>
        <v>4.5999999999999999E-2</v>
      </c>
      <c r="BZ150" s="75" t="str">
        <f t="shared" si="480"/>
        <v>I</v>
      </c>
      <c r="CA150" s="1670" t="str">
        <f t="shared" si="493"/>
        <v>--</v>
      </c>
      <c r="CB150" s="75">
        <f t="shared" si="481"/>
        <v>4.0999999999999997E-6</v>
      </c>
      <c r="CC150" s="75" t="str">
        <f t="shared" si="482"/>
        <v>IRIS 2011</v>
      </c>
      <c r="CD150" s="75">
        <f t="shared" si="483"/>
        <v>4.0999999999999997E-6</v>
      </c>
      <c r="CE150" s="75" t="str">
        <f t="shared" si="484"/>
        <v>I</v>
      </c>
      <c r="CF150" s="1670" t="str">
        <f t="shared" si="494"/>
        <v>--</v>
      </c>
      <c r="CG150" s="75">
        <f t="shared" si="485"/>
        <v>5.0000000000000001E-4</v>
      </c>
      <c r="CH150" s="75" t="str">
        <f t="shared" si="486"/>
        <v>IRIS 201</v>
      </c>
      <c r="CI150" s="75">
        <f t="shared" si="487"/>
        <v>5.0000000000000001E-4</v>
      </c>
      <c r="CJ150" s="75" t="str">
        <f t="shared" si="488"/>
        <v>I</v>
      </c>
      <c r="CK150" s="1670" t="str">
        <f t="shared" si="495"/>
        <v>--</v>
      </c>
      <c r="CL150" s="75">
        <f t="shared" si="489"/>
        <v>2</v>
      </c>
      <c r="CM150" s="75" t="str">
        <f t="shared" si="490"/>
        <v>IRIS 2011</v>
      </c>
      <c r="CN150" s="75">
        <f t="shared" si="491"/>
        <v>2</v>
      </c>
      <c r="CO150" s="75" t="str">
        <f t="shared" si="492"/>
        <v>I</v>
      </c>
      <c r="CP150" s="1670" t="str">
        <f t="shared" si="496"/>
        <v>--</v>
      </c>
      <c r="CR150" s="1686" t="str">
        <f t="shared" si="497"/>
        <v>--</v>
      </c>
      <c r="CS150" s="1686" t="str">
        <f t="shared" si="500"/>
        <v>--</v>
      </c>
      <c r="CT150" s="1686" t="str">
        <f t="shared" si="498"/>
        <v>--</v>
      </c>
      <c r="CU150" s="1686" t="str">
        <f t="shared" si="499"/>
        <v>--</v>
      </c>
    </row>
    <row r="151" spans="1:99">
      <c r="A151" s="1572" t="s">
        <v>333</v>
      </c>
      <c r="B151" s="1571" t="s">
        <v>334</v>
      </c>
      <c r="C151" s="1563" t="str">
        <f t="shared" si="406"/>
        <v>O</v>
      </c>
      <c r="D151" t="e">
        <f t="shared" si="427"/>
        <v>#N/A</v>
      </c>
      <c r="E151" s="1563">
        <f t="shared" si="428"/>
        <v>69</v>
      </c>
      <c r="F151">
        <f t="shared" si="429"/>
        <v>69</v>
      </c>
      <c r="G151" s="1160">
        <f t="shared" si="459"/>
        <v>0</v>
      </c>
      <c r="H151" s="1563" t="str">
        <f t="shared" si="407"/>
        <v>NV</v>
      </c>
      <c r="I151">
        <f t="shared" si="430"/>
        <v>0</v>
      </c>
      <c r="J151" s="1160">
        <f t="shared" si="460"/>
        <v>0</v>
      </c>
      <c r="K151" s="1563">
        <f t="shared" si="408"/>
        <v>197.45</v>
      </c>
      <c r="L151">
        <f t="shared" si="431"/>
        <v>197.45</v>
      </c>
      <c r="M151" s="1160">
        <f t="shared" si="461"/>
        <v>0</v>
      </c>
      <c r="N151" s="1563">
        <f t="shared" si="409"/>
        <v>7.4999999999999997E-3</v>
      </c>
      <c r="O151">
        <f t="shared" si="432"/>
        <v>7.4999999999999997E-3</v>
      </c>
      <c r="P151" s="1160">
        <f t="shared" si="462"/>
        <v>0</v>
      </c>
      <c r="Q151" s="1563">
        <f t="shared" si="410"/>
        <v>1200</v>
      </c>
      <c r="R151">
        <f t="shared" si="433"/>
        <v>1200</v>
      </c>
      <c r="S151" s="1160">
        <f t="shared" si="463"/>
        <v>0</v>
      </c>
      <c r="T151" s="1563">
        <f t="shared" si="411"/>
        <v>1.6199999999999999E-6</v>
      </c>
      <c r="U151">
        <f t="shared" si="434"/>
        <v>1.6199999999999999E-6</v>
      </c>
      <c r="V151" s="1160">
        <f t="shared" si="464"/>
        <v>0</v>
      </c>
      <c r="W151" s="1563">
        <f t="shared" si="412"/>
        <v>6.6230580540000005E-5</v>
      </c>
      <c r="X151">
        <f t="shared" si="435"/>
        <v>6.6230580540000005E-5</v>
      </c>
      <c r="Y151" s="1160">
        <f t="shared" si="465"/>
        <v>0</v>
      </c>
      <c r="Z151" s="1563">
        <f t="shared" si="413"/>
        <v>1597</v>
      </c>
      <c r="AA151">
        <f t="shared" si="436"/>
        <v>1597</v>
      </c>
      <c r="AB151" s="1160">
        <f t="shared" si="466"/>
        <v>0</v>
      </c>
      <c r="AC151" s="1563">
        <f t="shared" si="414"/>
        <v>9.5820000000000007</v>
      </c>
      <c r="AD151" t="str">
        <f t="shared" si="437"/>
        <v/>
      </c>
      <c r="AE151" s="1160">
        <f t="shared" si="467"/>
        <v>1</v>
      </c>
      <c r="AF151" s="1563">
        <f t="shared" si="415"/>
        <v>3.1393813646519997E-2</v>
      </c>
      <c r="AG151">
        <f t="shared" si="438"/>
        <v>3.1393813646519997E-2</v>
      </c>
      <c r="AH151" s="1160">
        <f t="shared" si="468"/>
        <v>0</v>
      </c>
      <c r="AI151" s="1563">
        <f t="shared" si="416"/>
        <v>8.0892684804699997E-6</v>
      </c>
      <c r="AJ151">
        <f t="shared" si="439"/>
        <v>8.0892684804699997E-6</v>
      </c>
      <c r="AK151" s="1160">
        <f t="shared" si="469"/>
        <v>0</v>
      </c>
      <c r="AL151" s="1563">
        <f t="shared" si="417"/>
        <v>265.11205534000004</v>
      </c>
      <c r="AM151" t="e">
        <f t="shared" si="440"/>
        <v>#N/A</v>
      </c>
      <c r="AN151" s="1563">
        <f t="shared" si="418"/>
        <v>11618.415045588486</v>
      </c>
      <c r="AO151" t="str">
        <f t="shared" si="441"/>
        <v/>
      </c>
      <c r="AP151" s="1160">
        <f t="shared" si="442"/>
        <v>1</v>
      </c>
      <c r="AQ151" s="1563" t="str">
        <f t="shared" si="419"/>
        <v>--</v>
      </c>
      <c r="AS151" s="1563" t="str">
        <f t="shared" si="420"/>
        <v>--</v>
      </c>
      <c r="AU151" s="1563" t="str">
        <f t="shared" si="421"/>
        <v>--</v>
      </c>
      <c r="AW151" s="1563" t="str">
        <f t="shared" si="422"/>
        <v>--</v>
      </c>
      <c r="AY151" s="1592">
        <f t="shared" si="443"/>
        <v>1</v>
      </c>
      <c r="AZ151" s="821">
        <f t="shared" si="444"/>
        <v>1</v>
      </c>
      <c r="BA151" s="1160">
        <f t="shared" si="470"/>
        <v>0</v>
      </c>
      <c r="BB151" s="1592">
        <f t="shared" si="445"/>
        <v>0.1</v>
      </c>
      <c r="BC151" s="821">
        <f t="shared" si="446"/>
        <v>0.1</v>
      </c>
      <c r="BD151" s="1160">
        <f t="shared" si="471"/>
        <v>0</v>
      </c>
      <c r="BE151" s="1592" t="str">
        <f t="shared" si="447"/>
        <v>Yes</v>
      </c>
      <c r="BF151" s="1592">
        <f t="shared" si="448"/>
        <v>3.6200000000000003E-2</v>
      </c>
      <c r="BG151" s="821">
        <f t="shared" si="449"/>
        <v>3.6200000000000003E-2</v>
      </c>
      <c r="BH151" s="1160">
        <f t="shared" si="472"/>
        <v>0</v>
      </c>
      <c r="BI151" s="1592">
        <f t="shared" si="450"/>
        <v>1</v>
      </c>
      <c r="BJ151" s="1592">
        <f t="shared" si="451"/>
        <v>0.19564276480390999</v>
      </c>
      <c r="BK151" s="821">
        <f t="shared" si="452"/>
        <v>0.19564276480390999</v>
      </c>
      <c r="BL151" s="1160">
        <f t="shared" si="473"/>
        <v>0</v>
      </c>
      <c r="BM151" s="1592">
        <f t="shared" si="453"/>
        <v>1.34143226979738</v>
      </c>
      <c r="BN151" s="821">
        <f t="shared" si="454"/>
        <v>1.34143226979738</v>
      </c>
      <c r="BO151" s="1160">
        <f t="shared" si="474"/>
        <v>0</v>
      </c>
      <c r="BP151" s="1592">
        <f t="shared" si="455"/>
        <v>3.21943744751372</v>
      </c>
      <c r="BQ151" s="821">
        <f t="shared" si="456"/>
        <v>3.21943744751372</v>
      </c>
      <c r="BR151" s="1160">
        <f t="shared" si="475"/>
        <v>0</v>
      </c>
      <c r="BS151" s="1592" t="str">
        <f t="shared" si="457"/>
        <v>--</v>
      </c>
      <c r="BT151" s="821">
        <f t="shared" si="458"/>
        <v>0</v>
      </c>
      <c r="BU151" s="1160">
        <f t="shared" si="476"/>
        <v>0</v>
      </c>
      <c r="BW151" s="75" t="str">
        <f t="shared" si="477"/>
        <v>--</v>
      </c>
      <c r="BX151" s="75" t="str">
        <f t="shared" si="478"/>
        <v xml:space="preserve"> </v>
      </c>
      <c r="BY151" s="75" t="str">
        <f t="shared" si="479"/>
        <v/>
      </c>
      <c r="BZ151" s="75" t="str">
        <f t="shared" si="480"/>
        <v/>
      </c>
      <c r="CA151" s="1670" t="str">
        <f t="shared" si="493"/>
        <v>--</v>
      </c>
      <c r="CB151" s="75" t="str">
        <f t="shared" si="481"/>
        <v>--</v>
      </c>
      <c r="CC151" s="75" t="str">
        <f t="shared" si="482"/>
        <v xml:space="preserve"> </v>
      </c>
      <c r="CD151" s="75" t="str">
        <f t="shared" si="483"/>
        <v/>
      </c>
      <c r="CE151" s="75" t="str">
        <f t="shared" si="484"/>
        <v/>
      </c>
      <c r="CF151" s="1670" t="str">
        <f t="shared" si="494"/>
        <v>--</v>
      </c>
      <c r="CG151" s="75">
        <f t="shared" si="485"/>
        <v>0.1</v>
      </c>
      <c r="CH151" s="75" t="str">
        <f t="shared" si="486"/>
        <v>IRIS 1991</v>
      </c>
      <c r="CI151" s="75">
        <f t="shared" si="487"/>
        <v>0.1</v>
      </c>
      <c r="CJ151" s="75" t="str">
        <f t="shared" si="488"/>
        <v>I</v>
      </c>
      <c r="CK151" s="1670" t="str">
        <f t="shared" si="495"/>
        <v>--</v>
      </c>
      <c r="CL151" s="75" t="str">
        <f t="shared" si="489"/>
        <v>--</v>
      </c>
      <c r="CM151" s="75" t="str">
        <f t="shared" si="490"/>
        <v xml:space="preserve"> </v>
      </c>
      <c r="CN151" s="75" t="str">
        <f t="shared" si="491"/>
        <v/>
      </c>
      <c r="CO151" s="75" t="str">
        <f t="shared" si="492"/>
        <v/>
      </c>
      <c r="CP151" s="1670" t="str">
        <f t="shared" si="496"/>
        <v>--</v>
      </c>
      <c r="CR151" s="1686" t="str">
        <f t="shared" si="497"/>
        <v>--</v>
      </c>
      <c r="CS151" s="1686" t="str">
        <f t="shared" si="500"/>
        <v>--</v>
      </c>
      <c r="CT151" s="1686" t="str">
        <f t="shared" si="498"/>
        <v>--</v>
      </c>
      <c r="CU151" s="1686" t="str">
        <f t="shared" si="499"/>
        <v>--</v>
      </c>
    </row>
    <row r="152" spans="1:99">
      <c r="A152" s="1572" t="s">
        <v>335</v>
      </c>
      <c r="B152" s="1571" t="s">
        <v>336</v>
      </c>
      <c r="C152" s="1563" t="str">
        <f t="shared" si="406"/>
        <v>O</v>
      </c>
      <c r="D152" t="e">
        <f t="shared" si="427"/>
        <v>#N/A</v>
      </c>
      <c r="E152" s="1563">
        <f t="shared" si="428"/>
        <v>69</v>
      </c>
      <c r="F152">
        <f t="shared" si="429"/>
        <v>69</v>
      </c>
      <c r="G152" s="1160">
        <f t="shared" si="459"/>
        <v>0</v>
      </c>
      <c r="H152" s="1563" t="str">
        <f t="shared" si="407"/>
        <v>NV</v>
      </c>
      <c r="I152">
        <f t="shared" si="430"/>
        <v>0</v>
      </c>
      <c r="J152" s="1160">
        <f t="shared" si="460"/>
        <v>0</v>
      </c>
      <c r="K152" s="1563">
        <f t="shared" si="408"/>
        <v>197.45</v>
      </c>
      <c r="L152">
        <f t="shared" si="431"/>
        <v>197.45</v>
      </c>
      <c r="M152" s="1160">
        <f t="shared" si="461"/>
        <v>0</v>
      </c>
      <c r="N152" s="1563">
        <f t="shared" si="409"/>
        <v>8.0000000000000002E-3</v>
      </c>
      <c r="O152">
        <f t="shared" si="432"/>
        <v>8.0000000000000002E-3</v>
      </c>
      <c r="P152" s="1160">
        <f t="shared" si="462"/>
        <v>0</v>
      </c>
      <c r="Q152" s="1563">
        <f t="shared" si="410"/>
        <v>800</v>
      </c>
      <c r="R152">
        <f t="shared" si="433"/>
        <v>800</v>
      </c>
      <c r="S152" s="1160">
        <f t="shared" si="463"/>
        <v>0</v>
      </c>
      <c r="T152" s="1563">
        <f t="shared" si="411"/>
        <v>2.6000000000000001E-6</v>
      </c>
      <c r="U152">
        <f t="shared" si="434"/>
        <v>2.6000000000000001E-6</v>
      </c>
      <c r="V152" s="1160">
        <f t="shared" si="464"/>
        <v>0</v>
      </c>
      <c r="W152" s="1563">
        <f t="shared" si="412"/>
        <v>1.0629599346E-4</v>
      </c>
      <c r="X152">
        <f t="shared" si="435"/>
        <v>1.0629599346E-4</v>
      </c>
      <c r="Y152" s="1160">
        <f t="shared" si="465"/>
        <v>0</v>
      </c>
      <c r="Z152" s="1563">
        <f t="shared" si="413"/>
        <v>381</v>
      </c>
      <c r="AA152">
        <f t="shared" si="436"/>
        <v>381</v>
      </c>
      <c r="AB152" s="1160">
        <f t="shared" si="466"/>
        <v>0</v>
      </c>
      <c r="AC152" s="1563">
        <f t="shared" si="414"/>
        <v>2.286</v>
      </c>
      <c r="AD152" t="str">
        <f t="shared" si="437"/>
        <v/>
      </c>
      <c r="AE152" s="1160">
        <f t="shared" si="467"/>
        <v>1</v>
      </c>
      <c r="AF152" s="1563">
        <f t="shared" si="415"/>
        <v>3.1394761881899998E-2</v>
      </c>
      <c r="AG152">
        <f t="shared" si="438"/>
        <v>3.1394761881899998E-2</v>
      </c>
      <c r="AH152" s="1160">
        <f t="shared" si="468"/>
        <v>0</v>
      </c>
      <c r="AI152" s="1563">
        <f t="shared" si="416"/>
        <v>8.0895942184600003E-6</v>
      </c>
      <c r="AJ152">
        <f t="shared" si="439"/>
        <v>8.0895942184600003E-6</v>
      </c>
      <c r="AK152" s="1160">
        <f t="shared" si="469"/>
        <v>0</v>
      </c>
      <c r="AL152" s="1563">
        <f t="shared" si="417"/>
        <v>63.262138200000003</v>
      </c>
      <c r="AM152" t="e">
        <f t="shared" si="440"/>
        <v>#N/A</v>
      </c>
      <c r="AN152" s="1563">
        <f t="shared" si="418"/>
        <v>1908.816098160519</v>
      </c>
      <c r="AO152" t="str">
        <f t="shared" si="441"/>
        <v/>
      </c>
      <c r="AP152" s="1160">
        <f t="shared" si="442"/>
        <v>1</v>
      </c>
      <c r="AQ152" s="1563" t="str">
        <f t="shared" si="419"/>
        <v>--</v>
      </c>
      <c r="AS152" s="1563" t="str">
        <f t="shared" si="420"/>
        <v>--</v>
      </c>
      <c r="AU152" s="1563" t="str">
        <f t="shared" si="421"/>
        <v>--</v>
      </c>
      <c r="AW152" s="1563" t="str">
        <f t="shared" si="422"/>
        <v>--</v>
      </c>
      <c r="AY152" s="1592">
        <f t="shared" si="443"/>
        <v>1</v>
      </c>
      <c r="AZ152" s="821">
        <f t="shared" si="444"/>
        <v>1</v>
      </c>
      <c r="BA152" s="1160">
        <f t="shared" si="470"/>
        <v>0</v>
      </c>
      <c r="BB152" s="1592">
        <f t="shared" si="445"/>
        <v>0.1</v>
      </c>
      <c r="BC152" s="821">
        <f t="shared" si="446"/>
        <v>0.1</v>
      </c>
      <c r="BD152" s="1160">
        <f t="shared" si="471"/>
        <v>0</v>
      </c>
      <c r="BE152" s="1592" t="str">
        <f t="shared" si="447"/>
        <v>Yes</v>
      </c>
      <c r="BF152" s="1592">
        <f t="shared" si="448"/>
        <v>3.4599999999999999E-2</v>
      </c>
      <c r="BG152" s="821">
        <f t="shared" si="449"/>
        <v>3.4599999999999999E-2</v>
      </c>
      <c r="BH152" s="1160">
        <f t="shared" si="472"/>
        <v>0</v>
      </c>
      <c r="BI152" s="1592">
        <f t="shared" si="450"/>
        <v>1</v>
      </c>
      <c r="BJ152" s="1592">
        <f t="shared" si="451"/>
        <v>0.18699557077942999</v>
      </c>
      <c r="BK152" s="821">
        <f t="shared" si="452"/>
        <v>0.18699557077942999</v>
      </c>
      <c r="BL152" s="1160">
        <f t="shared" si="473"/>
        <v>0</v>
      </c>
      <c r="BM152" s="1592">
        <f t="shared" si="453"/>
        <v>1.34143226979738</v>
      </c>
      <c r="BN152" s="821">
        <f t="shared" si="454"/>
        <v>1.34143226979738</v>
      </c>
      <c r="BO152" s="1160">
        <f t="shared" si="474"/>
        <v>0</v>
      </c>
      <c r="BP152" s="1592">
        <f t="shared" si="455"/>
        <v>3.21943744751372</v>
      </c>
      <c r="BQ152" s="821">
        <f t="shared" si="456"/>
        <v>3.21943744751372</v>
      </c>
      <c r="BR152" s="1160">
        <f t="shared" si="475"/>
        <v>0</v>
      </c>
      <c r="BS152" s="1592" t="str">
        <f t="shared" si="457"/>
        <v>--</v>
      </c>
      <c r="BT152" s="821">
        <f t="shared" si="458"/>
        <v>0</v>
      </c>
      <c r="BU152" s="1160">
        <f t="shared" si="476"/>
        <v>0</v>
      </c>
      <c r="BW152" s="75">
        <f t="shared" si="477"/>
        <v>7.0000000000000007E-2</v>
      </c>
      <c r="BX152" s="75" t="str">
        <f t="shared" si="478"/>
        <v>OEHHA 2009</v>
      </c>
      <c r="BY152" s="75">
        <f t="shared" si="479"/>
        <v>1.0999999999999999E-2</v>
      </c>
      <c r="BZ152" s="75" t="str">
        <f t="shared" si="480"/>
        <v>I</v>
      </c>
      <c r="CA152" s="1671" t="str">
        <f t="shared" si="493"/>
        <v>check</v>
      </c>
      <c r="CB152" s="75">
        <f t="shared" si="481"/>
        <v>2.0000000000000002E-5</v>
      </c>
      <c r="CC152" s="75" t="str">
        <f t="shared" si="482"/>
        <v>OEHHA 2009</v>
      </c>
      <c r="CD152" s="75">
        <f t="shared" si="483"/>
        <v>3.1E-6</v>
      </c>
      <c r="CE152" s="75" t="str">
        <f t="shared" si="484"/>
        <v>I</v>
      </c>
      <c r="CF152" s="1671" t="str">
        <f t="shared" si="494"/>
        <v>check</v>
      </c>
      <c r="CG152" s="75">
        <f t="shared" si="485"/>
        <v>1E-3</v>
      </c>
      <c r="CH152" s="75" t="str">
        <f t="shared" si="486"/>
        <v>PPRTV 2007</v>
      </c>
      <c r="CI152" s="75">
        <f t="shared" si="487"/>
        <v>1E-3</v>
      </c>
      <c r="CJ152" s="75" t="str">
        <f t="shared" si="488"/>
        <v>P</v>
      </c>
      <c r="CK152" s="1670" t="str">
        <f t="shared" si="495"/>
        <v>--</v>
      </c>
      <c r="CL152" s="75" t="str">
        <f t="shared" si="489"/>
        <v>--</v>
      </c>
      <c r="CM152" s="75" t="str">
        <f t="shared" si="490"/>
        <v xml:space="preserve"> </v>
      </c>
      <c r="CN152" s="75" t="str">
        <f t="shared" si="491"/>
        <v/>
      </c>
      <c r="CO152" s="75" t="str">
        <f t="shared" si="492"/>
        <v/>
      </c>
      <c r="CP152" s="1670" t="str">
        <f t="shared" si="496"/>
        <v>--</v>
      </c>
      <c r="CR152" s="1686" t="str">
        <f t="shared" si="497"/>
        <v>x</v>
      </c>
      <c r="CS152" s="1686" t="str">
        <f t="shared" si="500"/>
        <v>x</v>
      </c>
      <c r="CT152" s="1686" t="str">
        <f t="shared" si="498"/>
        <v>--</v>
      </c>
      <c r="CU152" s="1686" t="str">
        <f t="shared" si="499"/>
        <v>--</v>
      </c>
    </row>
    <row r="153" spans="1:99">
      <c r="A153" s="1572" t="s">
        <v>337</v>
      </c>
      <c r="B153" s="1571" t="s">
        <v>338</v>
      </c>
      <c r="C153" s="1563" t="str">
        <f t="shared" si="406"/>
        <v>O</v>
      </c>
      <c r="D153" t="e">
        <f t="shared" si="427"/>
        <v>#N/A</v>
      </c>
      <c r="E153" s="1563">
        <f t="shared" si="428"/>
        <v>-14.7</v>
      </c>
      <c r="F153">
        <f t="shared" si="429"/>
        <v>-14.7</v>
      </c>
      <c r="G153" s="1160">
        <f t="shared" si="459"/>
        <v>0</v>
      </c>
      <c r="H153" s="1563" t="str">
        <f t="shared" si="407"/>
        <v>V</v>
      </c>
      <c r="I153" t="str">
        <f t="shared" si="430"/>
        <v>V</v>
      </c>
      <c r="J153" s="1160">
        <f t="shared" si="460"/>
        <v>0</v>
      </c>
      <c r="K153" s="1563">
        <f t="shared" si="408"/>
        <v>147.43</v>
      </c>
      <c r="L153">
        <f t="shared" si="431"/>
        <v>147.43</v>
      </c>
      <c r="M153" s="1160">
        <f t="shared" si="461"/>
        <v>0</v>
      </c>
      <c r="N153" s="1563">
        <f t="shared" si="409"/>
        <v>3.69</v>
      </c>
      <c r="O153">
        <f t="shared" si="432"/>
        <v>3.69</v>
      </c>
      <c r="P153" s="1160">
        <f t="shared" si="462"/>
        <v>0</v>
      </c>
      <c r="Q153" s="1563">
        <f t="shared" si="410"/>
        <v>1750</v>
      </c>
      <c r="R153">
        <f t="shared" si="433"/>
        <v>1750</v>
      </c>
      <c r="S153" s="1160">
        <f t="shared" si="463"/>
        <v>0</v>
      </c>
      <c r="T153" s="1563">
        <f t="shared" si="411"/>
        <v>3.4299999999999999E-4</v>
      </c>
      <c r="U153">
        <f t="shared" si="434"/>
        <v>3.4299999999999999E-4</v>
      </c>
      <c r="V153" s="1160">
        <f t="shared" si="464"/>
        <v>0</v>
      </c>
      <c r="W153" s="1563">
        <f t="shared" si="412"/>
        <v>1.402289452167E-2</v>
      </c>
      <c r="X153">
        <f t="shared" si="435"/>
        <v>1.402289452167E-2</v>
      </c>
      <c r="Y153" s="1160">
        <f t="shared" si="465"/>
        <v>0</v>
      </c>
      <c r="Z153" s="1563">
        <f t="shared" si="413"/>
        <v>115.8</v>
      </c>
      <c r="AA153">
        <f t="shared" si="436"/>
        <v>115.8</v>
      </c>
      <c r="AB153" s="1160">
        <f t="shared" si="466"/>
        <v>0</v>
      </c>
      <c r="AC153" s="1563">
        <f t="shared" si="414"/>
        <v>0.69479999999999997</v>
      </c>
      <c r="AD153" t="str">
        <f t="shared" si="437"/>
        <v/>
      </c>
      <c r="AE153" s="1160">
        <f t="shared" si="467"/>
        <v>1</v>
      </c>
      <c r="AF153" s="1563">
        <f t="shared" si="415"/>
        <v>5.7466054964980001E-2</v>
      </c>
      <c r="AG153">
        <f t="shared" si="438"/>
        <v>5.7466054964980001E-2</v>
      </c>
      <c r="AH153" s="1160">
        <f t="shared" si="468"/>
        <v>0</v>
      </c>
      <c r="AI153" s="1563">
        <f t="shared" si="416"/>
        <v>9.2410823201399999E-6</v>
      </c>
      <c r="AJ153">
        <f t="shared" si="439"/>
        <v>9.2410823201399999E-6</v>
      </c>
      <c r="AK153" s="1160">
        <f t="shared" si="469"/>
        <v>0</v>
      </c>
      <c r="AL153" s="1563">
        <f t="shared" si="417"/>
        <v>21.351800999999998</v>
      </c>
      <c r="AM153" t="e">
        <f t="shared" si="440"/>
        <v>#N/A</v>
      </c>
      <c r="AN153" s="1563">
        <f t="shared" si="418"/>
        <v>1395.5456350247107</v>
      </c>
      <c r="AO153">
        <f t="shared" si="441"/>
        <v>1400</v>
      </c>
      <c r="AP153" s="1160">
        <f t="shared" si="442"/>
        <v>1</v>
      </c>
      <c r="AQ153" s="1563">
        <f t="shared" si="419"/>
        <v>5.3910866474775139E-5</v>
      </c>
      <c r="AS153" s="1563">
        <f t="shared" si="420"/>
        <v>15709.504969126343</v>
      </c>
      <c r="AU153" s="1563">
        <f t="shared" si="421"/>
        <v>15404.436997395778</v>
      </c>
      <c r="AW153" s="1563">
        <f t="shared" si="422"/>
        <v>3479.5194305483819</v>
      </c>
      <c r="AY153" s="1592">
        <f t="shared" si="443"/>
        <v>1</v>
      </c>
      <c r="AZ153" s="821">
        <f t="shared" si="444"/>
        <v>1</v>
      </c>
      <c r="BA153" s="1160">
        <f t="shared" si="470"/>
        <v>0</v>
      </c>
      <c r="BB153" s="1592" t="str">
        <f t="shared" si="445"/>
        <v>--</v>
      </c>
      <c r="BC153" s="821" t="str">
        <f t="shared" si="446"/>
        <v/>
      </c>
      <c r="BD153" s="1160">
        <f t="shared" si="471"/>
        <v>0</v>
      </c>
      <c r="BE153" s="1592" t="str">
        <f t="shared" si="447"/>
        <v>Yes</v>
      </c>
      <c r="BF153" s="1592">
        <f t="shared" si="448"/>
        <v>7.5199999999999998E-3</v>
      </c>
      <c r="BG153" s="821">
        <f t="shared" si="449"/>
        <v>7.5199999999999998E-3</v>
      </c>
      <c r="BH153" s="1160">
        <f t="shared" si="472"/>
        <v>0</v>
      </c>
      <c r="BI153" s="1592">
        <f t="shared" si="450"/>
        <v>1</v>
      </c>
      <c r="BJ153" s="1592">
        <f t="shared" si="451"/>
        <v>3.5118618673219998E-2</v>
      </c>
      <c r="BK153" s="821">
        <f t="shared" si="452"/>
        <v>3.5118618673219998E-2</v>
      </c>
      <c r="BL153" s="1160">
        <f t="shared" si="473"/>
        <v>0</v>
      </c>
      <c r="BM153" s="1592">
        <f t="shared" si="453"/>
        <v>0.70381213342263005</v>
      </c>
      <c r="BN153" s="821">
        <f t="shared" si="454"/>
        <v>0.70381213342263005</v>
      </c>
      <c r="BO153" s="1160">
        <f t="shared" si="474"/>
        <v>0</v>
      </c>
      <c r="BP153" s="1592">
        <f t="shared" si="455"/>
        <v>1.6891491202143201</v>
      </c>
      <c r="BQ153" s="821">
        <f t="shared" si="456"/>
        <v>1.6891491202143201</v>
      </c>
      <c r="BR153" s="1160">
        <f t="shared" si="475"/>
        <v>0</v>
      </c>
      <c r="BS153" s="1592" t="str">
        <f t="shared" si="457"/>
        <v>Yes</v>
      </c>
      <c r="BT153" s="821" t="str">
        <f t="shared" si="458"/>
        <v>M</v>
      </c>
      <c r="BU153" s="1160">
        <f t="shared" si="476"/>
        <v>0</v>
      </c>
      <c r="BW153" s="75">
        <f t="shared" si="477"/>
        <v>30</v>
      </c>
      <c r="BX153" s="75" t="str">
        <f t="shared" si="478"/>
        <v>IRIS</v>
      </c>
      <c r="BY153" s="75">
        <f t="shared" si="479"/>
        <v>30</v>
      </c>
      <c r="BZ153" s="75" t="str">
        <f t="shared" si="480"/>
        <v>I</v>
      </c>
      <c r="CA153" s="1670" t="str">
        <f t="shared" si="493"/>
        <v>--</v>
      </c>
      <c r="CB153" s="75" t="str">
        <f t="shared" si="481"/>
        <v>--</v>
      </c>
      <c r="CC153" s="75" t="str">
        <f t="shared" si="482"/>
        <v xml:space="preserve"> </v>
      </c>
      <c r="CD153" s="75" t="str">
        <f t="shared" si="483"/>
        <v/>
      </c>
      <c r="CE153" s="75" t="str">
        <f t="shared" si="484"/>
        <v/>
      </c>
      <c r="CF153" s="1670" t="str">
        <f t="shared" si="494"/>
        <v>--</v>
      </c>
      <c r="CG153" s="75">
        <f t="shared" si="485"/>
        <v>4.0000000000000001E-3</v>
      </c>
      <c r="CH153" s="75" t="str">
        <f t="shared" si="486"/>
        <v>IRIS 1991</v>
      </c>
      <c r="CI153" s="75">
        <f t="shared" si="487"/>
        <v>4.0000000000000001E-3</v>
      </c>
      <c r="CJ153" s="75" t="str">
        <f t="shared" si="488"/>
        <v>I</v>
      </c>
      <c r="CK153" s="1670" t="str">
        <f t="shared" si="495"/>
        <v>--</v>
      </c>
      <c r="CL153" s="75">
        <f t="shared" si="489"/>
        <v>0.3</v>
      </c>
      <c r="CM153" s="75" t="str">
        <f t="shared" si="490"/>
        <v>IRIS</v>
      </c>
      <c r="CN153" s="75">
        <f t="shared" si="491"/>
        <v>0.3</v>
      </c>
      <c r="CO153" s="75" t="str">
        <f t="shared" si="492"/>
        <v>I</v>
      </c>
      <c r="CP153" s="1670" t="str">
        <f t="shared" si="496"/>
        <v>--</v>
      </c>
      <c r="CR153" s="1686" t="str">
        <f t="shared" si="497"/>
        <v>--</v>
      </c>
      <c r="CS153" s="1686" t="str">
        <f t="shared" si="500"/>
        <v>--</v>
      </c>
      <c r="CT153" s="1686" t="str">
        <f t="shared" si="498"/>
        <v>--</v>
      </c>
      <c r="CU153" s="1686" t="str">
        <f t="shared" si="499"/>
        <v>--</v>
      </c>
    </row>
    <row r="154" spans="1:99">
      <c r="A154" s="1572" t="s">
        <v>339</v>
      </c>
      <c r="B154" s="1571" t="s">
        <v>340</v>
      </c>
      <c r="C154" s="1563" t="str">
        <f t="shared" si="406"/>
        <v>I</v>
      </c>
      <c r="D154" t="e">
        <f t="shared" si="427"/>
        <v>#N/A</v>
      </c>
      <c r="E154" s="1563">
        <f t="shared" si="428"/>
        <v>1910</v>
      </c>
      <c r="F154">
        <f t="shared" si="429"/>
        <v>1910</v>
      </c>
      <c r="G154" s="1160">
        <f t="shared" si="459"/>
        <v>0</v>
      </c>
      <c r="H154" s="1563" t="str">
        <f t="shared" si="407"/>
        <v>NV</v>
      </c>
      <c r="I154">
        <f t="shared" si="430"/>
        <v>0</v>
      </c>
      <c r="J154" s="1160">
        <f t="shared" si="460"/>
        <v>0</v>
      </c>
      <c r="K154" s="1563">
        <f t="shared" si="408"/>
        <v>50.94</v>
      </c>
      <c r="L154">
        <f t="shared" si="431"/>
        <v>50.94</v>
      </c>
      <c r="M154" s="1160">
        <f t="shared" si="461"/>
        <v>0</v>
      </c>
      <c r="N154" s="1563" t="str">
        <f t="shared" si="409"/>
        <v>--</v>
      </c>
      <c r="O154" t="str">
        <f t="shared" si="432"/>
        <v/>
      </c>
      <c r="P154" s="1160">
        <f t="shared" si="462"/>
        <v>0</v>
      </c>
      <c r="Q154" s="1563" t="str">
        <f t="shared" si="410"/>
        <v>--</v>
      </c>
      <c r="R154" t="str">
        <f t="shared" si="433"/>
        <v/>
      </c>
      <c r="S154" s="1160">
        <f t="shared" si="463"/>
        <v>0</v>
      </c>
      <c r="T154" s="1563" t="str">
        <f t="shared" si="411"/>
        <v>--</v>
      </c>
      <c r="U154" t="str">
        <f t="shared" si="434"/>
        <v/>
      </c>
      <c r="V154" s="1160">
        <f t="shared" si="464"/>
        <v>0</v>
      </c>
      <c r="W154" s="1563" t="str">
        <f t="shared" si="412"/>
        <v>--</v>
      </c>
      <c r="X154" t="str">
        <f t="shared" si="435"/>
        <v/>
      </c>
      <c r="Y154" s="1160">
        <f t="shared" si="465"/>
        <v>0</v>
      </c>
      <c r="Z154" s="1563" t="str">
        <f t="shared" si="413"/>
        <v>--</v>
      </c>
      <c r="AA154" t="str">
        <f t="shared" si="436"/>
        <v/>
      </c>
      <c r="AB154" s="1160">
        <f t="shared" si="466"/>
        <v>0</v>
      </c>
      <c r="AC154" s="1563">
        <f t="shared" si="414"/>
        <v>1000</v>
      </c>
      <c r="AD154">
        <f t="shared" si="437"/>
        <v>1000</v>
      </c>
      <c r="AE154" s="1160">
        <f t="shared" si="467"/>
        <v>0</v>
      </c>
      <c r="AF154" s="1563">
        <f t="shared" si="415"/>
        <v>0.24059783064699999</v>
      </c>
      <c r="AG154">
        <f t="shared" si="438"/>
        <v>0.24059783064699999</v>
      </c>
      <c r="AH154" s="1160">
        <f t="shared" si="468"/>
        <v>0</v>
      </c>
      <c r="AI154" s="1563">
        <f t="shared" si="416"/>
        <v>4.2065606740000003E-5</v>
      </c>
      <c r="AJ154">
        <f t="shared" si="439"/>
        <v>4.2065606740000003E-5</v>
      </c>
      <c r="AK154" s="1160">
        <f t="shared" si="469"/>
        <v>0</v>
      </c>
      <c r="AL154" s="1563" t="str">
        <f t="shared" si="417"/>
        <v>--</v>
      </c>
      <c r="AM154" t="e">
        <f t="shared" si="440"/>
        <v>#N/A</v>
      </c>
      <c r="AN154" s="1563" t="str">
        <f t="shared" si="418"/>
        <v>--</v>
      </c>
      <c r="AO154" t="str">
        <f t="shared" si="441"/>
        <v/>
      </c>
      <c r="AP154" s="1160">
        <f t="shared" si="442"/>
        <v>1</v>
      </c>
      <c r="AQ154" s="1563" t="str">
        <f t="shared" si="419"/>
        <v>--</v>
      </c>
      <c r="AS154" s="1563" t="str">
        <f t="shared" si="420"/>
        <v>--</v>
      </c>
      <c r="AU154" s="1563" t="str">
        <f t="shared" si="421"/>
        <v>--</v>
      </c>
      <c r="AW154" s="1563" t="str">
        <f t="shared" si="422"/>
        <v>--</v>
      </c>
      <c r="AY154" s="1592">
        <f t="shared" si="443"/>
        <v>2.5999999999999999E-2</v>
      </c>
      <c r="AZ154" s="821">
        <f t="shared" si="444"/>
        <v>2.5999999999999999E-2</v>
      </c>
      <c r="BA154" s="1160">
        <f t="shared" si="470"/>
        <v>0</v>
      </c>
      <c r="BB154" s="1592" t="str">
        <f t="shared" si="445"/>
        <v>--</v>
      </c>
      <c r="BC154" s="821" t="str">
        <f t="shared" si="446"/>
        <v/>
      </c>
      <c r="BD154" s="1160">
        <f t="shared" si="471"/>
        <v>0</v>
      </c>
      <c r="BE154" s="1592" t="str">
        <f t="shared" si="447"/>
        <v>Yes</v>
      </c>
      <c r="BF154" s="1592">
        <f t="shared" si="448"/>
        <v>1E-3</v>
      </c>
      <c r="BG154" s="821">
        <f t="shared" si="449"/>
        <v>1E-3</v>
      </c>
      <c r="BH154" s="1160">
        <f t="shared" si="472"/>
        <v>0</v>
      </c>
      <c r="BI154" s="1592">
        <f t="shared" si="450"/>
        <v>1</v>
      </c>
      <c r="BJ154" s="1592">
        <f t="shared" si="451"/>
        <v>2.7450870584699999E-3</v>
      </c>
      <c r="BK154" s="821">
        <f t="shared" si="452"/>
        <v>2.7450870584699999E-3</v>
      </c>
      <c r="BL154" s="1160">
        <f t="shared" si="473"/>
        <v>0</v>
      </c>
      <c r="BM154" s="1592">
        <f t="shared" si="453"/>
        <v>0.20282092058974999</v>
      </c>
      <c r="BN154" s="821">
        <f t="shared" si="454"/>
        <v>0.20282092058974999</v>
      </c>
      <c r="BO154" s="1160">
        <f t="shared" si="474"/>
        <v>0</v>
      </c>
      <c r="BP154" s="1592">
        <f t="shared" si="455"/>
        <v>0.48677020941540999</v>
      </c>
      <c r="BQ154" s="821">
        <f t="shared" si="456"/>
        <v>0.48677020941540999</v>
      </c>
      <c r="BR154" s="1160">
        <f t="shared" si="475"/>
        <v>0</v>
      </c>
      <c r="BS154" s="1592" t="str">
        <f t="shared" si="457"/>
        <v>--</v>
      </c>
      <c r="BT154" s="821">
        <f t="shared" si="458"/>
        <v>0</v>
      </c>
      <c r="BU154" s="1160">
        <f t="shared" si="476"/>
        <v>0</v>
      </c>
      <c r="BW154" s="75" t="str">
        <f t="shared" si="477"/>
        <v>--</v>
      </c>
      <c r="BX154" s="75" t="str">
        <f t="shared" si="478"/>
        <v xml:space="preserve"> </v>
      </c>
      <c r="BY154" s="75" t="str">
        <f t="shared" si="479"/>
        <v/>
      </c>
      <c r="BZ154" s="75" t="str">
        <f t="shared" si="480"/>
        <v/>
      </c>
      <c r="CA154" s="1670" t="str">
        <f t="shared" si="493"/>
        <v>--</v>
      </c>
      <c r="CB154" s="75" t="str">
        <f t="shared" si="481"/>
        <v>--</v>
      </c>
      <c r="CC154" s="75" t="str">
        <f t="shared" si="482"/>
        <v xml:space="preserve"> </v>
      </c>
      <c r="CD154" s="75" t="str">
        <f t="shared" si="483"/>
        <v/>
      </c>
      <c r="CE154" s="75" t="str">
        <f t="shared" si="484"/>
        <v/>
      </c>
      <c r="CF154" s="1670" t="str">
        <f t="shared" si="494"/>
        <v>--</v>
      </c>
      <c r="CG154" s="75">
        <f t="shared" si="485"/>
        <v>5.0000000000000001E-3</v>
      </c>
      <c r="CH154" s="75" t="str">
        <f t="shared" si="486"/>
        <v>RSL</v>
      </c>
      <c r="CI154" s="75">
        <f t="shared" si="487"/>
        <v>5.0400000000000002E-3</v>
      </c>
      <c r="CJ154" s="75" t="str">
        <f t="shared" si="488"/>
        <v>G</v>
      </c>
      <c r="CK154" s="1671" t="str">
        <f t="shared" si="495"/>
        <v>check</v>
      </c>
      <c r="CL154" s="75">
        <f t="shared" si="489"/>
        <v>0.1</v>
      </c>
      <c r="CM154" s="75" t="str">
        <f t="shared" si="490"/>
        <v>ATSDR 2014</v>
      </c>
      <c r="CN154" s="75">
        <f t="shared" si="491"/>
        <v>0.1</v>
      </c>
      <c r="CO154" s="75" t="str">
        <f t="shared" si="492"/>
        <v>A</v>
      </c>
      <c r="CP154" s="1670" t="str">
        <f t="shared" si="496"/>
        <v>--</v>
      </c>
      <c r="CR154" s="1686" t="str">
        <f t="shared" si="497"/>
        <v>--</v>
      </c>
      <c r="CS154" s="1686" t="str">
        <f t="shared" si="500"/>
        <v>--</v>
      </c>
      <c r="CT154" s="1686" t="str">
        <f t="shared" si="498"/>
        <v>x</v>
      </c>
      <c r="CU154" s="1686" t="str">
        <f t="shared" si="499"/>
        <v>--</v>
      </c>
    </row>
    <row r="155" spans="1:99">
      <c r="A155" s="1572" t="s">
        <v>341</v>
      </c>
      <c r="B155" s="1571" t="s">
        <v>342</v>
      </c>
      <c r="C155" s="1563" t="str">
        <f t="shared" si="406"/>
        <v>O</v>
      </c>
      <c r="D155" t="e">
        <f t="shared" si="427"/>
        <v>#N/A</v>
      </c>
      <c r="E155" s="1563">
        <f t="shared" si="428"/>
        <v>-153.69999999999999</v>
      </c>
      <c r="F155">
        <f t="shared" si="429"/>
        <v>-153.69999999999999</v>
      </c>
      <c r="G155" s="1160">
        <f t="shared" si="459"/>
        <v>0</v>
      </c>
      <c r="H155" s="1563" t="str">
        <f t="shared" si="407"/>
        <v>V</v>
      </c>
      <c r="I155" t="str">
        <f t="shared" si="430"/>
        <v>V</v>
      </c>
      <c r="J155" s="1160">
        <f t="shared" si="460"/>
        <v>0</v>
      </c>
      <c r="K155" s="1563">
        <f t="shared" si="408"/>
        <v>62.499000000000002</v>
      </c>
      <c r="L155">
        <f t="shared" si="431"/>
        <v>62.499000000000002</v>
      </c>
      <c r="M155" s="1160">
        <f t="shared" si="461"/>
        <v>0</v>
      </c>
      <c r="N155" s="1563">
        <f t="shared" si="409"/>
        <v>2980</v>
      </c>
      <c r="O155">
        <f t="shared" si="432"/>
        <v>2980</v>
      </c>
      <c r="P155" s="1160">
        <f t="shared" si="462"/>
        <v>0</v>
      </c>
      <c r="Q155" s="1563">
        <f t="shared" si="410"/>
        <v>8800</v>
      </c>
      <c r="R155">
        <f t="shared" si="433"/>
        <v>8800</v>
      </c>
      <c r="S155" s="1160">
        <f t="shared" si="463"/>
        <v>0</v>
      </c>
      <c r="T155" s="1563">
        <f t="shared" si="411"/>
        <v>2.7799999999999998E-2</v>
      </c>
      <c r="U155">
        <f t="shared" si="434"/>
        <v>2.7799999999999998E-2</v>
      </c>
      <c r="V155" s="1160">
        <f t="shared" si="464"/>
        <v>0</v>
      </c>
      <c r="W155" s="1563">
        <f t="shared" si="412"/>
        <v>1.1365494685200299</v>
      </c>
      <c r="X155">
        <f t="shared" si="435"/>
        <v>1.1365494685200299</v>
      </c>
      <c r="Y155" s="1160">
        <f t="shared" si="465"/>
        <v>0</v>
      </c>
      <c r="Z155" s="1563">
        <f t="shared" si="413"/>
        <v>21.73</v>
      </c>
      <c r="AA155">
        <f t="shared" si="436"/>
        <v>21.73</v>
      </c>
      <c r="AB155" s="1160">
        <f t="shared" si="466"/>
        <v>0</v>
      </c>
      <c r="AC155" s="1563">
        <f t="shared" si="414"/>
        <v>0.13038</v>
      </c>
      <c r="AD155" t="str">
        <f t="shared" si="437"/>
        <v/>
      </c>
      <c r="AE155" s="1160">
        <f t="shared" si="467"/>
        <v>1</v>
      </c>
      <c r="AF155" s="1563">
        <f t="shared" si="415"/>
        <v>0.10712015187484999</v>
      </c>
      <c r="AG155">
        <f t="shared" si="438"/>
        <v>0.10712015187484999</v>
      </c>
      <c r="AH155" s="1160">
        <f t="shared" si="468"/>
        <v>0</v>
      </c>
      <c r="AI155" s="1563">
        <f t="shared" si="416"/>
        <v>1.2004512220000001E-5</v>
      </c>
      <c r="AJ155">
        <f t="shared" si="439"/>
        <v>1.2004512220000001E-5</v>
      </c>
      <c r="AK155" s="1160">
        <f t="shared" si="469"/>
        <v>0</v>
      </c>
      <c r="AL155" s="1563">
        <f t="shared" si="417"/>
        <v>176.16177999999999</v>
      </c>
      <c r="AM155" t="e">
        <f t="shared" si="440"/>
        <v>#N/A</v>
      </c>
      <c r="AN155" s="1563">
        <f t="shared" si="418"/>
        <v>3920.7353410162614</v>
      </c>
      <c r="AO155">
        <f t="shared" si="441"/>
        <v>3920</v>
      </c>
      <c r="AP155" s="1160">
        <f t="shared" si="442"/>
        <v>1</v>
      </c>
      <c r="AQ155" s="1563">
        <f t="shared" si="419"/>
        <v>1.4558613366338508E-2</v>
      </c>
      <c r="AS155" s="1563">
        <f t="shared" si="420"/>
        <v>955.96204509217148</v>
      </c>
      <c r="AU155" s="1563">
        <f t="shared" si="421"/>
        <v>937.39790811135538</v>
      </c>
      <c r="AW155" s="1563">
        <f t="shared" si="422"/>
        <v>211.73732191447681</v>
      </c>
      <c r="AY155" s="1592">
        <f t="shared" si="443"/>
        <v>1</v>
      </c>
      <c r="AZ155" s="821">
        <f t="shared" si="444"/>
        <v>1</v>
      </c>
      <c r="BA155" s="1160">
        <f t="shared" si="470"/>
        <v>0</v>
      </c>
      <c r="BB155" s="1592" t="str">
        <f t="shared" si="445"/>
        <v>--</v>
      </c>
      <c r="BC155" s="821" t="str">
        <f t="shared" si="446"/>
        <v/>
      </c>
      <c r="BD155" s="1160">
        <f t="shared" si="471"/>
        <v>0</v>
      </c>
      <c r="BE155" s="1592" t="str">
        <f t="shared" si="447"/>
        <v>Yes</v>
      </c>
      <c r="BF155" s="1592">
        <f t="shared" si="448"/>
        <v>8.3800000000000003E-3</v>
      </c>
      <c r="BG155" s="821">
        <f t="shared" si="449"/>
        <v>8.3800000000000003E-3</v>
      </c>
      <c r="BH155" s="1160">
        <f t="shared" si="472"/>
        <v>0</v>
      </c>
      <c r="BI155" s="1592">
        <f t="shared" si="450"/>
        <v>1</v>
      </c>
      <c r="BJ155" s="1592">
        <f t="shared" si="451"/>
        <v>2.548045653103E-2</v>
      </c>
      <c r="BK155" s="821">
        <f t="shared" si="452"/>
        <v>2.548045653103E-2</v>
      </c>
      <c r="BL155" s="1160">
        <f t="shared" si="473"/>
        <v>0</v>
      </c>
      <c r="BM155" s="1592">
        <f t="shared" si="453"/>
        <v>0.23541988846799999</v>
      </c>
      <c r="BN155" s="821">
        <f t="shared" si="454"/>
        <v>0.23541988846799999</v>
      </c>
      <c r="BO155" s="1160">
        <f t="shared" si="474"/>
        <v>0</v>
      </c>
      <c r="BP155" s="1592">
        <f t="shared" si="455"/>
        <v>0.56500773232319002</v>
      </c>
      <c r="BQ155" s="821">
        <f t="shared" si="456"/>
        <v>0.56500773232319002</v>
      </c>
      <c r="BR155" s="1160">
        <f t="shared" si="475"/>
        <v>0</v>
      </c>
      <c r="BS155" s="1592" t="str">
        <f t="shared" si="457"/>
        <v>Yes</v>
      </c>
      <c r="BT155" s="821" t="str">
        <f t="shared" si="458"/>
        <v>M</v>
      </c>
      <c r="BU155" s="1160">
        <f t="shared" si="476"/>
        <v>0</v>
      </c>
      <c r="BW155" s="75">
        <f t="shared" si="477"/>
        <v>0.72</v>
      </c>
      <c r="BX155" s="75" t="str">
        <f t="shared" si="478"/>
        <v>IRIS 2000</v>
      </c>
      <c r="BY155" s="75">
        <f t="shared" si="479"/>
        <v>0.72</v>
      </c>
      <c r="BZ155" s="75" t="str">
        <f t="shared" si="480"/>
        <v>I</v>
      </c>
      <c r="CA155" s="1670" t="str">
        <f t="shared" si="493"/>
        <v>--</v>
      </c>
      <c r="CB155" s="75">
        <f t="shared" si="481"/>
        <v>7.7999999999999999E-5</v>
      </c>
      <c r="CC155" s="75" t="str">
        <f t="shared" si="482"/>
        <v>OEHHA 2009</v>
      </c>
      <c r="CD155" s="75">
        <f t="shared" si="483"/>
        <v>4.4000000000000002E-6</v>
      </c>
      <c r="CE155" s="75" t="str">
        <f t="shared" si="484"/>
        <v>I</v>
      </c>
      <c r="CF155" s="1671" t="str">
        <f t="shared" si="494"/>
        <v>check</v>
      </c>
      <c r="CG155" s="75">
        <f t="shared" si="485"/>
        <v>3.0000000000000001E-3</v>
      </c>
      <c r="CH155" s="75" t="str">
        <f t="shared" si="486"/>
        <v>IRIS 2000</v>
      </c>
      <c r="CI155" s="75">
        <f t="shared" si="487"/>
        <v>3.0000000000000001E-3</v>
      </c>
      <c r="CJ155" s="75" t="str">
        <f t="shared" si="488"/>
        <v>I</v>
      </c>
      <c r="CK155" s="1670" t="str">
        <f t="shared" si="495"/>
        <v>--</v>
      </c>
      <c r="CL155" s="75">
        <f t="shared" si="489"/>
        <v>51</v>
      </c>
      <c r="CM155" s="75" t="str">
        <f t="shared" si="490"/>
        <v>ATSDR 2024*</v>
      </c>
      <c r="CN155" s="75">
        <f t="shared" si="491"/>
        <v>51.1</v>
      </c>
      <c r="CO155" s="75" t="str">
        <f t="shared" si="492"/>
        <v>A</v>
      </c>
      <c r="CP155" s="1671" t="str">
        <f t="shared" si="496"/>
        <v>check</v>
      </c>
      <c r="CR155" s="1686" t="str">
        <f t="shared" si="497"/>
        <v>--</v>
      </c>
      <c r="CS155" s="1686" t="str">
        <f t="shared" si="500"/>
        <v>x</v>
      </c>
      <c r="CT155" s="1686" t="str">
        <f t="shared" si="498"/>
        <v>--</v>
      </c>
      <c r="CU155" s="1686" t="str">
        <f t="shared" si="499"/>
        <v>x</v>
      </c>
    </row>
    <row r="156" spans="1:99">
      <c r="A156" s="588" t="s">
        <v>343</v>
      </c>
      <c r="B156" s="427" t="s">
        <v>344</v>
      </c>
      <c r="C156" s="1563" t="str">
        <f t="shared" si="406"/>
        <v>O</v>
      </c>
      <c r="D156" t="e">
        <f t="shared" si="427"/>
        <v>#N/A</v>
      </c>
      <c r="E156" s="1563">
        <f t="shared" si="428"/>
        <v>-25.2</v>
      </c>
      <c r="F156">
        <f t="shared" si="429"/>
        <v>-25.2</v>
      </c>
      <c r="G156" s="1160">
        <f t="shared" si="459"/>
        <v>0</v>
      </c>
      <c r="H156" s="1563" t="str">
        <f t="shared" si="407"/>
        <v>V</v>
      </c>
      <c r="I156" t="str">
        <f t="shared" si="430"/>
        <v>V</v>
      </c>
      <c r="J156" s="1160">
        <f t="shared" si="460"/>
        <v>0</v>
      </c>
      <c r="K156" s="1563">
        <f t="shared" si="408"/>
        <v>106.17</v>
      </c>
      <c r="L156">
        <f t="shared" si="431"/>
        <v>106.17</v>
      </c>
      <c r="M156" s="1160">
        <f t="shared" si="461"/>
        <v>0</v>
      </c>
      <c r="N156" s="1563">
        <f t="shared" si="409"/>
        <v>7.99</v>
      </c>
      <c r="O156">
        <f t="shared" si="432"/>
        <v>7.99</v>
      </c>
      <c r="P156" s="1160">
        <f t="shared" si="462"/>
        <v>0</v>
      </c>
      <c r="Q156" s="1563">
        <f t="shared" si="410"/>
        <v>106</v>
      </c>
      <c r="R156">
        <f t="shared" si="433"/>
        <v>106</v>
      </c>
      <c r="S156" s="1160">
        <f t="shared" si="463"/>
        <v>0</v>
      </c>
      <c r="T156" s="1563">
        <f t="shared" si="411"/>
        <v>6.6299999999999996E-3</v>
      </c>
      <c r="U156">
        <f t="shared" si="434"/>
        <v>6.6299999999999996E-3</v>
      </c>
      <c r="V156" s="1160">
        <f t="shared" si="464"/>
        <v>0</v>
      </c>
      <c r="W156" s="1563">
        <f t="shared" si="412"/>
        <v>0.27105478331971</v>
      </c>
      <c r="X156">
        <f t="shared" si="435"/>
        <v>0.27105478331971</v>
      </c>
      <c r="Y156" s="1160">
        <f t="shared" si="465"/>
        <v>0</v>
      </c>
      <c r="Z156" s="1563">
        <f t="shared" si="413"/>
        <v>382.9</v>
      </c>
      <c r="AA156">
        <f t="shared" si="436"/>
        <v>382.9</v>
      </c>
      <c r="AB156" s="1160">
        <f t="shared" si="466"/>
        <v>0</v>
      </c>
      <c r="AC156" s="1563">
        <f t="shared" si="414"/>
        <v>2.2974000000000001</v>
      </c>
      <c r="AD156" t="str">
        <f t="shared" si="437"/>
        <v/>
      </c>
      <c r="AE156" s="1160">
        <f t="shared" si="467"/>
        <v>1</v>
      </c>
      <c r="AF156" s="1563">
        <f t="shared" si="415"/>
        <v>6.8514787582670003E-2</v>
      </c>
      <c r="AG156">
        <f t="shared" si="438"/>
        <v>6.8514787582670003E-2</v>
      </c>
      <c r="AH156" s="1160">
        <f t="shared" si="468"/>
        <v>0</v>
      </c>
      <c r="AI156" s="1563">
        <f t="shared" si="416"/>
        <v>8.4640637673699996E-6</v>
      </c>
      <c r="AJ156">
        <f t="shared" si="439"/>
        <v>8.4640637673699996E-6</v>
      </c>
      <c r="AK156" s="1160">
        <f t="shared" si="469"/>
        <v>0</v>
      </c>
      <c r="AL156" s="1563">
        <f t="shared" si="417"/>
        <v>104.71381</v>
      </c>
      <c r="AM156" t="e">
        <f t="shared" si="440"/>
        <v>#N/A</v>
      </c>
      <c r="AN156" s="1563">
        <f t="shared" si="418"/>
        <v>259.56356598528225</v>
      </c>
      <c r="AO156">
        <f t="shared" si="441"/>
        <v>260</v>
      </c>
      <c r="AP156" s="1160">
        <f t="shared" si="442"/>
        <v>1</v>
      </c>
      <c r="AQ156" s="1563">
        <f t="shared" si="419"/>
        <v>4.0407999562589483E-4</v>
      </c>
      <c r="AS156" s="1563">
        <f t="shared" si="420"/>
        <v>5738.0850433077449</v>
      </c>
      <c r="AU156" s="1563">
        <f t="shared" si="421"/>
        <v>5626.6553089386725</v>
      </c>
      <c r="AW156" s="1563">
        <f t="shared" si="422"/>
        <v>1270.9361906417034</v>
      </c>
      <c r="AY156" s="1592">
        <f t="shared" si="443"/>
        <v>1</v>
      </c>
      <c r="AZ156" s="821">
        <f t="shared" si="444"/>
        <v>1</v>
      </c>
      <c r="BA156" s="1160">
        <f t="shared" si="470"/>
        <v>0</v>
      </c>
      <c r="BB156" s="1592" t="str">
        <f t="shared" si="445"/>
        <v>--</v>
      </c>
      <c r="BC156" s="821" t="str">
        <f t="shared" si="446"/>
        <v/>
      </c>
      <c r="BD156" s="1160">
        <f t="shared" si="471"/>
        <v>0</v>
      </c>
      <c r="BE156" s="1592" t="str">
        <f t="shared" si="447"/>
        <v>Yes</v>
      </c>
      <c r="BF156" s="1592">
        <f t="shared" si="448"/>
        <v>0.05</v>
      </c>
      <c r="BG156" s="821">
        <f t="shared" si="449"/>
        <v>0.05</v>
      </c>
      <c r="BH156" s="1160">
        <f t="shared" si="472"/>
        <v>0</v>
      </c>
      <c r="BI156" s="1592">
        <f t="shared" si="450"/>
        <v>1</v>
      </c>
      <c r="BJ156" s="1592">
        <f t="shared" si="451"/>
        <v>0.19815159160208001</v>
      </c>
      <c r="BK156" s="821">
        <f t="shared" si="452"/>
        <v>0.19815159160208001</v>
      </c>
      <c r="BL156" s="1160">
        <f t="shared" si="473"/>
        <v>0</v>
      </c>
      <c r="BM156" s="1592">
        <f t="shared" si="453"/>
        <v>0.41342882164758998</v>
      </c>
      <c r="BN156" s="821">
        <f t="shared" si="454"/>
        <v>0.41342882164758998</v>
      </c>
      <c r="BO156" s="1160">
        <f t="shared" si="474"/>
        <v>0</v>
      </c>
      <c r="BP156" s="1592">
        <f t="shared" si="455"/>
        <v>0.99222917195421001</v>
      </c>
      <c r="BQ156" s="821">
        <f>VLOOKUP($B156,Table_RSL, MATCH("t", Heading_RSL, 0), FALSE)</f>
        <v>0.99222917195421001</v>
      </c>
      <c r="BR156" s="1160">
        <f t="shared" si="475"/>
        <v>0</v>
      </c>
      <c r="BS156" s="1592" t="str">
        <f t="shared" si="457"/>
        <v>--</v>
      </c>
      <c r="BT156" s="821">
        <f t="shared" si="458"/>
        <v>0</v>
      </c>
      <c r="BU156" s="1160">
        <f t="shared" si="476"/>
        <v>0</v>
      </c>
      <c r="BW156" s="75" t="str">
        <f t="shared" si="477"/>
        <v>--</v>
      </c>
      <c r="BX156" s="75" t="str">
        <f t="shared" si="478"/>
        <v xml:space="preserve"> </v>
      </c>
      <c r="BY156" s="75" t="str">
        <f t="shared" si="479"/>
        <v/>
      </c>
      <c r="BZ156" s="75" t="str">
        <f t="shared" si="480"/>
        <v/>
      </c>
      <c r="CA156" s="1670" t="str">
        <f t="shared" si="493"/>
        <v>--</v>
      </c>
      <c r="CB156" s="75" t="str">
        <f t="shared" si="481"/>
        <v>--</v>
      </c>
      <c r="CC156" s="75" t="str">
        <f t="shared" si="482"/>
        <v xml:space="preserve"> </v>
      </c>
      <c r="CD156" s="75" t="str">
        <f t="shared" si="483"/>
        <v/>
      </c>
      <c r="CE156" s="75" t="str">
        <f t="shared" si="484"/>
        <v/>
      </c>
      <c r="CF156" s="1670" t="str">
        <f t="shared" si="494"/>
        <v>--</v>
      </c>
      <c r="CG156" s="75">
        <f t="shared" si="485"/>
        <v>0.2</v>
      </c>
      <c r="CH156" s="75" t="str">
        <f t="shared" si="486"/>
        <v>IRIS 2003</v>
      </c>
      <c r="CI156" s="75">
        <f t="shared" si="487"/>
        <v>0.2</v>
      </c>
      <c r="CJ156" s="75" t="str">
        <f t="shared" si="488"/>
        <v>I</v>
      </c>
      <c r="CK156" s="1670" t="str">
        <f t="shared" si="495"/>
        <v>--</v>
      </c>
      <c r="CL156" s="75">
        <f t="shared" si="489"/>
        <v>100</v>
      </c>
      <c r="CM156" s="75" t="str">
        <f t="shared" si="490"/>
        <v>IRIS 2003</v>
      </c>
      <c r="CN156" s="75">
        <f t="shared" si="491"/>
        <v>100</v>
      </c>
      <c r="CO156" s="75" t="str">
        <f t="shared" si="492"/>
        <v>I</v>
      </c>
      <c r="CP156" s="1670" t="str">
        <f t="shared" si="496"/>
        <v>--</v>
      </c>
      <c r="CR156" s="1686" t="str">
        <f t="shared" si="497"/>
        <v>--</v>
      </c>
      <c r="CS156" s="1686" t="str">
        <f t="shared" si="500"/>
        <v>--</v>
      </c>
      <c r="CT156" s="1686" t="str">
        <f t="shared" si="498"/>
        <v>--</v>
      </c>
      <c r="CU156" s="1686" t="str">
        <f t="shared" si="499"/>
        <v>--</v>
      </c>
    </row>
    <row r="157" spans="1:99">
      <c r="A157" s="1186" t="s">
        <v>345</v>
      </c>
      <c r="B157" s="426" t="s">
        <v>346</v>
      </c>
      <c r="C157" s="1563" t="str">
        <f t="shared" si="406"/>
        <v>I</v>
      </c>
      <c r="D157" t="e">
        <f t="shared" si="427"/>
        <v>#N/A</v>
      </c>
      <c r="E157" s="1563">
        <f t="shared" si="428"/>
        <v>419.5</v>
      </c>
      <c r="F157">
        <f t="shared" si="429"/>
        <v>419.5</v>
      </c>
      <c r="G157" s="1160">
        <f t="shared" si="459"/>
        <v>0</v>
      </c>
      <c r="H157" s="1563" t="str">
        <f t="shared" si="407"/>
        <v>NV</v>
      </c>
      <c r="I157">
        <f t="shared" si="430"/>
        <v>0</v>
      </c>
      <c r="J157" s="1160">
        <f t="shared" si="460"/>
        <v>0</v>
      </c>
      <c r="K157" s="1563">
        <f t="shared" si="408"/>
        <v>65.37</v>
      </c>
      <c r="L157">
        <f t="shared" si="431"/>
        <v>65.37</v>
      </c>
      <c r="M157" s="1160">
        <f t="shared" si="461"/>
        <v>0</v>
      </c>
      <c r="N157" s="1563" t="str">
        <f t="shared" si="409"/>
        <v>--</v>
      </c>
      <c r="O157" t="str">
        <f t="shared" si="432"/>
        <v/>
      </c>
      <c r="P157" s="1160">
        <f t="shared" si="462"/>
        <v>0</v>
      </c>
      <c r="Q157" s="1563" t="str">
        <f t="shared" si="410"/>
        <v>--</v>
      </c>
      <c r="R157" t="str">
        <f t="shared" si="433"/>
        <v/>
      </c>
      <c r="S157" s="1160">
        <f t="shared" si="463"/>
        <v>0</v>
      </c>
      <c r="T157" s="1563" t="str">
        <f t="shared" si="411"/>
        <v>--</v>
      </c>
      <c r="U157" t="str">
        <f t="shared" si="434"/>
        <v/>
      </c>
      <c r="V157" s="1160">
        <f t="shared" si="464"/>
        <v>0</v>
      </c>
      <c r="W157" s="1563" t="str">
        <f t="shared" si="412"/>
        <v>--</v>
      </c>
      <c r="X157" t="str">
        <f t="shared" si="435"/>
        <v/>
      </c>
      <c r="Y157" s="1160">
        <f t="shared" si="465"/>
        <v>0</v>
      </c>
      <c r="Z157" s="1563" t="str">
        <f t="shared" si="413"/>
        <v>--</v>
      </c>
      <c r="AA157" t="str">
        <f t="shared" si="436"/>
        <v/>
      </c>
      <c r="AB157" s="1160">
        <f t="shared" si="466"/>
        <v>0</v>
      </c>
      <c r="AC157" s="1563">
        <f t="shared" si="414"/>
        <v>62</v>
      </c>
      <c r="AD157">
        <f t="shared" si="437"/>
        <v>62</v>
      </c>
      <c r="AE157" s="1160">
        <f t="shared" si="467"/>
        <v>0</v>
      </c>
      <c r="AF157" s="1563">
        <f t="shared" si="415"/>
        <v>0.21946149089093001</v>
      </c>
      <c r="AG157">
        <f t="shared" si="438"/>
        <v>0.21946149089093001</v>
      </c>
      <c r="AH157" s="1160">
        <f t="shared" si="468"/>
        <v>0</v>
      </c>
      <c r="AI157" s="1563">
        <f t="shared" si="416"/>
        <v>4.0183202279999999E-5</v>
      </c>
      <c r="AJ157">
        <f t="shared" si="439"/>
        <v>4.0183202279999999E-5</v>
      </c>
      <c r="AK157" s="1160">
        <f t="shared" si="469"/>
        <v>0</v>
      </c>
      <c r="AL157" s="1563" t="str">
        <f t="shared" si="417"/>
        <v>--</v>
      </c>
      <c r="AM157" t="e">
        <f t="shared" si="440"/>
        <v>#N/A</v>
      </c>
      <c r="AN157" s="1563" t="str">
        <f t="shared" si="418"/>
        <v>--</v>
      </c>
      <c r="AO157" t="str">
        <f t="shared" si="441"/>
        <v/>
      </c>
      <c r="AP157" s="1160">
        <f t="shared" si="442"/>
        <v>1</v>
      </c>
      <c r="AQ157" s="1563" t="str">
        <f t="shared" si="419"/>
        <v>--</v>
      </c>
      <c r="AS157" s="1563" t="str">
        <f t="shared" si="420"/>
        <v>--</v>
      </c>
      <c r="AU157" s="1563" t="str">
        <f t="shared" si="421"/>
        <v>--</v>
      </c>
      <c r="AW157" s="1563" t="str">
        <f t="shared" si="422"/>
        <v>--</v>
      </c>
      <c r="AY157" s="1592">
        <f t="shared" si="443"/>
        <v>1</v>
      </c>
      <c r="AZ157" s="821">
        <f t="shared" si="444"/>
        <v>1</v>
      </c>
      <c r="BA157" s="1160">
        <f t="shared" si="470"/>
        <v>0</v>
      </c>
      <c r="BB157" s="1592" t="str">
        <f t="shared" si="445"/>
        <v>--</v>
      </c>
      <c r="BC157" s="821" t="str">
        <f t="shared" si="446"/>
        <v/>
      </c>
      <c r="BD157" s="1160">
        <f t="shared" si="471"/>
        <v>0</v>
      </c>
      <c r="BE157" s="1592" t="str">
        <f t="shared" si="447"/>
        <v>Yes</v>
      </c>
      <c r="BF157" s="1592">
        <f t="shared" si="448"/>
        <v>5.9999999999999995E-4</v>
      </c>
      <c r="BG157" s="821">
        <f t="shared" si="449"/>
        <v>5.9999999999999995E-4</v>
      </c>
      <c r="BH157" s="1160">
        <f t="shared" si="472"/>
        <v>0</v>
      </c>
      <c r="BI157" s="1592">
        <f t="shared" si="450"/>
        <v>1</v>
      </c>
      <c r="BJ157" s="1592">
        <f t="shared" si="451"/>
        <v>1.8658088336000001E-3</v>
      </c>
      <c r="BK157" s="821">
        <f t="shared" si="452"/>
        <v>1.8658088336000001E-3</v>
      </c>
      <c r="BL157" s="1160">
        <f t="shared" si="473"/>
        <v>0</v>
      </c>
      <c r="BM157" s="1592">
        <f t="shared" si="453"/>
        <v>0.24429847143290001</v>
      </c>
      <c r="BN157" s="821">
        <f t="shared" si="454"/>
        <v>0.24429847143290001</v>
      </c>
      <c r="BO157" s="1160">
        <f t="shared" si="474"/>
        <v>0</v>
      </c>
      <c r="BP157" s="1592">
        <f t="shared" si="455"/>
        <v>0.58631633143895001</v>
      </c>
      <c r="BQ157" s="821">
        <f t="shared" si="456"/>
        <v>0.58631633143895001</v>
      </c>
      <c r="BR157" s="1160">
        <f t="shared" si="475"/>
        <v>0</v>
      </c>
      <c r="BS157" s="1592" t="str">
        <f t="shared" si="457"/>
        <v>--</v>
      </c>
      <c r="BT157" s="821">
        <f t="shared" si="458"/>
        <v>0</v>
      </c>
      <c r="BU157" s="1160">
        <f t="shared" si="476"/>
        <v>0</v>
      </c>
      <c r="BW157" s="75" t="str">
        <f t="shared" si="477"/>
        <v>--</v>
      </c>
      <c r="BX157" s="75" t="str">
        <f t="shared" si="478"/>
        <v xml:space="preserve"> </v>
      </c>
      <c r="BY157" s="75" t="str">
        <f t="shared" si="479"/>
        <v/>
      </c>
      <c r="BZ157" s="75" t="str">
        <f t="shared" si="480"/>
        <v/>
      </c>
      <c r="CA157" s="1670" t="str">
        <f t="shared" si="493"/>
        <v>--</v>
      </c>
      <c r="CB157" s="75" t="str">
        <f t="shared" si="481"/>
        <v>--</v>
      </c>
      <c r="CC157" s="75" t="str">
        <f t="shared" si="482"/>
        <v xml:space="preserve"> </v>
      </c>
      <c r="CD157" s="75" t="str">
        <f t="shared" si="483"/>
        <v/>
      </c>
      <c r="CE157" s="75" t="str">
        <f t="shared" si="484"/>
        <v/>
      </c>
      <c r="CF157" s="1670" t="str">
        <f t="shared" si="494"/>
        <v>--</v>
      </c>
      <c r="CG157" s="75">
        <f t="shared" si="485"/>
        <v>0.3</v>
      </c>
      <c r="CH157" s="75" t="str">
        <f t="shared" si="486"/>
        <v>IRIS 2005</v>
      </c>
      <c r="CI157" s="75">
        <f t="shared" si="487"/>
        <v>0.3</v>
      </c>
      <c r="CJ157" s="75" t="str">
        <f t="shared" si="488"/>
        <v>I</v>
      </c>
      <c r="CK157" s="1670" t="str">
        <f t="shared" si="495"/>
        <v>--</v>
      </c>
      <c r="CL157" s="75" t="str">
        <f t="shared" si="489"/>
        <v>--</v>
      </c>
      <c r="CM157" s="75" t="str">
        <f t="shared" si="490"/>
        <v xml:space="preserve"> </v>
      </c>
      <c r="CN157" s="75" t="str">
        <f t="shared" si="491"/>
        <v/>
      </c>
      <c r="CO157" s="75" t="str">
        <f t="shared" si="492"/>
        <v/>
      </c>
      <c r="CP157" s="1670" t="str">
        <f t="shared" si="496"/>
        <v>--</v>
      </c>
      <c r="CR157" s="1686" t="str">
        <f t="shared" si="497"/>
        <v>--</v>
      </c>
      <c r="CS157" s="1686" t="str">
        <f t="shared" si="500"/>
        <v>--</v>
      </c>
      <c r="CT157" s="1686" t="str">
        <f t="shared" si="498"/>
        <v>--</v>
      </c>
      <c r="CU157" s="1686" t="str">
        <f t="shared" si="499"/>
        <v>--</v>
      </c>
    </row>
  </sheetData>
  <mergeCells count="35">
    <mergeCell ref="CR3:CU3"/>
    <mergeCell ref="CR4:CR5"/>
    <mergeCell ref="CS4:CS5"/>
    <mergeCell ref="CT4:CT5"/>
    <mergeCell ref="CU4:CU5"/>
    <mergeCell ref="AU3:AU5"/>
    <mergeCell ref="AW3:AW5"/>
    <mergeCell ref="AV3:AV5"/>
    <mergeCell ref="T3:T5"/>
    <mergeCell ref="W3:W5"/>
    <mergeCell ref="Z3:Z5"/>
    <mergeCell ref="AC3:AC5"/>
    <mergeCell ref="AF3:AF5"/>
    <mergeCell ref="AI3:AI5"/>
    <mergeCell ref="AT3:AT5"/>
    <mergeCell ref="AL3:AL5"/>
    <mergeCell ref="AN3:AN5"/>
    <mergeCell ref="AQ3:AQ5"/>
    <mergeCell ref="AS3:AS5"/>
    <mergeCell ref="A3:A5"/>
    <mergeCell ref="B3:B5"/>
    <mergeCell ref="AJ3:AJ5"/>
    <mergeCell ref="AO3:AO5"/>
    <mergeCell ref="AR3:AR5"/>
    <mergeCell ref="C3:C5"/>
    <mergeCell ref="E3:E5"/>
    <mergeCell ref="H3:H5"/>
    <mergeCell ref="K3:K5"/>
    <mergeCell ref="N3:N5"/>
    <mergeCell ref="Q3:Q5"/>
    <mergeCell ref="AX3:AX5"/>
    <mergeCell ref="BE4:BP4"/>
    <mergeCell ref="BS4:BS5"/>
    <mergeCell ref="AY4:BC4"/>
    <mergeCell ref="BT4:BT5"/>
  </mergeCells>
  <phoneticPr fontId="5" type="noConversion"/>
  <conditionalFormatting sqref="CR6:CU157">
    <cfRule type="cellIs" dxfId="16" priority="1" operator="lessThan">
      <formula>-0.1</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C6411-EEE9-4A6D-A935-A66E35B3BB32}">
  <dimension ref="A1:N812"/>
  <sheetViews>
    <sheetView workbookViewId="0">
      <pane xSplit="1" ySplit="4" topLeftCell="B283" activePane="bottomRight" state="frozen"/>
      <selection activeCell="AA14" sqref="AA14"/>
      <selection pane="topRight" activeCell="AA14" sqref="AA14"/>
      <selection pane="bottomLeft" activeCell="AA14" sqref="AA14"/>
      <selection pane="bottomRight" activeCell="AA14" sqref="AA14"/>
    </sheetView>
  </sheetViews>
  <sheetFormatPr defaultRowHeight="12.75"/>
  <cols>
    <col min="1" max="1" width="15.7109375" customWidth="1"/>
    <col min="2" max="2" width="40.7109375" customWidth="1"/>
    <col min="3" max="11" width="15.7109375" customWidth="1"/>
  </cols>
  <sheetData>
    <row r="1" spans="1:14" ht="72.75" customHeight="1" thickBot="1">
      <c r="A1" s="408"/>
      <c r="B1" s="1647" t="s">
        <v>3582</v>
      </c>
      <c r="C1" s="408"/>
      <c r="D1" s="408" t="s">
        <v>1828</v>
      </c>
      <c r="E1" s="408" t="s">
        <v>1148</v>
      </c>
      <c r="F1" s="408" t="s">
        <v>704</v>
      </c>
      <c r="G1" s="408" t="s">
        <v>1149</v>
      </c>
      <c r="H1" s="408" t="s">
        <v>1150</v>
      </c>
      <c r="I1" s="408" t="s">
        <v>1151</v>
      </c>
      <c r="J1" s="408" t="s">
        <v>706</v>
      </c>
      <c r="K1" s="408" t="s">
        <v>1152</v>
      </c>
      <c r="N1" t="s">
        <v>3583</v>
      </c>
    </row>
    <row r="2" spans="1:14" ht="13.5" thickTop="1">
      <c r="A2" s="3035" t="s">
        <v>3584</v>
      </c>
      <c r="B2" s="3032" t="s">
        <v>1846</v>
      </c>
      <c r="C2" s="3037" t="s">
        <v>3585</v>
      </c>
      <c r="D2" s="3037"/>
      <c r="E2" s="3037"/>
      <c r="F2" s="3037"/>
      <c r="G2" s="3037"/>
      <c r="H2" s="3037" t="s">
        <v>3586</v>
      </c>
      <c r="I2" s="3037"/>
      <c r="J2" s="3037"/>
      <c r="K2" s="3038"/>
    </row>
    <row r="3" spans="1:14">
      <c r="A3" s="3035"/>
      <c r="B3" s="3033"/>
      <c r="C3" s="3035" t="s">
        <v>677</v>
      </c>
      <c r="D3" s="3039" t="s">
        <v>3587</v>
      </c>
      <c r="E3" s="3039"/>
      <c r="F3" s="3039" t="s">
        <v>3588</v>
      </c>
      <c r="G3" s="3039"/>
      <c r="H3" s="3039" t="s">
        <v>3589</v>
      </c>
      <c r="I3" s="3039"/>
      <c r="J3" s="3039" t="s">
        <v>3590</v>
      </c>
      <c r="K3" s="3040"/>
    </row>
    <row r="4" spans="1:14" ht="18" thickBot="1">
      <c r="A4" s="3036"/>
      <c r="B4" s="3034"/>
      <c r="C4" s="3035"/>
      <c r="D4" s="1648" t="s">
        <v>3591</v>
      </c>
      <c r="E4" s="75" t="s">
        <v>1169</v>
      </c>
      <c r="F4" s="1648" t="s">
        <v>3592</v>
      </c>
      <c r="G4" s="75" t="s">
        <v>1169</v>
      </c>
      <c r="H4" s="1648" t="s">
        <v>3593</v>
      </c>
      <c r="I4" s="75" t="s">
        <v>1169</v>
      </c>
      <c r="J4" s="1648" t="s">
        <v>3594</v>
      </c>
      <c r="K4" s="370" t="s">
        <v>1169</v>
      </c>
      <c r="L4" s="55" t="s">
        <v>3595</v>
      </c>
      <c r="M4" s="55" t="s">
        <v>3596</v>
      </c>
      <c r="N4" s="55" t="s">
        <v>3597</v>
      </c>
    </row>
    <row r="5" spans="1:14" ht="13.5" thickTop="1">
      <c r="A5" s="1650" t="s">
        <v>314</v>
      </c>
      <c r="B5" s="1649" t="s">
        <v>313</v>
      </c>
      <c r="C5" s="1651" t="s">
        <v>115</v>
      </c>
      <c r="D5" s="1652">
        <v>2.5999999999999999E-2</v>
      </c>
      <c r="E5" s="1651" t="s">
        <v>1277</v>
      </c>
      <c r="F5" s="1652">
        <v>7.4000000000000003E-6</v>
      </c>
      <c r="G5" s="1651" t="s">
        <v>1277</v>
      </c>
      <c r="H5" s="1652">
        <v>0.03</v>
      </c>
      <c r="I5" s="1651" t="s">
        <v>1277</v>
      </c>
      <c r="J5" s="1652">
        <v>120</v>
      </c>
      <c r="K5" s="1653" t="s">
        <v>3598</v>
      </c>
      <c r="L5" t="str">
        <f>IF(COUNTIF(G5,"*Route*"),"Route IUR","")</f>
        <v/>
      </c>
      <c r="M5" t="str">
        <f>IF(COUNTIF(K5,"*Route*"),"Route RfC","")</f>
        <v>Route RfC</v>
      </c>
      <c r="N5" t="str">
        <f>IF(AND(L5&lt;&gt;"",M5&lt;&gt;""),"Route IUR &amp; RfC",IF(L5&lt;&gt;"","Route IUR",IF(M5&lt;&gt;"","Route RfC","--")))</f>
        <v>Route RfC</v>
      </c>
    </row>
    <row r="6" spans="1:14">
      <c r="A6" s="1650" t="s">
        <v>3352</v>
      </c>
      <c r="B6" s="1649" t="s">
        <v>3599</v>
      </c>
      <c r="C6" s="1650" t="s">
        <v>115</v>
      </c>
      <c r="D6" s="1654" t="s">
        <v>115</v>
      </c>
      <c r="E6" s="1650" t="s">
        <v>115</v>
      </c>
      <c r="F6" s="1654" t="s">
        <v>115</v>
      </c>
      <c r="G6" s="1650" t="s">
        <v>115</v>
      </c>
      <c r="H6" s="1654" t="s">
        <v>115</v>
      </c>
      <c r="I6" s="1650" t="s">
        <v>115</v>
      </c>
      <c r="J6" s="1654">
        <v>80000</v>
      </c>
      <c r="K6" s="1655" t="s">
        <v>1277</v>
      </c>
      <c r="L6" t="str">
        <f t="shared" ref="L6:L69" si="0">IF(COUNTIF(G6,"*Route*"),"Route IUR","")</f>
        <v/>
      </c>
      <c r="M6" t="str">
        <f t="shared" ref="M6:M69" si="1">IF(COUNTIF(K6,"*Route*"),"Route RfC","")</f>
        <v/>
      </c>
      <c r="N6" t="str">
        <f t="shared" ref="N6:N69" si="2">IF(AND(L6&lt;&gt;"",M6&lt;&gt;""),"Route IUR &amp; RfC",IF(L6&lt;&gt;"","Route IUR",IF(M6&lt;&gt;"","Route RfC","--")))</f>
        <v>--</v>
      </c>
    </row>
    <row r="7" spans="1:14">
      <c r="A7" s="1650" t="s">
        <v>328</v>
      </c>
      <c r="B7" s="1649" t="s">
        <v>327</v>
      </c>
      <c r="C7" s="1650" t="s">
        <v>115</v>
      </c>
      <c r="D7" s="1654" t="s">
        <v>115</v>
      </c>
      <c r="E7" s="1650" t="s">
        <v>115</v>
      </c>
      <c r="F7" s="1654" t="s">
        <v>115</v>
      </c>
      <c r="G7" s="1650" t="s">
        <v>115</v>
      </c>
      <c r="H7" s="1654">
        <v>2</v>
      </c>
      <c r="I7" s="1650" t="s">
        <v>1277</v>
      </c>
      <c r="J7" s="1654">
        <v>1000</v>
      </c>
      <c r="K7" s="1655" t="s">
        <v>3600</v>
      </c>
      <c r="L7" t="str">
        <f t="shared" si="0"/>
        <v/>
      </c>
      <c r="M7" t="str">
        <f t="shared" si="1"/>
        <v/>
      </c>
      <c r="N7" t="str">
        <f t="shared" si="2"/>
        <v>--</v>
      </c>
    </row>
    <row r="8" spans="1:14">
      <c r="A8" s="1650" t="s">
        <v>3487</v>
      </c>
      <c r="B8" s="1649" t="s">
        <v>3601</v>
      </c>
      <c r="C8" s="1650" t="s">
        <v>115</v>
      </c>
      <c r="D8" s="1654" t="s">
        <v>115</v>
      </c>
      <c r="E8" s="1650" t="s">
        <v>115</v>
      </c>
      <c r="F8" s="1654" t="s">
        <v>115</v>
      </c>
      <c r="G8" s="1650" t="s">
        <v>115</v>
      </c>
      <c r="H8" s="1654" t="s">
        <v>115</v>
      </c>
      <c r="I8" s="1650" t="s">
        <v>115</v>
      </c>
      <c r="J8" s="1654">
        <v>20000</v>
      </c>
      <c r="K8" s="1655" t="s">
        <v>1247</v>
      </c>
      <c r="L8" t="str">
        <f t="shared" si="0"/>
        <v/>
      </c>
      <c r="M8" t="str">
        <f t="shared" si="1"/>
        <v/>
      </c>
      <c r="N8" t="str">
        <f t="shared" si="2"/>
        <v>--</v>
      </c>
    </row>
    <row r="9" spans="1:14">
      <c r="A9" s="1650" t="s">
        <v>316</v>
      </c>
      <c r="B9" s="1649" t="s">
        <v>315</v>
      </c>
      <c r="C9" s="1650" t="s">
        <v>115</v>
      </c>
      <c r="D9" s="1654">
        <v>0.2</v>
      </c>
      <c r="E9" s="1650" t="s">
        <v>1277</v>
      </c>
      <c r="F9" s="1654">
        <v>5.8E-5</v>
      </c>
      <c r="G9" s="1650" t="s">
        <v>1234</v>
      </c>
      <c r="H9" s="1654">
        <v>0.02</v>
      </c>
      <c r="I9" s="1650" t="s">
        <v>1277</v>
      </c>
      <c r="J9" s="1654">
        <v>80</v>
      </c>
      <c r="K9" s="1655" t="s">
        <v>3598</v>
      </c>
      <c r="L9" t="str">
        <f t="shared" si="0"/>
        <v/>
      </c>
      <c r="M9" t="str">
        <f t="shared" si="1"/>
        <v>Route RfC</v>
      </c>
      <c r="N9" t="str">
        <f t="shared" si="2"/>
        <v>Route RfC</v>
      </c>
    </row>
    <row r="10" spans="1:14">
      <c r="A10" s="1650" t="s">
        <v>3452</v>
      </c>
      <c r="B10" s="1649" t="s">
        <v>3602</v>
      </c>
      <c r="C10" s="1650" t="s">
        <v>115</v>
      </c>
      <c r="D10" s="1654" t="s">
        <v>115</v>
      </c>
      <c r="E10" s="1650" t="s">
        <v>115</v>
      </c>
      <c r="F10" s="1654" t="s">
        <v>115</v>
      </c>
      <c r="G10" s="1650" t="s">
        <v>115</v>
      </c>
      <c r="H10" s="1654">
        <v>30</v>
      </c>
      <c r="I10" s="1650" t="s">
        <v>1277</v>
      </c>
      <c r="J10" s="1654">
        <v>5000</v>
      </c>
      <c r="K10" s="1655" t="s">
        <v>1247</v>
      </c>
      <c r="L10" t="str">
        <f t="shared" si="0"/>
        <v/>
      </c>
      <c r="M10" t="str">
        <f t="shared" si="1"/>
        <v/>
      </c>
      <c r="N10" t="str">
        <f t="shared" si="2"/>
        <v>--</v>
      </c>
    </row>
    <row r="11" spans="1:14">
      <c r="A11" s="1650" t="s">
        <v>330</v>
      </c>
      <c r="B11" s="1649" t="s">
        <v>329</v>
      </c>
      <c r="C11" s="1650" t="s">
        <v>115</v>
      </c>
      <c r="D11" s="1654">
        <v>5.7000000000000002E-2</v>
      </c>
      <c r="E11" s="1650" t="s">
        <v>1277</v>
      </c>
      <c r="F11" s="1654">
        <v>1.5999999999999999E-5</v>
      </c>
      <c r="G11" s="1650" t="s">
        <v>1277</v>
      </c>
      <c r="H11" s="1654">
        <v>4.0000000000000001E-3</v>
      </c>
      <c r="I11" s="1650" t="s">
        <v>1277</v>
      </c>
      <c r="J11" s="1654">
        <v>0.2</v>
      </c>
      <c r="K11" s="1655" t="s">
        <v>3603</v>
      </c>
      <c r="L11" t="str">
        <f t="shared" si="0"/>
        <v/>
      </c>
      <c r="M11" t="str">
        <f t="shared" si="1"/>
        <v/>
      </c>
      <c r="N11" t="str">
        <f t="shared" si="2"/>
        <v>--</v>
      </c>
    </row>
    <row r="12" spans="1:14">
      <c r="A12" s="1650" t="s">
        <v>3474</v>
      </c>
      <c r="B12" s="1649" t="s">
        <v>3604</v>
      </c>
      <c r="C12" s="1650" t="s">
        <v>115</v>
      </c>
      <c r="D12" s="1654" t="s">
        <v>115</v>
      </c>
      <c r="E12" s="1650" t="s">
        <v>115</v>
      </c>
      <c r="F12" s="1654" t="s">
        <v>115</v>
      </c>
      <c r="G12" s="1650" t="s">
        <v>115</v>
      </c>
      <c r="H12" s="1654">
        <v>5.0000000000000001E-3</v>
      </c>
      <c r="I12" s="1650" t="s">
        <v>1277</v>
      </c>
      <c r="J12" s="1654">
        <v>20</v>
      </c>
      <c r="K12" s="1655" t="s">
        <v>3598</v>
      </c>
      <c r="L12" t="str">
        <f t="shared" si="0"/>
        <v/>
      </c>
      <c r="M12" t="str">
        <f t="shared" si="1"/>
        <v>Route RfC</v>
      </c>
      <c r="N12" t="str">
        <f t="shared" si="2"/>
        <v>Route RfC</v>
      </c>
    </row>
    <row r="13" spans="1:14">
      <c r="A13" s="1650" t="s">
        <v>164</v>
      </c>
      <c r="B13" s="1649" t="s">
        <v>163</v>
      </c>
      <c r="C13" s="1650" t="s">
        <v>115</v>
      </c>
      <c r="D13" s="1654">
        <v>5.7000000000000002E-3</v>
      </c>
      <c r="E13" s="1650" t="s">
        <v>1234</v>
      </c>
      <c r="F13" s="1654">
        <v>1.5999999999999999E-6</v>
      </c>
      <c r="G13" s="1650" t="s">
        <v>1234</v>
      </c>
      <c r="H13" s="1654">
        <v>0.2</v>
      </c>
      <c r="I13" s="1650" t="s">
        <v>1247</v>
      </c>
      <c r="J13" s="1654">
        <v>800</v>
      </c>
      <c r="K13" s="1655" t="s">
        <v>3605</v>
      </c>
      <c r="L13" t="str">
        <f t="shared" si="0"/>
        <v/>
      </c>
      <c r="M13" t="str">
        <f t="shared" si="1"/>
        <v>Route RfC</v>
      </c>
      <c r="N13" t="str">
        <f t="shared" si="2"/>
        <v>Route RfC</v>
      </c>
    </row>
    <row r="14" spans="1:14">
      <c r="A14" s="1650" t="s">
        <v>168</v>
      </c>
      <c r="B14" s="1649" t="s">
        <v>167</v>
      </c>
      <c r="C14" s="1650" t="s">
        <v>115</v>
      </c>
      <c r="D14" s="1654" t="s">
        <v>115</v>
      </c>
      <c r="E14" s="1650" t="s">
        <v>115</v>
      </c>
      <c r="F14" s="1654" t="s">
        <v>115</v>
      </c>
      <c r="G14" s="1650" t="s">
        <v>115</v>
      </c>
      <c r="H14" s="1654">
        <v>0.05</v>
      </c>
      <c r="I14" s="1650" t="s">
        <v>1277</v>
      </c>
      <c r="J14" s="1654" t="s">
        <v>115</v>
      </c>
      <c r="K14" s="1655" t="s">
        <v>115</v>
      </c>
      <c r="L14" t="str">
        <f t="shared" si="0"/>
        <v/>
      </c>
      <c r="M14" t="str">
        <f t="shared" si="1"/>
        <v/>
      </c>
      <c r="N14" t="str">
        <f t="shared" si="2"/>
        <v>--</v>
      </c>
    </row>
    <row r="15" spans="1:14">
      <c r="A15" s="1650" t="s">
        <v>2337</v>
      </c>
      <c r="B15" s="1649" t="s">
        <v>3606</v>
      </c>
      <c r="C15" s="1650" t="s">
        <v>115</v>
      </c>
      <c r="D15" s="1654" t="s">
        <v>115</v>
      </c>
      <c r="E15" s="1650" t="s">
        <v>115</v>
      </c>
      <c r="F15" s="1654" t="s">
        <v>115</v>
      </c>
      <c r="G15" s="1650" t="s">
        <v>115</v>
      </c>
      <c r="H15" s="1654" t="s">
        <v>115</v>
      </c>
      <c r="I15" s="1650" t="s">
        <v>115</v>
      </c>
      <c r="J15" s="1654">
        <v>40000</v>
      </c>
      <c r="K15" s="1655" t="s">
        <v>1277</v>
      </c>
      <c r="L15" t="str">
        <f t="shared" si="0"/>
        <v/>
      </c>
      <c r="M15" t="str">
        <f t="shared" si="1"/>
        <v/>
      </c>
      <c r="N15" t="str">
        <f t="shared" si="2"/>
        <v>--</v>
      </c>
    </row>
    <row r="16" spans="1:14">
      <c r="A16" s="1650" t="s">
        <v>2370</v>
      </c>
      <c r="B16" s="1649" t="s">
        <v>3607</v>
      </c>
      <c r="C16" s="1650" t="s">
        <v>115</v>
      </c>
      <c r="D16" s="1654" t="s">
        <v>115</v>
      </c>
      <c r="E16" s="1650" t="s">
        <v>115</v>
      </c>
      <c r="F16" s="1654" t="s">
        <v>115</v>
      </c>
      <c r="G16" s="1650" t="s">
        <v>115</v>
      </c>
      <c r="H16" s="1654">
        <v>1E-4</v>
      </c>
      <c r="I16" s="1650" t="s">
        <v>3603</v>
      </c>
      <c r="J16" s="1654">
        <v>2E-3</v>
      </c>
      <c r="K16" s="1655" t="s">
        <v>3603</v>
      </c>
      <c r="L16" t="str">
        <f t="shared" si="0"/>
        <v/>
      </c>
      <c r="M16" t="str">
        <f t="shared" si="1"/>
        <v/>
      </c>
      <c r="N16" t="str">
        <f t="shared" si="2"/>
        <v>--</v>
      </c>
    </row>
    <row r="17" spans="1:14">
      <c r="A17" s="1650" t="s">
        <v>3460</v>
      </c>
      <c r="B17" s="1649" t="s">
        <v>3608</v>
      </c>
      <c r="C17" s="1650" t="s">
        <v>115</v>
      </c>
      <c r="D17" s="1654" t="s">
        <v>115</v>
      </c>
      <c r="E17" s="1650" t="s">
        <v>115</v>
      </c>
      <c r="F17" s="1654" t="s">
        <v>115</v>
      </c>
      <c r="G17" s="1650" t="s">
        <v>115</v>
      </c>
      <c r="H17" s="1654">
        <v>8.0000000000000004E-4</v>
      </c>
      <c r="I17" s="1650" t="s">
        <v>3603</v>
      </c>
      <c r="J17" s="1654">
        <v>3.2</v>
      </c>
      <c r="K17" s="1655" t="s">
        <v>3609</v>
      </c>
      <c r="L17" t="str">
        <f t="shared" si="0"/>
        <v/>
      </c>
      <c r="M17" t="str">
        <f t="shared" si="1"/>
        <v>Route RfC</v>
      </c>
      <c r="N17" t="str">
        <f t="shared" si="2"/>
        <v>Route RfC</v>
      </c>
    </row>
    <row r="18" spans="1:14">
      <c r="A18" s="1650" t="s">
        <v>338</v>
      </c>
      <c r="B18" s="1649" t="s">
        <v>337</v>
      </c>
      <c r="C18" s="1650" t="s">
        <v>1906</v>
      </c>
      <c r="D18" s="1654">
        <v>30</v>
      </c>
      <c r="E18" s="1650" t="s">
        <v>1277</v>
      </c>
      <c r="F18" s="1654">
        <v>7.4999999999999997E-3</v>
      </c>
      <c r="G18" s="1650" t="s">
        <v>3598</v>
      </c>
      <c r="H18" s="1654">
        <v>4.0000000000000001E-3</v>
      </c>
      <c r="I18" s="1650" t="s">
        <v>1277</v>
      </c>
      <c r="J18" s="1654">
        <v>0.3</v>
      </c>
      <c r="K18" s="1655" t="s">
        <v>1277</v>
      </c>
      <c r="L18" t="str">
        <f>IF(COUNTIF(G18,"*Route*"),"Route IUR","")</f>
        <v>Route IUR</v>
      </c>
      <c r="M18" t="str">
        <f t="shared" si="1"/>
        <v/>
      </c>
      <c r="N18" t="str">
        <f t="shared" si="2"/>
        <v>Route IUR</v>
      </c>
    </row>
    <row r="19" spans="1:14">
      <c r="A19" s="1650" t="s">
        <v>3477</v>
      </c>
      <c r="B19" s="1649" t="s">
        <v>3610</v>
      </c>
      <c r="C19" s="1650" t="s">
        <v>115</v>
      </c>
      <c r="D19" s="1654" t="s">
        <v>115</v>
      </c>
      <c r="E19" s="1650" t="s">
        <v>115</v>
      </c>
      <c r="F19" s="1654" t="s">
        <v>115</v>
      </c>
      <c r="G19" s="1650" t="s">
        <v>115</v>
      </c>
      <c r="H19" s="1654">
        <v>3.0000000000000001E-3</v>
      </c>
      <c r="I19" s="1650" t="s">
        <v>3603</v>
      </c>
      <c r="J19" s="1654">
        <v>0.3</v>
      </c>
      <c r="K19" s="1655" t="s">
        <v>1247</v>
      </c>
      <c r="L19" t="str">
        <f t="shared" si="0"/>
        <v/>
      </c>
      <c r="M19" t="str">
        <f t="shared" si="1"/>
        <v/>
      </c>
      <c r="N19" t="str">
        <f t="shared" si="2"/>
        <v>--</v>
      </c>
    </row>
    <row r="20" spans="1:14">
      <c r="A20" s="1650" t="s">
        <v>3493</v>
      </c>
      <c r="B20" s="1649" t="s">
        <v>3611</v>
      </c>
      <c r="C20" s="1650" t="s">
        <v>115</v>
      </c>
      <c r="D20" s="1654" t="s">
        <v>115</v>
      </c>
      <c r="E20" s="1650" t="s">
        <v>115</v>
      </c>
      <c r="F20" s="1654" t="s">
        <v>115</v>
      </c>
      <c r="G20" s="1650" t="s">
        <v>115</v>
      </c>
      <c r="H20" s="1654">
        <v>0.01</v>
      </c>
      <c r="I20" s="1650" t="s">
        <v>1277</v>
      </c>
      <c r="J20" s="1654">
        <v>60</v>
      </c>
      <c r="K20" s="1655" t="s">
        <v>1277</v>
      </c>
      <c r="L20" t="str">
        <f t="shared" si="0"/>
        <v/>
      </c>
      <c r="M20" t="str">
        <f t="shared" si="1"/>
        <v/>
      </c>
      <c r="N20" t="str">
        <f t="shared" si="2"/>
        <v>--</v>
      </c>
    </row>
    <row r="21" spans="1:14">
      <c r="A21" s="1650" t="s">
        <v>3341</v>
      </c>
      <c r="B21" s="1649" t="s">
        <v>3612</v>
      </c>
      <c r="C21" s="1650" t="s">
        <v>115</v>
      </c>
      <c r="D21" s="1654" t="s">
        <v>115</v>
      </c>
      <c r="E21" s="1650" t="s">
        <v>115</v>
      </c>
      <c r="F21" s="1654" t="s">
        <v>115</v>
      </c>
      <c r="G21" s="1650" t="s">
        <v>115</v>
      </c>
      <c r="H21" s="1654">
        <v>3.0000000000000001E-5</v>
      </c>
      <c r="I21" s="1650" t="s">
        <v>1247</v>
      </c>
      <c r="J21" s="1654">
        <v>1.2</v>
      </c>
      <c r="K21" s="1655" t="s">
        <v>3598</v>
      </c>
      <c r="L21" t="str">
        <f t="shared" si="0"/>
        <v/>
      </c>
      <c r="M21" t="str">
        <f t="shared" si="1"/>
        <v>Route RfC</v>
      </c>
      <c r="N21" t="str">
        <f t="shared" si="2"/>
        <v>Route RfC</v>
      </c>
    </row>
    <row r="22" spans="1:14">
      <c r="A22" s="1650" t="s">
        <v>3438</v>
      </c>
      <c r="B22" s="1649" t="s">
        <v>3613</v>
      </c>
      <c r="C22" s="1650" t="s">
        <v>115</v>
      </c>
      <c r="D22" s="1654" t="s">
        <v>115</v>
      </c>
      <c r="E22" s="1650" t="s">
        <v>115</v>
      </c>
      <c r="F22" s="1654" t="s">
        <v>115</v>
      </c>
      <c r="G22" s="1650" t="s">
        <v>115</v>
      </c>
      <c r="H22" s="1654">
        <v>5.0000000000000001E-3</v>
      </c>
      <c r="I22" s="1650" t="s">
        <v>1277</v>
      </c>
      <c r="J22" s="1654">
        <v>20</v>
      </c>
      <c r="K22" s="1655" t="s">
        <v>3598</v>
      </c>
      <c r="L22" t="str">
        <f t="shared" si="0"/>
        <v/>
      </c>
      <c r="M22" t="str">
        <f t="shared" si="1"/>
        <v>Route RfC</v>
      </c>
      <c r="N22" t="str">
        <f t="shared" si="2"/>
        <v>Route RfC</v>
      </c>
    </row>
    <row r="23" spans="1:14">
      <c r="A23" s="1650" t="s">
        <v>326</v>
      </c>
      <c r="B23" s="1649" t="s">
        <v>325</v>
      </c>
      <c r="C23" s="1650" t="s">
        <v>115</v>
      </c>
      <c r="D23" s="1654">
        <v>2.9000000000000001E-2</v>
      </c>
      <c r="E23" s="1650" t="s">
        <v>1247</v>
      </c>
      <c r="F23" s="1654">
        <v>7.3000000000000004E-6</v>
      </c>
      <c r="G23" s="1650" t="s">
        <v>3605</v>
      </c>
      <c r="H23" s="1654">
        <v>0.01</v>
      </c>
      <c r="I23" s="1650" t="s">
        <v>1277</v>
      </c>
      <c r="J23" s="1654">
        <v>2</v>
      </c>
      <c r="K23" s="1655" t="s">
        <v>1247</v>
      </c>
      <c r="L23" t="str">
        <f t="shared" si="0"/>
        <v>Route IUR</v>
      </c>
      <c r="M23" t="str">
        <f t="shared" si="1"/>
        <v/>
      </c>
      <c r="N23" t="str">
        <f t="shared" si="2"/>
        <v>Route IUR</v>
      </c>
    </row>
    <row r="24" spans="1:14">
      <c r="A24" s="1650" t="s">
        <v>3495</v>
      </c>
      <c r="B24" s="1649" t="s">
        <v>3614</v>
      </c>
      <c r="C24" s="1650" t="s">
        <v>115</v>
      </c>
      <c r="D24" s="1654" t="s">
        <v>115</v>
      </c>
      <c r="E24" s="1650" t="s">
        <v>115</v>
      </c>
      <c r="F24" s="1654" t="s">
        <v>115</v>
      </c>
      <c r="G24" s="1650" t="s">
        <v>115</v>
      </c>
      <c r="H24" s="1654">
        <v>0.01</v>
      </c>
      <c r="I24" s="1650" t="s">
        <v>1277</v>
      </c>
      <c r="J24" s="1654">
        <v>60</v>
      </c>
      <c r="K24" s="1655" t="s">
        <v>1277</v>
      </c>
      <c r="L24" t="str">
        <f t="shared" si="0"/>
        <v/>
      </c>
      <c r="M24" t="str">
        <f t="shared" si="1"/>
        <v/>
      </c>
      <c r="N24" t="str">
        <f t="shared" si="2"/>
        <v>--</v>
      </c>
    </row>
    <row r="25" spans="1:14">
      <c r="A25" s="1650" t="s">
        <v>148</v>
      </c>
      <c r="B25" s="1649" t="s">
        <v>3615</v>
      </c>
      <c r="C25" s="1650" t="s">
        <v>1906</v>
      </c>
      <c r="D25" s="1654">
        <v>7</v>
      </c>
      <c r="E25" s="1650" t="s">
        <v>1234</v>
      </c>
      <c r="F25" s="1654">
        <v>6.0000000000000001E-3</v>
      </c>
      <c r="G25" s="1650" t="s">
        <v>1247</v>
      </c>
      <c r="H25" s="1654">
        <v>2.0000000000000001E-4</v>
      </c>
      <c r="I25" s="1650" t="s">
        <v>1247</v>
      </c>
      <c r="J25" s="1654">
        <v>0.2</v>
      </c>
      <c r="K25" s="1655" t="s">
        <v>1277</v>
      </c>
      <c r="L25" t="str">
        <f t="shared" si="0"/>
        <v/>
      </c>
      <c r="M25" t="str">
        <f t="shared" si="1"/>
        <v/>
      </c>
      <c r="N25" t="str">
        <f t="shared" si="2"/>
        <v>--</v>
      </c>
    </row>
    <row r="26" spans="1:14">
      <c r="A26" s="1650" t="s">
        <v>152</v>
      </c>
      <c r="B26" s="1649" t="s">
        <v>151</v>
      </c>
      <c r="C26" s="1650" t="s">
        <v>115</v>
      </c>
      <c r="D26" s="1654" t="s">
        <v>115</v>
      </c>
      <c r="E26" s="1650" t="s">
        <v>115</v>
      </c>
      <c r="F26" s="1654" t="s">
        <v>115</v>
      </c>
      <c r="G26" s="1650" t="s">
        <v>115</v>
      </c>
      <c r="H26" s="1654">
        <v>0.09</v>
      </c>
      <c r="I26" s="1650" t="s">
        <v>1277</v>
      </c>
      <c r="J26" s="1654">
        <v>200</v>
      </c>
      <c r="K26" s="1655" t="s">
        <v>3616</v>
      </c>
      <c r="L26" t="str">
        <f t="shared" si="0"/>
        <v/>
      </c>
      <c r="M26" t="str">
        <f t="shared" si="1"/>
        <v/>
      </c>
      <c r="N26" t="str">
        <f t="shared" si="2"/>
        <v>--</v>
      </c>
    </row>
    <row r="27" spans="1:14">
      <c r="A27" s="1650" t="s">
        <v>166</v>
      </c>
      <c r="B27" s="1649" t="s">
        <v>165</v>
      </c>
      <c r="C27" s="1650" t="s">
        <v>115</v>
      </c>
      <c r="D27" s="1654">
        <v>9.0999999999999998E-2</v>
      </c>
      <c r="E27" s="1650" t="s">
        <v>1277</v>
      </c>
      <c r="F27" s="1654">
        <v>2.5999999999999998E-5</v>
      </c>
      <c r="G27" s="1650" t="s">
        <v>1277</v>
      </c>
      <c r="H27" s="1654">
        <v>6.0000000000000001E-3</v>
      </c>
      <c r="I27" s="1650" t="s">
        <v>3603</v>
      </c>
      <c r="J27" s="1654">
        <v>7</v>
      </c>
      <c r="K27" s="1655" t="s">
        <v>1247</v>
      </c>
      <c r="L27" t="str">
        <f t="shared" si="0"/>
        <v/>
      </c>
      <c r="M27" t="str">
        <f t="shared" si="1"/>
        <v/>
      </c>
      <c r="N27" t="str">
        <f t="shared" si="2"/>
        <v>--</v>
      </c>
    </row>
    <row r="28" spans="1:14">
      <c r="A28" s="1650" t="s">
        <v>176</v>
      </c>
      <c r="B28" s="1649" t="s">
        <v>175</v>
      </c>
      <c r="C28" s="1650" t="s">
        <v>115</v>
      </c>
      <c r="D28" s="1654">
        <v>3.6999999999999998E-2</v>
      </c>
      <c r="E28" s="1650" t="s">
        <v>1247</v>
      </c>
      <c r="F28" s="1654">
        <v>3.7000000000000002E-6</v>
      </c>
      <c r="G28" s="1650" t="s">
        <v>1247</v>
      </c>
      <c r="H28" s="1654">
        <v>0.04</v>
      </c>
      <c r="I28" s="1650" t="s">
        <v>1247</v>
      </c>
      <c r="J28" s="1654">
        <v>4</v>
      </c>
      <c r="K28" s="1655" t="s">
        <v>1277</v>
      </c>
      <c r="L28" t="str">
        <f t="shared" si="0"/>
        <v/>
      </c>
      <c r="M28" t="str">
        <f t="shared" si="1"/>
        <v/>
      </c>
      <c r="N28" t="str">
        <f t="shared" si="2"/>
        <v>--</v>
      </c>
    </row>
    <row r="29" spans="1:14">
      <c r="A29" s="1650" t="s">
        <v>2372</v>
      </c>
      <c r="B29" s="1649" t="s">
        <v>3617</v>
      </c>
      <c r="C29" s="1650" t="s">
        <v>115</v>
      </c>
      <c r="D29" s="1654">
        <v>550</v>
      </c>
      <c r="E29" s="1650" t="s">
        <v>1234</v>
      </c>
      <c r="F29" s="1654">
        <v>0.16</v>
      </c>
      <c r="G29" s="1650" t="s">
        <v>1234</v>
      </c>
      <c r="H29" s="1654" t="s">
        <v>115</v>
      </c>
      <c r="I29" s="1650" t="s">
        <v>115</v>
      </c>
      <c r="J29" s="1654" t="s">
        <v>115</v>
      </c>
      <c r="K29" s="1655" t="s">
        <v>115</v>
      </c>
      <c r="L29" t="str">
        <f t="shared" si="0"/>
        <v/>
      </c>
      <c r="M29" t="str">
        <f t="shared" si="1"/>
        <v/>
      </c>
      <c r="N29" t="str">
        <f t="shared" si="2"/>
        <v>--</v>
      </c>
    </row>
    <row r="30" spans="1:14">
      <c r="A30" s="1650" t="s">
        <v>2387</v>
      </c>
      <c r="B30" s="1649" t="s">
        <v>3618</v>
      </c>
      <c r="C30" s="1650" t="s">
        <v>115</v>
      </c>
      <c r="D30" s="1654" t="s">
        <v>115</v>
      </c>
      <c r="E30" s="1650" t="s">
        <v>115</v>
      </c>
      <c r="F30" s="1654" t="s">
        <v>115</v>
      </c>
      <c r="G30" s="1650" t="s">
        <v>115</v>
      </c>
      <c r="H30" s="1654">
        <v>1E-4</v>
      </c>
      <c r="I30" s="1650" t="s">
        <v>1247</v>
      </c>
      <c r="J30" s="1654" t="s">
        <v>115</v>
      </c>
      <c r="K30" s="1655" t="s">
        <v>115</v>
      </c>
      <c r="L30" t="str">
        <f t="shared" si="0"/>
        <v/>
      </c>
      <c r="M30" t="str">
        <f t="shared" si="1"/>
        <v/>
      </c>
      <c r="N30" t="str">
        <f t="shared" si="2"/>
        <v>--</v>
      </c>
    </row>
    <row r="31" spans="1:14">
      <c r="A31" s="1650" t="s">
        <v>2420</v>
      </c>
      <c r="B31" s="1649" t="s">
        <v>3619</v>
      </c>
      <c r="C31" s="1650" t="s">
        <v>115</v>
      </c>
      <c r="D31" s="1654">
        <v>0.8</v>
      </c>
      <c r="E31" s="1650" t="s">
        <v>1277</v>
      </c>
      <c r="F31" s="1654">
        <v>2.2000000000000001E-4</v>
      </c>
      <c r="G31" s="1650" t="s">
        <v>1277</v>
      </c>
      <c r="H31" s="1654" t="s">
        <v>115</v>
      </c>
      <c r="I31" s="1650" t="s">
        <v>115</v>
      </c>
      <c r="J31" s="1654" t="s">
        <v>115</v>
      </c>
      <c r="K31" s="1655" t="s">
        <v>115</v>
      </c>
      <c r="L31" t="str">
        <f t="shared" si="0"/>
        <v/>
      </c>
      <c r="M31" t="str">
        <f t="shared" si="1"/>
        <v/>
      </c>
      <c r="N31" t="str">
        <f t="shared" si="2"/>
        <v>--</v>
      </c>
    </row>
    <row r="32" spans="1:14">
      <c r="A32" s="1650" t="s">
        <v>2446</v>
      </c>
      <c r="B32" s="1649" t="s">
        <v>3620</v>
      </c>
      <c r="C32" s="1650" t="s">
        <v>115</v>
      </c>
      <c r="D32" s="1654" t="s">
        <v>115</v>
      </c>
      <c r="E32" s="1650" t="s">
        <v>115</v>
      </c>
      <c r="F32" s="1654" t="s">
        <v>115</v>
      </c>
      <c r="G32" s="1650" t="s">
        <v>115</v>
      </c>
      <c r="H32" s="1654" t="s">
        <v>115</v>
      </c>
      <c r="I32" s="1650" t="s">
        <v>115</v>
      </c>
      <c r="J32" s="1654">
        <v>20</v>
      </c>
      <c r="K32" s="1655" t="s">
        <v>1277</v>
      </c>
      <c r="L32" t="str">
        <f t="shared" si="0"/>
        <v/>
      </c>
      <c r="M32" t="str">
        <f t="shared" si="1"/>
        <v/>
      </c>
      <c r="N32" t="str">
        <f t="shared" si="2"/>
        <v>--</v>
      </c>
    </row>
    <row r="33" spans="1:14">
      <c r="A33" s="1650" t="s">
        <v>3037</v>
      </c>
      <c r="B33" s="1649" t="s">
        <v>3621</v>
      </c>
      <c r="C33" s="1650" t="s">
        <v>1906</v>
      </c>
      <c r="D33" s="1654">
        <v>0.12</v>
      </c>
      <c r="E33" s="1650" t="s">
        <v>1247</v>
      </c>
      <c r="F33" s="1654" t="s">
        <v>115</v>
      </c>
      <c r="G33" s="1650" t="s">
        <v>115</v>
      </c>
      <c r="H33" s="1654">
        <v>4.0000000000000001E-3</v>
      </c>
      <c r="I33" s="1650" t="s">
        <v>1247</v>
      </c>
      <c r="J33" s="1654" t="s">
        <v>115</v>
      </c>
      <c r="K33" s="1655" t="s">
        <v>115</v>
      </c>
      <c r="L33" t="str">
        <f t="shared" si="0"/>
        <v/>
      </c>
      <c r="M33" t="str">
        <f t="shared" si="1"/>
        <v/>
      </c>
      <c r="N33" t="str">
        <f t="shared" si="2"/>
        <v>--</v>
      </c>
    </row>
    <row r="34" spans="1:14">
      <c r="A34" s="1650" t="s">
        <v>3497</v>
      </c>
      <c r="B34" s="1649" t="s">
        <v>3622</v>
      </c>
      <c r="C34" s="1650" t="s">
        <v>115</v>
      </c>
      <c r="D34" s="1654" t="s">
        <v>115</v>
      </c>
      <c r="E34" s="1650" t="s">
        <v>115</v>
      </c>
      <c r="F34" s="1654" t="s">
        <v>115</v>
      </c>
      <c r="G34" s="1650" t="s">
        <v>115</v>
      </c>
      <c r="H34" s="1654">
        <v>0.01</v>
      </c>
      <c r="I34" s="1650" t="s">
        <v>1277</v>
      </c>
      <c r="J34" s="1654">
        <v>60</v>
      </c>
      <c r="K34" s="1655" t="s">
        <v>1277</v>
      </c>
      <c r="L34" t="str">
        <f t="shared" si="0"/>
        <v/>
      </c>
      <c r="M34" t="str">
        <f t="shared" si="1"/>
        <v/>
      </c>
      <c r="N34" t="str">
        <f t="shared" si="2"/>
        <v>--</v>
      </c>
    </row>
    <row r="35" spans="1:14">
      <c r="A35" s="1650" t="s">
        <v>3501</v>
      </c>
      <c r="B35" s="1649" t="s">
        <v>3623</v>
      </c>
      <c r="C35" s="1650" t="s">
        <v>115</v>
      </c>
      <c r="D35" s="1654" t="s">
        <v>115</v>
      </c>
      <c r="E35" s="1650" t="s">
        <v>115</v>
      </c>
      <c r="F35" s="1654" t="s">
        <v>115</v>
      </c>
      <c r="G35" s="1650" t="s">
        <v>115</v>
      </c>
      <c r="H35" s="1654">
        <v>0.03</v>
      </c>
      <c r="I35" s="1650" t="s">
        <v>1277</v>
      </c>
      <c r="J35" s="1654" t="s">
        <v>115</v>
      </c>
      <c r="K35" s="1655" t="s">
        <v>115</v>
      </c>
      <c r="L35" t="str">
        <f t="shared" si="0"/>
        <v/>
      </c>
      <c r="M35" t="str">
        <f t="shared" si="1"/>
        <v/>
      </c>
      <c r="N35" t="str">
        <f t="shared" si="2"/>
        <v>--</v>
      </c>
    </row>
    <row r="36" spans="1:14">
      <c r="A36" s="1650" t="s">
        <v>2057</v>
      </c>
      <c r="B36" s="1649" t="s">
        <v>3624</v>
      </c>
      <c r="C36" s="1650" t="s">
        <v>115</v>
      </c>
      <c r="D36" s="1654">
        <v>0.6</v>
      </c>
      <c r="E36" s="1650" t="s">
        <v>3600</v>
      </c>
      <c r="F36" s="1654">
        <v>1.7000000000000001E-4</v>
      </c>
      <c r="G36" s="1650" t="s">
        <v>3600</v>
      </c>
      <c r="H36" s="1654" t="s">
        <v>115</v>
      </c>
      <c r="I36" s="1650" t="s">
        <v>115</v>
      </c>
      <c r="J36" s="1654">
        <v>2</v>
      </c>
      <c r="K36" s="1655" t="s">
        <v>3600</v>
      </c>
      <c r="L36" t="str">
        <f t="shared" si="0"/>
        <v/>
      </c>
      <c r="M36" t="str">
        <f t="shared" si="1"/>
        <v/>
      </c>
      <c r="N36" t="str">
        <f t="shared" si="2"/>
        <v>--</v>
      </c>
    </row>
    <row r="37" spans="1:14">
      <c r="A37" s="1650" t="s">
        <v>2270</v>
      </c>
      <c r="B37" s="1649" t="s">
        <v>3625</v>
      </c>
      <c r="C37" s="1650" t="s">
        <v>115</v>
      </c>
      <c r="D37" s="1654" t="s">
        <v>115</v>
      </c>
      <c r="E37" s="1650" t="s">
        <v>115</v>
      </c>
      <c r="F37" s="1654" t="s">
        <v>115</v>
      </c>
      <c r="G37" s="1650" t="s">
        <v>115</v>
      </c>
      <c r="H37" s="1654">
        <v>4.0000000000000002E-4</v>
      </c>
      <c r="I37" s="1650" t="s">
        <v>3603</v>
      </c>
      <c r="J37" s="1654">
        <v>1.6</v>
      </c>
      <c r="K37" s="1655" t="s">
        <v>3609</v>
      </c>
      <c r="L37" t="str">
        <f t="shared" si="0"/>
        <v/>
      </c>
      <c r="M37" t="str">
        <f t="shared" si="1"/>
        <v>Route RfC</v>
      </c>
      <c r="N37" t="str">
        <f t="shared" si="2"/>
        <v>Route RfC</v>
      </c>
    </row>
    <row r="38" spans="1:14">
      <c r="A38" s="1650" t="s">
        <v>2310</v>
      </c>
      <c r="B38" s="1649" t="s">
        <v>3626</v>
      </c>
      <c r="C38" s="1650" t="s">
        <v>115</v>
      </c>
      <c r="D38" s="1654" t="s">
        <v>115</v>
      </c>
      <c r="E38" s="1650" t="s">
        <v>115</v>
      </c>
      <c r="F38" s="1654" t="s">
        <v>115</v>
      </c>
      <c r="G38" s="1650" t="s">
        <v>115</v>
      </c>
      <c r="H38" s="1654">
        <v>0.02</v>
      </c>
      <c r="I38" s="1650" t="s">
        <v>1247</v>
      </c>
      <c r="J38" s="1654">
        <v>80</v>
      </c>
      <c r="K38" s="1655" t="s">
        <v>3605</v>
      </c>
      <c r="L38" t="str">
        <f t="shared" si="0"/>
        <v/>
      </c>
      <c r="M38" t="str">
        <f t="shared" si="1"/>
        <v>Route RfC</v>
      </c>
      <c r="N38" t="str">
        <f t="shared" si="2"/>
        <v>Route RfC</v>
      </c>
    </row>
    <row r="39" spans="1:14">
      <c r="A39" s="1650" t="s">
        <v>178</v>
      </c>
      <c r="B39" s="1649" t="s">
        <v>177</v>
      </c>
      <c r="C39" s="1650" t="s">
        <v>115</v>
      </c>
      <c r="D39" s="1654">
        <v>0.1</v>
      </c>
      <c r="E39" s="1650" t="s">
        <v>1277</v>
      </c>
      <c r="F39" s="1654">
        <v>3.9999999999999998E-6</v>
      </c>
      <c r="G39" s="1650" t="s">
        <v>1277</v>
      </c>
      <c r="H39" s="1654">
        <v>0.03</v>
      </c>
      <c r="I39" s="1650" t="s">
        <v>1277</v>
      </c>
      <c r="J39" s="1654">
        <v>20</v>
      </c>
      <c r="K39" s="1655" t="s">
        <v>1277</v>
      </c>
      <c r="L39" t="str">
        <f t="shared" si="0"/>
        <v/>
      </c>
      <c r="M39" t="str">
        <f t="shared" si="1"/>
        <v/>
      </c>
      <c r="N39" t="str">
        <f t="shared" si="2"/>
        <v>--</v>
      </c>
    </row>
    <row r="40" spans="1:14">
      <c r="A40" s="1650" t="s">
        <v>2389</v>
      </c>
      <c r="B40" s="1649" t="s">
        <v>3627</v>
      </c>
      <c r="C40" s="1650" t="s">
        <v>115</v>
      </c>
      <c r="D40" s="1654" t="s">
        <v>115</v>
      </c>
      <c r="E40" s="1650" t="s">
        <v>115</v>
      </c>
      <c r="F40" s="1654" t="s">
        <v>115</v>
      </c>
      <c r="G40" s="1650" t="s">
        <v>115</v>
      </c>
      <c r="H40" s="1654">
        <v>1E-4</v>
      </c>
      <c r="I40" s="1650" t="s">
        <v>1277</v>
      </c>
      <c r="J40" s="1654" t="s">
        <v>115</v>
      </c>
      <c r="K40" s="1655" t="s">
        <v>115</v>
      </c>
      <c r="L40" t="str">
        <f t="shared" si="0"/>
        <v/>
      </c>
      <c r="M40" t="str">
        <f t="shared" si="1"/>
        <v/>
      </c>
      <c r="N40" t="str">
        <f t="shared" si="2"/>
        <v>--</v>
      </c>
    </row>
    <row r="41" spans="1:14">
      <c r="A41" s="1650" t="s">
        <v>3035</v>
      </c>
      <c r="B41" s="1649" t="s">
        <v>3628</v>
      </c>
      <c r="C41" s="1650" t="s">
        <v>115</v>
      </c>
      <c r="D41" s="1654" t="s">
        <v>115</v>
      </c>
      <c r="E41" s="1650" t="s">
        <v>115</v>
      </c>
      <c r="F41" s="1654" t="s">
        <v>115</v>
      </c>
      <c r="G41" s="1650" t="s">
        <v>115</v>
      </c>
      <c r="H41" s="1654">
        <v>6.0000000000000001E-3</v>
      </c>
      <c r="I41" s="1650" t="s">
        <v>1277</v>
      </c>
      <c r="J41" s="1654" t="s">
        <v>115</v>
      </c>
      <c r="K41" s="1655" t="s">
        <v>115</v>
      </c>
      <c r="L41" t="str">
        <f t="shared" si="0"/>
        <v/>
      </c>
      <c r="M41" t="str">
        <f t="shared" si="1"/>
        <v/>
      </c>
      <c r="N41" t="str">
        <f t="shared" si="2"/>
        <v>--</v>
      </c>
    </row>
    <row r="42" spans="1:14">
      <c r="A42" s="1650" t="s">
        <v>2000</v>
      </c>
      <c r="B42" s="1649" t="s">
        <v>3629</v>
      </c>
      <c r="C42" s="1650" t="s">
        <v>115</v>
      </c>
      <c r="D42" s="1654">
        <v>0.1</v>
      </c>
      <c r="E42" s="1650" t="s">
        <v>3603</v>
      </c>
      <c r="F42" s="1654" t="s">
        <v>115</v>
      </c>
      <c r="G42" s="1650" t="s">
        <v>115</v>
      </c>
      <c r="H42" s="1654">
        <v>2.9999999999999997E-4</v>
      </c>
      <c r="I42" s="1650" t="s">
        <v>3603</v>
      </c>
      <c r="J42" s="1654" t="s">
        <v>115</v>
      </c>
      <c r="K42" s="1655" t="s">
        <v>115</v>
      </c>
      <c r="L42" t="str">
        <f t="shared" si="0"/>
        <v/>
      </c>
      <c r="M42" t="str">
        <f t="shared" si="1"/>
        <v/>
      </c>
      <c r="N42" t="str">
        <f t="shared" si="2"/>
        <v>--</v>
      </c>
    </row>
    <row r="43" spans="1:14">
      <c r="A43" s="1650" t="s">
        <v>2272</v>
      </c>
      <c r="B43" s="1649" t="s">
        <v>3630</v>
      </c>
      <c r="C43" s="1650" t="s">
        <v>115</v>
      </c>
      <c r="D43" s="1654" t="s">
        <v>115</v>
      </c>
      <c r="E43" s="1650" t="s">
        <v>115</v>
      </c>
      <c r="F43" s="1654" t="s">
        <v>115</v>
      </c>
      <c r="G43" s="1650" t="s">
        <v>115</v>
      </c>
      <c r="H43" s="1654">
        <v>0.01</v>
      </c>
      <c r="I43" s="1650" t="s">
        <v>1277</v>
      </c>
      <c r="J43" s="1654">
        <v>40</v>
      </c>
      <c r="K43" s="1655" t="s">
        <v>3598</v>
      </c>
      <c r="L43" t="str">
        <f t="shared" si="0"/>
        <v/>
      </c>
      <c r="M43" t="str">
        <f t="shared" si="1"/>
        <v>Route RfC</v>
      </c>
      <c r="N43" t="str">
        <f t="shared" si="2"/>
        <v>Route RfC</v>
      </c>
    </row>
    <row r="44" spans="1:14">
      <c r="A44" s="1650" t="s">
        <v>2283</v>
      </c>
      <c r="B44" s="1649" t="s">
        <v>3631</v>
      </c>
      <c r="C44" s="1650" t="s">
        <v>115</v>
      </c>
      <c r="D44" s="1654" t="s">
        <v>115</v>
      </c>
      <c r="E44" s="1650" t="s">
        <v>115</v>
      </c>
      <c r="F44" s="1654">
        <v>4.1999999999999997E-3</v>
      </c>
      <c r="G44" s="1650" t="s">
        <v>1247</v>
      </c>
      <c r="H44" s="1654" t="s">
        <v>115</v>
      </c>
      <c r="I44" s="1650" t="s">
        <v>115</v>
      </c>
      <c r="J44" s="1654" t="s">
        <v>115</v>
      </c>
      <c r="K44" s="1655" t="s">
        <v>115</v>
      </c>
      <c r="L44" t="str">
        <f t="shared" si="0"/>
        <v/>
      </c>
      <c r="M44" t="str">
        <f t="shared" si="1"/>
        <v/>
      </c>
      <c r="N44" t="str">
        <f t="shared" si="2"/>
        <v>--</v>
      </c>
    </row>
    <row r="45" spans="1:14">
      <c r="A45" s="1650" t="s">
        <v>154</v>
      </c>
      <c r="B45" s="1649" t="s">
        <v>153</v>
      </c>
      <c r="C45" s="1650" t="s">
        <v>115</v>
      </c>
      <c r="D45" s="1654">
        <v>5.4000000000000003E-3</v>
      </c>
      <c r="E45" s="1650" t="s">
        <v>1234</v>
      </c>
      <c r="F45" s="1654">
        <v>1.1E-5</v>
      </c>
      <c r="G45" s="1650" t="s">
        <v>1234</v>
      </c>
      <c r="H45" s="1654">
        <v>7.0000000000000007E-2</v>
      </c>
      <c r="I45" s="1650" t="s">
        <v>1280</v>
      </c>
      <c r="J45" s="1654">
        <v>800</v>
      </c>
      <c r="K45" s="1655" t="s">
        <v>1277</v>
      </c>
      <c r="L45" t="str">
        <f t="shared" si="0"/>
        <v/>
      </c>
      <c r="M45" t="str">
        <f t="shared" si="1"/>
        <v/>
      </c>
      <c r="N45" t="str">
        <f t="shared" si="2"/>
        <v>--</v>
      </c>
    </row>
    <row r="46" spans="1:14">
      <c r="A46" s="1650" t="s">
        <v>2391</v>
      </c>
      <c r="B46" s="1649" t="s">
        <v>3632</v>
      </c>
      <c r="C46" s="1650" t="s">
        <v>115</v>
      </c>
      <c r="D46" s="1654" t="s">
        <v>115</v>
      </c>
      <c r="E46" s="1650" t="s">
        <v>115</v>
      </c>
      <c r="F46" s="1654" t="s">
        <v>115</v>
      </c>
      <c r="G46" s="1650" t="s">
        <v>115</v>
      </c>
      <c r="H46" s="1654">
        <v>1E-4</v>
      </c>
      <c r="I46" s="1650" t="s">
        <v>1247</v>
      </c>
      <c r="J46" s="1654" t="s">
        <v>115</v>
      </c>
      <c r="K46" s="1655" t="s">
        <v>115</v>
      </c>
      <c r="L46" t="str">
        <f t="shared" si="0"/>
        <v/>
      </c>
      <c r="M46" t="str">
        <f t="shared" si="1"/>
        <v/>
      </c>
      <c r="N46" t="str">
        <f t="shared" si="2"/>
        <v>--</v>
      </c>
    </row>
    <row r="47" spans="1:14">
      <c r="A47" s="1650" t="s">
        <v>190</v>
      </c>
      <c r="B47" s="1649" t="s">
        <v>189</v>
      </c>
      <c r="C47" s="1650" t="s">
        <v>115</v>
      </c>
      <c r="D47" s="1654">
        <v>0.1</v>
      </c>
      <c r="E47" s="1650" t="s">
        <v>1277</v>
      </c>
      <c r="F47" s="1654">
        <v>5.0000000000000004E-6</v>
      </c>
      <c r="G47" s="1650" t="s">
        <v>1277</v>
      </c>
      <c r="H47" s="1654">
        <v>0.03</v>
      </c>
      <c r="I47" s="1650" t="s">
        <v>1277</v>
      </c>
      <c r="J47" s="1654">
        <v>30</v>
      </c>
      <c r="K47" s="1655" t="s">
        <v>1277</v>
      </c>
      <c r="L47" t="str">
        <f t="shared" si="0"/>
        <v/>
      </c>
      <c r="M47" t="str">
        <f t="shared" si="1"/>
        <v/>
      </c>
      <c r="N47" t="str">
        <f t="shared" si="2"/>
        <v>--</v>
      </c>
    </row>
    <row r="48" spans="1:14">
      <c r="A48" s="1650" t="s">
        <v>2432</v>
      </c>
      <c r="B48" s="1649" t="s">
        <v>3633</v>
      </c>
      <c r="C48" s="1650" t="s">
        <v>115</v>
      </c>
      <c r="D48" s="1654" t="s">
        <v>115</v>
      </c>
      <c r="E48" s="1650" t="s">
        <v>115</v>
      </c>
      <c r="F48" s="1654" t="s">
        <v>115</v>
      </c>
      <c r="G48" s="1650" t="s">
        <v>115</v>
      </c>
      <c r="H48" s="1654">
        <v>0.01</v>
      </c>
      <c r="I48" s="1650" t="s">
        <v>1277</v>
      </c>
      <c r="J48" s="1654">
        <v>40</v>
      </c>
      <c r="K48" s="1655" t="s">
        <v>3598</v>
      </c>
      <c r="L48" t="str">
        <f t="shared" si="0"/>
        <v/>
      </c>
      <c r="M48" t="str">
        <f t="shared" si="1"/>
        <v>Route RfC</v>
      </c>
      <c r="N48" t="str">
        <f t="shared" si="2"/>
        <v>Route RfC</v>
      </c>
    </row>
    <row r="49" spans="1:14">
      <c r="A49" s="1650" t="s">
        <v>3039</v>
      </c>
      <c r="B49" s="1649" t="s">
        <v>3634</v>
      </c>
      <c r="C49" s="1650" t="s">
        <v>115</v>
      </c>
      <c r="D49" s="1654" t="s">
        <v>115</v>
      </c>
      <c r="E49" s="1650" t="s">
        <v>115</v>
      </c>
      <c r="F49" s="1654" t="s">
        <v>115</v>
      </c>
      <c r="G49" s="1650" t="s">
        <v>115</v>
      </c>
      <c r="H49" s="1654">
        <v>1E-3</v>
      </c>
      <c r="I49" s="1650" t="s">
        <v>3603</v>
      </c>
      <c r="J49" s="1654" t="s">
        <v>115</v>
      </c>
      <c r="K49" s="1655" t="s">
        <v>115</v>
      </c>
      <c r="L49" t="str">
        <f t="shared" si="0"/>
        <v/>
      </c>
      <c r="M49" t="str">
        <f t="shared" si="1"/>
        <v/>
      </c>
      <c r="N49" t="str">
        <f t="shared" si="2"/>
        <v>--</v>
      </c>
    </row>
    <row r="50" spans="1:14">
      <c r="A50" s="1650" t="s">
        <v>2577</v>
      </c>
      <c r="B50" s="1649" t="s">
        <v>3635</v>
      </c>
      <c r="C50" s="1650" t="s">
        <v>115</v>
      </c>
      <c r="D50" s="1654" t="s">
        <v>115</v>
      </c>
      <c r="E50" s="1650" t="s">
        <v>115</v>
      </c>
      <c r="F50" s="1654" t="s">
        <v>115</v>
      </c>
      <c r="G50" s="1650" t="s">
        <v>115</v>
      </c>
      <c r="H50" s="1654" t="s">
        <v>115</v>
      </c>
      <c r="I50" s="1650" t="s">
        <v>115</v>
      </c>
      <c r="J50" s="1654">
        <v>0.01</v>
      </c>
      <c r="K50" s="1655" t="s">
        <v>1277</v>
      </c>
      <c r="L50" t="str">
        <f t="shared" si="0"/>
        <v/>
      </c>
      <c r="M50" t="str">
        <f t="shared" si="1"/>
        <v/>
      </c>
      <c r="N50" t="str">
        <f t="shared" si="2"/>
        <v>--</v>
      </c>
    </row>
    <row r="51" spans="1:14">
      <c r="A51" s="1650" t="s">
        <v>2035</v>
      </c>
      <c r="B51" s="1649" t="s">
        <v>3636</v>
      </c>
      <c r="C51" s="1650" t="s">
        <v>115</v>
      </c>
      <c r="D51" s="1654" t="s">
        <v>115</v>
      </c>
      <c r="E51" s="1650" t="s">
        <v>115</v>
      </c>
      <c r="F51" s="1654" t="s">
        <v>115</v>
      </c>
      <c r="G51" s="1650" t="s">
        <v>115</v>
      </c>
      <c r="H51" s="1654" t="s">
        <v>115</v>
      </c>
      <c r="I51" s="1650" t="s">
        <v>115</v>
      </c>
      <c r="J51" s="1654" t="s">
        <v>115</v>
      </c>
      <c r="K51" s="1655" t="s">
        <v>115</v>
      </c>
      <c r="L51" t="str">
        <f t="shared" si="0"/>
        <v/>
      </c>
      <c r="M51" t="str">
        <f t="shared" si="1"/>
        <v/>
      </c>
      <c r="N51" t="str">
        <f t="shared" si="2"/>
        <v>--</v>
      </c>
    </row>
    <row r="52" spans="1:14">
      <c r="A52" s="1650" t="s">
        <v>2037</v>
      </c>
      <c r="B52" s="1649" t="s">
        <v>3637</v>
      </c>
      <c r="C52" s="1650" t="s">
        <v>115</v>
      </c>
      <c r="D52" s="1654" t="s">
        <v>115</v>
      </c>
      <c r="E52" s="1650" t="s">
        <v>115</v>
      </c>
      <c r="F52" s="1654" t="s">
        <v>115</v>
      </c>
      <c r="G52" s="1650" t="s">
        <v>115</v>
      </c>
      <c r="H52" s="1654">
        <v>2.9999999999999997E-4</v>
      </c>
      <c r="I52" s="1650" t="s">
        <v>3603</v>
      </c>
      <c r="J52" s="1654">
        <v>1.2</v>
      </c>
      <c r="K52" s="1655" t="s">
        <v>3609</v>
      </c>
      <c r="L52" t="str">
        <f t="shared" si="0"/>
        <v/>
      </c>
      <c r="M52" t="str">
        <f t="shared" si="1"/>
        <v>Route RfC</v>
      </c>
      <c r="N52" t="str">
        <f t="shared" si="2"/>
        <v>Route RfC</v>
      </c>
    </row>
    <row r="53" spans="1:14">
      <c r="A53" s="1650" t="s">
        <v>2039</v>
      </c>
      <c r="B53" s="1649" t="s">
        <v>3638</v>
      </c>
      <c r="C53" s="1650" t="s">
        <v>115</v>
      </c>
      <c r="D53" s="1654" t="s">
        <v>115</v>
      </c>
      <c r="E53" s="1650" t="s">
        <v>115</v>
      </c>
      <c r="F53" s="1654" t="s">
        <v>115</v>
      </c>
      <c r="G53" s="1650" t="s">
        <v>115</v>
      </c>
      <c r="H53" s="1654">
        <v>2.9999999999999997E-4</v>
      </c>
      <c r="I53" s="1650" t="s">
        <v>3603</v>
      </c>
      <c r="J53" s="1654">
        <v>1.2</v>
      </c>
      <c r="K53" s="1655" t="s">
        <v>3609</v>
      </c>
      <c r="L53" t="str">
        <f t="shared" si="0"/>
        <v/>
      </c>
      <c r="M53" t="str">
        <f t="shared" si="1"/>
        <v>Route RfC</v>
      </c>
      <c r="N53" t="str">
        <f t="shared" si="2"/>
        <v>Route RfC</v>
      </c>
    </row>
    <row r="54" spans="1:14">
      <c r="A54" s="1650" t="s">
        <v>2051</v>
      </c>
      <c r="B54" s="1649" t="s">
        <v>3639</v>
      </c>
      <c r="C54" s="1650" t="s">
        <v>115</v>
      </c>
      <c r="D54" s="1654" t="s">
        <v>115</v>
      </c>
      <c r="E54" s="1650" t="s">
        <v>115</v>
      </c>
      <c r="F54" s="1654">
        <v>3.7000000000000002E-6</v>
      </c>
      <c r="G54" s="1650" t="s">
        <v>1234</v>
      </c>
      <c r="H54" s="1654" t="s">
        <v>115</v>
      </c>
      <c r="I54" s="1650" t="s">
        <v>115</v>
      </c>
      <c r="J54" s="1654">
        <v>100</v>
      </c>
      <c r="K54" s="1655" t="s">
        <v>1280</v>
      </c>
      <c r="L54" t="str">
        <f t="shared" si="0"/>
        <v/>
      </c>
      <c r="M54" t="str">
        <f t="shared" si="1"/>
        <v/>
      </c>
      <c r="N54" t="str">
        <f t="shared" si="2"/>
        <v>--</v>
      </c>
    </row>
    <row r="55" spans="1:14">
      <c r="A55" s="1650" t="s">
        <v>2128</v>
      </c>
      <c r="B55" s="1649" t="s">
        <v>3640</v>
      </c>
      <c r="C55" s="1650" t="s">
        <v>115</v>
      </c>
      <c r="D55" s="1654" t="s">
        <v>115</v>
      </c>
      <c r="E55" s="1650" t="s">
        <v>115</v>
      </c>
      <c r="F55" s="1654" t="s">
        <v>115</v>
      </c>
      <c r="G55" s="1650" t="s">
        <v>115</v>
      </c>
      <c r="H55" s="1654" t="s">
        <v>115</v>
      </c>
      <c r="I55" s="1650" t="s">
        <v>115</v>
      </c>
      <c r="J55" s="1654">
        <v>50000</v>
      </c>
      <c r="K55" s="1655" t="s">
        <v>1277</v>
      </c>
      <c r="L55" t="str">
        <f t="shared" si="0"/>
        <v/>
      </c>
      <c r="M55" t="str">
        <f t="shared" si="1"/>
        <v/>
      </c>
      <c r="N55" t="str">
        <f t="shared" si="2"/>
        <v>--</v>
      </c>
    </row>
    <row r="56" spans="1:14">
      <c r="A56" s="1650" t="s">
        <v>2151</v>
      </c>
      <c r="B56" s="1649" t="s">
        <v>3641</v>
      </c>
      <c r="C56" s="1650" t="s">
        <v>115</v>
      </c>
      <c r="D56" s="1654" t="s">
        <v>115</v>
      </c>
      <c r="E56" s="1650" t="s">
        <v>115</v>
      </c>
      <c r="F56" s="1654" t="s">
        <v>115</v>
      </c>
      <c r="G56" s="1650" t="s">
        <v>115</v>
      </c>
      <c r="H56" s="1654">
        <v>0.04</v>
      </c>
      <c r="I56" s="1650" t="s">
        <v>1247</v>
      </c>
      <c r="J56" s="1654">
        <v>160</v>
      </c>
      <c r="K56" s="1655" t="s">
        <v>3605</v>
      </c>
      <c r="L56" t="str">
        <f t="shared" si="0"/>
        <v/>
      </c>
      <c r="M56" t="str">
        <f t="shared" si="1"/>
        <v>Route RfC</v>
      </c>
      <c r="N56" t="str">
        <f t="shared" si="2"/>
        <v>Route RfC</v>
      </c>
    </row>
    <row r="57" spans="1:14">
      <c r="A57" s="1650" t="s">
        <v>3257</v>
      </c>
      <c r="B57" s="1649" t="s">
        <v>3642</v>
      </c>
      <c r="C57" s="1650" t="s">
        <v>115</v>
      </c>
      <c r="D57" s="1654" t="s">
        <v>115</v>
      </c>
      <c r="E57" s="1650" t="s">
        <v>115</v>
      </c>
      <c r="F57" s="1654" t="s">
        <v>115</v>
      </c>
      <c r="G57" s="1650" t="s">
        <v>115</v>
      </c>
      <c r="H57" s="1654">
        <v>0.7</v>
      </c>
      <c r="I57" s="1650" t="s">
        <v>3616</v>
      </c>
      <c r="J57" s="1654">
        <v>2000</v>
      </c>
      <c r="K57" s="1655" t="s">
        <v>1277</v>
      </c>
      <c r="L57" t="str">
        <f t="shared" si="0"/>
        <v/>
      </c>
      <c r="M57" t="str">
        <f t="shared" si="1"/>
        <v/>
      </c>
      <c r="N57" t="str">
        <f t="shared" si="2"/>
        <v>--</v>
      </c>
    </row>
    <row r="58" spans="1:14">
      <c r="A58" s="1650" t="s">
        <v>3214</v>
      </c>
      <c r="B58" s="1649" t="s">
        <v>3643</v>
      </c>
      <c r="C58" s="1650" t="s">
        <v>115</v>
      </c>
      <c r="D58" s="1654">
        <v>5.0999999999999997E-2</v>
      </c>
      <c r="E58" s="1650" t="s">
        <v>3603</v>
      </c>
      <c r="F58" s="1654">
        <v>7.3000000000000004E-6</v>
      </c>
      <c r="G58" s="1650" t="s">
        <v>3605</v>
      </c>
      <c r="H58" s="1654">
        <v>7.0000000000000007E-2</v>
      </c>
      <c r="I58" s="1650" t="s">
        <v>1280</v>
      </c>
      <c r="J58" s="1654">
        <v>3.0000000000000001E-3</v>
      </c>
      <c r="K58" s="1655" t="s">
        <v>1247</v>
      </c>
      <c r="L58" t="str">
        <f t="shared" si="0"/>
        <v>Route IUR</v>
      </c>
      <c r="M58" t="str">
        <f t="shared" si="1"/>
        <v/>
      </c>
      <c r="N58" t="str">
        <f t="shared" si="2"/>
        <v>Route IUR</v>
      </c>
    </row>
    <row r="59" spans="1:14">
      <c r="A59" s="1650" t="s">
        <v>2448</v>
      </c>
      <c r="B59" s="1649" t="s">
        <v>3644</v>
      </c>
      <c r="C59" s="1650" t="s">
        <v>115</v>
      </c>
      <c r="D59" s="1654" t="s">
        <v>115</v>
      </c>
      <c r="E59" s="1650" t="s">
        <v>115</v>
      </c>
      <c r="F59" s="1654" t="s">
        <v>115</v>
      </c>
      <c r="G59" s="1650" t="s">
        <v>115</v>
      </c>
      <c r="H59" s="1654">
        <v>0.04</v>
      </c>
      <c r="I59" s="1650" t="s">
        <v>1247</v>
      </c>
      <c r="J59" s="1654" t="s">
        <v>115</v>
      </c>
      <c r="K59" s="1655" t="s">
        <v>115</v>
      </c>
      <c r="L59" t="str">
        <f t="shared" si="0"/>
        <v/>
      </c>
      <c r="M59" t="str">
        <f t="shared" si="1"/>
        <v/>
      </c>
      <c r="N59" t="str">
        <f t="shared" si="2"/>
        <v>--</v>
      </c>
    </row>
    <row r="60" spans="1:14">
      <c r="A60" s="1650" t="s">
        <v>2256</v>
      </c>
      <c r="B60" s="1649" t="s">
        <v>3645</v>
      </c>
      <c r="C60" s="1650" t="s">
        <v>115</v>
      </c>
      <c r="D60" s="1654">
        <v>6.9999999999999999E-4</v>
      </c>
      <c r="E60" s="1650" t="s">
        <v>1277</v>
      </c>
      <c r="F60" s="1654" t="s">
        <v>115</v>
      </c>
      <c r="G60" s="1650" t="s">
        <v>115</v>
      </c>
      <c r="H60" s="1654">
        <v>7.0000000000000001E-3</v>
      </c>
      <c r="I60" s="1650" t="s">
        <v>1277</v>
      </c>
      <c r="J60" s="1654" t="s">
        <v>115</v>
      </c>
      <c r="K60" s="1655" t="s">
        <v>115</v>
      </c>
      <c r="L60" t="str">
        <f t="shared" si="0"/>
        <v/>
      </c>
      <c r="M60" t="str">
        <f t="shared" si="1"/>
        <v/>
      </c>
      <c r="N60" t="str">
        <f t="shared" si="2"/>
        <v>--</v>
      </c>
    </row>
    <row r="61" spans="1:14">
      <c r="A61" s="1650" t="s">
        <v>2560</v>
      </c>
      <c r="B61" s="1649" t="s">
        <v>3646</v>
      </c>
      <c r="C61" s="1650" t="s">
        <v>115</v>
      </c>
      <c r="D61" s="1654" t="s">
        <v>115</v>
      </c>
      <c r="E61" s="1650" t="s">
        <v>115</v>
      </c>
      <c r="F61" s="1654" t="s">
        <v>115</v>
      </c>
      <c r="G61" s="1650" t="s">
        <v>115</v>
      </c>
      <c r="H61" s="1654">
        <v>2.0000000000000001E-4</v>
      </c>
      <c r="I61" s="1650" t="s">
        <v>1277</v>
      </c>
      <c r="J61" s="1654" t="s">
        <v>115</v>
      </c>
      <c r="K61" s="1655" t="s">
        <v>115</v>
      </c>
      <c r="L61" t="str">
        <f t="shared" si="0"/>
        <v/>
      </c>
      <c r="M61" t="str">
        <f t="shared" si="1"/>
        <v/>
      </c>
      <c r="N61" t="str">
        <f t="shared" si="2"/>
        <v>--</v>
      </c>
    </row>
    <row r="62" spans="1:14">
      <c r="A62" s="1650" t="s">
        <v>2920</v>
      </c>
      <c r="B62" s="1649" t="s">
        <v>3647</v>
      </c>
      <c r="C62" s="1650" t="s">
        <v>115</v>
      </c>
      <c r="D62" s="1654" t="s">
        <v>115</v>
      </c>
      <c r="E62" s="1650" t="s">
        <v>115</v>
      </c>
      <c r="F62" s="1654" t="s">
        <v>115</v>
      </c>
      <c r="G62" s="1650" t="s">
        <v>115</v>
      </c>
      <c r="H62" s="1654">
        <v>1E-4</v>
      </c>
      <c r="I62" s="1650" t="s">
        <v>1277</v>
      </c>
      <c r="J62" s="1654" t="s">
        <v>115</v>
      </c>
      <c r="K62" s="1655" t="s">
        <v>115</v>
      </c>
      <c r="L62" t="str">
        <f t="shared" si="0"/>
        <v/>
      </c>
      <c r="M62" t="str">
        <f t="shared" si="1"/>
        <v/>
      </c>
      <c r="N62" t="str">
        <f t="shared" si="2"/>
        <v>--</v>
      </c>
    </row>
    <row r="63" spans="1:14">
      <c r="A63" s="1650" t="s">
        <v>3339</v>
      </c>
      <c r="B63" s="1649" t="s">
        <v>3648</v>
      </c>
      <c r="C63" s="1650" t="s">
        <v>115</v>
      </c>
      <c r="D63" s="1654" t="s">
        <v>115</v>
      </c>
      <c r="E63" s="1650" t="s">
        <v>115</v>
      </c>
      <c r="F63" s="1654" t="s">
        <v>115</v>
      </c>
      <c r="G63" s="1650" t="s">
        <v>115</v>
      </c>
      <c r="H63" s="1654">
        <v>1E-4</v>
      </c>
      <c r="I63" s="1650" t="s">
        <v>1277</v>
      </c>
      <c r="J63" s="1654" t="s">
        <v>115</v>
      </c>
      <c r="K63" s="1655" t="s">
        <v>115</v>
      </c>
      <c r="L63" t="str">
        <f t="shared" si="0"/>
        <v/>
      </c>
      <c r="M63" t="str">
        <f t="shared" si="1"/>
        <v/>
      </c>
      <c r="N63" t="str">
        <f t="shared" si="2"/>
        <v>--</v>
      </c>
    </row>
    <row r="64" spans="1:14">
      <c r="A64" s="1650" t="s">
        <v>2339</v>
      </c>
      <c r="B64" s="1649" t="s">
        <v>3649</v>
      </c>
      <c r="C64" s="1650" t="s">
        <v>115</v>
      </c>
      <c r="D64" s="1654" t="s">
        <v>115</v>
      </c>
      <c r="E64" s="1650" t="s">
        <v>115</v>
      </c>
      <c r="F64" s="1654" t="s">
        <v>115</v>
      </c>
      <c r="G64" s="1650" t="s">
        <v>115</v>
      </c>
      <c r="H64" s="1654" t="s">
        <v>115</v>
      </c>
      <c r="I64" s="1650" t="s">
        <v>115</v>
      </c>
      <c r="J64" s="1654">
        <v>30000</v>
      </c>
      <c r="K64" s="1655" t="s">
        <v>3603</v>
      </c>
      <c r="L64" t="str">
        <f t="shared" si="0"/>
        <v/>
      </c>
      <c r="M64" t="str">
        <f t="shared" si="1"/>
        <v/>
      </c>
      <c r="N64" t="str">
        <f t="shared" si="2"/>
        <v>--</v>
      </c>
    </row>
    <row r="65" spans="1:14">
      <c r="A65" s="1650" t="s">
        <v>3346</v>
      </c>
      <c r="B65" s="1649" t="s">
        <v>3650</v>
      </c>
      <c r="C65" s="1650" t="s">
        <v>115</v>
      </c>
      <c r="D65" s="1654" t="s">
        <v>115</v>
      </c>
      <c r="E65" s="1650" t="s">
        <v>115</v>
      </c>
      <c r="F65" s="1654" t="s">
        <v>115</v>
      </c>
      <c r="G65" s="1650" t="s">
        <v>115</v>
      </c>
      <c r="H65" s="1654">
        <v>0.03</v>
      </c>
      <c r="I65" s="1650" t="s">
        <v>1277</v>
      </c>
      <c r="J65" s="1654" t="s">
        <v>115</v>
      </c>
      <c r="K65" s="1655" t="s">
        <v>115</v>
      </c>
      <c r="L65" t="str">
        <f t="shared" si="0"/>
        <v/>
      </c>
      <c r="M65" t="str">
        <f t="shared" si="1"/>
        <v/>
      </c>
      <c r="N65" t="str">
        <f t="shared" si="2"/>
        <v>--</v>
      </c>
    </row>
    <row r="66" spans="1:14">
      <c r="A66" s="1650" t="s">
        <v>192</v>
      </c>
      <c r="B66" s="1649" t="s">
        <v>3651</v>
      </c>
      <c r="C66" s="1650" t="s">
        <v>115</v>
      </c>
      <c r="D66" s="1654">
        <v>130000</v>
      </c>
      <c r="E66" s="1650" t="s">
        <v>1234</v>
      </c>
      <c r="F66" s="1654">
        <v>38</v>
      </c>
      <c r="G66" s="1650" t="s">
        <v>1234</v>
      </c>
      <c r="H66" s="1654">
        <v>6.9999999999999996E-10</v>
      </c>
      <c r="I66" s="1650" t="s">
        <v>1277</v>
      </c>
      <c r="J66" s="1654">
        <v>4.0000000000000003E-5</v>
      </c>
      <c r="K66" s="1655" t="s">
        <v>1234</v>
      </c>
      <c r="L66" t="str">
        <f t="shared" si="0"/>
        <v/>
      </c>
      <c r="M66" t="str">
        <f t="shared" si="1"/>
        <v/>
      </c>
      <c r="N66" t="str">
        <f t="shared" si="2"/>
        <v>--</v>
      </c>
    </row>
    <row r="67" spans="1:14">
      <c r="A67" s="1650" t="s">
        <v>2312</v>
      </c>
      <c r="B67" s="1649" t="s">
        <v>3652</v>
      </c>
      <c r="C67" s="1650" t="s">
        <v>115</v>
      </c>
      <c r="D67" s="1654" t="s">
        <v>115</v>
      </c>
      <c r="E67" s="1650" t="s">
        <v>115</v>
      </c>
      <c r="F67" s="1654" t="s">
        <v>115</v>
      </c>
      <c r="G67" s="1650" t="s">
        <v>115</v>
      </c>
      <c r="H67" s="1654">
        <v>3.0000000000000001E-3</v>
      </c>
      <c r="I67" s="1650" t="s">
        <v>1277</v>
      </c>
      <c r="J67" s="1654" t="s">
        <v>115</v>
      </c>
      <c r="K67" s="1655" t="s">
        <v>115</v>
      </c>
      <c r="L67" t="str">
        <f t="shared" si="0"/>
        <v/>
      </c>
      <c r="M67" t="str">
        <f t="shared" si="1"/>
        <v/>
      </c>
      <c r="N67" t="str">
        <f t="shared" si="2"/>
        <v>--</v>
      </c>
    </row>
    <row r="68" spans="1:14">
      <c r="A68" s="1650" t="s">
        <v>3499</v>
      </c>
      <c r="B68" s="1649" t="s">
        <v>3653</v>
      </c>
      <c r="C68" s="1650" t="s">
        <v>115</v>
      </c>
      <c r="D68" s="1654" t="s">
        <v>115</v>
      </c>
      <c r="E68" s="1650" t="s">
        <v>115</v>
      </c>
      <c r="F68" s="1654" t="s">
        <v>115</v>
      </c>
      <c r="G68" s="1650" t="s">
        <v>115</v>
      </c>
      <c r="H68" s="1654">
        <v>0.01</v>
      </c>
      <c r="I68" s="1650" t="s">
        <v>3603</v>
      </c>
      <c r="J68" s="1654">
        <v>40</v>
      </c>
      <c r="K68" s="1655" t="s">
        <v>3609</v>
      </c>
      <c r="L68" t="str">
        <f t="shared" si="0"/>
        <v/>
      </c>
      <c r="M68" t="str">
        <f t="shared" si="1"/>
        <v>Route RfC</v>
      </c>
      <c r="N68" t="str">
        <f t="shared" si="2"/>
        <v>Route RfC</v>
      </c>
    </row>
    <row r="69" spans="1:14">
      <c r="A69" s="1650" t="s">
        <v>334</v>
      </c>
      <c r="B69" s="1649" t="s">
        <v>333</v>
      </c>
      <c r="C69" s="1650" t="s">
        <v>115</v>
      </c>
      <c r="D69" s="1654" t="s">
        <v>115</v>
      </c>
      <c r="E69" s="1650" t="s">
        <v>115</v>
      </c>
      <c r="F69" s="1654" t="s">
        <v>115</v>
      </c>
      <c r="G69" s="1650" t="s">
        <v>115</v>
      </c>
      <c r="H69" s="1654">
        <v>0.1</v>
      </c>
      <c r="I69" s="1650" t="s">
        <v>1277</v>
      </c>
      <c r="J69" s="1654" t="s">
        <v>115</v>
      </c>
      <c r="K69" s="1655" t="s">
        <v>115</v>
      </c>
      <c r="L69" t="str">
        <f t="shared" si="0"/>
        <v/>
      </c>
      <c r="M69" t="str">
        <f t="shared" si="1"/>
        <v/>
      </c>
      <c r="N69" t="str">
        <f t="shared" si="2"/>
        <v>--</v>
      </c>
    </row>
    <row r="70" spans="1:14">
      <c r="A70" s="1650" t="s">
        <v>3470</v>
      </c>
      <c r="B70" s="1649" t="s">
        <v>3654</v>
      </c>
      <c r="C70" s="1650" t="s">
        <v>115</v>
      </c>
      <c r="D70" s="1654" t="s">
        <v>115</v>
      </c>
      <c r="E70" s="1650" t="s">
        <v>115</v>
      </c>
      <c r="F70" s="1654" t="s">
        <v>115</v>
      </c>
      <c r="G70" s="1650" t="s">
        <v>115</v>
      </c>
      <c r="H70" s="1654">
        <v>0.01</v>
      </c>
      <c r="I70" s="1650" t="s">
        <v>1277</v>
      </c>
      <c r="J70" s="1654" t="s">
        <v>115</v>
      </c>
      <c r="K70" s="1655" t="s">
        <v>115</v>
      </c>
      <c r="L70" t="str">
        <f t="shared" ref="L70:L133" si="3">IF(COUNTIF(G70,"*Route*"),"Route IUR","")</f>
        <v/>
      </c>
      <c r="M70" t="str">
        <f t="shared" ref="M70:M133" si="4">IF(COUNTIF(K70,"*Route*"),"Route RfC","")</f>
        <v/>
      </c>
      <c r="N70" t="str">
        <f t="shared" ref="N70:N133" si="5">IF(AND(L70&lt;&gt;"",M70&lt;&gt;""),"Route IUR &amp; RfC",IF(L70&lt;&gt;"","Route IUR",IF(M70&lt;&gt;"","Route RfC","--")))</f>
        <v>--</v>
      </c>
    </row>
    <row r="71" spans="1:14">
      <c r="A71" s="1650" t="s">
        <v>3440</v>
      </c>
      <c r="B71" s="1649" t="s">
        <v>3655</v>
      </c>
      <c r="C71" s="1650" t="s">
        <v>115</v>
      </c>
      <c r="D71" s="1654" t="s">
        <v>115</v>
      </c>
      <c r="E71" s="1650" t="s">
        <v>115</v>
      </c>
      <c r="F71" s="1654" t="s">
        <v>115</v>
      </c>
      <c r="G71" s="1650" t="s">
        <v>115</v>
      </c>
      <c r="H71" s="1654">
        <v>8.9999999999999993E-3</v>
      </c>
      <c r="I71" s="1650" t="s">
        <v>3603</v>
      </c>
      <c r="J71" s="1654" t="s">
        <v>115</v>
      </c>
      <c r="K71" s="1655" t="s">
        <v>115</v>
      </c>
      <c r="L71" t="str">
        <f t="shared" si="3"/>
        <v/>
      </c>
      <c r="M71" t="str">
        <f t="shared" si="4"/>
        <v/>
      </c>
      <c r="N71" t="str">
        <f t="shared" si="5"/>
        <v>--</v>
      </c>
    </row>
    <row r="72" spans="1:14">
      <c r="A72" s="1650" t="s">
        <v>3458</v>
      </c>
      <c r="B72" s="1649" t="s">
        <v>3656</v>
      </c>
      <c r="C72" s="1650" t="s">
        <v>115</v>
      </c>
      <c r="D72" s="1654">
        <v>7.0000000000000001E-3</v>
      </c>
      <c r="E72" s="1650" t="s">
        <v>3603</v>
      </c>
      <c r="F72" s="1654" t="s">
        <v>115</v>
      </c>
      <c r="G72" s="1650" t="s">
        <v>115</v>
      </c>
      <c r="H72" s="1654">
        <v>3.0000000000000001E-5</v>
      </c>
      <c r="I72" s="1650" t="s">
        <v>3603</v>
      </c>
      <c r="J72" s="1654" t="s">
        <v>115</v>
      </c>
      <c r="K72" s="1655" t="s">
        <v>115</v>
      </c>
      <c r="L72" t="str">
        <f t="shared" si="3"/>
        <v/>
      </c>
      <c r="M72" t="str">
        <f t="shared" si="4"/>
        <v/>
      </c>
      <c r="N72" t="str">
        <f t="shared" si="5"/>
        <v>--</v>
      </c>
    </row>
    <row r="73" spans="1:14">
      <c r="A73" s="1650" t="s">
        <v>3456</v>
      </c>
      <c r="B73" s="1649" t="s">
        <v>3657</v>
      </c>
      <c r="C73" s="1650" t="s">
        <v>115</v>
      </c>
      <c r="D73" s="1654">
        <v>2.9000000000000001E-2</v>
      </c>
      <c r="E73" s="1650" t="s">
        <v>3616</v>
      </c>
      <c r="F73" s="1654" t="s">
        <v>115</v>
      </c>
      <c r="G73" s="1650" t="s">
        <v>115</v>
      </c>
      <c r="H73" s="1654" t="s">
        <v>115</v>
      </c>
      <c r="I73" s="1650" t="s">
        <v>115</v>
      </c>
      <c r="J73" s="1654" t="s">
        <v>115</v>
      </c>
      <c r="K73" s="1655" t="s">
        <v>115</v>
      </c>
      <c r="L73" t="str">
        <f t="shared" si="3"/>
        <v/>
      </c>
      <c r="M73" t="str">
        <f t="shared" si="4"/>
        <v/>
      </c>
      <c r="N73" t="str">
        <f t="shared" si="5"/>
        <v>--</v>
      </c>
    </row>
    <row r="74" spans="1:14">
      <c r="A74" s="1650" t="s">
        <v>336</v>
      </c>
      <c r="B74" s="1649" t="s">
        <v>335</v>
      </c>
      <c r="C74" s="1650" t="s">
        <v>115</v>
      </c>
      <c r="D74" s="1654">
        <v>7.0000000000000007E-2</v>
      </c>
      <c r="E74" s="1650" t="s">
        <v>3600</v>
      </c>
      <c r="F74" s="1654">
        <v>2.0000000000000002E-5</v>
      </c>
      <c r="G74" s="1650" t="s">
        <v>3600</v>
      </c>
      <c r="H74" s="1654">
        <v>1E-3</v>
      </c>
      <c r="I74" s="1650" t="s">
        <v>1247</v>
      </c>
      <c r="J74" s="1654" t="s">
        <v>115</v>
      </c>
      <c r="K74" s="1655" t="s">
        <v>115</v>
      </c>
      <c r="L74" t="str">
        <f t="shared" si="3"/>
        <v/>
      </c>
      <c r="M74" t="str">
        <f t="shared" si="4"/>
        <v/>
      </c>
      <c r="N74" t="str">
        <f t="shared" si="5"/>
        <v>--</v>
      </c>
    </row>
    <row r="75" spans="1:14">
      <c r="A75" s="1650" t="s">
        <v>3503</v>
      </c>
      <c r="B75" s="1649" t="s">
        <v>3658</v>
      </c>
      <c r="C75" s="1650" t="s">
        <v>115</v>
      </c>
      <c r="D75" s="1654">
        <v>0.03</v>
      </c>
      <c r="E75" s="1650" t="s">
        <v>1277</v>
      </c>
      <c r="F75" s="1654" t="s">
        <v>115</v>
      </c>
      <c r="G75" s="1650" t="s">
        <v>115</v>
      </c>
      <c r="H75" s="1654">
        <v>5.0000000000000001E-4</v>
      </c>
      <c r="I75" s="1650" t="s">
        <v>1277</v>
      </c>
      <c r="J75" s="1654" t="s">
        <v>115</v>
      </c>
      <c r="K75" s="1655" t="s">
        <v>115</v>
      </c>
      <c r="L75" t="str">
        <f t="shared" si="3"/>
        <v/>
      </c>
      <c r="M75" t="str">
        <f t="shared" si="4"/>
        <v/>
      </c>
      <c r="N75" t="str">
        <f t="shared" si="5"/>
        <v>--</v>
      </c>
    </row>
    <row r="76" spans="1:14">
      <c r="A76" s="1650" t="s">
        <v>2394</v>
      </c>
      <c r="B76" s="1649" t="s">
        <v>3659</v>
      </c>
      <c r="C76" s="1650" t="s">
        <v>115</v>
      </c>
      <c r="D76" s="1654">
        <v>0.68</v>
      </c>
      <c r="E76" s="1650" t="s">
        <v>1277</v>
      </c>
      <c r="F76" s="1654" t="s">
        <v>115</v>
      </c>
      <c r="G76" s="1650" t="s">
        <v>115</v>
      </c>
      <c r="H76" s="1654">
        <v>8.9999999999999998E-4</v>
      </c>
      <c r="I76" s="1650" t="s">
        <v>3603</v>
      </c>
      <c r="J76" s="1654" t="s">
        <v>115</v>
      </c>
      <c r="K76" s="1655" t="s">
        <v>115</v>
      </c>
      <c r="L76" t="str">
        <f t="shared" si="3"/>
        <v/>
      </c>
      <c r="M76" t="str">
        <f t="shared" si="4"/>
        <v/>
      </c>
      <c r="N76" t="str">
        <f t="shared" si="5"/>
        <v>--</v>
      </c>
    </row>
    <row r="77" spans="1:14">
      <c r="A77" s="1650" t="s">
        <v>174</v>
      </c>
      <c r="B77" s="1649" t="s">
        <v>173</v>
      </c>
      <c r="C77" s="1650" t="s">
        <v>115</v>
      </c>
      <c r="D77" s="1654" t="s">
        <v>115</v>
      </c>
      <c r="E77" s="1650" t="s">
        <v>115</v>
      </c>
      <c r="F77" s="1654" t="s">
        <v>115</v>
      </c>
      <c r="G77" s="1650" t="s">
        <v>115</v>
      </c>
      <c r="H77" s="1654">
        <v>3.0000000000000001E-3</v>
      </c>
      <c r="I77" s="1650" t="s">
        <v>1277</v>
      </c>
      <c r="J77" s="1654" t="s">
        <v>115</v>
      </c>
      <c r="K77" s="1655" t="s">
        <v>115</v>
      </c>
      <c r="L77" t="str">
        <f t="shared" si="3"/>
        <v/>
      </c>
      <c r="M77" t="str">
        <f t="shared" si="4"/>
        <v/>
      </c>
      <c r="N77" t="str">
        <f t="shared" si="5"/>
        <v>--</v>
      </c>
    </row>
    <row r="78" spans="1:14">
      <c r="A78" s="1650" t="s">
        <v>2307</v>
      </c>
      <c r="B78" s="1649" t="s">
        <v>3660</v>
      </c>
      <c r="C78" s="1650" t="s">
        <v>115</v>
      </c>
      <c r="D78" s="1654" t="s">
        <v>115</v>
      </c>
      <c r="E78" s="1650" t="s">
        <v>115</v>
      </c>
      <c r="F78" s="1654" t="s">
        <v>115</v>
      </c>
      <c r="G78" s="1650" t="s">
        <v>115</v>
      </c>
      <c r="H78" s="1654">
        <v>0.01</v>
      </c>
      <c r="I78" s="1650" t="s">
        <v>1277</v>
      </c>
      <c r="J78" s="1654" t="s">
        <v>115</v>
      </c>
      <c r="K78" s="1655" t="s">
        <v>115</v>
      </c>
      <c r="L78" t="str">
        <f t="shared" si="3"/>
        <v/>
      </c>
      <c r="M78" t="str">
        <f t="shared" si="4"/>
        <v/>
      </c>
      <c r="N78" t="str">
        <f t="shared" si="5"/>
        <v>--</v>
      </c>
    </row>
    <row r="79" spans="1:14">
      <c r="A79" s="1650" t="s">
        <v>3661</v>
      </c>
      <c r="B79" s="1649" t="s">
        <v>3662</v>
      </c>
      <c r="C79" s="1650" t="s">
        <v>115</v>
      </c>
      <c r="D79" s="1654" t="s">
        <v>115</v>
      </c>
      <c r="E79" s="1650" t="s">
        <v>115</v>
      </c>
      <c r="F79" s="1654" t="s">
        <v>115</v>
      </c>
      <c r="G79" s="1650" t="s">
        <v>115</v>
      </c>
      <c r="H79" s="1654">
        <v>0.03</v>
      </c>
      <c r="I79" s="1650" t="s">
        <v>3663</v>
      </c>
      <c r="J79" s="1654" t="s">
        <v>115</v>
      </c>
      <c r="K79" s="1655" t="s">
        <v>115</v>
      </c>
      <c r="L79" t="str">
        <f t="shared" si="3"/>
        <v/>
      </c>
      <c r="M79" t="str">
        <f t="shared" si="4"/>
        <v/>
      </c>
      <c r="N79" t="str">
        <f t="shared" si="5"/>
        <v>--</v>
      </c>
    </row>
    <row r="80" spans="1:14">
      <c r="A80" s="1650" t="s">
        <v>2362</v>
      </c>
      <c r="B80" s="1649" t="s">
        <v>3664</v>
      </c>
      <c r="C80" s="1650" t="s">
        <v>115</v>
      </c>
      <c r="D80" s="1654">
        <v>0.2</v>
      </c>
      <c r="E80" s="1650" t="s">
        <v>1247</v>
      </c>
      <c r="F80" s="1654" t="s">
        <v>115</v>
      </c>
      <c r="G80" s="1650" t="s">
        <v>115</v>
      </c>
      <c r="H80" s="1654">
        <v>2E-3</v>
      </c>
      <c r="I80" s="1650" t="s">
        <v>3603</v>
      </c>
      <c r="J80" s="1654" t="s">
        <v>115</v>
      </c>
      <c r="K80" s="1655" t="s">
        <v>115</v>
      </c>
      <c r="L80" t="str">
        <f t="shared" si="3"/>
        <v/>
      </c>
      <c r="M80" t="str">
        <f t="shared" si="4"/>
        <v/>
      </c>
      <c r="N80" t="str">
        <f t="shared" si="5"/>
        <v>--</v>
      </c>
    </row>
    <row r="81" spans="1:14">
      <c r="A81" s="1650" t="s">
        <v>2360</v>
      </c>
      <c r="B81" s="1649" t="s">
        <v>3665</v>
      </c>
      <c r="C81" s="1650" t="s">
        <v>115</v>
      </c>
      <c r="D81" s="1654">
        <v>0.57999999999999996</v>
      </c>
      <c r="E81" s="1650" t="s">
        <v>3616</v>
      </c>
      <c r="F81" s="1654" t="s">
        <v>115</v>
      </c>
      <c r="G81" s="1650" t="s">
        <v>115</v>
      </c>
      <c r="H81" s="1654" t="s">
        <v>115</v>
      </c>
      <c r="I81" s="1650" t="s">
        <v>115</v>
      </c>
      <c r="J81" s="1654" t="s">
        <v>115</v>
      </c>
      <c r="K81" s="1655" t="s">
        <v>115</v>
      </c>
      <c r="L81" t="str">
        <f t="shared" si="3"/>
        <v/>
      </c>
      <c r="M81" t="str">
        <f t="shared" si="4"/>
        <v/>
      </c>
      <c r="N81" t="str">
        <f t="shared" si="5"/>
        <v>--</v>
      </c>
    </row>
    <row r="82" spans="1:14">
      <c r="A82" s="1650" t="s">
        <v>184</v>
      </c>
      <c r="B82" s="1649" t="s">
        <v>183</v>
      </c>
      <c r="C82" s="1650" t="s">
        <v>115</v>
      </c>
      <c r="D82" s="1654" t="s">
        <v>115</v>
      </c>
      <c r="E82" s="1650" t="s">
        <v>115</v>
      </c>
      <c r="F82" s="1654" t="s">
        <v>115</v>
      </c>
      <c r="G82" s="1650" t="s">
        <v>115</v>
      </c>
      <c r="H82" s="1654">
        <v>0.02</v>
      </c>
      <c r="I82" s="1650" t="s">
        <v>1277</v>
      </c>
      <c r="J82" s="1654" t="s">
        <v>115</v>
      </c>
      <c r="K82" s="1655" t="s">
        <v>115</v>
      </c>
      <c r="L82" t="str">
        <f t="shared" si="3"/>
        <v/>
      </c>
      <c r="M82" t="str">
        <f t="shared" si="4"/>
        <v/>
      </c>
      <c r="N82" t="str">
        <f t="shared" si="5"/>
        <v>--</v>
      </c>
    </row>
    <row r="83" spans="1:14">
      <c r="A83" s="1650" t="s">
        <v>186</v>
      </c>
      <c r="B83" s="1649" t="s">
        <v>185</v>
      </c>
      <c r="C83" s="1650" t="s">
        <v>115</v>
      </c>
      <c r="D83" s="1654" t="s">
        <v>115</v>
      </c>
      <c r="E83" s="1650" t="s">
        <v>115</v>
      </c>
      <c r="F83" s="1654" t="s">
        <v>115</v>
      </c>
      <c r="G83" s="1650" t="s">
        <v>115</v>
      </c>
      <c r="H83" s="1654">
        <v>2E-3</v>
      </c>
      <c r="I83" s="1650" t="s">
        <v>1277</v>
      </c>
      <c r="J83" s="1654" t="s">
        <v>115</v>
      </c>
      <c r="K83" s="1655" t="s">
        <v>115</v>
      </c>
      <c r="L83" t="str">
        <f t="shared" si="3"/>
        <v/>
      </c>
      <c r="M83" t="str">
        <f t="shared" si="4"/>
        <v/>
      </c>
      <c r="N83" t="str">
        <f t="shared" si="5"/>
        <v>--</v>
      </c>
    </row>
    <row r="84" spans="1:14">
      <c r="A84" s="1650" t="s">
        <v>188</v>
      </c>
      <c r="B84" s="1649" t="s">
        <v>187</v>
      </c>
      <c r="C84" s="1650" t="s">
        <v>115</v>
      </c>
      <c r="D84" s="1654">
        <v>0.31</v>
      </c>
      <c r="E84" s="1650" t="s">
        <v>1234</v>
      </c>
      <c r="F84" s="1654">
        <v>8.8999999999999995E-5</v>
      </c>
      <c r="G84" s="1650" t="s">
        <v>1234</v>
      </c>
      <c r="H84" s="1654">
        <v>2E-3</v>
      </c>
      <c r="I84" s="1650" t="s">
        <v>1277</v>
      </c>
      <c r="J84" s="1654" t="s">
        <v>115</v>
      </c>
      <c r="K84" s="1655" t="s">
        <v>115</v>
      </c>
      <c r="L84" t="str">
        <f t="shared" si="3"/>
        <v/>
      </c>
      <c r="M84" t="str">
        <f t="shared" si="4"/>
        <v/>
      </c>
      <c r="N84" t="str">
        <f t="shared" si="5"/>
        <v>--</v>
      </c>
    </row>
    <row r="85" spans="1:14">
      <c r="A85" s="1650" t="s">
        <v>2375</v>
      </c>
      <c r="B85" s="1649" t="s">
        <v>3666</v>
      </c>
      <c r="C85" s="1650" t="s">
        <v>115</v>
      </c>
      <c r="D85" s="1654" t="s">
        <v>115</v>
      </c>
      <c r="E85" s="1650" t="s">
        <v>115</v>
      </c>
      <c r="F85" s="1654" t="s">
        <v>115</v>
      </c>
      <c r="G85" s="1650" t="s">
        <v>115</v>
      </c>
      <c r="H85" s="1654">
        <v>5.9999999999999995E-4</v>
      </c>
      <c r="I85" s="1650" t="s">
        <v>1277</v>
      </c>
      <c r="J85" s="1654" t="s">
        <v>115</v>
      </c>
      <c r="K85" s="1655" t="s">
        <v>115</v>
      </c>
      <c r="L85" t="str">
        <f t="shared" si="3"/>
        <v/>
      </c>
      <c r="M85" t="str">
        <f t="shared" si="4"/>
        <v/>
      </c>
      <c r="N85" t="str">
        <f t="shared" si="5"/>
        <v>--</v>
      </c>
    </row>
    <row r="86" spans="1:14">
      <c r="A86" s="1650" t="s">
        <v>2397</v>
      </c>
      <c r="B86" s="1649" t="s">
        <v>3667</v>
      </c>
      <c r="C86" s="1650" t="s">
        <v>115</v>
      </c>
      <c r="D86" s="1654">
        <v>1.5</v>
      </c>
      <c r="E86" s="1650" t="s">
        <v>1247</v>
      </c>
      <c r="F86" s="1654" t="s">
        <v>115</v>
      </c>
      <c r="G86" s="1650" t="s">
        <v>115</v>
      </c>
      <c r="H86" s="1654">
        <v>2.9999999999999997E-4</v>
      </c>
      <c r="I86" s="1650" t="s">
        <v>3603</v>
      </c>
      <c r="J86" s="1654" t="s">
        <v>115</v>
      </c>
      <c r="K86" s="1655" t="s">
        <v>115</v>
      </c>
      <c r="L86" t="str">
        <f t="shared" si="3"/>
        <v/>
      </c>
      <c r="M86" t="str">
        <f t="shared" si="4"/>
        <v/>
      </c>
      <c r="N86" t="str">
        <f t="shared" si="5"/>
        <v>--</v>
      </c>
    </row>
    <row r="87" spans="1:14">
      <c r="A87" s="1650" t="s">
        <v>1898</v>
      </c>
      <c r="B87" s="1649" t="s">
        <v>3668</v>
      </c>
      <c r="C87" s="1650" t="s">
        <v>115</v>
      </c>
      <c r="D87" s="1654">
        <v>3.8</v>
      </c>
      <c r="E87" s="1650" t="s">
        <v>1234</v>
      </c>
      <c r="F87" s="1654">
        <v>1.2999999999999999E-3</v>
      </c>
      <c r="G87" s="1650" t="s">
        <v>1234</v>
      </c>
      <c r="H87" s="1654" t="s">
        <v>115</v>
      </c>
      <c r="I87" s="1650" t="s">
        <v>115</v>
      </c>
      <c r="J87" s="1654" t="s">
        <v>115</v>
      </c>
      <c r="K87" s="1655" t="s">
        <v>115</v>
      </c>
      <c r="L87" t="str">
        <f t="shared" si="3"/>
        <v/>
      </c>
      <c r="M87" t="str">
        <f t="shared" si="4"/>
        <v/>
      </c>
      <c r="N87" t="str">
        <f t="shared" si="5"/>
        <v>--</v>
      </c>
    </row>
    <row r="88" spans="1:14">
      <c r="A88" s="1650" t="s">
        <v>2399</v>
      </c>
      <c r="B88" s="1649" t="s">
        <v>3669</v>
      </c>
      <c r="C88" s="1650" t="s">
        <v>115</v>
      </c>
      <c r="D88" s="1654" t="s">
        <v>115</v>
      </c>
      <c r="E88" s="1650" t="s">
        <v>115</v>
      </c>
      <c r="F88" s="1654" t="s">
        <v>115</v>
      </c>
      <c r="G88" s="1650" t="s">
        <v>115</v>
      </c>
      <c r="H88" s="1654">
        <v>1E-4</v>
      </c>
      <c r="I88" s="1650" t="s">
        <v>3603</v>
      </c>
      <c r="J88" s="1654" t="s">
        <v>115</v>
      </c>
      <c r="K88" s="1655" t="s">
        <v>115</v>
      </c>
      <c r="L88" t="str">
        <f t="shared" si="3"/>
        <v/>
      </c>
      <c r="M88" t="str">
        <f t="shared" si="4"/>
        <v/>
      </c>
      <c r="N88" t="str">
        <f t="shared" si="5"/>
        <v>--</v>
      </c>
    </row>
    <row r="89" spans="1:14">
      <c r="A89" s="1650" t="s">
        <v>220</v>
      </c>
      <c r="B89" s="1649" t="s">
        <v>3670</v>
      </c>
      <c r="C89" s="1650" t="s">
        <v>115</v>
      </c>
      <c r="D89" s="1654" t="s">
        <v>115</v>
      </c>
      <c r="E89" s="1650" t="s">
        <v>115</v>
      </c>
      <c r="F89" s="1654" t="s">
        <v>115</v>
      </c>
      <c r="G89" s="1650" t="s">
        <v>115</v>
      </c>
      <c r="H89" s="1654">
        <v>0.6</v>
      </c>
      <c r="I89" s="1650" t="s">
        <v>1277</v>
      </c>
      <c r="J89" s="1654">
        <v>5000</v>
      </c>
      <c r="K89" s="1655" t="s">
        <v>1277</v>
      </c>
      <c r="L89" t="str">
        <f t="shared" si="3"/>
        <v/>
      </c>
      <c r="M89" t="str">
        <f t="shared" si="4"/>
        <v/>
      </c>
      <c r="N89" t="str">
        <f t="shared" si="5"/>
        <v>--</v>
      </c>
    </row>
    <row r="90" spans="1:14">
      <c r="A90" s="1650" t="s">
        <v>2477</v>
      </c>
      <c r="B90" s="1649" t="s">
        <v>3671</v>
      </c>
      <c r="C90" s="1650" t="s">
        <v>115</v>
      </c>
      <c r="D90" s="1654" t="s">
        <v>115</v>
      </c>
      <c r="E90" s="1650" t="s">
        <v>115</v>
      </c>
      <c r="F90" s="1654" t="s">
        <v>115</v>
      </c>
      <c r="G90" s="1650" t="s">
        <v>115</v>
      </c>
      <c r="H90" s="1654">
        <v>0.1</v>
      </c>
      <c r="I90" s="1650" t="s">
        <v>1277</v>
      </c>
      <c r="J90" s="1654">
        <v>1600</v>
      </c>
      <c r="K90" s="1655" t="s">
        <v>1277</v>
      </c>
      <c r="L90" t="str">
        <f t="shared" si="3"/>
        <v/>
      </c>
      <c r="M90" t="str">
        <f t="shared" si="4"/>
        <v/>
      </c>
      <c r="N90" t="str">
        <f t="shared" si="5"/>
        <v>--</v>
      </c>
    </row>
    <row r="91" spans="1:14">
      <c r="A91" s="1650" t="s">
        <v>2130</v>
      </c>
      <c r="B91" s="1649" t="s">
        <v>3672</v>
      </c>
      <c r="C91" s="1650" t="s">
        <v>1906</v>
      </c>
      <c r="D91" s="1654" t="s">
        <v>115</v>
      </c>
      <c r="E91" s="1650" t="s">
        <v>115</v>
      </c>
      <c r="F91" s="1654">
        <v>2.9999999999999997E-4</v>
      </c>
      <c r="G91" s="1650" t="s">
        <v>1277</v>
      </c>
      <c r="H91" s="1654">
        <v>0.02</v>
      </c>
      <c r="I91" s="1650" t="s">
        <v>3616</v>
      </c>
      <c r="J91" s="1654">
        <v>20</v>
      </c>
      <c r="K91" s="1655" t="s">
        <v>1277</v>
      </c>
      <c r="L91" t="str">
        <f t="shared" si="3"/>
        <v/>
      </c>
      <c r="M91" t="str">
        <f t="shared" si="4"/>
        <v/>
      </c>
      <c r="N91" t="str">
        <f t="shared" si="5"/>
        <v>--</v>
      </c>
    </row>
    <row r="92" spans="1:14">
      <c r="A92" s="1650" t="s">
        <v>2140</v>
      </c>
      <c r="B92" s="1649" t="s">
        <v>3673</v>
      </c>
      <c r="C92" s="1650" t="s">
        <v>115</v>
      </c>
      <c r="D92" s="1654" t="s">
        <v>115</v>
      </c>
      <c r="E92" s="1650" t="s">
        <v>115</v>
      </c>
      <c r="F92" s="1654" t="s">
        <v>115</v>
      </c>
      <c r="G92" s="1650" t="s">
        <v>115</v>
      </c>
      <c r="H92" s="1654" t="s">
        <v>115</v>
      </c>
      <c r="I92" s="1650" t="s">
        <v>115</v>
      </c>
      <c r="J92" s="1654">
        <v>0.03</v>
      </c>
      <c r="K92" s="1655" t="s">
        <v>1277</v>
      </c>
      <c r="L92" t="str">
        <f t="shared" si="3"/>
        <v/>
      </c>
      <c r="M92" t="str">
        <f t="shared" si="4"/>
        <v/>
      </c>
      <c r="N92" t="str">
        <f t="shared" si="5"/>
        <v>--</v>
      </c>
    </row>
    <row r="93" spans="1:14">
      <c r="A93" s="1650" t="s">
        <v>2155</v>
      </c>
      <c r="B93" s="1649" t="s">
        <v>3674</v>
      </c>
      <c r="C93" s="1650" t="s">
        <v>115</v>
      </c>
      <c r="D93" s="1654" t="s">
        <v>115</v>
      </c>
      <c r="E93" s="1650" t="s">
        <v>115</v>
      </c>
      <c r="F93" s="1654" t="s">
        <v>115</v>
      </c>
      <c r="G93" s="1650" t="s">
        <v>115</v>
      </c>
      <c r="H93" s="1654">
        <v>0.02</v>
      </c>
      <c r="I93" s="1650" t="s">
        <v>1247</v>
      </c>
      <c r="J93" s="1654">
        <v>80</v>
      </c>
      <c r="K93" s="1655" t="s">
        <v>3605</v>
      </c>
      <c r="L93" t="str">
        <f t="shared" si="3"/>
        <v/>
      </c>
      <c r="M93" t="str">
        <f t="shared" si="4"/>
        <v>Route RfC</v>
      </c>
      <c r="N93" t="str">
        <f t="shared" si="5"/>
        <v>Route RfC</v>
      </c>
    </row>
    <row r="94" spans="1:14">
      <c r="A94" s="1650" t="s">
        <v>3203</v>
      </c>
      <c r="B94" s="1649" t="s">
        <v>3675</v>
      </c>
      <c r="C94" s="1650" t="s">
        <v>115</v>
      </c>
      <c r="D94" s="1654" t="s">
        <v>115</v>
      </c>
      <c r="E94" s="1650" t="s">
        <v>115</v>
      </c>
      <c r="F94" s="1654" t="s">
        <v>115</v>
      </c>
      <c r="G94" s="1650" t="s">
        <v>115</v>
      </c>
      <c r="H94" s="1654">
        <v>0.08</v>
      </c>
      <c r="I94" s="1650" t="s">
        <v>1277</v>
      </c>
      <c r="J94" s="1654">
        <v>320</v>
      </c>
      <c r="K94" s="1655" t="s">
        <v>3598</v>
      </c>
      <c r="L94" t="str">
        <f t="shared" si="3"/>
        <v/>
      </c>
      <c r="M94" t="str">
        <f t="shared" si="4"/>
        <v>Route RfC</v>
      </c>
      <c r="N94" t="str">
        <f t="shared" si="5"/>
        <v>Route RfC</v>
      </c>
    </row>
    <row r="95" spans="1:14">
      <c r="A95" s="1650" t="s">
        <v>2159</v>
      </c>
      <c r="B95" s="1649" t="s">
        <v>3676</v>
      </c>
      <c r="C95" s="1650" t="s">
        <v>115</v>
      </c>
      <c r="D95" s="1654">
        <v>0.3</v>
      </c>
      <c r="E95" s="1650" t="s">
        <v>1247</v>
      </c>
      <c r="F95" s="1654" t="s">
        <v>115</v>
      </c>
      <c r="G95" s="1650" t="s">
        <v>115</v>
      </c>
      <c r="H95" s="1654">
        <v>3.0000000000000001E-3</v>
      </c>
      <c r="I95" s="1650" t="s">
        <v>1247</v>
      </c>
      <c r="J95" s="1654">
        <v>0.01</v>
      </c>
      <c r="K95" s="1655" t="s">
        <v>3603</v>
      </c>
      <c r="L95" t="str">
        <f t="shared" si="3"/>
        <v/>
      </c>
      <c r="M95" t="str">
        <f t="shared" si="4"/>
        <v/>
      </c>
      <c r="N95" t="str">
        <f t="shared" si="5"/>
        <v>--</v>
      </c>
    </row>
    <row r="96" spans="1:14">
      <c r="A96" s="1650" t="s">
        <v>132</v>
      </c>
      <c r="B96" s="1649" t="s">
        <v>131</v>
      </c>
      <c r="C96" s="1650" t="s">
        <v>115</v>
      </c>
      <c r="D96" s="1654" t="s">
        <v>115</v>
      </c>
      <c r="E96" s="1650" t="s">
        <v>115</v>
      </c>
      <c r="F96" s="1654" t="s">
        <v>115</v>
      </c>
      <c r="G96" s="1650" t="s">
        <v>115</v>
      </c>
      <c r="H96" s="1654">
        <v>5.0000000000000001E-3</v>
      </c>
      <c r="I96" s="1650" t="s">
        <v>1277</v>
      </c>
      <c r="J96" s="1654">
        <v>20</v>
      </c>
      <c r="K96" s="1655" t="s">
        <v>3598</v>
      </c>
      <c r="L96" t="str">
        <f t="shared" si="3"/>
        <v/>
      </c>
      <c r="M96" t="str">
        <f t="shared" si="4"/>
        <v>Route RfC</v>
      </c>
      <c r="N96" t="str">
        <f t="shared" si="5"/>
        <v>Route RfC</v>
      </c>
    </row>
    <row r="97" spans="1:14">
      <c r="A97" s="1650" t="s">
        <v>2168</v>
      </c>
      <c r="B97" s="1649" t="s">
        <v>3677</v>
      </c>
      <c r="C97" s="1650" t="s">
        <v>115</v>
      </c>
      <c r="D97" s="1654" t="s">
        <v>115</v>
      </c>
      <c r="E97" s="1650" t="s">
        <v>115</v>
      </c>
      <c r="F97" s="1654" t="s">
        <v>115</v>
      </c>
      <c r="G97" s="1650" t="s">
        <v>115</v>
      </c>
      <c r="H97" s="1654">
        <v>0.02</v>
      </c>
      <c r="I97" s="1650" t="s">
        <v>1277</v>
      </c>
      <c r="J97" s="1654">
        <v>80</v>
      </c>
      <c r="K97" s="1655" t="s">
        <v>3598</v>
      </c>
      <c r="L97" t="str">
        <f t="shared" si="3"/>
        <v/>
      </c>
      <c r="M97" t="str">
        <f t="shared" si="4"/>
        <v>Route RfC</v>
      </c>
      <c r="N97" t="str">
        <f t="shared" si="5"/>
        <v>Route RfC</v>
      </c>
    </row>
    <row r="98" spans="1:14">
      <c r="A98" s="1650" t="s">
        <v>2456</v>
      </c>
      <c r="B98" s="1649" t="s">
        <v>3678</v>
      </c>
      <c r="C98" s="1650" t="s">
        <v>115</v>
      </c>
      <c r="D98" s="1654" t="s">
        <v>115</v>
      </c>
      <c r="E98" s="1650" t="s">
        <v>115</v>
      </c>
      <c r="F98" s="1654" t="s">
        <v>115</v>
      </c>
      <c r="G98" s="1650" t="s">
        <v>115</v>
      </c>
      <c r="H98" s="1654">
        <v>0.09</v>
      </c>
      <c r="I98" s="1650" t="s">
        <v>1247</v>
      </c>
      <c r="J98" s="1654">
        <v>40</v>
      </c>
      <c r="K98" s="1655" t="s">
        <v>1247</v>
      </c>
      <c r="L98" t="str">
        <f t="shared" si="3"/>
        <v/>
      </c>
      <c r="M98" t="str">
        <f t="shared" si="4"/>
        <v/>
      </c>
      <c r="N98" t="str">
        <f t="shared" si="5"/>
        <v>--</v>
      </c>
    </row>
    <row r="99" spans="1:14">
      <c r="A99" s="1650" t="s">
        <v>2454</v>
      </c>
      <c r="B99" s="1649" t="s">
        <v>3679</v>
      </c>
      <c r="C99" s="1650" t="s">
        <v>115</v>
      </c>
      <c r="D99" s="1654" t="s">
        <v>115</v>
      </c>
      <c r="E99" s="1650" t="s">
        <v>115</v>
      </c>
      <c r="F99" s="1654" t="s">
        <v>115</v>
      </c>
      <c r="G99" s="1650" t="s">
        <v>115</v>
      </c>
      <c r="H99" s="1654">
        <v>0.1</v>
      </c>
      <c r="I99" s="1650" t="s">
        <v>1247</v>
      </c>
      <c r="J99" s="1654">
        <v>60</v>
      </c>
      <c r="K99" s="1655" t="s">
        <v>1247</v>
      </c>
      <c r="L99" t="str">
        <f t="shared" si="3"/>
        <v/>
      </c>
      <c r="M99" t="str">
        <f t="shared" si="4"/>
        <v/>
      </c>
      <c r="N99" t="str">
        <f t="shared" si="5"/>
        <v>--</v>
      </c>
    </row>
    <row r="100" spans="1:14">
      <c r="A100" s="1650" t="s">
        <v>2593</v>
      </c>
      <c r="B100" s="1649" t="s">
        <v>3680</v>
      </c>
      <c r="C100" s="1650" t="s">
        <v>115</v>
      </c>
      <c r="D100" s="1654" t="s">
        <v>115</v>
      </c>
      <c r="E100" s="1650" t="s">
        <v>115</v>
      </c>
      <c r="F100" s="1654" t="s">
        <v>115</v>
      </c>
      <c r="G100" s="1650" t="s">
        <v>115</v>
      </c>
      <c r="H100" s="1654">
        <v>5.0000000000000001E-3</v>
      </c>
      <c r="I100" s="1650" t="s">
        <v>1277</v>
      </c>
      <c r="J100" s="1654">
        <v>30</v>
      </c>
      <c r="K100" s="1655" t="s">
        <v>1277</v>
      </c>
      <c r="L100" t="str">
        <f t="shared" si="3"/>
        <v/>
      </c>
      <c r="M100" t="str">
        <f t="shared" si="4"/>
        <v/>
      </c>
      <c r="N100" t="str">
        <f t="shared" si="5"/>
        <v>--</v>
      </c>
    </row>
    <row r="101" spans="1:14">
      <c r="A101" s="1650" t="s">
        <v>2700</v>
      </c>
      <c r="B101" s="1649" t="s">
        <v>3681</v>
      </c>
      <c r="C101" s="1650" t="s">
        <v>115</v>
      </c>
      <c r="D101" s="1654">
        <v>1.0999999999999999E-2</v>
      </c>
      <c r="E101" s="1650" t="s">
        <v>1247</v>
      </c>
      <c r="F101" s="1654" t="s">
        <v>115</v>
      </c>
      <c r="G101" s="1650" t="s">
        <v>115</v>
      </c>
      <c r="H101" s="1654">
        <v>4.0000000000000001E-3</v>
      </c>
      <c r="I101" s="1650" t="s">
        <v>1247</v>
      </c>
      <c r="J101" s="1654" t="s">
        <v>115</v>
      </c>
      <c r="K101" s="1655" t="s">
        <v>115</v>
      </c>
      <c r="L101" t="str">
        <f t="shared" si="3"/>
        <v/>
      </c>
      <c r="M101" t="str">
        <f t="shared" si="4"/>
        <v/>
      </c>
      <c r="N101" t="str">
        <f t="shared" si="5"/>
        <v>--</v>
      </c>
    </row>
    <row r="102" spans="1:14">
      <c r="A102" s="1650" t="s">
        <v>2726</v>
      </c>
      <c r="B102" s="1649" t="s">
        <v>3682</v>
      </c>
      <c r="C102" s="1650" t="s">
        <v>115</v>
      </c>
      <c r="D102" s="1654">
        <v>4.9000000000000002E-2</v>
      </c>
      <c r="E102" s="1650" t="s">
        <v>1234</v>
      </c>
      <c r="F102" s="1654">
        <v>1.4E-5</v>
      </c>
      <c r="G102" s="1650" t="s">
        <v>1234</v>
      </c>
      <c r="H102" s="1654" t="s">
        <v>115</v>
      </c>
      <c r="I102" s="1650" t="s">
        <v>115</v>
      </c>
      <c r="J102" s="1654" t="s">
        <v>115</v>
      </c>
      <c r="K102" s="1655" t="s">
        <v>115</v>
      </c>
      <c r="L102" t="str">
        <f t="shared" si="3"/>
        <v/>
      </c>
      <c r="M102" t="str">
        <f t="shared" si="4"/>
        <v/>
      </c>
      <c r="N102" t="str">
        <f t="shared" si="5"/>
        <v>--</v>
      </c>
    </row>
    <row r="103" spans="1:14">
      <c r="A103" s="1650" t="s">
        <v>2730</v>
      </c>
      <c r="B103" s="1649" t="s">
        <v>3683</v>
      </c>
      <c r="C103" s="1650" t="s">
        <v>115</v>
      </c>
      <c r="D103" s="1654" t="s">
        <v>115</v>
      </c>
      <c r="E103" s="1650" t="s">
        <v>115</v>
      </c>
      <c r="F103" s="1654" t="s">
        <v>115</v>
      </c>
      <c r="G103" s="1650" t="s">
        <v>115</v>
      </c>
      <c r="H103" s="1654">
        <v>5.0000000000000001E-3</v>
      </c>
      <c r="I103" s="1650" t="s">
        <v>1247</v>
      </c>
      <c r="J103" s="1654">
        <v>7</v>
      </c>
      <c r="K103" s="1655" t="s">
        <v>1247</v>
      </c>
      <c r="L103" t="str">
        <f t="shared" si="3"/>
        <v/>
      </c>
      <c r="M103" t="str">
        <f t="shared" si="4"/>
        <v/>
      </c>
      <c r="N103" t="str">
        <f t="shared" si="5"/>
        <v>--</v>
      </c>
    </row>
    <row r="104" spans="1:14">
      <c r="A104" s="1650" t="s">
        <v>2728</v>
      </c>
      <c r="B104" s="1649" t="s">
        <v>3684</v>
      </c>
      <c r="C104" s="1650" t="s">
        <v>115</v>
      </c>
      <c r="D104" s="1654" t="s">
        <v>115</v>
      </c>
      <c r="E104" s="1650" t="s">
        <v>115</v>
      </c>
      <c r="F104" s="1654" t="s">
        <v>115</v>
      </c>
      <c r="G104" s="1650" t="s">
        <v>115</v>
      </c>
      <c r="H104" s="1654">
        <v>8.0000000000000002E-3</v>
      </c>
      <c r="I104" s="1650" t="s">
        <v>1247</v>
      </c>
      <c r="J104" s="1654">
        <v>1</v>
      </c>
      <c r="K104" s="1655" t="s">
        <v>1247</v>
      </c>
      <c r="L104" t="str">
        <f t="shared" si="3"/>
        <v/>
      </c>
      <c r="M104" t="str">
        <f t="shared" si="4"/>
        <v/>
      </c>
      <c r="N104" t="str">
        <f t="shared" si="5"/>
        <v>--</v>
      </c>
    </row>
    <row r="105" spans="1:14">
      <c r="A105" s="1650" t="s">
        <v>2753</v>
      </c>
      <c r="B105" s="1649" t="s">
        <v>3685</v>
      </c>
      <c r="C105" s="1650" t="s">
        <v>115</v>
      </c>
      <c r="D105" s="1654" t="s">
        <v>115</v>
      </c>
      <c r="E105" s="1650" t="s">
        <v>115</v>
      </c>
      <c r="F105" s="1654" t="s">
        <v>115</v>
      </c>
      <c r="G105" s="1650" t="s">
        <v>115</v>
      </c>
      <c r="H105" s="1654">
        <v>2.9999999999999997E-4</v>
      </c>
      <c r="I105" s="1650" t="s">
        <v>3603</v>
      </c>
      <c r="J105" s="1654" t="s">
        <v>115</v>
      </c>
      <c r="K105" s="1655" t="s">
        <v>115</v>
      </c>
      <c r="L105" t="str">
        <f t="shared" si="3"/>
        <v/>
      </c>
      <c r="M105" t="str">
        <f t="shared" si="4"/>
        <v/>
      </c>
      <c r="N105" t="str">
        <f t="shared" si="5"/>
        <v>--</v>
      </c>
    </row>
    <row r="106" spans="1:14">
      <c r="A106" s="1650" t="s">
        <v>2757</v>
      </c>
      <c r="B106" s="1649" t="s">
        <v>3686</v>
      </c>
      <c r="C106" s="1650" t="s">
        <v>115</v>
      </c>
      <c r="D106" s="1654">
        <v>8.9999999999999993E-3</v>
      </c>
      <c r="E106" s="1650" t="s">
        <v>1247</v>
      </c>
      <c r="F106" s="1654" t="s">
        <v>115</v>
      </c>
      <c r="G106" s="1650" t="s">
        <v>115</v>
      </c>
      <c r="H106" s="1654">
        <v>0.02</v>
      </c>
      <c r="I106" s="1650" t="s">
        <v>3603</v>
      </c>
      <c r="J106" s="1654" t="s">
        <v>115</v>
      </c>
      <c r="K106" s="1655" t="s">
        <v>115</v>
      </c>
      <c r="L106" t="str">
        <f t="shared" si="3"/>
        <v/>
      </c>
      <c r="M106" t="str">
        <f t="shared" si="4"/>
        <v/>
      </c>
      <c r="N106" t="str">
        <f t="shared" si="5"/>
        <v>--</v>
      </c>
    </row>
    <row r="107" spans="1:14">
      <c r="A107" s="1650" t="s">
        <v>2761</v>
      </c>
      <c r="B107" s="1649" t="s">
        <v>3687</v>
      </c>
      <c r="C107" s="1650" t="s">
        <v>115</v>
      </c>
      <c r="D107" s="1654">
        <v>0.13</v>
      </c>
      <c r="E107" s="1650" t="s">
        <v>1234</v>
      </c>
      <c r="F107" s="1654">
        <v>3.6999999999999998E-5</v>
      </c>
      <c r="G107" s="1650" t="s">
        <v>1234</v>
      </c>
      <c r="H107" s="1654" t="s">
        <v>115</v>
      </c>
      <c r="I107" s="1650" t="s">
        <v>115</v>
      </c>
      <c r="J107" s="1654" t="s">
        <v>115</v>
      </c>
      <c r="K107" s="1655" t="s">
        <v>115</v>
      </c>
      <c r="L107" t="str">
        <f t="shared" si="3"/>
        <v/>
      </c>
      <c r="M107" t="str">
        <f t="shared" si="4"/>
        <v/>
      </c>
      <c r="N107" t="str">
        <f t="shared" si="5"/>
        <v>--</v>
      </c>
    </row>
    <row r="108" spans="1:14" ht="25.5">
      <c r="A108" s="1650" t="s">
        <v>2765</v>
      </c>
      <c r="B108" s="1649" t="s">
        <v>3688</v>
      </c>
      <c r="C108" s="1650" t="s">
        <v>115</v>
      </c>
      <c r="D108" s="1654" t="s">
        <v>115</v>
      </c>
      <c r="E108" s="1650" t="s">
        <v>115</v>
      </c>
      <c r="F108" s="1654" t="s">
        <v>115</v>
      </c>
      <c r="G108" s="1650" t="s">
        <v>115</v>
      </c>
      <c r="H108" s="1654">
        <v>2.0000000000000001E-4</v>
      </c>
      <c r="I108" s="1650" t="s">
        <v>3603</v>
      </c>
      <c r="J108" s="1654" t="s">
        <v>115</v>
      </c>
      <c r="K108" s="1655" t="s">
        <v>115</v>
      </c>
      <c r="L108" t="str">
        <f t="shared" si="3"/>
        <v/>
      </c>
      <c r="M108" t="str">
        <f t="shared" si="4"/>
        <v/>
      </c>
      <c r="N108" t="str">
        <f t="shared" si="5"/>
        <v>--</v>
      </c>
    </row>
    <row r="109" spans="1:14">
      <c r="A109" s="1650" t="s">
        <v>2767</v>
      </c>
      <c r="B109" s="1649" t="s">
        <v>3689</v>
      </c>
      <c r="C109" s="1650" t="s">
        <v>115</v>
      </c>
      <c r="D109" s="1654">
        <v>0.1</v>
      </c>
      <c r="E109" s="1650" t="s">
        <v>3603</v>
      </c>
      <c r="F109" s="1654" t="s">
        <v>115</v>
      </c>
      <c r="G109" s="1650" t="s">
        <v>115</v>
      </c>
      <c r="H109" s="1654">
        <v>2.9999999999999997E-4</v>
      </c>
      <c r="I109" s="1650" t="s">
        <v>3603</v>
      </c>
      <c r="J109" s="1654" t="s">
        <v>115</v>
      </c>
      <c r="K109" s="1655" t="s">
        <v>115</v>
      </c>
      <c r="L109" t="str">
        <f t="shared" si="3"/>
        <v/>
      </c>
      <c r="M109" t="str">
        <f t="shared" si="4"/>
        <v/>
      </c>
      <c r="N109" t="str">
        <f t="shared" si="5"/>
        <v>--</v>
      </c>
    </row>
    <row r="110" spans="1:14">
      <c r="A110" s="1650" t="s">
        <v>226</v>
      </c>
      <c r="B110" s="1649" t="s">
        <v>225</v>
      </c>
      <c r="C110" s="1650" t="s">
        <v>115</v>
      </c>
      <c r="D110" s="1654" t="s">
        <v>115</v>
      </c>
      <c r="E110" s="1650" t="s">
        <v>115</v>
      </c>
      <c r="F110" s="1654" t="s">
        <v>115</v>
      </c>
      <c r="G110" s="1650" t="s">
        <v>115</v>
      </c>
      <c r="H110" s="1654">
        <v>4.0000000000000001E-3</v>
      </c>
      <c r="I110" s="1650" t="s">
        <v>1277</v>
      </c>
      <c r="J110" s="1654">
        <v>16</v>
      </c>
      <c r="K110" s="1655" t="s">
        <v>3598</v>
      </c>
      <c r="L110" t="str">
        <f t="shared" si="3"/>
        <v/>
      </c>
      <c r="M110" t="str">
        <f t="shared" si="4"/>
        <v>Route RfC</v>
      </c>
      <c r="N110" t="str">
        <f t="shared" si="5"/>
        <v>Route RfC</v>
      </c>
    </row>
    <row r="111" spans="1:14">
      <c r="A111" s="1650" t="s">
        <v>2196</v>
      </c>
      <c r="B111" s="1649" t="s">
        <v>3690</v>
      </c>
      <c r="C111" s="1650" t="s">
        <v>115</v>
      </c>
      <c r="D111" s="1654" t="s">
        <v>115</v>
      </c>
      <c r="E111" s="1650" t="s">
        <v>115</v>
      </c>
      <c r="F111" s="1654" t="s">
        <v>115</v>
      </c>
      <c r="G111" s="1650" t="s">
        <v>115</v>
      </c>
      <c r="H111" s="1654">
        <v>0.05</v>
      </c>
      <c r="I111" s="1650" t="s">
        <v>1277</v>
      </c>
      <c r="J111" s="1654">
        <v>600</v>
      </c>
      <c r="K111" s="1655" t="s">
        <v>3691</v>
      </c>
      <c r="L111" t="str">
        <f t="shared" si="3"/>
        <v/>
      </c>
      <c r="M111" t="str">
        <f t="shared" si="4"/>
        <v/>
      </c>
      <c r="N111" t="str">
        <f t="shared" si="5"/>
        <v>--</v>
      </c>
    </row>
    <row r="112" spans="1:14">
      <c r="A112" s="1650" t="s">
        <v>2811</v>
      </c>
      <c r="B112" s="1649" t="s">
        <v>3692</v>
      </c>
      <c r="C112" s="1650" t="s">
        <v>115</v>
      </c>
      <c r="D112" s="1654">
        <v>1.8</v>
      </c>
      <c r="E112" s="1650" t="s">
        <v>1234</v>
      </c>
      <c r="F112" s="1654">
        <v>4.4999999999999999E-4</v>
      </c>
      <c r="G112" s="1650" t="s">
        <v>3693</v>
      </c>
      <c r="H112" s="1654" t="s">
        <v>115</v>
      </c>
      <c r="I112" s="1650" t="s">
        <v>115</v>
      </c>
      <c r="J112" s="1654" t="s">
        <v>115</v>
      </c>
      <c r="K112" s="1655" t="s">
        <v>115</v>
      </c>
      <c r="L112" t="str">
        <f t="shared" si="3"/>
        <v>Route IUR</v>
      </c>
      <c r="M112" t="str">
        <f t="shared" si="4"/>
        <v/>
      </c>
      <c r="N112" t="str">
        <f t="shared" si="5"/>
        <v>Route IUR</v>
      </c>
    </row>
    <row r="113" spans="1:14">
      <c r="A113" s="1650" t="s">
        <v>2840</v>
      </c>
      <c r="B113" s="1649" t="s">
        <v>3694</v>
      </c>
      <c r="C113" s="1650" t="s">
        <v>115</v>
      </c>
      <c r="D113" s="1654" t="s">
        <v>115</v>
      </c>
      <c r="E113" s="1650" t="s">
        <v>115</v>
      </c>
      <c r="F113" s="1654" t="s">
        <v>115</v>
      </c>
      <c r="G113" s="1650" t="s">
        <v>115</v>
      </c>
      <c r="H113" s="1654">
        <v>0.01</v>
      </c>
      <c r="I113" s="1650" t="s">
        <v>3603</v>
      </c>
      <c r="J113" s="1654">
        <v>0.05</v>
      </c>
      <c r="K113" s="1655" t="s">
        <v>3603</v>
      </c>
      <c r="L113" t="str">
        <f t="shared" si="3"/>
        <v/>
      </c>
      <c r="M113" t="str">
        <f t="shared" si="4"/>
        <v/>
      </c>
      <c r="N113" t="str">
        <f t="shared" si="5"/>
        <v>--</v>
      </c>
    </row>
    <row r="114" spans="1:14">
      <c r="A114" s="1650" t="s">
        <v>2858</v>
      </c>
      <c r="B114" s="1649" t="s">
        <v>3695</v>
      </c>
      <c r="C114" s="1650" t="s">
        <v>115</v>
      </c>
      <c r="D114" s="1654" t="s">
        <v>115</v>
      </c>
      <c r="E114" s="1650" t="s">
        <v>115</v>
      </c>
      <c r="F114" s="1654">
        <v>5.8E-4</v>
      </c>
      <c r="G114" s="1650" t="s">
        <v>3603</v>
      </c>
      <c r="H114" s="1654" t="s">
        <v>115</v>
      </c>
      <c r="I114" s="1650" t="s">
        <v>115</v>
      </c>
      <c r="J114" s="1654">
        <v>20</v>
      </c>
      <c r="K114" s="1655" t="s">
        <v>1277</v>
      </c>
      <c r="L114" t="str">
        <f t="shared" si="3"/>
        <v/>
      </c>
      <c r="M114" t="str">
        <f t="shared" si="4"/>
        <v/>
      </c>
      <c r="N114" t="str">
        <f t="shared" si="5"/>
        <v>--</v>
      </c>
    </row>
    <row r="115" spans="1:14">
      <c r="A115" s="1650" t="s">
        <v>2886</v>
      </c>
      <c r="B115" s="1649" t="s">
        <v>3696</v>
      </c>
      <c r="C115" s="1650" t="s">
        <v>115</v>
      </c>
      <c r="D115" s="1654">
        <v>0.22</v>
      </c>
      <c r="E115" s="1650" t="s">
        <v>1247</v>
      </c>
      <c r="F115" s="1654">
        <v>5.5000000000000002E-5</v>
      </c>
      <c r="G115" s="1650" t="s">
        <v>3605</v>
      </c>
      <c r="H115" s="1654">
        <v>8.9999999999999998E-4</v>
      </c>
      <c r="I115" s="1650" t="s">
        <v>1247</v>
      </c>
      <c r="J115" s="1654">
        <v>3.6</v>
      </c>
      <c r="K115" s="1655" t="s">
        <v>3605</v>
      </c>
      <c r="L115" t="str">
        <f t="shared" si="3"/>
        <v>Route IUR</v>
      </c>
      <c r="M115" t="str">
        <f t="shared" si="4"/>
        <v>Route RfC</v>
      </c>
      <c r="N115" t="str">
        <f t="shared" si="5"/>
        <v>Route IUR &amp; RfC</v>
      </c>
    </row>
    <row r="116" spans="1:14">
      <c r="A116" s="1650" t="s">
        <v>3041</v>
      </c>
      <c r="B116" s="1649" t="s">
        <v>3697</v>
      </c>
      <c r="C116" s="1650" t="s">
        <v>115</v>
      </c>
      <c r="D116" s="1654">
        <v>1.9E-3</v>
      </c>
      <c r="E116" s="1650" t="s">
        <v>3616</v>
      </c>
      <c r="F116" s="1654" t="s">
        <v>115</v>
      </c>
      <c r="G116" s="1650" t="s">
        <v>115</v>
      </c>
      <c r="H116" s="1654" t="s">
        <v>115</v>
      </c>
      <c r="I116" s="1650" t="s">
        <v>115</v>
      </c>
      <c r="J116" s="1654" t="s">
        <v>115</v>
      </c>
      <c r="K116" s="1655" t="s">
        <v>115</v>
      </c>
      <c r="L116" t="str">
        <f t="shared" si="3"/>
        <v/>
      </c>
      <c r="M116" t="str">
        <f t="shared" si="4"/>
        <v/>
      </c>
      <c r="N116" t="str">
        <f t="shared" si="5"/>
        <v>--</v>
      </c>
    </row>
    <row r="117" spans="1:14">
      <c r="A117" s="1650" t="s">
        <v>2633</v>
      </c>
      <c r="B117" s="1649" t="s">
        <v>3698</v>
      </c>
      <c r="C117" s="1650" t="s">
        <v>115</v>
      </c>
      <c r="D117" s="1654" t="s">
        <v>115</v>
      </c>
      <c r="E117" s="1650" t="s">
        <v>115</v>
      </c>
      <c r="F117" s="1654" t="s">
        <v>115</v>
      </c>
      <c r="G117" s="1650" t="s">
        <v>115</v>
      </c>
      <c r="H117" s="1654">
        <v>2</v>
      </c>
      <c r="I117" s="1650" t="s">
        <v>1247</v>
      </c>
      <c r="J117" s="1654">
        <v>200</v>
      </c>
      <c r="K117" s="1655" t="s">
        <v>1247</v>
      </c>
      <c r="L117" t="str">
        <f t="shared" si="3"/>
        <v/>
      </c>
      <c r="M117" t="str">
        <f t="shared" si="4"/>
        <v/>
      </c>
      <c r="N117" t="str">
        <f t="shared" si="5"/>
        <v>--</v>
      </c>
    </row>
    <row r="118" spans="1:14">
      <c r="A118" s="1650" t="s">
        <v>156</v>
      </c>
      <c r="B118" s="1649" t="s">
        <v>3699</v>
      </c>
      <c r="C118" s="1650" t="s">
        <v>115</v>
      </c>
      <c r="D118" s="1654">
        <v>1.2</v>
      </c>
      <c r="E118" s="1650" t="s">
        <v>3600</v>
      </c>
      <c r="F118" s="1654">
        <v>3.4000000000000002E-4</v>
      </c>
      <c r="G118" s="1650" t="s">
        <v>3600</v>
      </c>
      <c r="H118" s="1654" t="s">
        <v>115</v>
      </c>
      <c r="I118" s="1650" t="s">
        <v>115</v>
      </c>
      <c r="J118" s="1654" t="s">
        <v>115</v>
      </c>
      <c r="K118" s="1655" t="s">
        <v>115</v>
      </c>
      <c r="L118" t="str">
        <f t="shared" si="3"/>
        <v/>
      </c>
      <c r="M118" t="str">
        <f t="shared" si="4"/>
        <v/>
      </c>
      <c r="N118" t="str">
        <f t="shared" si="5"/>
        <v>--</v>
      </c>
    </row>
    <row r="119" spans="1:14">
      <c r="A119" s="1650" t="s">
        <v>2352</v>
      </c>
      <c r="B119" s="1649" t="s">
        <v>3700</v>
      </c>
      <c r="C119" s="1650" t="s">
        <v>1906</v>
      </c>
      <c r="D119" s="1654">
        <v>1.6</v>
      </c>
      <c r="E119" s="1650" t="s">
        <v>1247</v>
      </c>
      <c r="F119" s="1654" t="s">
        <v>115</v>
      </c>
      <c r="G119" s="1650" t="s">
        <v>115</v>
      </c>
      <c r="H119" s="1654" t="s">
        <v>115</v>
      </c>
      <c r="I119" s="1650" t="s">
        <v>115</v>
      </c>
      <c r="J119" s="1654" t="s">
        <v>115</v>
      </c>
      <c r="K119" s="1655" t="s">
        <v>115</v>
      </c>
      <c r="L119" t="str">
        <f t="shared" si="3"/>
        <v/>
      </c>
      <c r="M119" t="str">
        <f t="shared" si="4"/>
        <v/>
      </c>
      <c r="N119" t="str">
        <f t="shared" si="5"/>
        <v>--</v>
      </c>
    </row>
    <row r="120" spans="1:14">
      <c r="A120" s="1650" t="s">
        <v>2366</v>
      </c>
      <c r="B120" s="1649" t="s">
        <v>3701</v>
      </c>
      <c r="C120" s="1650" t="s">
        <v>1906</v>
      </c>
      <c r="D120" s="1654">
        <v>11</v>
      </c>
      <c r="E120" s="1650" t="s">
        <v>1247</v>
      </c>
      <c r="F120" s="1654" t="s">
        <v>115</v>
      </c>
      <c r="G120" s="1650" t="s">
        <v>115</v>
      </c>
      <c r="H120" s="1654" t="s">
        <v>115</v>
      </c>
      <c r="I120" s="1650" t="s">
        <v>115</v>
      </c>
      <c r="J120" s="1654" t="s">
        <v>115</v>
      </c>
      <c r="K120" s="1655" t="s">
        <v>115</v>
      </c>
      <c r="L120" t="str">
        <f t="shared" si="3"/>
        <v/>
      </c>
      <c r="M120" t="str">
        <f t="shared" si="4"/>
        <v/>
      </c>
      <c r="N120" t="str">
        <f t="shared" si="5"/>
        <v>--</v>
      </c>
    </row>
    <row r="121" spans="1:14">
      <c r="A121" s="1650" t="s">
        <v>2377</v>
      </c>
      <c r="B121" s="1649" t="s">
        <v>3702</v>
      </c>
      <c r="C121" s="1650" t="s">
        <v>115</v>
      </c>
      <c r="D121" s="1654" t="s">
        <v>115</v>
      </c>
      <c r="E121" s="1650" t="s">
        <v>115</v>
      </c>
      <c r="F121" s="1654" t="s">
        <v>115</v>
      </c>
      <c r="G121" s="1650" t="s">
        <v>115</v>
      </c>
      <c r="H121" s="1654">
        <v>1E-3</v>
      </c>
      <c r="I121" s="1650" t="s">
        <v>1277</v>
      </c>
      <c r="J121" s="1654" t="s">
        <v>115</v>
      </c>
      <c r="K121" s="1655" t="s">
        <v>115</v>
      </c>
      <c r="L121" t="str">
        <f t="shared" si="3"/>
        <v/>
      </c>
      <c r="M121" t="str">
        <f t="shared" si="4"/>
        <v/>
      </c>
      <c r="N121" t="str">
        <f t="shared" si="5"/>
        <v>--</v>
      </c>
    </row>
    <row r="122" spans="1:14">
      <c r="A122" s="1650" t="s">
        <v>2770</v>
      </c>
      <c r="B122" s="1649" t="s">
        <v>3703</v>
      </c>
      <c r="C122" s="1650" t="s">
        <v>1906</v>
      </c>
      <c r="D122" s="1654">
        <v>22</v>
      </c>
      <c r="E122" s="1650" t="s">
        <v>3704</v>
      </c>
      <c r="F122" s="1654">
        <v>6.3E-3</v>
      </c>
      <c r="G122" s="1650" t="s">
        <v>3704</v>
      </c>
      <c r="H122" s="1654" t="s">
        <v>115</v>
      </c>
      <c r="I122" s="1650" t="s">
        <v>115</v>
      </c>
      <c r="J122" s="1654" t="s">
        <v>115</v>
      </c>
      <c r="K122" s="1655" t="s">
        <v>115</v>
      </c>
      <c r="L122" t="str">
        <f t="shared" si="3"/>
        <v/>
      </c>
      <c r="M122" t="str">
        <f t="shared" si="4"/>
        <v/>
      </c>
      <c r="N122" t="str">
        <f t="shared" si="5"/>
        <v>--</v>
      </c>
    </row>
    <row r="123" spans="1:14">
      <c r="A123" s="1650" t="s">
        <v>2194</v>
      </c>
      <c r="B123" s="1649" t="s">
        <v>3705</v>
      </c>
      <c r="C123" s="1650" t="s">
        <v>115</v>
      </c>
      <c r="D123" s="1654" t="s">
        <v>115</v>
      </c>
      <c r="E123" s="1650" t="s">
        <v>115</v>
      </c>
      <c r="F123" s="1654" t="s">
        <v>115</v>
      </c>
      <c r="G123" s="1650" t="s">
        <v>115</v>
      </c>
      <c r="H123" s="1654">
        <v>0.05</v>
      </c>
      <c r="I123" s="1650" t="s">
        <v>1277</v>
      </c>
      <c r="J123" s="1654">
        <v>600</v>
      </c>
      <c r="K123" s="1655" t="s">
        <v>3691</v>
      </c>
      <c r="L123" t="str">
        <f t="shared" si="3"/>
        <v/>
      </c>
      <c r="M123" t="str">
        <f t="shared" si="4"/>
        <v/>
      </c>
      <c r="N123" t="str">
        <f t="shared" si="5"/>
        <v>--</v>
      </c>
    </row>
    <row r="124" spans="1:14">
      <c r="A124" s="1650" t="s">
        <v>2884</v>
      </c>
      <c r="B124" s="1649" t="s">
        <v>3706</v>
      </c>
      <c r="C124" s="1650" t="s">
        <v>115</v>
      </c>
      <c r="D124" s="1654" t="s">
        <v>115</v>
      </c>
      <c r="E124" s="1650" t="s">
        <v>115</v>
      </c>
      <c r="F124" s="1654" t="s">
        <v>115</v>
      </c>
      <c r="G124" s="1650" t="s">
        <v>115</v>
      </c>
      <c r="H124" s="1654">
        <v>1E-4</v>
      </c>
      <c r="I124" s="1650" t="s">
        <v>3603</v>
      </c>
      <c r="J124" s="1654" t="s">
        <v>115</v>
      </c>
      <c r="K124" s="1655" t="s">
        <v>115</v>
      </c>
      <c r="L124" t="str">
        <f t="shared" si="3"/>
        <v/>
      </c>
      <c r="M124" t="str">
        <f t="shared" si="4"/>
        <v/>
      </c>
      <c r="N124" t="str">
        <f t="shared" si="5"/>
        <v>--</v>
      </c>
    </row>
    <row r="125" spans="1:14">
      <c r="A125" s="1650" t="s">
        <v>2677</v>
      </c>
      <c r="B125" s="1649" t="s">
        <v>3707</v>
      </c>
      <c r="C125" s="1650" t="s">
        <v>115</v>
      </c>
      <c r="D125" s="1654" t="s">
        <v>115</v>
      </c>
      <c r="E125" s="1650" t="s">
        <v>115</v>
      </c>
      <c r="F125" s="1654" t="s">
        <v>115</v>
      </c>
      <c r="G125" s="1650" t="s">
        <v>115</v>
      </c>
      <c r="H125" s="1654">
        <v>4.3999999999999997E-2</v>
      </c>
      <c r="I125" s="1650" t="s">
        <v>3663</v>
      </c>
      <c r="J125" s="1654" t="s">
        <v>115</v>
      </c>
      <c r="K125" s="1655" t="s">
        <v>115</v>
      </c>
      <c r="L125" t="str">
        <f t="shared" si="3"/>
        <v/>
      </c>
      <c r="M125" t="str">
        <f t="shared" si="4"/>
        <v/>
      </c>
      <c r="N125" t="str">
        <f t="shared" si="5"/>
        <v>--</v>
      </c>
    </row>
    <row r="126" spans="1:14">
      <c r="A126" s="1650" t="s">
        <v>158</v>
      </c>
      <c r="B126" s="1649" t="s">
        <v>3708</v>
      </c>
      <c r="C126" s="1650" t="s">
        <v>115</v>
      </c>
      <c r="D126" s="1654">
        <v>0.24</v>
      </c>
      <c r="E126" s="1650" t="s">
        <v>1277</v>
      </c>
      <c r="F126" s="1654">
        <v>6.8999999999999997E-5</v>
      </c>
      <c r="G126" s="1650" t="s">
        <v>1234</v>
      </c>
      <c r="H126" s="1654">
        <v>5.0000000000000001E-4</v>
      </c>
      <c r="I126" s="1650" t="s">
        <v>1280</v>
      </c>
      <c r="J126" s="1654" t="s">
        <v>115</v>
      </c>
      <c r="K126" s="1655" t="s">
        <v>115</v>
      </c>
      <c r="L126" t="str">
        <f t="shared" si="3"/>
        <v/>
      </c>
      <c r="M126" t="str">
        <f t="shared" si="4"/>
        <v/>
      </c>
      <c r="N126" t="str">
        <f t="shared" si="5"/>
        <v>--</v>
      </c>
    </row>
    <row r="127" spans="1:14">
      <c r="A127" s="1650" t="s">
        <v>160</v>
      </c>
      <c r="B127" s="1649" t="s">
        <v>3709</v>
      </c>
      <c r="C127" s="1650" t="s">
        <v>115</v>
      </c>
      <c r="D127" s="1654">
        <v>0.34</v>
      </c>
      <c r="E127" s="1650" t="s">
        <v>1277</v>
      </c>
      <c r="F127" s="1654">
        <v>9.7E-5</v>
      </c>
      <c r="G127" s="1650" t="s">
        <v>1234</v>
      </c>
      <c r="H127" s="1654">
        <v>5.0000000000000001E-4</v>
      </c>
      <c r="I127" s="1650" t="s">
        <v>1280</v>
      </c>
      <c r="J127" s="1654">
        <v>1.2</v>
      </c>
      <c r="K127" s="1655" t="s">
        <v>3609</v>
      </c>
      <c r="L127" t="str">
        <f t="shared" si="3"/>
        <v/>
      </c>
      <c r="M127" t="str">
        <f t="shared" si="4"/>
        <v>Route RfC</v>
      </c>
      <c r="N127" t="str">
        <f t="shared" si="5"/>
        <v>Route RfC</v>
      </c>
    </row>
    <row r="128" spans="1:14">
      <c r="A128" s="1650" t="s">
        <v>162</v>
      </c>
      <c r="B128" s="1649" t="s">
        <v>3710</v>
      </c>
      <c r="C128" s="1650" t="s">
        <v>115</v>
      </c>
      <c r="D128" s="1654">
        <v>0.34</v>
      </c>
      <c r="E128" s="1650" t="s">
        <v>1277</v>
      </c>
      <c r="F128" s="1654">
        <v>9.7E-5</v>
      </c>
      <c r="G128" s="1650" t="s">
        <v>1277</v>
      </c>
      <c r="H128" s="1654">
        <v>5.0000000000000001E-4</v>
      </c>
      <c r="I128" s="1650" t="s">
        <v>1277</v>
      </c>
      <c r="J128" s="1654" t="s">
        <v>115</v>
      </c>
      <c r="K128" s="1655" t="s">
        <v>115</v>
      </c>
      <c r="L128" t="str">
        <f t="shared" si="3"/>
        <v/>
      </c>
      <c r="M128" t="str">
        <f t="shared" si="4"/>
        <v/>
      </c>
      <c r="N128" t="str">
        <f t="shared" si="5"/>
        <v>--</v>
      </c>
    </row>
    <row r="129" spans="1:14">
      <c r="A129" s="1650" t="s">
        <v>2294</v>
      </c>
      <c r="B129" s="1649" t="s">
        <v>3711</v>
      </c>
      <c r="C129" s="1650" t="s">
        <v>115</v>
      </c>
      <c r="D129" s="1654" t="s">
        <v>115</v>
      </c>
      <c r="E129" s="1650" t="s">
        <v>115</v>
      </c>
      <c r="F129" s="1654" t="s">
        <v>115</v>
      </c>
      <c r="G129" s="1650" t="s">
        <v>115</v>
      </c>
      <c r="H129" s="1654">
        <v>8.9999999999999993E-3</v>
      </c>
      <c r="I129" s="1650" t="s">
        <v>3603</v>
      </c>
      <c r="J129" s="1654" t="s">
        <v>115</v>
      </c>
      <c r="K129" s="1655" t="s">
        <v>115</v>
      </c>
      <c r="L129" t="str">
        <f t="shared" si="3"/>
        <v/>
      </c>
      <c r="M129" t="str">
        <f t="shared" si="4"/>
        <v/>
      </c>
      <c r="N129" t="str">
        <f t="shared" si="5"/>
        <v>--</v>
      </c>
    </row>
    <row r="130" spans="1:14">
      <c r="A130" s="1650" t="s">
        <v>3319</v>
      </c>
      <c r="B130" s="1649" t="s">
        <v>3712</v>
      </c>
      <c r="C130" s="1650" t="s">
        <v>115</v>
      </c>
      <c r="D130" s="1654" t="s">
        <v>115</v>
      </c>
      <c r="E130" s="1650" t="s">
        <v>115</v>
      </c>
      <c r="F130" s="1654" t="s">
        <v>115</v>
      </c>
      <c r="G130" s="1650" t="s">
        <v>115</v>
      </c>
      <c r="H130" s="1654">
        <v>8.0000000000000004E-4</v>
      </c>
      <c r="I130" s="1650" t="s">
        <v>1247</v>
      </c>
      <c r="J130" s="1654" t="s">
        <v>115</v>
      </c>
      <c r="K130" s="1655" t="s">
        <v>115</v>
      </c>
      <c r="L130" t="str">
        <f t="shared" si="3"/>
        <v/>
      </c>
      <c r="M130" t="str">
        <f t="shared" si="4"/>
        <v/>
      </c>
      <c r="N130" t="str">
        <f t="shared" si="5"/>
        <v>--</v>
      </c>
    </row>
    <row r="131" spans="1:14">
      <c r="A131" s="1650" t="s">
        <v>2777</v>
      </c>
      <c r="B131" s="1649" t="s">
        <v>3713</v>
      </c>
      <c r="C131" s="1650" t="s">
        <v>115</v>
      </c>
      <c r="D131" s="1654">
        <v>4.5999999999999999E-2</v>
      </c>
      <c r="E131" s="1650" t="s">
        <v>1277</v>
      </c>
      <c r="F131" s="1654">
        <v>1.2999999999999999E-5</v>
      </c>
      <c r="G131" s="1650" t="s">
        <v>1234</v>
      </c>
      <c r="H131" s="1654" t="s">
        <v>115</v>
      </c>
      <c r="I131" s="1650" t="s">
        <v>115</v>
      </c>
      <c r="J131" s="1654" t="s">
        <v>115</v>
      </c>
      <c r="K131" s="1655" t="s">
        <v>115</v>
      </c>
      <c r="L131" t="str">
        <f t="shared" si="3"/>
        <v/>
      </c>
      <c r="M131" t="str">
        <f t="shared" si="4"/>
        <v/>
      </c>
      <c r="N131" t="str">
        <f t="shared" si="5"/>
        <v>--</v>
      </c>
    </row>
    <row r="132" spans="1:14">
      <c r="A132" s="1650" t="s">
        <v>2775</v>
      </c>
      <c r="B132" s="1649" t="s">
        <v>3714</v>
      </c>
      <c r="C132" s="1650" t="s">
        <v>1906</v>
      </c>
      <c r="D132" s="1654">
        <v>1.5</v>
      </c>
      <c r="E132" s="1650" t="s">
        <v>3600</v>
      </c>
      <c r="F132" s="1654">
        <v>4.2999999999999999E-4</v>
      </c>
      <c r="G132" s="1650" t="s">
        <v>1234</v>
      </c>
      <c r="H132" s="1654">
        <v>2E-3</v>
      </c>
      <c r="I132" s="1650" t="s">
        <v>1247</v>
      </c>
      <c r="J132" s="1654" t="s">
        <v>115</v>
      </c>
      <c r="K132" s="1655" t="s">
        <v>115</v>
      </c>
      <c r="L132" t="str">
        <f t="shared" si="3"/>
        <v/>
      </c>
      <c r="M132" t="str">
        <f t="shared" si="4"/>
        <v/>
      </c>
      <c r="N132" t="str">
        <f t="shared" si="5"/>
        <v>--</v>
      </c>
    </row>
    <row r="133" spans="1:14">
      <c r="A133" s="1650" t="s">
        <v>2779</v>
      </c>
      <c r="B133" s="1649" t="s">
        <v>3715</v>
      </c>
      <c r="C133" s="1650" t="s">
        <v>115</v>
      </c>
      <c r="D133" s="1654">
        <v>1.6</v>
      </c>
      <c r="E133" s="1650" t="s">
        <v>1234</v>
      </c>
      <c r="F133" s="1654">
        <v>4.6000000000000001E-4</v>
      </c>
      <c r="G133" s="1650" t="s">
        <v>1234</v>
      </c>
      <c r="H133" s="1654" t="s">
        <v>115</v>
      </c>
      <c r="I133" s="1650" t="s">
        <v>115</v>
      </c>
      <c r="J133" s="1654">
        <v>20</v>
      </c>
      <c r="K133" s="1655" t="s">
        <v>1234</v>
      </c>
      <c r="L133" t="str">
        <f t="shared" si="3"/>
        <v/>
      </c>
      <c r="M133" t="str">
        <f t="shared" si="4"/>
        <v/>
      </c>
      <c r="N133" t="str">
        <f t="shared" si="5"/>
        <v>--</v>
      </c>
    </row>
    <row r="134" spans="1:14">
      <c r="A134" s="1650" t="s">
        <v>2381</v>
      </c>
      <c r="B134" s="1649" t="s">
        <v>3716</v>
      </c>
      <c r="C134" s="1650" t="s">
        <v>115</v>
      </c>
      <c r="D134" s="1654" t="s">
        <v>115</v>
      </c>
      <c r="E134" s="1650" t="s">
        <v>115</v>
      </c>
      <c r="F134" s="1654" t="s">
        <v>115</v>
      </c>
      <c r="G134" s="1650" t="s">
        <v>115</v>
      </c>
      <c r="H134" s="1654">
        <v>8.0000000000000007E-5</v>
      </c>
      <c r="I134" s="1650" t="s">
        <v>3603</v>
      </c>
      <c r="J134" s="1654" t="s">
        <v>115</v>
      </c>
      <c r="K134" s="1655" t="s">
        <v>115</v>
      </c>
      <c r="L134" t="str">
        <f t="shared" ref="L134:L197" si="6">IF(COUNTIF(G134,"*Route*"),"Route IUR","")</f>
        <v/>
      </c>
      <c r="M134" t="str">
        <f t="shared" ref="M134:M197" si="7">IF(COUNTIF(K134,"*Route*"),"Route RfC","")</f>
        <v/>
      </c>
      <c r="N134" t="str">
        <f t="shared" ref="N134:N197" si="8">IF(AND(L134&lt;&gt;"",M134&lt;&gt;""),"Route IUR &amp; RfC",IF(L134&lt;&gt;"","Route IUR",IF(M134&lt;&gt;"","Route RfC","--")))</f>
        <v>--</v>
      </c>
    </row>
    <row r="135" spans="1:14">
      <c r="A135" s="1650" t="s">
        <v>2383</v>
      </c>
      <c r="B135" s="1649" t="s">
        <v>3717</v>
      </c>
      <c r="C135" s="1650" t="s">
        <v>115</v>
      </c>
      <c r="D135" s="1654" t="s">
        <v>115</v>
      </c>
      <c r="E135" s="1650" t="s">
        <v>115</v>
      </c>
      <c r="F135" s="1654" t="s">
        <v>115</v>
      </c>
      <c r="G135" s="1650" t="s">
        <v>115</v>
      </c>
      <c r="H135" s="1654">
        <v>2E-3</v>
      </c>
      <c r="I135" s="1650" t="s">
        <v>1277</v>
      </c>
      <c r="J135" s="1654" t="s">
        <v>115</v>
      </c>
      <c r="K135" s="1655" t="s">
        <v>115</v>
      </c>
      <c r="L135" t="str">
        <f t="shared" si="6"/>
        <v/>
      </c>
      <c r="M135" t="str">
        <f t="shared" si="7"/>
        <v/>
      </c>
      <c r="N135" t="str">
        <f t="shared" si="8"/>
        <v>--</v>
      </c>
    </row>
    <row r="136" spans="1:14">
      <c r="A136" s="1650" t="s">
        <v>2401</v>
      </c>
      <c r="B136" s="1649" t="s">
        <v>3718</v>
      </c>
      <c r="C136" s="1650" t="s">
        <v>115</v>
      </c>
      <c r="D136" s="1654" t="s">
        <v>115</v>
      </c>
      <c r="E136" s="1650" t="s">
        <v>115</v>
      </c>
      <c r="F136" s="1654" t="s">
        <v>115</v>
      </c>
      <c r="G136" s="1650" t="s">
        <v>115</v>
      </c>
      <c r="H136" s="1654">
        <v>1E-4</v>
      </c>
      <c r="I136" s="1650" t="s">
        <v>3603</v>
      </c>
      <c r="J136" s="1654" t="s">
        <v>115</v>
      </c>
      <c r="K136" s="1655" t="s">
        <v>115</v>
      </c>
      <c r="L136" t="str">
        <f t="shared" si="6"/>
        <v/>
      </c>
      <c r="M136" t="str">
        <f t="shared" si="7"/>
        <v/>
      </c>
      <c r="N136" t="str">
        <f t="shared" si="8"/>
        <v>--</v>
      </c>
    </row>
    <row r="137" spans="1:14">
      <c r="A137" s="1650" t="s">
        <v>1935</v>
      </c>
      <c r="B137" s="1649" t="s">
        <v>3719</v>
      </c>
      <c r="C137" s="1650" t="s">
        <v>115</v>
      </c>
      <c r="D137" s="1654">
        <v>21</v>
      </c>
      <c r="E137" s="1650" t="s">
        <v>1234</v>
      </c>
      <c r="F137" s="1654">
        <v>6.0000000000000001E-3</v>
      </c>
      <c r="G137" s="1650" t="s">
        <v>1234</v>
      </c>
      <c r="H137" s="1654" t="s">
        <v>115</v>
      </c>
      <c r="I137" s="1650" t="s">
        <v>115</v>
      </c>
      <c r="J137" s="1654" t="s">
        <v>115</v>
      </c>
      <c r="K137" s="1655" t="s">
        <v>115</v>
      </c>
      <c r="L137" t="str">
        <f t="shared" si="6"/>
        <v/>
      </c>
      <c r="M137" t="str">
        <f t="shared" si="7"/>
        <v/>
      </c>
      <c r="N137" t="str">
        <f t="shared" si="8"/>
        <v>--</v>
      </c>
    </row>
    <row r="138" spans="1:14">
      <c r="A138" s="1650" t="s">
        <v>2132</v>
      </c>
      <c r="B138" s="1649" t="s">
        <v>3720</v>
      </c>
      <c r="C138" s="1650" t="s">
        <v>115</v>
      </c>
      <c r="D138" s="1654">
        <v>0.46</v>
      </c>
      <c r="E138" s="1650" t="s">
        <v>3616</v>
      </c>
      <c r="F138" s="1654" t="s">
        <v>115</v>
      </c>
      <c r="G138" s="1650" t="s">
        <v>115</v>
      </c>
      <c r="H138" s="1654" t="s">
        <v>115</v>
      </c>
      <c r="I138" s="1650" t="s">
        <v>115</v>
      </c>
      <c r="J138" s="1654" t="s">
        <v>115</v>
      </c>
      <c r="K138" s="1655" t="s">
        <v>115</v>
      </c>
      <c r="L138" t="str">
        <f t="shared" si="6"/>
        <v/>
      </c>
      <c r="M138" t="str">
        <f t="shared" si="7"/>
        <v/>
      </c>
      <c r="N138" t="str">
        <f t="shared" si="8"/>
        <v>--</v>
      </c>
    </row>
    <row r="139" spans="1:14">
      <c r="A139" s="1650" t="s">
        <v>2200</v>
      </c>
      <c r="B139" s="1649" t="s">
        <v>3721</v>
      </c>
      <c r="C139" s="1650" t="s">
        <v>115</v>
      </c>
      <c r="D139" s="1654" t="s">
        <v>115</v>
      </c>
      <c r="E139" s="1650" t="s">
        <v>115</v>
      </c>
      <c r="F139" s="1654" t="s">
        <v>115</v>
      </c>
      <c r="G139" s="1650" t="s">
        <v>115</v>
      </c>
      <c r="H139" s="1654">
        <v>0.1</v>
      </c>
      <c r="I139" s="1650" t="s">
        <v>1280</v>
      </c>
      <c r="J139" s="1654" t="s">
        <v>115</v>
      </c>
      <c r="K139" s="1655" t="s">
        <v>115</v>
      </c>
      <c r="L139" t="str">
        <f t="shared" si="6"/>
        <v/>
      </c>
      <c r="M139" t="str">
        <f t="shared" si="7"/>
        <v/>
      </c>
      <c r="N139" t="str">
        <f t="shared" si="8"/>
        <v>--</v>
      </c>
    </row>
    <row r="140" spans="1:14">
      <c r="A140" s="1650" t="s">
        <v>122</v>
      </c>
      <c r="B140" s="1649" t="s">
        <v>3722</v>
      </c>
      <c r="C140" s="1650" t="s">
        <v>115</v>
      </c>
      <c r="D140" s="1654">
        <v>0.2</v>
      </c>
      <c r="E140" s="1650" t="s">
        <v>1247</v>
      </c>
      <c r="F140" s="1654" t="s">
        <v>115</v>
      </c>
      <c r="G140" s="1650" t="s">
        <v>115</v>
      </c>
      <c r="H140" s="1654">
        <v>5.0000000000000001E-4</v>
      </c>
      <c r="I140" s="1650" t="s">
        <v>1247</v>
      </c>
      <c r="J140" s="1654" t="s">
        <v>115</v>
      </c>
      <c r="K140" s="1655" t="s">
        <v>115</v>
      </c>
      <c r="L140" t="str">
        <f t="shared" si="6"/>
        <v/>
      </c>
      <c r="M140" t="str">
        <f t="shared" si="7"/>
        <v/>
      </c>
      <c r="N140" t="str">
        <f t="shared" si="8"/>
        <v>--</v>
      </c>
    </row>
    <row r="141" spans="1:14">
      <c r="A141" s="1650" t="s">
        <v>2149</v>
      </c>
      <c r="B141" s="1649" t="s">
        <v>3723</v>
      </c>
      <c r="C141" s="1650" t="s">
        <v>115</v>
      </c>
      <c r="D141" s="1654" t="s">
        <v>115</v>
      </c>
      <c r="E141" s="1650" t="s">
        <v>115</v>
      </c>
      <c r="F141" s="1654">
        <v>8.6000000000000007E-6</v>
      </c>
      <c r="G141" s="1650" t="s">
        <v>1234</v>
      </c>
      <c r="H141" s="1654">
        <v>3.0000000000000001E-3</v>
      </c>
      <c r="I141" s="1650" t="s">
        <v>1247</v>
      </c>
      <c r="J141" s="1654">
        <v>300</v>
      </c>
      <c r="K141" s="1655" t="s">
        <v>1247</v>
      </c>
      <c r="L141" t="str">
        <f t="shared" si="6"/>
        <v/>
      </c>
      <c r="M141" t="str">
        <f t="shared" si="7"/>
        <v/>
      </c>
      <c r="N141" t="str">
        <f t="shared" si="8"/>
        <v>--</v>
      </c>
    </row>
    <row r="142" spans="1:14">
      <c r="A142" s="1650" t="s">
        <v>2161</v>
      </c>
      <c r="B142" s="1649" t="s">
        <v>3724</v>
      </c>
      <c r="C142" s="1650" t="s">
        <v>115</v>
      </c>
      <c r="D142" s="1654">
        <v>0.06</v>
      </c>
      <c r="E142" s="1650" t="s">
        <v>1247</v>
      </c>
      <c r="F142" s="1654" t="s">
        <v>115</v>
      </c>
      <c r="G142" s="1650" t="s">
        <v>115</v>
      </c>
      <c r="H142" s="1654">
        <v>6.9999999999999999E-4</v>
      </c>
      <c r="I142" s="1650" t="s">
        <v>1247</v>
      </c>
      <c r="J142" s="1654">
        <v>2</v>
      </c>
      <c r="K142" s="1655" t="s">
        <v>1247</v>
      </c>
      <c r="L142" t="str">
        <f t="shared" si="6"/>
        <v/>
      </c>
      <c r="M142" t="str">
        <f t="shared" si="7"/>
        <v/>
      </c>
      <c r="N142" t="str">
        <f t="shared" si="8"/>
        <v>--</v>
      </c>
    </row>
    <row r="143" spans="1:14">
      <c r="A143" s="1650" t="s">
        <v>2170</v>
      </c>
      <c r="B143" s="1649" t="s">
        <v>3725</v>
      </c>
      <c r="C143" s="1650" t="s">
        <v>115</v>
      </c>
      <c r="D143" s="1654" t="s">
        <v>115</v>
      </c>
      <c r="E143" s="1650" t="s">
        <v>115</v>
      </c>
      <c r="F143" s="1654" t="s">
        <v>115</v>
      </c>
      <c r="G143" s="1650" t="s">
        <v>115</v>
      </c>
      <c r="H143" s="1654">
        <v>0.02</v>
      </c>
      <c r="I143" s="1650" t="s">
        <v>3603</v>
      </c>
      <c r="J143" s="1654">
        <v>80</v>
      </c>
      <c r="K143" s="1655" t="s">
        <v>3609</v>
      </c>
      <c r="L143" t="str">
        <f t="shared" si="6"/>
        <v/>
      </c>
      <c r="M143" t="str">
        <f t="shared" si="7"/>
        <v>Route RfC</v>
      </c>
      <c r="N143" t="str">
        <f t="shared" si="8"/>
        <v>Route RfC</v>
      </c>
    </row>
    <row r="144" spans="1:14">
      <c r="A144" s="1650" t="s">
        <v>2358</v>
      </c>
      <c r="B144" s="1649" t="s">
        <v>3726</v>
      </c>
      <c r="C144" s="1650" t="s">
        <v>115</v>
      </c>
      <c r="D144" s="1654">
        <v>4.5999999999999996</v>
      </c>
      <c r="E144" s="1650" t="s">
        <v>1234</v>
      </c>
      <c r="F144" s="1654">
        <v>1.2999999999999999E-3</v>
      </c>
      <c r="G144" s="1650" t="s">
        <v>1234</v>
      </c>
      <c r="H144" s="1654" t="s">
        <v>115</v>
      </c>
      <c r="I144" s="1650" t="s">
        <v>115</v>
      </c>
      <c r="J144" s="1654" t="s">
        <v>115</v>
      </c>
      <c r="K144" s="1655" t="s">
        <v>115</v>
      </c>
      <c r="L144" t="str">
        <f t="shared" si="6"/>
        <v/>
      </c>
      <c r="M144" t="str">
        <f t="shared" si="7"/>
        <v/>
      </c>
      <c r="N144" t="str">
        <f t="shared" si="8"/>
        <v>--</v>
      </c>
    </row>
    <row r="145" spans="1:14">
      <c r="A145" s="1650" t="s">
        <v>2755</v>
      </c>
      <c r="B145" s="1649" t="s">
        <v>3727</v>
      </c>
      <c r="C145" s="1650" t="s">
        <v>115</v>
      </c>
      <c r="D145" s="1654" t="s">
        <v>115</v>
      </c>
      <c r="E145" s="1650" t="s">
        <v>115</v>
      </c>
      <c r="F145" s="1654" t="s">
        <v>115</v>
      </c>
      <c r="G145" s="1650" t="s">
        <v>115</v>
      </c>
      <c r="H145" s="1654" t="s">
        <v>115</v>
      </c>
      <c r="I145" s="1650" t="s">
        <v>115</v>
      </c>
      <c r="J145" s="1654">
        <v>3000</v>
      </c>
      <c r="K145" s="1655" t="s">
        <v>3603</v>
      </c>
      <c r="L145" t="str">
        <f t="shared" si="6"/>
        <v/>
      </c>
      <c r="M145" t="str">
        <f t="shared" si="7"/>
        <v/>
      </c>
      <c r="N145" t="str">
        <f t="shared" si="8"/>
        <v>--</v>
      </c>
    </row>
    <row r="146" spans="1:14">
      <c r="A146" s="1650" t="s">
        <v>222</v>
      </c>
      <c r="B146" s="1649" t="s">
        <v>3728</v>
      </c>
      <c r="C146" s="1650" t="s">
        <v>115</v>
      </c>
      <c r="D146" s="1654" t="s">
        <v>115</v>
      </c>
      <c r="E146" s="1650" t="s">
        <v>115</v>
      </c>
      <c r="F146" s="1654" t="s">
        <v>115</v>
      </c>
      <c r="G146" s="1650" t="s">
        <v>115</v>
      </c>
      <c r="H146" s="1654" t="s">
        <v>115</v>
      </c>
      <c r="I146" s="1650" t="s">
        <v>115</v>
      </c>
      <c r="J146" s="1654">
        <v>3000</v>
      </c>
      <c r="K146" s="1655" t="s">
        <v>1277</v>
      </c>
      <c r="L146" t="str">
        <f t="shared" si="6"/>
        <v/>
      </c>
      <c r="M146" t="str">
        <f t="shared" si="7"/>
        <v/>
      </c>
      <c r="N146" t="str">
        <f t="shared" si="8"/>
        <v>--</v>
      </c>
    </row>
    <row r="147" spans="1:14">
      <c r="A147" s="1650" t="s">
        <v>2198</v>
      </c>
      <c r="B147" s="1649" t="s">
        <v>3729</v>
      </c>
      <c r="C147" s="1650" t="s">
        <v>115</v>
      </c>
      <c r="D147" s="1654" t="s">
        <v>115</v>
      </c>
      <c r="E147" s="1650" t="s">
        <v>115</v>
      </c>
      <c r="F147" s="1654" t="s">
        <v>115</v>
      </c>
      <c r="G147" s="1650" t="s">
        <v>115</v>
      </c>
      <c r="H147" s="1654">
        <v>0.02</v>
      </c>
      <c r="I147" s="1650" t="s">
        <v>1247</v>
      </c>
      <c r="J147" s="1654">
        <v>600</v>
      </c>
      <c r="K147" s="1655" t="s">
        <v>3691</v>
      </c>
      <c r="L147" t="str">
        <f t="shared" si="6"/>
        <v/>
      </c>
      <c r="M147" t="str">
        <f t="shared" si="7"/>
        <v/>
      </c>
      <c r="N147" t="str">
        <f t="shared" si="8"/>
        <v>--</v>
      </c>
    </row>
    <row r="148" spans="1:14">
      <c r="A148" s="1650" t="s">
        <v>2842</v>
      </c>
      <c r="B148" s="1649" t="s">
        <v>3730</v>
      </c>
      <c r="C148" s="1650" t="s">
        <v>115</v>
      </c>
      <c r="D148" s="1654">
        <v>0.02</v>
      </c>
      <c r="E148" s="1650" t="s">
        <v>1247</v>
      </c>
      <c r="F148" s="1654" t="s">
        <v>115</v>
      </c>
      <c r="G148" s="1650" t="s">
        <v>115</v>
      </c>
      <c r="H148" s="1654">
        <v>4.0000000000000001E-3</v>
      </c>
      <c r="I148" s="1650" t="s">
        <v>1247</v>
      </c>
      <c r="J148" s="1654">
        <v>6</v>
      </c>
      <c r="K148" s="1655" t="s">
        <v>1247</v>
      </c>
      <c r="L148" t="str">
        <f t="shared" si="6"/>
        <v/>
      </c>
      <c r="M148" t="str">
        <f t="shared" si="7"/>
        <v/>
      </c>
      <c r="N148" t="str">
        <f t="shared" si="8"/>
        <v>--</v>
      </c>
    </row>
    <row r="149" spans="1:14">
      <c r="A149" s="1650" t="s">
        <v>3218</v>
      </c>
      <c r="B149" s="1649" t="s">
        <v>3731</v>
      </c>
      <c r="C149" s="1650" t="s">
        <v>115</v>
      </c>
      <c r="D149" s="1654">
        <v>1.2</v>
      </c>
      <c r="E149" s="1650" t="s">
        <v>3732</v>
      </c>
      <c r="F149" s="1654">
        <v>1.1E-4</v>
      </c>
      <c r="G149" s="1650" t="s">
        <v>3732</v>
      </c>
      <c r="H149" s="1654" t="s">
        <v>115</v>
      </c>
      <c r="I149" s="1650" t="s">
        <v>115</v>
      </c>
      <c r="J149" s="1654" t="s">
        <v>115</v>
      </c>
      <c r="K149" s="1655" t="s">
        <v>115</v>
      </c>
      <c r="L149" t="str">
        <f t="shared" si="6"/>
        <v/>
      </c>
      <c r="M149" t="str">
        <f t="shared" si="7"/>
        <v/>
      </c>
      <c r="N149" t="str">
        <f t="shared" si="8"/>
        <v>--</v>
      </c>
    </row>
    <row r="150" spans="1:14">
      <c r="A150" s="1650" t="s">
        <v>2888</v>
      </c>
      <c r="B150" s="1649" t="s">
        <v>3733</v>
      </c>
      <c r="C150" s="1650" t="s">
        <v>115</v>
      </c>
      <c r="D150" s="1654">
        <v>1.6E-2</v>
      </c>
      <c r="E150" s="1650" t="s">
        <v>1247</v>
      </c>
      <c r="F150" s="1654" t="s">
        <v>115</v>
      </c>
      <c r="G150" s="1650" t="s">
        <v>115</v>
      </c>
      <c r="H150" s="1654">
        <v>4.0000000000000001E-3</v>
      </c>
      <c r="I150" s="1650" t="s">
        <v>1247</v>
      </c>
      <c r="J150" s="1654" t="s">
        <v>115</v>
      </c>
      <c r="K150" s="1655" t="s">
        <v>115</v>
      </c>
      <c r="L150" t="str">
        <f t="shared" si="6"/>
        <v/>
      </c>
      <c r="M150" t="str">
        <f t="shared" si="7"/>
        <v/>
      </c>
      <c r="N150" t="str">
        <f t="shared" si="8"/>
        <v>--</v>
      </c>
    </row>
    <row r="151" spans="1:14">
      <c r="A151" s="1650" t="s">
        <v>3209</v>
      </c>
      <c r="B151" s="1649" t="s">
        <v>3734</v>
      </c>
      <c r="C151" s="1650" t="s">
        <v>1906</v>
      </c>
      <c r="D151" s="1654">
        <v>250</v>
      </c>
      <c r="E151" s="1650" t="s">
        <v>3704</v>
      </c>
      <c r="F151" s="1654">
        <v>7.0999999999999994E-2</v>
      </c>
      <c r="G151" s="1650" t="s">
        <v>3704</v>
      </c>
      <c r="H151" s="1654" t="s">
        <v>115</v>
      </c>
      <c r="I151" s="1650" t="s">
        <v>115</v>
      </c>
      <c r="J151" s="1654" t="s">
        <v>115</v>
      </c>
      <c r="K151" s="1655" t="s">
        <v>115</v>
      </c>
      <c r="L151" t="str">
        <f t="shared" si="6"/>
        <v/>
      </c>
      <c r="M151" t="str">
        <f t="shared" si="7"/>
        <v/>
      </c>
      <c r="N151" t="str">
        <f t="shared" si="8"/>
        <v>--</v>
      </c>
    </row>
    <row r="152" spans="1:14">
      <c r="A152" s="1650" t="s">
        <v>1956</v>
      </c>
      <c r="B152" s="1649" t="s">
        <v>3735</v>
      </c>
      <c r="C152" s="1650" t="s">
        <v>115</v>
      </c>
      <c r="D152" s="1654">
        <v>0.04</v>
      </c>
      <c r="E152" s="1650" t="s">
        <v>1247</v>
      </c>
      <c r="F152" s="1654" t="s">
        <v>115</v>
      </c>
      <c r="G152" s="1650" t="s">
        <v>115</v>
      </c>
      <c r="H152" s="1654">
        <v>2E-3</v>
      </c>
      <c r="I152" s="1650" t="s">
        <v>3603</v>
      </c>
      <c r="J152" s="1654" t="s">
        <v>115</v>
      </c>
      <c r="K152" s="1655" t="s">
        <v>115</v>
      </c>
      <c r="L152" t="str">
        <f t="shared" si="6"/>
        <v/>
      </c>
      <c r="M152" t="str">
        <f t="shared" si="7"/>
        <v/>
      </c>
      <c r="N152" t="str">
        <f t="shared" si="8"/>
        <v>--</v>
      </c>
    </row>
    <row r="153" spans="1:14">
      <c r="A153" s="1650" t="s">
        <v>234</v>
      </c>
      <c r="B153" s="1649" t="s">
        <v>3736</v>
      </c>
      <c r="C153" s="1650" t="s">
        <v>115</v>
      </c>
      <c r="D153" s="1654" t="s">
        <v>115</v>
      </c>
      <c r="E153" s="1650" t="s">
        <v>115</v>
      </c>
      <c r="F153" s="1654" t="s">
        <v>115</v>
      </c>
      <c r="G153" s="1650" t="s">
        <v>115</v>
      </c>
      <c r="H153" s="1654">
        <v>0.06</v>
      </c>
      <c r="I153" s="1650" t="s">
        <v>1277</v>
      </c>
      <c r="J153" s="1654">
        <v>240</v>
      </c>
      <c r="K153" s="1655" t="s">
        <v>3598</v>
      </c>
      <c r="L153" t="str">
        <f t="shared" si="6"/>
        <v/>
      </c>
      <c r="M153" t="str">
        <f t="shared" si="7"/>
        <v>Route RfC</v>
      </c>
      <c r="N153" t="str">
        <f t="shared" si="8"/>
        <v>Route RfC</v>
      </c>
    </row>
    <row r="154" spans="1:14">
      <c r="A154" s="1650" t="s">
        <v>1881</v>
      </c>
      <c r="B154" s="1649" t="s">
        <v>1882</v>
      </c>
      <c r="C154" s="1650" t="s">
        <v>115</v>
      </c>
      <c r="D154" s="1654" t="s">
        <v>115</v>
      </c>
      <c r="E154" s="1650" t="s">
        <v>115</v>
      </c>
      <c r="F154" s="1654" t="s">
        <v>115</v>
      </c>
      <c r="G154" s="1650" t="s">
        <v>115</v>
      </c>
      <c r="H154" s="1654">
        <v>2.9999999999999997E-4</v>
      </c>
      <c r="I154" s="1650" t="s">
        <v>3663</v>
      </c>
      <c r="J154" s="1654" t="s">
        <v>115</v>
      </c>
      <c r="K154" s="1655" t="s">
        <v>115</v>
      </c>
      <c r="L154" t="str">
        <f t="shared" si="6"/>
        <v/>
      </c>
      <c r="M154" t="str">
        <f t="shared" si="7"/>
        <v/>
      </c>
      <c r="N154" t="str">
        <f t="shared" si="8"/>
        <v>--</v>
      </c>
    </row>
    <row r="155" spans="1:14">
      <c r="A155" s="1650" t="s">
        <v>1886</v>
      </c>
      <c r="B155" s="1649" t="s">
        <v>1887</v>
      </c>
      <c r="C155" s="1650" t="s">
        <v>115</v>
      </c>
      <c r="D155" s="1654" t="s">
        <v>115</v>
      </c>
      <c r="E155" s="1650" t="s">
        <v>115</v>
      </c>
      <c r="F155" s="1654">
        <v>2.7E-6</v>
      </c>
      <c r="G155" s="1650" t="s">
        <v>3600</v>
      </c>
      <c r="H155" s="1654" t="s">
        <v>115</v>
      </c>
      <c r="I155" s="1650" t="s">
        <v>115</v>
      </c>
      <c r="J155" s="1654">
        <v>9</v>
      </c>
      <c r="K155" s="1655" t="s">
        <v>1277</v>
      </c>
      <c r="L155" t="str">
        <f t="shared" si="6"/>
        <v/>
      </c>
      <c r="M155" t="str">
        <f t="shared" si="7"/>
        <v/>
      </c>
      <c r="N155" t="str">
        <f t="shared" si="8"/>
        <v>--</v>
      </c>
    </row>
    <row r="156" spans="1:14">
      <c r="A156" s="1650" t="s">
        <v>1888</v>
      </c>
      <c r="B156" s="1649" t="s">
        <v>1889</v>
      </c>
      <c r="C156" s="1650" t="s">
        <v>115</v>
      </c>
      <c r="D156" s="1654" t="s">
        <v>115</v>
      </c>
      <c r="E156" s="1650" t="s">
        <v>115</v>
      </c>
      <c r="F156" s="1654" t="s">
        <v>115</v>
      </c>
      <c r="G156" s="1650" t="s">
        <v>115</v>
      </c>
      <c r="H156" s="1654">
        <v>0.02</v>
      </c>
      <c r="I156" s="1650" t="s">
        <v>1277</v>
      </c>
      <c r="J156" s="1654" t="s">
        <v>115</v>
      </c>
      <c r="K156" s="1655" t="s">
        <v>115</v>
      </c>
      <c r="L156" t="str">
        <f t="shared" si="6"/>
        <v/>
      </c>
      <c r="M156" t="str">
        <f t="shared" si="7"/>
        <v/>
      </c>
      <c r="N156" t="str">
        <f t="shared" si="8"/>
        <v>--</v>
      </c>
    </row>
    <row r="157" spans="1:14">
      <c r="A157" s="1650" t="s">
        <v>392</v>
      </c>
      <c r="B157" s="1649" t="s">
        <v>391</v>
      </c>
      <c r="C157" s="1650" t="s">
        <v>115</v>
      </c>
      <c r="D157" s="1654" t="s">
        <v>115</v>
      </c>
      <c r="E157" s="1650" t="s">
        <v>115</v>
      </c>
      <c r="F157" s="1654" t="s">
        <v>115</v>
      </c>
      <c r="G157" s="1650" t="s">
        <v>115</v>
      </c>
      <c r="H157" s="1654">
        <v>0.9</v>
      </c>
      <c r="I157" s="1650" t="s">
        <v>1277</v>
      </c>
      <c r="J157" s="1654">
        <v>31000</v>
      </c>
      <c r="K157" s="1655" t="s">
        <v>1280</v>
      </c>
      <c r="L157" t="str">
        <f t="shared" si="6"/>
        <v/>
      </c>
      <c r="M157" t="str">
        <f t="shared" si="7"/>
        <v/>
      </c>
      <c r="N157" t="str">
        <f t="shared" si="8"/>
        <v>--</v>
      </c>
    </row>
    <row r="158" spans="1:14">
      <c r="A158" s="1650" t="s">
        <v>1891</v>
      </c>
      <c r="B158" s="1649" t="s">
        <v>3737</v>
      </c>
      <c r="C158" s="1650" t="s">
        <v>115</v>
      </c>
      <c r="D158" s="1654" t="s">
        <v>115</v>
      </c>
      <c r="E158" s="1650" t="s">
        <v>115</v>
      </c>
      <c r="F158" s="1654" t="s">
        <v>115</v>
      </c>
      <c r="G158" s="1650" t="s">
        <v>115</v>
      </c>
      <c r="H158" s="1654" t="s">
        <v>115</v>
      </c>
      <c r="I158" s="1650" t="s">
        <v>115</v>
      </c>
      <c r="J158" s="1654">
        <v>2</v>
      </c>
      <c r="K158" s="1655" t="s">
        <v>3603</v>
      </c>
      <c r="L158" t="str">
        <f t="shared" si="6"/>
        <v/>
      </c>
      <c r="M158" t="str">
        <f t="shared" si="7"/>
        <v/>
      </c>
      <c r="N158" t="str">
        <f t="shared" si="8"/>
        <v>--</v>
      </c>
    </row>
    <row r="159" spans="1:14">
      <c r="A159" s="1650" t="s">
        <v>1894</v>
      </c>
      <c r="B159" s="1649" t="s">
        <v>1895</v>
      </c>
      <c r="C159" s="1650" t="s">
        <v>115</v>
      </c>
      <c r="D159" s="1654" t="s">
        <v>115</v>
      </c>
      <c r="E159" s="1650" t="s">
        <v>115</v>
      </c>
      <c r="F159" s="1654" t="s">
        <v>115</v>
      </c>
      <c r="G159" s="1650" t="s">
        <v>115</v>
      </c>
      <c r="H159" s="1654" t="s">
        <v>115</v>
      </c>
      <c r="I159" s="1650" t="s">
        <v>115</v>
      </c>
      <c r="J159" s="1654">
        <v>60</v>
      </c>
      <c r="K159" s="1655" t="s">
        <v>1277</v>
      </c>
      <c r="L159" t="str">
        <f t="shared" si="6"/>
        <v/>
      </c>
      <c r="M159" t="str">
        <f t="shared" si="7"/>
        <v/>
      </c>
      <c r="N159" t="str">
        <f t="shared" si="8"/>
        <v>--</v>
      </c>
    </row>
    <row r="160" spans="1:14">
      <c r="A160" s="1650" t="s">
        <v>1896</v>
      </c>
      <c r="B160" s="1649" t="s">
        <v>1897</v>
      </c>
      <c r="C160" s="1650" t="s">
        <v>115</v>
      </c>
      <c r="D160" s="1654" t="s">
        <v>115</v>
      </c>
      <c r="E160" s="1650" t="s">
        <v>115</v>
      </c>
      <c r="F160" s="1654" t="s">
        <v>115</v>
      </c>
      <c r="G160" s="1650" t="s">
        <v>115</v>
      </c>
      <c r="H160" s="1654">
        <v>0.1</v>
      </c>
      <c r="I160" s="1650" t="s">
        <v>1277</v>
      </c>
      <c r="J160" s="1654">
        <v>400</v>
      </c>
      <c r="K160" s="1655" t="s">
        <v>3598</v>
      </c>
      <c r="L160" t="str">
        <f t="shared" si="6"/>
        <v/>
      </c>
      <c r="M160" t="str">
        <f t="shared" si="7"/>
        <v>Route RfC</v>
      </c>
      <c r="N160" t="str">
        <f t="shared" si="8"/>
        <v>Route RfC</v>
      </c>
    </row>
    <row r="161" spans="1:14">
      <c r="A161" s="1650" t="s">
        <v>3289</v>
      </c>
      <c r="B161" s="1649" t="s">
        <v>3738</v>
      </c>
      <c r="C161" s="1650" t="s">
        <v>115</v>
      </c>
      <c r="D161" s="1654" t="s">
        <v>115</v>
      </c>
      <c r="E161" s="1650" t="s">
        <v>115</v>
      </c>
      <c r="F161" s="1654" t="s">
        <v>115</v>
      </c>
      <c r="G161" s="1650" t="s">
        <v>115</v>
      </c>
      <c r="H161" s="1654">
        <v>1.2999999999999999E-2</v>
      </c>
      <c r="I161" s="1650" t="s">
        <v>1277</v>
      </c>
      <c r="J161" s="1654" t="s">
        <v>115</v>
      </c>
      <c r="K161" s="1655" t="s">
        <v>115</v>
      </c>
      <c r="L161" t="str">
        <f t="shared" si="6"/>
        <v/>
      </c>
      <c r="M161" t="str">
        <f t="shared" si="7"/>
        <v/>
      </c>
      <c r="N161" t="str">
        <f t="shared" si="8"/>
        <v>--</v>
      </c>
    </row>
    <row r="162" spans="1:14">
      <c r="A162" s="1650" t="s">
        <v>1901</v>
      </c>
      <c r="B162" s="1649" t="s">
        <v>1902</v>
      </c>
      <c r="C162" s="1650" t="s">
        <v>115</v>
      </c>
      <c r="D162" s="1654" t="s">
        <v>115</v>
      </c>
      <c r="E162" s="1650" t="s">
        <v>115</v>
      </c>
      <c r="F162" s="1654" t="s">
        <v>115</v>
      </c>
      <c r="G162" s="1650" t="s">
        <v>115</v>
      </c>
      <c r="H162" s="1654">
        <v>5.0000000000000001E-4</v>
      </c>
      <c r="I162" s="1650" t="s">
        <v>1277</v>
      </c>
      <c r="J162" s="1654">
        <v>0.02</v>
      </c>
      <c r="K162" s="1655" t="s">
        <v>1277</v>
      </c>
      <c r="L162" t="str">
        <f t="shared" si="6"/>
        <v/>
      </c>
      <c r="M162" t="str">
        <f t="shared" si="7"/>
        <v/>
      </c>
      <c r="N162" t="str">
        <f t="shared" si="8"/>
        <v>--</v>
      </c>
    </row>
    <row r="163" spans="1:14">
      <c r="A163" s="1650" t="s">
        <v>1903</v>
      </c>
      <c r="B163" s="1649" t="s">
        <v>1904</v>
      </c>
      <c r="C163" s="1650" t="s">
        <v>1906</v>
      </c>
      <c r="D163" s="1654">
        <v>0.5</v>
      </c>
      <c r="E163" s="1650" t="s">
        <v>1277</v>
      </c>
      <c r="F163" s="1654">
        <v>1E-4</v>
      </c>
      <c r="G163" s="1650" t="s">
        <v>1277</v>
      </c>
      <c r="H163" s="1654">
        <v>2E-3</v>
      </c>
      <c r="I163" s="1650" t="s">
        <v>1277</v>
      </c>
      <c r="J163" s="1654">
        <v>6</v>
      </c>
      <c r="K163" s="1655" t="s">
        <v>1277</v>
      </c>
      <c r="L163" t="str">
        <f t="shared" si="6"/>
        <v/>
      </c>
      <c r="M163" t="str">
        <f t="shared" si="7"/>
        <v/>
      </c>
      <c r="N163" t="str">
        <f t="shared" si="8"/>
        <v>--</v>
      </c>
    </row>
    <row r="164" spans="1:14">
      <c r="A164" s="1650" t="s">
        <v>1907</v>
      </c>
      <c r="B164" s="1649" t="s">
        <v>3739</v>
      </c>
      <c r="C164" s="1650" t="s">
        <v>115</v>
      </c>
      <c r="D164" s="1654" t="s">
        <v>115</v>
      </c>
      <c r="E164" s="1650" t="s">
        <v>115</v>
      </c>
      <c r="F164" s="1654" t="s">
        <v>115</v>
      </c>
      <c r="G164" s="1650" t="s">
        <v>115</v>
      </c>
      <c r="H164" s="1654">
        <v>0.5</v>
      </c>
      <c r="I164" s="1650" t="s">
        <v>1277</v>
      </c>
      <c r="J164" s="1654">
        <v>0.2</v>
      </c>
      <c r="K164" s="1655" t="s">
        <v>1247</v>
      </c>
      <c r="L164" t="str">
        <f t="shared" si="6"/>
        <v/>
      </c>
      <c r="M164" t="str">
        <f t="shared" si="7"/>
        <v/>
      </c>
      <c r="N164" t="str">
        <f t="shared" si="8"/>
        <v>--</v>
      </c>
    </row>
    <row r="165" spans="1:14">
      <c r="A165" s="1650" t="s">
        <v>1910</v>
      </c>
      <c r="B165" s="1649" t="s">
        <v>1911</v>
      </c>
      <c r="C165" s="1650" t="s">
        <v>115</v>
      </c>
      <c r="D165" s="1654">
        <v>0.54</v>
      </c>
      <c r="E165" s="1650" t="s">
        <v>1277</v>
      </c>
      <c r="F165" s="1654">
        <v>6.7999999999999999E-5</v>
      </c>
      <c r="G165" s="1650" t="s">
        <v>1277</v>
      </c>
      <c r="H165" s="1654">
        <v>9.0000000000000006E-5</v>
      </c>
      <c r="I165" s="1650" t="s">
        <v>1280</v>
      </c>
      <c r="J165" s="1654">
        <v>2</v>
      </c>
      <c r="K165" s="1655" t="s">
        <v>1277</v>
      </c>
      <c r="L165" t="str">
        <f t="shared" si="6"/>
        <v/>
      </c>
      <c r="M165" t="str">
        <f t="shared" si="7"/>
        <v/>
      </c>
      <c r="N165" t="str">
        <f t="shared" si="8"/>
        <v>--</v>
      </c>
    </row>
    <row r="166" spans="1:14">
      <c r="A166" s="1650" t="s">
        <v>1913</v>
      </c>
      <c r="B166" s="1649" t="s">
        <v>1914</v>
      </c>
      <c r="C166" s="1650" t="s">
        <v>115</v>
      </c>
      <c r="D166" s="1654" t="s">
        <v>115</v>
      </c>
      <c r="E166" s="1650" t="s">
        <v>115</v>
      </c>
      <c r="F166" s="1654" t="s">
        <v>115</v>
      </c>
      <c r="G166" s="1650" t="s">
        <v>115</v>
      </c>
      <c r="H166" s="1654" t="s">
        <v>115</v>
      </c>
      <c r="I166" s="1650" t="s">
        <v>115</v>
      </c>
      <c r="J166" s="1654">
        <v>6</v>
      </c>
      <c r="K166" s="1655" t="s">
        <v>1247</v>
      </c>
      <c r="L166" t="str">
        <f t="shared" si="6"/>
        <v/>
      </c>
      <c r="M166" t="str">
        <f t="shared" si="7"/>
        <v/>
      </c>
      <c r="N166" t="str">
        <f t="shared" si="8"/>
        <v>--</v>
      </c>
    </row>
    <row r="167" spans="1:14">
      <c r="A167" s="1650" t="s">
        <v>1915</v>
      </c>
      <c r="B167" s="1649" t="s">
        <v>1916</v>
      </c>
      <c r="C167" s="1650" t="s">
        <v>115</v>
      </c>
      <c r="D167" s="1654">
        <v>5.6000000000000001E-2</v>
      </c>
      <c r="E167" s="1650" t="s">
        <v>1234</v>
      </c>
      <c r="F167" s="1654" t="s">
        <v>115</v>
      </c>
      <c r="G167" s="1650" t="s">
        <v>115</v>
      </c>
      <c r="H167" s="1654">
        <v>0.01</v>
      </c>
      <c r="I167" s="1650" t="s">
        <v>1277</v>
      </c>
      <c r="J167" s="1654" t="s">
        <v>115</v>
      </c>
      <c r="K167" s="1655" t="s">
        <v>115</v>
      </c>
      <c r="L167" t="str">
        <f t="shared" si="6"/>
        <v/>
      </c>
      <c r="M167" t="str">
        <f t="shared" si="7"/>
        <v/>
      </c>
      <c r="N167" t="str">
        <f t="shared" si="8"/>
        <v>--</v>
      </c>
    </row>
    <row r="168" spans="1:14">
      <c r="A168" s="1650" t="s">
        <v>1917</v>
      </c>
      <c r="B168" s="1649" t="s">
        <v>1918</v>
      </c>
      <c r="C168" s="1650" t="s">
        <v>115</v>
      </c>
      <c r="D168" s="1654" t="s">
        <v>115</v>
      </c>
      <c r="E168" s="1650" t="s">
        <v>115</v>
      </c>
      <c r="F168" s="1654" t="s">
        <v>115</v>
      </c>
      <c r="G168" s="1650" t="s">
        <v>115</v>
      </c>
      <c r="H168" s="1654">
        <v>1E-3</v>
      </c>
      <c r="I168" s="1650" t="s">
        <v>1277</v>
      </c>
      <c r="J168" s="1654" t="s">
        <v>115</v>
      </c>
      <c r="K168" s="1655" t="s">
        <v>115</v>
      </c>
      <c r="L168" t="str">
        <f t="shared" si="6"/>
        <v/>
      </c>
      <c r="M168" t="str">
        <f t="shared" si="7"/>
        <v/>
      </c>
      <c r="N168" t="str">
        <f t="shared" si="8"/>
        <v>--</v>
      </c>
    </row>
    <row r="169" spans="1:14">
      <c r="A169" s="1650" t="s">
        <v>1919</v>
      </c>
      <c r="B169" s="1649" t="s">
        <v>3740</v>
      </c>
      <c r="C169" s="1650" t="s">
        <v>115</v>
      </c>
      <c r="D169" s="1654" t="s">
        <v>115</v>
      </c>
      <c r="E169" s="1650" t="s">
        <v>115</v>
      </c>
      <c r="F169" s="1654" t="s">
        <v>115</v>
      </c>
      <c r="G169" s="1650" t="s">
        <v>115</v>
      </c>
      <c r="H169" s="1654">
        <v>1E-3</v>
      </c>
      <c r="I169" s="1650" t="s">
        <v>1277</v>
      </c>
      <c r="J169" s="1654" t="s">
        <v>115</v>
      </c>
      <c r="K169" s="1655" t="s">
        <v>115</v>
      </c>
      <c r="L169" t="str">
        <f t="shared" si="6"/>
        <v/>
      </c>
      <c r="M169" t="str">
        <f t="shared" si="7"/>
        <v/>
      </c>
      <c r="N169" t="str">
        <f t="shared" si="8"/>
        <v>--</v>
      </c>
    </row>
    <row r="170" spans="1:14">
      <c r="A170" s="1650" t="s">
        <v>1921</v>
      </c>
      <c r="B170" s="1649" t="s">
        <v>1922</v>
      </c>
      <c r="C170" s="1650" t="s">
        <v>115</v>
      </c>
      <c r="D170" s="1654" t="s">
        <v>115</v>
      </c>
      <c r="E170" s="1650" t="s">
        <v>115</v>
      </c>
      <c r="F170" s="1654" t="s">
        <v>115</v>
      </c>
      <c r="G170" s="1650" t="s">
        <v>115</v>
      </c>
      <c r="H170" s="1654" t="s">
        <v>115</v>
      </c>
      <c r="I170" s="1650" t="s">
        <v>115</v>
      </c>
      <c r="J170" s="1654" t="s">
        <v>115</v>
      </c>
      <c r="K170" s="1655" t="s">
        <v>115</v>
      </c>
      <c r="L170" t="str">
        <f t="shared" si="6"/>
        <v/>
      </c>
      <c r="M170" t="str">
        <f t="shared" si="7"/>
        <v/>
      </c>
      <c r="N170" t="str">
        <f t="shared" si="8"/>
        <v>--</v>
      </c>
    </row>
    <row r="171" spans="1:14">
      <c r="A171" s="1650" t="s">
        <v>86</v>
      </c>
      <c r="B171" s="1649" t="s">
        <v>85</v>
      </c>
      <c r="C171" s="1650" t="s">
        <v>115</v>
      </c>
      <c r="D171" s="1654">
        <v>17</v>
      </c>
      <c r="E171" s="1650" t="s">
        <v>1277</v>
      </c>
      <c r="F171" s="1654">
        <v>4.8999999999999998E-3</v>
      </c>
      <c r="G171" s="1650" t="s">
        <v>1277</v>
      </c>
      <c r="H171" s="1654">
        <v>3.0000000000000001E-5</v>
      </c>
      <c r="I171" s="1650" t="s">
        <v>1277</v>
      </c>
      <c r="J171" s="1654">
        <v>0.12</v>
      </c>
      <c r="K171" s="1655" t="s">
        <v>3598</v>
      </c>
      <c r="L171" t="str">
        <f t="shared" si="6"/>
        <v/>
      </c>
      <c r="M171" t="str">
        <f t="shared" si="7"/>
        <v>Route RfC</v>
      </c>
      <c r="N171" t="str">
        <f t="shared" si="8"/>
        <v>Route RfC</v>
      </c>
    </row>
    <row r="172" spans="1:14">
      <c r="A172" s="1650" t="s">
        <v>1923</v>
      </c>
      <c r="B172" s="1649" t="s">
        <v>3741</v>
      </c>
      <c r="C172" s="1650" t="s">
        <v>115</v>
      </c>
      <c r="D172" s="1654" t="s">
        <v>115</v>
      </c>
      <c r="E172" s="1650" t="s">
        <v>115</v>
      </c>
      <c r="F172" s="1654" t="s">
        <v>115</v>
      </c>
      <c r="G172" s="1650" t="s">
        <v>115</v>
      </c>
      <c r="H172" s="1654">
        <v>4.0000000000000001E-3</v>
      </c>
      <c r="I172" s="1650" t="s">
        <v>1247</v>
      </c>
      <c r="J172" s="1654">
        <v>0.1</v>
      </c>
      <c r="K172" s="1655" t="s">
        <v>3603</v>
      </c>
      <c r="L172" t="str">
        <f t="shared" si="6"/>
        <v/>
      </c>
      <c r="M172" t="str">
        <f t="shared" si="7"/>
        <v/>
      </c>
      <c r="N172" t="str">
        <f t="shared" si="8"/>
        <v>--</v>
      </c>
    </row>
    <row r="173" spans="1:14">
      <c r="A173" s="1650" t="s">
        <v>1925</v>
      </c>
      <c r="B173" s="1649" t="s">
        <v>3742</v>
      </c>
      <c r="C173" s="1650" t="s">
        <v>115</v>
      </c>
      <c r="D173" s="1654">
        <v>2.1000000000000001E-2</v>
      </c>
      <c r="E173" s="1650" t="s">
        <v>1234</v>
      </c>
      <c r="F173" s="1654">
        <v>6.0000000000000002E-6</v>
      </c>
      <c r="G173" s="1650" t="s">
        <v>1234</v>
      </c>
      <c r="H173" s="1654" t="s">
        <v>115</v>
      </c>
      <c r="I173" s="1650" t="s">
        <v>115</v>
      </c>
      <c r="J173" s="1654">
        <v>1</v>
      </c>
      <c r="K173" s="1655" t="s">
        <v>1277</v>
      </c>
      <c r="L173" t="str">
        <f t="shared" si="6"/>
        <v/>
      </c>
      <c r="M173" t="str">
        <f t="shared" si="7"/>
        <v/>
      </c>
      <c r="N173" t="str">
        <f t="shared" si="8"/>
        <v>--</v>
      </c>
    </row>
    <row r="174" spans="1:14">
      <c r="A174" s="1650" t="s">
        <v>2562</v>
      </c>
      <c r="B174" s="1649" t="s">
        <v>3743</v>
      </c>
      <c r="C174" s="1650" t="s">
        <v>115</v>
      </c>
      <c r="D174" s="1654">
        <v>6.3</v>
      </c>
      <c r="E174" s="1650" t="s">
        <v>1277</v>
      </c>
      <c r="F174" s="1654">
        <v>1.8E-3</v>
      </c>
      <c r="G174" s="1650" t="s">
        <v>1277</v>
      </c>
      <c r="H174" s="1654">
        <v>8.9999999999999998E-4</v>
      </c>
      <c r="I174" s="1650" t="s">
        <v>1280</v>
      </c>
      <c r="J174" s="1654" t="s">
        <v>115</v>
      </c>
      <c r="K174" s="1655" t="s">
        <v>115</v>
      </c>
      <c r="L174" t="str">
        <f t="shared" si="6"/>
        <v/>
      </c>
      <c r="M174" t="str">
        <f t="shared" si="7"/>
        <v/>
      </c>
      <c r="N174" t="str">
        <f t="shared" si="8"/>
        <v>--</v>
      </c>
    </row>
    <row r="175" spans="1:14">
      <c r="A175" s="1650" t="s">
        <v>1927</v>
      </c>
      <c r="B175" s="1649" t="s">
        <v>1928</v>
      </c>
      <c r="C175" s="1650" t="s">
        <v>115</v>
      </c>
      <c r="D175" s="1654" t="s">
        <v>115</v>
      </c>
      <c r="E175" s="1650" t="s">
        <v>115</v>
      </c>
      <c r="F175" s="1654" t="s">
        <v>115</v>
      </c>
      <c r="G175" s="1650" t="s">
        <v>115</v>
      </c>
      <c r="H175" s="1654">
        <v>1</v>
      </c>
      <c r="I175" s="1650" t="s">
        <v>1247</v>
      </c>
      <c r="J175" s="1654">
        <v>5</v>
      </c>
      <c r="K175" s="1655" t="s">
        <v>1247</v>
      </c>
      <c r="L175" t="str">
        <f t="shared" si="6"/>
        <v/>
      </c>
      <c r="M175" t="str">
        <f t="shared" si="7"/>
        <v/>
      </c>
      <c r="N175" t="str">
        <f t="shared" si="8"/>
        <v>--</v>
      </c>
    </row>
    <row r="176" spans="1:14">
      <c r="A176" s="1650" t="s">
        <v>3050</v>
      </c>
      <c r="B176" s="1649" t="s">
        <v>3744</v>
      </c>
      <c r="C176" s="1650" t="s">
        <v>115</v>
      </c>
      <c r="D176" s="1654" t="s">
        <v>115</v>
      </c>
      <c r="E176" s="1650" t="s">
        <v>115</v>
      </c>
      <c r="F176" s="1654" t="s">
        <v>115</v>
      </c>
      <c r="G176" s="1650" t="s">
        <v>115</v>
      </c>
      <c r="H176" s="1654">
        <v>2.9</v>
      </c>
      <c r="I176" s="1650" t="s">
        <v>3603</v>
      </c>
      <c r="J176" s="1654" t="s">
        <v>115</v>
      </c>
      <c r="K176" s="1655" t="s">
        <v>115</v>
      </c>
      <c r="L176" t="str">
        <f t="shared" si="6"/>
        <v/>
      </c>
      <c r="M176" t="str">
        <f t="shared" si="7"/>
        <v/>
      </c>
      <c r="N176" t="str">
        <f t="shared" si="8"/>
        <v>--</v>
      </c>
    </row>
    <row r="177" spans="1:14">
      <c r="A177" s="1650" t="s">
        <v>1931</v>
      </c>
      <c r="B177" s="1649" t="s">
        <v>3745</v>
      </c>
      <c r="C177" s="1650" t="s">
        <v>115</v>
      </c>
      <c r="D177" s="1654" t="s">
        <v>115</v>
      </c>
      <c r="E177" s="1650" t="s">
        <v>115</v>
      </c>
      <c r="F177" s="1654" t="s">
        <v>115</v>
      </c>
      <c r="G177" s="1650" t="s">
        <v>115</v>
      </c>
      <c r="H177" s="1654">
        <v>4.0000000000000002E-4</v>
      </c>
      <c r="I177" s="1650" t="s">
        <v>1277</v>
      </c>
      <c r="J177" s="1654" t="s">
        <v>115</v>
      </c>
      <c r="K177" s="1655" t="s">
        <v>115</v>
      </c>
      <c r="L177" t="str">
        <f t="shared" si="6"/>
        <v/>
      </c>
      <c r="M177" t="str">
        <f t="shared" si="7"/>
        <v/>
      </c>
      <c r="N177" t="str">
        <f t="shared" si="8"/>
        <v>--</v>
      </c>
    </row>
    <row r="178" spans="1:14">
      <c r="A178" s="1650" t="s">
        <v>1933</v>
      </c>
      <c r="B178" s="1649" t="s">
        <v>1934</v>
      </c>
      <c r="C178" s="1650" t="s">
        <v>115</v>
      </c>
      <c r="D178" s="1654" t="s">
        <v>115</v>
      </c>
      <c r="E178" s="1650" t="s">
        <v>115</v>
      </c>
      <c r="F178" s="1654" t="s">
        <v>115</v>
      </c>
      <c r="G178" s="1650" t="s">
        <v>115</v>
      </c>
      <c r="H178" s="1654">
        <v>8.9999999999999993E-3</v>
      </c>
      <c r="I178" s="1650" t="s">
        <v>1277</v>
      </c>
      <c r="J178" s="1654" t="s">
        <v>115</v>
      </c>
      <c r="K178" s="1655" t="s">
        <v>115</v>
      </c>
      <c r="L178" t="str">
        <f t="shared" si="6"/>
        <v/>
      </c>
      <c r="M178" t="str">
        <f t="shared" si="7"/>
        <v/>
      </c>
      <c r="N178" t="str">
        <f t="shared" si="8"/>
        <v>--</v>
      </c>
    </row>
    <row r="179" spans="1:14">
      <c r="A179" s="1650" t="s">
        <v>1943</v>
      </c>
      <c r="B179" s="1649" t="s">
        <v>1944</v>
      </c>
      <c r="C179" s="1650" t="s">
        <v>115</v>
      </c>
      <c r="D179" s="1654" t="s">
        <v>115</v>
      </c>
      <c r="E179" s="1650" t="s">
        <v>115</v>
      </c>
      <c r="F179" s="1654" t="s">
        <v>115</v>
      </c>
      <c r="G179" s="1650" t="s">
        <v>115</v>
      </c>
      <c r="H179" s="1654">
        <v>2.5000000000000001E-3</v>
      </c>
      <c r="I179" s="1650" t="s">
        <v>1277</v>
      </c>
      <c r="J179" s="1654" t="s">
        <v>115</v>
      </c>
      <c r="K179" s="1655" t="s">
        <v>115</v>
      </c>
      <c r="L179" t="str">
        <f t="shared" si="6"/>
        <v/>
      </c>
      <c r="M179" t="str">
        <f t="shared" si="7"/>
        <v/>
      </c>
      <c r="N179" t="str">
        <f t="shared" si="8"/>
        <v>--</v>
      </c>
    </row>
    <row r="180" spans="1:14">
      <c r="A180" s="1650" t="s">
        <v>1945</v>
      </c>
      <c r="B180" s="1649" t="s">
        <v>1946</v>
      </c>
      <c r="C180" s="1650" t="s">
        <v>115</v>
      </c>
      <c r="D180" s="1654" t="s">
        <v>115</v>
      </c>
      <c r="E180" s="1650" t="s">
        <v>115</v>
      </c>
      <c r="F180" s="1654" t="s">
        <v>115</v>
      </c>
      <c r="G180" s="1650" t="s">
        <v>115</v>
      </c>
      <c r="H180" s="1654" t="s">
        <v>115</v>
      </c>
      <c r="I180" s="1650" t="s">
        <v>115</v>
      </c>
      <c r="J180" s="1654">
        <v>200</v>
      </c>
      <c r="K180" s="1655" t="s">
        <v>3600</v>
      </c>
      <c r="L180" t="str">
        <f t="shared" si="6"/>
        <v/>
      </c>
      <c r="M180" t="str">
        <f t="shared" si="7"/>
        <v/>
      </c>
      <c r="N180" t="str">
        <f t="shared" si="8"/>
        <v>--</v>
      </c>
    </row>
    <row r="181" spans="1:14">
      <c r="A181" s="1650" t="s">
        <v>262</v>
      </c>
      <c r="B181" s="1649" t="s">
        <v>3746</v>
      </c>
      <c r="C181" s="1650" t="s">
        <v>115</v>
      </c>
      <c r="D181" s="1654" t="s">
        <v>115</v>
      </c>
      <c r="E181" s="1650" t="s">
        <v>115</v>
      </c>
      <c r="F181" s="1654" t="s">
        <v>115</v>
      </c>
      <c r="G181" s="1650" t="s">
        <v>115</v>
      </c>
      <c r="H181" s="1654">
        <v>6.9999999999999999E-4</v>
      </c>
      <c r="I181" s="1650" t="s">
        <v>1277</v>
      </c>
      <c r="J181" s="1654" t="s">
        <v>115</v>
      </c>
      <c r="K181" s="1655" t="s">
        <v>115</v>
      </c>
      <c r="L181" t="str">
        <f t="shared" si="6"/>
        <v/>
      </c>
      <c r="M181" t="str">
        <f t="shared" si="7"/>
        <v/>
      </c>
      <c r="N181" t="str">
        <f t="shared" si="8"/>
        <v>--</v>
      </c>
    </row>
    <row r="182" spans="1:14">
      <c r="A182" s="1650" t="s">
        <v>3747</v>
      </c>
      <c r="B182" s="1649" t="s">
        <v>3748</v>
      </c>
      <c r="C182" s="1650" t="s">
        <v>115</v>
      </c>
      <c r="D182" s="1654" t="s">
        <v>115</v>
      </c>
      <c r="E182" s="1650" t="s">
        <v>115</v>
      </c>
      <c r="F182" s="1654" t="s">
        <v>115</v>
      </c>
      <c r="G182" s="1650" t="s">
        <v>115</v>
      </c>
      <c r="H182" s="1654">
        <v>49</v>
      </c>
      <c r="I182" s="1650" t="s">
        <v>1247</v>
      </c>
      <c r="J182" s="1654" t="s">
        <v>115</v>
      </c>
      <c r="K182" s="1655" t="s">
        <v>115</v>
      </c>
      <c r="L182" t="str">
        <f t="shared" si="6"/>
        <v/>
      </c>
      <c r="M182" t="str">
        <f t="shared" si="7"/>
        <v/>
      </c>
      <c r="N182" t="str">
        <f t="shared" si="8"/>
        <v>--</v>
      </c>
    </row>
    <row r="183" spans="1:14">
      <c r="A183" s="1650" t="s">
        <v>1950</v>
      </c>
      <c r="B183" s="1649" t="s">
        <v>3749</v>
      </c>
      <c r="C183" s="1650" t="s">
        <v>115</v>
      </c>
      <c r="D183" s="1654" t="s">
        <v>115</v>
      </c>
      <c r="E183" s="1650" t="s">
        <v>115</v>
      </c>
      <c r="F183" s="1654" t="s">
        <v>115</v>
      </c>
      <c r="G183" s="1650" t="s">
        <v>115</v>
      </c>
      <c r="H183" s="1654">
        <v>0.2</v>
      </c>
      <c r="I183" s="1650" t="s">
        <v>1277</v>
      </c>
      <c r="J183" s="1654" t="s">
        <v>115</v>
      </c>
      <c r="K183" s="1655" t="s">
        <v>115</v>
      </c>
      <c r="L183" t="str">
        <f t="shared" si="6"/>
        <v/>
      </c>
      <c r="M183" t="str">
        <f t="shared" si="7"/>
        <v/>
      </c>
      <c r="N183" t="str">
        <f t="shared" si="8"/>
        <v>--</v>
      </c>
    </row>
    <row r="184" spans="1:14">
      <c r="A184" s="1650" t="s">
        <v>1954</v>
      </c>
      <c r="B184" s="1649" t="s">
        <v>1955</v>
      </c>
      <c r="C184" s="1650" t="s">
        <v>115</v>
      </c>
      <c r="D184" s="1654">
        <v>5.7000000000000002E-3</v>
      </c>
      <c r="E184" s="1650" t="s">
        <v>1277</v>
      </c>
      <c r="F184" s="1654">
        <v>1.5999999999999999E-6</v>
      </c>
      <c r="G184" s="1650" t="s">
        <v>1234</v>
      </c>
      <c r="H184" s="1654">
        <v>7.0000000000000001E-3</v>
      </c>
      <c r="I184" s="1650" t="s">
        <v>1247</v>
      </c>
      <c r="J184" s="1654">
        <v>1</v>
      </c>
      <c r="K184" s="1655" t="s">
        <v>1277</v>
      </c>
      <c r="L184" t="str">
        <f t="shared" si="6"/>
        <v/>
      </c>
      <c r="M184" t="str">
        <f t="shared" si="7"/>
        <v/>
      </c>
      <c r="N184" t="str">
        <f t="shared" si="8"/>
        <v>--</v>
      </c>
    </row>
    <row r="185" spans="1:14">
      <c r="A185" s="1650" t="s">
        <v>236</v>
      </c>
      <c r="B185" s="1649" t="s">
        <v>3750</v>
      </c>
      <c r="C185" s="1650" t="s">
        <v>115</v>
      </c>
      <c r="D185" s="1654" t="s">
        <v>115</v>
      </c>
      <c r="E185" s="1650" t="s">
        <v>115</v>
      </c>
      <c r="F185" s="1654" t="s">
        <v>115</v>
      </c>
      <c r="G185" s="1650" t="s">
        <v>115</v>
      </c>
      <c r="H185" s="1654">
        <v>0.3</v>
      </c>
      <c r="I185" s="1650" t="s">
        <v>1277</v>
      </c>
      <c r="J185" s="1654">
        <v>1200</v>
      </c>
      <c r="K185" s="1655" t="s">
        <v>3598</v>
      </c>
      <c r="L185" t="str">
        <f t="shared" si="6"/>
        <v/>
      </c>
      <c r="M185" t="str">
        <f t="shared" si="7"/>
        <v>Route RfC</v>
      </c>
      <c r="N185" t="str">
        <f t="shared" si="8"/>
        <v>Route RfC</v>
      </c>
    </row>
    <row r="186" spans="1:14">
      <c r="A186" s="1650" t="s">
        <v>88</v>
      </c>
      <c r="B186" s="1649" t="s">
        <v>87</v>
      </c>
      <c r="C186" s="1650" t="s">
        <v>115</v>
      </c>
      <c r="D186" s="1654" t="s">
        <v>115</v>
      </c>
      <c r="E186" s="1650" t="s">
        <v>115</v>
      </c>
      <c r="F186" s="1654" t="s">
        <v>115</v>
      </c>
      <c r="G186" s="1650" t="s">
        <v>115</v>
      </c>
      <c r="H186" s="1654">
        <v>4.0000000000000002E-4</v>
      </c>
      <c r="I186" s="1650" t="s">
        <v>1277</v>
      </c>
      <c r="J186" s="1654">
        <v>0.3</v>
      </c>
      <c r="K186" s="1655" t="s">
        <v>1280</v>
      </c>
      <c r="L186" t="str">
        <f t="shared" si="6"/>
        <v/>
      </c>
      <c r="M186" t="str">
        <f t="shared" si="7"/>
        <v/>
      </c>
      <c r="N186" t="str">
        <f t="shared" si="8"/>
        <v>--</v>
      </c>
    </row>
    <row r="187" spans="1:14">
      <c r="A187" s="1650" t="s">
        <v>1961</v>
      </c>
      <c r="B187" s="1649" t="s">
        <v>3751</v>
      </c>
      <c r="C187" s="1650" t="s">
        <v>115</v>
      </c>
      <c r="D187" s="1654" t="s">
        <v>115</v>
      </c>
      <c r="E187" s="1650" t="s">
        <v>115</v>
      </c>
      <c r="F187" s="1654" t="s">
        <v>115</v>
      </c>
      <c r="G187" s="1650" t="s">
        <v>115</v>
      </c>
      <c r="H187" s="1654">
        <v>5.0000000000000001E-4</v>
      </c>
      <c r="I187" s="1650" t="s">
        <v>3616</v>
      </c>
      <c r="J187" s="1654" t="s">
        <v>115</v>
      </c>
      <c r="K187" s="1655" t="s">
        <v>115</v>
      </c>
      <c r="L187" t="str">
        <f t="shared" si="6"/>
        <v/>
      </c>
      <c r="M187" t="str">
        <f t="shared" si="7"/>
        <v/>
      </c>
      <c r="N187" t="str">
        <f t="shared" si="8"/>
        <v>--</v>
      </c>
    </row>
    <row r="188" spans="1:14">
      <c r="A188" s="1650" t="s">
        <v>1963</v>
      </c>
      <c r="B188" s="1649" t="s">
        <v>3752</v>
      </c>
      <c r="C188" s="1650" t="s">
        <v>115</v>
      </c>
      <c r="D188" s="1654" t="s">
        <v>115</v>
      </c>
      <c r="E188" s="1650" t="s">
        <v>115</v>
      </c>
      <c r="F188" s="1654" t="s">
        <v>115</v>
      </c>
      <c r="G188" s="1650" t="s">
        <v>115</v>
      </c>
      <c r="H188" s="1654">
        <v>4.0000000000000002E-4</v>
      </c>
      <c r="I188" s="1650" t="s">
        <v>3616</v>
      </c>
      <c r="J188" s="1654" t="s">
        <v>115</v>
      </c>
      <c r="K188" s="1655" t="s">
        <v>115</v>
      </c>
      <c r="L188" t="str">
        <f t="shared" si="6"/>
        <v/>
      </c>
      <c r="M188" t="str">
        <f t="shared" si="7"/>
        <v/>
      </c>
      <c r="N188" t="str">
        <f t="shared" si="8"/>
        <v>--</v>
      </c>
    </row>
    <row r="189" spans="1:14">
      <c r="A189" s="1650" t="s">
        <v>1965</v>
      </c>
      <c r="B189" s="1649" t="s">
        <v>3753</v>
      </c>
      <c r="C189" s="1650" t="s">
        <v>115</v>
      </c>
      <c r="D189" s="1654" t="s">
        <v>115</v>
      </c>
      <c r="E189" s="1650" t="s">
        <v>115</v>
      </c>
      <c r="F189" s="1654" t="s">
        <v>115</v>
      </c>
      <c r="G189" s="1650" t="s">
        <v>115</v>
      </c>
      <c r="H189" s="1654" t="s">
        <v>115</v>
      </c>
      <c r="I189" s="1650" t="s">
        <v>115</v>
      </c>
      <c r="J189" s="1654">
        <v>0.2</v>
      </c>
      <c r="K189" s="1655" t="s">
        <v>1277</v>
      </c>
      <c r="L189" t="str">
        <f t="shared" si="6"/>
        <v/>
      </c>
      <c r="M189" t="str">
        <f t="shared" si="7"/>
        <v/>
      </c>
      <c r="N189" t="str">
        <f t="shared" si="8"/>
        <v>--</v>
      </c>
    </row>
    <row r="190" spans="1:14">
      <c r="A190" s="1650" t="s">
        <v>3325</v>
      </c>
      <c r="B190" s="1649" t="s">
        <v>3754</v>
      </c>
      <c r="C190" s="1650" t="s">
        <v>115</v>
      </c>
      <c r="D190" s="1654">
        <v>2.5000000000000001E-2</v>
      </c>
      <c r="E190" s="1650" t="s">
        <v>1277</v>
      </c>
      <c r="F190" s="1654">
        <v>7.0999999999999998E-6</v>
      </c>
      <c r="G190" s="1650" t="s">
        <v>1277</v>
      </c>
      <c r="H190" s="1654">
        <v>0.05</v>
      </c>
      <c r="I190" s="1650" t="s">
        <v>3616</v>
      </c>
      <c r="J190" s="1654" t="s">
        <v>115</v>
      </c>
      <c r="K190" s="1655" t="s">
        <v>115</v>
      </c>
      <c r="L190" t="str">
        <f t="shared" si="6"/>
        <v/>
      </c>
      <c r="M190" t="str">
        <f t="shared" si="7"/>
        <v/>
      </c>
      <c r="N190" t="str">
        <f t="shared" si="8"/>
        <v>--</v>
      </c>
    </row>
    <row r="191" spans="1:14" ht="25.5">
      <c r="A191" s="1650" t="s">
        <v>3140</v>
      </c>
      <c r="B191" s="1649" t="s">
        <v>3755</v>
      </c>
      <c r="C191" s="1650" t="s">
        <v>115</v>
      </c>
      <c r="D191" s="1654">
        <v>7.0000000000000007E-2</v>
      </c>
      <c r="E191" s="1650" t="s">
        <v>3756</v>
      </c>
      <c r="F191" s="1654">
        <v>2.0000000000000002E-5</v>
      </c>
      <c r="G191" s="1650" t="s">
        <v>3756</v>
      </c>
      <c r="H191" s="1654">
        <v>6.9999999999999994E-5</v>
      </c>
      <c r="I191" s="1650" t="s">
        <v>1277</v>
      </c>
      <c r="J191" s="1654">
        <v>0.28000000000000003</v>
      </c>
      <c r="K191" s="1655" t="s">
        <v>3598</v>
      </c>
      <c r="L191" t="str">
        <f t="shared" si="6"/>
        <v/>
      </c>
      <c r="M191" t="str">
        <f t="shared" si="7"/>
        <v>Route RfC</v>
      </c>
      <c r="N191" t="str">
        <f t="shared" si="8"/>
        <v>Route RfC</v>
      </c>
    </row>
    <row r="192" spans="1:14" ht="25.5">
      <c r="A192" s="1650" t="s">
        <v>3142</v>
      </c>
      <c r="B192" s="1649" t="s">
        <v>3757</v>
      </c>
      <c r="C192" s="1650" t="s">
        <v>115</v>
      </c>
      <c r="D192" s="1654">
        <v>2</v>
      </c>
      <c r="E192" s="1650" t="s">
        <v>3756</v>
      </c>
      <c r="F192" s="1654">
        <v>5.6999999999999998E-4</v>
      </c>
      <c r="G192" s="1650" t="s">
        <v>3756</v>
      </c>
      <c r="H192" s="1654" t="s">
        <v>115</v>
      </c>
      <c r="I192" s="1650" t="s">
        <v>115</v>
      </c>
      <c r="J192" s="1654" t="s">
        <v>115</v>
      </c>
      <c r="K192" s="1655" t="s">
        <v>115</v>
      </c>
      <c r="L192" t="str">
        <f t="shared" si="6"/>
        <v/>
      </c>
      <c r="M192" t="str">
        <f t="shared" si="7"/>
        <v/>
      </c>
      <c r="N192" t="str">
        <f t="shared" si="8"/>
        <v>--</v>
      </c>
    </row>
    <row r="193" spans="1:14" ht="25.5">
      <c r="A193" s="1650" t="s">
        <v>3144</v>
      </c>
      <c r="B193" s="1649" t="s">
        <v>3758</v>
      </c>
      <c r="C193" s="1650" t="s">
        <v>115</v>
      </c>
      <c r="D193" s="1654">
        <v>2</v>
      </c>
      <c r="E193" s="1650" t="s">
        <v>3756</v>
      </c>
      <c r="F193" s="1654">
        <v>5.6999999999999998E-4</v>
      </c>
      <c r="G193" s="1650" t="s">
        <v>3756</v>
      </c>
      <c r="H193" s="1654" t="s">
        <v>115</v>
      </c>
      <c r="I193" s="1650" t="s">
        <v>115</v>
      </c>
      <c r="J193" s="1654" t="s">
        <v>115</v>
      </c>
      <c r="K193" s="1655" t="s">
        <v>115</v>
      </c>
      <c r="L193" t="str">
        <f t="shared" si="6"/>
        <v/>
      </c>
      <c r="M193" t="str">
        <f t="shared" si="7"/>
        <v/>
      </c>
      <c r="N193" t="str">
        <f t="shared" si="8"/>
        <v>--</v>
      </c>
    </row>
    <row r="194" spans="1:14" ht="25.5">
      <c r="A194" s="1650" t="s">
        <v>3146</v>
      </c>
      <c r="B194" s="1649" t="s">
        <v>3759</v>
      </c>
      <c r="C194" s="1650" t="s">
        <v>115</v>
      </c>
      <c r="D194" s="1654">
        <v>2</v>
      </c>
      <c r="E194" s="1650" t="s">
        <v>3756</v>
      </c>
      <c r="F194" s="1654">
        <v>5.6999999999999998E-4</v>
      </c>
      <c r="G194" s="1650" t="s">
        <v>3756</v>
      </c>
      <c r="H194" s="1654" t="s">
        <v>115</v>
      </c>
      <c r="I194" s="1650" t="s">
        <v>115</v>
      </c>
      <c r="J194" s="1654" t="s">
        <v>115</v>
      </c>
      <c r="K194" s="1655" t="s">
        <v>115</v>
      </c>
      <c r="L194" t="str">
        <f t="shared" si="6"/>
        <v/>
      </c>
      <c r="M194" t="str">
        <f t="shared" si="7"/>
        <v/>
      </c>
      <c r="N194" t="str">
        <f t="shared" si="8"/>
        <v>--</v>
      </c>
    </row>
    <row r="195" spans="1:14" ht="25.5">
      <c r="A195" s="1650" t="s">
        <v>3148</v>
      </c>
      <c r="B195" s="1649" t="s">
        <v>3760</v>
      </c>
      <c r="C195" s="1650" t="s">
        <v>115</v>
      </c>
      <c r="D195" s="1654">
        <v>2</v>
      </c>
      <c r="E195" s="1650" t="s">
        <v>3756</v>
      </c>
      <c r="F195" s="1654">
        <v>5.6999999999999998E-4</v>
      </c>
      <c r="G195" s="1650" t="s">
        <v>3756</v>
      </c>
      <c r="H195" s="1654" t="s">
        <v>115</v>
      </c>
      <c r="I195" s="1650" t="s">
        <v>115</v>
      </c>
      <c r="J195" s="1654" t="s">
        <v>115</v>
      </c>
      <c r="K195" s="1655" t="s">
        <v>115</v>
      </c>
      <c r="L195" t="str">
        <f t="shared" si="6"/>
        <v/>
      </c>
      <c r="M195" t="str">
        <f t="shared" si="7"/>
        <v/>
      </c>
      <c r="N195" t="str">
        <f t="shared" si="8"/>
        <v>--</v>
      </c>
    </row>
    <row r="196" spans="1:14" ht="25.5">
      <c r="A196" s="1650" t="s">
        <v>3150</v>
      </c>
      <c r="B196" s="1649" t="s">
        <v>3761</v>
      </c>
      <c r="C196" s="1650" t="s">
        <v>115</v>
      </c>
      <c r="D196" s="1654">
        <v>2</v>
      </c>
      <c r="E196" s="1650" t="s">
        <v>3756</v>
      </c>
      <c r="F196" s="1654">
        <v>5.6999999999999998E-4</v>
      </c>
      <c r="G196" s="1650" t="s">
        <v>3756</v>
      </c>
      <c r="H196" s="1654">
        <v>2.0000000000000002E-5</v>
      </c>
      <c r="I196" s="1650" t="s">
        <v>1277</v>
      </c>
      <c r="J196" s="1654">
        <v>0.08</v>
      </c>
      <c r="K196" s="1655" t="s">
        <v>3598</v>
      </c>
      <c r="L196" t="str">
        <f t="shared" si="6"/>
        <v/>
      </c>
      <c r="M196" t="str">
        <f t="shared" si="7"/>
        <v>Route RfC</v>
      </c>
      <c r="N196" t="str">
        <f t="shared" si="8"/>
        <v>Route RfC</v>
      </c>
    </row>
    <row r="197" spans="1:14" ht="25.5">
      <c r="A197" s="1650" t="s">
        <v>3152</v>
      </c>
      <c r="B197" s="1649" t="s">
        <v>3762</v>
      </c>
      <c r="C197" s="1650" t="s">
        <v>115</v>
      </c>
      <c r="D197" s="1654">
        <v>2</v>
      </c>
      <c r="E197" s="1650" t="s">
        <v>3756</v>
      </c>
      <c r="F197" s="1654">
        <v>5.6999999999999998E-4</v>
      </c>
      <c r="G197" s="1650" t="s">
        <v>3756</v>
      </c>
      <c r="H197" s="1654" t="s">
        <v>115</v>
      </c>
      <c r="I197" s="1650" t="s">
        <v>115</v>
      </c>
      <c r="J197" s="1654" t="s">
        <v>115</v>
      </c>
      <c r="K197" s="1655" t="s">
        <v>115</v>
      </c>
      <c r="L197" t="str">
        <f t="shared" si="6"/>
        <v/>
      </c>
      <c r="M197" t="str">
        <f t="shared" si="7"/>
        <v/>
      </c>
      <c r="N197" t="str">
        <f t="shared" si="8"/>
        <v>--</v>
      </c>
    </row>
    <row r="198" spans="1:14">
      <c r="A198" s="1650" t="s">
        <v>3154</v>
      </c>
      <c r="B198" s="1649" t="s">
        <v>3763</v>
      </c>
      <c r="C198" s="1650" t="s">
        <v>115</v>
      </c>
      <c r="D198" s="1654" t="s">
        <v>115</v>
      </c>
      <c r="E198" s="1650" t="s">
        <v>115</v>
      </c>
      <c r="F198" s="1654" t="s">
        <v>115</v>
      </c>
      <c r="G198" s="1650" t="s">
        <v>115</v>
      </c>
      <c r="H198" s="1654">
        <v>5.9999999999999995E-4</v>
      </c>
      <c r="I198" s="1650" t="s">
        <v>3603</v>
      </c>
      <c r="J198" s="1654">
        <v>2.4</v>
      </c>
      <c r="K198" s="1655" t="s">
        <v>3609</v>
      </c>
      <c r="L198" t="str">
        <f t="shared" ref="L198:L261" si="9">IF(COUNTIF(G198,"*Route*"),"Route IUR","")</f>
        <v/>
      </c>
      <c r="M198" t="str">
        <f t="shared" ref="M198:M261" si="10">IF(COUNTIF(K198,"*Route*"),"Route RfC","")</f>
        <v>Route RfC</v>
      </c>
      <c r="N198" t="str">
        <f t="shared" ref="N198:N261" si="11">IF(AND(L198&lt;&gt;"",M198&lt;&gt;""),"Route IUR &amp; RfC",IF(L198&lt;&gt;"","Route IUR",IF(M198&lt;&gt;"","Route RfC","--")))</f>
        <v>Route RfC</v>
      </c>
    </row>
    <row r="199" spans="1:14" ht="25.5">
      <c r="A199" s="1650" t="s">
        <v>90</v>
      </c>
      <c r="B199" s="1649" t="s">
        <v>89</v>
      </c>
      <c r="C199" s="1650" t="s">
        <v>115</v>
      </c>
      <c r="D199" s="1654">
        <v>9.5</v>
      </c>
      <c r="E199" s="1650" t="s">
        <v>3764</v>
      </c>
      <c r="F199" s="1654">
        <v>4.3E-3</v>
      </c>
      <c r="G199" s="1650" t="s">
        <v>1277</v>
      </c>
      <c r="H199" s="1654">
        <v>3.4999999999999999E-6</v>
      </c>
      <c r="I199" s="1650" t="s">
        <v>3600</v>
      </c>
      <c r="J199" s="1654">
        <v>1.4999999999999999E-2</v>
      </c>
      <c r="K199" s="1655" t="s">
        <v>3600</v>
      </c>
      <c r="L199" t="str">
        <f t="shared" si="9"/>
        <v/>
      </c>
      <c r="M199" t="str">
        <f t="shared" si="10"/>
        <v/>
      </c>
      <c r="N199" t="str">
        <f t="shared" si="11"/>
        <v>--</v>
      </c>
    </row>
    <row r="200" spans="1:14">
      <c r="A200" s="1650" t="s">
        <v>1968</v>
      </c>
      <c r="B200" s="1649" t="s">
        <v>1969</v>
      </c>
      <c r="C200" s="1650" t="s">
        <v>115</v>
      </c>
      <c r="D200" s="1654" t="s">
        <v>115</v>
      </c>
      <c r="E200" s="1650" t="s">
        <v>115</v>
      </c>
      <c r="F200" s="1654" t="s">
        <v>115</v>
      </c>
      <c r="G200" s="1650" t="s">
        <v>115</v>
      </c>
      <c r="H200" s="1654">
        <v>3.4999999999999999E-6</v>
      </c>
      <c r="I200" s="1650" t="s">
        <v>3600</v>
      </c>
      <c r="J200" s="1654">
        <v>1.4999999999999999E-2</v>
      </c>
      <c r="K200" s="1655" t="s">
        <v>3600</v>
      </c>
      <c r="L200" t="str">
        <f t="shared" si="9"/>
        <v/>
      </c>
      <c r="M200" t="str">
        <f t="shared" si="10"/>
        <v/>
      </c>
      <c r="N200" t="str">
        <f t="shared" si="11"/>
        <v>--</v>
      </c>
    </row>
    <row r="201" spans="1:14">
      <c r="A201" s="1650" t="s">
        <v>1972</v>
      </c>
      <c r="B201" s="1649" t="s">
        <v>1973</v>
      </c>
      <c r="C201" s="1650" t="s">
        <v>115</v>
      </c>
      <c r="D201" s="1654" t="s">
        <v>115</v>
      </c>
      <c r="E201" s="1650" t="s">
        <v>115</v>
      </c>
      <c r="F201" s="1654" t="s">
        <v>115</v>
      </c>
      <c r="G201" s="1650" t="s">
        <v>115</v>
      </c>
      <c r="H201" s="1654">
        <v>0.36</v>
      </c>
      <c r="I201" s="1650" t="s">
        <v>3663</v>
      </c>
      <c r="J201" s="1654" t="s">
        <v>115</v>
      </c>
      <c r="K201" s="1655" t="s">
        <v>115</v>
      </c>
      <c r="L201" t="str">
        <f t="shared" si="9"/>
        <v/>
      </c>
      <c r="M201" t="str">
        <f t="shared" si="10"/>
        <v/>
      </c>
      <c r="N201" t="str">
        <f t="shared" si="11"/>
        <v>--</v>
      </c>
    </row>
    <row r="202" spans="1:14">
      <c r="A202" s="1650" t="s">
        <v>1974</v>
      </c>
      <c r="B202" s="1649" t="s">
        <v>1975</v>
      </c>
      <c r="C202" s="1650" t="s">
        <v>115</v>
      </c>
      <c r="D202" s="1654">
        <v>0.23</v>
      </c>
      <c r="E202" s="1650" t="s">
        <v>1234</v>
      </c>
      <c r="F202" s="1654" t="s">
        <v>115</v>
      </c>
      <c r="G202" s="1650" t="s">
        <v>115</v>
      </c>
      <c r="H202" s="1654">
        <v>3.0000000000000001E-3</v>
      </c>
      <c r="I202" s="1650" t="s">
        <v>1280</v>
      </c>
      <c r="J202" s="1654" t="s">
        <v>115</v>
      </c>
      <c r="K202" s="1655" t="s">
        <v>115</v>
      </c>
      <c r="L202" t="str">
        <f t="shared" si="9"/>
        <v/>
      </c>
      <c r="M202" t="str">
        <f t="shared" si="10"/>
        <v/>
      </c>
      <c r="N202" t="str">
        <f t="shared" si="11"/>
        <v>--</v>
      </c>
    </row>
    <row r="203" spans="1:14">
      <c r="A203" s="1650" t="s">
        <v>1976</v>
      </c>
      <c r="B203" s="1649" t="s">
        <v>1977</v>
      </c>
      <c r="C203" s="1650" t="s">
        <v>115</v>
      </c>
      <c r="D203" s="1654">
        <v>0.88</v>
      </c>
      <c r="E203" s="1650" t="s">
        <v>1234</v>
      </c>
      <c r="F203" s="1654">
        <v>2.5000000000000001E-4</v>
      </c>
      <c r="G203" s="1650" t="s">
        <v>1234</v>
      </c>
      <c r="H203" s="1654" t="s">
        <v>115</v>
      </c>
      <c r="I203" s="1650" t="s">
        <v>115</v>
      </c>
      <c r="J203" s="1654" t="s">
        <v>115</v>
      </c>
      <c r="K203" s="1655" t="s">
        <v>115</v>
      </c>
      <c r="L203" t="str">
        <f t="shared" si="9"/>
        <v/>
      </c>
      <c r="M203" t="str">
        <f t="shared" si="10"/>
        <v/>
      </c>
      <c r="N203" t="str">
        <f t="shared" si="11"/>
        <v>--</v>
      </c>
    </row>
    <row r="204" spans="1:14">
      <c r="A204" s="1650" t="s">
        <v>1978</v>
      </c>
      <c r="B204" s="1649" t="s">
        <v>3765</v>
      </c>
      <c r="C204" s="1650" t="s">
        <v>115</v>
      </c>
      <c r="D204" s="1654" t="s">
        <v>115</v>
      </c>
      <c r="E204" s="1650" t="s">
        <v>115</v>
      </c>
      <c r="F204" s="1654" t="s">
        <v>115</v>
      </c>
      <c r="G204" s="1650" t="s">
        <v>115</v>
      </c>
      <c r="H204" s="1654">
        <v>4.0000000000000002E-4</v>
      </c>
      <c r="I204" s="1650" t="s">
        <v>1277</v>
      </c>
      <c r="J204" s="1654" t="s">
        <v>115</v>
      </c>
      <c r="K204" s="1655" t="s">
        <v>115</v>
      </c>
      <c r="L204" t="str">
        <f t="shared" si="9"/>
        <v/>
      </c>
      <c r="M204" t="str">
        <f t="shared" si="10"/>
        <v/>
      </c>
      <c r="N204" t="str">
        <f t="shared" si="11"/>
        <v>--</v>
      </c>
    </row>
    <row r="205" spans="1:14">
      <c r="A205" s="1650" t="s">
        <v>1980</v>
      </c>
      <c r="B205" s="1649" t="s">
        <v>1981</v>
      </c>
      <c r="C205" s="1650" t="s">
        <v>115</v>
      </c>
      <c r="D205" s="1654" t="s">
        <v>115</v>
      </c>
      <c r="E205" s="1650" t="s">
        <v>115</v>
      </c>
      <c r="F205" s="1654" t="s">
        <v>115</v>
      </c>
      <c r="G205" s="1650" t="s">
        <v>115</v>
      </c>
      <c r="H205" s="1654">
        <v>3.0000000000000001E-3</v>
      </c>
      <c r="I205" s="1650" t="s">
        <v>1280</v>
      </c>
      <c r="J205" s="1654">
        <v>10</v>
      </c>
      <c r="K205" s="1655" t="s">
        <v>1280</v>
      </c>
      <c r="L205" t="str">
        <f t="shared" si="9"/>
        <v/>
      </c>
      <c r="M205" t="str">
        <f t="shared" si="10"/>
        <v/>
      </c>
      <c r="N205" t="str">
        <f t="shared" si="11"/>
        <v>--</v>
      </c>
    </row>
    <row r="206" spans="1:14">
      <c r="A206" s="1650" t="s">
        <v>1982</v>
      </c>
      <c r="B206" s="1649" t="s">
        <v>1983</v>
      </c>
      <c r="C206" s="1650" t="s">
        <v>115</v>
      </c>
      <c r="D206" s="1654">
        <v>0.11</v>
      </c>
      <c r="E206" s="1650" t="s">
        <v>1277</v>
      </c>
      <c r="F206" s="1654">
        <v>3.1000000000000001E-5</v>
      </c>
      <c r="G206" s="1650" t="s">
        <v>1277</v>
      </c>
      <c r="H206" s="1654" t="s">
        <v>115</v>
      </c>
      <c r="I206" s="1650" t="s">
        <v>115</v>
      </c>
      <c r="J206" s="1654" t="s">
        <v>115</v>
      </c>
      <c r="K206" s="1655" t="s">
        <v>115</v>
      </c>
      <c r="L206" t="str">
        <f t="shared" si="9"/>
        <v/>
      </c>
      <c r="M206" t="str">
        <f t="shared" si="10"/>
        <v/>
      </c>
      <c r="N206" t="str">
        <f t="shared" si="11"/>
        <v>--</v>
      </c>
    </row>
    <row r="207" spans="1:14">
      <c r="A207" s="1650" t="s">
        <v>1984</v>
      </c>
      <c r="B207" s="1649" t="s">
        <v>1985</v>
      </c>
      <c r="C207" s="1650" t="s">
        <v>115</v>
      </c>
      <c r="D207" s="1654" t="s">
        <v>115</v>
      </c>
      <c r="E207" s="1650" t="s">
        <v>115</v>
      </c>
      <c r="F207" s="1654" t="s">
        <v>115</v>
      </c>
      <c r="G207" s="1650" t="s">
        <v>115</v>
      </c>
      <c r="H207" s="1654">
        <v>1</v>
      </c>
      <c r="I207" s="1650" t="s">
        <v>1247</v>
      </c>
      <c r="J207" s="1654">
        <v>7.0000000000000001E-3</v>
      </c>
      <c r="K207" s="1655" t="s">
        <v>3603</v>
      </c>
      <c r="L207" t="str">
        <f t="shared" si="9"/>
        <v/>
      </c>
      <c r="M207" t="str">
        <f t="shared" si="10"/>
        <v/>
      </c>
      <c r="N207" t="str">
        <f t="shared" si="11"/>
        <v>--</v>
      </c>
    </row>
    <row r="208" spans="1:14">
      <c r="A208" s="1650" t="s">
        <v>92</v>
      </c>
      <c r="B208" s="1649" t="s">
        <v>91</v>
      </c>
      <c r="C208" s="1650" t="s">
        <v>115</v>
      </c>
      <c r="D208" s="1654" t="s">
        <v>115</v>
      </c>
      <c r="E208" s="1650" t="s">
        <v>115</v>
      </c>
      <c r="F208" s="1654" t="s">
        <v>115</v>
      </c>
      <c r="G208" s="1650" t="s">
        <v>115</v>
      </c>
      <c r="H208" s="1654">
        <v>0.2</v>
      </c>
      <c r="I208" s="1650" t="s">
        <v>1277</v>
      </c>
      <c r="J208" s="1654">
        <v>0.5</v>
      </c>
      <c r="K208" s="1655" t="s">
        <v>3616</v>
      </c>
      <c r="L208" t="str">
        <f t="shared" si="9"/>
        <v/>
      </c>
      <c r="M208" t="str">
        <f t="shared" si="10"/>
        <v/>
      </c>
      <c r="N208" t="str">
        <f t="shared" si="11"/>
        <v>--</v>
      </c>
    </row>
    <row r="209" spans="1:14">
      <c r="A209" s="1650" t="s">
        <v>1987</v>
      </c>
      <c r="B209" s="1649" t="s">
        <v>1988</v>
      </c>
      <c r="C209" s="1650" t="s">
        <v>115</v>
      </c>
      <c r="D209" s="1654" t="s">
        <v>115</v>
      </c>
      <c r="E209" s="1650" t="s">
        <v>115</v>
      </c>
      <c r="F209" s="1654" t="s">
        <v>115</v>
      </c>
      <c r="G209" s="1650" t="s">
        <v>115</v>
      </c>
      <c r="H209" s="1654">
        <v>5.0000000000000001E-3</v>
      </c>
      <c r="I209" s="1650" t="s">
        <v>3663</v>
      </c>
      <c r="J209" s="1654">
        <v>20</v>
      </c>
      <c r="K209" s="1655" t="s">
        <v>3766</v>
      </c>
      <c r="L209" t="str">
        <f t="shared" si="9"/>
        <v/>
      </c>
      <c r="M209" t="str">
        <f t="shared" si="10"/>
        <v>Route RfC</v>
      </c>
      <c r="N209" t="str">
        <f t="shared" si="11"/>
        <v>Route RfC</v>
      </c>
    </row>
    <row r="210" spans="1:14">
      <c r="A210" s="1650" t="s">
        <v>1990</v>
      </c>
      <c r="B210" s="1649" t="s">
        <v>1991</v>
      </c>
      <c r="C210" s="1650" t="s">
        <v>115</v>
      </c>
      <c r="D210" s="1654" t="s">
        <v>115</v>
      </c>
      <c r="E210" s="1650" t="s">
        <v>115</v>
      </c>
      <c r="F210" s="1654" t="s">
        <v>115</v>
      </c>
      <c r="G210" s="1650" t="s">
        <v>115</v>
      </c>
      <c r="H210" s="1654">
        <v>0.05</v>
      </c>
      <c r="I210" s="1650" t="s">
        <v>1277</v>
      </c>
      <c r="J210" s="1654" t="s">
        <v>115</v>
      </c>
      <c r="K210" s="1655" t="s">
        <v>115</v>
      </c>
      <c r="L210" t="str">
        <f t="shared" si="9"/>
        <v/>
      </c>
      <c r="M210" t="str">
        <f t="shared" si="10"/>
        <v/>
      </c>
      <c r="N210" t="str">
        <f t="shared" si="11"/>
        <v>--</v>
      </c>
    </row>
    <row r="211" spans="1:14">
      <c r="A211" s="1650" t="s">
        <v>1992</v>
      </c>
      <c r="B211" s="1649" t="s">
        <v>3767</v>
      </c>
      <c r="C211" s="1650" t="s">
        <v>115</v>
      </c>
      <c r="D211" s="1654" t="s">
        <v>115</v>
      </c>
      <c r="E211" s="1650" t="s">
        <v>115</v>
      </c>
      <c r="F211" s="1654" t="s">
        <v>115</v>
      </c>
      <c r="G211" s="1650" t="s">
        <v>115</v>
      </c>
      <c r="H211" s="1654">
        <v>0.2</v>
      </c>
      <c r="I211" s="1650" t="s">
        <v>1277</v>
      </c>
      <c r="J211" s="1654" t="s">
        <v>115</v>
      </c>
      <c r="K211" s="1655" t="s">
        <v>115</v>
      </c>
      <c r="L211" t="str">
        <f t="shared" si="9"/>
        <v/>
      </c>
      <c r="M211" t="str">
        <f t="shared" si="10"/>
        <v/>
      </c>
      <c r="N211" t="str">
        <f t="shared" si="11"/>
        <v>--</v>
      </c>
    </row>
    <row r="212" spans="1:14">
      <c r="A212" s="1650" t="s">
        <v>1994</v>
      </c>
      <c r="B212" s="1649" t="s">
        <v>1995</v>
      </c>
      <c r="C212" s="1650" t="s">
        <v>115</v>
      </c>
      <c r="D212" s="1654" t="s">
        <v>115</v>
      </c>
      <c r="E212" s="1650" t="s">
        <v>115</v>
      </c>
      <c r="F212" s="1654" t="s">
        <v>115</v>
      </c>
      <c r="G212" s="1650" t="s">
        <v>115</v>
      </c>
      <c r="H212" s="1654">
        <v>0.03</v>
      </c>
      <c r="I212" s="1650" t="s">
        <v>1277</v>
      </c>
      <c r="J212" s="1654" t="s">
        <v>115</v>
      </c>
      <c r="K212" s="1655" t="s">
        <v>115</v>
      </c>
      <c r="L212" t="str">
        <f t="shared" si="9"/>
        <v/>
      </c>
      <c r="M212" t="str">
        <f t="shared" si="10"/>
        <v/>
      </c>
      <c r="N212" t="str">
        <f t="shared" si="11"/>
        <v>--</v>
      </c>
    </row>
    <row r="213" spans="1:14">
      <c r="A213" s="1650" t="s">
        <v>1996</v>
      </c>
      <c r="B213" s="1649" t="s">
        <v>1997</v>
      </c>
      <c r="C213" s="1650" t="s">
        <v>115</v>
      </c>
      <c r="D213" s="1654">
        <v>4.0000000000000001E-3</v>
      </c>
      <c r="E213" s="1650" t="s">
        <v>1247</v>
      </c>
      <c r="F213" s="1654">
        <v>9.9999999999999995E-7</v>
      </c>
      <c r="G213" s="1650" t="s">
        <v>3605</v>
      </c>
      <c r="H213" s="1654">
        <v>0.1</v>
      </c>
      <c r="I213" s="1650" t="s">
        <v>1277</v>
      </c>
      <c r="J213" s="1654">
        <v>400</v>
      </c>
      <c r="K213" s="1655" t="s">
        <v>3598</v>
      </c>
      <c r="L213" t="str">
        <f t="shared" si="9"/>
        <v>Route IUR</v>
      </c>
      <c r="M213" t="str">
        <f t="shared" si="10"/>
        <v>Route RfC</v>
      </c>
      <c r="N213" t="str">
        <f t="shared" si="11"/>
        <v>Route IUR &amp; RfC</v>
      </c>
    </row>
    <row r="214" spans="1:14">
      <c r="A214" s="1650" t="s">
        <v>94</v>
      </c>
      <c r="B214" s="1649" t="s">
        <v>93</v>
      </c>
      <c r="C214" s="1650" t="s">
        <v>115</v>
      </c>
      <c r="D214" s="1654">
        <v>0.1</v>
      </c>
      <c r="E214" s="1650" t="s">
        <v>3600</v>
      </c>
      <c r="F214" s="1654">
        <v>2.9E-5</v>
      </c>
      <c r="G214" s="1650" t="s">
        <v>3600</v>
      </c>
      <c r="H214" s="1654">
        <v>4.0000000000000001E-3</v>
      </c>
      <c r="I214" s="1650" t="s">
        <v>1277</v>
      </c>
      <c r="J214" s="1654">
        <v>3</v>
      </c>
      <c r="K214" s="1655" t="s">
        <v>3600</v>
      </c>
      <c r="L214" t="str">
        <f t="shared" si="9"/>
        <v/>
      </c>
      <c r="M214" t="str">
        <f t="shared" si="10"/>
        <v/>
      </c>
      <c r="N214" t="str">
        <f t="shared" si="11"/>
        <v>--</v>
      </c>
    </row>
    <row r="215" spans="1:14">
      <c r="A215" s="1650" t="s">
        <v>2004</v>
      </c>
      <c r="B215" s="1649" t="s">
        <v>2005</v>
      </c>
      <c r="C215" s="1650" t="s">
        <v>1906</v>
      </c>
      <c r="D215" s="1654">
        <v>500</v>
      </c>
      <c r="E215" s="1650" t="s">
        <v>3600</v>
      </c>
      <c r="F215" s="1654">
        <v>0.14000000000000001</v>
      </c>
      <c r="G215" s="1650" t="s">
        <v>3600</v>
      </c>
      <c r="H215" s="1654">
        <v>3.0000000000000001E-3</v>
      </c>
      <c r="I215" s="1650" t="s">
        <v>1277</v>
      </c>
      <c r="J215" s="1654" t="s">
        <v>115</v>
      </c>
      <c r="K215" s="1655" t="s">
        <v>115</v>
      </c>
      <c r="L215" t="str">
        <f t="shared" si="9"/>
        <v/>
      </c>
      <c r="M215" t="str">
        <f t="shared" si="10"/>
        <v/>
      </c>
      <c r="N215" t="str">
        <f t="shared" si="11"/>
        <v>--</v>
      </c>
    </row>
    <row r="216" spans="1:14" ht="25.5">
      <c r="A216" s="1650" t="s">
        <v>238</v>
      </c>
      <c r="B216" s="1649" t="s">
        <v>3768</v>
      </c>
      <c r="C216" s="1650" t="s">
        <v>1906</v>
      </c>
      <c r="D216" s="1654">
        <v>0.1</v>
      </c>
      <c r="E216" s="1650" t="s">
        <v>3769</v>
      </c>
      <c r="F216" s="1654">
        <v>1.1E-4</v>
      </c>
      <c r="G216" s="1650" t="s">
        <v>3770</v>
      </c>
      <c r="H216" s="1654" t="s">
        <v>115</v>
      </c>
      <c r="I216" s="1650" t="s">
        <v>115</v>
      </c>
      <c r="J216" s="1654" t="s">
        <v>115</v>
      </c>
      <c r="K216" s="1655" t="s">
        <v>115</v>
      </c>
      <c r="L216" t="str">
        <f t="shared" si="9"/>
        <v/>
      </c>
      <c r="M216" t="str">
        <f t="shared" si="10"/>
        <v/>
      </c>
      <c r="N216" t="str">
        <f t="shared" si="11"/>
        <v>--</v>
      </c>
    </row>
    <row r="217" spans="1:14" ht="25.5">
      <c r="A217" s="1650" t="s">
        <v>240</v>
      </c>
      <c r="B217" s="1649" t="s">
        <v>3771</v>
      </c>
      <c r="C217" s="1650" t="s">
        <v>1906</v>
      </c>
      <c r="D217" s="1654">
        <v>1</v>
      </c>
      <c r="E217" s="1650" t="s">
        <v>1277</v>
      </c>
      <c r="F217" s="1654">
        <v>1.1000000000000001E-3</v>
      </c>
      <c r="G217" s="1650" t="s">
        <v>3770</v>
      </c>
      <c r="H217" s="1654">
        <v>2.9999999999999997E-4</v>
      </c>
      <c r="I217" s="1650" t="s">
        <v>1277</v>
      </c>
      <c r="J217" s="1654">
        <v>2E-3</v>
      </c>
      <c r="K217" s="1655" t="s">
        <v>1277</v>
      </c>
      <c r="L217" t="str">
        <f t="shared" si="9"/>
        <v/>
      </c>
      <c r="M217" t="str">
        <f t="shared" si="10"/>
        <v/>
      </c>
      <c r="N217" t="str">
        <f t="shared" si="11"/>
        <v>--</v>
      </c>
    </row>
    <row r="218" spans="1:14" ht="25.5">
      <c r="A218" s="1650" t="s">
        <v>242</v>
      </c>
      <c r="B218" s="1649" t="s">
        <v>3772</v>
      </c>
      <c r="C218" s="1650" t="s">
        <v>1906</v>
      </c>
      <c r="D218" s="1654">
        <v>0.1</v>
      </c>
      <c r="E218" s="1650" t="s">
        <v>3769</v>
      </c>
      <c r="F218" s="1654">
        <v>1.1E-4</v>
      </c>
      <c r="G218" s="1650" t="s">
        <v>3770</v>
      </c>
      <c r="H218" s="1654" t="s">
        <v>115</v>
      </c>
      <c r="I218" s="1650" t="s">
        <v>115</v>
      </c>
      <c r="J218" s="1654" t="s">
        <v>115</v>
      </c>
      <c r="K218" s="1655" t="s">
        <v>115</v>
      </c>
      <c r="L218" t="str">
        <f t="shared" si="9"/>
        <v/>
      </c>
      <c r="M218" t="str">
        <f t="shared" si="10"/>
        <v/>
      </c>
      <c r="N218" t="str">
        <f t="shared" si="11"/>
        <v>--</v>
      </c>
    </row>
    <row r="219" spans="1:14">
      <c r="A219" s="1650" t="s">
        <v>3198</v>
      </c>
      <c r="B219" s="1649" t="s">
        <v>3773</v>
      </c>
      <c r="C219" s="1650" t="s">
        <v>115</v>
      </c>
      <c r="D219" s="1654">
        <v>1.2</v>
      </c>
      <c r="E219" s="1650" t="s">
        <v>3732</v>
      </c>
      <c r="F219" s="1654">
        <v>1.1E-4</v>
      </c>
      <c r="G219" s="1650" t="s">
        <v>3732</v>
      </c>
      <c r="H219" s="1654" t="s">
        <v>115</v>
      </c>
      <c r="I219" s="1650" t="s">
        <v>115</v>
      </c>
      <c r="J219" s="1654" t="s">
        <v>115</v>
      </c>
      <c r="K219" s="1655" t="s">
        <v>115</v>
      </c>
      <c r="L219" t="str">
        <f t="shared" si="9"/>
        <v/>
      </c>
      <c r="M219" t="str">
        <f t="shared" si="10"/>
        <v/>
      </c>
      <c r="N219" t="str">
        <f t="shared" si="11"/>
        <v>--</v>
      </c>
    </row>
    <row r="220" spans="1:14" ht="25.5">
      <c r="A220" s="1650" t="s">
        <v>244</v>
      </c>
      <c r="B220" s="1649" t="s">
        <v>3774</v>
      </c>
      <c r="C220" s="1650" t="s">
        <v>1906</v>
      </c>
      <c r="D220" s="1654">
        <v>0.01</v>
      </c>
      <c r="E220" s="1650" t="s">
        <v>3769</v>
      </c>
      <c r="F220" s="1654">
        <v>1.1E-4</v>
      </c>
      <c r="G220" s="1650" t="s">
        <v>3770</v>
      </c>
      <c r="H220" s="1654" t="s">
        <v>115</v>
      </c>
      <c r="I220" s="1650" t="s">
        <v>115</v>
      </c>
      <c r="J220" s="1654" t="s">
        <v>115</v>
      </c>
      <c r="K220" s="1655" t="s">
        <v>115</v>
      </c>
      <c r="L220" t="str">
        <f t="shared" si="9"/>
        <v/>
      </c>
      <c r="M220" t="str">
        <f t="shared" si="10"/>
        <v/>
      </c>
      <c r="N220" t="str">
        <f t="shared" si="11"/>
        <v>--</v>
      </c>
    </row>
    <row r="221" spans="1:14">
      <c r="A221" s="1650" t="s">
        <v>2007</v>
      </c>
      <c r="B221" s="1649" t="s">
        <v>3775</v>
      </c>
      <c r="C221" s="1650" t="s">
        <v>115</v>
      </c>
      <c r="D221" s="1654" t="s">
        <v>115</v>
      </c>
      <c r="E221" s="1650" t="s">
        <v>115</v>
      </c>
      <c r="F221" s="1654" t="s">
        <v>115</v>
      </c>
      <c r="G221" s="1650" t="s">
        <v>115</v>
      </c>
      <c r="H221" s="1654">
        <v>4</v>
      </c>
      <c r="I221" s="1650" t="s">
        <v>1277</v>
      </c>
      <c r="J221" s="1654" t="s">
        <v>115</v>
      </c>
      <c r="K221" s="1655" t="s">
        <v>115</v>
      </c>
      <c r="L221" t="str">
        <f t="shared" si="9"/>
        <v/>
      </c>
      <c r="M221" t="str">
        <f t="shared" si="10"/>
        <v/>
      </c>
      <c r="N221" t="str">
        <f t="shared" si="11"/>
        <v>--</v>
      </c>
    </row>
    <row r="222" spans="1:14">
      <c r="A222" s="1650" t="s">
        <v>2009</v>
      </c>
      <c r="B222" s="1649" t="s">
        <v>2010</v>
      </c>
      <c r="C222" s="1650" t="s">
        <v>115</v>
      </c>
      <c r="D222" s="1654">
        <v>13</v>
      </c>
      <c r="E222" s="1650" t="s">
        <v>1277</v>
      </c>
      <c r="F222" s="1654">
        <v>3.3E-3</v>
      </c>
      <c r="G222" s="1650" t="s">
        <v>3598</v>
      </c>
      <c r="H222" s="1654" t="s">
        <v>115</v>
      </c>
      <c r="I222" s="1650" t="s">
        <v>115</v>
      </c>
      <c r="J222" s="1654" t="s">
        <v>115</v>
      </c>
      <c r="K222" s="1655" t="s">
        <v>115</v>
      </c>
      <c r="L222" t="str">
        <f t="shared" si="9"/>
        <v>Route IUR</v>
      </c>
      <c r="M222" t="str">
        <f t="shared" si="10"/>
        <v/>
      </c>
      <c r="N222" t="str">
        <f t="shared" si="11"/>
        <v>Route IUR</v>
      </c>
    </row>
    <row r="223" spans="1:14">
      <c r="A223" s="1650" t="s">
        <v>2011</v>
      </c>
      <c r="B223" s="1649" t="s">
        <v>3776</v>
      </c>
      <c r="C223" s="1650" t="s">
        <v>115</v>
      </c>
      <c r="D223" s="1654" t="s">
        <v>115</v>
      </c>
      <c r="E223" s="1650" t="s">
        <v>115</v>
      </c>
      <c r="F223" s="1654" t="s">
        <v>115</v>
      </c>
      <c r="G223" s="1650" t="s">
        <v>115</v>
      </c>
      <c r="H223" s="1654">
        <v>0.1</v>
      </c>
      <c r="I223" s="1650" t="s">
        <v>1247</v>
      </c>
      <c r="J223" s="1654" t="s">
        <v>115</v>
      </c>
      <c r="K223" s="1655" t="s">
        <v>115</v>
      </c>
      <c r="L223" t="str">
        <f t="shared" si="9"/>
        <v/>
      </c>
      <c r="M223" t="str">
        <f t="shared" si="10"/>
        <v/>
      </c>
      <c r="N223" t="str">
        <f t="shared" si="11"/>
        <v>--</v>
      </c>
    </row>
    <row r="224" spans="1:14">
      <c r="A224" s="1650" t="s">
        <v>2013</v>
      </c>
      <c r="B224" s="1649" t="s">
        <v>3777</v>
      </c>
      <c r="C224" s="1650" t="s">
        <v>115</v>
      </c>
      <c r="D224" s="1654">
        <v>0.17</v>
      </c>
      <c r="E224" s="1650" t="s">
        <v>1277</v>
      </c>
      <c r="F224" s="1654">
        <v>4.8999999999999998E-5</v>
      </c>
      <c r="G224" s="1650" t="s">
        <v>1234</v>
      </c>
      <c r="H224" s="1654">
        <v>2E-3</v>
      </c>
      <c r="I224" s="1650" t="s">
        <v>1247</v>
      </c>
      <c r="J224" s="1654">
        <v>1</v>
      </c>
      <c r="K224" s="1655" t="s">
        <v>1247</v>
      </c>
      <c r="L224" t="str">
        <f t="shared" si="9"/>
        <v/>
      </c>
      <c r="M224" t="str">
        <f t="shared" si="10"/>
        <v/>
      </c>
      <c r="N224" t="str">
        <f t="shared" si="11"/>
        <v>--</v>
      </c>
    </row>
    <row r="225" spans="1:14" ht="25.5">
      <c r="A225" s="1650" t="s">
        <v>96</v>
      </c>
      <c r="B225" s="1649" t="s">
        <v>95</v>
      </c>
      <c r="C225" s="1650" t="s">
        <v>115</v>
      </c>
      <c r="D225" s="1654" t="s">
        <v>115</v>
      </c>
      <c r="E225" s="1650" t="s">
        <v>115</v>
      </c>
      <c r="F225" s="1654">
        <v>2.3999999999999998E-3</v>
      </c>
      <c r="G225" s="1650" t="s">
        <v>1277</v>
      </c>
      <c r="H225" s="1654">
        <v>2.0000000000000001E-4</v>
      </c>
      <c r="I225" s="1650" t="s">
        <v>3764</v>
      </c>
      <c r="J225" s="1654">
        <v>7.0000000000000001E-3</v>
      </c>
      <c r="K225" s="1655" t="s">
        <v>3600</v>
      </c>
      <c r="L225" t="str">
        <f t="shared" si="9"/>
        <v/>
      </c>
      <c r="M225" t="str">
        <f t="shared" si="10"/>
        <v/>
      </c>
      <c r="N225" t="str">
        <f t="shared" si="11"/>
        <v>--</v>
      </c>
    </row>
    <row r="226" spans="1:14" ht="25.5">
      <c r="A226" s="1650" t="s">
        <v>3778</v>
      </c>
      <c r="B226" s="1649" t="s">
        <v>3779</v>
      </c>
      <c r="C226" s="1650" t="s">
        <v>115</v>
      </c>
      <c r="D226" s="1654" t="s">
        <v>115</v>
      </c>
      <c r="E226" s="1650" t="s">
        <v>115</v>
      </c>
      <c r="F226" s="1654">
        <v>2.3999999999999998E-3</v>
      </c>
      <c r="G226" s="1650" t="s">
        <v>1277</v>
      </c>
      <c r="H226" s="1654">
        <v>2.0000000000000001E-4</v>
      </c>
      <c r="I226" s="1650" t="s">
        <v>3764</v>
      </c>
      <c r="J226" s="1654">
        <v>7.0000000000000001E-3</v>
      </c>
      <c r="K226" s="1655" t="s">
        <v>3600</v>
      </c>
      <c r="L226" t="str">
        <f t="shared" si="9"/>
        <v/>
      </c>
      <c r="M226" t="str">
        <f t="shared" si="10"/>
        <v/>
      </c>
      <c r="N226" t="str">
        <f t="shared" si="11"/>
        <v>--</v>
      </c>
    </row>
    <row r="227" spans="1:14" ht="25.5">
      <c r="A227" s="1650" t="s">
        <v>3780</v>
      </c>
      <c r="B227" s="1649" t="s">
        <v>3781</v>
      </c>
      <c r="C227" s="1650" t="s">
        <v>115</v>
      </c>
      <c r="D227" s="1654" t="s">
        <v>115</v>
      </c>
      <c r="E227" s="1650" t="s">
        <v>115</v>
      </c>
      <c r="F227" s="1654">
        <v>2.3999999999999998E-3</v>
      </c>
      <c r="G227" s="1650" t="s">
        <v>1277</v>
      </c>
      <c r="H227" s="1654">
        <v>2.0000000000000001E-4</v>
      </c>
      <c r="I227" s="1650" t="s">
        <v>3764</v>
      </c>
      <c r="J227" s="1654">
        <v>7.0000000000000001E-3</v>
      </c>
      <c r="K227" s="1655" t="s">
        <v>3600</v>
      </c>
      <c r="L227" t="str">
        <f t="shared" si="9"/>
        <v/>
      </c>
      <c r="M227" t="str">
        <f t="shared" si="10"/>
        <v/>
      </c>
      <c r="N227" t="str">
        <f t="shared" si="11"/>
        <v>--</v>
      </c>
    </row>
    <row r="228" spans="1:14">
      <c r="A228" s="1650" t="s">
        <v>2564</v>
      </c>
      <c r="B228" s="1649" t="s">
        <v>3782</v>
      </c>
      <c r="C228" s="1650" t="s">
        <v>115</v>
      </c>
      <c r="D228" s="1654">
        <v>1.8</v>
      </c>
      <c r="E228" s="1650" t="s">
        <v>1277</v>
      </c>
      <c r="F228" s="1654">
        <v>5.2999999999999998E-4</v>
      </c>
      <c r="G228" s="1650" t="s">
        <v>1277</v>
      </c>
      <c r="H228" s="1654" t="s">
        <v>115</v>
      </c>
      <c r="I228" s="1650" t="s">
        <v>115</v>
      </c>
      <c r="J228" s="1654" t="s">
        <v>115</v>
      </c>
      <c r="K228" s="1655" t="s">
        <v>115</v>
      </c>
      <c r="L228" t="str">
        <f t="shared" si="9"/>
        <v/>
      </c>
      <c r="M228" t="str">
        <f t="shared" si="10"/>
        <v/>
      </c>
      <c r="N228" t="str">
        <f t="shared" si="11"/>
        <v>--</v>
      </c>
    </row>
    <row r="229" spans="1:14">
      <c r="A229" s="1650" t="s">
        <v>2016</v>
      </c>
      <c r="B229" s="1649" t="s">
        <v>2017</v>
      </c>
      <c r="C229" s="1650" t="s">
        <v>115</v>
      </c>
      <c r="D229" s="1654" t="s">
        <v>115</v>
      </c>
      <c r="E229" s="1650" t="s">
        <v>115</v>
      </c>
      <c r="F229" s="1654" t="s">
        <v>115</v>
      </c>
      <c r="G229" s="1650" t="s">
        <v>115</v>
      </c>
      <c r="H229" s="1654">
        <v>8.9999999999999993E-3</v>
      </c>
      <c r="I229" s="1650" t="s">
        <v>1247</v>
      </c>
      <c r="J229" s="1654" t="s">
        <v>115</v>
      </c>
      <c r="K229" s="1655" t="s">
        <v>115</v>
      </c>
      <c r="L229" t="str">
        <f t="shared" si="9"/>
        <v/>
      </c>
      <c r="M229" t="str">
        <f t="shared" si="10"/>
        <v/>
      </c>
      <c r="N229" t="str">
        <f t="shared" si="11"/>
        <v>--</v>
      </c>
    </row>
    <row r="230" spans="1:14">
      <c r="A230" s="1650" t="s">
        <v>2018</v>
      </c>
      <c r="B230" s="1649" t="s">
        <v>2019</v>
      </c>
      <c r="C230" s="1650" t="s">
        <v>115</v>
      </c>
      <c r="D230" s="1654" t="s">
        <v>115</v>
      </c>
      <c r="E230" s="1650" t="s">
        <v>115</v>
      </c>
      <c r="F230" s="1654" t="s">
        <v>115</v>
      </c>
      <c r="G230" s="1650" t="s">
        <v>115</v>
      </c>
      <c r="H230" s="1654">
        <v>1.4999999999999999E-2</v>
      </c>
      <c r="I230" s="1650" t="s">
        <v>1277</v>
      </c>
      <c r="J230" s="1654" t="s">
        <v>115</v>
      </c>
      <c r="K230" s="1655" t="s">
        <v>115</v>
      </c>
      <c r="L230" t="str">
        <f t="shared" si="9"/>
        <v/>
      </c>
      <c r="M230" t="str">
        <f t="shared" si="10"/>
        <v/>
      </c>
      <c r="N230" t="str">
        <f t="shared" si="11"/>
        <v>--</v>
      </c>
    </row>
    <row r="231" spans="1:14">
      <c r="A231" s="1650" t="s">
        <v>98</v>
      </c>
      <c r="B231" s="1649" t="s">
        <v>3783</v>
      </c>
      <c r="C231" s="1650" t="s">
        <v>115</v>
      </c>
      <c r="D231" s="1654">
        <v>8.0000000000000002E-3</v>
      </c>
      <c r="E231" s="1650" t="s">
        <v>1277</v>
      </c>
      <c r="F231" s="1654">
        <v>1.9999999999999999E-6</v>
      </c>
      <c r="G231" s="1650" t="s">
        <v>3598</v>
      </c>
      <c r="H231" s="1654">
        <v>0.5</v>
      </c>
      <c r="I231" s="1650" t="s">
        <v>1277</v>
      </c>
      <c r="J231" s="1654">
        <v>0.4</v>
      </c>
      <c r="K231" s="1655" t="s">
        <v>3603</v>
      </c>
      <c r="L231" t="str">
        <f t="shared" si="9"/>
        <v>Route IUR</v>
      </c>
      <c r="M231" t="str">
        <f t="shared" si="10"/>
        <v/>
      </c>
      <c r="N231" t="str">
        <f t="shared" si="11"/>
        <v>Route IUR</v>
      </c>
    </row>
    <row r="232" spans="1:14">
      <c r="A232" s="1650" t="s">
        <v>2021</v>
      </c>
      <c r="B232" s="1649" t="s">
        <v>3784</v>
      </c>
      <c r="C232" s="1650" t="s">
        <v>115</v>
      </c>
      <c r="D232" s="1654" t="s">
        <v>115</v>
      </c>
      <c r="E232" s="1650" t="s">
        <v>115</v>
      </c>
      <c r="F232" s="1654" t="s">
        <v>115</v>
      </c>
      <c r="G232" s="1650" t="s">
        <v>115</v>
      </c>
      <c r="H232" s="1654">
        <v>3.0000000000000001E-3</v>
      </c>
      <c r="I232" s="1650" t="s">
        <v>1247</v>
      </c>
      <c r="J232" s="1654" t="s">
        <v>115</v>
      </c>
      <c r="K232" s="1655" t="s">
        <v>115</v>
      </c>
      <c r="L232" t="str">
        <f t="shared" si="9"/>
        <v/>
      </c>
      <c r="M232" t="str">
        <f t="shared" si="10"/>
        <v/>
      </c>
      <c r="N232" t="str">
        <f t="shared" si="11"/>
        <v>--</v>
      </c>
    </row>
    <row r="233" spans="1:14">
      <c r="A233" s="1650" t="s">
        <v>100</v>
      </c>
      <c r="B233" s="1649" t="s">
        <v>3785</v>
      </c>
      <c r="C233" s="1650" t="s">
        <v>115</v>
      </c>
      <c r="D233" s="1654">
        <v>2.5</v>
      </c>
      <c r="E233" s="1650" t="s">
        <v>3600</v>
      </c>
      <c r="F233" s="1654">
        <v>7.1000000000000002E-4</v>
      </c>
      <c r="G233" s="1650" t="s">
        <v>3600</v>
      </c>
      <c r="H233" s="1654" t="s">
        <v>115</v>
      </c>
      <c r="I233" s="1650" t="s">
        <v>115</v>
      </c>
      <c r="J233" s="1654" t="s">
        <v>115</v>
      </c>
      <c r="K233" s="1655" t="s">
        <v>115</v>
      </c>
      <c r="L233" t="str">
        <f t="shared" si="9"/>
        <v/>
      </c>
      <c r="M233" t="str">
        <f t="shared" si="10"/>
        <v/>
      </c>
      <c r="N233" t="str">
        <f t="shared" si="11"/>
        <v>--</v>
      </c>
    </row>
    <row r="234" spans="1:14">
      <c r="A234" s="1650" t="s">
        <v>104</v>
      </c>
      <c r="B234" s="1649" t="s">
        <v>3786</v>
      </c>
      <c r="C234" s="1650" t="s">
        <v>115</v>
      </c>
      <c r="D234" s="1654">
        <v>1.4E-2</v>
      </c>
      <c r="E234" s="1650" t="s">
        <v>1277</v>
      </c>
      <c r="F234" s="1654">
        <v>2.3999999999999999E-6</v>
      </c>
      <c r="G234" s="1650" t="s">
        <v>1234</v>
      </c>
      <c r="H234" s="1654">
        <v>0.02</v>
      </c>
      <c r="I234" s="1650" t="s">
        <v>1277</v>
      </c>
      <c r="J234" s="1654" t="s">
        <v>115</v>
      </c>
      <c r="K234" s="1655" t="s">
        <v>115</v>
      </c>
      <c r="L234" t="str">
        <f t="shared" si="9"/>
        <v/>
      </c>
      <c r="M234" t="str">
        <f t="shared" si="10"/>
        <v/>
      </c>
      <c r="N234" t="str">
        <f t="shared" si="11"/>
        <v>--</v>
      </c>
    </row>
    <row r="235" spans="1:14">
      <c r="A235" s="1650" t="s">
        <v>2024</v>
      </c>
      <c r="B235" s="1649" t="s">
        <v>3787</v>
      </c>
      <c r="C235" s="1650" t="s">
        <v>115</v>
      </c>
      <c r="D235" s="1654">
        <v>220</v>
      </c>
      <c r="E235" s="1650" t="s">
        <v>1277</v>
      </c>
      <c r="F235" s="1654">
        <v>6.2E-2</v>
      </c>
      <c r="G235" s="1650" t="s">
        <v>1277</v>
      </c>
      <c r="H235" s="1654" t="s">
        <v>115</v>
      </c>
      <c r="I235" s="1650" t="s">
        <v>115</v>
      </c>
      <c r="J235" s="1654" t="s">
        <v>115</v>
      </c>
      <c r="K235" s="1655" t="s">
        <v>115</v>
      </c>
      <c r="L235" t="str">
        <f t="shared" si="9"/>
        <v/>
      </c>
      <c r="M235" t="str">
        <f t="shared" si="10"/>
        <v/>
      </c>
      <c r="N235" t="str">
        <f t="shared" si="11"/>
        <v>--</v>
      </c>
    </row>
    <row r="236" spans="1:14">
      <c r="A236" s="1650" t="s">
        <v>102</v>
      </c>
      <c r="B236" s="1649" t="s">
        <v>3788</v>
      </c>
      <c r="C236" s="1650" t="s">
        <v>115</v>
      </c>
      <c r="D236" s="1654" t="s">
        <v>115</v>
      </c>
      <c r="E236" s="1650" t="s">
        <v>115</v>
      </c>
      <c r="F236" s="1654" t="s">
        <v>115</v>
      </c>
      <c r="G236" s="1650" t="s">
        <v>115</v>
      </c>
      <c r="H236" s="1654">
        <v>0.04</v>
      </c>
      <c r="I236" s="1650" t="s">
        <v>1277</v>
      </c>
      <c r="J236" s="1654">
        <v>160</v>
      </c>
      <c r="K236" s="1655" t="s">
        <v>3598</v>
      </c>
      <c r="L236" t="str">
        <f t="shared" si="9"/>
        <v/>
      </c>
      <c r="M236" t="str">
        <f t="shared" si="10"/>
        <v>Route RfC</v>
      </c>
      <c r="N236" t="str">
        <f t="shared" si="11"/>
        <v>Route RfC</v>
      </c>
    </row>
    <row r="237" spans="1:14">
      <c r="A237" s="1650" t="s">
        <v>2026</v>
      </c>
      <c r="B237" s="1649" t="s">
        <v>2027</v>
      </c>
      <c r="C237" s="1650" t="s">
        <v>115</v>
      </c>
      <c r="D237" s="1654" t="s">
        <v>115</v>
      </c>
      <c r="E237" s="1650" t="s">
        <v>115</v>
      </c>
      <c r="F237" s="1654" t="s">
        <v>115</v>
      </c>
      <c r="G237" s="1650" t="s">
        <v>115</v>
      </c>
      <c r="H237" s="1654">
        <v>0.05</v>
      </c>
      <c r="I237" s="1650" t="s">
        <v>1277</v>
      </c>
      <c r="J237" s="1654" t="s">
        <v>115</v>
      </c>
      <c r="K237" s="1655" t="s">
        <v>115</v>
      </c>
      <c r="L237" t="str">
        <f t="shared" si="9"/>
        <v/>
      </c>
      <c r="M237" t="str">
        <f t="shared" si="10"/>
        <v/>
      </c>
      <c r="N237" t="str">
        <f t="shared" si="11"/>
        <v>--</v>
      </c>
    </row>
    <row r="238" spans="1:14">
      <c r="A238" s="1650" t="s">
        <v>106</v>
      </c>
      <c r="B238" s="1649" t="s">
        <v>105</v>
      </c>
      <c r="C238" s="1650" t="s">
        <v>115</v>
      </c>
      <c r="D238" s="1654" t="s">
        <v>115</v>
      </c>
      <c r="E238" s="1650" t="s">
        <v>115</v>
      </c>
      <c r="F238" s="1654" t="s">
        <v>115</v>
      </c>
      <c r="G238" s="1650" t="s">
        <v>115</v>
      </c>
      <c r="H238" s="1654">
        <v>0.2</v>
      </c>
      <c r="I238" s="1650" t="s">
        <v>1277</v>
      </c>
      <c r="J238" s="1654">
        <v>20</v>
      </c>
      <c r="K238" s="1655" t="s">
        <v>3616</v>
      </c>
      <c r="L238" t="str">
        <f t="shared" si="9"/>
        <v/>
      </c>
      <c r="M238" t="str">
        <f t="shared" si="10"/>
        <v/>
      </c>
      <c r="N238" t="str">
        <f t="shared" si="11"/>
        <v>--</v>
      </c>
    </row>
    <row r="239" spans="1:14">
      <c r="A239" s="1650" t="s">
        <v>2029</v>
      </c>
      <c r="B239" s="1649" t="s">
        <v>2030</v>
      </c>
      <c r="C239" s="1650" t="s">
        <v>115</v>
      </c>
      <c r="D239" s="1654" t="s">
        <v>115</v>
      </c>
      <c r="E239" s="1650" t="s">
        <v>115</v>
      </c>
      <c r="F239" s="1654" t="s">
        <v>115</v>
      </c>
      <c r="G239" s="1650" t="s">
        <v>115</v>
      </c>
      <c r="H239" s="1654">
        <v>2</v>
      </c>
      <c r="I239" s="1650" t="s">
        <v>1247</v>
      </c>
      <c r="J239" s="1654">
        <v>20</v>
      </c>
      <c r="K239" s="1655" t="s">
        <v>1247</v>
      </c>
      <c r="L239" t="str">
        <f t="shared" si="9"/>
        <v/>
      </c>
      <c r="M239" t="str">
        <f t="shared" si="10"/>
        <v/>
      </c>
      <c r="N239" t="str">
        <f t="shared" si="11"/>
        <v>--</v>
      </c>
    </row>
    <row r="240" spans="1:14">
      <c r="A240" s="1656">
        <v>2095581</v>
      </c>
      <c r="B240" s="1649" t="s">
        <v>2032</v>
      </c>
      <c r="C240" s="1650" t="s">
        <v>115</v>
      </c>
      <c r="D240" s="1654" t="s">
        <v>115</v>
      </c>
      <c r="E240" s="1650" t="s">
        <v>115</v>
      </c>
      <c r="F240" s="1654" t="s">
        <v>115</v>
      </c>
      <c r="G240" s="1650" t="s">
        <v>115</v>
      </c>
      <c r="H240" s="1654">
        <v>0.04</v>
      </c>
      <c r="I240" s="1650" t="s">
        <v>3600</v>
      </c>
      <c r="J240" s="1654">
        <v>13</v>
      </c>
      <c r="K240" s="1655" t="s">
        <v>1234</v>
      </c>
      <c r="L240" t="str">
        <f t="shared" si="9"/>
        <v/>
      </c>
      <c r="M240" t="str">
        <f t="shared" si="10"/>
        <v/>
      </c>
      <c r="N240" t="str">
        <f t="shared" si="11"/>
        <v>--</v>
      </c>
    </row>
    <row r="241" spans="1:14">
      <c r="A241" s="1650" t="s">
        <v>2033</v>
      </c>
      <c r="B241" s="1649" t="s">
        <v>2034</v>
      </c>
      <c r="C241" s="1650" t="s">
        <v>115</v>
      </c>
      <c r="D241" s="1654">
        <v>0.7</v>
      </c>
      <c r="E241" s="1650" t="s">
        <v>1277</v>
      </c>
      <c r="F241" s="1654">
        <v>1.3999999999999999E-4</v>
      </c>
      <c r="G241" s="1650" t="s">
        <v>1234</v>
      </c>
      <c r="H241" s="1654">
        <v>4.0000000000000001E-3</v>
      </c>
      <c r="I241" s="1650" t="s">
        <v>1277</v>
      </c>
      <c r="J241" s="1654" t="s">
        <v>115</v>
      </c>
      <c r="K241" s="1655" t="s">
        <v>115</v>
      </c>
      <c r="L241" t="str">
        <f t="shared" si="9"/>
        <v/>
      </c>
      <c r="M241" t="str">
        <f t="shared" si="10"/>
        <v/>
      </c>
      <c r="N241" t="str">
        <f t="shared" si="11"/>
        <v>--</v>
      </c>
    </row>
    <row r="242" spans="1:14">
      <c r="A242" s="1650" t="s">
        <v>2043</v>
      </c>
      <c r="B242" s="1649" t="s">
        <v>2044</v>
      </c>
      <c r="C242" s="1650" t="s">
        <v>115</v>
      </c>
      <c r="D242" s="1654" t="s">
        <v>115</v>
      </c>
      <c r="E242" s="1650" t="s">
        <v>115</v>
      </c>
      <c r="F242" s="1654" t="s">
        <v>115</v>
      </c>
      <c r="G242" s="1650" t="s">
        <v>115</v>
      </c>
      <c r="H242" s="1654">
        <v>8.0000000000000002E-3</v>
      </c>
      <c r="I242" s="1650" t="s">
        <v>1277</v>
      </c>
      <c r="J242" s="1654">
        <v>60</v>
      </c>
      <c r="K242" s="1655" t="s">
        <v>1277</v>
      </c>
      <c r="L242" t="str">
        <f t="shared" si="9"/>
        <v/>
      </c>
      <c r="M242" t="str">
        <f t="shared" si="10"/>
        <v/>
      </c>
      <c r="N242" t="str">
        <f t="shared" si="11"/>
        <v>--</v>
      </c>
    </row>
    <row r="243" spans="1:14">
      <c r="A243" s="1650" t="s">
        <v>2045</v>
      </c>
      <c r="B243" s="1649" t="s">
        <v>2046</v>
      </c>
      <c r="C243" s="1650" t="s">
        <v>115</v>
      </c>
      <c r="D243" s="1654" t="s">
        <v>115</v>
      </c>
      <c r="E243" s="1650" t="s">
        <v>115</v>
      </c>
      <c r="F243" s="1654" t="s">
        <v>115</v>
      </c>
      <c r="G243" s="1650" t="s">
        <v>115</v>
      </c>
      <c r="H243" s="1654" t="s">
        <v>115</v>
      </c>
      <c r="I243" s="1650" t="s">
        <v>115</v>
      </c>
      <c r="J243" s="1654">
        <v>40</v>
      </c>
      <c r="K243" s="1655" t="s">
        <v>3603</v>
      </c>
      <c r="L243" t="str">
        <f t="shared" si="9"/>
        <v/>
      </c>
      <c r="M243" t="str">
        <f t="shared" si="10"/>
        <v/>
      </c>
      <c r="N243" t="str">
        <f t="shared" si="11"/>
        <v>--</v>
      </c>
    </row>
    <row r="244" spans="1:14">
      <c r="A244" s="1650" t="s">
        <v>108</v>
      </c>
      <c r="B244" s="1649" t="s">
        <v>107</v>
      </c>
      <c r="C244" s="1650" t="s">
        <v>115</v>
      </c>
      <c r="D244" s="1654">
        <v>6.2E-2</v>
      </c>
      <c r="E244" s="1650" t="s">
        <v>1277</v>
      </c>
      <c r="F244" s="1654">
        <v>3.6999999999999998E-5</v>
      </c>
      <c r="G244" s="1650" t="s">
        <v>1234</v>
      </c>
      <c r="H244" s="1654">
        <v>8.0000000000000002E-3</v>
      </c>
      <c r="I244" s="1650" t="s">
        <v>1247</v>
      </c>
      <c r="J244" s="1654">
        <v>32</v>
      </c>
      <c r="K244" s="1655" t="s">
        <v>3605</v>
      </c>
      <c r="L244" t="str">
        <f t="shared" si="9"/>
        <v/>
      </c>
      <c r="M244" t="str">
        <f t="shared" si="10"/>
        <v>Route RfC</v>
      </c>
      <c r="N244" t="str">
        <f t="shared" si="11"/>
        <v>Route RfC</v>
      </c>
    </row>
    <row r="245" spans="1:14">
      <c r="A245" s="1650" t="s">
        <v>110</v>
      </c>
      <c r="B245" s="1649" t="s">
        <v>2047</v>
      </c>
      <c r="C245" s="1650" t="s">
        <v>115</v>
      </c>
      <c r="D245" s="1654">
        <v>7.9000000000000008E-3</v>
      </c>
      <c r="E245" s="1650" t="s">
        <v>1277</v>
      </c>
      <c r="F245" s="1654">
        <v>1.1000000000000001E-6</v>
      </c>
      <c r="G245" s="1650" t="s">
        <v>1277</v>
      </c>
      <c r="H245" s="1654">
        <v>0.02</v>
      </c>
      <c r="I245" s="1650" t="s">
        <v>1277</v>
      </c>
      <c r="J245" s="1654">
        <v>80</v>
      </c>
      <c r="K245" s="1655" t="s">
        <v>3598</v>
      </c>
      <c r="L245" t="str">
        <f t="shared" si="9"/>
        <v/>
      </c>
      <c r="M245" t="str">
        <f t="shared" si="10"/>
        <v>Route RfC</v>
      </c>
      <c r="N245" t="str">
        <f t="shared" si="11"/>
        <v>Route RfC</v>
      </c>
    </row>
    <row r="246" spans="1:14">
      <c r="A246" s="1650" t="s">
        <v>2048</v>
      </c>
      <c r="B246" s="1649" t="s">
        <v>2049</v>
      </c>
      <c r="C246" s="1650" t="s">
        <v>115</v>
      </c>
      <c r="D246" s="1654" t="s">
        <v>115</v>
      </c>
      <c r="E246" s="1650" t="s">
        <v>115</v>
      </c>
      <c r="F246" s="1654" t="s">
        <v>115</v>
      </c>
      <c r="G246" s="1650" t="s">
        <v>115</v>
      </c>
      <c r="H246" s="1654">
        <v>5.0000000000000001E-3</v>
      </c>
      <c r="I246" s="1650" t="s">
        <v>3616</v>
      </c>
      <c r="J246" s="1654">
        <v>20</v>
      </c>
      <c r="K246" s="1655" t="s">
        <v>3789</v>
      </c>
      <c r="L246" t="str">
        <f t="shared" si="9"/>
        <v/>
      </c>
      <c r="M246" t="str">
        <f t="shared" si="10"/>
        <v>Route RfC</v>
      </c>
      <c r="N246" t="str">
        <f t="shared" si="11"/>
        <v>Route RfC</v>
      </c>
    </row>
    <row r="247" spans="1:14">
      <c r="A247" s="1650" t="s">
        <v>2053</v>
      </c>
      <c r="B247" s="1649" t="s">
        <v>2054</v>
      </c>
      <c r="C247" s="1650" t="s">
        <v>115</v>
      </c>
      <c r="D247" s="1654">
        <v>0.1</v>
      </c>
      <c r="E247" s="1650" t="s">
        <v>3663</v>
      </c>
      <c r="F247" s="1654" t="s">
        <v>115</v>
      </c>
      <c r="G247" s="1650" t="s">
        <v>115</v>
      </c>
      <c r="H247" s="1654">
        <v>1.4999999999999999E-2</v>
      </c>
      <c r="I247" s="1650" t="s">
        <v>3663</v>
      </c>
      <c r="J247" s="1654" t="s">
        <v>115</v>
      </c>
      <c r="K247" s="1655" t="s">
        <v>115</v>
      </c>
      <c r="L247" t="str">
        <f t="shared" si="9"/>
        <v/>
      </c>
      <c r="M247" t="str">
        <f t="shared" si="10"/>
        <v/>
      </c>
      <c r="N247" t="str">
        <f t="shared" si="11"/>
        <v>--</v>
      </c>
    </row>
    <row r="248" spans="1:14">
      <c r="A248" s="1650" t="s">
        <v>2055</v>
      </c>
      <c r="B248" s="1649" t="s">
        <v>3790</v>
      </c>
      <c r="C248" s="1650" t="s">
        <v>115</v>
      </c>
      <c r="D248" s="1654">
        <v>0.1</v>
      </c>
      <c r="E248" s="1650" t="s">
        <v>3663</v>
      </c>
      <c r="F248" s="1654" t="s">
        <v>115</v>
      </c>
      <c r="G248" s="1650" t="s">
        <v>115</v>
      </c>
      <c r="H248" s="1654">
        <v>1.4999999999999999E-2</v>
      </c>
      <c r="I248" s="1650" t="s">
        <v>3663</v>
      </c>
      <c r="J248" s="1654">
        <v>60</v>
      </c>
      <c r="K248" s="1655" t="s">
        <v>3766</v>
      </c>
      <c r="L248" t="str">
        <f t="shared" si="9"/>
        <v/>
      </c>
      <c r="M248" t="str">
        <f t="shared" si="10"/>
        <v>Route RfC</v>
      </c>
      <c r="N248" t="str">
        <f t="shared" si="11"/>
        <v>Route RfC</v>
      </c>
    </row>
    <row r="249" spans="1:14">
      <c r="A249" s="1650" t="s">
        <v>3114</v>
      </c>
      <c r="B249" s="1649" t="s">
        <v>3791</v>
      </c>
      <c r="C249" s="1650" t="s">
        <v>115</v>
      </c>
      <c r="D249" s="1654">
        <v>1.9E-3</v>
      </c>
      <c r="E249" s="1650" t="s">
        <v>1247</v>
      </c>
      <c r="F249" s="1654" t="s">
        <v>115</v>
      </c>
      <c r="G249" s="1650" t="s">
        <v>115</v>
      </c>
      <c r="H249" s="1654">
        <v>0.2</v>
      </c>
      <c r="I249" s="1650" t="s">
        <v>1277</v>
      </c>
      <c r="J249" s="1654" t="s">
        <v>115</v>
      </c>
      <c r="K249" s="1655" t="s">
        <v>115</v>
      </c>
      <c r="L249" t="str">
        <f t="shared" si="9"/>
        <v/>
      </c>
      <c r="M249" t="str">
        <f t="shared" si="10"/>
        <v/>
      </c>
      <c r="N249" t="str">
        <f t="shared" si="11"/>
        <v>--</v>
      </c>
    </row>
    <row r="250" spans="1:14">
      <c r="A250" s="1650" t="s">
        <v>2064</v>
      </c>
      <c r="B250" s="1649" t="s">
        <v>2065</v>
      </c>
      <c r="C250" s="1650" t="s">
        <v>115</v>
      </c>
      <c r="D250" s="1654" t="s">
        <v>115</v>
      </c>
      <c r="E250" s="1650" t="s">
        <v>115</v>
      </c>
      <c r="F250" s="1654" t="s">
        <v>115</v>
      </c>
      <c r="G250" s="1650" t="s">
        <v>115</v>
      </c>
      <c r="H250" s="1654">
        <v>0.05</v>
      </c>
      <c r="I250" s="1650" t="s">
        <v>1277</v>
      </c>
      <c r="J250" s="1654">
        <v>200</v>
      </c>
      <c r="K250" s="1655" t="s">
        <v>3598</v>
      </c>
      <c r="L250" t="str">
        <f t="shared" si="9"/>
        <v/>
      </c>
      <c r="M250" t="str">
        <f t="shared" si="10"/>
        <v>Route RfC</v>
      </c>
      <c r="N250" t="str">
        <f t="shared" si="11"/>
        <v>Route RfC</v>
      </c>
    </row>
    <row r="251" spans="1:14">
      <c r="A251" s="1650" t="s">
        <v>2066</v>
      </c>
      <c r="B251" s="1649" t="s">
        <v>2067</v>
      </c>
      <c r="C251" s="1650" t="s">
        <v>115</v>
      </c>
      <c r="D251" s="1654">
        <v>2.0000000000000001E-4</v>
      </c>
      <c r="E251" s="1650" t="s">
        <v>1234</v>
      </c>
      <c r="F251" s="1654">
        <v>5.7000000000000001E-8</v>
      </c>
      <c r="G251" s="1650" t="s">
        <v>1234</v>
      </c>
      <c r="H251" s="1654" t="s">
        <v>115</v>
      </c>
      <c r="I251" s="1650" t="s">
        <v>115</v>
      </c>
      <c r="J251" s="1654" t="s">
        <v>115</v>
      </c>
      <c r="K251" s="1655" t="s">
        <v>115</v>
      </c>
      <c r="L251" t="str">
        <f t="shared" si="9"/>
        <v/>
      </c>
      <c r="M251" t="str">
        <f t="shared" si="10"/>
        <v/>
      </c>
      <c r="N251" t="str">
        <f t="shared" si="11"/>
        <v>--</v>
      </c>
    </row>
    <row r="252" spans="1:14">
      <c r="A252" s="1650" t="s">
        <v>2068</v>
      </c>
      <c r="B252" s="1649" t="s">
        <v>3792</v>
      </c>
      <c r="C252" s="1650" t="s">
        <v>115</v>
      </c>
      <c r="D252" s="1654">
        <v>3.5999999999999999E-3</v>
      </c>
      <c r="E252" s="1650" t="s">
        <v>1247</v>
      </c>
      <c r="F252" s="1654" t="s">
        <v>115</v>
      </c>
      <c r="G252" s="1650" t="s">
        <v>115</v>
      </c>
      <c r="H252" s="1654">
        <v>0.3</v>
      </c>
      <c r="I252" s="1650" t="s">
        <v>1247</v>
      </c>
      <c r="J252" s="1654" t="s">
        <v>115</v>
      </c>
      <c r="K252" s="1655" t="s">
        <v>115</v>
      </c>
      <c r="L252" t="str">
        <f t="shared" si="9"/>
        <v/>
      </c>
      <c r="M252" t="str">
        <f t="shared" si="10"/>
        <v/>
      </c>
      <c r="N252" t="str">
        <f t="shared" si="11"/>
        <v>--</v>
      </c>
    </row>
    <row r="253" spans="1:14">
      <c r="A253" s="1650" t="s">
        <v>3116</v>
      </c>
      <c r="B253" s="1649" t="s">
        <v>3793</v>
      </c>
      <c r="C253" s="1650" t="s">
        <v>115</v>
      </c>
      <c r="D253" s="1654" t="s">
        <v>115</v>
      </c>
      <c r="E253" s="1650" t="s">
        <v>115</v>
      </c>
      <c r="F253" s="1654" t="s">
        <v>115</v>
      </c>
      <c r="G253" s="1650" t="s">
        <v>115</v>
      </c>
      <c r="H253" s="1654">
        <v>1</v>
      </c>
      <c r="I253" s="1650" t="s">
        <v>1277</v>
      </c>
      <c r="J253" s="1654" t="s">
        <v>115</v>
      </c>
      <c r="K253" s="1655" t="s">
        <v>115</v>
      </c>
      <c r="L253" t="str">
        <f t="shared" si="9"/>
        <v/>
      </c>
      <c r="M253" t="str">
        <f t="shared" si="10"/>
        <v/>
      </c>
      <c r="N253" t="str">
        <f t="shared" si="11"/>
        <v>--</v>
      </c>
    </row>
    <row r="254" spans="1:14">
      <c r="A254" s="1650" t="s">
        <v>2076</v>
      </c>
      <c r="B254" s="1649" t="s">
        <v>3794</v>
      </c>
      <c r="C254" s="1650" t="s">
        <v>115</v>
      </c>
      <c r="D254" s="1654" t="s">
        <v>115</v>
      </c>
      <c r="E254" s="1650" t="s">
        <v>115</v>
      </c>
      <c r="F254" s="1654" t="s">
        <v>115</v>
      </c>
      <c r="G254" s="1650" t="s">
        <v>115</v>
      </c>
      <c r="H254" s="1654">
        <v>0.02</v>
      </c>
      <c r="I254" s="1650" t="s">
        <v>1280</v>
      </c>
      <c r="J254" s="1654" t="s">
        <v>115</v>
      </c>
      <c r="K254" s="1655" t="s">
        <v>115</v>
      </c>
      <c r="L254" t="str">
        <f t="shared" si="9"/>
        <v/>
      </c>
      <c r="M254" t="str">
        <f t="shared" si="10"/>
        <v/>
      </c>
      <c r="N254" t="str">
        <f t="shared" si="11"/>
        <v>--</v>
      </c>
    </row>
    <row r="255" spans="1:14">
      <c r="A255" s="1650" t="s">
        <v>114</v>
      </c>
      <c r="B255" s="1649" t="s">
        <v>3795</v>
      </c>
      <c r="C255" s="1650" t="s">
        <v>115</v>
      </c>
      <c r="D255" s="1654" t="s">
        <v>115</v>
      </c>
      <c r="E255" s="1650" t="s">
        <v>115</v>
      </c>
      <c r="F255" s="1654">
        <v>4.1999999999999997E-3</v>
      </c>
      <c r="G255" s="1650" t="s">
        <v>3600</v>
      </c>
      <c r="H255" s="1654">
        <v>1E-4</v>
      </c>
      <c r="I255" s="1650" t="s">
        <v>1280</v>
      </c>
      <c r="J255" s="1654">
        <v>0.01</v>
      </c>
      <c r="K255" s="1655" t="s">
        <v>1280</v>
      </c>
      <c r="L255" t="str">
        <f t="shared" si="9"/>
        <v/>
      </c>
      <c r="M255" t="str">
        <f t="shared" si="10"/>
        <v/>
      </c>
      <c r="N255" t="str">
        <f t="shared" si="11"/>
        <v>--</v>
      </c>
    </row>
    <row r="256" spans="1:14" ht="25.5">
      <c r="A256" s="1650" t="s">
        <v>2213</v>
      </c>
      <c r="B256" s="1649" t="s">
        <v>3796</v>
      </c>
      <c r="C256" s="1650" t="s">
        <v>115</v>
      </c>
      <c r="D256" s="1654" t="s">
        <v>115</v>
      </c>
      <c r="E256" s="1650" t="s">
        <v>115</v>
      </c>
      <c r="F256" s="1654" t="s">
        <v>115</v>
      </c>
      <c r="G256" s="1650" t="s">
        <v>115</v>
      </c>
      <c r="H256" s="1654">
        <v>1E-3</v>
      </c>
      <c r="I256" s="1650" t="s">
        <v>3797</v>
      </c>
      <c r="J256" s="1654">
        <v>9</v>
      </c>
      <c r="K256" s="1655" t="s">
        <v>1234</v>
      </c>
      <c r="L256" t="str">
        <f t="shared" si="9"/>
        <v/>
      </c>
      <c r="M256" t="str">
        <f t="shared" si="10"/>
        <v/>
      </c>
      <c r="N256" t="str">
        <f t="shared" si="11"/>
        <v>--</v>
      </c>
    </row>
    <row r="257" spans="1:14">
      <c r="A257" s="1650" t="s">
        <v>2080</v>
      </c>
      <c r="B257" s="1649" t="s">
        <v>2081</v>
      </c>
      <c r="C257" s="1650" t="s">
        <v>115</v>
      </c>
      <c r="D257" s="1654" t="s">
        <v>115</v>
      </c>
      <c r="E257" s="1650" t="s">
        <v>115</v>
      </c>
      <c r="F257" s="1654" t="s">
        <v>115</v>
      </c>
      <c r="G257" s="1650" t="s">
        <v>115</v>
      </c>
      <c r="H257" s="1654">
        <v>0.5</v>
      </c>
      <c r="I257" s="1650" t="s">
        <v>1277</v>
      </c>
      <c r="J257" s="1654">
        <v>2.2000000000000002</v>
      </c>
      <c r="K257" s="1655" t="s">
        <v>1234</v>
      </c>
      <c r="L257" t="str">
        <f t="shared" si="9"/>
        <v/>
      </c>
      <c r="M257" t="str">
        <f t="shared" si="10"/>
        <v/>
      </c>
      <c r="N257" t="str">
        <f t="shared" si="11"/>
        <v>--</v>
      </c>
    </row>
    <row r="258" spans="1:14">
      <c r="A258" s="1656">
        <v>191906</v>
      </c>
      <c r="B258" s="1649" t="s">
        <v>2083</v>
      </c>
      <c r="C258" s="1650" t="s">
        <v>115</v>
      </c>
      <c r="D258" s="1654">
        <v>0.15</v>
      </c>
      <c r="E258" s="1650" t="s">
        <v>1234</v>
      </c>
      <c r="F258" s="1654">
        <v>4.3000000000000002E-5</v>
      </c>
      <c r="G258" s="1650" t="s">
        <v>1234</v>
      </c>
      <c r="H258" s="1654">
        <v>2E-3</v>
      </c>
      <c r="I258" s="1650" t="s">
        <v>1277</v>
      </c>
      <c r="J258" s="1654" t="s">
        <v>115</v>
      </c>
      <c r="K258" s="1655" t="s">
        <v>115</v>
      </c>
      <c r="L258" t="str">
        <f t="shared" si="9"/>
        <v/>
      </c>
      <c r="M258" t="str">
        <f t="shared" si="10"/>
        <v/>
      </c>
      <c r="N258" t="str">
        <f t="shared" si="11"/>
        <v>--</v>
      </c>
    </row>
    <row r="259" spans="1:14">
      <c r="A259" s="1650" t="s">
        <v>2084</v>
      </c>
      <c r="B259" s="1649" t="s">
        <v>2085</v>
      </c>
      <c r="C259" s="1650" t="s">
        <v>115</v>
      </c>
      <c r="D259" s="1654">
        <v>2.3E-3</v>
      </c>
      <c r="E259" s="1650" t="s">
        <v>1234</v>
      </c>
      <c r="F259" s="1654">
        <v>6.6000000000000003E-7</v>
      </c>
      <c r="G259" s="1650" t="s">
        <v>1234</v>
      </c>
      <c r="H259" s="1654">
        <v>0.13</v>
      </c>
      <c r="I259" s="1650" t="s">
        <v>1277</v>
      </c>
      <c r="J259" s="1654" t="s">
        <v>115</v>
      </c>
      <c r="K259" s="1655" t="s">
        <v>115</v>
      </c>
      <c r="L259" t="str">
        <f t="shared" si="9"/>
        <v/>
      </c>
      <c r="M259" t="str">
        <f t="shared" si="10"/>
        <v/>
      </c>
      <c r="N259" t="str">
        <f t="shared" si="11"/>
        <v>--</v>
      </c>
    </row>
    <row r="260" spans="1:14">
      <c r="A260" s="1650" t="s">
        <v>2086</v>
      </c>
      <c r="B260" s="1649" t="s">
        <v>2087</v>
      </c>
      <c r="C260" s="1650" t="s">
        <v>115</v>
      </c>
      <c r="D260" s="1654" t="s">
        <v>115</v>
      </c>
      <c r="E260" s="1650" t="s">
        <v>115</v>
      </c>
      <c r="F260" s="1654" t="s">
        <v>115</v>
      </c>
      <c r="G260" s="1650" t="s">
        <v>115</v>
      </c>
      <c r="H260" s="1654">
        <v>0.1</v>
      </c>
      <c r="I260" s="1650" t="s">
        <v>1277</v>
      </c>
      <c r="J260" s="1654" t="s">
        <v>115</v>
      </c>
      <c r="K260" s="1655" t="s">
        <v>115</v>
      </c>
      <c r="L260" t="str">
        <f t="shared" si="9"/>
        <v/>
      </c>
      <c r="M260" t="str">
        <f t="shared" si="10"/>
        <v/>
      </c>
      <c r="N260" t="str">
        <f t="shared" si="11"/>
        <v>--</v>
      </c>
    </row>
    <row r="261" spans="1:14">
      <c r="A261" s="1650" t="s">
        <v>2088</v>
      </c>
      <c r="B261" s="1649" t="s">
        <v>2089</v>
      </c>
      <c r="C261" s="1650" t="s">
        <v>115</v>
      </c>
      <c r="D261" s="1654" t="s">
        <v>115</v>
      </c>
      <c r="E261" s="1650" t="s">
        <v>115</v>
      </c>
      <c r="F261" s="1654" t="s">
        <v>115</v>
      </c>
      <c r="G261" s="1650" t="s">
        <v>115</v>
      </c>
      <c r="H261" s="1654">
        <v>5.0000000000000001E-3</v>
      </c>
      <c r="I261" s="1650" t="s">
        <v>1277</v>
      </c>
      <c r="J261" s="1654" t="s">
        <v>115</v>
      </c>
      <c r="K261" s="1655" t="s">
        <v>115</v>
      </c>
      <c r="L261" t="str">
        <f t="shared" si="9"/>
        <v/>
      </c>
      <c r="M261" t="str">
        <f t="shared" si="10"/>
        <v/>
      </c>
      <c r="N261" t="str">
        <f t="shared" si="11"/>
        <v>--</v>
      </c>
    </row>
    <row r="262" spans="1:14">
      <c r="A262" s="1650" t="s">
        <v>2090</v>
      </c>
      <c r="B262" s="1649" t="s">
        <v>3798</v>
      </c>
      <c r="C262" s="1650" t="s">
        <v>115</v>
      </c>
      <c r="D262" s="1654" t="s">
        <v>115</v>
      </c>
      <c r="E262" s="1650" t="s">
        <v>115</v>
      </c>
      <c r="F262" s="1654" t="s">
        <v>115</v>
      </c>
      <c r="G262" s="1650" t="s">
        <v>115</v>
      </c>
      <c r="H262" s="1654">
        <v>0.1</v>
      </c>
      <c r="I262" s="1650" t="s">
        <v>1277</v>
      </c>
      <c r="J262" s="1654">
        <v>700</v>
      </c>
      <c r="K262" s="1655" t="s">
        <v>1277</v>
      </c>
      <c r="L262" t="str">
        <f t="shared" ref="L262:L325" si="12">IF(COUNTIF(G262,"*Route*"),"Route IUR","")</f>
        <v/>
      </c>
      <c r="M262" t="str">
        <f t="shared" ref="M262:M325" si="13">IF(COUNTIF(K262,"*Route*"),"Route RfC","")</f>
        <v/>
      </c>
      <c r="N262" t="str">
        <f t="shared" ref="N262:N325" si="14">IF(AND(L262&lt;&gt;"",M262&lt;&gt;""),"Route IUR &amp; RfC",IF(L262&lt;&gt;"","Route IUR",IF(M262&lt;&gt;"","Route RfC","--")))</f>
        <v>--</v>
      </c>
    </row>
    <row r="263" spans="1:14">
      <c r="A263" s="1650" t="s">
        <v>118</v>
      </c>
      <c r="B263" s="1649" t="s">
        <v>117</v>
      </c>
      <c r="C263" s="1650" t="s">
        <v>115</v>
      </c>
      <c r="D263" s="1654">
        <v>7.0000000000000007E-2</v>
      </c>
      <c r="E263" s="1650" t="s">
        <v>1277</v>
      </c>
      <c r="F263" s="1654">
        <v>6.0000000000000002E-6</v>
      </c>
      <c r="G263" s="1650" t="s">
        <v>1277</v>
      </c>
      <c r="H263" s="1654">
        <v>4.0000000000000001E-3</v>
      </c>
      <c r="I263" s="1650" t="s">
        <v>1277</v>
      </c>
      <c r="J263" s="1654">
        <v>40</v>
      </c>
      <c r="K263" s="1655" t="s">
        <v>3600</v>
      </c>
      <c r="L263" t="str">
        <f t="shared" si="12"/>
        <v/>
      </c>
      <c r="M263" t="str">
        <f t="shared" si="13"/>
        <v/>
      </c>
      <c r="N263" t="str">
        <f t="shared" si="14"/>
        <v>--</v>
      </c>
    </row>
    <row r="264" spans="1:14">
      <c r="A264" s="1650" t="s">
        <v>2093</v>
      </c>
      <c r="B264" s="1649" t="s">
        <v>3799</v>
      </c>
      <c r="C264" s="1650" t="s">
        <v>115</v>
      </c>
      <c r="D264" s="1654" t="s">
        <v>115</v>
      </c>
      <c r="E264" s="1650" t="s">
        <v>115</v>
      </c>
      <c r="F264" s="1654" t="s">
        <v>115</v>
      </c>
      <c r="G264" s="1650" t="s">
        <v>115</v>
      </c>
      <c r="H264" s="1654" t="s">
        <v>115</v>
      </c>
      <c r="I264" s="1650" t="s">
        <v>115</v>
      </c>
      <c r="J264" s="1654">
        <v>10</v>
      </c>
      <c r="K264" s="1655" t="s">
        <v>3600</v>
      </c>
      <c r="L264" t="str">
        <f t="shared" si="12"/>
        <v/>
      </c>
      <c r="M264" t="str">
        <f t="shared" si="13"/>
        <v/>
      </c>
      <c r="N264" t="str">
        <f t="shared" si="14"/>
        <v>--</v>
      </c>
    </row>
    <row r="265" spans="1:14">
      <c r="A265" s="1650" t="s">
        <v>2095</v>
      </c>
      <c r="B265" s="1649" t="s">
        <v>2096</v>
      </c>
      <c r="C265" s="1650" t="s">
        <v>115</v>
      </c>
      <c r="D265" s="1654" t="s">
        <v>115</v>
      </c>
      <c r="E265" s="1650" t="s">
        <v>115</v>
      </c>
      <c r="F265" s="1654" t="s">
        <v>115</v>
      </c>
      <c r="G265" s="1650" t="s">
        <v>115</v>
      </c>
      <c r="H265" s="1654">
        <v>0.01</v>
      </c>
      <c r="I265" s="1650" t="s">
        <v>1277</v>
      </c>
      <c r="J265" s="1654" t="s">
        <v>115</v>
      </c>
      <c r="K265" s="1655" t="s">
        <v>115</v>
      </c>
      <c r="L265" t="str">
        <f t="shared" si="12"/>
        <v/>
      </c>
      <c r="M265" t="str">
        <f t="shared" si="13"/>
        <v/>
      </c>
      <c r="N265" t="str">
        <f t="shared" si="14"/>
        <v>--</v>
      </c>
    </row>
    <row r="266" spans="1:14">
      <c r="A266" s="1650" t="s">
        <v>2097</v>
      </c>
      <c r="B266" s="1649" t="s">
        <v>2098</v>
      </c>
      <c r="C266" s="1650" t="s">
        <v>115</v>
      </c>
      <c r="D266" s="1654" t="s">
        <v>115</v>
      </c>
      <c r="E266" s="1650" t="s">
        <v>115</v>
      </c>
      <c r="F266" s="1654" t="s">
        <v>115</v>
      </c>
      <c r="G266" s="1650" t="s">
        <v>115</v>
      </c>
      <c r="H266" s="1654">
        <v>0.1</v>
      </c>
      <c r="I266" s="1650" t="s">
        <v>1277</v>
      </c>
      <c r="J266" s="1654" t="s">
        <v>115</v>
      </c>
      <c r="K266" s="1655" t="s">
        <v>115</v>
      </c>
      <c r="L266" t="str">
        <f t="shared" si="12"/>
        <v/>
      </c>
      <c r="M266" t="str">
        <f t="shared" si="13"/>
        <v/>
      </c>
      <c r="N266" t="str">
        <f t="shared" si="14"/>
        <v>--</v>
      </c>
    </row>
    <row r="267" spans="1:14">
      <c r="A267" s="1650" t="s">
        <v>2099</v>
      </c>
      <c r="B267" s="1649" t="s">
        <v>2100</v>
      </c>
      <c r="C267" s="1650" t="s">
        <v>115</v>
      </c>
      <c r="D267" s="1654" t="s">
        <v>115</v>
      </c>
      <c r="E267" s="1650" t="s">
        <v>115</v>
      </c>
      <c r="F267" s="1654" t="s">
        <v>115</v>
      </c>
      <c r="G267" s="1650" t="s">
        <v>115</v>
      </c>
      <c r="H267" s="1654" t="s">
        <v>115</v>
      </c>
      <c r="I267" s="1650" t="s">
        <v>115</v>
      </c>
      <c r="J267" s="1654">
        <v>0.9</v>
      </c>
      <c r="K267" s="1655" t="s">
        <v>1277</v>
      </c>
      <c r="L267" t="str">
        <f t="shared" si="12"/>
        <v/>
      </c>
      <c r="M267" t="str">
        <f t="shared" si="13"/>
        <v/>
      </c>
      <c r="N267" t="str">
        <f t="shared" si="14"/>
        <v>--</v>
      </c>
    </row>
    <row r="268" spans="1:14">
      <c r="A268" s="1650" t="s">
        <v>2101</v>
      </c>
      <c r="B268" s="1649" t="s">
        <v>3800</v>
      </c>
      <c r="C268" s="1650" t="s">
        <v>115</v>
      </c>
      <c r="D268" s="1654" t="s">
        <v>115</v>
      </c>
      <c r="E268" s="1650" t="s">
        <v>115</v>
      </c>
      <c r="F268" s="1654" t="s">
        <v>115</v>
      </c>
      <c r="G268" s="1650" t="s">
        <v>115</v>
      </c>
      <c r="H268" s="1654">
        <v>0.1</v>
      </c>
      <c r="I268" s="1650" t="s">
        <v>1277</v>
      </c>
      <c r="J268" s="1654">
        <v>400</v>
      </c>
      <c r="K268" s="1655" t="s">
        <v>3598</v>
      </c>
      <c r="L268" t="str">
        <f t="shared" si="12"/>
        <v/>
      </c>
      <c r="M268" t="str">
        <f t="shared" si="13"/>
        <v>Route RfC</v>
      </c>
      <c r="N268" t="str">
        <f t="shared" si="14"/>
        <v>Route RfC</v>
      </c>
    </row>
    <row r="269" spans="1:14">
      <c r="A269" s="1650" t="s">
        <v>2103</v>
      </c>
      <c r="B269" s="1649" t="s">
        <v>2104</v>
      </c>
      <c r="C269" s="1650" t="s">
        <v>115</v>
      </c>
      <c r="D269" s="1654" t="s">
        <v>115</v>
      </c>
      <c r="E269" s="1650" t="s">
        <v>115</v>
      </c>
      <c r="F269" s="1654" t="s">
        <v>115</v>
      </c>
      <c r="G269" s="1650" t="s">
        <v>115</v>
      </c>
      <c r="H269" s="1654">
        <v>1.4999999999999999E-2</v>
      </c>
      <c r="I269" s="1650" t="s">
        <v>1277</v>
      </c>
      <c r="J269" s="1654" t="s">
        <v>115</v>
      </c>
      <c r="K269" s="1655" t="s">
        <v>115</v>
      </c>
      <c r="L269" t="str">
        <f t="shared" si="12"/>
        <v/>
      </c>
      <c r="M269" t="str">
        <f t="shared" si="13"/>
        <v/>
      </c>
      <c r="N269" t="str">
        <f t="shared" si="14"/>
        <v>--</v>
      </c>
    </row>
    <row r="270" spans="1:14">
      <c r="A270" s="1650" t="s">
        <v>2107</v>
      </c>
      <c r="B270" s="1649" t="s">
        <v>2108</v>
      </c>
      <c r="C270" s="1650" t="s">
        <v>115</v>
      </c>
      <c r="D270" s="1654">
        <v>0.4</v>
      </c>
      <c r="E270" s="1650" t="s">
        <v>3616</v>
      </c>
      <c r="F270" s="1654" t="s">
        <v>115</v>
      </c>
      <c r="G270" s="1650" t="s">
        <v>115</v>
      </c>
      <c r="H270" s="1654" t="s">
        <v>115</v>
      </c>
      <c r="I270" s="1650" t="s">
        <v>115</v>
      </c>
      <c r="J270" s="1654" t="s">
        <v>115</v>
      </c>
      <c r="K270" s="1655" t="s">
        <v>115</v>
      </c>
      <c r="L270" t="str">
        <f t="shared" si="12"/>
        <v/>
      </c>
      <c r="M270" t="str">
        <f t="shared" si="13"/>
        <v/>
      </c>
      <c r="N270" t="str">
        <f t="shared" si="14"/>
        <v>--</v>
      </c>
    </row>
    <row r="271" spans="1:14">
      <c r="A271" s="1650" t="s">
        <v>120</v>
      </c>
      <c r="B271" s="1649" t="s">
        <v>3801</v>
      </c>
      <c r="C271" s="1650" t="s">
        <v>115</v>
      </c>
      <c r="D271" s="1654">
        <v>0.35</v>
      </c>
      <c r="E271" s="1650" t="s">
        <v>1277</v>
      </c>
      <c r="F271" s="1654">
        <v>1E-4</v>
      </c>
      <c r="G271" s="1650" t="s">
        <v>1277</v>
      </c>
      <c r="H271" s="1654">
        <v>5.0000000000000001E-4</v>
      </c>
      <c r="I271" s="1650" t="s">
        <v>1277</v>
      </c>
      <c r="J271" s="1654">
        <v>0.7</v>
      </c>
      <c r="K271" s="1655" t="s">
        <v>1277</v>
      </c>
      <c r="L271" t="str">
        <f t="shared" si="12"/>
        <v/>
      </c>
      <c r="M271" t="str">
        <f t="shared" si="13"/>
        <v/>
      </c>
      <c r="N271" t="str">
        <f t="shared" si="14"/>
        <v>--</v>
      </c>
    </row>
    <row r="272" spans="1:14">
      <c r="A272" s="1650" t="s">
        <v>2117</v>
      </c>
      <c r="B272" s="1649" t="s">
        <v>2118</v>
      </c>
      <c r="C272" s="1650" t="s">
        <v>115</v>
      </c>
      <c r="D272" s="1654" t="s">
        <v>115</v>
      </c>
      <c r="E272" s="1650" t="s">
        <v>115</v>
      </c>
      <c r="F272" s="1654" t="s">
        <v>115</v>
      </c>
      <c r="G272" s="1650" t="s">
        <v>115</v>
      </c>
      <c r="H272" s="1654">
        <v>6.9999999999999999E-4</v>
      </c>
      <c r="I272" s="1650" t="s">
        <v>1280</v>
      </c>
      <c r="J272" s="1654" t="s">
        <v>115</v>
      </c>
      <c r="K272" s="1655" t="s">
        <v>115</v>
      </c>
      <c r="L272" t="str">
        <f t="shared" si="12"/>
        <v/>
      </c>
      <c r="M272" t="str">
        <f t="shared" si="13"/>
        <v/>
      </c>
      <c r="N272" t="str">
        <f t="shared" si="14"/>
        <v>--</v>
      </c>
    </row>
    <row r="273" spans="1:14">
      <c r="A273" s="1650" t="s">
        <v>2119</v>
      </c>
      <c r="B273" s="1649" t="s">
        <v>3802</v>
      </c>
      <c r="C273" s="1650" t="s">
        <v>115</v>
      </c>
      <c r="D273" s="1654" t="s">
        <v>115</v>
      </c>
      <c r="E273" s="1650" t="s">
        <v>115</v>
      </c>
      <c r="F273" s="1654" t="s">
        <v>115</v>
      </c>
      <c r="G273" s="1650" t="s">
        <v>115</v>
      </c>
      <c r="H273" s="1654">
        <v>0.09</v>
      </c>
      <c r="I273" s="1650" t="s">
        <v>3663</v>
      </c>
      <c r="J273" s="1654" t="s">
        <v>115</v>
      </c>
      <c r="K273" s="1655" t="s">
        <v>115</v>
      </c>
      <c r="L273" t="str">
        <f t="shared" si="12"/>
        <v/>
      </c>
      <c r="M273" t="str">
        <f t="shared" si="13"/>
        <v/>
      </c>
      <c r="N273" t="str">
        <f t="shared" si="14"/>
        <v>--</v>
      </c>
    </row>
    <row r="274" spans="1:14">
      <c r="A274" s="1650" t="s">
        <v>2121</v>
      </c>
      <c r="B274" s="1649" t="s">
        <v>2122</v>
      </c>
      <c r="C274" s="1650" t="s">
        <v>115</v>
      </c>
      <c r="D274" s="1654" t="s">
        <v>115</v>
      </c>
      <c r="E274" s="1650" t="s">
        <v>115</v>
      </c>
      <c r="F274" s="1654" t="s">
        <v>115</v>
      </c>
      <c r="G274" s="1650" t="s">
        <v>115</v>
      </c>
      <c r="H274" s="1654">
        <v>0.1</v>
      </c>
      <c r="I274" s="1650" t="s">
        <v>1277</v>
      </c>
      <c r="J274" s="1654">
        <v>0.15</v>
      </c>
      <c r="K274" s="1655" t="s">
        <v>1280</v>
      </c>
      <c r="L274" t="str">
        <f t="shared" si="12"/>
        <v/>
      </c>
      <c r="M274" t="str">
        <f t="shared" si="13"/>
        <v/>
      </c>
      <c r="N274" t="str">
        <f t="shared" si="14"/>
        <v>--</v>
      </c>
    </row>
    <row r="275" spans="1:14">
      <c r="A275" s="1650" t="s">
        <v>2123</v>
      </c>
      <c r="B275" s="1649" t="s">
        <v>2124</v>
      </c>
      <c r="C275" s="1650" t="s">
        <v>115</v>
      </c>
      <c r="D275" s="1654" t="s">
        <v>115</v>
      </c>
      <c r="E275" s="1650" t="s">
        <v>115</v>
      </c>
      <c r="F275" s="1654" t="s">
        <v>115</v>
      </c>
      <c r="G275" s="1650" t="s">
        <v>115</v>
      </c>
      <c r="H275" s="1654">
        <v>0.03</v>
      </c>
      <c r="I275" s="1650" t="s">
        <v>1277</v>
      </c>
      <c r="J275" s="1654">
        <v>0.2</v>
      </c>
      <c r="K275" s="1655" t="s">
        <v>1277</v>
      </c>
      <c r="L275" t="str">
        <f t="shared" si="12"/>
        <v/>
      </c>
      <c r="M275" t="str">
        <f t="shared" si="13"/>
        <v/>
      </c>
      <c r="N275" t="str">
        <f t="shared" si="14"/>
        <v>--</v>
      </c>
    </row>
    <row r="276" spans="1:14">
      <c r="A276" s="1650" t="s">
        <v>2126</v>
      </c>
      <c r="B276" s="1649" t="s">
        <v>3803</v>
      </c>
      <c r="C276" s="1650" t="s">
        <v>115</v>
      </c>
      <c r="D276" s="1654" t="s">
        <v>115</v>
      </c>
      <c r="E276" s="1650" t="s">
        <v>115</v>
      </c>
      <c r="F276" s="1654" t="s">
        <v>115</v>
      </c>
      <c r="G276" s="1650" t="s">
        <v>115</v>
      </c>
      <c r="H276" s="1654">
        <v>0.03</v>
      </c>
      <c r="I276" s="1650" t="s">
        <v>1277</v>
      </c>
      <c r="J276" s="1654" t="s">
        <v>115</v>
      </c>
      <c r="K276" s="1655" t="s">
        <v>115</v>
      </c>
      <c r="L276" t="str">
        <f t="shared" si="12"/>
        <v/>
      </c>
      <c r="M276" t="str">
        <f t="shared" si="13"/>
        <v/>
      </c>
      <c r="N276" t="str">
        <f t="shared" si="14"/>
        <v>--</v>
      </c>
    </row>
    <row r="277" spans="1:14">
      <c r="A277" s="1650" t="s">
        <v>2136</v>
      </c>
      <c r="B277" s="1649" t="s">
        <v>3804</v>
      </c>
      <c r="C277" s="1650" t="s">
        <v>115</v>
      </c>
      <c r="D277" s="1654">
        <v>0.27</v>
      </c>
      <c r="E277" s="1650" t="s">
        <v>3603</v>
      </c>
      <c r="F277" s="1654">
        <v>6.7999999999999999E-5</v>
      </c>
      <c r="G277" s="1650" t="s">
        <v>3609</v>
      </c>
      <c r="H277" s="1654" t="s">
        <v>115</v>
      </c>
      <c r="I277" s="1650" t="s">
        <v>115</v>
      </c>
      <c r="J277" s="1654" t="s">
        <v>115</v>
      </c>
      <c r="K277" s="1655" t="s">
        <v>115</v>
      </c>
      <c r="L277" t="str">
        <f t="shared" si="12"/>
        <v>Route IUR</v>
      </c>
      <c r="M277" t="str">
        <f t="shared" si="13"/>
        <v/>
      </c>
      <c r="N277" t="str">
        <f t="shared" si="14"/>
        <v>Route IUR</v>
      </c>
    </row>
    <row r="278" spans="1:14">
      <c r="A278" s="1650" t="s">
        <v>2138</v>
      </c>
      <c r="B278" s="1649" t="s">
        <v>3805</v>
      </c>
      <c r="C278" s="1650" t="s">
        <v>115</v>
      </c>
      <c r="D278" s="1654" t="s">
        <v>115</v>
      </c>
      <c r="E278" s="1650" t="s">
        <v>115</v>
      </c>
      <c r="F278" s="1654" t="s">
        <v>115</v>
      </c>
      <c r="G278" s="1650" t="s">
        <v>115</v>
      </c>
      <c r="H278" s="1654">
        <v>3.5000000000000001E-3</v>
      </c>
      <c r="I278" s="1650" t="s">
        <v>1275</v>
      </c>
      <c r="J278" s="1654" t="s">
        <v>115</v>
      </c>
      <c r="K278" s="1655" t="s">
        <v>115</v>
      </c>
      <c r="L278" t="str">
        <f t="shared" si="12"/>
        <v/>
      </c>
      <c r="M278" t="str">
        <f t="shared" si="13"/>
        <v/>
      </c>
      <c r="N278" t="str">
        <f t="shared" si="14"/>
        <v>--</v>
      </c>
    </row>
    <row r="279" spans="1:14">
      <c r="A279" s="1650" t="s">
        <v>124</v>
      </c>
      <c r="B279" s="1649" t="s">
        <v>123</v>
      </c>
      <c r="C279" s="1650" t="s">
        <v>115</v>
      </c>
      <c r="D279" s="1654" t="s">
        <v>115</v>
      </c>
      <c r="E279" s="1650" t="s">
        <v>115</v>
      </c>
      <c r="F279" s="1654" t="s">
        <v>115</v>
      </c>
      <c r="G279" s="1650" t="s">
        <v>115</v>
      </c>
      <c r="H279" s="1654">
        <v>0.02</v>
      </c>
      <c r="I279" s="1650" t="s">
        <v>1277</v>
      </c>
      <c r="J279" s="1654">
        <v>50</v>
      </c>
      <c r="K279" s="1655" t="s">
        <v>1247</v>
      </c>
      <c r="L279" t="str">
        <f t="shared" si="12"/>
        <v/>
      </c>
      <c r="M279" t="str">
        <f t="shared" si="13"/>
        <v/>
      </c>
      <c r="N279" t="str">
        <f t="shared" si="14"/>
        <v>--</v>
      </c>
    </row>
    <row r="280" spans="1:14">
      <c r="A280" s="1650" t="s">
        <v>2145</v>
      </c>
      <c r="B280" s="1649" t="s">
        <v>2146</v>
      </c>
      <c r="C280" s="1650" t="s">
        <v>115</v>
      </c>
      <c r="D280" s="1654">
        <v>0.11</v>
      </c>
      <c r="E280" s="1650" t="s">
        <v>1234</v>
      </c>
      <c r="F280" s="1654">
        <v>3.1000000000000001E-5</v>
      </c>
      <c r="G280" s="1650" t="s">
        <v>1234</v>
      </c>
      <c r="H280" s="1654">
        <v>0.02</v>
      </c>
      <c r="I280" s="1650" t="s">
        <v>1277</v>
      </c>
      <c r="J280" s="1654" t="s">
        <v>115</v>
      </c>
      <c r="K280" s="1655" t="s">
        <v>115</v>
      </c>
      <c r="L280" t="str">
        <f t="shared" si="12"/>
        <v/>
      </c>
      <c r="M280" t="str">
        <f t="shared" si="13"/>
        <v/>
      </c>
      <c r="N280" t="str">
        <f t="shared" si="14"/>
        <v>--</v>
      </c>
    </row>
    <row r="281" spans="1:14">
      <c r="A281" s="1650" t="s">
        <v>146</v>
      </c>
      <c r="B281" s="1649" t="s">
        <v>3806</v>
      </c>
      <c r="C281" s="1650" t="s">
        <v>115</v>
      </c>
      <c r="D281" s="1654">
        <v>8.4000000000000005E-2</v>
      </c>
      <c r="E281" s="1650" t="s">
        <v>1277</v>
      </c>
      <c r="F281" s="1654">
        <v>2.0999999999999999E-5</v>
      </c>
      <c r="G281" s="1650" t="s">
        <v>3598</v>
      </c>
      <c r="H281" s="1654">
        <v>0.02</v>
      </c>
      <c r="I281" s="1650" t="s">
        <v>1277</v>
      </c>
      <c r="J281" s="1654">
        <v>80</v>
      </c>
      <c r="K281" s="1655" t="s">
        <v>3598</v>
      </c>
      <c r="L281" t="str">
        <f t="shared" si="12"/>
        <v>Route IUR</v>
      </c>
      <c r="M281" t="str">
        <f t="shared" si="13"/>
        <v>Route RfC</v>
      </c>
      <c r="N281" t="str">
        <f t="shared" si="14"/>
        <v>Route IUR &amp; RfC</v>
      </c>
    </row>
    <row r="282" spans="1:14">
      <c r="A282" s="1650" t="s">
        <v>2153</v>
      </c>
      <c r="B282" s="1649" t="s">
        <v>2154</v>
      </c>
      <c r="C282" s="1650" t="s">
        <v>115</v>
      </c>
      <c r="D282" s="1654" t="s">
        <v>115</v>
      </c>
      <c r="E282" s="1650" t="s">
        <v>115</v>
      </c>
      <c r="F282" s="1654" t="s">
        <v>115</v>
      </c>
      <c r="G282" s="1650" t="s">
        <v>115</v>
      </c>
      <c r="H282" s="1654" t="s">
        <v>115</v>
      </c>
      <c r="I282" s="1650" t="s">
        <v>115</v>
      </c>
      <c r="J282" s="1654">
        <v>50000</v>
      </c>
      <c r="K282" s="1655" t="s">
        <v>1277</v>
      </c>
      <c r="L282" t="str">
        <f t="shared" si="12"/>
        <v/>
      </c>
      <c r="M282" t="str">
        <f t="shared" si="13"/>
        <v/>
      </c>
      <c r="N282" t="str">
        <f t="shared" si="14"/>
        <v>--</v>
      </c>
    </row>
    <row r="283" spans="1:14">
      <c r="A283" s="1650" t="s">
        <v>126</v>
      </c>
      <c r="B283" s="1649" t="s">
        <v>125</v>
      </c>
      <c r="C283" s="1650" t="s">
        <v>115</v>
      </c>
      <c r="D283" s="1654" t="s">
        <v>115</v>
      </c>
      <c r="E283" s="1650" t="s">
        <v>115</v>
      </c>
      <c r="F283" s="1654" t="s">
        <v>115</v>
      </c>
      <c r="G283" s="1650" t="s">
        <v>115</v>
      </c>
      <c r="H283" s="1654" t="s">
        <v>115</v>
      </c>
      <c r="I283" s="1650" t="s">
        <v>115</v>
      </c>
      <c r="J283" s="1654">
        <v>4000</v>
      </c>
      <c r="K283" s="1655" t="s">
        <v>1247</v>
      </c>
      <c r="L283" t="str">
        <f t="shared" si="12"/>
        <v/>
      </c>
      <c r="M283" t="str">
        <f t="shared" si="13"/>
        <v/>
      </c>
      <c r="N283" t="str">
        <f t="shared" si="14"/>
        <v>--</v>
      </c>
    </row>
    <row r="284" spans="1:14">
      <c r="A284" s="1650" t="s">
        <v>128</v>
      </c>
      <c r="B284" s="1649" t="s">
        <v>127</v>
      </c>
      <c r="C284" s="1650" t="s">
        <v>115</v>
      </c>
      <c r="D284" s="1654">
        <v>3.1E-2</v>
      </c>
      <c r="E284" s="1650" t="s">
        <v>1234</v>
      </c>
      <c r="F284" s="1654">
        <v>2.3E-5</v>
      </c>
      <c r="G284" s="1650" t="s">
        <v>1277</v>
      </c>
      <c r="H284" s="1654">
        <v>0.01</v>
      </c>
      <c r="I284" s="1650" t="s">
        <v>1277</v>
      </c>
      <c r="J284" s="1654">
        <v>2</v>
      </c>
      <c r="K284" s="1655" t="s">
        <v>1280</v>
      </c>
      <c r="L284" t="str">
        <f t="shared" si="12"/>
        <v/>
      </c>
      <c r="M284" t="str">
        <f t="shared" si="13"/>
        <v/>
      </c>
      <c r="N284" t="str">
        <f t="shared" si="14"/>
        <v>--</v>
      </c>
    </row>
    <row r="285" spans="1:14">
      <c r="A285" s="1650" t="s">
        <v>130</v>
      </c>
      <c r="B285" s="1649" t="s">
        <v>129</v>
      </c>
      <c r="C285" s="1650" t="s">
        <v>115</v>
      </c>
      <c r="D285" s="1654" t="s">
        <v>115</v>
      </c>
      <c r="E285" s="1650" t="s">
        <v>115</v>
      </c>
      <c r="F285" s="1654" t="s">
        <v>115</v>
      </c>
      <c r="G285" s="1650" t="s">
        <v>115</v>
      </c>
      <c r="H285" s="1654" t="s">
        <v>115</v>
      </c>
      <c r="I285" s="1650" t="s">
        <v>115</v>
      </c>
      <c r="J285" s="1654">
        <v>90</v>
      </c>
      <c r="K285" s="1655" t="s">
        <v>1277</v>
      </c>
      <c r="L285" t="str">
        <f t="shared" si="12"/>
        <v/>
      </c>
      <c r="M285" t="str">
        <f t="shared" si="13"/>
        <v/>
      </c>
      <c r="N285" t="str">
        <f t="shared" si="14"/>
        <v>--</v>
      </c>
    </row>
    <row r="286" spans="1:14">
      <c r="A286" s="1650" t="s">
        <v>2157</v>
      </c>
      <c r="B286" s="1649" t="s">
        <v>3807</v>
      </c>
      <c r="C286" s="1650" t="s">
        <v>115</v>
      </c>
      <c r="D286" s="1654">
        <v>2.4</v>
      </c>
      <c r="E286" s="1650" t="s">
        <v>1234</v>
      </c>
      <c r="F286" s="1654">
        <v>6.8999999999999997E-4</v>
      </c>
      <c r="G286" s="1650" t="s">
        <v>1234</v>
      </c>
      <c r="H286" s="1654" t="s">
        <v>115</v>
      </c>
      <c r="I286" s="1650" t="s">
        <v>115</v>
      </c>
      <c r="J286" s="1654" t="s">
        <v>115</v>
      </c>
      <c r="K286" s="1655" t="s">
        <v>115</v>
      </c>
      <c r="L286" t="str">
        <f t="shared" si="12"/>
        <v/>
      </c>
      <c r="M286" t="str">
        <f t="shared" si="13"/>
        <v/>
      </c>
      <c r="N286" t="str">
        <f t="shared" si="14"/>
        <v>--</v>
      </c>
    </row>
    <row r="287" spans="1:14">
      <c r="A287" s="1650" t="s">
        <v>2164</v>
      </c>
      <c r="B287" s="1649" t="s">
        <v>2165</v>
      </c>
      <c r="C287" s="1650" t="s">
        <v>115</v>
      </c>
      <c r="D287" s="1654" t="s">
        <v>115</v>
      </c>
      <c r="E287" s="1650" t="s">
        <v>115</v>
      </c>
      <c r="F287" s="1654" t="s">
        <v>115</v>
      </c>
      <c r="G287" s="1650" t="s">
        <v>115</v>
      </c>
      <c r="H287" s="1654" t="s">
        <v>115</v>
      </c>
      <c r="I287" s="1650" t="s">
        <v>115</v>
      </c>
      <c r="J287" s="1654">
        <v>0.4</v>
      </c>
      <c r="K287" s="1655" t="s">
        <v>1234</v>
      </c>
      <c r="L287" t="str">
        <f t="shared" si="12"/>
        <v/>
      </c>
      <c r="M287" t="str">
        <f t="shared" si="13"/>
        <v/>
      </c>
      <c r="N287" t="str">
        <f t="shared" si="14"/>
        <v>--</v>
      </c>
    </row>
    <row r="288" spans="1:14">
      <c r="A288" s="1650" t="s">
        <v>2166</v>
      </c>
      <c r="B288" s="1649" t="s">
        <v>2167</v>
      </c>
      <c r="C288" s="1650" t="s">
        <v>115</v>
      </c>
      <c r="D288" s="1654">
        <v>1.7000000000000001E-2</v>
      </c>
      <c r="E288" s="1650" t="s">
        <v>1234</v>
      </c>
      <c r="F288" s="1654">
        <v>8.8999999999999995E-7</v>
      </c>
      <c r="G288" s="1650" t="s">
        <v>1234</v>
      </c>
      <c r="H288" s="1654">
        <v>1.4999999999999999E-2</v>
      </c>
      <c r="I288" s="1650" t="s">
        <v>1277</v>
      </c>
      <c r="J288" s="1654" t="s">
        <v>115</v>
      </c>
      <c r="K288" s="1655" t="s">
        <v>115</v>
      </c>
      <c r="L288" t="str">
        <f t="shared" si="12"/>
        <v/>
      </c>
      <c r="M288" t="str">
        <f t="shared" si="13"/>
        <v/>
      </c>
      <c r="N288" t="str">
        <f t="shared" si="14"/>
        <v>--</v>
      </c>
    </row>
    <row r="289" spans="1:14">
      <c r="A289" s="1650" t="s">
        <v>2172</v>
      </c>
      <c r="B289" s="1649" t="s">
        <v>2173</v>
      </c>
      <c r="C289" s="1650" t="s">
        <v>115</v>
      </c>
      <c r="D289" s="1654">
        <v>240</v>
      </c>
      <c r="E289" s="1650" t="s">
        <v>1234</v>
      </c>
      <c r="F289" s="1654">
        <v>6.9000000000000006E-2</v>
      </c>
      <c r="G289" s="1650" t="s">
        <v>1234</v>
      </c>
      <c r="H289" s="1654" t="s">
        <v>115</v>
      </c>
      <c r="I289" s="1650" t="s">
        <v>115</v>
      </c>
      <c r="J289" s="1654" t="s">
        <v>115</v>
      </c>
      <c r="K289" s="1655" t="s">
        <v>115</v>
      </c>
      <c r="L289" t="str">
        <f t="shared" si="12"/>
        <v/>
      </c>
      <c r="M289" t="str">
        <f t="shared" si="13"/>
        <v/>
      </c>
      <c r="N289" t="str">
        <f t="shared" si="14"/>
        <v>--</v>
      </c>
    </row>
    <row r="290" spans="1:14">
      <c r="A290" s="1650" t="s">
        <v>2174</v>
      </c>
      <c r="B290" s="1649" t="s">
        <v>2175</v>
      </c>
      <c r="C290" s="1650" t="s">
        <v>115</v>
      </c>
      <c r="D290" s="1654" t="s">
        <v>115</v>
      </c>
      <c r="E290" s="1650" t="s">
        <v>115</v>
      </c>
      <c r="F290" s="1654" t="s">
        <v>115</v>
      </c>
      <c r="G290" s="1650" t="s">
        <v>115</v>
      </c>
      <c r="H290" s="1654">
        <v>5.0000000000000001E-3</v>
      </c>
      <c r="I290" s="1650" t="s">
        <v>3663</v>
      </c>
      <c r="J290" s="1654" t="s">
        <v>115</v>
      </c>
      <c r="K290" s="1655" t="s">
        <v>115</v>
      </c>
      <c r="L290" t="str">
        <f t="shared" si="12"/>
        <v/>
      </c>
      <c r="M290" t="str">
        <f t="shared" si="13"/>
        <v/>
      </c>
      <c r="N290" t="str">
        <f t="shared" si="14"/>
        <v>--</v>
      </c>
    </row>
    <row r="291" spans="1:14">
      <c r="A291" s="1650" t="s">
        <v>2176</v>
      </c>
      <c r="B291" s="1649" t="s">
        <v>2177</v>
      </c>
      <c r="C291" s="1650" t="s">
        <v>115</v>
      </c>
      <c r="D291" s="1654" t="s">
        <v>115</v>
      </c>
      <c r="E291" s="1650" t="s">
        <v>115</v>
      </c>
      <c r="F291" s="1654" t="s">
        <v>115</v>
      </c>
      <c r="G291" s="1650" t="s">
        <v>115</v>
      </c>
      <c r="H291" s="1654">
        <v>1E-3</v>
      </c>
      <c r="I291" s="1650" t="s">
        <v>1280</v>
      </c>
      <c r="J291" s="1654" t="s">
        <v>115</v>
      </c>
      <c r="K291" s="1655" t="s">
        <v>115</v>
      </c>
      <c r="L291" t="str">
        <f t="shared" si="12"/>
        <v/>
      </c>
      <c r="M291" t="str">
        <f t="shared" si="13"/>
        <v/>
      </c>
      <c r="N291" t="str">
        <f t="shared" si="14"/>
        <v>--</v>
      </c>
    </row>
    <row r="292" spans="1:14">
      <c r="A292" s="1650" t="s">
        <v>2178</v>
      </c>
      <c r="B292" s="1649" t="s">
        <v>3808</v>
      </c>
      <c r="C292" s="1650" t="s">
        <v>115</v>
      </c>
      <c r="D292" s="1654" t="s">
        <v>115</v>
      </c>
      <c r="E292" s="1650" t="s">
        <v>115</v>
      </c>
      <c r="F292" s="1654" t="s">
        <v>115</v>
      </c>
      <c r="G292" s="1650" t="s">
        <v>115</v>
      </c>
      <c r="H292" s="1654">
        <v>0.01</v>
      </c>
      <c r="I292" s="1650" t="s">
        <v>3616</v>
      </c>
      <c r="J292" s="1654" t="s">
        <v>115</v>
      </c>
      <c r="K292" s="1655" t="s">
        <v>115</v>
      </c>
      <c r="L292" t="str">
        <f t="shared" si="12"/>
        <v/>
      </c>
      <c r="M292" t="str">
        <f t="shared" si="13"/>
        <v/>
      </c>
      <c r="N292" t="str">
        <f t="shared" si="14"/>
        <v>--</v>
      </c>
    </row>
    <row r="293" spans="1:14">
      <c r="A293" s="1650" t="s">
        <v>2180</v>
      </c>
      <c r="B293" s="1649" t="s">
        <v>2181</v>
      </c>
      <c r="C293" s="1650" t="s">
        <v>115</v>
      </c>
      <c r="D293" s="1654" t="s">
        <v>115</v>
      </c>
      <c r="E293" s="1650" t="s">
        <v>115</v>
      </c>
      <c r="F293" s="1654" t="s">
        <v>115</v>
      </c>
      <c r="G293" s="1650" t="s">
        <v>115</v>
      </c>
      <c r="H293" s="1654">
        <v>0.05</v>
      </c>
      <c r="I293" s="1650" t="s">
        <v>3663</v>
      </c>
      <c r="J293" s="1654" t="s">
        <v>115</v>
      </c>
      <c r="K293" s="1655" t="s">
        <v>115</v>
      </c>
      <c r="L293" t="str">
        <f t="shared" si="12"/>
        <v/>
      </c>
      <c r="M293" t="str">
        <f t="shared" si="13"/>
        <v/>
      </c>
      <c r="N293" t="str">
        <f t="shared" si="14"/>
        <v>--</v>
      </c>
    </row>
    <row r="294" spans="1:14">
      <c r="A294" s="1650" t="s">
        <v>2182</v>
      </c>
      <c r="B294" s="1649" t="s">
        <v>2183</v>
      </c>
      <c r="C294" s="1650" t="s">
        <v>115</v>
      </c>
      <c r="D294" s="1654" t="s">
        <v>115</v>
      </c>
      <c r="E294" s="1650" t="s">
        <v>115</v>
      </c>
      <c r="F294" s="1654" t="s">
        <v>115</v>
      </c>
      <c r="G294" s="1650" t="s">
        <v>115</v>
      </c>
      <c r="H294" s="1654">
        <v>0.01</v>
      </c>
      <c r="I294" s="1650" t="s">
        <v>1277</v>
      </c>
      <c r="J294" s="1654" t="s">
        <v>115</v>
      </c>
      <c r="K294" s="1655" t="s">
        <v>115</v>
      </c>
      <c r="L294" t="str">
        <f t="shared" si="12"/>
        <v/>
      </c>
      <c r="M294" t="str">
        <f t="shared" si="13"/>
        <v/>
      </c>
      <c r="N294" t="str">
        <f t="shared" si="14"/>
        <v>--</v>
      </c>
    </row>
    <row r="295" spans="1:14">
      <c r="A295" s="1650" t="s">
        <v>2184</v>
      </c>
      <c r="B295" s="1649" t="s">
        <v>2185</v>
      </c>
      <c r="C295" s="1650" t="s">
        <v>115</v>
      </c>
      <c r="D295" s="1654" t="s">
        <v>115</v>
      </c>
      <c r="E295" s="1650" t="s">
        <v>115</v>
      </c>
      <c r="F295" s="1654" t="s">
        <v>115</v>
      </c>
      <c r="G295" s="1650" t="s">
        <v>115</v>
      </c>
      <c r="H295" s="1654">
        <v>8.0000000000000004E-4</v>
      </c>
      <c r="I295" s="1650" t="s">
        <v>3616</v>
      </c>
      <c r="J295" s="1654" t="s">
        <v>115</v>
      </c>
      <c r="K295" s="1655" t="s">
        <v>115</v>
      </c>
      <c r="L295" t="str">
        <f t="shared" si="12"/>
        <v/>
      </c>
      <c r="M295" t="str">
        <f t="shared" si="13"/>
        <v/>
      </c>
      <c r="N295" t="str">
        <f t="shared" si="14"/>
        <v>--</v>
      </c>
    </row>
    <row r="296" spans="1:14">
      <c r="A296" s="1650" t="s">
        <v>134</v>
      </c>
      <c r="B296" s="1649" t="s">
        <v>3809</v>
      </c>
      <c r="C296" s="1650" t="s">
        <v>115</v>
      </c>
      <c r="D296" s="1654" t="s">
        <v>115</v>
      </c>
      <c r="E296" s="1650" t="s">
        <v>115</v>
      </c>
      <c r="F296" s="1654" t="s">
        <v>115</v>
      </c>
      <c r="G296" s="1650" t="s">
        <v>115</v>
      </c>
      <c r="H296" s="1654" t="s">
        <v>115</v>
      </c>
      <c r="I296" s="1650" t="s">
        <v>115</v>
      </c>
      <c r="J296" s="1654" t="s">
        <v>115</v>
      </c>
      <c r="K296" s="1655" t="s">
        <v>115</v>
      </c>
      <c r="L296" t="str">
        <f t="shared" si="12"/>
        <v/>
      </c>
      <c r="M296" t="str">
        <f t="shared" si="13"/>
        <v/>
      </c>
      <c r="N296" t="str">
        <f t="shared" si="14"/>
        <v>--</v>
      </c>
    </row>
    <row r="297" spans="1:14">
      <c r="A297" s="1650" t="s">
        <v>136</v>
      </c>
      <c r="B297" s="1649" t="s">
        <v>3810</v>
      </c>
      <c r="C297" s="1650" t="s">
        <v>115</v>
      </c>
      <c r="D297" s="1654" t="s">
        <v>115</v>
      </c>
      <c r="E297" s="1650" t="s">
        <v>115</v>
      </c>
      <c r="F297" s="1654" t="s">
        <v>115</v>
      </c>
      <c r="G297" s="1650" t="s">
        <v>115</v>
      </c>
      <c r="H297" s="1654">
        <v>1.5</v>
      </c>
      <c r="I297" s="1650" t="s">
        <v>1277</v>
      </c>
      <c r="J297" s="1654" t="s">
        <v>115</v>
      </c>
      <c r="K297" s="1655" t="s">
        <v>115</v>
      </c>
      <c r="L297" t="str">
        <f t="shared" si="12"/>
        <v/>
      </c>
      <c r="M297" t="str">
        <f t="shared" si="13"/>
        <v/>
      </c>
      <c r="N297" t="str">
        <f t="shared" si="14"/>
        <v>--</v>
      </c>
    </row>
    <row r="298" spans="1:14" ht="25.5">
      <c r="A298" s="1650" t="s">
        <v>138</v>
      </c>
      <c r="B298" s="1649" t="s">
        <v>3811</v>
      </c>
      <c r="C298" s="1650" t="s">
        <v>1906</v>
      </c>
      <c r="D298" s="1654">
        <v>0.5</v>
      </c>
      <c r="E298" s="1650" t="s">
        <v>3764</v>
      </c>
      <c r="F298" s="1654">
        <v>0.15</v>
      </c>
      <c r="G298" s="1650" t="s">
        <v>3600</v>
      </c>
      <c r="H298" s="1654">
        <v>8.9999999999999998E-4</v>
      </c>
      <c r="I298" s="1650" t="s">
        <v>1277</v>
      </c>
      <c r="J298" s="1654">
        <v>0.03</v>
      </c>
      <c r="K298" s="1655" t="s">
        <v>1277</v>
      </c>
      <c r="L298" t="str">
        <f t="shared" si="12"/>
        <v/>
      </c>
      <c r="M298" t="str">
        <f t="shared" si="13"/>
        <v/>
      </c>
      <c r="N298" t="str">
        <f t="shared" si="14"/>
        <v>--</v>
      </c>
    </row>
    <row r="299" spans="1:14" ht="25.5">
      <c r="A299" s="1650" t="s">
        <v>246</v>
      </c>
      <c r="B299" s="1649" t="s">
        <v>3812</v>
      </c>
      <c r="C299" s="1650" t="s">
        <v>1906</v>
      </c>
      <c r="D299" s="1654">
        <v>1E-3</v>
      </c>
      <c r="E299" s="1650" t="s">
        <v>3769</v>
      </c>
      <c r="F299" s="1654">
        <v>1.1E-5</v>
      </c>
      <c r="G299" s="1650" t="s">
        <v>3770</v>
      </c>
      <c r="H299" s="1654" t="s">
        <v>115</v>
      </c>
      <c r="I299" s="1650" t="s">
        <v>115</v>
      </c>
      <c r="J299" s="1654" t="s">
        <v>115</v>
      </c>
      <c r="K299" s="1655" t="s">
        <v>115</v>
      </c>
      <c r="L299" t="str">
        <f t="shared" si="12"/>
        <v/>
      </c>
      <c r="M299" t="str">
        <f t="shared" si="13"/>
        <v/>
      </c>
      <c r="N299" t="str">
        <f t="shared" si="14"/>
        <v>--</v>
      </c>
    </row>
    <row r="300" spans="1:14">
      <c r="A300" s="1650" t="s">
        <v>170</v>
      </c>
      <c r="B300" s="1649" t="s">
        <v>169</v>
      </c>
      <c r="C300" s="1650" t="s">
        <v>115</v>
      </c>
      <c r="D300" s="1654" t="s">
        <v>115</v>
      </c>
      <c r="E300" s="1650" t="s">
        <v>115</v>
      </c>
      <c r="F300" s="1654" t="s">
        <v>115</v>
      </c>
      <c r="G300" s="1650" t="s">
        <v>115</v>
      </c>
      <c r="H300" s="1654">
        <v>2E-3</v>
      </c>
      <c r="I300" s="1650" t="s">
        <v>1277</v>
      </c>
      <c r="J300" s="1654">
        <v>40</v>
      </c>
      <c r="K300" s="1655" t="s">
        <v>3603</v>
      </c>
      <c r="L300" t="str">
        <f t="shared" si="12"/>
        <v/>
      </c>
      <c r="M300" t="str">
        <f t="shared" si="13"/>
        <v/>
      </c>
      <c r="N300" t="str">
        <f t="shared" si="14"/>
        <v>--</v>
      </c>
    </row>
    <row r="301" spans="1:14">
      <c r="A301" s="1650" t="s">
        <v>2285</v>
      </c>
      <c r="B301" s="1649" t="s">
        <v>3813</v>
      </c>
      <c r="C301" s="1650" t="s">
        <v>115</v>
      </c>
      <c r="D301" s="1654" t="s">
        <v>115</v>
      </c>
      <c r="E301" s="1650" t="s">
        <v>115</v>
      </c>
      <c r="F301" s="1654">
        <v>4.1999999999999997E-3</v>
      </c>
      <c r="G301" s="1650" t="s">
        <v>1247</v>
      </c>
      <c r="H301" s="1654" t="s">
        <v>115</v>
      </c>
      <c r="I301" s="1650" t="s">
        <v>115</v>
      </c>
      <c r="J301" s="1654" t="s">
        <v>115</v>
      </c>
      <c r="K301" s="1655" t="s">
        <v>115</v>
      </c>
      <c r="L301" t="str">
        <f t="shared" si="12"/>
        <v/>
      </c>
      <c r="M301" t="str">
        <f t="shared" si="13"/>
        <v/>
      </c>
      <c r="N301" t="str">
        <f t="shared" si="14"/>
        <v>--</v>
      </c>
    </row>
    <row r="302" spans="1:14">
      <c r="A302" s="1650" t="s">
        <v>2190</v>
      </c>
      <c r="B302" s="1649" t="s">
        <v>2191</v>
      </c>
      <c r="C302" s="1650" t="s">
        <v>115</v>
      </c>
      <c r="D302" s="1654" t="s">
        <v>115</v>
      </c>
      <c r="E302" s="1650" t="s">
        <v>115</v>
      </c>
      <c r="F302" s="1654" t="s">
        <v>115</v>
      </c>
      <c r="G302" s="1650" t="s">
        <v>115</v>
      </c>
      <c r="H302" s="1654">
        <v>1.2999999999999999E-2</v>
      </c>
      <c r="I302" s="1650" t="s">
        <v>1277</v>
      </c>
      <c r="J302" s="1654" t="s">
        <v>115</v>
      </c>
      <c r="K302" s="1655" t="s">
        <v>115</v>
      </c>
      <c r="L302" t="str">
        <f t="shared" si="12"/>
        <v/>
      </c>
      <c r="M302" t="str">
        <f t="shared" si="13"/>
        <v/>
      </c>
      <c r="N302" t="str">
        <f t="shared" si="14"/>
        <v>--</v>
      </c>
    </row>
    <row r="303" spans="1:14">
      <c r="A303" s="1650" t="s">
        <v>140</v>
      </c>
      <c r="B303" s="1649" t="s">
        <v>139</v>
      </c>
      <c r="C303" s="1650" t="s">
        <v>115</v>
      </c>
      <c r="D303" s="1654" t="s">
        <v>115</v>
      </c>
      <c r="E303" s="1650" t="s">
        <v>115</v>
      </c>
      <c r="F303" s="1654">
        <v>8.9999999999999993E-3</v>
      </c>
      <c r="G303" s="1650" t="s">
        <v>1247</v>
      </c>
      <c r="H303" s="1654">
        <v>2.9999999999999997E-4</v>
      </c>
      <c r="I303" s="1650" t="s">
        <v>1247</v>
      </c>
      <c r="J303" s="1654">
        <v>6.0000000000000001E-3</v>
      </c>
      <c r="K303" s="1655" t="s">
        <v>1247</v>
      </c>
      <c r="L303" t="str">
        <f t="shared" si="12"/>
        <v/>
      </c>
      <c r="M303" t="str">
        <f t="shared" si="13"/>
        <v/>
      </c>
      <c r="N303" t="str">
        <f t="shared" si="14"/>
        <v>--</v>
      </c>
    </row>
    <row r="304" spans="1:14">
      <c r="A304" s="1650" t="s">
        <v>2192</v>
      </c>
      <c r="B304" s="1649" t="s">
        <v>2193</v>
      </c>
      <c r="C304" s="1650" t="s">
        <v>1906</v>
      </c>
      <c r="D304" s="1654" t="s">
        <v>115</v>
      </c>
      <c r="E304" s="1650" t="s">
        <v>115</v>
      </c>
      <c r="F304" s="1654">
        <v>6.2E-4</v>
      </c>
      <c r="G304" s="1650" t="s">
        <v>1277</v>
      </c>
      <c r="H304" s="1654" t="s">
        <v>115</v>
      </c>
      <c r="I304" s="1650" t="s">
        <v>115</v>
      </c>
      <c r="J304" s="1654" t="s">
        <v>115</v>
      </c>
      <c r="K304" s="1655" t="s">
        <v>115</v>
      </c>
      <c r="L304" t="str">
        <f t="shared" si="12"/>
        <v/>
      </c>
      <c r="M304" t="str">
        <f t="shared" si="13"/>
        <v/>
      </c>
      <c r="N304" t="str">
        <f t="shared" si="14"/>
        <v>--</v>
      </c>
    </row>
    <row r="305" spans="1:14">
      <c r="A305" s="1650" t="s">
        <v>142</v>
      </c>
      <c r="B305" s="1649" t="s">
        <v>141</v>
      </c>
      <c r="C305" s="1650" t="s">
        <v>115</v>
      </c>
      <c r="D305" s="1654" t="s">
        <v>115</v>
      </c>
      <c r="E305" s="1650" t="s">
        <v>115</v>
      </c>
      <c r="F305" s="1654" t="s">
        <v>115</v>
      </c>
      <c r="G305" s="1650" t="s">
        <v>115</v>
      </c>
      <c r="H305" s="1654">
        <v>0.04</v>
      </c>
      <c r="I305" s="1650" t="s">
        <v>3616</v>
      </c>
      <c r="J305" s="1654" t="s">
        <v>115</v>
      </c>
      <c r="K305" s="1655" t="s">
        <v>115</v>
      </c>
      <c r="L305" t="str">
        <f t="shared" si="12"/>
        <v/>
      </c>
      <c r="M305" t="str">
        <f t="shared" si="13"/>
        <v/>
      </c>
      <c r="N305" t="str">
        <f t="shared" si="14"/>
        <v>--</v>
      </c>
    </row>
    <row r="306" spans="1:14">
      <c r="A306" s="1650" t="s">
        <v>2215</v>
      </c>
      <c r="B306" s="1649" t="s">
        <v>3814</v>
      </c>
      <c r="C306" s="1650" t="s">
        <v>115</v>
      </c>
      <c r="D306" s="1654" t="s">
        <v>115</v>
      </c>
      <c r="E306" s="1650" t="s">
        <v>115</v>
      </c>
      <c r="F306" s="1654" t="s">
        <v>115</v>
      </c>
      <c r="G306" s="1650" t="s">
        <v>115</v>
      </c>
      <c r="H306" s="1654">
        <v>5.0000000000000001E-3</v>
      </c>
      <c r="I306" s="1650" t="s">
        <v>1277</v>
      </c>
      <c r="J306" s="1654" t="s">
        <v>115</v>
      </c>
      <c r="K306" s="1655" t="s">
        <v>115</v>
      </c>
      <c r="L306" t="str">
        <f t="shared" si="12"/>
        <v/>
      </c>
      <c r="M306" t="str">
        <f t="shared" si="13"/>
        <v/>
      </c>
      <c r="N306" t="str">
        <f t="shared" si="14"/>
        <v>--</v>
      </c>
    </row>
    <row r="307" spans="1:14">
      <c r="A307" s="1650" t="s">
        <v>2208</v>
      </c>
      <c r="B307" s="1649" t="s">
        <v>2209</v>
      </c>
      <c r="C307" s="1650" t="s">
        <v>115</v>
      </c>
      <c r="D307" s="1654">
        <v>0.22</v>
      </c>
      <c r="E307" s="1650" t="s">
        <v>1234</v>
      </c>
      <c r="F307" s="1654">
        <v>6.3E-5</v>
      </c>
      <c r="G307" s="1650" t="s">
        <v>1234</v>
      </c>
      <c r="H307" s="1654" t="s">
        <v>115</v>
      </c>
      <c r="I307" s="1650" t="s">
        <v>115</v>
      </c>
      <c r="J307" s="1654" t="s">
        <v>115</v>
      </c>
      <c r="K307" s="1655" t="s">
        <v>115</v>
      </c>
      <c r="L307" t="str">
        <f t="shared" si="12"/>
        <v/>
      </c>
      <c r="M307" t="str">
        <f t="shared" si="13"/>
        <v/>
      </c>
      <c r="N307" t="str">
        <f t="shared" si="14"/>
        <v>--</v>
      </c>
    </row>
    <row r="308" spans="1:14">
      <c r="A308" s="1650" t="s">
        <v>2210</v>
      </c>
      <c r="B308" s="1649" t="s">
        <v>2211</v>
      </c>
      <c r="C308" s="1650" t="s">
        <v>115</v>
      </c>
      <c r="D308" s="1654">
        <v>0.84</v>
      </c>
      <c r="E308" s="1650" t="s">
        <v>3616</v>
      </c>
      <c r="F308" s="1654" t="s">
        <v>115</v>
      </c>
      <c r="G308" s="1650" t="s">
        <v>115</v>
      </c>
      <c r="H308" s="1654">
        <v>2E-3</v>
      </c>
      <c r="I308" s="1650" t="s">
        <v>3616</v>
      </c>
      <c r="J308" s="1654" t="s">
        <v>115</v>
      </c>
      <c r="K308" s="1655" t="s">
        <v>115</v>
      </c>
      <c r="L308" t="str">
        <f t="shared" si="12"/>
        <v/>
      </c>
      <c r="M308" t="str">
        <f t="shared" si="13"/>
        <v/>
      </c>
      <c r="N308" t="str">
        <f t="shared" si="14"/>
        <v>--</v>
      </c>
    </row>
    <row r="309" spans="1:14">
      <c r="A309" s="1650" t="s">
        <v>144</v>
      </c>
      <c r="B309" s="1649" t="s">
        <v>143</v>
      </c>
      <c r="C309" s="1650" t="s">
        <v>115</v>
      </c>
      <c r="D309" s="1654" t="s">
        <v>115</v>
      </c>
      <c r="E309" s="1650" t="s">
        <v>115</v>
      </c>
      <c r="F309" s="1654" t="s">
        <v>115</v>
      </c>
      <c r="G309" s="1650" t="s">
        <v>115</v>
      </c>
      <c r="H309" s="1654">
        <v>5.9999999999999995E-4</v>
      </c>
      <c r="I309" s="1650" t="s">
        <v>1277</v>
      </c>
      <c r="J309" s="1654">
        <v>0.8</v>
      </c>
      <c r="K309" s="1655" t="s">
        <v>1277</v>
      </c>
      <c r="L309" t="str">
        <f t="shared" si="12"/>
        <v/>
      </c>
      <c r="M309" t="str">
        <f t="shared" si="13"/>
        <v/>
      </c>
      <c r="N309" t="str">
        <f t="shared" si="14"/>
        <v>--</v>
      </c>
    </row>
    <row r="310" spans="1:14">
      <c r="A310" s="1650" t="s">
        <v>2220</v>
      </c>
      <c r="B310" s="1649" t="s">
        <v>3815</v>
      </c>
      <c r="C310" s="1650" t="s">
        <v>115</v>
      </c>
      <c r="D310" s="1654" t="s">
        <v>115</v>
      </c>
      <c r="E310" s="1650" t="s">
        <v>115</v>
      </c>
      <c r="F310" s="1654" t="s">
        <v>115</v>
      </c>
      <c r="G310" s="1650" t="s">
        <v>115</v>
      </c>
      <c r="H310" s="1654">
        <v>1E-3</v>
      </c>
      <c r="I310" s="1650" t="s">
        <v>1277</v>
      </c>
      <c r="J310" s="1654">
        <v>4</v>
      </c>
      <c r="K310" s="1655" t="s">
        <v>3598</v>
      </c>
      <c r="L310" t="str">
        <f t="shared" si="12"/>
        <v/>
      </c>
      <c r="M310" t="str">
        <f t="shared" si="13"/>
        <v>Route RfC</v>
      </c>
      <c r="N310" t="str">
        <f t="shared" si="14"/>
        <v>Route RfC</v>
      </c>
    </row>
    <row r="311" spans="1:14">
      <c r="A311" s="1650" t="s">
        <v>2222</v>
      </c>
      <c r="B311" s="1649" t="s">
        <v>3816</v>
      </c>
      <c r="C311" s="1650" t="s">
        <v>115</v>
      </c>
      <c r="D311" s="1654" t="s">
        <v>115</v>
      </c>
      <c r="E311" s="1650" t="s">
        <v>115</v>
      </c>
      <c r="F311" s="1654" t="s">
        <v>115</v>
      </c>
      <c r="G311" s="1650" t="s">
        <v>115</v>
      </c>
      <c r="H311" s="1654">
        <v>0.09</v>
      </c>
      <c r="I311" s="1650" t="s">
        <v>1277</v>
      </c>
      <c r="J311" s="1654">
        <v>360</v>
      </c>
      <c r="K311" s="1655" t="s">
        <v>3598</v>
      </c>
      <c r="L311" t="str">
        <f t="shared" si="12"/>
        <v/>
      </c>
      <c r="M311" t="str">
        <f t="shared" si="13"/>
        <v>Route RfC</v>
      </c>
      <c r="N311" t="str">
        <f t="shared" si="14"/>
        <v>Route RfC</v>
      </c>
    </row>
    <row r="312" spans="1:14">
      <c r="A312" s="1650" t="s">
        <v>2224</v>
      </c>
      <c r="B312" s="1649" t="s">
        <v>3817</v>
      </c>
      <c r="C312" s="1650" t="s">
        <v>115</v>
      </c>
      <c r="D312" s="1654" t="s">
        <v>115</v>
      </c>
      <c r="E312" s="1650" t="s">
        <v>115</v>
      </c>
      <c r="F312" s="1654" t="s">
        <v>115</v>
      </c>
      <c r="G312" s="1650" t="s">
        <v>115</v>
      </c>
      <c r="H312" s="1654">
        <v>0.05</v>
      </c>
      <c r="I312" s="1650" t="s">
        <v>1277</v>
      </c>
      <c r="J312" s="1654">
        <v>200</v>
      </c>
      <c r="K312" s="1655" t="s">
        <v>3598</v>
      </c>
      <c r="L312" t="str">
        <f t="shared" si="12"/>
        <v/>
      </c>
      <c r="M312" t="str">
        <f t="shared" si="13"/>
        <v>Route RfC</v>
      </c>
      <c r="N312" t="str">
        <f t="shared" si="14"/>
        <v>Route RfC</v>
      </c>
    </row>
    <row r="313" spans="1:14">
      <c r="A313" s="1650" t="s">
        <v>2238</v>
      </c>
      <c r="B313" s="1649" t="s">
        <v>2239</v>
      </c>
      <c r="C313" s="1650" t="s">
        <v>115</v>
      </c>
      <c r="D313" s="1654" t="s">
        <v>115</v>
      </c>
      <c r="E313" s="1650" t="s">
        <v>115</v>
      </c>
      <c r="F313" s="1654" t="s">
        <v>115</v>
      </c>
      <c r="G313" s="1650" t="s">
        <v>115</v>
      </c>
      <c r="H313" s="1654" t="s">
        <v>115</v>
      </c>
      <c r="I313" s="1650" t="s">
        <v>115</v>
      </c>
      <c r="J313" s="1654">
        <v>6000</v>
      </c>
      <c r="K313" s="1655" t="s">
        <v>1277</v>
      </c>
      <c r="L313" t="str">
        <f t="shared" si="12"/>
        <v/>
      </c>
      <c r="M313" t="str">
        <f t="shared" si="13"/>
        <v/>
      </c>
      <c r="N313" t="str">
        <f t="shared" si="14"/>
        <v>--</v>
      </c>
    </row>
    <row r="314" spans="1:14">
      <c r="A314" s="1650" t="s">
        <v>2242</v>
      </c>
      <c r="B314" s="1649" t="s">
        <v>2243</v>
      </c>
      <c r="C314" s="1650" t="s">
        <v>115</v>
      </c>
      <c r="D314" s="1654" t="s">
        <v>115</v>
      </c>
      <c r="E314" s="1650" t="s">
        <v>115</v>
      </c>
      <c r="F314" s="1654" t="s">
        <v>115</v>
      </c>
      <c r="G314" s="1650" t="s">
        <v>115</v>
      </c>
      <c r="H314" s="1654">
        <v>5</v>
      </c>
      <c r="I314" s="1650" t="s">
        <v>1277</v>
      </c>
      <c r="J314" s="1654">
        <v>700</v>
      </c>
      <c r="K314" s="1655" t="s">
        <v>1247</v>
      </c>
      <c r="L314" t="str">
        <f t="shared" si="12"/>
        <v/>
      </c>
      <c r="M314" t="str">
        <f t="shared" si="13"/>
        <v/>
      </c>
      <c r="N314" t="str">
        <f t="shared" si="14"/>
        <v>--</v>
      </c>
    </row>
    <row r="315" spans="1:14">
      <c r="A315" s="1650" t="s">
        <v>2244</v>
      </c>
      <c r="B315" s="1649" t="s">
        <v>2245</v>
      </c>
      <c r="C315" s="1650" t="s">
        <v>115</v>
      </c>
      <c r="D315" s="1654" t="s">
        <v>115</v>
      </c>
      <c r="E315" s="1650" t="s">
        <v>115</v>
      </c>
      <c r="F315" s="1654" t="s">
        <v>115</v>
      </c>
      <c r="G315" s="1650" t="s">
        <v>115</v>
      </c>
      <c r="H315" s="1654">
        <v>5.0000000000000001E-3</v>
      </c>
      <c r="I315" s="1650" t="s">
        <v>1247</v>
      </c>
      <c r="J315" s="1654">
        <v>1000</v>
      </c>
      <c r="K315" s="1655" t="s">
        <v>3603</v>
      </c>
      <c r="L315" t="str">
        <f t="shared" si="12"/>
        <v/>
      </c>
      <c r="M315" t="str">
        <f t="shared" si="13"/>
        <v/>
      </c>
      <c r="N315" t="str">
        <f t="shared" si="14"/>
        <v>--</v>
      </c>
    </row>
    <row r="316" spans="1:14">
      <c r="A316" s="1650" t="s">
        <v>2246</v>
      </c>
      <c r="B316" s="1649" t="s">
        <v>2247</v>
      </c>
      <c r="C316" s="1650" t="s">
        <v>115</v>
      </c>
      <c r="D316" s="1654" t="s">
        <v>115</v>
      </c>
      <c r="E316" s="1650" t="s">
        <v>115</v>
      </c>
      <c r="F316" s="1654" t="s">
        <v>115</v>
      </c>
      <c r="G316" s="1650" t="s">
        <v>115</v>
      </c>
      <c r="H316" s="1654">
        <v>0.2</v>
      </c>
      <c r="I316" s="1650" t="s">
        <v>1277</v>
      </c>
      <c r="J316" s="1654">
        <v>800</v>
      </c>
      <c r="K316" s="1655" t="s">
        <v>3598</v>
      </c>
      <c r="L316" t="str">
        <f t="shared" si="12"/>
        <v/>
      </c>
      <c r="M316" t="str">
        <f t="shared" si="13"/>
        <v>Route RfC</v>
      </c>
      <c r="N316" t="str">
        <f t="shared" si="14"/>
        <v>Route RfC</v>
      </c>
    </row>
    <row r="317" spans="1:14">
      <c r="A317" s="1650" t="s">
        <v>2248</v>
      </c>
      <c r="B317" s="1649" t="s">
        <v>2249</v>
      </c>
      <c r="C317" s="1650" t="s">
        <v>115</v>
      </c>
      <c r="D317" s="1654" t="s">
        <v>115</v>
      </c>
      <c r="E317" s="1650" t="s">
        <v>115</v>
      </c>
      <c r="F317" s="1654" t="s">
        <v>115</v>
      </c>
      <c r="G317" s="1650" t="s">
        <v>115</v>
      </c>
      <c r="H317" s="1654">
        <v>2.5000000000000001E-2</v>
      </c>
      <c r="I317" s="1650" t="s">
        <v>1277</v>
      </c>
      <c r="J317" s="1654" t="s">
        <v>115</v>
      </c>
      <c r="K317" s="1655" t="s">
        <v>115</v>
      </c>
      <c r="L317" t="str">
        <f t="shared" si="12"/>
        <v/>
      </c>
      <c r="M317" t="str">
        <f t="shared" si="13"/>
        <v/>
      </c>
      <c r="N317" t="str">
        <f t="shared" si="14"/>
        <v>--</v>
      </c>
    </row>
    <row r="318" spans="1:14">
      <c r="A318" s="1650" t="s">
        <v>2250</v>
      </c>
      <c r="B318" s="1649" t="s">
        <v>2251</v>
      </c>
      <c r="C318" s="1650" t="s">
        <v>115</v>
      </c>
      <c r="D318" s="1654" t="s">
        <v>115</v>
      </c>
      <c r="E318" s="1650" t="s">
        <v>115</v>
      </c>
      <c r="F318" s="1654" t="s">
        <v>115</v>
      </c>
      <c r="G318" s="1650" t="s">
        <v>115</v>
      </c>
      <c r="H318" s="1654">
        <v>0.5</v>
      </c>
      <c r="I318" s="1650" t="s">
        <v>3663</v>
      </c>
      <c r="J318" s="1654" t="s">
        <v>115</v>
      </c>
      <c r="K318" s="1655" t="s">
        <v>115</v>
      </c>
      <c r="L318" t="str">
        <f t="shared" si="12"/>
        <v/>
      </c>
      <c r="M318" t="str">
        <f t="shared" si="13"/>
        <v/>
      </c>
      <c r="N318" t="str">
        <f t="shared" si="14"/>
        <v>--</v>
      </c>
    </row>
    <row r="319" spans="1:14">
      <c r="A319" s="1650" t="s">
        <v>2252</v>
      </c>
      <c r="B319" s="1649" t="s">
        <v>2253</v>
      </c>
      <c r="C319" s="1650" t="s">
        <v>115</v>
      </c>
      <c r="D319" s="1654" t="s">
        <v>115</v>
      </c>
      <c r="E319" s="1650" t="s">
        <v>115</v>
      </c>
      <c r="F319" s="1654" t="s">
        <v>115</v>
      </c>
      <c r="G319" s="1650" t="s">
        <v>115</v>
      </c>
      <c r="H319" s="1654">
        <v>0.03</v>
      </c>
      <c r="I319" s="1650" t="s">
        <v>1277</v>
      </c>
      <c r="J319" s="1654" t="s">
        <v>115</v>
      </c>
      <c r="K319" s="1655" t="s">
        <v>115</v>
      </c>
      <c r="L319" t="str">
        <f t="shared" si="12"/>
        <v/>
      </c>
      <c r="M319" t="str">
        <f t="shared" si="13"/>
        <v/>
      </c>
      <c r="N319" t="str">
        <f t="shared" si="14"/>
        <v>--</v>
      </c>
    </row>
    <row r="320" spans="1:14">
      <c r="A320" s="1650" t="s">
        <v>2254</v>
      </c>
      <c r="B320" s="1649" t="s">
        <v>2255</v>
      </c>
      <c r="C320" s="1650" t="s">
        <v>115</v>
      </c>
      <c r="D320" s="1654">
        <v>1.7999999999999999E-2</v>
      </c>
      <c r="E320" s="1650" t="s">
        <v>1234</v>
      </c>
      <c r="F320" s="1654">
        <v>5.1000000000000003E-6</v>
      </c>
      <c r="G320" s="1650" t="s">
        <v>1234</v>
      </c>
      <c r="H320" s="1654">
        <v>0.15</v>
      </c>
      <c r="I320" s="1650" t="s">
        <v>1277</v>
      </c>
      <c r="J320" s="1654" t="s">
        <v>115</v>
      </c>
      <c r="K320" s="1655" t="s">
        <v>115</v>
      </c>
      <c r="L320" t="str">
        <f t="shared" si="12"/>
        <v/>
      </c>
      <c r="M320" t="str">
        <f t="shared" si="13"/>
        <v/>
      </c>
      <c r="N320" t="str">
        <f t="shared" si="14"/>
        <v>--</v>
      </c>
    </row>
    <row r="321" spans="1:14">
      <c r="A321" s="1650" t="s">
        <v>2489</v>
      </c>
      <c r="B321" s="1649" t="s">
        <v>3818</v>
      </c>
      <c r="C321" s="1650" t="s">
        <v>115</v>
      </c>
      <c r="D321" s="1654" t="s">
        <v>115</v>
      </c>
      <c r="E321" s="1650" t="s">
        <v>115</v>
      </c>
      <c r="F321" s="1654" t="s">
        <v>115</v>
      </c>
      <c r="G321" s="1650" t="s">
        <v>115</v>
      </c>
      <c r="H321" s="1654">
        <v>2.5000000000000001E-2</v>
      </c>
      <c r="I321" s="1650" t="s">
        <v>1277</v>
      </c>
      <c r="J321" s="1654" t="s">
        <v>115</v>
      </c>
      <c r="K321" s="1655" t="s">
        <v>115</v>
      </c>
      <c r="L321" t="str">
        <f t="shared" si="12"/>
        <v/>
      </c>
      <c r="M321" t="str">
        <f t="shared" si="13"/>
        <v/>
      </c>
      <c r="N321" t="str">
        <f t="shared" si="14"/>
        <v>--</v>
      </c>
    </row>
    <row r="322" spans="1:14">
      <c r="A322" s="1650" t="s">
        <v>2259</v>
      </c>
      <c r="B322" s="1649" t="s">
        <v>2260</v>
      </c>
      <c r="C322" s="1650" t="s">
        <v>115</v>
      </c>
      <c r="D322" s="1654" t="s">
        <v>115</v>
      </c>
      <c r="E322" s="1650" t="s">
        <v>115</v>
      </c>
      <c r="F322" s="1654" t="s">
        <v>115</v>
      </c>
      <c r="G322" s="1650" t="s">
        <v>115</v>
      </c>
      <c r="H322" s="1654">
        <v>4.0000000000000003E-5</v>
      </c>
      <c r="I322" s="1650" t="s">
        <v>1277</v>
      </c>
      <c r="J322" s="1654" t="s">
        <v>115</v>
      </c>
      <c r="K322" s="1655" t="s">
        <v>115</v>
      </c>
      <c r="L322" t="str">
        <f t="shared" si="12"/>
        <v/>
      </c>
      <c r="M322" t="str">
        <f t="shared" si="13"/>
        <v/>
      </c>
      <c r="N322" t="str">
        <f t="shared" si="14"/>
        <v>--</v>
      </c>
    </row>
    <row r="323" spans="1:14">
      <c r="A323" s="1650" t="s">
        <v>2261</v>
      </c>
      <c r="B323" s="1649" t="s">
        <v>2262</v>
      </c>
      <c r="C323" s="1650" t="s">
        <v>115</v>
      </c>
      <c r="D323" s="1654">
        <v>1.1999999999999999E-3</v>
      </c>
      <c r="E323" s="1650" t="s">
        <v>1277</v>
      </c>
      <c r="F323" s="1654" t="s">
        <v>115</v>
      </c>
      <c r="G323" s="1650" t="s">
        <v>115</v>
      </c>
      <c r="H323" s="1654">
        <v>0.6</v>
      </c>
      <c r="I323" s="1650" t="s">
        <v>1277</v>
      </c>
      <c r="J323" s="1654" t="s">
        <v>115</v>
      </c>
      <c r="K323" s="1655" t="s">
        <v>115</v>
      </c>
      <c r="L323" t="str">
        <f t="shared" si="12"/>
        <v/>
      </c>
      <c r="M323" t="str">
        <f t="shared" si="13"/>
        <v/>
      </c>
      <c r="N323" t="str">
        <f t="shared" si="14"/>
        <v>--</v>
      </c>
    </row>
    <row r="324" spans="1:14">
      <c r="A324" s="1650" t="s">
        <v>2263</v>
      </c>
      <c r="B324" s="1649" t="s">
        <v>2264</v>
      </c>
      <c r="C324" s="1650" t="s">
        <v>115</v>
      </c>
      <c r="D324" s="1654">
        <v>6.0999999999999999E-2</v>
      </c>
      <c r="E324" s="1650" t="s">
        <v>3616</v>
      </c>
      <c r="F324" s="1654" t="s">
        <v>115</v>
      </c>
      <c r="G324" s="1650" t="s">
        <v>115</v>
      </c>
      <c r="H324" s="1654" t="s">
        <v>115</v>
      </c>
      <c r="I324" s="1650" t="s">
        <v>115</v>
      </c>
      <c r="J324" s="1654" t="s">
        <v>115</v>
      </c>
      <c r="K324" s="1655" t="s">
        <v>115</v>
      </c>
      <c r="L324" t="str">
        <f t="shared" si="12"/>
        <v/>
      </c>
      <c r="M324" t="str">
        <f t="shared" si="13"/>
        <v/>
      </c>
      <c r="N324" t="str">
        <f t="shared" si="14"/>
        <v>--</v>
      </c>
    </row>
    <row r="325" spans="1:14">
      <c r="A325" s="1650" t="s">
        <v>2265</v>
      </c>
      <c r="B325" s="1649" t="s">
        <v>2266</v>
      </c>
      <c r="C325" s="1650" t="s">
        <v>115</v>
      </c>
      <c r="D325" s="1654" t="s">
        <v>115</v>
      </c>
      <c r="E325" s="1650" t="s">
        <v>115</v>
      </c>
      <c r="F325" s="1654" t="s">
        <v>115</v>
      </c>
      <c r="G325" s="1650" t="s">
        <v>115</v>
      </c>
      <c r="H325" s="1654">
        <v>6.9999999999999999E-4</v>
      </c>
      <c r="I325" s="1650" t="s">
        <v>1280</v>
      </c>
      <c r="J325" s="1654" t="s">
        <v>115</v>
      </c>
      <c r="K325" s="1655" t="s">
        <v>115</v>
      </c>
      <c r="L325" t="str">
        <f t="shared" si="12"/>
        <v/>
      </c>
      <c r="M325" t="str">
        <f t="shared" si="13"/>
        <v/>
      </c>
      <c r="N325" t="str">
        <f t="shared" si="14"/>
        <v>--</v>
      </c>
    </row>
    <row r="326" spans="1:14" ht="25.5">
      <c r="A326" s="1650" t="s">
        <v>248</v>
      </c>
      <c r="B326" s="1649" t="s">
        <v>3819</v>
      </c>
      <c r="C326" s="1650" t="s">
        <v>1906</v>
      </c>
      <c r="D326" s="1654">
        <v>4.0999999999999996</v>
      </c>
      <c r="E326" s="1650" t="s">
        <v>3820</v>
      </c>
      <c r="F326" s="1654">
        <v>1.1999999999999999E-3</v>
      </c>
      <c r="G326" s="1650" t="s">
        <v>3820</v>
      </c>
      <c r="H326" s="1654" t="s">
        <v>115</v>
      </c>
      <c r="I326" s="1650" t="s">
        <v>115</v>
      </c>
      <c r="J326" s="1654" t="s">
        <v>115</v>
      </c>
      <c r="K326" s="1655" t="s">
        <v>115</v>
      </c>
      <c r="L326" t="str">
        <f t="shared" ref="L326:L389" si="15">IF(COUNTIF(G326,"*Route*"),"Route IUR","")</f>
        <v/>
      </c>
      <c r="M326" t="str">
        <f t="shared" ref="M326:M389" si="16">IF(COUNTIF(K326,"*Route*"),"Route RfC","")</f>
        <v/>
      </c>
      <c r="N326" t="str">
        <f t="shared" ref="N326:N389" si="17">IF(AND(L326&lt;&gt;"",M326&lt;&gt;""),"Route IUR &amp; RfC",IF(L326&lt;&gt;"","Route IUR",IF(M326&lt;&gt;"","Route RfC","--")))</f>
        <v>--</v>
      </c>
    </row>
    <row r="327" spans="1:14">
      <c r="A327" s="1650" t="s">
        <v>3207</v>
      </c>
      <c r="B327" s="1649" t="s">
        <v>3821</v>
      </c>
      <c r="C327" s="1650" t="s">
        <v>115</v>
      </c>
      <c r="D327" s="1654">
        <v>12</v>
      </c>
      <c r="E327" s="1650" t="s">
        <v>3732</v>
      </c>
      <c r="F327" s="1654">
        <v>1.1000000000000001E-3</v>
      </c>
      <c r="G327" s="1650" t="s">
        <v>3732</v>
      </c>
      <c r="H327" s="1654" t="s">
        <v>115</v>
      </c>
      <c r="I327" s="1650" t="s">
        <v>115</v>
      </c>
      <c r="J327" s="1654" t="s">
        <v>115</v>
      </c>
      <c r="K327" s="1655" t="s">
        <v>115</v>
      </c>
      <c r="L327" t="str">
        <f t="shared" si="15"/>
        <v/>
      </c>
      <c r="M327" t="str">
        <f t="shared" si="16"/>
        <v/>
      </c>
      <c r="N327" t="str">
        <f t="shared" si="17"/>
        <v>--</v>
      </c>
    </row>
    <row r="328" spans="1:14">
      <c r="A328" s="1650" t="s">
        <v>2522</v>
      </c>
      <c r="B328" s="1649" t="s">
        <v>3822</v>
      </c>
      <c r="C328" s="1650" t="s">
        <v>115</v>
      </c>
      <c r="D328" s="1654" t="s">
        <v>115</v>
      </c>
      <c r="E328" s="1650" t="s">
        <v>115</v>
      </c>
      <c r="F328" s="1654" t="s">
        <v>115</v>
      </c>
      <c r="G328" s="1650" t="s">
        <v>115</v>
      </c>
      <c r="H328" s="1654">
        <v>1E-3</v>
      </c>
      <c r="I328" s="1650" t="s">
        <v>3603</v>
      </c>
      <c r="J328" s="1654">
        <v>4</v>
      </c>
      <c r="K328" s="1655" t="s">
        <v>3609</v>
      </c>
      <c r="L328" t="str">
        <f t="shared" si="15"/>
        <v/>
      </c>
      <c r="M328" t="str">
        <f t="shared" si="16"/>
        <v>Route RfC</v>
      </c>
      <c r="N328" t="str">
        <f t="shared" si="17"/>
        <v>Route RfC</v>
      </c>
    </row>
    <row r="329" spans="1:14">
      <c r="A329" s="1650" t="s">
        <v>2277</v>
      </c>
      <c r="B329" s="1649" t="s">
        <v>2278</v>
      </c>
      <c r="C329" s="1650" t="s">
        <v>115</v>
      </c>
      <c r="D329" s="1654" t="s">
        <v>115</v>
      </c>
      <c r="E329" s="1650" t="s">
        <v>115</v>
      </c>
      <c r="F329" s="1654" t="s">
        <v>115</v>
      </c>
      <c r="G329" s="1650" t="s">
        <v>115</v>
      </c>
      <c r="H329" s="1654">
        <v>2.9999999999999997E-4</v>
      </c>
      <c r="I329" s="1650" t="s">
        <v>1247</v>
      </c>
      <c r="J329" s="1654" t="s">
        <v>115</v>
      </c>
      <c r="K329" s="1655" t="s">
        <v>115</v>
      </c>
      <c r="L329" t="str">
        <f t="shared" si="15"/>
        <v/>
      </c>
      <c r="M329" t="str">
        <f t="shared" si="16"/>
        <v/>
      </c>
      <c r="N329" t="str">
        <f t="shared" si="17"/>
        <v>--</v>
      </c>
    </row>
    <row r="330" spans="1:14">
      <c r="A330" s="1650" t="s">
        <v>2279</v>
      </c>
      <c r="B330" s="1649" t="s">
        <v>2280</v>
      </c>
      <c r="C330" s="1650" t="s">
        <v>115</v>
      </c>
      <c r="D330" s="1654" t="s">
        <v>115</v>
      </c>
      <c r="E330" s="1650" t="s">
        <v>115</v>
      </c>
      <c r="F330" s="1654" t="s">
        <v>115</v>
      </c>
      <c r="G330" s="1650" t="s">
        <v>115</v>
      </c>
      <c r="H330" s="1654">
        <v>0.03</v>
      </c>
      <c r="I330" s="1650" t="s">
        <v>1277</v>
      </c>
      <c r="J330" s="1654" t="s">
        <v>115</v>
      </c>
      <c r="K330" s="1655" t="s">
        <v>115</v>
      </c>
      <c r="L330" t="str">
        <f t="shared" si="15"/>
        <v/>
      </c>
      <c r="M330" t="str">
        <f t="shared" si="16"/>
        <v/>
      </c>
      <c r="N330" t="str">
        <f t="shared" si="17"/>
        <v>--</v>
      </c>
    </row>
    <row r="331" spans="1:14">
      <c r="A331" s="1650" t="s">
        <v>2289</v>
      </c>
      <c r="B331" s="1649" t="s">
        <v>3823</v>
      </c>
      <c r="C331" s="1650" t="s">
        <v>115</v>
      </c>
      <c r="D331" s="1654">
        <v>0.05</v>
      </c>
      <c r="E331" s="1650" t="s">
        <v>1277</v>
      </c>
      <c r="F331" s="1654" t="s">
        <v>115</v>
      </c>
      <c r="G331" s="1650" t="s">
        <v>115</v>
      </c>
      <c r="H331" s="1654">
        <v>4.0000000000000001E-3</v>
      </c>
      <c r="I331" s="1650" t="s">
        <v>1277</v>
      </c>
      <c r="J331" s="1654" t="s">
        <v>115</v>
      </c>
      <c r="K331" s="1655" t="s">
        <v>115</v>
      </c>
      <c r="L331" t="str">
        <f t="shared" si="15"/>
        <v/>
      </c>
      <c r="M331" t="str">
        <f t="shared" si="16"/>
        <v/>
      </c>
      <c r="N331" t="str">
        <f t="shared" si="17"/>
        <v>--</v>
      </c>
    </row>
    <row r="332" spans="1:14">
      <c r="A332" s="1650" t="s">
        <v>2296</v>
      </c>
      <c r="B332" s="1649" t="s">
        <v>2297</v>
      </c>
      <c r="C332" s="1650" t="s">
        <v>115</v>
      </c>
      <c r="D332" s="1654" t="s">
        <v>115</v>
      </c>
      <c r="E332" s="1650" t="s">
        <v>115</v>
      </c>
      <c r="F332" s="1654" t="s">
        <v>115</v>
      </c>
      <c r="G332" s="1650" t="s">
        <v>115</v>
      </c>
      <c r="H332" s="1654">
        <v>0.2</v>
      </c>
      <c r="I332" s="1650" t="s">
        <v>1277</v>
      </c>
      <c r="J332" s="1654">
        <v>100</v>
      </c>
      <c r="K332" s="1655" t="s">
        <v>3603</v>
      </c>
      <c r="L332" t="str">
        <f t="shared" si="15"/>
        <v/>
      </c>
      <c r="M332" t="str">
        <f t="shared" si="16"/>
        <v/>
      </c>
      <c r="N332" t="str">
        <f t="shared" si="17"/>
        <v>--</v>
      </c>
    </row>
    <row r="333" spans="1:14">
      <c r="A333" s="1650" t="s">
        <v>2315</v>
      </c>
      <c r="B333" s="1649" t="s">
        <v>2316</v>
      </c>
      <c r="C333" s="1650" t="s">
        <v>115</v>
      </c>
      <c r="D333" s="1654">
        <v>0.28999999999999998</v>
      </c>
      <c r="E333" s="1650" t="s">
        <v>1277</v>
      </c>
      <c r="F333" s="1654">
        <v>8.2999999999999998E-5</v>
      </c>
      <c r="G333" s="1650" t="s">
        <v>1234</v>
      </c>
      <c r="H333" s="1654">
        <v>5.0000000000000001E-4</v>
      </c>
      <c r="I333" s="1650" t="s">
        <v>1277</v>
      </c>
      <c r="J333" s="1654">
        <v>0.5</v>
      </c>
      <c r="K333" s="1655" t="s">
        <v>1277</v>
      </c>
      <c r="L333" t="str">
        <f t="shared" si="15"/>
        <v/>
      </c>
      <c r="M333" t="str">
        <f t="shared" si="16"/>
        <v/>
      </c>
      <c r="N333" t="str">
        <f t="shared" si="17"/>
        <v>--</v>
      </c>
    </row>
    <row r="334" spans="1:14">
      <c r="A334" s="1650" t="s">
        <v>2317</v>
      </c>
      <c r="B334" s="1649" t="s">
        <v>2318</v>
      </c>
      <c r="C334" s="1650" t="s">
        <v>115</v>
      </c>
      <c r="D334" s="1654" t="s">
        <v>115</v>
      </c>
      <c r="E334" s="1650" t="s">
        <v>115</v>
      </c>
      <c r="F334" s="1654" t="s">
        <v>115</v>
      </c>
      <c r="G334" s="1650" t="s">
        <v>115</v>
      </c>
      <c r="H334" s="1654">
        <v>3.0000000000000001E-5</v>
      </c>
      <c r="I334" s="1650" t="s">
        <v>3663</v>
      </c>
      <c r="J334" s="1654" t="s">
        <v>115</v>
      </c>
      <c r="K334" s="1655" t="s">
        <v>115</v>
      </c>
      <c r="L334" t="str">
        <f t="shared" si="15"/>
        <v/>
      </c>
      <c r="M334" t="str">
        <f t="shared" si="16"/>
        <v/>
      </c>
      <c r="N334" t="str">
        <f t="shared" si="17"/>
        <v>--</v>
      </c>
    </row>
    <row r="335" spans="1:14">
      <c r="A335" s="1650" t="s">
        <v>2319</v>
      </c>
      <c r="B335" s="1649" t="s">
        <v>2320</v>
      </c>
      <c r="C335" s="1650" t="s">
        <v>115</v>
      </c>
      <c r="D335" s="1654" t="s">
        <v>115</v>
      </c>
      <c r="E335" s="1650" t="s">
        <v>115</v>
      </c>
      <c r="F335" s="1654" t="s">
        <v>115</v>
      </c>
      <c r="G335" s="1650" t="s">
        <v>115</v>
      </c>
      <c r="H335" s="1654">
        <v>0.08</v>
      </c>
      <c r="I335" s="1650" t="s">
        <v>1247</v>
      </c>
      <c r="J335" s="1654">
        <v>0.3</v>
      </c>
      <c r="K335" s="1655" t="s">
        <v>3603</v>
      </c>
      <c r="L335" t="str">
        <f t="shared" si="15"/>
        <v/>
      </c>
      <c r="M335" t="str">
        <f t="shared" si="16"/>
        <v/>
      </c>
      <c r="N335" t="str">
        <f t="shared" si="17"/>
        <v>--</v>
      </c>
    </row>
    <row r="336" spans="1:14">
      <c r="A336" s="1650" t="s">
        <v>180</v>
      </c>
      <c r="B336" s="1649" t="s">
        <v>179</v>
      </c>
      <c r="C336" s="1650" t="s">
        <v>115</v>
      </c>
      <c r="D336" s="1654">
        <v>16</v>
      </c>
      <c r="E336" s="1650" t="s">
        <v>1277</v>
      </c>
      <c r="F336" s="1654">
        <v>4.5999999999999999E-3</v>
      </c>
      <c r="G336" s="1650" t="s">
        <v>1277</v>
      </c>
      <c r="H336" s="1654">
        <v>5.0000000000000002E-5</v>
      </c>
      <c r="I336" s="1650" t="s">
        <v>1277</v>
      </c>
      <c r="J336" s="1654">
        <v>0.2</v>
      </c>
      <c r="K336" s="1655" t="s">
        <v>3598</v>
      </c>
      <c r="L336" t="str">
        <f t="shared" si="15"/>
        <v/>
      </c>
      <c r="M336" t="str">
        <f t="shared" si="16"/>
        <v>Route RfC</v>
      </c>
      <c r="N336" t="str">
        <f t="shared" si="17"/>
        <v>Route RfC</v>
      </c>
    </row>
    <row r="337" spans="1:14">
      <c r="A337" s="1650" t="s">
        <v>2321</v>
      </c>
      <c r="B337" s="1649" t="s">
        <v>3824</v>
      </c>
      <c r="C337" s="1650" t="s">
        <v>115</v>
      </c>
      <c r="D337" s="1654" t="s">
        <v>115</v>
      </c>
      <c r="E337" s="1650" t="s">
        <v>115</v>
      </c>
      <c r="F337" s="1654">
        <v>2.9999999999999997E-4</v>
      </c>
      <c r="G337" s="1650" t="s">
        <v>1234</v>
      </c>
      <c r="H337" s="1654" t="s">
        <v>115</v>
      </c>
      <c r="I337" s="1650" t="s">
        <v>115</v>
      </c>
      <c r="J337" s="1654">
        <v>5</v>
      </c>
      <c r="K337" s="1655" t="s">
        <v>1277</v>
      </c>
      <c r="L337" t="str">
        <f t="shared" si="15"/>
        <v/>
      </c>
      <c r="M337" t="str">
        <f t="shared" si="16"/>
        <v/>
      </c>
      <c r="N337" t="str">
        <f t="shared" si="17"/>
        <v>--</v>
      </c>
    </row>
    <row r="338" spans="1:14">
      <c r="A338" s="1650" t="s">
        <v>2323</v>
      </c>
      <c r="B338" s="1649" t="s">
        <v>2324</v>
      </c>
      <c r="C338" s="1650" t="s">
        <v>115</v>
      </c>
      <c r="D338" s="1654" t="s">
        <v>115</v>
      </c>
      <c r="E338" s="1650" t="s">
        <v>115</v>
      </c>
      <c r="F338" s="1654" t="s">
        <v>115</v>
      </c>
      <c r="G338" s="1650" t="s">
        <v>115</v>
      </c>
      <c r="H338" s="1654">
        <v>2E-3</v>
      </c>
      <c r="I338" s="1650" t="s">
        <v>1247</v>
      </c>
      <c r="J338" s="1654">
        <v>0.2</v>
      </c>
      <c r="K338" s="1655" t="s">
        <v>1247</v>
      </c>
      <c r="L338" t="str">
        <f t="shared" si="15"/>
        <v/>
      </c>
      <c r="M338" t="str">
        <f t="shared" si="16"/>
        <v/>
      </c>
      <c r="N338" t="str">
        <f t="shared" si="17"/>
        <v>--</v>
      </c>
    </row>
    <row r="339" spans="1:14">
      <c r="A339" s="1650" t="s">
        <v>182</v>
      </c>
      <c r="B339" s="1649" t="s">
        <v>181</v>
      </c>
      <c r="C339" s="1650" t="s">
        <v>115</v>
      </c>
      <c r="D339" s="1654" t="s">
        <v>115</v>
      </c>
      <c r="E339" s="1650" t="s">
        <v>115</v>
      </c>
      <c r="F339" s="1654" t="s">
        <v>115</v>
      </c>
      <c r="G339" s="1650" t="s">
        <v>115</v>
      </c>
      <c r="H339" s="1654">
        <v>0.8</v>
      </c>
      <c r="I339" s="1650" t="s">
        <v>1277</v>
      </c>
      <c r="J339" s="1654" t="s">
        <v>115</v>
      </c>
      <c r="K339" s="1655" t="s">
        <v>115</v>
      </c>
      <c r="L339" t="str">
        <f t="shared" si="15"/>
        <v/>
      </c>
      <c r="M339" t="str">
        <f t="shared" si="16"/>
        <v/>
      </c>
      <c r="N339" t="str">
        <f t="shared" si="17"/>
        <v>--</v>
      </c>
    </row>
    <row r="340" spans="1:14">
      <c r="A340" s="1650" t="s">
        <v>2325</v>
      </c>
      <c r="B340" s="1649" t="s">
        <v>3825</v>
      </c>
      <c r="C340" s="1650" t="s">
        <v>115</v>
      </c>
      <c r="D340" s="1654" t="s">
        <v>115</v>
      </c>
      <c r="E340" s="1650" t="s">
        <v>115</v>
      </c>
      <c r="F340" s="1654" t="s">
        <v>115</v>
      </c>
      <c r="G340" s="1650" t="s">
        <v>115</v>
      </c>
      <c r="H340" s="1654">
        <v>0.03</v>
      </c>
      <c r="I340" s="1650" t="s">
        <v>1247</v>
      </c>
      <c r="J340" s="1654">
        <v>0.1</v>
      </c>
      <c r="K340" s="1655" t="s">
        <v>1247</v>
      </c>
      <c r="L340" t="str">
        <f t="shared" si="15"/>
        <v/>
      </c>
      <c r="M340" t="str">
        <f t="shared" si="16"/>
        <v/>
      </c>
      <c r="N340" t="str">
        <f t="shared" si="17"/>
        <v>--</v>
      </c>
    </row>
    <row r="341" spans="1:14">
      <c r="A341" s="1650" t="s">
        <v>2327</v>
      </c>
      <c r="B341" s="1649" t="s">
        <v>3826</v>
      </c>
      <c r="C341" s="1650" t="s">
        <v>115</v>
      </c>
      <c r="D341" s="1654" t="s">
        <v>115</v>
      </c>
      <c r="E341" s="1650" t="s">
        <v>115</v>
      </c>
      <c r="F341" s="1654" t="s">
        <v>115</v>
      </c>
      <c r="G341" s="1650" t="s">
        <v>115</v>
      </c>
      <c r="H341" s="1654">
        <v>0.06</v>
      </c>
      <c r="I341" s="1650" t="s">
        <v>1247</v>
      </c>
      <c r="J341" s="1654">
        <v>0.3</v>
      </c>
      <c r="K341" s="1655" t="s">
        <v>1247</v>
      </c>
      <c r="L341" t="str">
        <f t="shared" si="15"/>
        <v/>
      </c>
      <c r="M341" t="str">
        <f t="shared" si="16"/>
        <v/>
      </c>
      <c r="N341" t="str">
        <f t="shared" si="17"/>
        <v>--</v>
      </c>
    </row>
    <row r="342" spans="1:14">
      <c r="A342" s="1650" t="s">
        <v>2329</v>
      </c>
      <c r="B342" s="1649" t="s">
        <v>2330</v>
      </c>
      <c r="C342" s="1650" t="s">
        <v>115</v>
      </c>
      <c r="D342" s="1654" t="s">
        <v>115</v>
      </c>
      <c r="E342" s="1650" t="s">
        <v>115</v>
      </c>
      <c r="F342" s="1654" t="s">
        <v>115</v>
      </c>
      <c r="G342" s="1650" t="s">
        <v>115</v>
      </c>
      <c r="H342" s="1654">
        <v>1E-3</v>
      </c>
      <c r="I342" s="1650" t="s">
        <v>1247</v>
      </c>
      <c r="J342" s="1654">
        <v>4</v>
      </c>
      <c r="K342" s="1655" t="s">
        <v>3605</v>
      </c>
      <c r="L342" t="str">
        <f t="shared" si="15"/>
        <v/>
      </c>
      <c r="M342" t="str">
        <f t="shared" si="16"/>
        <v>Route RfC</v>
      </c>
      <c r="N342" t="str">
        <f t="shared" si="17"/>
        <v>Route RfC</v>
      </c>
    </row>
    <row r="343" spans="1:14">
      <c r="A343" s="1650" t="s">
        <v>2331</v>
      </c>
      <c r="B343" s="1649" t="s">
        <v>2332</v>
      </c>
      <c r="C343" s="1650" t="s">
        <v>115</v>
      </c>
      <c r="D343" s="1654">
        <v>350</v>
      </c>
      <c r="E343" s="1650" t="s">
        <v>1234</v>
      </c>
      <c r="F343" s="1654">
        <v>0.1</v>
      </c>
      <c r="G343" s="1650" t="s">
        <v>1234</v>
      </c>
      <c r="H343" s="1654" t="s">
        <v>115</v>
      </c>
      <c r="I343" s="1650" t="s">
        <v>115</v>
      </c>
      <c r="J343" s="1654" t="s">
        <v>115</v>
      </c>
      <c r="K343" s="1655" t="s">
        <v>115</v>
      </c>
      <c r="L343" t="str">
        <f t="shared" si="15"/>
        <v/>
      </c>
      <c r="M343" t="str">
        <f t="shared" si="16"/>
        <v/>
      </c>
      <c r="N343" t="str">
        <f t="shared" si="17"/>
        <v>--</v>
      </c>
    </row>
    <row r="344" spans="1:14">
      <c r="A344" s="1650" t="s">
        <v>2333</v>
      </c>
      <c r="B344" s="1649" t="s">
        <v>2334</v>
      </c>
      <c r="C344" s="1650" t="s">
        <v>115</v>
      </c>
      <c r="D344" s="1654" t="s">
        <v>115</v>
      </c>
      <c r="E344" s="1650" t="s">
        <v>115</v>
      </c>
      <c r="F344" s="1654" t="s">
        <v>115</v>
      </c>
      <c r="G344" s="1650" t="s">
        <v>115</v>
      </c>
      <c r="H344" s="1654">
        <v>8.3000000000000004E-2</v>
      </c>
      <c r="I344" s="1650" t="s">
        <v>3663</v>
      </c>
      <c r="J344" s="1654" t="s">
        <v>115</v>
      </c>
      <c r="K344" s="1655" t="s">
        <v>115</v>
      </c>
      <c r="L344" t="str">
        <f t="shared" si="15"/>
        <v/>
      </c>
      <c r="M344" t="str">
        <f t="shared" si="16"/>
        <v/>
      </c>
      <c r="N344" t="str">
        <f t="shared" si="17"/>
        <v>--</v>
      </c>
    </row>
    <row r="345" spans="1:14">
      <c r="A345" s="1650" t="s">
        <v>2335</v>
      </c>
      <c r="B345" s="1649" t="s">
        <v>2336</v>
      </c>
      <c r="C345" s="1650" t="s">
        <v>115</v>
      </c>
      <c r="D345" s="1654" t="s">
        <v>115</v>
      </c>
      <c r="E345" s="1650" t="s">
        <v>115</v>
      </c>
      <c r="F345" s="1654" t="s">
        <v>115</v>
      </c>
      <c r="G345" s="1650" t="s">
        <v>115</v>
      </c>
      <c r="H345" s="1654">
        <v>0.02</v>
      </c>
      <c r="I345" s="1650" t="s">
        <v>1277</v>
      </c>
      <c r="J345" s="1654" t="s">
        <v>115</v>
      </c>
      <c r="K345" s="1655" t="s">
        <v>115</v>
      </c>
      <c r="L345" t="str">
        <f t="shared" si="15"/>
        <v/>
      </c>
      <c r="M345" t="str">
        <f t="shared" si="16"/>
        <v/>
      </c>
      <c r="N345" t="str">
        <f t="shared" si="17"/>
        <v>--</v>
      </c>
    </row>
    <row r="346" spans="1:14">
      <c r="A346" s="1650" t="s">
        <v>2341</v>
      </c>
      <c r="B346" s="1649" t="s">
        <v>2342</v>
      </c>
      <c r="C346" s="1650" t="s">
        <v>115</v>
      </c>
      <c r="D346" s="1654">
        <v>4.3999999999999997E-2</v>
      </c>
      <c r="E346" s="1650" t="s">
        <v>1234</v>
      </c>
      <c r="F346" s="1654">
        <v>1.2999999999999999E-5</v>
      </c>
      <c r="G346" s="1650" t="s">
        <v>1234</v>
      </c>
      <c r="H346" s="1654" t="s">
        <v>115</v>
      </c>
      <c r="I346" s="1650" t="s">
        <v>115</v>
      </c>
      <c r="J346" s="1654" t="s">
        <v>115</v>
      </c>
      <c r="K346" s="1655" t="s">
        <v>115</v>
      </c>
      <c r="L346" t="str">
        <f t="shared" si="15"/>
        <v/>
      </c>
      <c r="M346" t="str">
        <f t="shared" si="16"/>
        <v/>
      </c>
      <c r="N346" t="str">
        <f t="shared" si="17"/>
        <v>--</v>
      </c>
    </row>
    <row r="347" spans="1:14">
      <c r="A347" s="1650" t="s">
        <v>2343</v>
      </c>
      <c r="B347" s="1649" t="s">
        <v>3827</v>
      </c>
      <c r="C347" s="1650" t="s">
        <v>115</v>
      </c>
      <c r="D347" s="1654" t="s">
        <v>115</v>
      </c>
      <c r="E347" s="1650" t="s">
        <v>115</v>
      </c>
      <c r="F347" s="1654" t="s">
        <v>115</v>
      </c>
      <c r="G347" s="1650" t="s">
        <v>115</v>
      </c>
      <c r="H347" s="1654" t="s">
        <v>115</v>
      </c>
      <c r="I347" s="1650" t="s">
        <v>115</v>
      </c>
      <c r="J347" s="1654">
        <v>700</v>
      </c>
      <c r="K347" s="1655" t="s">
        <v>1247</v>
      </c>
      <c r="L347" t="str">
        <f t="shared" si="15"/>
        <v/>
      </c>
      <c r="M347" t="str">
        <f t="shared" si="16"/>
        <v/>
      </c>
      <c r="N347" t="str">
        <f t="shared" si="17"/>
        <v>--</v>
      </c>
    </row>
    <row r="348" spans="1:14">
      <c r="A348" s="1650" t="s">
        <v>2345</v>
      </c>
      <c r="B348" s="1649" t="s">
        <v>3828</v>
      </c>
      <c r="C348" s="1650" t="s">
        <v>115</v>
      </c>
      <c r="D348" s="1654" t="s">
        <v>115</v>
      </c>
      <c r="E348" s="1650" t="s">
        <v>115</v>
      </c>
      <c r="F348" s="1654" t="s">
        <v>115</v>
      </c>
      <c r="G348" s="1650" t="s">
        <v>115</v>
      </c>
      <c r="H348" s="1654">
        <v>0.08</v>
      </c>
      <c r="I348" s="1650" t="s">
        <v>1277</v>
      </c>
      <c r="J348" s="1654">
        <v>320</v>
      </c>
      <c r="K348" s="1655" t="s">
        <v>3598</v>
      </c>
      <c r="L348" t="str">
        <f t="shared" si="15"/>
        <v/>
      </c>
      <c r="M348" t="str">
        <f t="shared" si="16"/>
        <v>Route RfC</v>
      </c>
      <c r="N348" t="str">
        <f t="shared" si="17"/>
        <v>Route RfC</v>
      </c>
    </row>
    <row r="349" spans="1:14">
      <c r="A349" s="1650" t="s">
        <v>3829</v>
      </c>
      <c r="B349" s="1649" t="s">
        <v>3830</v>
      </c>
      <c r="C349" s="1650" t="s">
        <v>115</v>
      </c>
      <c r="D349" s="1654" t="s">
        <v>115</v>
      </c>
      <c r="E349" s="1650" t="s">
        <v>115</v>
      </c>
      <c r="F349" s="1654" t="s">
        <v>115</v>
      </c>
      <c r="G349" s="1650" t="s">
        <v>115</v>
      </c>
      <c r="H349" s="1654">
        <v>49</v>
      </c>
      <c r="I349" s="1650" t="s">
        <v>1247</v>
      </c>
      <c r="J349" s="1654" t="s">
        <v>115</v>
      </c>
      <c r="K349" s="1655" t="s">
        <v>115</v>
      </c>
      <c r="L349" t="str">
        <f t="shared" si="15"/>
        <v/>
      </c>
      <c r="M349" t="str">
        <f t="shared" si="16"/>
        <v/>
      </c>
      <c r="N349" t="str">
        <f t="shared" si="17"/>
        <v>--</v>
      </c>
    </row>
    <row r="350" spans="1:14">
      <c r="A350" s="1650" t="s">
        <v>2348</v>
      </c>
      <c r="B350" s="1649" t="s">
        <v>2349</v>
      </c>
      <c r="C350" s="1650" t="s">
        <v>115</v>
      </c>
      <c r="D350" s="1654" t="s">
        <v>115</v>
      </c>
      <c r="E350" s="1650" t="s">
        <v>115</v>
      </c>
      <c r="F350" s="1654" t="s">
        <v>115</v>
      </c>
      <c r="G350" s="1650" t="s">
        <v>115</v>
      </c>
      <c r="H350" s="1654">
        <v>2.1999999999999999E-2</v>
      </c>
      <c r="I350" s="1650" t="s">
        <v>3663</v>
      </c>
      <c r="J350" s="1654" t="s">
        <v>115</v>
      </c>
      <c r="K350" s="1655" t="s">
        <v>115</v>
      </c>
      <c r="L350" t="str">
        <f t="shared" si="15"/>
        <v/>
      </c>
      <c r="M350" t="str">
        <f t="shared" si="16"/>
        <v/>
      </c>
      <c r="N350" t="str">
        <f t="shared" si="17"/>
        <v>--</v>
      </c>
    </row>
    <row r="351" spans="1:14">
      <c r="A351" s="1650" t="s">
        <v>2350</v>
      </c>
      <c r="B351" s="1649" t="s">
        <v>2351</v>
      </c>
      <c r="C351" s="1650" t="s">
        <v>115</v>
      </c>
      <c r="D351" s="1654" t="s">
        <v>115</v>
      </c>
      <c r="E351" s="1650" t="s">
        <v>115</v>
      </c>
      <c r="F351" s="1654" t="s">
        <v>115</v>
      </c>
      <c r="G351" s="1650" t="s">
        <v>115</v>
      </c>
      <c r="H351" s="1654">
        <v>2.2000000000000001E-3</v>
      </c>
      <c r="I351" s="1650" t="s">
        <v>3663</v>
      </c>
      <c r="J351" s="1654" t="s">
        <v>115</v>
      </c>
      <c r="K351" s="1655" t="s">
        <v>115</v>
      </c>
      <c r="L351" t="str">
        <f t="shared" si="15"/>
        <v/>
      </c>
      <c r="M351" t="str">
        <f t="shared" si="16"/>
        <v/>
      </c>
      <c r="N351" t="str">
        <f t="shared" si="17"/>
        <v>--</v>
      </c>
    </row>
    <row r="352" spans="1:14">
      <c r="A352" s="1650" t="s">
        <v>2356</v>
      </c>
      <c r="B352" s="1649" t="s">
        <v>2357</v>
      </c>
      <c r="C352" s="1650" t="s">
        <v>115</v>
      </c>
      <c r="D352" s="1654">
        <v>1.6999999999999999E-3</v>
      </c>
      <c r="E352" s="1650" t="s">
        <v>1247</v>
      </c>
      <c r="F352" s="1654" t="s">
        <v>115</v>
      </c>
      <c r="G352" s="1650" t="s">
        <v>115</v>
      </c>
      <c r="H352" s="1654">
        <v>0.06</v>
      </c>
      <c r="I352" s="1650" t="s">
        <v>1247</v>
      </c>
      <c r="J352" s="1654" t="s">
        <v>115</v>
      </c>
      <c r="K352" s="1655" t="s">
        <v>115</v>
      </c>
      <c r="L352" t="str">
        <f t="shared" si="15"/>
        <v/>
      </c>
      <c r="M352" t="str">
        <f t="shared" si="16"/>
        <v/>
      </c>
      <c r="N352" t="str">
        <f t="shared" si="17"/>
        <v>--</v>
      </c>
    </row>
    <row r="353" spans="1:14">
      <c r="A353" s="1650" t="s">
        <v>3121</v>
      </c>
      <c r="B353" s="1649" t="s">
        <v>3831</v>
      </c>
      <c r="C353" s="1650" t="s">
        <v>115</v>
      </c>
      <c r="D353" s="1654" t="s">
        <v>115</v>
      </c>
      <c r="E353" s="1650" t="s">
        <v>115</v>
      </c>
      <c r="F353" s="1654" t="s">
        <v>115</v>
      </c>
      <c r="G353" s="1650" t="s">
        <v>115</v>
      </c>
      <c r="H353" s="1654">
        <v>0.1</v>
      </c>
      <c r="I353" s="1650" t="s">
        <v>1277</v>
      </c>
      <c r="J353" s="1654">
        <v>400</v>
      </c>
      <c r="K353" s="1655" t="s">
        <v>3598</v>
      </c>
      <c r="L353" t="str">
        <f t="shared" si="15"/>
        <v/>
      </c>
      <c r="M353" t="str">
        <f t="shared" si="16"/>
        <v>Route RfC</v>
      </c>
      <c r="N353" t="str">
        <f t="shared" si="17"/>
        <v>Route RfC</v>
      </c>
    </row>
    <row r="354" spans="1:14">
      <c r="A354" s="1650" t="s">
        <v>2379</v>
      </c>
      <c r="B354" s="1649" t="s">
        <v>2380</v>
      </c>
      <c r="C354" s="1650" t="s">
        <v>115</v>
      </c>
      <c r="D354" s="1654">
        <v>4.4999999999999998E-2</v>
      </c>
      <c r="E354" s="1650" t="s">
        <v>1234</v>
      </c>
      <c r="F354" s="1654">
        <v>1.2999999999999999E-5</v>
      </c>
      <c r="G354" s="1650" t="s">
        <v>1234</v>
      </c>
      <c r="H354" s="1654" t="s">
        <v>115</v>
      </c>
      <c r="I354" s="1650" t="s">
        <v>115</v>
      </c>
      <c r="J354" s="1654" t="s">
        <v>115</v>
      </c>
      <c r="K354" s="1655" t="s">
        <v>115</v>
      </c>
      <c r="L354" t="str">
        <f t="shared" si="15"/>
        <v/>
      </c>
      <c r="M354" t="str">
        <f t="shared" si="16"/>
        <v/>
      </c>
      <c r="N354" t="str">
        <f t="shared" si="17"/>
        <v>--</v>
      </c>
    </row>
    <row r="355" spans="1:14">
      <c r="A355" s="1650" t="s">
        <v>3118</v>
      </c>
      <c r="B355" s="1649" t="s">
        <v>3832</v>
      </c>
      <c r="C355" s="1650" t="s">
        <v>115</v>
      </c>
      <c r="D355" s="1654" t="s">
        <v>115</v>
      </c>
      <c r="E355" s="1650" t="s">
        <v>115</v>
      </c>
      <c r="F355" s="1654" t="s">
        <v>115</v>
      </c>
      <c r="G355" s="1650" t="s">
        <v>115</v>
      </c>
      <c r="H355" s="1654">
        <v>0.1</v>
      </c>
      <c r="I355" s="1650" t="s">
        <v>1277</v>
      </c>
      <c r="J355" s="1654" t="s">
        <v>115</v>
      </c>
      <c r="K355" s="1655" t="s">
        <v>115</v>
      </c>
      <c r="L355" t="str">
        <f t="shared" si="15"/>
        <v/>
      </c>
      <c r="M355" t="str">
        <f t="shared" si="16"/>
        <v/>
      </c>
      <c r="N355" t="str">
        <f t="shared" si="17"/>
        <v>--</v>
      </c>
    </row>
    <row r="356" spans="1:14">
      <c r="A356" s="1650" t="s">
        <v>2403</v>
      </c>
      <c r="B356" s="1649" t="s">
        <v>3833</v>
      </c>
      <c r="C356" s="1650" t="s">
        <v>115</v>
      </c>
      <c r="D356" s="1654">
        <v>0.45</v>
      </c>
      <c r="E356" s="1650" t="s">
        <v>3603</v>
      </c>
      <c r="F356" s="1654" t="s">
        <v>115</v>
      </c>
      <c r="G356" s="1650" t="s">
        <v>115</v>
      </c>
      <c r="H356" s="1654">
        <v>8.9999999999999998E-4</v>
      </c>
      <c r="I356" s="1650" t="s">
        <v>3603</v>
      </c>
      <c r="J356" s="1654" t="s">
        <v>115</v>
      </c>
      <c r="K356" s="1655" t="s">
        <v>115</v>
      </c>
      <c r="L356" t="str">
        <f t="shared" si="15"/>
        <v/>
      </c>
      <c r="M356" t="str">
        <f t="shared" si="16"/>
        <v/>
      </c>
      <c r="N356" t="str">
        <f t="shared" si="17"/>
        <v>--</v>
      </c>
    </row>
    <row r="357" spans="1:14">
      <c r="A357" s="1650" t="s">
        <v>3123</v>
      </c>
      <c r="B357" s="1649" t="s">
        <v>3834</v>
      </c>
      <c r="C357" s="1650" t="s">
        <v>115</v>
      </c>
      <c r="D357" s="1654" t="s">
        <v>115</v>
      </c>
      <c r="E357" s="1650" t="s">
        <v>115</v>
      </c>
      <c r="F357" s="1654" t="s">
        <v>115</v>
      </c>
      <c r="G357" s="1650" t="s">
        <v>115</v>
      </c>
      <c r="H357" s="1654">
        <v>0.01</v>
      </c>
      <c r="I357" s="1650" t="s">
        <v>1247</v>
      </c>
      <c r="J357" s="1654" t="s">
        <v>115</v>
      </c>
      <c r="K357" s="1655" t="s">
        <v>115</v>
      </c>
      <c r="L357" t="str">
        <f t="shared" si="15"/>
        <v/>
      </c>
      <c r="M357" t="str">
        <f t="shared" si="16"/>
        <v/>
      </c>
      <c r="N357" t="str">
        <f t="shared" si="17"/>
        <v>--</v>
      </c>
    </row>
    <row r="358" spans="1:14">
      <c r="A358" s="1650" t="s">
        <v>2405</v>
      </c>
      <c r="B358" s="1649" t="s">
        <v>2406</v>
      </c>
      <c r="C358" s="1650" t="s">
        <v>115</v>
      </c>
      <c r="D358" s="1654" t="s">
        <v>115</v>
      </c>
      <c r="E358" s="1650" t="s">
        <v>115</v>
      </c>
      <c r="F358" s="1654" t="s">
        <v>115</v>
      </c>
      <c r="G358" s="1650" t="s">
        <v>115</v>
      </c>
      <c r="H358" s="1654">
        <v>1E-3</v>
      </c>
      <c r="I358" s="1650" t="s">
        <v>1277</v>
      </c>
      <c r="J358" s="1654" t="s">
        <v>115</v>
      </c>
      <c r="K358" s="1655" t="s">
        <v>115</v>
      </c>
      <c r="L358" t="str">
        <f t="shared" si="15"/>
        <v/>
      </c>
      <c r="M358" t="str">
        <f t="shared" si="16"/>
        <v/>
      </c>
      <c r="N358" t="str">
        <f t="shared" si="17"/>
        <v>--</v>
      </c>
    </row>
    <row r="359" spans="1:14">
      <c r="A359" s="1650" t="s">
        <v>2412</v>
      </c>
      <c r="B359" s="1649" t="s">
        <v>2413</v>
      </c>
      <c r="C359" s="1650" t="s">
        <v>115</v>
      </c>
      <c r="D359" s="1654" t="s">
        <v>115</v>
      </c>
      <c r="E359" s="1650" t="s">
        <v>115</v>
      </c>
      <c r="F359" s="1654" t="s">
        <v>115</v>
      </c>
      <c r="G359" s="1650" t="s">
        <v>115</v>
      </c>
      <c r="H359" s="1654">
        <v>0.03</v>
      </c>
      <c r="I359" s="1650" t="s">
        <v>1277</v>
      </c>
      <c r="J359" s="1654" t="s">
        <v>115</v>
      </c>
      <c r="K359" s="1655" t="s">
        <v>115</v>
      </c>
      <c r="L359" t="str">
        <f t="shared" si="15"/>
        <v/>
      </c>
      <c r="M359" t="str">
        <f t="shared" si="16"/>
        <v/>
      </c>
      <c r="N359" t="str">
        <f t="shared" si="17"/>
        <v>--</v>
      </c>
    </row>
    <row r="360" spans="1:14">
      <c r="A360" s="1650" t="s">
        <v>2414</v>
      </c>
      <c r="B360" s="1649" t="s">
        <v>2415</v>
      </c>
      <c r="C360" s="1650" t="s">
        <v>115</v>
      </c>
      <c r="D360" s="1654" t="s">
        <v>115</v>
      </c>
      <c r="E360" s="1650" t="s">
        <v>115</v>
      </c>
      <c r="F360" s="1654" t="s">
        <v>115</v>
      </c>
      <c r="G360" s="1650" t="s">
        <v>115</v>
      </c>
      <c r="H360" s="1654" t="s">
        <v>115</v>
      </c>
      <c r="I360" s="1650" t="s">
        <v>115</v>
      </c>
      <c r="J360" s="1654">
        <v>0.4</v>
      </c>
      <c r="K360" s="1655" t="s">
        <v>3603</v>
      </c>
      <c r="L360" t="str">
        <f t="shared" si="15"/>
        <v/>
      </c>
      <c r="M360" t="str">
        <f t="shared" si="16"/>
        <v/>
      </c>
      <c r="N360" t="str">
        <f t="shared" si="17"/>
        <v>--</v>
      </c>
    </row>
    <row r="361" spans="1:14">
      <c r="A361" s="1650" t="s">
        <v>2416</v>
      </c>
      <c r="B361" s="1649" t="s">
        <v>2417</v>
      </c>
      <c r="C361" s="1650" t="s">
        <v>115</v>
      </c>
      <c r="D361" s="1654" t="s">
        <v>115</v>
      </c>
      <c r="E361" s="1650" t="s">
        <v>115</v>
      </c>
      <c r="F361" s="1654" t="s">
        <v>115</v>
      </c>
      <c r="G361" s="1650" t="s">
        <v>115</v>
      </c>
      <c r="H361" s="1654">
        <v>8.0000000000000004E-4</v>
      </c>
      <c r="I361" s="1650" t="s">
        <v>3603</v>
      </c>
      <c r="J361" s="1654" t="s">
        <v>115</v>
      </c>
      <c r="K361" s="1655" t="s">
        <v>115</v>
      </c>
      <c r="L361" t="str">
        <f t="shared" si="15"/>
        <v/>
      </c>
      <c r="M361" t="str">
        <f t="shared" si="16"/>
        <v/>
      </c>
      <c r="N361" t="str">
        <f t="shared" si="17"/>
        <v>--</v>
      </c>
    </row>
    <row r="362" spans="1:14">
      <c r="A362" s="1650" t="s">
        <v>2418</v>
      </c>
      <c r="B362" s="1649" t="s">
        <v>2419</v>
      </c>
      <c r="C362" s="1650" t="s">
        <v>115</v>
      </c>
      <c r="D362" s="1654" t="s">
        <v>115</v>
      </c>
      <c r="E362" s="1650" t="s">
        <v>115</v>
      </c>
      <c r="F362" s="1654" t="s">
        <v>115</v>
      </c>
      <c r="G362" s="1650" t="s">
        <v>115</v>
      </c>
      <c r="H362" s="1654">
        <v>0.1</v>
      </c>
      <c r="I362" s="1650" t="s">
        <v>3663</v>
      </c>
      <c r="J362" s="1654" t="s">
        <v>115</v>
      </c>
      <c r="K362" s="1655" t="s">
        <v>115</v>
      </c>
      <c r="L362" t="str">
        <f t="shared" si="15"/>
        <v/>
      </c>
      <c r="M362" t="str">
        <f t="shared" si="16"/>
        <v/>
      </c>
      <c r="N362" t="str">
        <f t="shared" si="17"/>
        <v>--</v>
      </c>
    </row>
    <row r="363" spans="1:14">
      <c r="A363" s="1650" t="s">
        <v>2805</v>
      </c>
      <c r="B363" s="1649" t="s">
        <v>3835</v>
      </c>
      <c r="C363" s="1650" t="s">
        <v>115</v>
      </c>
      <c r="D363" s="1654" t="s">
        <v>115</v>
      </c>
      <c r="E363" s="1650" t="s">
        <v>115</v>
      </c>
      <c r="F363" s="1654" t="s">
        <v>115</v>
      </c>
      <c r="G363" s="1650" t="s">
        <v>115</v>
      </c>
      <c r="H363" s="1654">
        <v>2.9999999999999997E-4</v>
      </c>
      <c r="I363" s="1650" t="s">
        <v>3603</v>
      </c>
      <c r="J363" s="1654" t="s">
        <v>115</v>
      </c>
      <c r="K363" s="1655" t="s">
        <v>115</v>
      </c>
      <c r="L363" t="str">
        <f t="shared" si="15"/>
        <v/>
      </c>
      <c r="M363" t="str">
        <f t="shared" si="16"/>
        <v/>
      </c>
      <c r="N363" t="str">
        <f t="shared" si="17"/>
        <v>--</v>
      </c>
    </row>
    <row r="364" spans="1:14">
      <c r="A364" s="1656">
        <v>2139900</v>
      </c>
      <c r="B364" s="1649" t="s">
        <v>3836</v>
      </c>
      <c r="C364" s="1650" t="s">
        <v>115</v>
      </c>
      <c r="D364" s="1654" t="s">
        <v>115</v>
      </c>
      <c r="E364" s="1650" t="s">
        <v>115</v>
      </c>
      <c r="F364" s="1654" t="s">
        <v>115</v>
      </c>
      <c r="G364" s="1650" t="s">
        <v>115</v>
      </c>
      <c r="H364" s="1654">
        <v>1</v>
      </c>
      <c r="I364" s="1650" t="s">
        <v>1247</v>
      </c>
      <c r="J364" s="1654" t="s">
        <v>115</v>
      </c>
      <c r="K364" s="1655" t="s">
        <v>115</v>
      </c>
      <c r="L364" t="str">
        <f t="shared" si="15"/>
        <v/>
      </c>
      <c r="M364" t="str">
        <f t="shared" si="16"/>
        <v/>
      </c>
      <c r="N364" t="str">
        <f t="shared" si="17"/>
        <v>--</v>
      </c>
    </row>
    <row r="365" spans="1:14">
      <c r="A365" s="1650" t="s">
        <v>2422</v>
      </c>
      <c r="B365" s="1649" t="s">
        <v>2423</v>
      </c>
      <c r="C365" s="1650" t="s">
        <v>115</v>
      </c>
      <c r="D365" s="1654" t="s">
        <v>115</v>
      </c>
      <c r="E365" s="1650" t="s">
        <v>115</v>
      </c>
      <c r="F365" s="1654" t="s">
        <v>115</v>
      </c>
      <c r="G365" s="1650" t="s">
        <v>115</v>
      </c>
      <c r="H365" s="1654">
        <v>2.2000000000000001E-3</v>
      </c>
      <c r="I365" s="1650" t="s">
        <v>1277</v>
      </c>
      <c r="J365" s="1654" t="s">
        <v>115</v>
      </c>
      <c r="K365" s="1655" t="s">
        <v>115</v>
      </c>
      <c r="L365" t="str">
        <f t="shared" si="15"/>
        <v/>
      </c>
      <c r="M365" t="str">
        <f t="shared" si="16"/>
        <v/>
      </c>
      <c r="N365" t="str">
        <f t="shared" si="17"/>
        <v>--</v>
      </c>
    </row>
    <row r="366" spans="1:14">
      <c r="A366" s="1650" t="s">
        <v>2424</v>
      </c>
      <c r="B366" s="1649" t="s">
        <v>2425</v>
      </c>
      <c r="C366" s="1650" t="s">
        <v>115</v>
      </c>
      <c r="D366" s="1654">
        <v>7.4</v>
      </c>
      <c r="E366" s="1650" t="s">
        <v>1234</v>
      </c>
      <c r="F366" s="1654">
        <v>2.0999999999999999E-3</v>
      </c>
      <c r="G366" s="1650" t="s">
        <v>1234</v>
      </c>
      <c r="H366" s="1654" t="s">
        <v>115</v>
      </c>
      <c r="I366" s="1650" t="s">
        <v>115</v>
      </c>
      <c r="J366" s="1654" t="s">
        <v>115</v>
      </c>
      <c r="K366" s="1655" t="s">
        <v>115</v>
      </c>
      <c r="L366" t="str">
        <f t="shared" si="15"/>
        <v/>
      </c>
      <c r="M366" t="str">
        <f t="shared" si="16"/>
        <v/>
      </c>
      <c r="N366" t="str">
        <f t="shared" si="17"/>
        <v>--</v>
      </c>
    </row>
    <row r="367" spans="1:14">
      <c r="A367" s="1650" t="s">
        <v>2426</v>
      </c>
      <c r="B367" s="1649" t="s">
        <v>2427</v>
      </c>
      <c r="C367" s="1650" t="s">
        <v>115</v>
      </c>
      <c r="D367" s="1654">
        <v>7.4</v>
      </c>
      <c r="E367" s="1650" t="s">
        <v>1234</v>
      </c>
      <c r="F367" s="1654">
        <v>2.0999999999999999E-3</v>
      </c>
      <c r="G367" s="1650" t="s">
        <v>1234</v>
      </c>
      <c r="H367" s="1654" t="s">
        <v>115</v>
      </c>
      <c r="I367" s="1650" t="s">
        <v>115</v>
      </c>
      <c r="J367" s="1654" t="s">
        <v>115</v>
      </c>
      <c r="K367" s="1655" t="s">
        <v>115</v>
      </c>
      <c r="L367" t="str">
        <f t="shared" si="15"/>
        <v/>
      </c>
      <c r="M367" t="str">
        <f t="shared" si="16"/>
        <v/>
      </c>
      <c r="N367" t="str">
        <f t="shared" si="17"/>
        <v>--</v>
      </c>
    </row>
    <row r="368" spans="1:14">
      <c r="A368" s="1650" t="s">
        <v>2428</v>
      </c>
      <c r="B368" s="1649" t="s">
        <v>2429</v>
      </c>
      <c r="C368" s="1650" t="s">
        <v>115</v>
      </c>
      <c r="D368" s="1654">
        <v>6.7</v>
      </c>
      <c r="E368" s="1650" t="s">
        <v>1234</v>
      </c>
      <c r="F368" s="1654">
        <v>1.9E-3</v>
      </c>
      <c r="G368" s="1650" t="s">
        <v>1234</v>
      </c>
      <c r="H368" s="1654" t="s">
        <v>115</v>
      </c>
      <c r="I368" s="1650" t="s">
        <v>115</v>
      </c>
      <c r="J368" s="1654" t="s">
        <v>115</v>
      </c>
      <c r="K368" s="1655" t="s">
        <v>115</v>
      </c>
      <c r="L368" t="str">
        <f t="shared" si="15"/>
        <v/>
      </c>
      <c r="M368" t="str">
        <f t="shared" si="16"/>
        <v/>
      </c>
      <c r="N368" t="str">
        <f t="shared" si="17"/>
        <v>--</v>
      </c>
    </row>
    <row r="369" spans="1:14">
      <c r="A369" s="1650" t="s">
        <v>3056</v>
      </c>
      <c r="B369" s="1649" t="s">
        <v>3837</v>
      </c>
      <c r="C369" s="1650" t="s">
        <v>115</v>
      </c>
      <c r="D369" s="1654" t="s">
        <v>115</v>
      </c>
      <c r="E369" s="1650" t="s">
        <v>115</v>
      </c>
      <c r="F369" s="1654" t="s">
        <v>115</v>
      </c>
      <c r="G369" s="1650" t="s">
        <v>115</v>
      </c>
      <c r="H369" s="1654">
        <v>1</v>
      </c>
      <c r="I369" s="1650" t="s">
        <v>1247</v>
      </c>
      <c r="J369" s="1654" t="s">
        <v>115</v>
      </c>
      <c r="K369" s="1655" t="s">
        <v>115</v>
      </c>
      <c r="L369" t="str">
        <f t="shared" si="15"/>
        <v/>
      </c>
      <c r="M369" t="str">
        <f t="shared" si="16"/>
        <v/>
      </c>
      <c r="N369" t="str">
        <f t="shared" si="17"/>
        <v>--</v>
      </c>
    </row>
    <row r="370" spans="1:14">
      <c r="A370" s="1650" t="s">
        <v>2430</v>
      </c>
      <c r="B370" s="1649" t="s">
        <v>2431</v>
      </c>
      <c r="C370" s="1650" t="s">
        <v>115</v>
      </c>
      <c r="D370" s="1654" t="s">
        <v>115</v>
      </c>
      <c r="E370" s="1650" t="s">
        <v>115</v>
      </c>
      <c r="F370" s="1654" t="s">
        <v>115</v>
      </c>
      <c r="G370" s="1650" t="s">
        <v>115</v>
      </c>
      <c r="H370" s="1654">
        <v>4.0000000000000003E-5</v>
      </c>
      <c r="I370" s="1650" t="s">
        <v>1277</v>
      </c>
      <c r="J370" s="1654" t="s">
        <v>115</v>
      </c>
      <c r="K370" s="1655" t="s">
        <v>115</v>
      </c>
      <c r="L370" t="str">
        <f t="shared" si="15"/>
        <v/>
      </c>
      <c r="M370" t="str">
        <f t="shared" si="16"/>
        <v/>
      </c>
      <c r="N370" t="str">
        <f t="shared" si="17"/>
        <v>--</v>
      </c>
    </row>
    <row r="371" spans="1:14">
      <c r="A371" s="1650" t="s">
        <v>2434</v>
      </c>
      <c r="B371" s="1649" t="s">
        <v>2435</v>
      </c>
      <c r="C371" s="1650" t="s">
        <v>115</v>
      </c>
      <c r="D371" s="1654" t="s">
        <v>115</v>
      </c>
      <c r="E371" s="1650" t="s">
        <v>115</v>
      </c>
      <c r="F371" s="1654" t="s">
        <v>115</v>
      </c>
      <c r="G371" s="1650" t="s">
        <v>115</v>
      </c>
      <c r="H371" s="1654">
        <v>2E-3</v>
      </c>
      <c r="I371" s="1650" t="s">
        <v>1277</v>
      </c>
      <c r="J371" s="1654" t="s">
        <v>115</v>
      </c>
      <c r="K371" s="1655" t="s">
        <v>115</v>
      </c>
      <c r="L371" t="str">
        <f t="shared" si="15"/>
        <v/>
      </c>
      <c r="M371" t="str">
        <f t="shared" si="16"/>
        <v/>
      </c>
      <c r="N371" t="str">
        <f t="shared" si="17"/>
        <v>--</v>
      </c>
    </row>
    <row r="372" spans="1:14">
      <c r="A372" s="1656">
        <v>197143</v>
      </c>
      <c r="B372" s="1649" t="s">
        <v>2437</v>
      </c>
      <c r="C372" s="1650" t="s">
        <v>115</v>
      </c>
      <c r="D372" s="1654" t="s">
        <v>115</v>
      </c>
      <c r="E372" s="1650" t="s">
        <v>115</v>
      </c>
      <c r="F372" s="1654" t="s">
        <v>115</v>
      </c>
      <c r="G372" s="1650" t="s">
        <v>115</v>
      </c>
      <c r="H372" s="1654">
        <v>0.02</v>
      </c>
      <c r="I372" s="1650" t="s">
        <v>3663</v>
      </c>
      <c r="J372" s="1654" t="s">
        <v>115</v>
      </c>
      <c r="K372" s="1655" t="s">
        <v>115</v>
      </c>
      <c r="L372" t="str">
        <f t="shared" si="15"/>
        <v/>
      </c>
      <c r="M372" t="str">
        <f t="shared" si="16"/>
        <v/>
      </c>
      <c r="N372" t="str">
        <f t="shared" si="17"/>
        <v>--</v>
      </c>
    </row>
    <row r="373" spans="1:14">
      <c r="A373" s="1650" t="s">
        <v>194</v>
      </c>
      <c r="B373" s="1649" t="s">
        <v>193</v>
      </c>
      <c r="C373" s="1650" t="s">
        <v>115</v>
      </c>
      <c r="D373" s="1654" t="s">
        <v>115</v>
      </c>
      <c r="E373" s="1650" t="s">
        <v>115</v>
      </c>
      <c r="F373" s="1654" t="s">
        <v>115</v>
      </c>
      <c r="G373" s="1650" t="s">
        <v>115</v>
      </c>
      <c r="H373" s="1654">
        <v>6.0000000000000001E-3</v>
      </c>
      <c r="I373" s="1650" t="s">
        <v>1277</v>
      </c>
      <c r="J373" s="1654">
        <v>24</v>
      </c>
      <c r="K373" s="1655" t="s">
        <v>3598</v>
      </c>
      <c r="L373" t="str">
        <f t="shared" si="15"/>
        <v/>
      </c>
      <c r="M373" t="str">
        <f t="shared" si="16"/>
        <v>Route RfC</v>
      </c>
      <c r="N373" t="str">
        <f t="shared" si="17"/>
        <v>Route RfC</v>
      </c>
    </row>
    <row r="374" spans="1:14">
      <c r="A374" s="1650" t="s">
        <v>2442</v>
      </c>
      <c r="B374" s="1649" t="s">
        <v>2443</v>
      </c>
      <c r="C374" s="1650" t="s">
        <v>115</v>
      </c>
      <c r="D374" s="1654" t="s">
        <v>115</v>
      </c>
      <c r="E374" s="1650" t="s">
        <v>115</v>
      </c>
      <c r="F374" s="1654" t="s">
        <v>115</v>
      </c>
      <c r="G374" s="1650" t="s">
        <v>115</v>
      </c>
      <c r="H374" s="1654">
        <v>0.02</v>
      </c>
      <c r="I374" s="1650" t="s">
        <v>1277</v>
      </c>
      <c r="J374" s="1654" t="s">
        <v>115</v>
      </c>
      <c r="K374" s="1655" t="s">
        <v>115</v>
      </c>
      <c r="L374" t="str">
        <f t="shared" si="15"/>
        <v/>
      </c>
      <c r="M374" t="str">
        <f t="shared" si="16"/>
        <v/>
      </c>
      <c r="N374" t="str">
        <f t="shared" si="17"/>
        <v>--</v>
      </c>
    </row>
    <row r="375" spans="1:14">
      <c r="A375" s="1650" t="s">
        <v>196</v>
      </c>
      <c r="B375" s="1649" t="s">
        <v>195</v>
      </c>
      <c r="C375" s="1650" t="s">
        <v>115</v>
      </c>
      <c r="D375" s="1654" t="s">
        <v>115</v>
      </c>
      <c r="E375" s="1650" t="s">
        <v>115</v>
      </c>
      <c r="F375" s="1654" t="s">
        <v>115</v>
      </c>
      <c r="G375" s="1650" t="s">
        <v>115</v>
      </c>
      <c r="H375" s="1654">
        <v>2.9999999999999997E-4</v>
      </c>
      <c r="I375" s="1650" t="s">
        <v>1277</v>
      </c>
      <c r="J375" s="1654" t="s">
        <v>115</v>
      </c>
      <c r="K375" s="1655" t="s">
        <v>115</v>
      </c>
      <c r="L375" t="str">
        <f t="shared" si="15"/>
        <v/>
      </c>
      <c r="M375" t="str">
        <f t="shared" si="16"/>
        <v/>
      </c>
      <c r="N375" t="str">
        <f t="shared" si="17"/>
        <v>--</v>
      </c>
    </row>
    <row r="376" spans="1:14">
      <c r="A376" s="1650" t="s">
        <v>2444</v>
      </c>
      <c r="B376" s="1649" t="s">
        <v>2445</v>
      </c>
      <c r="C376" s="1650" t="s">
        <v>115</v>
      </c>
      <c r="D376" s="1654">
        <v>0.08</v>
      </c>
      <c r="E376" s="1650" t="s">
        <v>3600</v>
      </c>
      <c r="F376" s="1654">
        <v>2.3E-5</v>
      </c>
      <c r="G376" s="1650" t="s">
        <v>3600</v>
      </c>
      <c r="H376" s="1654">
        <v>6.0000000000000001E-3</v>
      </c>
      <c r="I376" s="1650" t="s">
        <v>1247</v>
      </c>
      <c r="J376" s="1654">
        <v>1</v>
      </c>
      <c r="K376" s="1655" t="s">
        <v>1277</v>
      </c>
      <c r="L376" t="str">
        <f t="shared" si="15"/>
        <v/>
      </c>
      <c r="M376" t="str">
        <f t="shared" si="16"/>
        <v/>
      </c>
      <c r="N376" t="str">
        <f t="shared" si="17"/>
        <v>--</v>
      </c>
    </row>
    <row r="377" spans="1:14">
      <c r="A377" s="1650" t="s">
        <v>2450</v>
      </c>
      <c r="B377" s="1649" t="s">
        <v>2451</v>
      </c>
      <c r="C377" s="1650" t="s">
        <v>115</v>
      </c>
      <c r="D377" s="1654" t="s">
        <v>115</v>
      </c>
      <c r="E377" s="1650" t="s">
        <v>115</v>
      </c>
      <c r="F377" s="1654" t="s">
        <v>115</v>
      </c>
      <c r="G377" s="1650" t="s">
        <v>115</v>
      </c>
      <c r="H377" s="1654">
        <v>5.0000000000000001E-3</v>
      </c>
      <c r="I377" s="1650" t="s">
        <v>1277</v>
      </c>
      <c r="J377" s="1654" t="s">
        <v>115</v>
      </c>
      <c r="K377" s="1655" t="s">
        <v>115</v>
      </c>
      <c r="L377" t="str">
        <f t="shared" si="15"/>
        <v/>
      </c>
      <c r="M377" t="str">
        <f t="shared" si="16"/>
        <v/>
      </c>
      <c r="N377" t="str">
        <f t="shared" si="17"/>
        <v>--</v>
      </c>
    </row>
    <row r="378" spans="1:14">
      <c r="A378" s="1650" t="s">
        <v>2452</v>
      </c>
      <c r="B378" s="1649" t="s">
        <v>2453</v>
      </c>
      <c r="C378" s="1650" t="s">
        <v>115</v>
      </c>
      <c r="D378" s="1654" t="s">
        <v>115</v>
      </c>
      <c r="E378" s="1650" t="s">
        <v>115</v>
      </c>
      <c r="F378" s="1654" t="s">
        <v>115</v>
      </c>
      <c r="G378" s="1650" t="s">
        <v>115</v>
      </c>
      <c r="H378" s="1654">
        <v>5.0000000000000001E-4</v>
      </c>
      <c r="I378" s="1650" t="s">
        <v>1277</v>
      </c>
      <c r="J378" s="1654" t="s">
        <v>115</v>
      </c>
      <c r="K378" s="1655" t="s">
        <v>115</v>
      </c>
      <c r="L378" t="str">
        <f t="shared" si="15"/>
        <v/>
      </c>
      <c r="M378" t="str">
        <f t="shared" si="16"/>
        <v/>
      </c>
      <c r="N378" t="str">
        <f t="shared" si="17"/>
        <v>--</v>
      </c>
    </row>
    <row r="379" spans="1:14">
      <c r="A379" s="1650" t="s">
        <v>2458</v>
      </c>
      <c r="B379" s="1649" t="s">
        <v>3838</v>
      </c>
      <c r="C379" s="1650" t="s">
        <v>115</v>
      </c>
      <c r="D379" s="1654" t="s">
        <v>115</v>
      </c>
      <c r="E379" s="1650" t="s">
        <v>115</v>
      </c>
      <c r="F379" s="1654" t="s">
        <v>115</v>
      </c>
      <c r="G379" s="1650" t="s">
        <v>115</v>
      </c>
      <c r="H379" s="1654">
        <v>0.7</v>
      </c>
      <c r="I379" s="1650" t="s">
        <v>1247</v>
      </c>
      <c r="J379" s="1654">
        <v>70</v>
      </c>
      <c r="K379" s="1655" t="s">
        <v>1247</v>
      </c>
      <c r="L379" t="str">
        <f t="shared" si="15"/>
        <v/>
      </c>
      <c r="M379" t="str">
        <f t="shared" si="16"/>
        <v/>
      </c>
      <c r="N379" t="str">
        <f t="shared" si="17"/>
        <v>--</v>
      </c>
    </row>
    <row r="380" spans="1:14">
      <c r="A380" s="1650" t="s">
        <v>2460</v>
      </c>
      <c r="B380" s="1649" t="s">
        <v>3839</v>
      </c>
      <c r="C380" s="1650" t="s">
        <v>115</v>
      </c>
      <c r="D380" s="1654" t="s">
        <v>115</v>
      </c>
      <c r="E380" s="1650" t="s">
        <v>115</v>
      </c>
      <c r="F380" s="1654" t="s">
        <v>115</v>
      </c>
      <c r="G380" s="1650" t="s">
        <v>115</v>
      </c>
      <c r="H380" s="1654">
        <v>5.0000000000000001E-3</v>
      </c>
      <c r="I380" s="1650" t="s">
        <v>1247</v>
      </c>
      <c r="J380" s="1654">
        <v>8</v>
      </c>
      <c r="K380" s="1655" t="s">
        <v>1247</v>
      </c>
      <c r="L380" t="str">
        <f t="shared" si="15"/>
        <v/>
      </c>
      <c r="M380" t="str">
        <f t="shared" si="16"/>
        <v/>
      </c>
      <c r="N380" t="str">
        <f t="shared" si="17"/>
        <v>--</v>
      </c>
    </row>
    <row r="381" spans="1:14">
      <c r="A381" s="1650" t="s">
        <v>2463</v>
      </c>
      <c r="B381" s="1649" t="s">
        <v>2464</v>
      </c>
      <c r="C381" s="1650" t="s">
        <v>115</v>
      </c>
      <c r="D381" s="1654" t="s">
        <v>115</v>
      </c>
      <c r="E381" s="1650" t="s">
        <v>115</v>
      </c>
      <c r="F381" s="1654" t="s">
        <v>115</v>
      </c>
      <c r="G381" s="1650" t="s">
        <v>115</v>
      </c>
      <c r="H381" s="1654">
        <v>0.2</v>
      </c>
      <c r="I381" s="1650" t="s">
        <v>1277</v>
      </c>
      <c r="J381" s="1654">
        <v>800</v>
      </c>
      <c r="K381" s="1655" t="s">
        <v>3598</v>
      </c>
      <c r="L381" t="str">
        <f t="shared" si="15"/>
        <v/>
      </c>
      <c r="M381" t="str">
        <f t="shared" si="16"/>
        <v>Route RfC</v>
      </c>
      <c r="N381" t="str">
        <f t="shared" si="17"/>
        <v>Route RfC</v>
      </c>
    </row>
    <row r="382" spans="1:14">
      <c r="A382" s="1650" t="s">
        <v>2465</v>
      </c>
      <c r="B382" s="1649" t="s">
        <v>3840</v>
      </c>
      <c r="C382" s="1650" t="s">
        <v>115</v>
      </c>
      <c r="D382" s="1654" t="s">
        <v>115</v>
      </c>
      <c r="E382" s="1650" t="s">
        <v>115</v>
      </c>
      <c r="F382" s="1654" t="s">
        <v>115</v>
      </c>
      <c r="G382" s="1650" t="s">
        <v>115</v>
      </c>
      <c r="H382" s="1654" t="s">
        <v>115</v>
      </c>
      <c r="I382" s="1650" t="s">
        <v>115</v>
      </c>
      <c r="J382" s="1654">
        <v>300</v>
      </c>
      <c r="K382" s="1655" t="s">
        <v>1247</v>
      </c>
      <c r="L382" t="str">
        <f t="shared" si="15"/>
        <v/>
      </c>
      <c r="M382" t="str">
        <f t="shared" si="16"/>
        <v/>
      </c>
      <c r="N382" t="str">
        <f t="shared" si="17"/>
        <v>--</v>
      </c>
    </row>
    <row r="383" spans="1:14">
      <c r="A383" s="1650" t="s">
        <v>2469</v>
      </c>
      <c r="B383" s="1649" t="s">
        <v>3841</v>
      </c>
      <c r="C383" s="1650" t="s">
        <v>115</v>
      </c>
      <c r="D383" s="1654" t="s">
        <v>115</v>
      </c>
      <c r="E383" s="1650" t="s">
        <v>115</v>
      </c>
      <c r="F383" s="1654" t="s">
        <v>115</v>
      </c>
      <c r="G383" s="1650" t="s">
        <v>115</v>
      </c>
      <c r="H383" s="1654">
        <v>1.0000000000000001E-5</v>
      </c>
      <c r="I383" s="1650" t="s">
        <v>1277</v>
      </c>
      <c r="J383" s="1654" t="s">
        <v>115</v>
      </c>
      <c r="K383" s="1655" t="s">
        <v>115</v>
      </c>
      <c r="L383" t="str">
        <f t="shared" si="15"/>
        <v/>
      </c>
      <c r="M383" t="str">
        <f t="shared" si="16"/>
        <v/>
      </c>
      <c r="N383" t="str">
        <f t="shared" si="17"/>
        <v>--</v>
      </c>
    </row>
    <row r="384" spans="1:14">
      <c r="A384" s="1650" t="s">
        <v>198</v>
      </c>
      <c r="B384" s="1649" t="s">
        <v>197</v>
      </c>
      <c r="C384" s="1650" t="s">
        <v>115</v>
      </c>
      <c r="D384" s="1654">
        <v>1.0999999999999999E-2</v>
      </c>
      <c r="E384" s="1650" t="s">
        <v>1234</v>
      </c>
      <c r="F384" s="1654">
        <v>2.5000000000000002E-6</v>
      </c>
      <c r="G384" s="1650" t="s">
        <v>1234</v>
      </c>
      <c r="H384" s="1654">
        <v>0.05</v>
      </c>
      <c r="I384" s="1650" t="s">
        <v>1247</v>
      </c>
      <c r="J384" s="1654">
        <v>1000</v>
      </c>
      <c r="K384" s="1655" t="s">
        <v>1277</v>
      </c>
      <c r="L384" t="str">
        <f t="shared" si="15"/>
        <v/>
      </c>
      <c r="M384" t="str">
        <f t="shared" si="16"/>
        <v/>
      </c>
      <c r="N384" t="str">
        <f t="shared" si="17"/>
        <v>--</v>
      </c>
    </row>
    <row r="385" spans="1:14">
      <c r="A385" s="1650" t="s">
        <v>2471</v>
      </c>
      <c r="B385" s="1649" t="s">
        <v>3842</v>
      </c>
      <c r="C385" s="1650" t="s">
        <v>115</v>
      </c>
      <c r="D385" s="1654" t="s">
        <v>115</v>
      </c>
      <c r="E385" s="1650" t="s">
        <v>115</v>
      </c>
      <c r="F385" s="1654" t="s">
        <v>115</v>
      </c>
      <c r="G385" s="1650" t="s">
        <v>115</v>
      </c>
      <c r="H385" s="1654">
        <v>7.0000000000000007E-2</v>
      </c>
      <c r="I385" s="1650" t="s">
        <v>1247</v>
      </c>
      <c r="J385" s="1654" t="s">
        <v>115</v>
      </c>
      <c r="K385" s="1655" t="s">
        <v>115</v>
      </c>
      <c r="L385" t="str">
        <f t="shared" si="15"/>
        <v/>
      </c>
      <c r="M385" t="str">
        <f t="shared" si="16"/>
        <v/>
      </c>
      <c r="N385" t="str">
        <f t="shared" si="17"/>
        <v>--</v>
      </c>
    </row>
    <row r="386" spans="1:14">
      <c r="A386" s="1650" t="s">
        <v>2473</v>
      </c>
      <c r="B386" s="1649" t="s">
        <v>3843</v>
      </c>
      <c r="C386" s="1650" t="s">
        <v>115</v>
      </c>
      <c r="D386" s="1654" t="s">
        <v>115</v>
      </c>
      <c r="E386" s="1650" t="s">
        <v>115</v>
      </c>
      <c r="F386" s="1654" t="s">
        <v>115</v>
      </c>
      <c r="G386" s="1650" t="s">
        <v>115</v>
      </c>
      <c r="H386" s="1654">
        <v>0.09</v>
      </c>
      <c r="I386" s="1650" t="s">
        <v>1247</v>
      </c>
      <c r="J386" s="1654">
        <v>360</v>
      </c>
      <c r="K386" s="1655" t="s">
        <v>3605</v>
      </c>
      <c r="L386" t="str">
        <f t="shared" si="15"/>
        <v/>
      </c>
      <c r="M386" t="str">
        <f t="shared" si="16"/>
        <v>Route RfC</v>
      </c>
      <c r="N386" t="str">
        <f t="shared" si="17"/>
        <v>Route RfC</v>
      </c>
    </row>
    <row r="387" spans="1:14">
      <c r="A387" s="1650" t="s">
        <v>150</v>
      </c>
      <c r="B387" s="1649" t="s">
        <v>3844</v>
      </c>
      <c r="C387" s="1650" t="s">
        <v>115</v>
      </c>
      <c r="D387" s="1654">
        <v>2</v>
      </c>
      <c r="E387" s="1650" t="s">
        <v>1277</v>
      </c>
      <c r="F387" s="1654">
        <v>5.9999999999999995E-4</v>
      </c>
      <c r="G387" s="1650" t="s">
        <v>1277</v>
      </c>
      <c r="H387" s="1654">
        <v>8.9999999999999993E-3</v>
      </c>
      <c r="I387" s="1650" t="s">
        <v>1277</v>
      </c>
      <c r="J387" s="1654">
        <v>0.8</v>
      </c>
      <c r="K387" s="1655" t="s">
        <v>3600</v>
      </c>
      <c r="L387" t="str">
        <f t="shared" si="15"/>
        <v/>
      </c>
      <c r="M387" t="str">
        <f t="shared" si="16"/>
        <v/>
      </c>
      <c r="N387" t="str">
        <f t="shared" si="17"/>
        <v>--</v>
      </c>
    </row>
    <row r="388" spans="1:14">
      <c r="A388" s="1650" t="s">
        <v>2475</v>
      </c>
      <c r="B388" s="1649" t="s">
        <v>3845</v>
      </c>
      <c r="C388" s="1650" t="s">
        <v>115</v>
      </c>
      <c r="D388" s="1654" t="s">
        <v>115</v>
      </c>
      <c r="E388" s="1650" t="s">
        <v>115</v>
      </c>
      <c r="F388" s="1654" t="s">
        <v>115</v>
      </c>
      <c r="G388" s="1650" t="s">
        <v>115</v>
      </c>
      <c r="H388" s="1654">
        <v>0.8</v>
      </c>
      <c r="I388" s="1650" t="s">
        <v>1280</v>
      </c>
      <c r="J388" s="1654">
        <v>400</v>
      </c>
      <c r="K388" s="1655" t="s">
        <v>1234</v>
      </c>
      <c r="L388" t="str">
        <f t="shared" si="15"/>
        <v/>
      </c>
      <c r="M388" t="str">
        <f t="shared" si="16"/>
        <v/>
      </c>
      <c r="N388" t="str">
        <f t="shared" si="17"/>
        <v>--</v>
      </c>
    </row>
    <row r="389" spans="1:14">
      <c r="A389" s="1650" t="s">
        <v>2479</v>
      </c>
      <c r="B389" s="1649" t="s">
        <v>3846</v>
      </c>
      <c r="C389" s="1650" t="s">
        <v>1906</v>
      </c>
      <c r="D389" s="1654">
        <v>0.31</v>
      </c>
      <c r="E389" s="1650" t="s">
        <v>1234</v>
      </c>
      <c r="F389" s="1654">
        <v>3.0000000000000001E-3</v>
      </c>
      <c r="G389" s="1650" t="s">
        <v>1277</v>
      </c>
      <c r="H389" s="1654" t="s">
        <v>115</v>
      </c>
      <c r="I389" s="1650" t="s">
        <v>115</v>
      </c>
      <c r="J389" s="1654">
        <v>30</v>
      </c>
      <c r="K389" s="1655" t="s">
        <v>1234</v>
      </c>
      <c r="L389" t="str">
        <f t="shared" si="15"/>
        <v/>
      </c>
      <c r="M389" t="str">
        <f t="shared" si="16"/>
        <v/>
      </c>
      <c r="N389" t="str">
        <f t="shared" si="17"/>
        <v>--</v>
      </c>
    </row>
    <row r="390" spans="1:14">
      <c r="A390" s="1650" t="s">
        <v>2481</v>
      </c>
      <c r="B390" s="1649" t="s">
        <v>3847</v>
      </c>
      <c r="C390" s="1650" t="s">
        <v>115</v>
      </c>
      <c r="D390" s="1654">
        <v>4.4999999999999998E-2</v>
      </c>
      <c r="E390" s="1650" t="s">
        <v>1234</v>
      </c>
      <c r="F390" s="1654">
        <v>1.2999999999999999E-5</v>
      </c>
      <c r="G390" s="1650" t="s">
        <v>1234</v>
      </c>
      <c r="H390" s="1654">
        <v>8.0000000000000007E-5</v>
      </c>
      <c r="I390" s="1650" t="s">
        <v>1277</v>
      </c>
      <c r="J390" s="1654" t="s">
        <v>115</v>
      </c>
      <c r="K390" s="1655" t="s">
        <v>115</v>
      </c>
      <c r="L390" t="str">
        <f t="shared" ref="L390:L453" si="18">IF(COUNTIF(G390,"*Route*"),"Route IUR","")</f>
        <v/>
      </c>
      <c r="M390" t="str">
        <f t="shared" ref="M390:M453" si="19">IF(COUNTIF(K390,"*Route*"),"Route RfC","")</f>
        <v/>
      </c>
      <c r="N390" t="str">
        <f t="shared" ref="N390:N453" si="20">IF(AND(L390&lt;&gt;"",M390&lt;&gt;""),"Route IUR &amp; RfC",IF(L390&lt;&gt;"","Route IUR",IF(M390&lt;&gt;"","Route RfC","--")))</f>
        <v>--</v>
      </c>
    </row>
    <row r="391" spans="1:14">
      <c r="A391" s="1650" t="s">
        <v>2483</v>
      </c>
      <c r="B391" s="1649" t="s">
        <v>2484</v>
      </c>
      <c r="C391" s="1650" t="s">
        <v>115</v>
      </c>
      <c r="D391" s="1654">
        <v>65</v>
      </c>
      <c r="E391" s="1650" t="s">
        <v>1234</v>
      </c>
      <c r="F391" s="1654">
        <v>1.9E-2</v>
      </c>
      <c r="G391" s="1650" t="s">
        <v>1234</v>
      </c>
      <c r="H391" s="1654" t="s">
        <v>115</v>
      </c>
      <c r="I391" s="1650" t="s">
        <v>115</v>
      </c>
      <c r="J391" s="1654" t="s">
        <v>115</v>
      </c>
      <c r="K391" s="1655" t="s">
        <v>115</v>
      </c>
      <c r="L391" t="str">
        <f t="shared" si="18"/>
        <v/>
      </c>
      <c r="M391" t="str">
        <f t="shared" si="19"/>
        <v/>
      </c>
      <c r="N391" t="str">
        <f t="shared" si="20"/>
        <v>--</v>
      </c>
    </row>
    <row r="392" spans="1:14">
      <c r="A392" s="1650" t="s">
        <v>2485</v>
      </c>
      <c r="B392" s="1649" t="s">
        <v>3848</v>
      </c>
      <c r="C392" s="1650" t="s">
        <v>115</v>
      </c>
      <c r="D392" s="1654" t="s">
        <v>115</v>
      </c>
      <c r="E392" s="1650" t="s">
        <v>115</v>
      </c>
      <c r="F392" s="1654" t="s">
        <v>115</v>
      </c>
      <c r="G392" s="1650" t="s">
        <v>115</v>
      </c>
      <c r="H392" s="1654">
        <v>3</v>
      </c>
      <c r="I392" s="1650" t="s">
        <v>1277</v>
      </c>
      <c r="J392" s="1654" t="s">
        <v>115</v>
      </c>
      <c r="K392" s="1655" t="s">
        <v>115</v>
      </c>
      <c r="L392" t="str">
        <f t="shared" si="18"/>
        <v/>
      </c>
      <c r="M392" t="str">
        <f t="shared" si="19"/>
        <v/>
      </c>
      <c r="N392" t="str">
        <f t="shared" si="20"/>
        <v>--</v>
      </c>
    </row>
    <row r="393" spans="1:14">
      <c r="A393" s="1650" t="s">
        <v>2487</v>
      </c>
      <c r="B393" s="1649" t="s">
        <v>2488</v>
      </c>
      <c r="C393" s="1650" t="s">
        <v>115</v>
      </c>
      <c r="D393" s="1654" t="s">
        <v>115</v>
      </c>
      <c r="E393" s="1650" t="s">
        <v>115</v>
      </c>
      <c r="F393" s="1654" t="s">
        <v>115</v>
      </c>
      <c r="G393" s="1650" t="s">
        <v>115</v>
      </c>
      <c r="H393" s="1654">
        <v>2.5000000000000001E-4</v>
      </c>
      <c r="I393" s="1650" t="s">
        <v>1277</v>
      </c>
      <c r="J393" s="1654" t="s">
        <v>115</v>
      </c>
      <c r="K393" s="1655" t="s">
        <v>115</v>
      </c>
      <c r="L393" t="str">
        <f t="shared" si="18"/>
        <v/>
      </c>
      <c r="M393" t="str">
        <f t="shared" si="19"/>
        <v/>
      </c>
      <c r="N393" t="str">
        <f t="shared" si="20"/>
        <v>--</v>
      </c>
    </row>
    <row r="394" spans="1:14">
      <c r="A394" s="1650" t="s">
        <v>2491</v>
      </c>
      <c r="B394" s="1649" t="s">
        <v>2492</v>
      </c>
      <c r="C394" s="1650" t="s">
        <v>115</v>
      </c>
      <c r="D394" s="1654" t="s">
        <v>115</v>
      </c>
      <c r="E394" s="1650" t="s">
        <v>115</v>
      </c>
      <c r="F394" s="1654" t="s">
        <v>115</v>
      </c>
      <c r="G394" s="1650" t="s">
        <v>115</v>
      </c>
      <c r="H394" s="1654">
        <v>2.5000000000000001E-2</v>
      </c>
      <c r="I394" s="1650" t="s">
        <v>1277</v>
      </c>
      <c r="J394" s="1654" t="s">
        <v>115</v>
      </c>
      <c r="K394" s="1655" t="s">
        <v>115</v>
      </c>
      <c r="L394" t="str">
        <f t="shared" si="18"/>
        <v/>
      </c>
      <c r="M394" t="str">
        <f t="shared" si="19"/>
        <v/>
      </c>
      <c r="N394" t="str">
        <f t="shared" si="20"/>
        <v>--</v>
      </c>
    </row>
    <row r="395" spans="1:14">
      <c r="A395" s="1650" t="s">
        <v>2493</v>
      </c>
      <c r="B395" s="1649" t="s">
        <v>2494</v>
      </c>
      <c r="C395" s="1650" t="s">
        <v>115</v>
      </c>
      <c r="D395" s="1654" t="s">
        <v>115</v>
      </c>
      <c r="E395" s="1650" t="s">
        <v>115</v>
      </c>
      <c r="F395" s="1654" t="s">
        <v>115</v>
      </c>
      <c r="G395" s="1650" t="s">
        <v>115</v>
      </c>
      <c r="H395" s="1654">
        <v>1.2999999999999999E-2</v>
      </c>
      <c r="I395" s="1650" t="s">
        <v>1277</v>
      </c>
      <c r="J395" s="1654" t="s">
        <v>115</v>
      </c>
      <c r="K395" s="1655" t="s">
        <v>115</v>
      </c>
      <c r="L395" t="str">
        <f t="shared" si="18"/>
        <v/>
      </c>
      <c r="M395" t="str">
        <f t="shared" si="19"/>
        <v/>
      </c>
      <c r="N395" t="str">
        <f t="shared" si="20"/>
        <v>--</v>
      </c>
    </row>
    <row r="396" spans="1:14">
      <c r="A396" s="1650" t="s">
        <v>250</v>
      </c>
      <c r="B396" s="1649" t="s">
        <v>1697</v>
      </c>
      <c r="C396" s="1650" t="s">
        <v>115</v>
      </c>
      <c r="D396" s="1654" t="s">
        <v>115</v>
      </c>
      <c r="E396" s="1650" t="s">
        <v>115</v>
      </c>
      <c r="F396" s="1654" t="s">
        <v>115</v>
      </c>
      <c r="G396" s="1650" t="s">
        <v>115</v>
      </c>
      <c r="H396" s="1654">
        <v>0.04</v>
      </c>
      <c r="I396" s="1650" t="s">
        <v>1277</v>
      </c>
      <c r="J396" s="1654" t="s">
        <v>115</v>
      </c>
      <c r="K396" s="1655" t="s">
        <v>115</v>
      </c>
      <c r="L396" t="str">
        <f t="shared" si="18"/>
        <v/>
      </c>
      <c r="M396" t="str">
        <f t="shared" si="19"/>
        <v/>
      </c>
      <c r="N396" t="str">
        <f t="shared" si="20"/>
        <v>--</v>
      </c>
    </row>
    <row r="397" spans="1:14">
      <c r="A397" s="1650" t="s">
        <v>252</v>
      </c>
      <c r="B397" s="1649" t="s">
        <v>3849</v>
      </c>
      <c r="C397" s="1650" t="s">
        <v>115</v>
      </c>
      <c r="D397" s="1654" t="s">
        <v>115</v>
      </c>
      <c r="E397" s="1650" t="s">
        <v>115</v>
      </c>
      <c r="F397" s="1654" t="s">
        <v>115</v>
      </c>
      <c r="G397" s="1650" t="s">
        <v>115</v>
      </c>
      <c r="H397" s="1654">
        <v>0.04</v>
      </c>
      <c r="I397" s="1650" t="s">
        <v>1277</v>
      </c>
      <c r="J397" s="1654">
        <v>160</v>
      </c>
      <c r="K397" s="1655" t="s">
        <v>3598</v>
      </c>
      <c r="L397" t="str">
        <f t="shared" si="18"/>
        <v/>
      </c>
      <c r="M397" t="str">
        <f t="shared" si="19"/>
        <v>Route RfC</v>
      </c>
      <c r="N397" t="str">
        <f t="shared" si="20"/>
        <v>Route RfC</v>
      </c>
    </row>
    <row r="398" spans="1:14">
      <c r="A398" s="1650" t="s">
        <v>2495</v>
      </c>
      <c r="B398" s="1649" t="s">
        <v>2496</v>
      </c>
      <c r="C398" s="1650" t="s">
        <v>115</v>
      </c>
      <c r="D398" s="1654" t="s">
        <v>115</v>
      </c>
      <c r="E398" s="1650" t="s">
        <v>115</v>
      </c>
      <c r="F398" s="1654" t="s">
        <v>115</v>
      </c>
      <c r="G398" s="1650" t="s">
        <v>115</v>
      </c>
      <c r="H398" s="1654">
        <v>0.04</v>
      </c>
      <c r="I398" s="1650" t="s">
        <v>1234</v>
      </c>
      <c r="J398" s="1654">
        <v>13</v>
      </c>
      <c r="K398" s="1655" t="s">
        <v>1234</v>
      </c>
      <c r="L398" t="str">
        <f t="shared" si="18"/>
        <v/>
      </c>
      <c r="M398" t="str">
        <f t="shared" si="19"/>
        <v/>
      </c>
      <c r="N398" t="str">
        <f t="shared" si="20"/>
        <v>--</v>
      </c>
    </row>
    <row r="399" spans="1:14">
      <c r="A399" s="1650" t="s">
        <v>2499</v>
      </c>
      <c r="B399" s="1649" t="s">
        <v>3850</v>
      </c>
      <c r="C399" s="1650" t="s">
        <v>115</v>
      </c>
      <c r="D399" s="1654" t="s">
        <v>115</v>
      </c>
      <c r="E399" s="1650" t="s">
        <v>115</v>
      </c>
      <c r="F399" s="1654" t="s">
        <v>115</v>
      </c>
      <c r="G399" s="1650" t="s">
        <v>115</v>
      </c>
      <c r="H399" s="1654">
        <v>0.08</v>
      </c>
      <c r="I399" s="1650" t="s">
        <v>1277</v>
      </c>
      <c r="J399" s="1654" t="s">
        <v>115</v>
      </c>
      <c r="K399" s="1655" t="s">
        <v>115</v>
      </c>
      <c r="L399" t="str">
        <f t="shared" si="18"/>
        <v/>
      </c>
      <c r="M399" t="str">
        <f t="shared" si="19"/>
        <v/>
      </c>
      <c r="N399" t="str">
        <f t="shared" si="20"/>
        <v>--</v>
      </c>
    </row>
    <row r="400" spans="1:14" ht="25.5">
      <c r="A400" s="1650" t="s">
        <v>2497</v>
      </c>
      <c r="B400" s="1649" t="s">
        <v>3851</v>
      </c>
      <c r="C400" s="1650" t="s">
        <v>115</v>
      </c>
      <c r="D400" s="1654" t="s">
        <v>115</v>
      </c>
      <c r="E400" s="1650" t="s">
        <v>115</v>
      </c>
      <c r="F400" s="1654" t="s">
        <v>115</v>
      </c>
      <c r="G400" s="1650" t="s">
        <v>115</v>
      </c>
      <c r="H400" s="1654">
        <v>0.06</v>
      </c>
      <c r="I400" s="1650" t="s">
        <v>1277</v>
      </c>
      <c r="J400" s="1654">
        <v>13</v>
      </c>
      <c r="K400" s="1655" t="s">
        <v>3852</v>
      </c>
      <c r="L400" t="str">
        <f t="shared" si="18"/>
        <v/>
      </c>
      <c r="M400" t="str">
        <f t="shared" si="19"/>
        <v/>
      </c>
      <c r="N400" t="str">
        <f t="shared" si="20"/>
        <v>--</v>
      </c>
    </row>
    <row r="401" spans="1:14">
      <c r="A401" s="1650" t="s">
        <v>2501</v>
      </c>
      <c r="B401" s="1649" t="s">
        <v>2502</v>
      </c>
      <c r="C401" s="1650" t="s">
        <v>115</v>
      </c>
      <c r="D401" s="1654" t="s">
        <v>115</v>
      </c>
      <c r="E401" s="1650" t="s">
        <v>115</v>
      </c>
      <c r="F401" s="1654" t="s">
        <v>115</v>
      </c>
      <c r="G401" s="1650" t="s">
        <v>115</v>
      </c>
      <c r="H401" s="1654">
        <v>0.04</v>
      </c>
      <c r="I401" s="1650" t="s">
        <v>3663</v>
      </c>
      <c r="J401" s="1654" t="s">
        <v>115</v>
      </c>
      <c r="K401" s="1655" t="s">
        <v>115</v>
      </c>
      <c r="L401" t="str">
        <f t="shared" si="18"/>
        <v/>
      </c>
      <c r="M401" t="str">
        <f t="shared" si="19"/>
        <v/>
      </c>
      <c r="N401" t="str">
        <f t="shared" si="20"/>
        <v>--</v>
      </c>
    </row>
    <row r="402" spans="1:14">
      <c r="A402" s="1650" t="s">
        <v>2503</v>
      </c>
      <c r="B402" s="1649" t="s">
        <v>2504</v>
      </c>
      <c r="C402" s="1650" t="s">
        <v>115</v>
      </c>
      <c r="D402" s="1654" t="s">
        <v>115</v>
      </c>
      <c r="E402" s="1650" t="s">
        <v>115</v>
      </c>
      <c r="F402" s="1654" t="s">
        <v>115</v>
      </c>
      <c r="G402" s="1650" t="s">
        <v>115</v>
      </c>
      <c r="H402" s="1654">
        <v>2E-3</v>
      </c>
      <c r="I402" s="1650" t="s">
        <v>3663</v>
      </c>
      <c r="J402" s="1654" t="s">
        <v>115</v>
      </c>
      <c r="K402" s="1655" t="s">
        <v>115</v>
      </c>
      <c r="L402" t="str">
        <f t="shared" si="18"/>
        <v/>
      </c>
      <c r="M402" t="str">
        <f t="shared" si="19"/>
        <v/>
      </c>
      <c r="N402" t="str">
        <f t="shared" si="20"/>
        <v>--</v>
      </c>
    </row>
    <row r="403" spans="1:14">
      <c r="A403" s="1650" t="s">
        <v>2505</v>
      </c>
      <c r="B403" s="1649" t="s">
        <v>2506</v>
      </c>
      <c r="C403" s="1650" t="s">
        <v>115</v>
      </c>
      <c r="D403" s="1654" t="s">
        <v>115</v>
      </c>
      <c r="E403" s="1650" t="s">
        <v>115</v>
      </c>
      <c r="F403" s="1654" t="s">
        <v>115</v>
      </c>
      <c r="G403" s="1650" t="s">
        <v>115</v>
      </c>
      <c r="H403" s="1654">
        <v>0.5</v>
      </c>
      <c r="I403" s="1650" t="s">
        <v>3663</v>
      </c>
      <c r="J403" s="1654" t="s">
        <v>115</v>
      </c>
      <c r="K403" s="1655" t="s">
        <v>115</v>
      </c>
      <c r="L403" t="str">
        <f t="shared" si="18"/>
        <v/>
      </c>
      <c r="M403" t="str">
        <f t="shared" si="19"/>
        <v/>
      </c>
      <c r="N403" t="str">
        <f t="shared" si="20"/>
        <v>--</v>
      </c>
    </row>
    <row r="404" spans="1:14">
      <c r="A404" s="1650" t="s">
        <v>2507</v>
      </c>
      <c r="B404" s="1649" t="s">
        <v>2508</v>
      </c>
      <c r="C404" s="1650" t="s">
        <v>115</v>
      </c>
      <c r="D404" s="1654" t="s">
        <v>115</v>
      </c>
      <c r="E404" s="1650" t="s">
        <v>115</v>
      </c>
      <c r="F404" s="1654" t="s">
        <v>115</v>
      </c>
      <c r="G404" s="1650" t="s">
        <v>115</v>
      </c>
      <c r="H404" s="1654">
        <v>0.01</v>
      </c>
      <c r="I404" s="1650" t="s">
        <v>1277</v>
      </c>
      <c r="J404" s="1654" t="s">
        <v>115</v>
      </c>
      <c r="K404" s="1655" t="s">
        <v>115</v>
      </c>
      <c r="L404" t="str">
        <f t="shared" si="18"/>
        <v/>
      </c>
      <c r="M404" t="str">
        <f t="shared" si="19"/>
        <v/>
      </c>
      <c r="N404" t="str">
        <f t="shared" si="20"/>
        <v>--</v>
      </c>
    </row>
    <row r="405" spans="1:14">
      <c r="A405" s="1650" t="s">
        <v>2509</v>
      </c>
      <c r="B405" s="1649" t="s">
        <v>2510</v>
      </c>
      <c r="C405" s="1650" t="s">
        <v>115</v>
      </c>
      <c r="D405" s="1654" t="s">
        <v>115</v>
      </c>
      <c r="E405" s="1650" t="s">
        <v>115</v>
      </c>
      <c r="F405" s="1654" t="s">
        <v>115</v>
      </c>
      <c r="G405" s="1650" t="s">
        <v>115</v>
      </c>
      <c r="H405" s="1654">
        <v>0.09</v>
      </c>
      <c r="I405" s="1650" t="s">
        <v>3663</v>
      </c>
      <c r="J405" s="1654" t="s">
        <v>115</v>
      </c>
      <c r="K405" s="1655" t="s">
        <v>115</v>
      </c>
      <c r="L405" t="str">
        <f t="shared" si="18"/>
        <v/>
      </c>
      <c r="M405" t="str">
        <f t="shared" si="19"/>
        <v/>
      </c>
      <c r="N405" t="str">
        <f t="shared" si="20"/>
        <v>--</v>
      </c>
    </row>
    <row r="406" spans="1:14">
      <c r="A406" s="1650" t="s">
        <v>2511</v>
      </c>
      <c r="B406" s="1649" t="s">
        <v>2512</v>
      </c>
      <c r="C406" s="1650" t="s">
        <v>115</v>
      </c>
      <c r="D406" s="1654" t="s">
        <v>115</v>
      </c>
      <c r="E406" s="1650" t="s">
        <v>115</v>
      </c>
      <c r="F406" s="1654" t="s">
        <v>115</v>
      </c>
      <c r="G406" s="1650" t="s">
        <v>115</v>
      </c>
      <c r="H406" s="1654">
        <v>0.01</v>
      </c>
      <c r="I406" s="1650" t="s">
        <v>3663</v>
      </c>
      <c r="J406" s="1654" t="s">
        <v>115</v>
      </c>
      <c r="K406" s="1655" t="s">
        <v>115</v>
      </c>
      <c r="L406" t="str">
        <f t="shared" si="18"/>
        <v/>
      </c>
      <c r="M406" t="str">
        <f t="shared" si="19"/>
        <v/>
      </c>
      <c r="N406" t="str">
        <f t="shared" si="20"/>
        <v>--</v>
      </c>
    </row>
    <row r="407" spans="1:14">
      <c r="A407" s="1650" t="s">
        <v>2513</v>
      </c>
      <c r="B407" s="1649" t="s">
        <v>2514</v>
      </c>
      <c r="C407" s="1650" t="s">
        <v>115</v>
      </c>
      <c r="D407" s="1654" t="s">
        <v>115</v>
      </c>
      <c r="E407" s="1650" t="s">
        <v>115</v>
      </c>
      <c r="F407" s="1654" t="s">
        <v>115</v>
      </c>
      <c r="G407" s="1650" t="s">
        <v>115</v>
      </c>
      <c r="H407" s="1654">
        <v>2E-3</v>
      </c>
      <c r="I407" s="1650" t="s">
        <v>1277</v>
      </c>
      <c r="J407" s="1654" t="s">
        <v>115</v>
      </c>
      <c r="K407" s="1655" t="s">
        <v>115</v>
      </c>
      <c r="L407" t="str">
        <f t="shared" si="18"/>
        <v/>
      </c>
      <c r="M407" t="str">
        <f t="shared" si="19"/>
        <v/>
      </c>
      <c r="N407" t="str">
        <f t="shared" si="20"/>
        <v>--</v>
      </c>
    </row>
    <row r="408" spans="1:14">
      <c r="A408" s="1650" t="s">
        <v>2515</v>
      </c>
      <c r="B408" s="1649" t="s">
        <v>2516</v>
      </c>
      <c r="C408" s="1650" t="s">
        <v>1906</v>
      </c>
      <c r="D408" s="1654">
        <v>2.1000000000000001E-2</v>
      </c>
      <c r="E408" s="1650" t="s">
        <v>1234</v>
      </c>
      <c r="F408" s="1654">
        <v>7.4000000000000003E-6</v>
      </c>
      <c r="G408" s="1650" t="s">
        <v>1277</v>
      </c>
      <c r="H408" s="1654">
        <v>0.2</v>
      </c>
      <c r="I408" s="1650" t="s">
        <v>1277</v>
      </c>
      <c r="J408" s="1654" t="s">
        <v>115</v>
      </c>
      <c r="K408" s="1655" t="s">
        <v>115</v>
      </c>
      <c r="L408" t="str">
        <f t="shared" si="18"/>
        <v/>
      </c>
      <c r="M408" t="str">
        <f t="shared" si="19"/>
        <v/>
      </c>
      <c r="N408" t="str">
        <f t="shared" si="20"/>
        <v>--</v>
      </c>
    </row>
    <row r="409" spans="1:14">
      <c r="A409" s="1650" t="s">
        <v>2517</v>
      </c>
      <c r="B409" s="1649" t="s">
        <v>2518</v>
      </c>
      <c r="C409" s="1650" t="s">
        <v>115</v>
      </c>
      <c r="D409" s="1654" t="s">
        <v>115</v>
      </c>
      <c r="E409" s="1650" t="s">
        <v>115</v>
      </c>
      <c r="F409" s="1654" t="s">
        <v>115</v>
      </c>
      <c r="G409" s="1650" t="s">
        <v>115</v>
      </c>
      <c r="H409" s="1654">
        <v>0.9</v>
      </c>
      <c r="I409" s="1650" t="s">
        <v>1247</v>
      </c>
      <c r="J409" s="1654">
        <v>0.3</v>
      </c>
      <c r="K409" s="1655" t="s">
        <v>3603</v>
      </c>
      <c r="L409" t="str">
        <f t="shared" si="18"/>
        <v/>
      </c>
      <c r="M409" t="str">
        <f t="shared" si="19"/>
        <v/>
      </c>
      <c r="N409" t="str">
        <f t="shared" si="20"/>
        <v>--</v>
      </c>
    </row>
    <row r="410" spans="1:14">
      <c r="A410" s="1650" t="s">
        <v>2519</v>
      </c>
      <c r="B410" s="1649" t="s">
        <v>3853</v>
      </c>
      <c r="C410" s="1650" t="s">
        <v>115</v>
      </c>
      <c r="D410" s="1654" t="s">
        <v>115</v>
      </c>
      <c r="E410" s="1650" t="s">
        <v>115</v>
      </c>
      <c r="F410" s="1654" t="s">
        <v>115</v>
      </c>
      <c r="G410" s="1650" t="s">
        <v>115</v>
      </c>
      <c r="H410" s="1654">
        <v>2.5</v>
      </c>
      <c r="I410" s="1650" t="s">
        <v>3663</v>
      </c>
      <c r="J410" s="1654" t="s">
        <v>115</v>
      </c>
      <c r="K410" s="1655" t="s">
        <v>115</v>
      </c>
      <c r="L410" t="str">
        <f t="shared" si="18"/>
        <v/>
      </c>
      <c r="M410" t="str">
        <f t="shared" si="19"/>
        <v/>
      </c>
      <c r="N410" t="str">
        <f t="shared" si="20"/>
        <v>--</v>
      </c>
    </row>
    <row r="411" spans="1:14">
      <c r="A411" s="1650" t="s">
        <v>2524</v>
      </c>
      <c r="B411" s="1649" t="s">
        <v>3854</v>
      </c>
      <c r="C411" s="1650" t="s">
        <v>115</v>
      </c>
      <c r="D411" s="1654" t="s">
        <v>115</v>
      </c>
      <c r="E411" s="1650" t="s">
        <v>115</v>
      </c>
      <c r="F411" s="1654" t="s">
        <v>115</v>
      </c>
      <c r="G411" s="1650" t="s">
        <v>115</v>
      </c>
      <c r="H411" s="1654">
        <v>1E-3</v>
      </c>
      <c r="I411" s="1650" t="s">
        <v>1277</v>
      </c>
      <c r="J411" s="1654">
        <v>4</v>
      </c>
      <c r="K411" s="1655" t="s">
        <v>3598</v>
      </c>
      <c r="L411" t="str">
        <f t="shared" si="18"/>
        <v/>
      </c>
      <c r="M411" t="str">
        <f t="shared" si="19"/>
        <v>Route RfC</v>
      </c>
      <c r="N411" t="str">
        <f t="shared" si="20"/>
        <v>Route RfC</v>
      </c>
    </row>
    <row r="412" spans="1:14">
      <c r="A412" s="1650" t="s">
        <v>2528</v>
      </c>
      <c r="B412" s="1649" t="s">
        <v>2529</v>
      </c>
      <c r="C412" s="1650" t="s">
        <v>115</v>
      </c>
      <c r="D412" s="1654">
        <v>3.8</v>
      </c>
      <c r="E412" s="1650" t="s">
        <v>3616</v>
      </c>
      <c r="F412" s="1654" t="s">
        <v>115</v>
      </c>
      <c r="G412" s="1650" t="s">
        <v>115</v>
      </c>
      <c r="H412" s="1654" t="s">
        <v>115</v>
      </c>
      <c r="I412" s="1650" t="s">
        <v>115</v>
      </c>
      <c r="J412" s="1654" t="s">
        <v>115</v>
      </c>
      <c r="K412" s="1655" t="s">
        <v>115</v>
      </c>
      <c r="L412" t="str">
        <f t="shared" si="18"/>
        <v/>
      </c>
      <c r="M412" t="str">
        <f t="shared" si="19"/>
        <v/>
      </c>
      <c r="N412" t="str">
        <f t="shared" si="20"/>
        <v>--</v>
      </c>
    </row>
    <row r="413" spans="1:14">
      <c r="A413" s="1650" t="s">
        <v>2530</v>
      </c>
      <c r="B413" s="1649" t="s">
        <v>2531</v>
      </c>
      <c r="C413" s="1650" t="s">
        <v>115</v>
      </c>
      <c r="D413" s="1654" t="s">
        <v>115</v>
      </c>
      <c r="E413" s="1650" t="s">
        <v>115</v>
      </c>
      <c r="F413" s="1654" t="s">
        <v>115</v>
      </c>
      <c r="G413" s="1650" t="s">
        <v>115</v>
      </c>
      <c r="H413" s="1654">
        <v>3.0000000000000001E-3</v>
      </c>
      <c r="I413" s="1650" t="s">
        <v>1277</v>
      </c>
      <c r="J413" s="1654">
        <v>50</v>
      </c>
      <c r="K413" s="1655" t="s">
        <v>3616</v>
      </c>
      <c r="L413" t="str">
        <f t="shared" si="18"/>
        <v/>
      </c>
      <c r="M413" t="str">
        <f t="shared" si="19"/>
        <v/>
      </c>
      <c r="N413" t="str">
        <f t="shared" si="20"/>
        <v>--</v>
      </c>
    </row>
    <row r="414" spans="1:14">
      <c r="A414" s="1650" t="s">
        <v>2532</v>
      </c>
      <c r="B414" s="1649" t="s">
        <v>2533</v>
      </c>
      <c r="C414" s="1650" t="s">
        <v>115</v>
      </c>
      <c r="D414" s="1654">
        <v>1.5</v>
      </c>
      <c r="E414" s="1650" t="s">
        <v>1234</v>
      </c>
      <c r="F414" s="1654">
        <v>4.2999999999999999E-4</v>
      </c>
      <c r="G414" s="1650" t="s">
        <v>1234</v>
      </c>
      <c r="H414" s="1654" t="s">
        <v>115</v>
      </c>
      <c r="I414" s="1650" t="s">
        <v>115</v>
      </c>
      <c r="J414" s="1654" t="s">
        <v>115</v>
      </c>
      <c r="K414" s="1655" t="s">
        <v>115</v>
      </c>
      <c r="L414" t="str">
        <f t="shared" si="18"/>
        <v/>
      </c>
      <c r="M414" t="str">
        <f t="shared" si="19"/>
        <v/>
      </c>
      <c r="N414" t="str">
        <f t="shared" si="20"/>
        <v>--</v>
      </c>
    </row>
    <row r="415" spans="1:14">
      <c r="A415" s="1650" t="s">
        <v>2534</v>
      </c>
      <c r="B415" s="1649" t="s">
        <v>2535</v>
      </c>
      <c r="C415" s="1650" t="s">
        <v>115</v>
      </c>
      <c r="D415" s="1654">
        <v>0.03</v>
      </c>
      <c r="E415" s="1650" t="s">
        <v>1277</v>
      </c>
      <c r="F415" s="1654">
        <v>8.6000000000000007E-6</v>
      </c>
      <c r="G415" s="1650" t="s">
        <v>1234</v>
      </c>
      <c r="H415" s="1654" t="s">
        <v>115</v>
      </c>
      <c r="I415" s="1650" t="s">
        <v>115</v>
      </c>
      <c r="J415" s="1654" t="s">
        <v>115</v>
      </c>
      <c r="K415" s="1655" t="s">
        <v>115</v>
      </c>
      <c r="L415" t="str">
        <f t="shared" si="18"/>
        <v/>
      </c>
      <c r="M415" t="str">
        <f t="shared" si="19"/>
        <v/>
      </c>
      <c r="N415" t="str">
        <f t="shared" si="20"/>
        <v>--</v>
      </c>
    </row>
    <row r="416" spans="1:14">
      <c r="A416" s="1650" t="s">
        <v>208</v>
      </c>
      <c r="B416" s="1649" t="s">
        <v>3855</v>
      </c>
      <c r="C416" s="1650" t="s">
        <v>115</v>
      </c>
      <c r="D416" s="1654">
        <v>1.1000000000000001</v>
      </c>
      <c r="E416" s="1650" t="s">
        <v>1234</v>
      </c>
      <c r="F416" s="1654">
        <v>3.1E-4</v>
      </c>
      <c r="G416" s="1650" t="s">
        <v>1234</v>
      </c>
      <c r="H416" s="1654">
        <v>7.9999999999999996E-7</v>
      </c>
      <c r="I416" s="1650" t="s">
        <v>1280</v>
      </c>
      <c r="J416" s="1654" t="s">
        <v>115</v>
      </c>
      <c r="K416" s="1655" t="s">
        <v>115</v>
      </c>
      <c r="L416" t="str">
        <f t="shared" si="18"/>
        <v/>
      </c>
      <c r="M416" t="str">
        <f t="shared" si="19"/>
        <v/>
      </c>
      <c r="N416" t="str">
        <f t="shared" si="20"/>
        <v>--</v>
      </c>
    </row>
    <row r="417" spans="1:14">
      <c r="A417" s="1650" t="s">
        <v>2536</v>
      </c>
      <c r="B417" s="1649" t="s">
        <v>3856</v>
      </c>
      <c r="C417" s="1650" t="s">
        <v>115</v>
      </c>
      <c r="D417" s="1654" t="s">
        <v>115</v>
      </c>
      <c r="E417" s="1650" t="s">
        <v>115</v>
      </c>
      <c r="F417" s="1654" t="s">
        <v>115</v>
      </c>
      <c r="G417" s="1650" t="s">
        <v>115</v>
      </c>
      <c r="H417" s="1654">
        <v>6.0000000000000001E-3</v>
      </c>
      <c r="I417" s="1650" t="s">
        <v>3663</v>
      </c>
      <c r="J417" s="1654" t="s">
        <v>115</v>
      </c>
      <c r="K417" s="1655" t="s">
        <v>115</v>
      </c>
      <c r="L417" t="str">
        <f t="shared" si="18"/>
        <v/>
      </c>
      <c r="M417" t="str">
        <f t="shared" si="19"/>
        <v/>
      </c>
      <c r="N417" t="str">
        <f t="shared" si="20"/>
        <v>--</v>
      </c>
    </row>
    <row r="418" spans="1:14">
      <c r="A418" s="1650" t="s">
        <v>2538</v>
      </c>
      <c r="B418" s="1649" t="s">
        <v>2539</v>
      </c>
      <c r="C418" s="1650" t="s">
        <v>115</v>
      </c>
      <c r="D418" s="1654" t="s">
        <v>115</v>
      </c>
      <c r="E418" s="1650" t="s">
        <v>115</v>
      </c>
      <c r="F418" s="1654" t="s">
        <v>115</v>
      </c>
      <c r="G418" s="1650" t="s">
        <v>115</v>
      </c>
      <c r="H418" s="1654">
        <v>0.1</v>
      </c>
      <c r="I418" s="1650" t="s">
        <v>1280</v>
      </c>
      <c r="J418" s="1654">
        <v>0.08</v>
      </c>
      <c r="K418" s="1655" t="s">
        <v>1234</v>
      </c>
      <c r="L418" t="str">
        <f t="shared" si="18"/>
        <v/>
      </c>
      <c r="M418" t="str">
        <f t="shared" si="19"/>
        <v/>
      </c>
      <c r="N418" t="str">
        <f t="shared" si="20"/>
        <v>--</v>
      </c>
    </row>
    <row r="419" spans="1:14">
      <c r="A419" s="1650" t="s">
        <v>2540</v>
      </c>
      <c r="B419" s="1649" t="s">
        <v>2541</v>
      </c>
      <c r="C419" s="1650" t="s">
        <v>115</v>
      </c>
      <c r="D419" s="1654" t="s">
        <v>115</v>
      </c>
      <c r="E419" s="1650" t="s">
        <v>115</v>
      </c>
      <c r="F419" s="1654" t="s">
        <v>115</v>
      </c>
      <c r="G419" s="1650" t="s">
        <v>115</v>
      </c>
      <c r="H419" s="1654">
        <v>4.0000000000000002E-4</v>
      </c>
      <c r="I419" s="1650" t="s">
        <v>1277</v>
      </c>
      <c r="J419" s="1654">
        <v>1</v>
      </c>
      <c r="K419" s="1655" t="s">
        <v>3616</v>
      </c>
      <c r="L419" t="str">
        <f t="shared" si="18"/>
        <v/>
      </c>
      <c r="M419" t="str">
        <f t="shared" si="19"/>
        <v/>
      </c>
      <c r="N419" t="str">
        <f t="shared" si="20"/>
        <v>--</v>
      </c>
    </row>
    <row r="420" spans="1:14">
      <c r="A420" s="1650" t="s">
        <v>2542</v>
      </c>
      <c r="B420" s="1649" t="s">
        <v>2543</v>
      </c>
      <c r="C420" s="1650" t="s">
        <v>115</v>
      </c>
      <c r="D420" s="1654" t="s">
        <v>115</v>
      </c>
      <c r="E420" s="1650" t="s">
        <v>115</v>
      </c>
      <c r="F420" s="1654" t="s">
        <v>115</v>
      </c>
      <c r="G420" s="1650" t="s">
        <v>115</v>
      </c>
      <c r="H420" s="1654">
        <v>0.1</v>
      </c>
      <c r="I420" s="1650" t="s">
        <v>1277</v>
      </c>
      <c r="J420" s="1654" t="s">
        <v>115</v>
      </c>
      <c r="K420" s="1655" t="s">
        <v>115</v>
      </c>
      <c r="L420" t="str">
        <f t="shared" si="18"/>
        <v/>
      </c>
      <c r="M420" t="str">
        <f t="shared" si="19"/>
        <v/>
      </c>
      <c r="N420" t="str">
        <f t="shared" si="20"/>
        <v>--</v>
      </c>
    </row>
    <row r="421" spans="1:14">
      <c r="A421" s="1650" t="s">
        <v>2545</v>
      </c>
      <c r="B421" s="1649" t="s">
        <v>2546</v>
      </c>
      <c r="C421" s="1650" t="s">
        <v>115</v>
      </c>
      <c r="D421" s="1654" t="s">
        <v>115</v>
      </c>
      <c r="E421" s="1650" t="s">
        <v>115</v>
      </c>
      <c r="F421" s="1654" t="s">
        <v>115</v>
      </c>
      <c r="G421" s="1650" t="s">
        <v>115</v>
      </c>
      <c r="H421" s="1654">
        <v>0.01</v>
      </c>
      <c r="I421" s="1650" t="s">
        <v>3603</v>
      </c>
      <c r="J421" s="1654">
        <v>40</v>
      </c>
      <c r="K421" s="1655" t="s">
        <v>3609</v>
      </c>
      <c r="L421" t="str">
        <f t="shared" si="18"/>
        <v/>
      </c>
      <c r="M421" t="str">
        <f t="shared" si="19"/>
        <v>Route RfC</v>
      </c>
      <c r="N421" t="str">
        <f t="shared" si="20"/>
        <v>Route RfC</v>
      </c>
    </row>
    <row r="422" spans="1:14">
      <c r="A422" s="1650" t="s">
        <v>2547</v>
      </c>
      <c r="B422" s="1649" t="s">
        <v>2548</v>
      </c>
      <c r="C422" s="1650" t="s">
        <v>115</v>
      </c>
      <c r="D422" s="1654" t="s">
        <v>115</v>
      </c>
      <c r="E422" s="1650" t="s">
        <v>115</v>
      </c>
      <c r="F422" s="1654" t="s">
        <v>115</v>
      </c>
      <c r="G422" s="1650" t="s">
        <v>115</v>
      </c>
      <c r="H422" s="1654">
        <v>0.02</v>
      </c>
      <c r="I422" s="1650" t="s">
        <v>1247</v>
      </c>
      <c r="J422" s="1654" t="s">
        <v>115</v>
      </c>
      <c r="K422" s="1655" t="s">
        <v>115</v>
      </c>
      <c r="L422" t="str">
        <f t="shared" si="18"/>
        <v/>
      </c>
      <c r="M422" t="str">
        <f t="shared" si="19"/>
        <v/>
      </c>
      <c r="N422" t="str">
        <f t="shared" si="20"/>
        <v>--</v>
      </c>
    </row>
    <row r="423" spans="1:14">
      <c r="A423" s="1650" t="s">
        <v>2549</v>
      </c>
      <c r="B423" s="1649" t="s">
        <v>2550</v>
      </c>
      <c r="C423" s="1650" t="s">
        <v>115</v>
      </c>
      <c r="D423" s="1654" t="s">
        <v>115</v>
      </c>
      <c r="E423" s="1650" t="s">
        <v>115</v>
      </c>
      <c r="F423" s="1654" t="s">
        <v>115</v>
      </c>
      <c r="G423" s="1650" t="s">
        <v>115</v>
      </c>
      <c r="H423" s="1654">
        <v>0.03</v>
      </c>
      <c r="I423" s="1650" t="s">
        <v>3603</v>
      </c>
      <c r="J423" s="1654" t="s">
        <v>115</v>
      </c>
      <c r="K423" s="1655" t="s">
        <v>115</v>
      </c>
      <c r="L423" t="str">
        <f t="shared" si="18"/>
        <v/>
      </c>
      <c r="M423" t="str">
        <f t="shared" si="19"/>
        <v/>
      </c>
      <c r="N423" t="str">
        <f t="shared" si="20"/>
        <v>--</v>
      </c>
    </row>
    <row r="424" spans="1:14">
      <c r="A424" s="1650" t="s">
        <v>2551</v>
      </c>
      <c r="B424" s="1649" t="s">
        <v>3857</v>
      </c>
      <c r="C424" s="1650" t="s">
        <v>115</v>
      </c>
      <c r="D424" s="1654" t="s">
        <v>115</v>
      </c>
      <c r="E424" s="1650" t="s">
        <v>115</v>
      </c>
      <c r="F424" s="1654" t="s">
        <v>115</v>
      </c>
      <c r="G424" s="1650" t="s">
        <v>115</v>
      </c>
      <c r="H424" s="1654">
        <v>5.0000000000000002E-5</v>
      </c>
      <c r="I424" s="1650" t="s">
        <v>1277</v>
      </c>
      <c r="J424" s="1654" t="s">
        <v>115</v>
      </c>
      <c r="K424" s="1655" t="s">
        <v>115</v>
      </c>
      <c r="L424" t="str">
        <f t="shared" si="18"/>
        <v/>
      </c>
      <c r="M424" t="str">
        <f t="shared" si="19"/>
        <v/>
      </c>
      <c r="N424" t="str">
        <f t="shared" si="20"/>
        <v>--</v>
      </c>
    </row>
    <row r="425" spans="1:14">
      <c r="A425" s="1650" t="s">
        <v>2569</v>
      </c>
      <c r="B425" s="1649" t="s">
        <v>3858</v>
      </c>
      <c r="C425" s="1650" t="s">
        <v>115</v>
      </c>
      <c r="D425" s="1654">
        <v>4</v>
      </c>
      <c r="E425" s="1650" t="s">
        <v>3600</v>
      </c>
      <c r="F425" s="1654">
        <v>1.1000000000000001E-3</v>
      </c>
      <c r="G425" s="1650" t="s">
        <v>3600</v>
      </c>
      <c r="H425" s="1654" t="s">
        <v>115</v>
      </c>
      <c r="I425" s="1650" t="s">
        <v>115</v>
      </c>
      <c r="J425" s="1654" t="s">
        <v>115</v>
      </c>
      <c r="K425" s="1655" t="s">
        <v>115</v>
      </c>
      <c r="L425" t="str">
        <f t="shared" si="18"/>
        <v/>
      </c>
      <c r="M425" t="str">
        <f t="shared" si="19"/>
        <v/>
      </c>
      <c r="N425" t="str">
        <f t="shared" si="20"/>
        <v>--</v>
      </c>
    </row>
    <row r="426" spans="1:14">
      <c r="A426" s="1650" t="s">
        <v>200</v>
      </c>
      <c r="B426" s="1649" t="s">
        <v>199</v>
      </c>
      <c r="C426" s="1650" t="s">
        <v>115</v>
      </c>
      <c r="D426" s="1654">
        <v>4.5</v>
      </c>
      <c r="E426" s="1650" t="s">
        <v>1277</v>
      </c>
      <c r="F426" s="1654">
        <v>1.2999999999999999E-3</v>
      </c>
      <c r="G426" s="1650" t="s">
        <v>1277</v>
      </c>
      <c r="H426" s="1654">
        <v>1E-4</v>
      </c>
      <c r="I426" s="1650" t="s">
        <v>1280</v>
      </c>
      <c r="J426" s="1654">
        <v>2</v>
      </c>
      <c r="K426" s="1655" t="s">
        <v>3598</v>
      </c>
      <c r="L426" t="str">
        <f t="shared" si="18"/>
        <v/>
      </c>
      <c r="M426" t="str">
        <f t="shared" si="19"/>
        <v>Route RfC</v>
      </c>
      <c r="N426" t="str">
        <f t="shared" si="20"/>
        <v>Route RfC</v>
      </c>
    </row>
    <row r="427" spans="1:14">
      <c r="A427" s="1650" t="s">
        <v>202</v>
      </c>
      <c r="B427" s="1649" t="s">
        <v>2553</v>
      </c>
      <c r="C427" s="1650" t="s">
        <v>115</v>
      </c>
      <c r="D427" s="1654">
        <v>9.1</v>
      </c>
      <c r="E427" s="1650" t="s">
        <v>1277</v>
      </c>
      <c r="F427" s="1654">
        <v>2.5999999999999999E-3</v>
      </c>
      <c r="G427" s="1650" t="s">
        <v>1277</v>
      </c>
      <c r="H427" s="1654">
        <v>1.2999999999999999E-5</v>
      </c>
      <c r="I427" s="1650" t="s">
        <v>1277</v>
      </c>
      <c r="J427" s="1654">
        <v>5.1999999999999998E-2</v>
      </c>
      <c r="K427" s="1655" t="s">
        <v>3598</v>
      </c>
      <c r="L427" t="str">
        <f t="shared" si="18"/>
        <v/>
      </c>
      <c r="M427" t="str">
        <f t="shared" si="19"/>
        <v>Route RfC</v>
      </c>
      <c r="N427" t="str">
        <f t="shared" si="20"/>
        <v>Route RfC</v>
      </c>
    </row>
    <row r="428" spans="1:14">
      <c r="A428" s="1650" t="s">
        <v>2558</v>
      </c>
      <c r="B428" s="1649" t="s">
        <v>2559</v>
      </c>
      <c r="C428" s="1650" t="s">
        <v>115</v>
      </c>
      <c r="D428" s="1654" t="s">
        <v>115</v>
      </c>
      <c r="E428" s="1650" t="s">
        <v>115</v>
      </c>
      <c r="F428" s="1654" t="s">
        <v>115</v>
      </c>
      <c r="G428" s="1650" t="s">
        <v>115</v>
      </c>
      <c r="H428" s="1654">
        <v>2E-3</v>
      </c>
      <c r="I428" s="1650" t="s">
        <v>1277</v>
      </c>
      <c r="J428" s="1654">
        <v>8</v>
      </c>
      <c r="K428" s="1655" t="s">
        <v>3598</v>
      </c>
      <c r="L428" t="str">
        <f t="shared" si="18"/>
        <v/>
      </c>
      <c r="M428" t="str">
        <f t="shared" si="19"/>
        <v>Route RfC</v>
      </c>
      <c r="N428" t="str">
        <f t="shared" si="20"/>
        <v>Route RfC</v>
      </c>
    </row>
    <row r="429" spans="1:14">
      <c r="A429" s="1650" t="s">
        <v>204</v>
      </c>
      <c r="B429" s="1649" t="s">
        <v>203</v>
      </c>
      <c r="C429" s="1650" t="s">
        <v>115</v>
      </c>
      <c r="D429" s="1654">
        <v>1.8</v>
      </c>
      <c r="E429" s="1650" t="s">
        <v>3600</v>
      </c>
      <c r="F429" s="1654">
        <v>5.1000000000000004E-4</v>
      </c>
      <c r="G429" s="1650" t="s">
        <v>3600</v>
      </c>
      <c r="H429" s="1654">
        <v>1.0000000000000001E-5</v>
      </c>
      <c r="I429" s="1650" t="s">
        <v>1247</v>
      </c>
      <c r="J429" s="1654">
        <v>3.2</v>
      </c>
      <c r="K429" s="1655" t="s">
        <v>3600</v>
      </c>
      <c r="L429" t="str">
        <f t="shared" si="18"/>
        <v/>
      </c>
      <c r="M429" t="str">
        <f t="shared" si="19"/>
        <v/>
      </c>
      <c r="N429" t="str">
        <f t="shared" si="20"/>
        <v>--</v>
      </c>
    </row>
    <row r="430" spans="1:14">
      <c r="A430" s="1650" t="s">
        <v>206</v>
      </c>
      <c r="B430" s="1649" t="s">
        <v>205</v>
      </c>
      <c r="C430" s="1650" t="s">
        <v>115</v>
      </c>
      <c r="D430" s="1654">
        <v>7.8E-2</v>
      </c>
      <c r="E430" s="1650" t="s">
        <v>1277</v>
      </c>
      <c r="F430" s="1654">
        <v>2.1999999999999999E-5</v>
      </c>
      <c r="G430" s="1650" t="s">
        <v>1277</v>
      </c>
      <c r="H430" s="1654">
        <v>1E-3</v>
      </c>
      <c r="I430" s="1650" t="s">
        <v>1247</v>
      </c>
      <c r="J430" s="1654">
        <v>4</v>
      </c>
      <c r="K430" s="1655" t="s">
        <v>3605</v>
      </c>
      <c r="L430" t="str">
        <f t="shared" si="18"/>
        <v/>
      </c>
      <c r="M430" t="str">
        <f t="shared" si="19"/>
        <v>Route RfC</v>
      </c>
      <c r="N430" t="str">
        <f t="shared" si="20"/>
        <v>Route RfC</v>
      </c>
    </row>
    <row r="431" spans="1:14">
      <c r="A431" s="1650" t="s">
        <v>2571</v>
      </c>
      <c r="B431" s="1649" t="s">
        <v>2572</v>
      </c>
      <c r="C431" s="1650" t="s">
        <v>115</v>
      </c>
      <c r="D431" s="1654" t="s">
        <v>115</v>
      </c>
      <c r="E431" s="1650" t="s">
        <v>115</v>
      </c>
      <c r="F431" s="1654" t="s">
        <v>115</v>
      </c>
      <c r="G431" s="1650" t="s">
        <v>115</v>
      </c>
      <c r="H431" s="1654">
        <v>6.0000000000000001E-3</v>
      </c>
      <c r="I431" s="1650" t="s">
        <v>1277</v>
      </c>
      <c r="J431" s="1654">
        <v>0.2</v>
      </c>
      <c r="K431" s="1655" t="s">
        <v>1277</v>
      </c>
      <c r="L431" t="str">
        <f t="shared" si="18"/>
        <v/>
      </c>
      <c r="M431" t="str">
        <f t="shared" si="19"/>
        <v/>
      </c>
      <c r="N431" t="str">
        <f t="shared" si="20"/>
        <v>--</v>
      </c>
    </row>
    <row r="432" spans="1:14">
      <c r="A432" s="1650" t="s">
        <v>210</v>
      </c>
      <c r="B432" s="1649" t="s">
        <v>209</v>
      </c>
      <c r="C432" s="1650" t="s">
        <v>115</v>
      </c>
      <c r="D432" s="1654">
        <v>0.04</v>
      </c>
      <c r="E432" s="1650" t="s">
        <v>1277</v>
      </c>
      <c r="F432" s="1654">
        <v>1.1E-5</v>
      </c>
      <c r="G432" s="1650" t="s">
        <v>1234</v>
      </c>
      <c r="H432" s="1654">
        <v>6.9999999999999999E-4</v>
      </c>
      <c r="I432" s="1650" t="s">
        <v>1277</v>
      </c>
      <c r="J432" s="1654">
        <v>30</v>
      </c>
      <c r="K432" s="1655" t="s">
        <v>1277</v>
      </c>
      <c r="L432" t="str">
        <f t="shared" si="18"/>
        <v/>
      </c>
      <c r="M432" t="str">
        <f t="shared" si="19"/>
        <v/>
      </c>
      <c r="N432" t="str">
        <f t="shared" si="20"/>
        <v>--</v>
      </c>
    </row>
    <row r="433" spans="1:14">
      <c r="A433" s="1650" t="s">
        <v>2573</v>
      </c>
      <c r="B433" s="1649" t="s">
        <v>2574</v>
      </c>
      <c r="C433" s="1650" t="s">
        <v>115</v>
      </c>
      <c r="D433" s="1654" t="s">
        <v>115</v>
      </c>
      <c r="E433" s="1650" t="s">
        <v>115</v>
      </c>
      <c r="F433" s="1654" t="s">
        <v>115</v>
      </c>
      <c r="G433" s="1650" t="s">
        <v>115</v>
      </c>
      <c r="H433" s="1654">
        <v>2.9999999999999997E-4</v>
      </c>
      <c r="I433" s="1650" t="s">
        <v>1277</v>
      </c>
      <c r="J433" s="1654" t="s">
        <v>115</v>
      </c>
      <c r="K433" s="1655" t="s">
        <v>115</v>
      </c>
      <c r="L433" t="str">
        <f t="shared" si="18"/>
        <v/>
      </c>
      <c r="M433" t="str">
        <f t="shared" si="19"/>
        <v/>
      </c>
      <c r="N433" t="str">
        <f t="shared" si="20"/>
        <v>--</v>
      </c>
    </row>
    <row r="434" spans="1:14">
      <c r="A434" s="1650" t="s">
        <v>2583</v>
      </c>
      <c r="B434" s="1649" t="s">
        <v>2584</v>
      </c>
      <c r="C434" s="1650" t="s">
        <v>115</v>
      </c>
      <c r="D434" s="1654" t="s">
        <v>115</v>
      </c>
      <c r="E434" s="1650" t="s">
        <v>115</v>
      </c>
      <c r="F434" s="1654" t="s">
        <v>115</v>
      </c>
      <c r="G434" s="1650" t="s">
        <v>115</v>
      </c>
      <c r="H434" s="1654">
        <v>4.0000000000000002E-4</v>
      </c>
      <c r="I434" s="1650" t="s">
        <v>1247</v>
      </c>
      <c r="J434" s="1654" t="s">
        <v>115</v>
      </c>
      <c r="K434" s="1655" t="s">
        <v>115</v>
      </c>
      <c r="L434" t="str">
        <f t="shared" si="18"/>
        <v/>
      </c>
      <c r="M434" t="str">
        <f t="shared" si="19"/>
        <v/>
      </c>
      <c r="N434" t="str">
        <f t="shared" si="20"/>
        <v>--</v>
      </c>
    </row>
    <row r="435" spans="1:14">
      <c r="A435" s="1650" t="s">
        <v>2587</v>
      </c>
      <c r="B435" s="1649" t="s">
        <v>3859</v>
      </c>
      <c r="C435" s="1650" t="s">
        <v>115</v>
      </c>
      <c r="D435" s="1654" t="s">
        <v>115</v>
      </c>
      <c r="E435" s="1650" t="s">
        <v>115</v>
      </c>
      <c r="F435" s="1654" t="s">
        <v>115</v>
      </c>
      <c r="G435" s="1650" t="s">
        <v>115</v>
      </c>
      <c r="H435" s="1654" t="s">
        <v>115</v>
      </c>
      <c r="I435" s="1650" t="s">
        <v>115</v>
      </c>
      <c r="J435" s="1654">
        <v>700</v>
      </c>
      <c r="K435" s="1655" t="s">
        <v>1277</v>
      </c>
      <c r="L435" t="str">
        <f t="shared" si="18"/>
        <v/>
      </c>
      <c r="M435" t="str">
        <f t="shared" si="19"/>
        <v/>
      </c>
      <c r="N435" t="str">
        <f t="shared" si="20"/>
        <v>--</v>
      </c>
    </row>
    <row r="436" spans="1:14">
      <c r="A436" s="1650" t="s">
        <v>2589</v>
      </c>
      <c r="B436" s="1649" t="s">
        <v>2590</v>
      </c>
      <c r="C436" s="1650" t="s">
        <v>115</v>
      </c>
      <c r="D436" s="1654" t="s">
        <v>115</v>
      </c>
      <c r="E436" s="1650" t="s">
        <v>115</v>
      </c>
      <c r="F436" s="1654" t="s">
        <v>115</v>
      </c>
      <c r="G436" s="1650" t="s">
        <v>115</v>
      </c>
      <c r="H436" s="1654">
        <v>2</v>
      </c>
      <c r="I436" s="1650" t="s">
        <v>1247</v>
      </c>
      <c r="J436" s="1654" t="s">
        <v>115</v>
      </c>
      <c r="K436" s="1655" t="s">
        <v>115</v>
      </c>
      <c r="L436" t="str">
        <f t="shared" si="18"/>
        <v/>
      </c>
      <c r="M436" t="str">
        <f t="shared" si="19"/>
        <v/>
      </c>
      <c r="N436" t="str">
        <f t="shared" si="20"/>
        <v>--</v>
      </c>
    </row>
    <row r="437" spans="1:14">
      <c r="A437" s="1650" t="s">
        <v>2595</v>
      </c>
      <c r="B437" s="1649" t="s">
        <v>2596</v>
      </c>
      <c r="C437" s="1650" t="s">
        <v>115</v>
      </c>
      <c r="D437" s="1654" t="s">
        <v>115</v>
      </c>
      <c r="E437" s="1650" t="s">
        <v>115</v>
      </c>
      <c r="F437" s="1654" t="s">
        <v>115</v>
      </c>
      <c r="G437" s="1650" t="s">
        <v>115</v>
      </c>
      <c r="H437" s="1654">
        <v>3.3000000000000002E-2</v>
      </c>
      <c r="I437" s="1650" t="s">
        <v>1277</v>
      </c>
      <c r="J437" s="1654" t="s">
        <v>115</v>
      </c>
      <c r="K437" s="1655" t="s">
        <v>115</v>
      </c>
      <c r="L437" t="str">
        <f t="shared" si="18"/>
        <v/>
      </c>
      <c r="M437" t="str">
        <f t="shared" si="19"/>
        <v/>
      </c>
      <c r="N437" t="str">
        <f t="shared" si="20"/>
        <v>--</v>
      </c>
    </row>
    <row r="438" spans="1:14">
      <c r="A438" s="1650" t="s">
        <v>2597</v>
      </c>
      <c r="B438" s="1649" t="s">
        <v>2598</v>
      </c>
      <c r="C438" s="1650" t="s">
        <v>115</v>
      </c>
      <c r="D438" s="1654" t="s">
        <v>115</v>
      </c>
      <c r="E438" s="1650" t="s">
        <v>115</v>
      </c>
      <c r="F438" s="1654" t="s">
        <v>115</v>
      </c>
      <c r="G438" s="1650" t="s">
        <v>115</v>
      </c>
      <c r="H438" s="1654">
        <v>2.5000000000000001E-2</v>
      </c>
      <c r="I438" s="1650" t="s">
        <v>1277</v>
      </c>
      <c r="J438" s="1654" t="s">
        <v>115</v>
      </c>
      <c r="K438" s="1655" t="s">
        <v>115</v>
      </c>
      <c r="L438" t="str">
        <f t="shared" si="18"/>
        <v/>
      </c>
      <c r="M438" t="str">
        <f t="shared" si="19"/>
        <v/>
      </c>
      <c r="N438" t="str">
        <f t="shared" si="20"/>
        <v>--</v>
      </c>
    </row>
    <row r="439" spans="1:14">
      <c r="A439" s="1650" t="s">
        <v>2896</v>
      </c>
      <c r="B439" s="1649" t="s">
        <v>3860</v>
      </c>
      <c r="C439" s="1650" t="s">
        <v>115</v>
      </c>
      <c r="D439" s="1654" t="s">
        <v>115</v>
      </c>
      <c r="E439" s="1650" t="s">
        <v>115</v>
      </c>
      <c r="F439" s="1654" t="s">
        <v>115</v>
      </c>
      <c r="G439" s="1650" t="s">
        <v>115</v>
      </c>
      <c r="H439" s="1654">
        <v>0.05</v>
      </c>
      <c r="I439" s="1650" t="s">
        <v>1277</v>
      </c>
      <c r="J439" s="1654" t="s">
        <v>115</v>
      </c>
      <c r="K439" s="1655" t="s">
        <v>115</v>
      </c>
      <c r="L439" t="str">
        <f t="shared" si="18"/>
        <v/>
      </c>
      <c r="M439" t="str">
        <f t="shared" si="19"/>
        <v/>
      </c>
      <c r="N439" t="str">
        <f t="shared" si="20"/>
        <v>--</v>
      </c>
    </row>
    <row r="440" spans="1:14" ht="25.5">
      <c r="A440" s="1650" t="s">
        <v>2409</v>
      </c>
      <c r="B440" s="1649" t="s">
        <v>2410</v>
      </c>
      <c r="C440" s="1650" t="s">
        <v>115</v>
      </c>
      <c r="D440" s="1654">
        <v>6200</v>
      </c>
      <c r="E440" s="1650" t="s">
        <v>1277</v>
      </c>
      <c r="F440" s="1654">
        <v>3.8</v>
      </c>
      <c r="G440" s="1650" t="s">
        <v>3861</v>
      </c>
      <c r="H440" s="1654" t="s">
        <v>115</v>
      </c>
      <c r="I440" s="1650" t="s">
        <v>115</v>
      </c>
      <c r="J440" s="1654" t="s">
        <v>115</v>
      </c>
      <c r="K440" s="1655" t="s">
        <v>115</v>
      </c>
      <c r="L440" t="str">
        <f t="shared" si="18"/>
        <v/>
      </c>
      <c r="M440" t="str">
        <f t="shared" si="19"/>
        <v/>
      </c>
      <c r="N440" t="str">
        <f t="shared" si="20"/>
        <v>--</v>
      </c>
    </row>
    <row r="441" spans="1:14">
      <c r="A441" s="1650" t="s">
        <v>2599</v>
      </c>
      <c r="B441" s="1649" t="s">
        <v>2600</v>
      </c>
      <c r="C441" s="1650" t="s">
        <v>115</v>
      </c>
      <c r="D441" s="1654" t="s">
        <v>115</v>
      </c>
      <c r="E441" s="1650" t="s">
        <v>115</v>
      </c>
      <c r="F441" s="1654" t="s">
        <v>115</v>
      </c>
      <c r="G441" s="1650" t="s">
        <v>115</v>
      </c>
      <c r="H441" s="1654">
        <v>1.7000000000000001E-2</v>
      </c>
      <c r="I441" s="1650" t="s">
        <v>3663</v>
      </c>
      <c r="J441" s="1654" t="s">
        <v>115</v>
      </c>
      <c r="K441" s="1655" t="s">
        <v>115</v>
      </c>
      <c r="L441" t="str">
        <f t="shared" si="18"/>
        <v/>
      </c>
      <c r="M441" t="str">
        <f t="shared" si="19"/>
        <v/>
      </c>
      <c r="N441" t="str">
        <f t="shared" si="20"/>
        <v>--</v>
      </c>
    </row>
    <row r="442" spans="1:14">
      <c r="A442" s="1650" t="s">
        <v>2601</v>
      </c>
      <c r="B442" s="1649" t="s">
        <v>2602</v>
      </c>
      <c r="C442" s="1650" t="s">
        <v>115</v>
      </c>
      <c r="D442" s="1654">
        <v>3</v>
      </c>
      <c r="E442" s="1650" t="s">
        <v>1277</v>
      </c>
      <c r="F442" s="1654">
        <v>4.8999999999999998E-3</v>
      </c>
      <c r="G442" s="1650" t="s">
        <v>1277</v>
      </c>
      <c r="H442" s="1654" t="s">
        <v>115</v>
      </c>
      <c r="I442" s="1650" t="s">
        <v>115</v>
      </c>
      <c r="J442" s="1654">
        <v>0.03</v>
      </c>
      <c r="K442" s="1655" t="s">
        <v>1247</v>
      </c>
      <c r="L442" t="str">
        <f t="shared" si="18"/>
        <v/>
      </c>
      <c r="M442" t="str">
        <f t="shared" si="19"/>
        <v/>
      </c>
      <c r="N442" t="str">
        <f t="shared" si="20"/>
        <v>--</v>
      </c>
    </row>
    <row r="443" spans="1:14">
      <c r="A443" s="1650" t="s">
        <v>2603</v>
      </c>
      <c r="B443" s="1649" t="s">
        <v>2604</v>
      </c>
      <c r="C443" s="1650" t="s">
        <v>115</v>
      </c>
      <c r="D443" s="1654">
        <v>3</v>
      </c>
      <c r="E443" s="1650" t="s">
        <v>1277</v>
      </c>
      <c r="F443" s="1654">
        <v>4.8999999999999998E-3</v>
      </c>
      <c r="G443" s="1650" t="s">
        <v>1277</v>
      </c>
      <c r="H443" s="1654" t="s">
        <v>115</v>
      </c>
      <c r="I443" s="1650" t="s">
        <v>115</v>
      </c>
      <c r="J443" s="1654" t="s">
        <v>115</v>
      </c>
      <c r="K443" s="1655" t="s">
        <v>115</v>
      </c>
      <c r="L443" t="str">
        <f t="shared" si="18"/>
        <v/>
      </c>
      <c r="M443" t="str">
        <f t="shared" si="19"/>
        <v/>
      </c>
      <c r="N443" t="str">
        <f t="shared" si="20"/>
        <v>--</v>
      </c>
    </row>
    <row r="444" spans="1:14">
      <c r="A444" s="1650" t="s">
        <v>2605</v>
      </c>
      <c r="B444" s="1649" t="s">
        <v>2606</v>
      </c>
      <c r="C444" s="1650" t="s">
        <v>115</v>
      </c>
      <c r="D444" s="1654" t="s">
        <v>115</v>
      </c>
      <c r="E444" s="1650" t="s">
        <v>115</v>
      </c>
      <c r="F444" s="1654" t="s">
        <v>115</v>
      </c>
      <c r="G444" s="1650" t="s">
        <v>115</v>
      </c>
      <c r="H444" s="1654" t="s">
        <v>115</v>
      </c>
      <c r="I444" s="1650" t="s">
        <v>115</v>
      </c>
      <c r="J444" s="1654">
        <v>9</v>
      </c>
      <c r="K444" s="1655" t="s">
        <v>3600</v>
      </c>
      <c r="L444" t="str">
        <f t="shared" si="18"/>
        <v/>
      </c>
      <c r="M444" t="str">
        <f t="shared" si="19"/>
        <v/>
      </c>
      <c r="N444" t="str">
        <f t="shared" si="20"/>
        <v>--</v>
      </c>
    </row>
    <row r="445" spans="1:14">
      <c r="A445" s="1650" t="s">
        <v>2226</v>
      </c>
      <c r="B445" s="1649" t="s">
        <v>3862</v>
      </c>
      <c r="C445" s="1650" t="s">
        <v>115</v>
      </c>
      <c r="D445" s="1654" t="s">
        <v>115</v>
      </c>
      <c r="E445" s="1650" t="s">
        <v>115</v>
      </c>
      <c r="F445" s="1654" t="s">
        <v>115</v>
      </c>
      <c r="G445" s="1650" t="s">
        <v>115</v>
      </c>
      <c r="H445" s="1654">
        <v>5.9999999999999995E-4</v>
      </c>
      <c r="I445" s="1650" t="s">
        <v>1277</v>
      </c>
      <c r="J445" s="1654">
        <v>0.8</v>
      </c>
      <c r="K445" s="1655" t="s">
        <v>1277</v>
      </c>
      <c r="L445" t="str">
        <f t="shared" si="18"/>
        <v/>
      </c>
      <c r="M445" t="str">
        <f t="shared" si="19"/>
        <v/>
      </c>
      <c r="N445" t="str">
        <f t="shared" si="20"/>
        <v>--</v>
      </c>
    </row>
    <row r="446" spans="1:14">
      <c r="A446" s="1650" t="s">
        <v>2608</v>
      </c>
      <c r="B446" s="1649" t="s">
        <v>2609</v>
      </c>
      <c r="C446" s="1650" t="s">
        <v>115</v>
      </c>
      <c r="D446" s="1654" t="s">
        <v>115</v>
      </c>
      <c r="E446" s="1650" t="s">
        <v>115</v>
      </c>
      <c r="F446" s="1654" t="s">
        <v>115</v>
      </c>
      <c r="G446" s="1650" t="s">
        <v>115</v>
      </c>
      <c r="H446" s="1654">
        <v>0.04</v>
      </c>
      <c r="I446" s="1650" t="s">
        <v>1234</v>
      </c>
      <c r="J446" s="1654">
        <v>14</v>
      </c>
      <c r="K446" s="1655"/>
      <c r="L446" t="str">
        <f t="shared" si="18"/>
        <v/>
      </c>
      <c r="M446" t="str">
        <f t="shared" si="19"/>
        <v/>
      </c>
      <c r="N446" t="str">
        <f t="shared" si="20"/>
        <v>--</v>
      </c>
    </row>
    <row r="447" spans="1:14">
      <c r="A447" s="1656">
        <v>2148878</v>
      </c>
      <c r="B447" s="1649" t="s">
        <v>2611</v>
      </c>
      <c r="C447" s="1650" t="s">
        <v>115</v>
      </c>
      <c r="D447" s="1654" t="s">
        <v>115</v>
      </c>
      <c r="E447" s="1650" t="s">
        <v>115</v>
      </c>
      <c r="F447" s="1654" t="s">
        <v>115</v>
      </c>
      <c r="G447" s="1650" t="s">
        <v>115</v>
      </c>
      <c r="H447" s="1654" t="s">
        <v>115</v>
      </c>
      <c r="I447" s="1650" t="s">
        <v>115</v>
      </c>
      <c r="J447" s="1654">
        <v>2</v>
      </c>
      <c r="K447" s="1655" t="s">
        <v>1277</v>
      </c>
      <c r="L447" t="str">
        <f t="shared" si="18"/>
        <v/>
      </c>
      <c r="M447" t="str">
        <f t="shared" si="19"/>
        <v/>
      </c>
      <c r="N447" t="str">
        <f t="shared" si="20"/>
        <v>--</v>
      </c>
    </row>
    <row r="448" spans="1:14">
      <c r="A448" s="1650" t="s">
        <v>2613</v>
      </c>
      <c r="B448" s="1649" t="s">
        <v>2614</v>
      </c>
      <c r="C448" s="1650" t="s">
        <v>115</v>
      </c>
      <c r="D448" s="1654">
        <v>0.06</v>
      </c>
      <c r="E448" s="1650" t="s">
        <v>1247</v>
      </c>
      <c r="F448" s="1654" t="s">
        <v>115</v>
      </c>
      <c r="G448" s="1650" t="s">
        <v>115</v>
      </c>
      <c r="H448" s="1654">
        <v>0.04</v>
      </c>
      <c r="I448" s="1650" t="s">
        <v>1247</v>
      </c>
      <c r="J448" s="1654" t="s">
        <v>115</v>
      </c>
      <c r="K448" s="1655" t="s">
        <v>115</v>
      </c>
      <c r="L448" t="str">
        <f t="shared" si="18"/>
        <v/>
      </c>
      <c r="M448" t="str">
        <f t="shared" si="19"/>
        <v/>
      </c>
      <c r="N448" t="str">
        <f t="shared" si="20"/>
        <v>--</v>
      </c>
    </row>
    <row r="449" spans="1:14">
      <c r="A449" s="1650" t="s">
        <v>2615</v>
      </c>
      <c r="B449" s="1649" t="s">
        <v>2616</v>
      </c>
      <c r="C449" s="1650" t="s">
        <v>115</v>
      </c>
      <c r="D449" s="1654">
        <v>6.0999999999999999E-2</v>
      </c>
      <c r="E449" s="1650" t="s">
        <v>3663</v>
      </c>
      <c r="F449" s="1654" t="s">
        <v>115</v>
      </c>
      <c r="G449" s="1650" t="s">
        <v>115</v>
      </c>
      <c r="H449" s="1654">
        <v>0.11</v>
      </c>
      <c r="I449" s="1650" t="s">
        <v>3663</v>
      </c>
      <c r="J449" s="1654" t="s">
        <v>115</v>
      </c>
      <c r="K449" s="1655" t="s">
        <v>115</v>
      </c>
      <c r="L449" t="str">
        <f t="shared" si="18"/>
        <v/>
      </c>
      <c r="M449" t="str">
        <f t="shared" si="19"/>
        <v/>
      </c>
      <c r="N449" t="str">
        <f t="shared" si="20"/>
        <v>--</v>
      </c>
    </row>
    <row r="450" spans="1:14">
      <c r="A450" s="1650" t="s">
        <v>2617</v>
      </c>
      <c r="B450" s="1649" t="s">
        <v>2618</v>
      </c>
      <c r="C450" s="1650" t="s">
        <v>115</v>
      </c>
      <c r="D450" s="1654" t="s">
        <v>115</v>
      </c>
      <c r="E450" s="1650" t="s">
        <v>115</v>
      </c>
      <c r="F450" s="1654" t="s">
        <v>115</v>
      </c>
      <c r="G450" s="1650" t="s">
        <v>115</v>
      </c>
      <c r="H450" s="1654">
        <v>0.25</v>
      </c>
      <c r="I450" s="1650" t="s">
        <v>1277</v>
      </c>
      <c r="J450" s="1654" t="s">
        <v>115</v>
      </c>
      <c r="K450" s="1655" t="s">
        <v>115</v>
      </c>
      <c r="L450" t="str">
        <f t="shared" si="18"/>
        <v/>
      </c>
      <c r="M450" t="str">
        <f t="shared" si="19"/>
        <v/>
      </c>
      <c r="N450" t="str">
        <f t="shared" si="20"/>
        <v>--</v>
      </c>
    </row>
    <row r="451" spans="1:14">
      <c r="A451" s="1650" t="s">
        <v>2619</v>
      </c>
      <c r="B451" s="1649" t="s">
        <v>2620</v>
      </c>
      <c r="C451" s="1650" t="s">
        <v>115</v>
      </c>
      <c r="D451" s="1654" t="s">
        <v>115</v>
      </c>
      <c r="E451" s="1650" t="s">
        <v>115</v>
      </c>
      <c r="F451" s="1654" t="s">
        <v>115</v>
      </c>
      <c r="G451" s="1650" t="s">
        <v>115</v>
      </c>
      <c r="H451" s="1654">
        <v>2.5</v>
      </c>
      <c r="I451" s="1650" t="s">
        <v>3663</v>
      </c>
      <c r="J451" s="1654" t="s">
        <v>115</v>
      </c>
      <c r="K451" s="1655" t="s">
        <v>115</v>
      </c>
      <c r="L451" t="str">
        <f t="shared" si="18"/>
        <v/>
      </c>
      <c r="M451" t="str">
        <f t="shared" si="19"/>
        <v/>
      </c>
      <c r="N451" t="str">
        <f t="shared" si="20"/>
        <v>--</v>
      </c>
    </row>
    <row r="452" spans="1:14" ht="25.5">
      <c r="A452" s="1650" t="s">
        <v>254</v>
      </c>
      <c r="B452" s="1649" t="s">
        <v>3863</v>
      </c>
      <c r="C452" s="1650" t="s">
        <v>1906</v>
      </c>
      <c r="D452" s="1654">
        <v>0.1</v>
      </c>
      <c r="E452" s="1650" t="s">
        <v>3769</v>
      </c>
      <c r="F452" s="1654">
        <v>1.1E-4</v>
      </c>
      <c r="G452" s="1650" t="s">
        <v>3770</v>
      </c>
      <c r="H452" s="1654" t="s">
        <v>115</v>
      </c>
      <c r="I452" s="1650" t="s">
        <v>115</v>
      </c>
      <c r="J452" s="1654" t="s">
        <v>115</v>
      </c>
      <c r="K452" s="1655" t="s">
        <v>115</v>
      </c>
      <c r="L452" t="str">
        <f t="shared" si="18"/>
        <v/>
      </c>
      <c r="M452" t="str">
        <f t="shared" si="19"/>
        <v/>
      </c>
      <c r="N452" t="str">
        <f t="shared" si="20"/>
        <v>--</v>
      </c>
    </row>
    <row r="453" spans="1:14">
      <c r="A453" s="1650" t="s">
        <v>2621</v>
      </c>
      <c r="B453" s="1649" t="s">
        <v>2622</v>
      </c>
      <c r="C453" s="1650" t="s">
        <v>115</v>
      </c>
      <c r="D453" s="1654" t="s">
        <v>115</v>
      </c>
      <c r="E453" s="1650" t="s">
        <v>115</v>
      </c>
      <c r="F453" s="1654" t="s">
        <v>115</v>
      </c>
      <c r="G453" s="1650" t="s">
        <v>115</v>
      </c>
      <c r="H453" s="1654">
        <v>0.01</v>
      </c>
      <c r="I453" s="1650" t="s">
        <v>1280</v>
      </c>
      <c r="J453" s="1654" t="s">
        <v>115</v>
      </c>
      <c r="K453" s="1655" t="s">
        <v>115</v>
      </c>
      <c r="L453" t="str">
        <f t="shared" si="18"/>
        <v/>
      </c>
      <c r="M453" t="str">
        <f t="shared" si="19"/>
        <v/>
      </c>
      <c r="N453" t="str">
        <f t="shared" si="20"/>
        <v>--</v>
      </c>
    </row>
    <row r="454" spans="1:14">
      <c r="A454" s="1650" t="s">
        <v>2623</v>
      </c>
      <c r="B454" s="1649" t="s">
        <v>2624</v>
      </c>
      <c r="C454" s="1650" t="s">
        <v>115</v>
      </c>
      <c r="D454" s="1654" t="s">
        <v>115</v>
      </c>
      <c r="E454" s="1650" t="s">
        <v>115</v>
      </c>
      <c r="F454" s="1654" t="s">
        <v>115</v>
      </c>
      <c r="G454" s="1650" t="s">
        <v>115</v>
      </c>
      <c r="H454" s="1654">
        <v>0.04</v>
      </c>
      <c r="I454" s="1650" t="s">
        <v>1277</v>
      </c>
      <c r="J454" s="1654" t="s">
        <v>115</v>
      </c>
      <c r="K454" s="1655" t="s">
        <v>115</v>
      </c>
      <c r="L454" t="str">
        <f t="shared" ref="L454:L517" si="21">IF(COUNTIF(G454,"*Route*"),"Route IUR","")</f>
        <v/>
      </c>
      <c r="M454" t="str">
        <f t="shared" ref="M454:M517" si="22">IF(COUNTIF(K454,"*Route*"),"Route RfC","")</f>
        <v/>
      </c>
      <c r="N454" t="str">
        <f t="shared" ref="N454:N517" si="23">IF(AND(L454&lt;&gt;"",M454&lt;&gt;""),"Route IUR &amp; RfC",IF(L454&lt;&gt;"","Route IUR",IF(M454&lt;&gt;"","Route RfC","--")))</f>
        <v>--</v>
      </c>
    </row>
    <row r="455" spans="1:14">
      <c r="A455" s="1650" t="s">
        <v>2625</v>
      </c>
      <c r="B455" s="1649" t="s">
        <v>2626</v>
      </c>
      <c r="C455" s="1650" t="s">
        <v>115</v>
      </c>
      <c r="D455" s="1654" t="s">
        <v>115</v>
      </c>
      <c r="E455" s="1650" t="s">
        <v>115</v>
      </c>
      <c r="F455" s="1654" t="s">
        <v>115</v>
      </c>
      <c r="G455" s="1650" t="s">
        <v>115</v>
      </c>
      <c r="H455" s="1654">
        <v>0.7</v>
      </c>
      <c r="I455" s="1650" t="s">
        <v>1247</v>
      </c>
      <c r="J455" s="1654" t="s">
        <v>115</v>
      </c>
      <c r="K455" s="1655" t="s">
        <v>115</v>
      </c>
      <c r="L455" t="str">
        <f t="shared" si="21"/>
        <v/>
      </c>
      <c r="M455" t="str">
        <f t="shared" si="22"/>
        <v/>
      </c>
      <c r="N455" t="str">
        <f t="shared" si="23"/>
        <v>--</v>
      </c>
    </row>
    <row r="456" spans="1:14">
      <c r="A456" s="1650" t="s">
        <v>2627</v>
      </c>
      <c r="B456" s="1649" t="s">
        <v>3864</v>
      </c>
      <c r="C456" s="1650" t="s">
        <v>115</v>
      </c>
      <c r="D456" s="1654" t="s">
        <v>115</v>
      </c>
      <c r="E456" s="1650" t="s">
        <v>115</v>
      </c>
      <c r="F456" s="1654" t="s">
        <v>115</v>
      </c>
      <c r="G456" s="1650" t="s">
        <v>115</v>
      </c>
      <c r="H456" s="1654">
        <v>0.3</v>
      </c>
      <c r="I456" s="1650" t="s">
        <v>1277</v>
      </c>
      <c r="J456" s="1654">
        <v>400</v>
      </c>
      <c r="K456" s="1655" t="s">
        <v>3603</v>
      </c>
      <c r="L456" t="str">
        <f t="shared" si="21"/>
        <v/>
      </c>
      <c r="M456" t="str">
        <f t="shared" si="22"/>
        <v/>
      </c>
      <c r="N456" t="str">
        <f t="shared" si="23"/>
        <v>--</v>
      </c>
    </row>
    <row r="457" spans="1:14">
      <c r="A457" s="1650" t="s">
        <v>2629</v>
      </c>
      <c r="B457" s="1649" t="s">
        <v>2630</v>
      </c>
      <c r="C457" s="1650" t="s">
        <v>115</v>
      </c>
      <c r="D457" s="1654">
        <v>9.5E-4</v>
      </c>
      <c r="E457" s="1650" t="s">
        <v>1277</v>
      </c>
      <c r="F457" s="1654" t="s">
        <v>115</v>
      </c>
      <c r="G457" s="1650" t="s">
        <v>115</v>
      </c>
      <c r="H457" s="1654">
        <v>0.2</v>
      </c>
      <c r="I457" s="1650" t="s">
        <v>1277</v>
      </c>
      <c r="J457" s="1654">
        <v>2000</v>
      </c>
      <c r="K457" s="1655" t="s">
        <v>1234</v>
      </c>
      <c r="L457" t="str">
        <f t="shared" si="21"/>
        <v/>
      </c>
      <c r="M457" t="str">
        <f t="shared" si="22"/>
        <v/>
      </c>
      <c r="N457" t="str">
        <f t="shared" si="23"/>
        <v>--</v>
      </c>
    </row>
    <row r="458" spans="1:14">
      <c r="A458" s="1650" t="s">
        <v>2631</v>
      </c>
      <c r="B458" s="1649" t="s">
        <v>2632</v>
      </c>
      <c r="C458" s="1650" t="s">
        <v>115</v>
      </c>
      <c r="D458" s="1654" t="s">
        <v>115</v>
      </c>
      <c r="E458" s="1650" t="s">
        <v>115</v>
      </c>
      <c r="F458" s="1654" t="s">
        <v>115</v>
      </c>
      <c r="G458" s="1650" t="s">
        <v>115</v>
      </c>
      <c r="H458" s="1654">
        <v>1.4999999999999999E-2</v>
      </c>
      <c r="I458" s="1650" t="s">
        <v>1277</v>
      </c>
      <c r="J458" s="1654">
        <v>60</v>
      </c>
      <c r="K458" s="1655" t="s">
        <v>3598</v>
      </c>
      <c r="L458" t="str">
        <f t="shared" si="21"/>
        <v/>
      </c>
      <c r="M458" t="str">
        <f t="shared" si="22"/>
        <v>Route RfC</v>
      </c>
      <c r="N458" t="str">
        <f t="shared" si="23"/>
        <v>Route RfC</v>
      </c>
    </row>
    <row r="459" spans="1:14">
      <c r="A459" s="1650" t="s">
        <v>2635</v>
      </c>
      <c r="B459" s="1649" t="s">
        <v>3865</v>
      </c>
      <c r="C459" s="1650" t="s">
        <v>115</v>
      </c>
      <c r="D459" s="1654" t="s">
        <v>115</v>
      </c>
      <c r="E459" s="1650" t="s">
        <v>115</v>
      </c>
      <c r="F459" s="1654" t="s">
        <v>115</v>
      </c>
      <c r="G459" s="1650" t="s">
        <v>115</v>
      </c>
      <c r="H459" s="1654">
        <v>0.1</v>
      </c>
      <c r="I459" s="1650" t="s">
        <v>1277</v>
      </c>
      <c r="J459" s="1654" t="s">
        <v>115</v>
      </c>
      <c r="K459" s="1655" t="s">
        <v>115</v>
      </c>
      <c r="L459" t="str">
        <f t="shared" si="21"/>
        <v/>
      </c>
      <c r="M459" t="str">
        <f t="shared" si="22"/>
        <v/>
      </c>
      <c r="N459" t="str">
        <f t="shared" si="23"/>
        <v>--</v>
      </c>
    </row>
    <row r="460" spans="1:14">
      <c r="A460" s="1650" t="s">
        <v>2206</v>
      </c>
      <c r="B460" s="1649" t="s">
        <v>3866</v>
      </c>
      <c r="C460" s="1650" t="s">
        <v>115</v>
      </c>
      <c r="D460" s="1654" t="s">
        <v>115</v>
      </c>
      <c r="E460" s="1650" t="s">
        <v>115</v>
      </c>
      <c r="F460" s="1654" t="s">
        <v>115</v>
      </c>
      <c r="G460" s="1650" t="s">
        <v>115</v>
      </c>
      <c r="H460" s="1654">
        <v>0.1</v>
      </c>
      <c r="I460" s="1650" t="s">
        <v>1277</v>
      </c>
      <c r="J460" s="1654">
        <v>400</v>
      </c>
      <c r="K460" s="1655" t="s">
        <v>1277</v>
      </c>
      <c r="L460" t="str">
        <f t="shared" si="21"/>
        <v/>
      </c>
      <c r="M460" t="str">
        <f t="shared" si="22"/>
        <v/>
      </c>
      <c r="N460" t="str">
        <f t="shared" si="23"/>
        <v>--</v>
      </c>
    </row>
    <row r="461" spans="1:14">
      <c r="A461" s="1650" t="s">
        <v>2639</v>
      </c>
      <c r="B461" s="1649" t="s">
        <v>2640</v>
      </c>
      <c r="C461" s="1650" t="s">
        <v>115</v>
      </c>
      <c r="D461" s="1654" t="s">
        <v>115</v>
      </c>
      <c r="E461" s="1650" t="s">
        <v>115</v>
      </c>
      <c r="F461" s="1654" t="s">
        <v>115</v>
      </c>
      <c r="G461" s="1650" t="s">
        <v>115</v>
      </c>
      <c r="H461" s="1654">
        <v>0.05</v>
      </c>
      <c r="I461" s="1650" t="s">
        <v>1277</v>
      </c>
      <c r="J461" s="1654" t="s">
        <v>115</v>
      </c>
      <c r="K461" s="1655" t="s">
        <v>115</v>
      </c>
      <c r="L461" t="str">
        <f t="shared" si="21"/>
        <v/>
      </c>
      <c r="M461" t="str">
        <f t="shared" si="22"/>
        <v/>
      </c>
      <c r="N461" t="str">
        <f t="shared" si="23"/>
        <v>--</v>
      </c>
    </row>
    <row r="462" spans="1:14">
      <c r="A462" s="1650" t="s">
        <v>2641</v>
      </c>
      <c r="B462" s="1649" t="s">
        <v>3867</v>
      </c>
      <c r="C462" s="1650" t="s">
        <v>115</v>
      </c>
      <c r="D462" s="1654" t="s">
        <v>115</v>
      </c>
      <c r="E462" s="1650" t="s">
        <v>115</v>
      </c>
      <c r="F462" s="1654" t="s">
        <v>115</v>
      </c>
      <c r="G462" s="1650" t="s">
        <v>115</v>
      </c>
      <c r="H462" s="1654" t="s">
        <v>115</v>
      </c>
      <c r="I462" s="1650" t="s">
        <v>115</v>
      </c>
      <c r="J462" s="1654">
        <v>300</v>
      </c>
      <c r="K462" s="1655" t="s">
        <v>1280</v>
      </c>
      <c r="L462" t="str">
        <f t="shared" si="21"/>
        <v/>
      </c>
      <c r="M462" t="str">
        <f t="shared" si="22"/>
        <v/>
      </c>
      <c r="N462" t="str">
        <f t="shared" si="23"/>
        <v>--</v>
      </c>
    </row>
    <row r="463" spans="1:14">
      <c r="A463" s="1650" t="s">
        <v>2115</v>
      </c>
      <c r="B463" s="1649" t="s">
        <v>3868</v>
      </c>
      <c r="C463" s="1650" t="s">
        <v>115</v>
      </c>
      <c r="D463" s="1654">
        <v>10</v>
      </c>
      <c r="E463" s="1650" t="s">
        <v>1277</v>
      </c>
      <c r="F463" s="1654">
        <v>4.5999999999999999E-3</v>
      </c>
      <c r="G463" s="1650" t="s">
        <v>1234</v>
      </c>
      <c r="H463" s="1654">
        <v>2.9999999999999997E-4</v>
      </c>
      <c r="I463" s="1650" t="s">
        <v>1277</v>
      </c>
      <c r="J463" s="1654" t="s">
        <v>115</v>
      </c>
      <c r="K463" s="1655" t="s">
        <v>115</v>
      </c>
      <c r="L463" t="str">
        <f t="shared" si="21"/>
        <v/>
      </c>
      <c r="M463" t="str">
        <f t="shared" si="22"/>
        <v/>
      </c>
      <c r="N463" t="str">
        <f t="shared" si="23"/>
        <v>--</v>
      </c>
    </row>
    <row r="464" spans="1:14">
      <c r="A464" s="1650" t="s">
        <v>2644</v>
      </c>
      <c r="B464" s="1649" t="s">
        <v>2645</v>
      </c>
      <c r="C464" s="1650" t="s">
        <v>115</v>
      </c>
      <c r="D464" s="1654" t="s">
        <v>115</v>
      </c>
      <c r="E464" s="1650" t="s">
        <v>115</v>
      </c>
      <c r="F464" s="1654" t="s">
        <v>115</v>
      </c>
      <c r="G464" s="1650" t="s">
        <v>115</v>
      </c>
      <c r="H464" s="1654">
        <v>8.0000000000000002E-3</v>
      </c>
      <c r="I464" s="1650" t="s">
        <v>3663</v>
      </c>
      <c r="J464" s="1654" t="s">
        <v>115</v>
      </c>
      <c r="K464" s="1655" t="s">
        <v>115</v>
      </c>
      <c r="L464" t="str">
        <f t="shared" si="21"/>
        <v/>
      </c>
      <c r="M464" t="str">
        <f t="shared" si="22"/>
        <v/>
      </c>
      <c r="N464" t="str">
        <f t="shared" si="23"/>
        <v>--</v>
      </c>
    </row>
    <row r="465" spans="1:14">
      <c r="A465" s="1650" t="s">
        <v>2646</v>
      </c>
      <c r="B465" s="1649" t="s">
        <v>2647</v>
      </c>
      <c r="C465" s="1650" t="s">
        <v>115</v>
      </c>
      <c r="D465" s="1654" t="s">
        <v>115</v>
      </c>
      <c r="E465" s="1650" t="s">
        <v>115</v>
      </c>
      <c r="F465" s="1654" t="s">
        <v>115</v>
      </c>
      <c r="G465" s="1650" t="s">
        <v>115</v>
      </c>
      <c r="H465" s="1654">
        <v>2.0000000000000001E-4</v>
      </c>
      <c r="I465" s="1650" t="s">
        <v>3603</v>
      </c>
      <c r="J465" s="1654" t="s">
        <v>115</v>
      </c>
      <c r="K465" s="1655" t="s">
        <v>115</v>
      </c>
      <c r="L465" t="str">
        <f t="shared" si="21"/>
        <v/>
      </c>
      <c r="M465" t="str">
        <f t="shared" si="22"/>
        <v/>
      </c>
      <c r="N465" t="str">
        <f t="shared" si="23"/>
        <v>--</v>
      </c>
    </row>
    <row r="466" spans="1:14">
      <c r="A466" s="1650" t="s">
        <v>2648</v>
      </c>
      <c r="B466" s="1649" t="s">
        <v>2649</v>
      </c>
      <c r="C466" s="1650" t="s">
        <v>115</v>
      </c>
      <c r="D466" s="1654" t="s">
        <v>115</v>
      </c>
      <c r="E466" s="1650" t="s">
        <v>115</v>
      </c>
      <c r="F466" s="1654" t="s">
        <v>115</v>
      </c>
      <c r="G466" s="1650" t="s">
        <v>115</v>
      </c>
      <c r="H466" s="1654">
        <v>5.0000000000000002E-5</v>
      </c>
      <c r="I466" s="1650" t="s">
        <v>1247</v>
      </c>
      <c r="J466" s="1654" t="s">
        <v>115</v>
      </c>
      <c r="K466" s="1655" t="s">
        <v>115</v>
      </c>
      <c r="L466" t="str">
        <f t="shared" si="21"/>
        <v/>
      </c>
      <c r="M466" t="str">
        <f t="shared" si="22"/>
        <v/>
      </c>
      <c r="N466" t="str">
        <f t="shared" si="23"/>
        <v>--</v>
      </c>
    </row>
    <row r="467" spans="1:14">
      <c r="A467" s="1650" t="s">
        <v>2650</v>
      </c>
      <c r="B467" s="1649" t="s">
        <v>2651</v>
      </c>
      <c r="C467" s="1650" t="s">
        <v>115</v>
      </c>
      <c r="D467" s="1654" t="s">
        <v>115</v>
      </c>
      <c r="E467" s="1650" t="s">
        <v>115</v>
      </c>
      <c r="F467" s="1654" t="s">
        <v>115</v>
      </c>
      <c r="G467" s="1650" t="s">
        <v>115</v>
      </c>
      <c r="H467" s="1654">
        <v>2.0999999999999999E-5</v>
      </c>
      <c r="I467" s="1650" t="s">
        <v>1247</v>
      </c>
      <c r="J467" s="1654" t="s">
        <v>115</v>
      </c>
      <c r="K467" s="1655" t="s">
        <v>115</v>
      </c>
      <c r="L467" t="str">
        <f t="shared" si="21"/>
        <v/>
      </c>
      <c r="M467" t="str">
        <f t="shared" si="22"/>
        <v/>
      </c>
      <c r="N467" t="str">
        <f t="shared" si="23"/>
        <v>--</v>
      </c>
    </row>
    <row r="468" spans="1:14">
      <c r="A468" s="1650" t="s">
        <v>2652</v>
      </c>
      <c r="B468" s="1649" t="s">
        <v>2653</v>
      </c>
      <c r="C468" s="1650" t="s">
        <v>115</v>
      </c>
      <c r="D468" s="1654" t="s">
        <v>115</v>
      </c>
      <c r="E468" s="1650" t="s">
        <v>115</v>
      </c>
      <c r="F468" s="1654" t="s">
        <v>115</v>
      </c>
      <c r="G468" s="1650" t="s">
        <v>115</v>
      </c>
      <c r="H468" s="1654">
        <v>1.9000000000000001E-5</v>
      </c>
      <c r="I468" s="1650" t="s">
        <v>1247</v>
      </c>
      <c r="J468" s="1654" t="s">
        <v>115</v>
      </c>
      <c r="K468" s="1655" t="s">
        <v>115</v>
      </c>
      <c r="L468" t="str">
        <f t="shared" si="21"/>
        <v/>
      </c>
      <c r="M468" t="str">
        <f t="shared" si="22"/>
        <v/>
      </c>
      <c r="N468" t="str">
        <f t="shared" si="23"/>
        <v>--</v>
      </c>
    </row>
    <row r="469" spans="1:14">
      <c r="A469" s="1650" t="s">
        <v>2654</v>
      </c>
      <c r="B469" s="1649" t="s">
        <v>2655</v>
      </c>
      <c r="C469" s="1650" t="s">
        <v>115</v>
      </c>
      <c r="D469" s="1654" t="s">
        <v>115</v>
      </c>
      <c r="E469" s="1650" t="s">
        <v>115</v>
      </c>
      <c r="F469" s="1654" t="s">
        <v>115</v>
      </c>
      <c r="G469" s="1650" t="s">
        <v>115</v>
      </c>
      <c r="H469" s="1654">
        <v>2.8E-5</v>
      </c>
      <c r="I469" s="1650" t="s">
        <v>1247</v>
      </c>
      <c r="J469" s="1654" t="s">
        <v>115</v>
      </c>
      <c r="K469" s="1655" t="s">
        <v>115</v>
      </c>
      <c r="L469" t="str">
        <f t="shared" si="21"/>
        <v/>
      </c>
      <c r="M469" t="str">
        <f t="shared" si="22"/>
        <v/>
      </c>
      <c r="N469" t="str">
        <f t="shared" si="23"/>
        <v>--</v>
      </c>
    </row>
    <row r="470" spans="1:14">
      <c r="A470" s="1650" t="s">
        <v>2656</v>
      </c>
      <c r="B470" s="1649" t="s">
        <v>2657</v>
      </c>
      <c r="C470" s="1650" t="s">
        <v>115</v>
      </c>
      <c r="D470" s="1654" t="s">
        <v>115</v>
      </c>
      <c r="E470" s="1650" t="s">
        <v>115</v>
      </c>
      <c r="F470" s="1654" t="s">
        <v>115</v>
      </c>
      <c r="G470" s="1650" t="s">
        <v>115</v>
      </c>
      <c r="H470" s="1654">
        <v>1.5999999999999999E-5</v>
      </c>
      <c r="I470" s="1650" t="s">
        <v>1247</v>
      </c>
      <c r="J470" s="1654" t="s">
        <v>115</v>
      </c>
      <c r="K470" s="1655" t="s">
        <v>115</v>
      </c>
      <c r="L470" t="str">
        <f t="shared" si="21"/>
        <v/>
      </c>
      <c r="M470" t="str">
        <f t="shared" si="22"/>
        <v/>
      </c>
      <c r="N470" t="str">
        <f t="shared" si="23"/>
        <v>--</v>
      </c>
    </row>
    <row r="471" spans="1:14" ht="14.25">
      <c r="A471" s="1650" t="s">
        <v>212</v>
      </c>
      <c r="B471" s="1649" t="s">
        <v>3869</v>
      </c>
      <c r="C471" s="3030" t="s">
        <v>3870</v>
      </c>
      <c r="D471" s="3030"/>
      <c r="E471" s="3030"/>
      <c r="F471" s="3030"/>
      <c r="G471" s="3030"/>
      <c r="H471" s="3030"/>
      <c r="I471" s="3030"/>
      <c r="J471" s="3030"/>
      <c r="K471" s="3031"/>
      <c r="L471" t="str">
        <f t="shared" si="21"/>
        <v/>
      </c>
      <c r="M471" t="str">
        <f t="shared" si="22"/>
        <v/>
      </c>
      <c r="N471" t="str">
        <f t="shared" si="23"/>
        <v>--</v>
      </c>
    </row>
    <row r="472" spans="1:14">
      <c r="A472" s="1650" t="s">
        <v>2661</v>
      </c>
      <c r="B472" s="1649" t="s">
        <v>3871</v>
      </c>
      <c r="C472" s="1650" t="s">
        <v>115</v>
      </c>
      <c r="D472" s="1654">
        <v>0.28000000000000003</v>
      </c>
      <c r="E472" s="1650" t="s">
        <v>1234</v>
      </c>
      <c r="F472" s="1654">
        <v>8.0000000000000007E-5</v>
      </c>
      <c r="G472" s="1650" t="s">
        <v>1234</v>
      </c>
      <c r="H472" s="1654" t="s">
        <v>115</v>
      </c>
      <c r="I472" s="1650" t="s">
        <v>115</v>
      </c>
      <c r="J472" s="1654" t="s">
        <v>115</v>
      </c>
      <c r="K472" s="1655" t="s">
        <v>115</v>
      </c>
      <c r="L472" t="str">
        <f t="shared" si="21"/>
        <v/>
      </c>
      <c r="M472" t="str">
        <f t="shared" si="22"/>
        <v/>
      </c>
      <c r="N472" t="str">
        <f t="shared" si="23"/>
        <v>--</v>
      </c>
    </row>
    <row r="473" spans="1:14">
      <c r="A473" s="1650" t="s">
        <v>2659</v>
      </c>
      <c r="B473" s="1649" t="s">
        <v>3872</v>
      </c>
      <c r="C473" s="1650" t="s">
        <v>115</v>
      </c>
      <c r="D473" s="1654">
        <v>8.5000000000000006E-3</v>
      </c>
      <c r="E473" s="1650" t="s">
        <v>1234</v>
      </c>
      <c r="F473" s="1654">
        <v>1.2E-5</v>
      </c>
      <c r="G473" s="1650" t="s">
        <v>1234</v>
      </c>
      <c r="H473" s="1654" t="s">
        <v>115</v>
      </c>
      <c r="I473" s="1650" t="s">
        <v>115</v>
      </c>
      <c r="J473" s="1654" t="s">
        <v>115</v>
      </c>
      <c r="K473" s="1655" t="s">
        <v>115</v>
      </c>
      <c r="L473" t="str">
        <f t="shared" si="21"/>
        <v/>
      </c>
      <c r="M473" t="str">
        <f t="shared" si="22"/>
        <v/>
      </c>
      <c r="N473" t="str">
        <f t="shared" si="23"/>
        <v>--</v>
      </c>
    </row>
    <row r="474" spans="1:14">
      <c r="A474" s="1650" t="s">
        <v>2665</v>
      </c>
      <c r="B474" s="1649" t="s">
        <v>3873</v>
      </c>
      <c r="C474" s="1650" t="s">
        <v>115</v>
      </c>
      <c r="D474" s="1654">
        <v>3.7999999999999999E-2</v>
      </c>
      <c r="E474" s="1650" t="s">
        <v>3600</v>
      </c>
      <c r="F474" s="1654">
        <v>1.1E-5</v>
      </c>
      <c r="G474" s="1650" t="s">
        <v>3600</v>
      </c>
      <c r="H474" s="1654" t="s">
        <v>115</v>
      </c>
      <c r="I474" s="1650" t="s">
        <v>115</v>
      </c>
      <c r="J474" s="1654" t="s">
        <v>115</v>
      </c>
      <c r="K474" s="1655" t="s">
        <v>115</v>
      </c>
      <c r="L474" t="str">
        <f t="shared" si="21"/>
        <v/>
      </c>
      <c r="M474" t="str">
        <f t="shared" si="22"/>
        <v/>
      </c>
      <c r="N474" t="str">
        <f t="shared" si="23"/>
        <v>--</v>
      </c>
    </row>
    <row r="475" spans="1:14">
      <c r="A475" s="1650" t="s">
        <v>2669</v>
      </c>
      <c r="B475" s="1649" t="s">
        <v>2670</v>
      </c>
      <c r="C475" s="1650" t="s">
        <v>115</v>
      </c>
      <c r="D475" s="1654" t="s">
        <v>115</v>
      </c>
      <c r="E475" s="1650" t="s">
        <v>115</v>
      </c>
      <c r="F475" s="1654" t="s">
        <v>115</v>
      </c>
      <c r="G475" s="1650" t="s">
        <v>115</v>
      </c>
      <c r="H475" s="1654">
        <v>5.0000000000000004E-6</v>
      </c>
      <c r="I475" s="1650" t="s">
        <v>1247</v>
      </c>
      <c r="J475" s="1654">
        <v>0.02</v>
      </c>
      <c r="K475" s="1655" t="s">
        <v>3605</v>
      </c>
      <c r="L475" t="str">
        <f t="shared" si="21"/>
        <v/>
      </c>
      <c r="M475" t="str">
        <f t="shared" si="22"/>
        <v>Route RfC</v>
      </c>
      <c r="N475" t="str">
        <f t="shared" si="23"/>
        <v>Route RfC</v>
      </c>
    </row>
    <row r="476" spans="1:14">
      <c r="A476" s="1650" t="s">
        <v>2671</v>
      </c>
      <c r="B476" s="1649" t="s">
        <v>2672</v>
      </c>
      <c r="C476" s="1650" t="s">
        <v>115</v>
      </c>
      <c r="D476" s="1654" t="s">
        <v>115</v>
      </c>
      <c r="E476" s="1650" t="s">
        <v>115</v>
      </c>
      <c r="F476" s="1654" t="s">
        <v>115</v>
      </c>
      <c r="G476" s="1650" t="s">
        <v>115</v>
      </c>
      <c r="H476" s="1654">
        <v>7.7000000000000002E-3</v>
      </c>
      <c r="I476" s="1650" t="s">
        <v>3663</v>
      </c>
      <c r="J476" s="1654" t="s">
        <v>115</v>
      </c>
      <c r="K476" s="1655" t="s">
        <v>115</v>
      </c>
      <c r="L476" t="str">
        <f t="shared" si="21"/>
        <v/>
      </c>
      <c r="M476" t="str">
        <f t="shared" si="22"/>
        <v/>
      </c>
      <c r="N476" t="str">
        <f t="shared" si="23"/>
        <v>--</v>
      </c>
    </row>
    <row r="477" spans="1:14">
      <c r="A477" s="1650" t="s">
        <v>2673</v>
      </c>
      <c r="B477" s="1649" t="s">
        <v>2674</v>
      </c>
      <c r="C477" s="1650" t="s">
        <v>115</v>
      </c>
      <c r="D477" s="1654" t="s">
        <v>115</v>
      </c>
      <c r="E477" s="1650" t="s">
        <v>115</v>
      </c>
      <c r="F477" s="1654" t="s">
        <v>115</v>
      </c>
      <c r="G477" s="1650" t="s">
        <v>115</v>
      </c>
      <c r="H477" s="1654">
        <v>2E-3</v>
      </c>
      <c r="I477" s="1650" t="s">
        <v>1247</v>
      </c>
      <c r="J477" s="1654" t="s">
        <v>115</v>
      </c>
      <c r="K477" s="1655" t="s">
        <v>115</v>
      </c>
      <c r="L477" t="str">
        <f t="shared" si="21"/>
        <v/>
      </c>
      <c r="M477" t="str">
        <f t="shared" si="22"/>
        <v/>
      </c>
      <c r="N477" t="str">
        <f t="shared" si="23"/>
        <v>--</v>
      </c>
    </row>
    <row r="478" spans="1:14">
      <c r="A478" s="1656">
        <v>2151713</v>
      </c>
      <c r="B478" s="1649" t="s">
        <v>3874</v>
      </c>
      <c r="C478" s="1650" t="s">
        <v>115</v>
      </c>
      <c r="D478" s="1654" t="s">
        <v>115</v>
      </c>
      <c r="E478" s="1650" t="s">
        <v>115</v>
      </c>
      <c r="F478" s="1654" t="s">
        <v>115</v>
      </c>
      <c r="G478" s="1650" t="s">
        <v>115</v>
      </c>
      <c r="H478" s="1654">
        <v>6.9999999999999999E-4</v>
      </c>
      <c r="I478" s="1650" t="s">
        <v>1277</v>
      </c>
      <c r="J478" s="1654" t="s">
        <v>115</v>
      </c>
      <c r="K478" s="1655" t="s">
        <v>115</v>
      </c>
      <c r="L478" t="str">
        <f t="shared" si="21"/>
        <v/>
      </c>
      <c r="M478" t="str">
        <f t="shared" si="22"/>
        <v/>
      </c>
      <c r="N478" t="str">
        <f t="shared" si="23"/>
        <v>--</v>
      </c>
    </row>
    <row r="479" spans="1:14">
      <c r="A479" s="1650" t="s">
        <v>2681</v>
      </c>
      <c r="B479" s="1649" t="s">
        <v>2682</v>
      </c>
      <c r="C479" s="1650" t="s">
        <v>115</v>
      </c>
      <c r="D479" s="1654" t="s">
        <v>115</v>
      </c>
      <c r="E479" s="1650" t="s">
        <v>115</v>
      </c>
      <c r="F479" s="1654" t="s">
        <v>115</v>
      </c>
      <c r="G479" s="1650" t="s">
        <v>115</v>
      </c>
      <c r="H479" s="1654">
        <v>0.02</v>
      </c>
      <c r="I479" s="1650" t="s">
        <v>1277</v>
      </c>
      <c r="J479" s="1654" t="s">
        <v>115</v>
      </c>
      <c r="K479" s="1655" t="s">
        <v>115</v>
      </c>
      <c r="L479" t="str">
        <f t="shared" si="21"/>
        <v/>
      </c>
      <c r="M479" t="str">
        <f t="shared" si="22"/>
        <v/>
      </c>
      <c r="N479" t="str">
        <f t="shared" si="23"/>
        <v>--</v>
      </c>
    </row>
    <row r="480" spans="1:14">
      <c r="A480" s="1650" t="s">
        <v>2683</v>
      </c>
      <c r="B480" s="1649" t="s">
        <v>3875</v>
      </c>
      <c r="C480" s="1650" t="s">
        <v>115</v>
      </c>
      <c r="D480" s="1654" t="s">
        <v>115</v>
      </c>
      <c r="E480" s="1650" t="s">
        <v>115</v>
      </c>
      <c r="F480" s="1654" t="s">
        <v>115</v>
      </c>
      <c r="G480" s="1650" t="s">
        <v>115</v>
      </c>
      <c r="H480" s="1654">
        <v>0.1</v>
      </c>
      <c r="I480" s="1650" t="s">
        <v>1277</v>
      </c>
      <c r="J480" s="1654">
        <v>0.7</v>
      </c>
      <c r="K480" s="1655" t="s">
        <v>1234</v>
      </c>
      <c r="L480" t="str">
        <f t="shared" si="21"/>
        <v/>
      </c>
      <c r="M480" t="str">
        <f t="shared" si="22"/>
        <v/>
      </c>
      <c r="N480" t="str">
        <f t="shared" si="23"/>
        <v>--</v>
      </c>
    </row>
    <row r="481" spans="1:14">
      <c r="A481" s="1650" t="s">
        <v>2685</v>
      </c>
      <c r="B481" s="1649" t="s">
        <v>3876</v>
      </c>
      <c r="C481" s="1650" t="s">
        <v>115</v>
      </c>
      <c r="D481" s="1654" t="s">
        <v>115</v>
      </c>
      <c r="E481" s="1650" t="s">
        <v>115</v>
      </c>
      <c r="F481" s="1654" t="s">
        <v>115</v>
      </c>
      <c r="G481" s="1650" t="s">
        <v>115</v>
      </c>
      <c r="H481" s="1654">
        <v>0.5</v>
      </c>
      <c r="I481" s="1650" t="s">
        <v>1277</v>
      </c>
      <c r="J481" s="1654" t="s">
        <v>115</v>
      </c>
      <c r="K481" s="1655" t="s">
        <v>115</v>
      </c>
      <c r="L481" t="str">
        <f t="shared" si="21"/>
        <v/>
      </c>
      <c r="M481" t="str">
        <f t="shared" si="22"/>
        <v/>
      </c>
      <c r="N481" t="str">
        <f t="shared" si="23"/>
        <v>--</v>
      </c>
    </row>
    <row r="482" spans="1:14">
      <c r="A482" s="1650" t="s">
        <v>2687</v>
      </c>
      <c r="B482" s="1649" t="s">
        <v>2688</v>
      </c>
      <c r="C482" s="1650" t="s">
        <v>115</v>
      </c>
      <c r="D482" s="1654" t="s">
        <v>115</v>
      </c>
      <c r="E482" s="1650" t="s">
        <v>115</v>
      </c>
      <c r="F482" s="1654" t="s">
        <v>115</v>
      </c>
      <c r="G482" s="1650" t="s">
        <v>115</v>
      </c>
      <c r="H482" s="1654">
        <v>1E-4</v>
      </c>
      <c r="I482" s="1650" t="s">
        <v>1247</v>
      </c>
      <c r="J482" s="1654" t="s">
        <v>115</v>
      </c>
      <c r="K482" s="1655" t="s">
        <v>115</v>
      </c>
      <c r="L482" t="str">
        <f t="shared" si="21"/>
        <v/>
      </c>
      <c r="M482" t="str">
        <f t="shared" si="22"/>
        <v/>
      </c>
      <c r="N482" t="str">
        <f t="shared" si="23"/>
        <v>--</v>
      </c>
    </row>
    <row r="483" spans="1:14">
      <c r="A483" s="1650" t="s">
        <v>1937</v>
      </c>
      <c r="B483" s="1649" t="s">
        <v>3877</v>
      </c>
      <c r="C483" s="1650" t="s">
        <v>115</v>
      </c>
      <c r="D483" s="1654" t="s">
        <v>115</v>
      </c>
      <c r="E483" s="1650" t="s">
        <v>115</v>
      </c>
      <c r="F483" s="1654" t="s">
        <v>115</v>
      </c>
      <c r="G483" s="1650" t="s">
        <v>115</v>
      </c>
      <c r="H483" s="1654">
        <v>0.08</v>
      </c>
      <c r="I483" s="1650" t="s">
        <v>1247</v>
      </c>
      <c r="J483" s="1654" t="s">
        <v>115</v>
      </c>
      <c r="K483" s="1655" t="s">
        <v>115</v>
      </c>
      <c r="L483" t="str">
        <f t="shared" si="21"/>
        <v/>
      </c>
      <c r="M483" t="str">
        <f t="shared" si="22"/>
        <v/>
      </c>
      <c r="N483" t="str">
        <f t="shared" si="23"/>
        <v>--</v>
      </c>
    </row>
    <row r="484" spans="1:14">
      <c r="A484" s="1656">
        <v>2234562</v>
      </c>
      <c r="B484" s="1649" t="s">
        <v>2690</v>
      </c>
      <c r="C484" s="1650" t="s">
        <v>115</v>
      </c>
      <c r="D484" s="1654" t="s">
        <v>115</v>
      </c>
      <c r="E484" s="1650" t="s">
        <v>115</v>
      </c>
      <c r="F484" s="1654" t="s">
        <v>115</v>
      </c>
      <c r="G484" s="1650" t="s">
        <v>115</v>
      </c>
      <c r="H484" s="1654">
        <v>0.03</v>
      </c>
      <c r="I484" s="1650" t="s">
        <v>3616</v>
      </c>
      <c r="J484" s="1654" t="s">
        <v>115</v>
      </c>
      <c r="K484" s="1655" t="s">
        <v>115</v>
      </c>
      <c r="L484" t="str">
        <f t="shared" si="21"/>
        <v/>
      </c>
      <c r="M484" t="str">
        <f t="shared" si="22"/>
        <v/>
      </c>
      <c r="N484" t="str">
        <f t="shared" si="23"/>
        <v>--</v>
      </c>
    </row>
    <row r="485" spans="1:14">
      <c r="A485" s="1650" t="s">
        <v>2691</v>
      </c>
      <c r="B485" s="1649" t="s">
        <v>2692</v>
      </c>
      <c r="C485" s="1650" t="s">
        <v>115</v>
      </c>
      <c r="D485" s="1654" t="s">
        <v>115</v>
      </c>
      <c r="E485" s="1650" t="s">
        <v>115</v>
      </c>
      <c r="F485" s="1654" t="s">
        <v>115</v>
      </c>
      <c r="G485" s="1650" t="s">
        <v>115</v>
      </c>
      <c r="H485" s="1654">
        <v>5.0000000000000001E-3</v>
      </c>
      <c r="I485" s="1650" t="s">
        <v>1277</v>
      </c>
      <c r="J485" s="1654" t="s">
        <v>115</v>
      </c>
      <c r="K485" s="1655" t="s">
        <v>115</v>
      </c>
      <c r="L485" t="str">
        <f t="shared" si="21"/>
        <v/>
      </c>
      <c r="M485" t="str">
        <f t="shared" si="22"/>
        <v/>
      </c>
      <c r="N485" t="str">
        <f t="shared" si="23"/>
        <v>--</v>
      </c>
    </row>
    <row r="486" spans="1:14">
      <c r="A486" s="1650" t="s">
        <v>2693</v>
      </c>
      <c r="B486" s="1649" t="s">
        <v>3878</v>
      </c>
      <c r="C486" s="1650" t="s">
        <v>115</v>
      </c>
      <c r="D486" s="1654" t="s">
        <v>115</v>
      </c>
      <c r="E486" s="1650" t="s">
        <v>115</v>
      </c>
      <c r="F486" s="1654" t="s">
        <v>115</v>
      </c>
      <c r="G486" s="1650" t="s">
        <v>115</v>
      </c>
      <c r="H486" s="1654">
        <v>0.14000000000000001</v>
      </c>
      <c r="I486" s="1650" t="s">
        <v>1277</v>
      </c>
      <c r="J486" s="1654">
        <v>0.05</v>
      </c>
      <c r="K486" s="1655" t="s">
        <v>1277</v>
      </c>
      <c r="L486" t="str">
        <f t="shared" si="21"/>
        <v/>
      </c>
      <c r="M486" t="str">
        <f t="shared" si="22"/>
        <v/>
      </c>
      <c r="N486" t="str">
        <f t="shared" si="23"/>
        <v>--</v>
      </c>
    </row>
    <row r="487" spans="1:14">
      <c r="A487" s="1650" t="s">
        <v>2675</v>
      </c>
      <c r="B487" s="1649" t="s">
        <v>2676</v>
      </c>
      <c r="C487" s="1650" t="s">
        <v>115</v>
      </c>
      <c r="D487" s="1654" t="s">
        <v>115</v>
      </c>
      <c r="E487" s="1650" t="s">
        <v>115</v>
      </c>
      <c r="F487" s="1654" t="s">
        <v>115</v>
      </c>
      <c r="G487" s="1650" t="s">
        <v>115</v>
      </c>
      <c r="H487" s="1654">
        <v>5.0000000000000001E-4</v>
      </c>
      <c r="I487" s="1650" t="s">
        <v>1277</v>
      </c>
      <c r="J487" s="1654" t="s">
        <v>115</v>
      </c>
      <c r="K487" s="1655" t="s">
        <v>115</v>
      </c>
      <c r="L487" t="str">
        <f t="shared" si="21"/>
        <v/>
      </c>
      <c r="M487" t="str">
        <f t="shared" si="22"/>
        <v/>
      </c>
      <c r="N487" t="str">
        <f t="shared" si="23"/>
        <v>--</v>
      </c>
    </row>
    <row r="488" spans="1:14">
      <c r="A488" s="1650" t="s">
        <v>2679</v>
      </c>
      <c r="B488" s="1649" t="s">
        <v>3879</v>
      </c>
      <c r="C488" s="1650" t="s">
        <v>115</v>
      </c>
      <c r="D488" s="1654" t="s">
        <v>115</v>
      </c>
      <c r="E488" s="1650" t="s">
        <v>115</v>
      </c>
      <c r="F488" s="1654" t="s">
        <v>115</v>
      </c>
      <c r="G488" s="1650" t="s">
        <v>115</v>
      </c>
      <c r="H488" s="1654">
        <v>1E-3</v>
      </c>
      <c r="I488" s="1650" t="s">
        <v>1277</v>
      </c>
      <c r="J488" s="1654" t="s">
        <v>115</v>
      </c>
      <c r="K488" s="1655" t="s">
        <v>115</v>
      </c>
      <c r="L488" t="str">
        <f t="shared" si="21"/>
        <v/>
      </c>
      <c r="M488" t="str">
        <f t="shared" si="22"/>
        <v/>
      </c>
      <c r="N488" t="str">
        <f t="shared" si="23"/>
        <v>--</v>
      </c>
    </row>
    <row r="489" spans="1:14">
      <c r="A489" s="1650" t="s">
        <v>2696</v>
      </c>
      <c r="B489" s="1649" t="s">
        <v>2697</v>
      </c>
      <c r="C489" s="1650" t="s">
        <v>115</v>
      </c>
      <c r="D489" s="1654" t="s">
        <v>115</v>
      </c>
      <c r="E489" s="1650" t="s">
        <v>115</v>
      </c>
      <c r="F489" s="1654" t="s">
        <v>115</v>
      </c>
      <c r="G489" s="1650" t="s">
        <v>115</v>
      </c>
      <c r="H489" s="1654">
        <v>9.0000000000000006E-5</v>
      </c>
      <c r="I489" s="1650" t="s">
        <v>3616</v>
      </c>
      <c r="J489" s="1654" t="s">
        <v>115</v>
      </c>
      <c r="K489" s="1655" t="s">
        <v>115</v>
      </c>
      <c r="L489" t="str">
        <f t="shared" si="21"/>
        <v/>
      </c>
      <c r="M489" t="str">
        <f t="shared" si="22"/>
        <v/>
      </c>
      <c r="N489" t="str">
        <f t="shared" si="23"/>
        <v>--</v>
      </c>
    </row>
    <row r="490" spans="1:14">
      <c r="A490" s="1650" t="s">
        <v>2698</v>
      </c>
      <c r="B490" s="1649" t="s">
        <v>3880</v>
      </c>
      <c r="C490" s="1650" t="s">
        <v>115</v>
      </c>
      <c r="D490" s="1654" t="s">
        <v>115</v>
      </c>
      <c r="E490" s="1650" t="s">
        <v>115</v>
      </c>
      <c r="F490" s="1654" t="s">
        <v>115</v>
      </c>
      <c r="G490" s="1650" t="s">
        <v>115</v>
      </c>
      <c r="H490" s="1654">
        <v>0.03</v>
      </c>
      <c r="I490" s="1650" t="s">
        <v>1277</v>
      </c>
      <c r="J490" s="1654" t="s">
        <v>115</v>
      </c>
      <c r="K490" s="1655" t="s">
        <v>115</v>
      </c>
      <c r="L490" t="str">
        <f t="shared" si="21"/>
        <v/>
      </c>
      <c r="M490" t="str">
        <f t="shared" si="22"/>
        <v/>
      </c>
      <c r="N490" t="str">
        <f t="shared" si="23"/>
        <v>--</v>
      </c>
    </row>
    <row r="491" spans="1:14" ht="25.5">
      <c r="A491" s="1650" t="s">
        <v>2703</v>
      </c>
      <c r="B491" s="1649" t="s">
        <v>3881</v>
      </c>
      <c r="C491" s="1650" t="s">
        <v>115</v>
      </c>
      <c r="D491" s="1654" t="s">
        <v>115</v>
      </c>
      <c r="E491" s="1650" t="s">
        <v>115</v>
      </c>
      <c r="F491" s="1654" t="s">
        <v>115</v>
      </c>
      <c r="G491" s="1650" t="s">
        <v>115</v>
      </c>
      <c r="H491" s="1654">
        <v>1.6000000000000001E-4</v>
      </c>
      <c r="I491" s="1650" t="s">
        <v>3882</v>
      </c>
      <c r="J491" s="1654">
        <v>0.03</v>
      </c>
      <c r="K491" s="1655" t="s">
        <v>3882</v>
      </c>
      <c r="L491" t="str">
        <f t="shared" si="21"/>
        <v/>
      </c>
      <c r="M491" t="str">
        <f t="shared" si="22"/>
        <v/>
      </c>
      <c r="N491" t="str">
        <f t="shared" si="23"/>
        <v>--</v>
      </c>
    </row>
    <row r="492" spans="1:14" ht="25.5">
      <c r="A492" s="1650" t="s">
        <v>214</v>
      </c>
      <c r="B492" s="1649" t="s">
        <v>3883</v>
      </c>
      <c r="C492" s="1650" t="s">
        <v>115</v>
      </c>
      <c r="D492" s="1654" t="s">
        <v>115</v>
      </c>
      <c r="E492" s="1650" t="s">
        <v>115</v>
      </c>
      <c r="F492" s="1654" t="s">
        <v>115</v>
      </c>
      <c r="G492" s="1650" t="s">
        <v>115</v>
      </c>
      <c r="H492" s="1654">
        <v>1.6000000000000001E-4</v>
      </c>
      <c r="I492" s="1650" t="s">
        <v>3882</v>
      </c>
      <c r="J492" s="1654">
        <v>0.03</v>
      </c>
      <c r="K492" s="1655" t="s">
        <v>3600</v>
      </c>
      <c r="L492" t="str">
        <f t="shared" si="21"/>
        <v/>
      </c>
      <c r="M492" t="str">
        <f t="shared" si="22"/>
        <v/>
      </c>
      <c r="N492" t="str">
        <f t="shared" si="23"/>
        <v>--</v>
      </c>
    </row>
    <row r="493" spans="1:14">
      <c r="A493" s="1650" t="s">
        <v>2712</v>
      </c>
      <c r="B493" s="1649" t="s">
        <v>2713</v>
      </c>
      <c r="C493" s="1650" t="s">
        <v>115</v>
      </c>
      <c r="D493" s="1654" t="s">
        <v>115</v>
      </c>
      <c r="E493" s="1650" t="s">
        <v>115</v>
      </c>
      <c r="F493" s="1654" t="s">
        <v>115</v>
      </c>
      <c r="G493" s="1650" t="s">
        <v>115</v>
      </c>
      <c r="H493" s="1654">
        <v>3.0000000000000001E-5</v>
      </c>
      <c r="I493" s="1650" t="s">
        <v>1277</v>
      </c>
      <c r="J493" s="1654">
        <v>0.12</v>
      </c>
      <c r="K493" s="1655" t="s">
        <v>3598</v>
      </c>
      <c r="L493" t="str">
        <f t="shared" si="21"/>
        <v/>
      </c>
      <c r="M493" t="str">
        <f t="shared" si="22"/>
        <v>Route RfC</v>
      </c>
      <c r="N493" t="str">
        <f t="shared" si="23"/>
        <v>Route RfC</v>
      </c>
    </row>
    <row r="494" spans="1:14">
      <c r="A494" s="1650" t="s">
        <v>3442</v>
      </c>
      <c r="B494" s="1649" t="s">
        <v>3884</v>
      </c>
      <c r="C494" s="1650" t="s">
        <v>115</v>
      </c>
      <c r="D494" s="1654" t="s">
        <v>115</v>
      </c>
      <c r="E494" s="1650" t="s">
        <v>115</v>
      </c>
      <c r="F494" s="1654" t="s">
        <v>115</v>
      </c>
      <c r="G494" s="1650" t="s">
        <v>115</v>
      </c>
      <c r="H494" s="1654">
        <v>2.0000000000000001E-4</v>
      </c>
      <c r="I494" s="1650" t="s">
        <v>3663</v>
      </c>
      <c r="J494" s="1654" t="s">
        <v>115</v>
      </c>
      <c r="K494" s="1655" t="s">
        <v>115</v>
      </c>
      <c r="L494" t="str">
        <f t="shared" si="21"/>
        <v/>
      </c>
      <c r="M494" t="str">
        <f t="shared" si="22"/>
        <v/>
      </c>
      <c r="N494" t="str">
        <f t="shared" si="23"/>
        <v>--</v>
      </c>
    </row>
    <row r="495" spans="1:14">
      <c r="A495" s="1650" t="s">
        <v>2714</v>
      </c>
      <c r="B495" s="1649" t="s">
        <v>2715</v>
      </c>
      <c r="C495" s="1650" t="s">
        <v>115</v>
      </c>
      <c r="D495" s="1654" t="s">
        <v>115</v>
      </c>
      <c r="E495" s="1650" t="s">
        <v>115</v>
      </c>
      <c r="F495" s="1654" t="s">
        <v>115</v>
      </c>
      <c r="G495" s="1650" t="s">
        <v>115</v>
      </c>
      <c r="H495" s="1654">
        <v>0.06</v>
      </c>
      <c r="I495" s="1650" t="s">
        <v>1277</v>
      </c>
      <c r="J495" s="1654" t="s">
        <v>115</v>
      </c>
      <c r="K495" s="1655" t="s">
        <v>115</v>
      </c>
      <c r="L495" t="str">
        <f t="shared" si="21"/>
        <v/>
      </c>
      <c r="M495" t="str">
        <f t="shared" si="22"/>
        <v/>
      </c>
      <c r="N495" t="str">
        <f t="shared" si="23"/>
        <v>--</v>
      </c>
    </row>
    <row r="496" spans="1:14">
      <c r="A496" s="1650" t="s">
        <v>2716</v>
      </c>
      <c r="B496" s="1649" t="s">
        <v>2717</v>
      </c>
      <c r="C496" s="1650" t="s">
        <v>115</v>
      </c>
      <c r="D496" s="1654" t="s">
        <v>115</v>
      </c>
      <c r="E496" s="1650" t="s">
        <v>115</v>
      </c>
      <c r="F496" s="1654" t="s">
        <v>115</v>
      </c>
      <c r="G496" s="1650" t="s">
        <v>115</v>
      </c>
      <c r="H496" s="1654">
        <v>1E-4</v>
      </c>
      <c r="I496" s="1650" t="s">
        <v>1277</v>
      </c>
      <c r="J496" s="1654">
        <v>30</v>
      </c>
      <c r="K496" s="1655" t="s">
        <v>1247</v>
      </c>
      <c r="L496" t="str">
        <f t="shared" si="21"/>
        <v/>
      </c>
      <c r="M496" t="str">
        <f t="shared" si="22"/>
        <v/>
      </c>
      <c r="N496" t="str">
        <f t="shared" si="23"/>
        <v>--</v>
      </c>
    </row>
    <row r="497" spans="1:14">
      <c r="A497" s="1650" t="s">
        <v>2718</v>
      </c>
      <c r="B497" s="1649" t="s">
        <v>2719</v>
      </c>
      <c r="C497" s="1650" t="s">
        <v>115</v>
      </c>
      <c r="D497" s="1654" t="s">
        <v>115</v>
      </c>
      <c r="E497" s="1650" t="s">
        <v>115</v>
      </c>
      <c r="F497" s="1654" t="s">
        <v>115</v>
      </c>
      <c r="G497" s="1650" t="s">
        <v>115</v>
      </c>
      <c r="H497" s="1654">
        <v>5.0000000000000002E-5</v>
      </c>
      <c r="I497" s="1650" t="s">
        <v>1277</v>
      </c>
      <c r="J497" s="1654" t="s">
        <v>115</v>
      </c>
      <c r="K497" s="1655" t="s">
        <v>115</v>
      </c>
      <c r="L497" t="str">
        <f t="shared" si="21"/>
        <v/>
      </c>
      <c r="M497" t="str">
        <f t="shared" si="22"/>
        <v/>
      </c>
      <c r="N497" t="str">
        <f t="shared" si="23"/>
        <v>--</v>
      </c>
    </row>
    <row r="498" spans="1:14">
      <c r="A498" s="1650" t="s">
        <v>2720</v>
      </c>
      <c r="B498" s="1649" t="s">
        <v>2721</v>
      </c>
      <c r="C498" s="1650" t="s">
        <v>115</v>
      </c>
      <c r="D498" s="1654" t="s">
        <v>115</v>
      </c>
      <c r="E498" s="1650" t="s">
        <v>115</v>
      </c>
      <c r="F498" s="1654" t="s">
        <v>115</v>
      </c>
      <c r="G498" s="1650" t="s">
        <v>115</v>
      </c>
      <c r="H498" s="1654">
        <v>2</v>
      </c>
      <c r="I498" s="1650" t="s">
        <v>1277</v>
      </c>
      <c r="J498" s="1654">
        <v>20000</v>
      </c>
      <c r="K498" s="1655" t="s">
        <v>1277</v>
      </c>
      <c r="L498" t="str">
        <f t="shared" si="21"/>
        <v/>
      </c>
      <c r="M498" t="str">
        <f t="shared" si="22"/>
        <v/>
      </c>
      <c r="N498" t="str">
        <f t="shared" si="23"/>
        <v>--</v>
      </c>
    </row>
    <row r="499" spans="1:14">
      <c r="A499" s="1650" t="s">
        <v>2722</v>
      </c>
      <c r="B499" s="1649" t="s">
        <v>2723</v>
      </c>
      <c r="C499" s="1650" t="s">
        <v>115</v>
      </c>
      <c r="D499" s="1654" t="s">
        <v>115</v>
      </c>
      <c r="E499" s="1650" t="s">
        <v>115</v>
      </c>
      <c r="F499" s="1654" t="s">
        <v>115</v>
      </c>
      <c r="G499" s="1650" t="s">
        <v>115</v>
      </c>
      <c r="H499" s="1654">
        <v>1.5E-3</v>
      </c>
      <c r="I499" s="1650" t="s">
        <v>3663</v>
      </c>
      <c r="J499" s="1654" t="s">
        <v>115</v>
      </c>
      <c r="K499" s="1655" t="s">
        <v>115</v>
      </c>
      <c r="L499" t="str">
        <f t="shared" si="21"/>
        <v/>
      </c>
      <c r="M499" t="str">
        <f t="shared" si="22"/>
        <v/>
      </c>
      <c r="N499" t="str">
        <f t="shared" si="23"/>
        <v>--</v>
      </c>
    </row>
    <row r="500" spans="1:14">
      <c r="A500" s="1650" t="s">
        <v>2724</v>
      </c>
      <c r="B500" s="1649" t="s">
        <v>2725</v>
      </c>
      <c r="C500" s="1650" t="s">
        <v>115</v>
      </c>
      <c r="D500" s="1654" t="s">
        <v>115</v>
      </c>
      <c r="E500" s="1650" t="s">
        <v>115</v>
      </c>
      <c r="F500" s="1654" t="s">
        <v>115</v>
      </c>
      <c r="G500" s="1650" t="s">
        <v>115</v>
      </c>
      <c r="H500" s="1654">
        <v>2.5000000000000001E-2</v>
      </c>
      <c r="I500" s="1650" t="s">
        <v>1277</v>
      </c>
      <c r="J500" s="1654" t="s">
        <v>115</v>
      </c>
      <c r="K500" s="1655" t="s">
        <v>115</v>
      </c>
      <c r="L500" t="str">
        <f t="shared" si="21"/>
        <v/>
      </c>
      <c r="M500" t="str">
        <f t="shared" si="22"/>
        <v/>
      </c>
      <c r="N500" t="str">
        <f t="shared" si="23"/>
        <v>--</v>
      </c>
    </row>
    <row r="501" spans="1:14">
      <c r="A501" s="1650" t="s">
        <v>216</v>
      </c>
      <c r="B501" s="1649" t="s">
        <v>215</v>
      </c>
      <c r="C501" s="1650" t="s">
        <v>115</v>
      </c>
      <c r="D501" s="1654" t="s">
        <v>115</v>
      </c>
      <c r="E501" s="1650" t="s">
        <v>115</v>
      </c>
      <c r="F501" s="1654" t="s">
        <v>115</v>
      </c>
      <c r="G501" s="1650" t="s">
        <v>115</v>
      </c>
      <c r="H501" s="1654">
        <v>5.0000000000000001E-3</v>
      </c>
      <c r="I501" s="1650" t="s">
        <v>1277</v>
      </c>
      <c r="J501" s="1654">
        <v>20</v>
      </c>
      <c r="K501" s="1655" t="s">
        <v>3598</v>
      </c>
      <c r="L501" t="str">
        <f t="shared" si="21"/>
        <v/>
      </c>
      <c r="M501" t="str">
        <f t="shared" si="22"/>
        <v>Route RfC</v>
      </c>
      <c r="N501" t="str">
        <f t="shared" si="23"/>
        <v>Route RfC</v>
      </c>
    </row>
    <row r="502" spans="1:14">
      <c r="A502" s="1650" t="s">
        <v>2732</v>
      </c>
      <c r="B502" s="1649" t="s">
        <v>3885</v>
      </c>
      <c r="C502" s="1650" t="s">
        <v>115</v>
      </c>
      <c r="D502" s="1654" t="s">
        <v>115</v>
      </c>
      <c r="E502" s="1650" t="s">
        <v>115</v>
      </c>
      <c r="F502" s="1654" t="s">
        <v>115</v>
      </c>
      <c r="G502" s="1650" t="s">
        <v>115</v>
      </c>
      <c r="H502" s="1654">
        <v>1</v>
      </c>
      <c r="I502" s="1650" t="s">
        <v>3603</v>
      </c>
      <c r="J502" s="1654">
        <v>4000</v>
      </c>
      <c r="K502" s="1655" t="s">
        <v>3609</v>
      </c>
      <c r="L502" t="str">
        <f t="shared" si="21"/>
        <v/>
      </c>
      <c r="M502" t="str">
        <f t="shared" si="22"/>
        <v>Route RfC</v>
      </c>
      <c r="N502" t="str">
        <f t="shared" si="23"/>
        <v>Route RfC</v>
      </c>
    </row>
    <row r="503" spans="1:14">
      <c r="A503" s="1650" t="s">
        <v>2734</v>
      </c>
      <c r="B503" s="1649" t="s">
        <v>3886</v>
      </c>
      <c r="C503" s="1650" t="s">
        <v>115</v>
      </c>
      <c r="D503" s="1654" t="s">
        <v>115</v>
      </c>
      <c r="E503" s="1650" t="s">
        <v>115</v>
      </c>
      <c r="F503" s="1654" t="s">
        <v>115</v>
      </c>
      <c r="G503" s="1650" t="s">
        <v>115</v>
      </c>
      <c r="H503" s="1654" t="s">
        <v>115</v>
      </c>
      <c r="I503" s="1650" t="s">
        <v>115</v>
      </c>
      <c r="J503" s="1654">
        <v>20</v>
      </c>
      <c r="K503" s="1655"/>
      <c r="L503" t="str">
        <f t="shared" si="21"/>
        <v/>
      </c>
      <c r="M503" t="str">
        <f t="shared" si="22"/>
        <v/>
      </c>
      <c r="N503" t="str">
        <f t="shared" si="23"/>
        <v>--</v>
      </c>
    </row>
    <row r="504" spans="1:14">
      <c r="A504" s="1650" t="s">
        <v>112</v>
      </c>
      <c r="B504" s="1649" t="s">
        <v>3887</v>
      </c>
      <c r="C504" s="1650" t="s">
        <v>115</v>
      </c>
      <c r="D504" s="1654" t="s">
        <v>115</v>
      </c>
      <c r="E504" s="1650" t="s">
        <v>115</v>
      </c>
      <c r="F504" s="1654" t="s">
        <v>115</v>
      </c>
      <c r="G504" s="1650" t="s">
        <v>115</v>
      </c>
      <c r="H504" s="1654">
        <v>1.4E-3</v>
      </c>
      <c r="I504" s="1650" t="s">
        <v>1277</v>
      </c>
      <c r="J504" s="1654">
        <v>5</v>
      </c>
      <c r="K504" s="1655" t="s">
        <v>1277</v>
      </c>
      <c r="L504" t="str">
        <f t="shared" si="21"/>
        <v/>
      </c>
      <c r="M504" t="str">
        <f t="shared" si="22"/>
        <v/>
      </c>
      <c r="N504" t="str">
        <f t="shared" si="23"/>
        <v>--</v>
      </c>
    </row>
    <row r="505" spans="1:14">
      <c r="A505" s="1650" t="s">
        <v>2737</v>
      </c>
      <c r="B505" s="1649" t="s">
        <v>3888</v>
      </c>
      <c r="C505" s="1650" t="s">
        <v>115</v>
      </c>
      <c r="D505" s="1654" t="s">
        <v>115</v>
      </c>
      <c r="E505" s="1650" t="s">
        <v>115</v>
      </c>
      <c r="F505" s="1654">
        <v>1E-3</v>
      </c>
      <c r="G505" s="1650" t="s">
        <v>3603</v>
      </c>
      <c r="H505" s="1654">
        <v>1E-3</v>
      </c>
      <c r="I505" s="1650" t="s">
        <v>1247</v>
      </c>
      <c r="J505" s="1654">
        <v>0.02</v>
      </c>
      <c r="K505" s="1655" t="s">
        <v>3603</v>
      </c>
      <c r="L505" t="str">
        <f t="shared" si="21"/>
        <v/>
      </c>
      <c r="M505" t="str">
        <f t="shared" si="22"/>
        <v/>
      </c>
      <c r="N505" t="str">
        <f t="shared" si="23"/>
        <v>--</v>
      </c>
    </row>
    <row r="506" spans="1:14">
      <c r="A506" s="1650" t="s">
        <v>2740</v>
      </c>
      <c r="B506" s="1649" t="s">
        <v>2741</v>
      </c>
      <c r="C506" s="1650" t="s">
        <v>115</v>
      </c>
      <c r="D506" s="1654" t="s">
        <v>115</v>
      </c>
      <c r="E506" s="1650" t="s">
        <v>115</v>
      </c>
      <c r="F506" s="1654" t="s">
        <v>115</v>
      </c>
      <c r="G506" s="1650" t="s">
        <v>115</v>
      </c>
      <c r="H506" s="1654" t="s">
        <v>115</v>
      </c>
      <c r="I506" s="1650" t="s">
        <v>115</v>
      </c>
      <c r="J506" s="1654">
        <v>1</v>
      </c>
      <c r="K506" s="1655" t="s">
        <v>1234</v>
      </c>
      <c r="L506" t="str">
        <f t="shared" si="21"/>
        <v/>
      </c>
      <c r="M506" t="str">
        <f t="shared" si="22"/>
        <v/>
      </c>
      <c r="N506" t="str">
        <f t="shared" si="23"/>
        <v>--</v>
      </c>
    </row>
    <row r="507" spans="1:14">
      <c r="A507" s="1650" t="s">
        <v>2742</v>
      </c>
      <c r="B507" s="1649" t="s">
        <v>3889</v>
      </c>
      <c r="C507" s="1650" t="s">
        <v>115</v>
      </c>
      <c r="D507" s="1654" t="s">
        <v>115</v>
      </c>
      <c r="E507" s="1650" t="s">
        <v>115</v>
      </c>
      <c r="F507" s="1654" t="s">
        <v>115</v>
      </c>
      <c r="G507" s="1650" t="s">
        <v>115</v>
      </c>
      <c r="H507" s="1654">
        <v>1.4</v>
      </c>
      <c r="I507" s="1650" t="s">
        <v>1277</v>
      </c>
      <c r="J507" s="1654">
        <v>700</v>
      </c>
      <c r="K507" s="1655" t="s">
        <v>1277</v>
      </c>
      <c r="L507" t="str">
        <f t="shared" si="21"/>
        <v/>
      </c>
      <c r="M507" t="str">
        <f t="shared" si="22"/>
        <v/>
      </c>
      <c r="N507" t="str">
        <f t="shared" si="23"/>
        <v>--</v>
      </c>
    </row>
    <row r="508" spans="1:14">
      <c r="A508" s="1650" t="s">
        <v>2744</v>
      </c>
      <c r="B508" s="1649" t="s">
        <v>2745</v>
      </c>
      <c r="C508" s="1650" t="s">
        <v>115</v>
      </c>
      <c r="D508" s="1654" t="s">
        <v>115</v>
      </c>
      <c r="E508" s="1650" t="s">
        <v>115</v>
      </c>
      <c r="F508" s="1654" t="s">
        <v>115</v>
      </c>
      <c r="G508" s="1650" t="s">
        <v>115</v>
      </c>
      <c r="H508" s="1654">
        <v>2.5000000000000001E-4</v>
      </c>
      <c r="I508" s="1650" t="s">
        <v>1277</v>
      </c>
      <c r="J508" s="1654" t="s">
        <v>115</v>
      </c>
      <c r="K508" s="1655" t="s">
        <v>115</v>
      </c>
      <c r="L508" t="str">
        <f t="shared" si="21"/>
        <v/>
      </c>
      <c r="M508" t="str">
        <f t="shared" si="22"/>
        <v/>
      </c>
      <c r="N508" t="str">
        <f t="shared" si="23"/>
        <v>--</v>
      </c>
    </row>
    <row r="509" spans="1:14">
      <c r="A509" s="1650" t="s">
        <v>2783</v>
      </c>
      <c r="B509" s="1649" t="s">
        <v>3890</v>
      </c>
      <c r="C509" s="1650" t="s">
        <v>115</v>
      </c>
      <c r="D509" s="1654" t="s">
        <v>115</v>
      </c>
      <c r="E509" s="1650" t="s">
        <v>115</v>
      </c>
      <c r="F509" s="1654" t="s">
        <v>115</v>
      </c>
      <c r="G509" s="1650" t="s">
        <v>115</v>
      </c>
      <c r="H509" s="1654">
        <v>7.0000000000000007E-2</v>
      </c>
      <c r="I509" s="1650" t="s">
        <v>3616</v>
      </c>
      <c r="J509" s="1654">
        <v>280</v>
      </c>
      <c r="K509" s="1655" t="s">
        <v>3789</v>
      </c>
      <c r="L509" t="str">
        <f t="shared" si="21"/>
        <v/>
      </c>
      <c r="M509" t="str">
        <f t="shared" si="22"/>
        <v>Route RfC</v>
      </c>
      <c r="N509" t="str">
        <f t="shared" si="23"/>
        <v>Route RfC</v>
      </c>
    </row>
    <row r="510" spans="1:14">
      <c r="A510" s="1650" t="s">
        <v>2748</v>
      </c>
      <c r="B510" s="1649" t="s">
        <v>3891</v>
      </c>
      <c r="C510" s="1650" t="s">
        <v>115</v>
      </c>
      <c r="D510" s="1654" t="s">
        <v>115</v>
      </c>
      <c r="E510" s="1650" t="s">
        <v>115</v>
      </c>
      <c r="F510" s="1654" t="s">
        <v>115</v>
      </c>
      <c r="G510" s="1650" t="s">
        <v>115</v>
      </c>
      <c r="H510" s="1654">
        <v>6.0000000000000001E-3</v>
      </c>
      <c r="I510" s="1650" t="s">
        <v>3616</v>
      </c>
      <c r="J510" s="1654">
        <v>40</v>
      </c>
      <c r="K510" s="1655" t="s">
        <v>3616</v>
      </c>
      <c r="L510" t="str">
        <f t="shared" si="21"/>
        <v/>
      </c>
      <c r="M510" t="str">
        <f t="shared" si="22"/>
        <v/>
      </c>
      <c r="N510" t="str">
        <f t="shared" si="23"/>
        <v>--</v>
      </c>
    </row>
    <row r="511" spans="1:14">
      <c r="A511" s="1650" t="s">
        <v>228</v>
      </c>
      <c r="B511" s="1649" t="s">
        <v>3892</v>
      </c>
      <c r="C511" s="1650" t="s">
        <v>115</v>
      </c>
      <c r="D511" s="1654">
        <v>1.8E-3</v>
      </c>
      <c r="E511" s="1650" t="s">
        <v>1234</v>
      </c>
      <c r="F511" s="1654">
        <v>2.6E-7</v>
      </c>
      <c r="G511" s="1650" t="s">
        <v>1234</v>
      </c>
      <c r="H511" s="1654" t="s">
        <v>115</v>
      </c>
      <c r="I511" s="1650" t="s">
        <v>115</v>
      </c>
      <c r="J511" s="1654">
        <v>3000</v>
      </c>
      <c r="K511" s="1655" t="s">
        <v>1277</v>
      </c>
      <c r="L511" t="str">
        <f t="shared" si="21"/>
        <v/>
      </c>
      <c r="M511" t="str">
        <f t="shared" si="22"/>
        <v/>
      </c>
      <c r="N511" t="str">
        <f t="shared" si="23"/>
        <v>--</v>
      </c>
    </row>
    <row r="512" spans="1:14">
      <c r="A512" s="1650" t="s">
        <v>2763</v>
      </c>
      <c r="B512" s="1649" t="s">
        <v>2764</v>
      </c>
      <c r="C512" s="1650" t="s">
        <v>115</v>
      </c>
      <c r="D512" s="1654" t="s">
        <v>115</v>
      </c>
      <c r="E512" s="1650" t="s">
        <v>115</v>
      </c>
      <c r="F512" s="1654" t="s">
        <v>115</v>
      </c>
      <c r="G512" s="1650" t="s">
        <v>115</v>
      </c>
      <c r="H512" s="1654">
        <v>0.01</v>
      </c>
      <c r="I512" s="1650" t="s">
        <v>1280</v>
      </c>
      <c r="J512" s="1654" t="s">
        <v>115</v>
      </c>
      <c r="K512" s="1655" t="s">
        <v>115</v>
      </c>
      <c r="L512" t="str">
        <f t="shared" si="21"/>
        <v/>
      </c>
      <c r="M512" t="str">
        <f t="shared" si="22"/>
        <v/>
      </c>
      <c r="N512" t="str">
        <f t="shared" si="23"/>
        <v>--</v>
      </c>
    </row>
    <row r="513" spans="1:14">
      <c r="A513" s="1650" t="s">
        <v>2772</v>
      </c>
      <c r="B513" s="1649" t="s">
        <v>2773</v>
      </c>
      <c r="C513" s="1650" t="s">
        <v>115</v>
      </c>
      <c r="D513" s="1654" t="s">
        <v>115</v>
      </c>
      <c r="E513" s="1650" t="s">
        <v>115</v>
      </c>
      <c r="F513" s="1654" t="s">
        <v>115</v>
      </c>
      <c r="G513" s="1650" t="s">
        <v>115</v>
      </c>
      <c r="H513" s="1654" t="s">
        <v>115</v>
      </c>
      <c r="I513" s="1650" t="s">
        <v>115</v>
      </c>
      <c r="J513" s="1654">
        <v>95</v>
      </c>
      <c r="K513" s="1655" t="s">
        <v>3603</v>
      </c>
      <c r="L513" t="str">
        <f t="shared" si="21"/>
        <v/>
      </c>
      <c r="M513" t="str">
        <f t="shared" si="22"/>
        <v/>
      </c>
      <c r="N513" t="str">
        <f t="shared" si="23"/>
        <v>--</v>
      </c>
    </row>
    <row r="514" spans="1:14">
      <c r="A514" s="1650" t="s">
        <v>2275</v>
      </c>
      <c r="B514" s="1649" t="s">
        <v>3893</v>
      </c>
      <c r="C514" s="1650" t="s">
        <v>115</v>
      </c>
      <c r="D514" s="1654" t="s">
        <v>115</v>
      </c>
      <c r="E514" s="1650" t="s">
        <v>115</v>
      </c>
      <c r="F514" s="1654" t="s">
        <v>115</v>
      </c>
      <c r="G514" s="1650" t="s">
        <v>115</v>
      </c>
      <c r="H514" s="1654" t="s">
        <v>115</v>
      </c>
      <c r="I514" s="1650" t="s">
        <v>115</v>
      </c>
      <c r="J514" s="1654">
        <v>4</v>
      </c>
      <c r="K514" s="1655"/>
      <c r="L514" t="str">
        <f t="shared" si="21"/>
        <v/>
      </c>
      <c r="M514" t="str">
        <f t="shared" si="22"/>
        <v/>
      </c>
      <c r="N514" t="str">
        <f t="shared" si="23"/>
        <v>--</v>
      </c>
    </row>
    <row r="515" spans="1:14">
      <c r="A515" s="1650" t="s">
        <v>218</v>
      </c>
      <c r="B515" s="1649" t="s">
        <v>2774</v>
      </c>
      <c r="C515" s="1650" t="s">
        <v>1906</v>
      </c>
      <c r="D515" s="1654">
        <v>2E-3</v>
      </c>
      <c r="E515" s="1650" t="s">
        <v>1277</v>
      </c>
      <c r="F515" s="1654">
        <v>9.9999999999999995E-7</v>
      </c>
      <c r="G515" s="1650" t="s">
        <v>3600</v>
      </c>
      <c r="H515" s="1654">
        <v>6.0000000000000001E-3</v>
      </c>
      <c r="I515" s="1650" t="s">
        <v>1277</v>
      </c>
      <c r="J515" s="1654">
        <v>400</v>
      </c>
      <c r="K515" s="1655" t="s">
        <v>3600</v>
      </c>
      <c r="L515" t="str">
        <f t="shared" si="21"/>
        <v/>
      </c>
      <c r="M515" t="str">
        <f t="shared" si="22"/>
        <v/>
      </c>
      <c r="N515" t="str">
        <f t="shared" si="23"/>
        <v>--</v>
      </c>
    </row>
    <row r="516" spans="1:14">
      <c r="A516" s="1650" t="s">
        <v>2781</v>
      </c>
      <c r="B516" s="1649" t="s">
        <v>3894</v>
      </c>
      <c r="C516" s="1650" t="s">
        <v>115</v>
      </c>
      <c r="D516" s="1654" t="s">
        <v>115</v>
      </c>
      <c r="E516" s="1650" t="s">
        <v>115</v>
      </c>
      <c r="F516" s="1654" t="s">
        <v>115</v>
      </c>
      <c r="G516" s="1650" t="s">
        <v>115</v>
      </c>
      <c r="H516" s="1654" t="s">
        <v>115</v>
      </c>
      <c r="I516" s="1650" t="s">
        <v>115</v>
      </c>
      <c r="J516" s="1654">
        <v>0.08</v>
      </c>
      <c r="K516" s="1655" t="s">
        <v>3600</v>
      </c>
      <c r="L516" t="str">
        <f t="shared" si="21"/>
        <v/>
      </c>
      <c r="M516" t="str">
        <f t="shared" si="22"/>
        <v/>
      </c>
      <c r="N516" t="str">
        <f t="shared" si="23"/>
        <v>--</v>
      </c>
    </row>
    <row r="517" spans="1:14">
      <c r="A517" s="1650" t="s">
        <v>224</v>
      </c>
      <c r="B517" s="1649" t="s">
        <v>3895</v>
      </c>
      <c r="C517" s="1650" t="s">
        <v>115</v>
      </c>
      <c r="D517" s="1654" t="s">
        <v>115</v>
      </c>
      <c r="E517" s="1650" t="s">
        <v>115</v>
      </c>
      <c r="F517" s="1654" t="s">
        <v>115</v>
      </c>
      <c r="G517" s="1650" t="s">
        <v>115</v>
      </c>
      <c r="H517" s="1654">
        <v>1E-4</v>
      </c>
      <c r="I517" s="1650" t="s">
        <v>1277</v>
      </c>
      <c r="J517" s="1654" t="s">
        <v>115</v>
      </c>
      <c r="K517" s="1655" t="s">
        <v>115</v>
      </c>
      <c r="L517" t="str">
        <f t="shared" si="21"/>
        <v/>
      </c>
      <c r="M517" t="str">
        <f t="shared" si="22"/>
        <v/>
      </c>
      <c r="N517" t="str">
        <f t="shared" si="23"/>
        <v>--</v>
      </c>
    </row>
    <row r="518" spans="1:14">
      <c r="A518" s="1650" t="s">
        <v>2750</v>
      </c>
      <c r="B518" s="1649" t="s">
        <v>3896</v>
      </c>
      <c r="C518" s="1650" t="s">
        <v>115</v>
      </c>
      <c r="D518" s="1654">
        <v>9.9000000000000005E-2</v>
      </c>
      <c r="E518" s="1650" t="s">
        <v>1234</v>
      </c>
      <c r="F518" s="1654">
        <v>2.8E-5</v>
      </c>
      <c r="G518" s="1650" t="s">
        <v>1234</v>
      </c>
      <c r="H518" s="1654" t="s">
        <v>115</v>
      </c>
      <c r="I518" s="1650" t="s">
        <v>115</v>
      </c>
      <c r="J518" s="1654" t="s">
        <v>115</v>
      </c>
      <c r="K518" s="1655" t="s">
        <v>115</v>
      </c>
      <c r="L518" t="str">
        <f t="shared" ref="L518:L581" si="24">IF(COUNTIF(G518,"*Route*"),"Route IUR","")</f>
        <v/>
      </c>
      <c r="M518" t="str">
        <f t="shared" ref="M518:M581" si="25">IF(COUNTIF(K518,"*Route*"),"Route RfC","")</f>
        <v/>
      </c>
      <c r="N518" t="str">
        <f t="shared" ref="N518:N581" si="26">IF(AND(L518&lt;&gt;"",M518&lt;&gt;""),"Route IUR &amp; RfC",IF(L518&lt;&gt;"","Route IUR",IF(M518&lt;&gt;"","Route RfC","--")))</f>
        <v>--</v>
      </c>
    </row>
    <row r="519" spans="1:14">
      <c r="A519" s="1650" t="s">
        <v>2202</v>
      </c>
      <c r="B519" s="1649" t="s">
        <v>3897</v>
      </c>
      <c r="C519" s="1650" t="s">
        <v>115</v>
      </c>
      <c r="D519" s="1654" t="s">
        <v>115</v>
      </c>
      <c r="E519" s="1650" t="s">
        <v>115</v>
      </c>
      <c r="F519" s="1654" t="s">
        <v>115</v>
      </c>
      <c r="G519" s="1650" t="s">
        <v>115</v>
      </c>
      <c r="H519" s="1654">
        <v>0.1</v>
      </c>
      <c r="I519" s="1650" t="s">
        <v>1280</v>
      </c>
      <c r="J519" s="1654">
        <v>600</v>
      </c>
      <c r="K519" s="1655" t="s">
        <v>1234</v>
      </c>
      <c r="L519" t="str">
        <f t="shared" si="24"/>
        <v/>
      </c>
      <c r="M519" t="str">
        <f t="shared" si="25"/>
        <v/>
      </c>
      <c r="N519" t="str">
        <f t="shared" si="26"/>
        <v>--</v>
      </c>
    </row>
    <row r="520" spans="1:14">
      <c r="A520" s="1650" t="s">
        <v>2746</v>
      </c>
      <c r="B520" s="1649" t="s">
        <v>3898</v>
      </c>
      <c r="C520" s="1650" t="s">
        <v>115</v>
      </c>
      <c r="D520" s="1654" t="s">
        <v>115</v>
      </c>
      <c r="E520" s="1650" t="s">
        <v>115</v>
      </c>
      <c r="F520" s="1654" t="s">
        <v>115</v>
      </c>
      <c r="G520" s="1650" t="s">
        <v>115</v>
      </c>
      <c r="H520" s="1654">
        <v>0.06</v>
      </c>
      <c r="I520" s="1650" t="s">
        <v>3603</v>
      </c>
      <c r="J520" s="1654" t="s">
        <v>115</v>
      </c>
      <c r="K520" s="1655" t="s">
        <v>115</v>
      </c>
      <c r="L520" t="str">
        <f t="shared" si="24"/>
        <v/>
      </c>
      <c r="M520" t="str">
        <f t="shared" si="25"/>
        <v/>
      </c>
      <c r="N520" t="str">
        <f t="shared" si="26"/>
        <v>--</v>
      </c>
    </row>
    <row r="521" spans="1:14">
      <c r="A521" s="1650" t="s">
        <v>2785</v>
      </c>
      <c r="B521" s="1649" t="s">
        <v>2786</v>
      </c>
      <c r="C521" s="1650" t="s">
        <v>115</v>
      </c>
      <c r="D521" s="1654" t="s">
        <v>115</v>
      </c>
      <c r="E521" s="1650" t="s">
        <v>115</v>
      </c>
      <c r="F521" s="1654" t="s">
        <v>115</v>
      </c>
      <c r="G521" s="1650" t="s">
        <v>115</v>
      </c>
      <c r="H521" s="1654">
        <v>0.15</v>
      </c>
      <c r="I521" s="1650" t="s">
        <v>1277</v>
      </c>
      <c r="J521" s="1654" t="s">
        <v>115</v>
      </c>
      <c r="K521" s="1655" t="s">
        <v>115</v>
      </c>
      <c r="L521" t="str">
        <f t="shared" si="24"/>
        <v/>
      </c>
      <c r="M521" t="str">
        <f t="shared" si="25"/>
        <v/>
      </c>
      <c r="N521" t="str">
        <f t="shared" si="26"/>
        <v>--</v>
      </c>
    </row>
    <row r="522" spans="1:14">
      <c r="A522" s="1650" t="s">
        <v>2787</v>
      </c>
      <c r="B522" s="1649" t="s">
        <v>2788</v>
      </c>
      <c r="C522" s="1650" t="s">
        <v>115</v>
      </c>
      <c r="D522" s="1654" t="s">
        <v>115</v>
      </c>
      <c r="E522" s="1650" t="s">
        <v>115</v>
      </c>
      <c r="F522" s="1654" t="s">
        <v>115</v>
      </c>
      <c r="G522" s="1650" t="s">
        <v>115</v>
      </c>
      <c r="H522" s="1654">
        <v>2.5000000000000001E-2</v>
      </c>
      <c r="I522" s="1650" t="s">
        <v>1277</v>
      </c>
      <c r="J522" s="1654" t="s">
        <v>115</v>
      </c>
      <c r="K522" s="1655" t="s">
        <v>115</v>
      </c>
      <c r="L522" t="str">
        <f t="shared" si="24"/>
        <v/>
      </c>
      <c r="M522" t="str">
        <f t="shared" si="25"/>
        <v/>
      </c>
      <c r="N522" t="str">
        <f t="shared" si="26"/>
        <v>--</v>
      </c>
    </row>
    <row r="523" spans="1:14">
      <c r="A523" s="1650" t="s">
        <v>2789</v>
      </c>
      <c r="B523" s="1649" t="s">
        <v>2790</v>
      </c>
      <c r="C523" s="1650" t="s">
        <v>115</v>
      </c>
      <c r="D523" s="1654" t="s">
        <v>115</v>
      </c>
      <c r="E523" s="1650" t="s">
        <v>115</v>
      </c>
      <c r="F523" s="1654" t="s">
        <v>115</v>
      </c>
      <c r="G523" s="1650" t="s">
        <v>115</v>
      </c>
      <c r="H523" s="1654">
        <v>0.25</v>
      </c>
      <c r="I523" s="1650" t="s">
        <v>1277</v>
      </c>
      <c r="J523" s="1654" t="s">
        <v>115</v>
      </c>
      <c r="K523" s="1655" t="s">
        <v>115</v>
      </c>
      <c r="L523" t="str">
        <f t="shared" si="24"/>
        <v/>
      </c>
      <c r="M523" t="str">
        <f t="shared" si="25"/>
        <v/>
      </c>
      <c r="N523" t="str">
        <f t="shared" si="26"/>
        <v>--</v>
      </c>
    </row>
    <row r="524" spans="1:14">
      <c r="A524" s="1650" t="s">
        <v>2793</v>
      </c>
      <c r="B524" s="1649" t="s">
        <v>3899</v>
      </c>
      <c r="C524" s="1650" t="s">
        <v>115</v>
      </c>
      <c r="D524" s="1654" t="s">
        <v>115</v>
      </c>
      <c r="E524" s="1650" t="s">
        <v>115</v>
      </c>
      <c r="F524" s="1654" t="s">
        <v>115</v>
      </c>
      <c r="G524" s="1650" t="s">
        <v>115</v>
      </c>
      <c r="H524" s="1654">
        <v>3</v>
      </c>
      <c r="I524" s="1650" t="s">
        <v>1247</v>
      </c>
      <c r="J524" s="1654">
        <v>12000</v>
      </c>
      <c r="K524" s="1655" t="s">
        <v>3605</v>
      </c>
      <c r="L524" t="str">
        <f t="shared" si="24"/>
        <v/>
      </c>
      <c r="M524" t="str">
        <f t="shared" si="25"/>
        <v>Route RfC</v>
      </c>
      <c r="N524" t="str">
        <f t="shared" si="26"/>
        <v>Route RfC</v>
      </c>
    </row>
    <row r="525" spans="1:14">
      <c r="A525" s="1650" t="s">
        <v>2795</v>
      </c>
      <c r="B525" s="1649" t="s">
        <v>2796</v>
      </c>
      <c r="C525" s="1650" t="s">
        <v>115</v>
      </c>
      <c r="D525" s="1654">
        <v>18</v>
      </c>
      <c r="E525" s="1650" t="s">
        <v>1234</v>
      </c>
      <c r="F525" s="1654">
        <v>5.1000000000000004E-3</v>
      </c>
      <c r="G525" s="1650" t="s">
        <v>1234</v>
      </c>
      <c r="H525" s="1654">
        <v>2.0000000000000001E-4</v>
      </c>
      <c r="I525" s="1650" t="s">
        <v>1277</v>
      </c>
      <c r="J525" s="1654">
        <v>0.8</v>
      </c>
      <c r="K525" s="1655" t="s">
        <v>3598</v>
      </c>
      <c r="L525" t="str">
        <f t="shared" si="24"/>
        <v/>
      </c>
      <c r="M525" t="str">
        <f t="shared" si="25"/>
        <v>Route RfC</v>
      </c>
      <c r="N525" t="str">
        <f t="shared" si="26"/>
        <v>Route RfC</v>
      </c>
    </row>
    <row r="526" spans="1:14">
      <c r="A526" s="1650" t="s">
        <v>2797</v>
      </c>
      <c r="B526" s="1649" t="s">
        <v>2798</v>
      </c>
      <c r="C526" s="1650" t="s">
        <v>115</v>
      </c>
      <c r="D526" s="1654" t="s">
        <v>115</v>
      </c>
      <c r="E526" s="1650" t="s">
        <v>115</v>
      </c>
      <c r="F526" s="1654" t="s">
        <v>115</v>
      </c>
      <c r="G526" s="1650" t="s">
        <v>115</v>
      </c>
      <c r="H526" s="1654">
        <v>2E-3</v>
      </c>
      <c r="I526" s="1650" t="s">
        <v>1277</v>
      </c>
      <c r="J526" s="1654" t="s">
        <v>115</v>
      </c>
      <c r="K526" s="1655" t="s">
        <v>115</v>
      </c>
      <c r="L526" t="str">
        <f t="shared" si="24"/>
        <v/>
      </c>
      <c r="M526" t="str">
        <f t="shared" si="25"/>
        <v/>
      </c>
      <c r="N526" t="str">
        <f t="shared" si="26"/>
        <v>--</v>
      </c>
    </row>
    <row r="527" spans="1:14">
      <c r="A527" s="1650" t="s">
        <v>230</v>
      </c>
      <c r="B527" s="1649" t="s">
        <v>229</v>
      </c>
      <c r="C527" s="1650" t="s">
        <v>115</v>
      </c>
      <c r="D527" s="1654" t="s">
        <v>115</v>
      </c>
      <c r="E527" s="1650" t="s">
        <v>115</v>
      </c>
      <c r="F527" s="1654" t="s">
        <v>115</v>
      </c>
      <c r="G527" s="1650" t="s">
        <v>115</v>
      </c>
      <c r="H527" s="1654">
        <v>5.0000000000000001E-3</v>
      </c>
      <c r="I527" s="1650" t="s">
        <v>1277</v>
      </c>
      <c r="J527" s="1654">
        <v>2</v>
      </c>
      <c r="K527" s="1655" t="s">
        <v>1280</v>
      </c>
      <c r="L527" t="str">
        <f t="shared" si="24"/>
        <v/>
      </c>
      <c r="M527" t="str">
        <f t="shared" si="25"/>
        <v/>
      </c>
      <c r="N527" t="str">
        <f t="shared" si="26"/>
        <v>--</v>
      </c>
    </row>
    <row r="528" spans="1:14">
      <c r="A528" s="1650" t="s">
        <v>3058</v>
      </c>
      <c r="B528" s="1649" t="s">
        <v>3900</v>
      </c>
      <c r="C528" s="1650" t="s">
        <v>115</v>
      </c>
      <c r="D528" s="1654" t="s">
        <v>115</v>
      </c>
      <c r="E528" s="1650" t="s">
        <v>115</v>
      </c>
      <c r="F528" s="1654" t="s">
        <v>115</v>
      </c>
      <c r="G528" s="1650" t="s">
        <v>115</v>
      </c>
      <c r="H528" s="1654">
        <v>3.5</v>
      </c>
      <c r="I528" s="1650" t="s">
        <v>3603</v>
      </c>
      <c r="J528" s="1654" t="s">
        <v>115</v>
      </c>
      <c r="K528" s="1655" t="s">
        <v>115</v>
      </c>
      <c r="L528" t="str">
        <f t="shared" si="24"/>
        <v/>
      </c>
      <c r="M528" t="str">
        <f t="shared" si="25"/>
        <v/>
      </c>
      <c r="N528" t="str">
        <f t="shared" si="26"/>
        <v>--</v>
      </c>
    </row>
    <row r="529" spans="1:14">
      <c r="A529" s="1650" t="s">
        <v>2799</v>
      </c>
      <c r="B529" s="1649" t="s">
        <v>2800</v>
      </c>
      <c r="C529" s="1650" t="s">
        <v>115</v>
      </c>
      <c r="D529" s="1654" t="s">
        <v>115</v>
      </c>
      <c r="E529" s="1650" t="s">
        <v>115</v>
      </c>
      <c r="F529" s="1654" t="s">
        <v>115</v>
      </c>
      <c r="G529" s="1650" t="s">
        <v>115</v>
      </c>
      <c r="H529" s="1654">
        <v>0.1</v>
      </c>
      <c r="I529" s="1650" t="s">
        <v>1277</v>
      </c>
      <c r="J529" s="1654" t="s">
        <v>115</v>
      </c>
      <c r="K529" s="1655" t="s">
        <v>115</v>
      </c>
      <c r="L529" t="str">
        <f t="shared" si="24"/>
        <v/>
      </c>
      <c r="M529" t="str">
        <f t="shared" si="25"/>
        <v/>
      </c>
      <c r="N529" t="str">
        <f t="shared" si="26"/>
        <v>--</v>
      </c>
    </row>
    <row r="530" spans="1:14">
      <c r="A530" s="1650" t="s">
        <v>3901</v>
      </c>
      <c r="B530" s="1649" t="s">
        <v>3902</v>
      </c>
      <c r="C530" s="1650" t="s">
        <v>115</v>
      </c>
      <c r="D530" s="1654" t="s">
        <v>115</v>
      </c>
      <c r="E530" s="1650" t="s">
        <v>115</v>
      </c>
      <c r="F530" s="1654" t="s">
        <v>115</v>
      </c>
      <c r="G530" s="1650" t="s">
        <v>115</v>
      </c>
      <c r="H530" s="1654">
        <v>49</v>
      </c>
      <c r="I530" s="1650" t="s">
        <v>1247</v>
      </c>
      <c r="J530" s="1654" t="s">
        <v>115</v>
      </c>
      <c r="K530" s="1655" t="s">
        <v>115</v>
      </c>
      <c r="L530" t="str">
        <f t="shared" si="24"/>
        <v/>
      </c>
      <c r="M530" t="str">
        <f t="shared" si="25"/>
        <v/>
      </c>
      <c r="N530" t="str">
        <f t="shared" si="26"/>
        <v>--</v>
      </c>
    </row>
    <row r="531" spans="1:14">
      <c r="A531" s="1650" t="s">
        <v>2801</v>
      </c>
      <c r="B531" s="1649" t="s">
        <v>2802</v>
      </c>
      <c r="C531" s="1650" t="s">
        <v>115</v>
      </c>
      <c r="D531" s="1654" t="s">
        <v>115</v>
      </c>
      <c r="E531" s="1650" t="s">
        <v>115</v>
      </c>
      <c r="F531" s="1654" t="s">
        <v>115</v>
      </c>
      <c r="G531" s="1650" t="s">
        <v>115</v>
      </c>
      <c r="H531" s="1654">
        <v>2E-3</v>
      </c>
      <c r="I531" s="1650" t="s">
        <v>1247</v>
      </c>
      <c r="J531" s="1654" t="s">
        <v>115</v>
      </c>
      <c r="K531" s="1655" t="s">
        <v>115</v>
      </c>
      <c r="L531" t="str">
        <f t="shared" si="24"/>
        <v/>
      </c>
      <c r="M531" t="str">
        <f t="shared" si="25"/>
        <v/>
      </c>
      <c r="N531" t="str">
        <f t="shared" si="26"/>
        <v>--</v>
      </c>
    </row>
    <row r="532" spans="1:14">
      <c r="A532" s="1650" t="s">
        <v>3060</v>
      </c>
      <c r="B532" s="1649" t="s">
        <v>3903</v>
      </c>
      <c r="C532" s="1650" t="s">
        <v>115</v>
      </c>
      <c r="D532" s="1654" t="s">
        <v>115</v>
      </c>
      <c r="E532" s="1650" t="s">
        <v>115</v>
      </c>
      <c r="F532" s="1654" t="s">
        <v>115</v>
      </c>
      <c r="G532" s="1650" t="s">
        <v>115</v>
      </c>
      <c r="H532" s="1654">
        <v>1</v>
      </c>
      <c r="I532" s="1650" t="s">
        <v>1247</v>
      </c>
      <c r="J532" s="1654" t="s">
        <v>115</v>
      </c>
      <c r="K532" s="1655" t="s">
        <v>115</v>
      </c>
      <c r="L532" t="str">
        <f t="shared" si="24"/>
        <v/>
      </c>
      <c r="M532" t="str">
        <f t="shared" si="25"/>
        <v/>
      </c>
      <c r="N532" t="str">
        <f t="shared" si="26"/>
        <v>--</v>
      </c>
    </row>
    <row r="533" spans="1:14">
      <c r="A533" s="1650" t="s">
        <v>3062</v>
      </c>
      <c r="B533" s="1649" t="s">
        <v>3904</v>
      </c>
      <c r="C533" s="1650" t="s">
        <v>115</v>
      </c>
      <c r="D533" s="1654" t="s">
        <v>115</v>
      </c>
      <c r="E533" s="1650" t="s">
        <v>115</v>
      </c>
      <c r="F533" s="1654" t="s">
        <v>115</v>
      </c>
      <c r="G533" s="1650" t="s">
        <v>115</v>
      </c>
      <c r="H533" s="1654">
        <v>1</v>
      </c>
      <c r="I533" s="1650" t="s">
        <v>1247</v>
      </c>
      <c r="J533" s="1654" t="s">
        <v>115</v>
      </c>
      <c r="K533" s="1655" t="s">
        <v>115</v>
      </c>
      <c r="L533" t="str">
        <f t="shared" si="24"/>
        <v/>
      </c>
      <c r="M533" t="str">
        <f t="shared" si="25"/>
        <v/>
      </c>
      <c r="N533" t="str">
        <f t="shared" si="26"/>
        <v>--</v>
      </c>
    </row>
    <row r="534" spans="1:14">
      <c r="A534" s="1650" t="s">
        <v>3537</v>
      </c>
      <c r="B534" s="1649" t="s">
        <v>3905</v>
      </c>
      <c r="C534" s="1650" t="s">
        <v>115</v>
      </c>
      <c r="D534" s="1654" t="s">
        <v>115</v>
      </c>
      <c r="E534" s="1650" t="s">
        <v>115</v>
      </c>
      <c r="F534" s="1654" t="s">
        <v>115</v>
      </c>
      <c r="G534" s="1650" t="s">
        <v>115</v>
      </c>
      <c r="H534" s="1654">
        <v>0.2</v>
      </c>
      <c r="I534" s="1650" t="s">
        <v>3906</v>
      </c>
      <c r="J534" s="1654">
        <v>100</v>
      </c>
      <c r="K534" s="1655" t="s">
        <v>3906</v>
      </c>
      <c r="L534" t="str">
        <f t="shared" si="24"/>
        <v/>
      </c>
      <c r="M534" t="str">
        <f t="shared" si="25"/>
        <v/>
      </c>
      <c r="N534" t="str">
        <f t="shared" si="26"/>
        <v>--</v>
      </c>
    </row>
    <row r="535" spans="1:14">
      <c r="A535" s="1650" t="s">
        <v>2803</v>
      </c>
      <c r="B535" s="1649" t="s">
        <v>2804</v>
      </c>
      <c r="C535" s="1650" t="s">
        <v>115</v>
      </c>
      <c r="D535" s="1654" t="s">
        <v>115</v>
      </c>
      <c r="E535" s="1650" t="s">
        <v>115</v>
      </c>
      <c r="F535" s="1654" t="s">
        <v>115</v>
      </c>
      <c r="G535" s="1650" t="s">
        <v>115</v>
      </c>
      <c r="H535" s="1654">
        <v>2.5000000000000001E-2</v>
      </c>
      <c r="I535" s="1650" t="s">
        <v>1277</v>
      </c>
      <c r="J535" s="1654" t="s">
        <v>115</v>
      </c>
      <c r="K535" s="1655" t="s">
        <v>115</v>
      </c>
      <c r="L535" t="str">
        <f t="shared" si="24"/>
        <v/>
      </c>
      <c r="M535" t="str">
        <f t="shared" si="25"/>
        <v/>
      </c>
      <c r="N535" t="str">
        <f t="shared" si="26"/>
        <v>--</v>
      </c>
    </row>
    <row r="536" spans="1:14">
      <c r="A536" s="1650" t="s">
        <v>2364</v>
      </c>
      <c r="B536" s="1649" t="s">
        <v>3907</v>
      </c>
      <c r="C536" s="1650" t="s">
        <v>115</v>
      </c>
      <c r="D536" s="1654">
        <v>2.7E-2</v>
      </c>
      <c r="E536" s="1650" t="s">
        <v>1247</v>
      </c>
      <c r="F536" s="1654">
        <v>6.8000000000000001E-6</v>
      </c>
      <c r="G536" s="1650" t="s">
        <v>3605</v>
      </c>
      <c r="H536" s="1654">
        <v>2E-3</v>
      </c>
      <c r="I536" s="1650" t="s">
        <v>1277</v>
      </c>
      <c r="J536" s="1654">
        <v>8</v>
      </c>
      <c r="K536" s="1655" t="s">
        <v>3598</v>
      </c>
      <c r="L536" t="str">
        <f t="shared" si="24"/>
        <v>Route IUR</v>
      </c>
      <c r="M536" t="str">
        <f t="shared" si="25"/>
        <v>Route RfC</v>
      </c>
      <c r="N536" t="str">
        <f t="shared" si="26"/>
        <v>Route IUR &amp; RfC</v>
      </c>
    </row>
    <row r="537" spans="1:14">
      <c r="A537" s="1650" t="s">
        <v>2368</v>
      </c>
      <c r="B537" s="1649" t="s">
        <v>3908</v>
      </c>
      <c r="C537" s="1650" t="s">
        <v>115</v>
      </c>
      <c r="D537" s="1654" t="s">
        <v>115</v>
      </c>
      <c r="E537" s="1650" t="s">
        <v>115</v>
      </c>
      <c r="F537" s="1654" t="s">
        <v>115</v>
      </c>
      <c r="G537" s="1650" t="s">
        <v>115</v>
      </c>
      <c r="H537" s="1654">
        <v>0.1</v>
      </c>
      <c r="I537" s="1650" t="s">
        <v>1247</v>
      </c>
      <c r="J537" s="1654">
        <v>30</v>
      </c>
      <c r="K537" s="1655" t="s">
        <v>1277</v>
      </c>
      <c r="L537" t="str">
        <f t="shared" si="24"/>
        <v/>
      </c>
      <c r="M537" t="str">
        <f t="shared" si="25"/>
        <v/>
      </c>
      <c r="N537" t="str">
        <f t="shared" si="26"/>
        <v>--</v>
      </c>
    </row>
    <row r="538" spans="1:14">
      <c r="A538" s="1650" t="s">
        <v>2807</v>
      </c>
      <c r="B538" s="1649" t="s">
        <v>2808</v>
      </c>
      <c r="C538" s="1650" t="s">
        <v>115</v>
      </c>
      <c r="D538" s="1654" t="s">
        <v>115</v>
      </c>
      <c r="E538" s="1650" t="s">
        <v>115</v>
      </c>
      <c r="F538" s="1654" t="s">
        <v>115</v>
      </c>
      <c r="G538" s="1650" t="s">
        <v>115</v>
      </c>
      <c r="H538" s="1654">
        <v>2E-3</v>
      </c>
      <c r="I538" s="1650" t="s">
        <v>1277</v>
      </c>
      <c r="J538" s="1654">
        <v>8</v>
      </c>
      <c r="K538" s="1655" t="s">
        <v>3598</v>
      </c>
      <c r="L538" t="str">
        <f t="shared" si="24"/>
        <v/>
      </c>
      <c r="M538" t="str">
        <f t="shared" si="25"/>
        <v>Route RfC</v>
      </c>
      <c r="N538" t="str">
        <f t="shared" si="26"/>
        <v>Route RfC</v>
      </c>
    </row>
    <row r="539" spans="1:14">
      <c r="A539" s="1650" t="s">
        <v>2809</v>
      </c>
      <c r="B539" s="1649" t="s">
        <v>2810</v>
      </c>
      <c r="C539" s="1650" t="s">
        <v>115</v>
      </c>
      <c r="D539" s="1654" t="s">
        <v>115</v>
      </c>
      <c r="E539" s="1650" t="s">
        <v>115</v>
      </c>
      <c r="F539" s="1654" t="s">
        <v>115</v>
      </c>
      <c r="G539" s="1650" t="s">
        <v>115</v>
      </c>
      <c r="H539" s="1654">
        <v>0.03</v>
      </c>
      <c r="I539" s="1650" t="s">
        <v>3603</v>
      </c>
      <c r="J539" s="1654">
        <v>100</v>
      </c>
      <c r="K539" s="1655" t="s">
        <v>1247</v>
      </c>
      <c r="L539" t="str">
        <f t="shared" si="24"/>
        <v/>
      </c>
      <c r="M539" t="str">
        <f t="shared" si="25"/>
        <v/>
      </c>
      <c r="N539" t="str">
        <f t="shared" si="26"/>
        <v>--</v>
      </c>
    </row>
    <row r="540" spans="1:14">
      <c r="A540" s="1650" t="s">
        <v>256</v>
      </c>
      <c r="B540" s="1649" t="s">
        <v>3909</v>
      </c>
      <c r="C540" s="1650" t="s">
        <v>115</v>
      </c>
      <c r="D540" s="1654">
        <v>0.12</v>
      </c>
      <c r="E540" s="1650" t="s">
        <v>1234</v>
      </c>
      <c r="F540" s="1654">
        <v>3.4E-5</v>
      </c>
      <c r="G540" s="1650" t="s">
        <v>1234</v>
      </c>
      <c r="H540" s="1654">
        <v>0.02</v>
      </c>
      <c r="I540" s="1650" t="s">
        <v>1277</v>
      </c>
      <c r="J540" s="1654">
        <v>3</v>
      </c>
      <c r="K540" s="1655" t="s">
        <v>1277</v>
      </c>
      <c r="L540" t="str">
        <f t="shared" si="24"/>
        <v/>
      </c>
      <c r="M540" t="str">
        <f t="shared" si="25"/>
        <v/>
      </c>
      <c r="N540" t="str">
        <f t="shared" si="26"/>
        <v>--</v>
      </c>
    </row>
    <row r="541" spans="1:14">
      <c r="A541" s="1650" t="s">
        <v>2813</v>
      </c>
      <c r="B541" s="1649" t="s">
        <v>2814</v>
      </c>
      <c r="C541" s="1650" t="s">
        <v>115</v>
      </c>
      <c r="D541" s="1654" t="s">
        <v>115</v>
      </c>
      <c r="E541" s="1650" t="s">
        <v>115</v>
      </c>
      <c r="F541" s="1654" t="s">
        <v>115</v>
      </c>
      <c r="G541" s="1650" t="s">
        <v>115</v>
      </c>
      <c r="H541" s="1654">
        <v>0.12</v>
      </c>
      <c r="I541" s="1650" t="s">
        <v>3663</v>
      </c>
      <c r="J541" s="1654" t="s">
        <v>115</v>
      </c>
      <c r="K541" s="1655" t="s">
        <v>115</v>
      </c>
      <c r="L541" t="str">
        <f t="shared" si="24"/>
        <v/>
      </c>
      <c r="M541" t="str">
        <f t="shared" si="25"/>
        <v/>
      </c>
      <c r="N541" t="str">
        <f t="shared" si="26"/>
        <v>--</v>
      </c>
    </row>
    <row r="542" spans="1:14">
      <c r="A542" s="1650" t="s">
        <v>2059</v>
      </c>
      <c r="B542" s="1649" t="s">
        <v>3910</v>
      </c>
      <c r="C542" s="1650" t="s">
        <v>115</v>
      </c>
      <c r="D542" s="1654" t="s">
        <v>115</v>
      </c>
      <c r="E542" s="1650" t="s">
        <v>115</v>
      </c>
      <c r="F542" s="1654" t="s">
        <v>115</v>
      </c>
      <c r="G542" s="1650" t="s">
        <v>115</v>
      </c>
      <c r="H542" s="1654">
        <v>0.1</v>
      </c>
      <c r="I542" s="1650" t="s">
        <v>1277</v>
      </c>
      <c r="J542" s="1654">
        <v>400</v>
      </c>
      <c r="K542" s="1655" t="s">
        <v>3598</v>
      </c>
      <c r="L542" t="str">
        <f t="shared" si="24"/>
        <v/>
      </c>
      <c r="M542" t="str">
        <f t="shared" si="25"/>
        <v>Route RfC</v>
      </c>
      <c r="N542" t="str">
        <f t="shared" si="26"/>
        <v>Route RfC</v>
      </c>
    </row>
    <row r="543" spans="1:14">
      <c r="A543" s="1650" t="s">
        <v>2070</v>
      </c>
      <c r="B543" s="1649" t="s">
        <v>3911</v>
      </c>
      <c r="C543" s="1650" t="s">
        <v>115</v>
      </c>
      <c r="D543" s="1654" t="s">
        <v>115</v>
      </c>
      <c r="E543" s="1650" t="s">
        <v>115</v>
      </c>
      <c r="F543" s="1654" t="s">
        <v>115</v>
      </c>
      <c r="G543" s="1650" t="s">
        <v>115</v>
      </c>
      <c r="H543" s="1654">
        <v>0.05</v>
      </c>
      <c r="I543" s="1650" t="s">
        <v>1247</v>
      </c>
      <c r="J543" s="1654">
        <v>200</v>
      </c>
      <c r="K543" s="1655" t="s">
        <v>3605</v>
      </c>
      <c r="L543" t="str">
        <f t="shared" si="24"/>
        <v/>
      </c>
      <c r="M543" t="str">
        <f t="shared" si="25"/>
        <v>Route RfC</v>
      </c>
      <c r="N543" t="str">
        <f t="shared" si="26"/>
        <v>Route RfC</v>
      </c>
    </row>
    <row r="544" spans="1:14">
      <c r="A544" s="1650" t="s">
        <v>2554</v>
      </c>
      <c r="B544" s="1649" t="s">
        <v>3912</v>
      </c>
      <c r="C544" s="1650" t="s">
        <v>115</v>
      </c>
      <c r="D544" s="1654" t="s">
        <v>115</v>
      </c>
      <c r="E544" s="1650" t="s">
        <v>115</v>
      </c>
      <c r="F544" s="1654" t="s">
        <v>115</v>
      </c>
      <c r="G544" s="1650" t="s">
        <v>115</v>
      </c>
      <c r="H544" s="1654" t="s">
        <v>115</v>
      </c>
      <c r="I544" s="1650" t="s">
        <v>115</v>
      </c>
      <c r="J544" s="1654">
        <v>3</v>
      </c>
      <c r="K544" s="1655" t="s">
        <v>3603</v>
      </c>
      <c r="L544" t="str">
        <f t="shared" si="24"/>
        <v/>
      </c>
      <c r="M544" t="str">
        <f t="shared" si="25"/>
        <v/>
      </c>
      <c r="N544" t="str">
        <f t="shared" si="26"/>
        <v>--</v>
      </c>
    </row>
    <row r="545" spans="1:14">
      <c r="A545" s="1650" t="s">
        <v>2556</v>
      </c>
      <c r="B545" s="1649" t="s">
        <v>3913</v>
      </c>
      <c r="C545" s="1650" t="s">
        <v>115</v>
      </c>
      <c r="D545" s="1654" t="s">
        <v>115</v>
      </c>
      <c r="E545" s="1650" t="s">
        <v>115</v>
      </c>
      <c r="F545" s="1654" t="s">
        <v>115</v>
      </c>
      <c r="G545" s="1650" t="s">
        <v>115</v>
      </c>
      <c r="H545" s="1654">
        <v>2.9999999999999997E-4</v>
      </c>
      <c r="I545" s="1650" t="s">
        <v>3603</v>
      </c>
      <c r="J545" s="1654">
        <v>400</v>
      </c>
      <c r="K545" s="1655" t="s">
        <v>1247</v>
      </c>
      <c r="L545" t="str">
        <f t="shared" si="24"/>
        <v/>
      </c>
      <c r="M545" t="str">
        <f t="shared" si="25"/>
        <v/>
      </c>
      <c r="N545" t="str">
        <f t="shared" si="26"/>
        <v>--</v>
      </c>
    </row>
    <row r="546" spans="1:14">
      <c r="A546" s="1650" t="s">
        <v>232</v>
      </c>
      <c r="B546" s="1649" t="s">
        <v>231</v>
      </c>
      <c r="C546" s="1650" t="s">
        <v>115</v>
      </c>
      <c r="D546" s="1654" t="s">
        <v>115</v>
      </c>
      <c r="E546" s="1650" t="s">
        <v>115</v>
      </c>
      <c r="F546" s="1654">
        <v>2.5999999999999998E-4</v>
      </c>
      <c r="G546" s="1650" t="s">
        <v>3600</v>
      </c>
      <c r="H546" s="1654">
        <v>1.0999999999999999E-2</v>
      </c>
      <c r="I546" s="1650" t="s">
        <v>3600</v>
      </c>
      <c r="J546" s="1654">
        <v>1.4E-2</v>
      </c>
      <c r="K546" s="1655" t="s">
        <v>3600</v>
      </c>
      <c r="L546" t="str">
        <f t="shared" si="24"/>
        <v/>
      </c>
      <c r="M546" t="str">
        <f t="shared" si="25"/>
        <v/>
      </c>
      <c r="N546" t="str">
        <f t="shared" si="26"/>
        <v>--</v>
      </c>
    </row>
    <row r="547" spans="1:14">
      <c r="A547" s="1650" t="s">
        <v>2815</v>
      </c>
      <c r="B547" s="1649" t="s">
        <v>2816</v>
      </c>
      <c r="C547" s="1650" t="s">
        <v>115</v>
      </c>
      <c r="D547" s="1654" t="s">
        <v>115</v>
      </c>
      <c r="E547" s="1650" t="s">
        <v>115</v>
      </c>
      <c r="F547" s="1654">
        <v>2.5999999999999998E-4</v>
      </c>
      <c r="G547" s="1650" t="s">
        <v>1234</v>
      </c>
      <c r="H547" s="1654">
        <v>1.0999999999999999E-2</v>
      </c>
      <c r="I547" s="1650" t="s">
        <v>1234</v>
      </c>
      <c r="J547" s="1654">
        <v>1.4E-2</v>
      </c>
      <c r="K547" s="1655" t="s">
        <v>1234</v>
      </c>
      <c r="L547" t="str">
        <f t="shared" si="24"/>
        <v/>
      </c>
      <c r="M547" t="str">
        <f t="shared" si="25"/>
        <v/>
      </c>
      <c r="N547" t="str">
        <f t="shared" si="26"/>
        <v>--</v>
      </c>
    </row>
    <row r="548" spans="1:14">
      <c r="A548" s="1650" t="s">
        <v>2817</v>
      </c>
      <c r="B548" s="1649" t="s">
        <v>2818</v>
      </c>
      <c r="C548" s="1650" t="s">
        <v>115</v>
      </c>
      <c r="D548" s="1654" t="s">
        <v>115</v>
      </c>
      <c r="E548" s="1650" t="s">
        <v>115</v>
      </c>
      <c r="F548" s="1654">
        <v>2.5999999999999998E-4</v>
      </c>
      <c r="G548" s="1650" t="s">
        <v>1234</v>
      </c>
      <c r="H548" s="1654">
        <v>1.0999999999999999E-2</v>
      </c>
      <c r="I548" s="1650" t="s">
        <v>1234</v>
      </c>
      <c r="J548" s="1654">
        <v>1.4E-2</v>
      </c>
      <c r="K548" s="1655" t="s">
        <v>1234</v>
      </c>
      <c r="L548" t="str">
        <f t="shared" si="24"/>
        <v/>
      </c>
      <c r="M548" t="str">
        <f t="shared" si="25"/>
        <v/>
      </c>
      <c r="N548" t="str">
        <f t="shared" si="26"/>
        <v>--</v>
      </c>
    </row>
    <row r="549" spans="1:14">
      <c r="A549" s="1650" t="s">
        <v>2819</v>
      </c>
      <c r="B549" s="1649" t="s">
        <v>2820</v>
      </c>
      <c r="C549" s="1650" t="s">
        <v>115</v>
      </c>
      <c r="D549" s="1654" t="s">
        <v>115</v>
      </c>
      <c r="E549" s="1650" t="s">
        <v>115</v>
      </c>
      <c r="F549" s="1654">
        <v>2.5999999999999998E-4</v>
      </c>
      <c r="G549" s="1650" t="s">
        <v>1234</v>
      </c>
      <c r="H549" s="1654">
        <v>1.0999999999999999E-2</v>
      </c>
      <c r="I549" s="1650" t="s">
        <v>1234</v>
      </c>
      <c r="J549" s="1654">
        <v>1.4E-2</v>
      </c>
      <c r="K549" s="1655" t="s">
        <v>1234</v>
      </c>
      <c r="L549" t="str">
        <f t="shared" si="24"/>
        <v/>
      </c>
      <c r="M549" t="str">
        <f t="shared" si="25"/>
        <v/>
      </c>
      <c r="N549" t="str">
        <f t="shared" si="26"/>
        <v>--</v>
      </c>
    </row>
    <row r="550" spans="1:14">
      <c r="A550" s="1650" t="s">
        <v>2822</v>
      </c>
      <c r="B550" s="1649" t="s">
        <v>2823</v>
      </c>
      <c r="C550" s="1650" t="s">
        <v>115</v>
      </c>
      <c r="D550" s="1654" t="s">
        <v>115</v>
      </c>
      <c r="E550" s="1650" t="s">
        <v>115</v>
      </c>
      <c r="F550" s="1654">
        <v>2.5999999999999998E-4</v>
      </c>
      <c r="G550" s="1650" t="s">
        <v>3600</v>
      </c>
      <c r="H550" s="1654">
        <v>1.0999999999999999E-2</v>
      </c>
      <c r="I550" s="1650" t="s">
        <v>3600</v>
      </c>
      <c r="J550" s="1654">
        <v>1.4E-2</v>
      </c>
      <c r="K550" s="1655" t="s">
        <v>3600</v>
      </c>
      <c r="L550" t="str">
        <f t="shared" si="24"/>
        <v/>
      </c>
      <c r="M550" t="str">
        <f t="shared" si="25"/>
        <v/>
      </c>
      <c r="N550" t="str">
        <f t="shared" si="26"/>
        <v>--</v>
      </c>
    </row>
    <row r="551" spans="1:14">
      <c r="A551" s="1650" t="s">
        <v>2825</v>
      </c>
      <c r="B551" s="1649" t="s">
        <v>2826</v>
      </c>
      <c r="C551" s="1650" t="s">
        <v>115</v>
      </c>
      <c r="D551" s="1654" t="s">
        <v>115</v>
      </c>
      <c r="E551" s="1650" t="s">
        <v>115</v>
      </c>
      <c r="F551" s="1654">
        <v>2.5999999999999998E-4</v>
      </c>
      <c r="G551" s="1650" t="s">
        <v>3600</v>
      </c>
      <c r="H551" s="1654">
        <v>1.0999999999999999E-2</v>
      </c>
      <c r="I551" s="1650" t="s">
        <v>3600</v>
      </c>
      <c r="J551" s="1654">
        <v>0.02</v>
      </c>
      <c r="K551" s="1655" t="s">
        <v>3600</v>
      </c>
      <c r="L551" t="str">
        <f t="shared" si="24"/>
        <v/>
      </c>
      <c r="M551" t="str">
        <f t="shared" si="25"/>
        <v/>
      </c>
      <c r="N551" t="str">
        <f t="shared" si="26"/>
        <v>--</v>
      </c>
    </row>
    <row r="552" spans="1:14">
      <c r="A552" s="1650" t="s">
        <v>2827</v>
      </c>
      <c r="B552" s="1649" t="s">
        <v>3914</v>
      </c>
      <c r="C552" s="1650" t="s">
        <v>115</v>
      </c>
      <c r="D552" s="1654" t="s">
        <v>115</v>
      </c>
      <c r="E552" s="1650" t="s">
        <v>115</v>
      </c>
      <c r="F552" s="1654">
        <v>2.5999999999999998E-4</v>
      </c>
      <c r="G552" s="1650" t="s">
        <v>3600</v>
      </c>
      <c r="H552" s="1654">
        <v>1.0999999999999999E-2</v>
      </c>
      <c r="I552" s="1650" t="s">
        <v>3600</v>
      </c>
      <c r="J552" s="1654">
        <v>1.4E-2</v>
      </c>
      <c r="K552" s="1655" t="s">
        <v>3600</v>
      </c>
      <c r="L552" t="str">
        <f t="shared" si="24"/>
        <v/>
      </c>
      <c r="M552" t="str">
        <f t="shared" si="25"/>
        <v/>
      </c>
      <c r="N552" t="str">
        <f t="shared" si="26"/>
        <v>--</v>
      </c>
    </row>
    <row r="553" spans="1:14">
      <c r="A553" s="1650" t="s">
        <v>2830</v>
      </c>
      <c r="B553" s="1649" t="s">
        <v>3915</v>
      </c>
      <c r="C553" s="1650" t="s">
        <v>115</v>
      </c>
      <c r="D553" s="1654" t="s">
        <v>115</v>
      </c>
      <c r="E553" s="1650" t="s">
        <v>115</v>
      </c>
      <c r="F553" s="1654">
        <v>4.8000000000000001E-4</v>
      </c>
      <c r="G553" s="1650" t="s">
        <v>1277</v>
      </c>
      <c r="H553" s="1654">
        <v>1.0999999999999999E-2</v>
      </c>
      <c r="I553" s="1650" t="s">
        <v>3600</v>
      </c>
      <c r="J553" s="1654">
        <v>1.4E-2</v>
      </c>
      <c r="K553" s="1655" t="s">
        <v>3600</v>
      </c>
      <c r="L553" t="str">
        <f t="shared" si="24"/>
        <v/>
      </c>
      <c r="M553" t="str">
        <f t="shared" si="25"/>
        <v/>
      </c>
      <c r="N553" t="str">
        <f t="shared" si="26"/>
        <v>--</v>
      </c>
    </row>
    <row r="554" spans="1:14">
      <c r="A554" s="1650" t="s">
        <v>2832</v>
      </c>
      <c r="B554" s="1649" t="s">
        <v>2833</v>
      </c>
      <c r="C554" s="1650" t="s">
        <v>115</v>
      </c>
      <c r="D554" s="1654">
        <v>0.91</v>
      </c>
      <c r="E554" s="1650" t="s">
        <v>1234</v>
      </c>
      <c r="F554" s="1654">
        <v>2.5999999999999998E-4</v>
      </c>
      <c r="G554" s="1650" t="s">
        <v>1234</v>
      </c>
      <c r="H554" s="1654">
        <v>1.0999999999999999E-2</v>
      </c>
      <c r="I554" s="1650" t="s">
        <v>1234</v>
      </c>
      <c r="J554" s="1654">
        <v>1.4E-2</v>
      </c>
      <c r="K554" s="1655" t="s">
        <v>1234</v>
      </c>
      <c r="L554" t="str">
        <f t="shared" si="24"/>
        <v/>
      </c>
      <c r="M554" t="str">
        <f t="shared" si="25"/>
        <v/>
      </c>
      <c r="N554" t="str">
        <f t="shared" si="26"/>
        <v>--</v>
      </c>
    </row>
    <row r="555" spans="1:14">
      <c r="A555" s="1650" t="s">
        <v>2834</v>
      </c>
      <c r="B555" s="1649" t="s">
        <v>3916</v>
      </c>
      <c r="C555" s="1650" t="s">
        <v>115</v>
      </c>
      <c r="D555" s="1654" t="s">
        <v>115</v>
      </c>
      <c r="E555" s="1650" t="s">
        <v>115</v>
      </c>
      <c r="F555" s="1654" t="s">
        <v>115</v>
      </c>
      <c r="G555" s="1650" t="s">
        <v>115</v>
      </c>
      <c r="H555" s="1654">
        <v>1.6</v>
      </c>
      <c r="I555" s="1650" t="s">
        <v>1277</v>
      </c>
      <c r="J555" s="1654" t="s">
        <v>115</v>
      </c>
      <c r="K555" s="1655" t="s">
        <v>115</v>
      </c>
      <c r="L555" t="str">
        <f t="shared" si="24"/>
        <v/>
      </c>
      <c r="M555" t="str">
        <f t="shared" si="25"/>
        <v/>
      </c>
      <c r="N555" t="str">
        <f t="shared" si="26"/>
        <v>--</v>
      </c>
    </row>
    <row r="556" spans="1:14">
      <c r="A556" s="1650" t="s">
        <v>2836</v>
      </c>
      <c r="B556" s="1649" t="s">
        <v>3917</v>
      </c>
      <c r="C556" s="1650" t="s">
        <v>115</v>
      </c>
      <c r="D556" s="1654" t="s">
        <v>115</v>
      </c>
      <c r="E556" s="1650" t="s">
        <v>115</v>
      </c>
      <c r="F556" s="1654" t="s">
        <v>115</v>
      </c>
      <c r="G556" s="1650" t="s">
        <v>115</v>
      </c>
      <c r="H556" s="1654" t="s">
        <v>115</v>
      </c>
      <c r="I556" s="1650" t="s">
        <v>115</v>
      </c>
      <c r="J556" s="1654" t="s">
        <v>115</v>
      </c>
      <c r="K556" s="1655" t="s">
        <v>115</v>
      </c>
      <c r="L556" t="str">
        <f t="shared" si="24"/>
        <v/>
      </c>
      <c r="M556" t="str">
        <f t="shared" si="25"/>
        <v/>
      </c>
      <c r="N556" t="str">
        <f t="shared" si="26"/>
        <v>--</v>
      </c>
    </row>
    <row r="557" spans="1:14">
      <c r="A557" s="1650" t="s">
        <v>2838</v>
      </c>
      <c r="B557" s="1649" t="s">
        <v>3918</v>
      </c>
      <c r="C557" s="1650" t="s">
        <v>115</v>
      </c>
      <c r="D557" s="1654" t="s">
        <v>115</v>
      </c>
      <c r="E557" s="1650" t="s">
        <v>115</v>
      </c>
      <c r="F557" s="1654" t="s">
        <v>115</v>
      </c>
      <c r="G557" s="1650" t="s">
        <v>115</v>
      </c>
      <c r="H557" s="1654">
        <v>0.1</v>
      </c>
      <c r="I557" s="1650" t="s">
        <v>1277</v>
      </c>
      <c r="J557" s="1654" t="s">
        <v>115</v>
      </c>
      <c r="K557" s="1655" t="s">
        <v>115</v>
      </c>
      <c r="L557" t="str">
        <f t="shared" si="24"/>
        <v/>
      </c>
      <c r="M557" t="str">
        <f t="shared" si="25"/>
        <v/>
      </c>
      <c r="N557" t="str">
        <f t="shared" si="26"/>
        <v>--</v>
      </c>
    </row>
    <row r="558" spans="1:14">
      <c r="A558" s="1650" t="s">
        <v>2844</v>
      </c>
      <c r="B558" s="1649" t="s">
        <v>2845</v>
      </c>
      <c r="C558" s="1650" t="s">
        <v>115</v>
      </c>
      <c r="D558" s="1654" t="s">
        <v>115</v>
      </c>
      <c r="E558" s="1650" t="s">
        <v>115</v>
      </c>
      <c r="F558" s="1654">
        <v>4.0000000000000003E-5</v>
      </c>
      <c r="G558" s="1650" t="s">
        <v>1277</v>
      </c>
      <c r="H558" s="1654">
        <v>2E-3</v>
      </c>
      <c r="I558" s="1650" t="s">
        <v>1277</v>
      </c>
      <c r="J558" s="1654">
        <v>9</v>
      </c>
      <c r="K558" s="1655" t="s">
        <v>1277</v>
      </c>
      <c r="L558" t="str">
        <f t="shared" si="24"/>
        <v/>
      </c>
      <c r="M558" t="str">
        <f t="shared" si="25"/>
        <v/>
      </c>
      <c r="N558" t="str">
        <f t="shared" si="26"/>
        <v>--</v>
      </c>
    </row>
    <row r="559" spans="1:14">
      <c r="A559" s="1650" t="s">
        <v>2846</v>
      </c>
      <c r="B559" s="1649" t="s">
        <v>2847</v>
      </c>
      <c r="C559" s="1650" t="s">
        <v>115</v>
      </c>
      <c r="D559" s="1654" t="s">
        <v>115</v>
      </c>
      <c r="E559" s="1650" t="s">
        <v>115</v>
      </c>
      <c r="F559" s="1654" t="s">
        <v>115</v>
      </c>
      <c r="G559" s="1650" t="s">
        <v>115</v>
      </c>
      <c r="H559" s="1654">
        <v>3000</v>
      </c>
      <c r="I559" s="1650" t="s">
        <v>1247</v>
      </c>
      <c r="J559" s="1654" t="s">
        <v>115</v>
      </c>
      <c r="K559" s="1655" t="s">
        <v>115</v>
      </c>
      <c r="L559" t="str">
        <f t="shared" si="24"/>
        <v/>
      </c>
      <c r="M559" t="str">
        <f t="shared" si="25"/>
        <v/>
      </c>
      <c r="N559" t="str">
        <f t="shared" si="26"/>
        <v>--</v>
      </c>
    </row>
    <row r="560" spans="1:14">
      <c r="A560" s="1650" t="s">
        <v>2848</v>
      </c>
      <c r="B560" s="1649" t="s">
        <v>2849</v>
      </c>
      <c r="C560" s="1650" t="s">
        <v>115</v>
      </c>
      <c r="D560" s="1654" t="s">
        <v>115</v>
      </c>
      <c r="E560" s="1650" t="s">
        <v>115</v>
      </c>
      <c r="F560" s="1654" t="s">
        <v>115</v>
      </c>
      <c r="G560" s="1650" t="s">
        <v>115</v>
      </c>
      <c r="H560" s="1654">
        <v>7.0000000000000007E-2</v>
      </c>
      <c r="I560" s="1650" t="s">
        <v>3616</v>
      </c>
      <c r="J560" s="1654" t="s">
        <v>115</v>
      </c>
      <c r="K560" s="1655" t="s">
        <v>115</v>
      </c>
      <c r="L560" t="str">
        <f t="shared" si="24"/>
        <v/>
      </c>
      <c r="M560" t="str">
        <f t="shared" si="25"/>
        <v/>
      </c>
      <c r="N560" t="str">
        <f t="shared" si="26"/>
        <v>--</v>
      </c>
    </row>
    <row r="561" spans="1:14">
      <c r="A561" s="1650" t="s">
        <v>2850</v>
      </c>
      <c r="B561" s="1649" t="s">
        <v>2851</v>
      </c>
      <c r="C561" s="1650" t="s">
        <v>115</v>
      </c>
      <c r="D561" s="1654">
        <v>1.3</v>
      </c>
      <c r="E561" s="1650" t="s">
        <v>1234</v>
      </c>
      <c r="F561" s="1654">
        <v>3.6999999999999999E-4</v>
      </c>
      <c r="G561" s="1650" t="s">
        <v>1234</v>
      </c>
      <c r="H561" s="1654" t="s">
        <v>115</v>
      </c>
      <c r="I561" s="1650" t="s">
        <v>115</v>
      </c>
      <c r="J561" s="1654" t="s">
        <v>115</v>
      </c>
      <c r="K561" s="1655" t="s">
        <v>115</v>
      </c>
      <c r="L561" t="str">
        <f t="shared" si="24"/>
        <v/>
      </c>
      <c r="M561" t="str">
        <f t="shared" si="25"/>
        <v/>
      </c>
      <c r="N561" t="str">
        <f t="shared" si="26"/>
        <v>--</v>
      </c>
    </row>
    <row r="562" spans="1:14">
      <c r="A562" s="1650" t="s">
        <v>2852</v>
      </c>
      <c r="B562" s="1649" t="s">
        <v>2853</v>
      </c>
      <c r="C562" s="1650" t="s">
        <v>115</v>
      </c>
      <c r="D562" s="1654">
        <v>1.7000000000000001E-2</v>
      </c>
      <c r="E562" s="1650" t="s">
        <v>1247</v>
      </c>
      <c r="F562" s="1654" t="s">
        <v>115</v>
      </c>
      <c r="G562" s="1650" t="s">
        <v>115</v>
      </c>
      <c r="H562" s="1654">
        <v>1E-4</v>
      </c>
      <c r="I562" s="1650" t="s">
        <v>1247</v>
      </c>
      <c r="J562" s="1654" t="s">
        <v>115</v>
      </c>
      <c r="K562" s="1655" t="s">
        <v>115</v>
      </c>
      <c r="L562" t="str">
        <f t="shared" si="24"/>
        <v/>
      </c>
      <c r="M562" t="str">
        <f t="shared" si="25"/>
        <v/>
      </c>
      <c r="N562" t="str">
        <f t="shared" si="26"/>
        <v>--</v>
      </c>
    </row>
    <row r="563" spans="1:14">
      <c r="A563" s="1650" t="s">
        <v>2854</v>
      </c>
      <c r="B563" s="1649" t="s">
        <v>2855</v>
      </c>
      <c r="C563" s="1650" t="s">
        <v>115</v>
      </c>
      <c r="D563" s="1654" t="s">
        <v>115</v>
      </c>
      <c r="E563" s="1650" t="s">
        <v>115</v>
      </c>
      <c r="F563" s="1654" t="s">
        <v>115</v>
      </c>
      <c r="G563" s="1650" t="s">
        <v>115</v>
      </c>
      <c r="H563" s="1654">
        <v>0.1</v>
      </c>
      <c r="I563" s="1650" t="s">
        <v>1277</v>
      </c>
      <c r="J563" s="1654" t="s">
        <v>115</v>
      </c>
      <c r="K563" s="1655" t="s">
        <v>115</v>
      </c>
      <c r="L563" t="str">
        <f t="shared" si="24"/>
        <v/>
      </c>
      <c r="M563" t="str">
        <f t="shared" si="25"/>
        <v/>
      </c>
      <c r="N563" t="str">
        <f t="shared" si="26"/>
        <v>--</v>
      </c>
    </row>
    <row r="564" spans="1:14">
      <c r="A564" s="1650" t="s">
        <v>2856</v>
      </c>
      <c r="B564" s="1649" t="s">
        <v>2857</v>
      </c>
      <c r="C564" s="1650" t="s">
        <v>115</v>
      </c>
      <c r="D564" s="1654" t="s">
        <v>115</v>
      </c>
      <c r="E564" s="1650" t="s">
        <v>115</v>
      </c>
      <c r="F564" s="1654">
        <v>8.8000000000000004E-6</v>
      </c>
      <c r="G564" s="1650" t="s">
        <v>1247</v>
      </c>
      <c r="H564" s="1654" t="s">
        <v>115</v>
      </c>
      <c r="I564" s="1650" t="s">
        <v>115</v>
      </c>
      <c r="J564" s="1654">
        <v>5</v>
      </c>
      <c r="K564" s="1655" t="s">
        <v>1247</v>
      </c>
      <c r="L564" t="str">
        <f t="shared" si="24"/>
        <v/>
      </c>
      <c r="M564" t="str">
        <f t="shared" si="25"/>
        <v/>
      </c>
      <c r="N564" t="str">
        <f t="shared" si="26"/>
        <v>--</v>
      </c>
    </row>
    <row r="565" spans="1:14">
      <c r="A565" s="1650" t="s">
        <v>2759</v>
      </c>
      <c r="B565" s="1649" t="s">
        <v>3919</v>
      </c>
      <c r="C565" s="1650" t="s">
        <v>115</v>
      </c>
      <c r="D565" s="1654">
        <v>8.3000000000000007</v>
      </c>
      <c r="E565" s="1650" t="s">
        <v>1234</v>
      </c>
      <c r="F565" s="1654">
        <v>2.3999999999999998E-3</v>
      </c>
      <c r="G565" s="1650" t="s">
        <v>1234</v>
      </c>
      <c r="H565" s="1654" t="s">
        <v>115</v>
      </c>
      <c r="I565" s="1650" t="s">
        <v>115</v>
      </c>
      <c r="J565" s="1654" t="s">
        <v>115</v>
      </c>
      <c r="K565" s="1655" t="s">
        <v>115</v>
      </c>
      <c r="L565" t="str">
        <f t="shared" si="24"/>
        <v/>
      </c>
      <c r="M565" t="str">
        <f t="shared" si="25"/>
        <v/>
      </c>
      <c r="N565" t="str">
        <f t="shared" si="26"/>
        <v>--</v>
      </c>
    </row>
    <row r="566" spans="1:14">
      <c r="A566" s="1650" t="s">
        <v>2866</v>
      </c>
      <c r="B566" s="1649" t="s">
        <v>3920</v>
      </c>
      <c r="C566" s="1650" t="s">
        <v>115</v>
      </c>
      <c r="D566" s="1654">
        <v>2.8</v>
      </c>
      <c r="E566" s="1650" t="s">
        <v>1277</v>
      </c>
      <c r="F566" s="1654">
        <v>8.0000000000000004E-4</v>
      </c>
      <c r="G566" s="1650" t="s">
        <v>1234</v>
      </c>
      <c r="H566" s="1654" t="s">
        <v>115</v>
      </c>
      <c r="I566" s="1650" t="s">
        <v>115</v>
      </c>
      <c r="J566" s="1654" t="s">
        <v>115</v>
      </c>
      <c r="K566" s="1655" t="s">
        <v>115</v>
      </c>
      <c r="L566" t="str">
        <f t="shared" si="24"/>
        <v/>
      </c>
      <c r="M566" t="str">
        <f t="shared" si="25"/>
        <v/>
      </c>
      <c r="N566" t="str">
        <f t="shared" si="26"/>
        <v>--</v>
      </c>
    </row>
    <row r="567" spans="1:14">
      <c r="A567" s="1650" t="s">
        <v>2868</v>
      </c>
      <c r="B567" s="1649" t="s">
        <v>3921</v>
      </c>
      <c r="C567" s="1650" t="s">
        <v>1906</v>
      </c>
      <c r="D567" s="1654">
        <v>150</v>
      </c>
      <c r="E567" s="1650" t="s">
        <v>1277</v>
      </c>
      <c r="F567" s="1654">
        <v>4.2999999999999997E-2</v>
      </c>
      <c r="G567" s="1650" t="s">
        <v>1277</v>
      </c>
      <c r="H567" s="1654" t="s">
        <v>115</v>
      </c>
      <c r="I567" s="1650" t="s">
        <v>115</v>
      </c>
      <c r="J567" s="1654" t="s">
        <v>115</v>
      </c>
      <c r="K567" s="1655" t="s">
        <v>115</v>
      </c>
      <c r="L567" t="str">
        <f t="shared" si="24"/>
        <v/>
      </c>
      <c r="M567" t="str">
        <f t="shared" si="25"/>
        <v/>
      </c>
      <c r="N567" t="str">
        <f t="shared" si="26"/>
        <v>--</v>
      </c>
    </row>
    <row r="568" spans="1:14">
      <c r="A568" s="1650" t="s">
        <v>2870</v>
      </c>
      <c r="B568" s="1649" t="s">
        <v>3922</v>
      </c>
      <c r="C568" s="1650" t="s">
        <v>1906</v>
      </c>
      <c r="D568" s="1654">
        <v>51</v>
      </c>
      <c r="E568" s="1650" t="s">
        <v>1277</v>
      </c>
      <c r="F568" s="1654">
        <v>1.4E-2</v>
      </c>
      <c r="G568" s="1650" t="s">
        <v>1277</v>
      </c>
      <c r="H568" s="1654">
        <v>7.9999999999999996E-6</v>
      </c>
      <c r="I568" s="1650" t="s">
        <v>1247</v>
      </c>
      <c r="J568" s="1654">
        <v>0.04</v>
      </c>
      <c r="K568" s="1655" t="s">
        <v>3603</v>
      </c>
      <c r="L568" t="str">
        <f t="shared" si="24"/>
        <v/>
      </c>
      <c r="M568" t="str">
        <f t="shared" si="25"/>
        <v/>
      </c>
      <c r="N568" t="str">
        <f t="shared" si="26"/>
        <v>--</v>
      </c>
    </row>
    <row r="569" spans="1:14">
      <c r="A569" s="1650" t="s">
        <v>2864</v>
      </c>
      <c r="B569" s="1649" t="s">
        <v>3923</v>
      </c>
      <c r="C569" s="1650" t="s">
        <v>115</v>
      </c>
      <c r="D569" s="1654">
        <v>11</v>
      </c>
      <c r="E569" s="1650" t="s">
        <v>3600</v>
      </c>
      <c r="F569" s="1654">
        <v>3.0999999999999999E-3</v>
      </c>
      <c r="G569" s="1650" t="s">
        <v>3600</v>
      </c>
      <c r="H569" s="1654" t="s">
        <v>115</v>
      </c>
      <c r="I569" s="1650" t="s">
        <v>115</v>
      </c>
      <c r="J569" s="1654" t="s">
        <v>115</v>
      </c>
      <c r="K569" s="1655" t="s">
        <v>115</v>
      </c>
      <c r="L569" t="str">
        <f t="shared" si="24"/>
        <v/>
      </c>
      <c r="M569" t="str">
        <f t="shared" si="25"/>
        <v/>
      </c>
      <c r="N569" t="str">
        <f t="shared" si="26"/>
        <v>--</v>
      </c>
    </row>
    <row r="570" spans="1:14">
      <c r="A570" s="1650" t="s">
        <v>2872</v>
      </c>
      <c r="B570" s="1649" t="s">
        <v>3924</v>
      </c>
      <c r="C570" s="1650" t="s">
        <v>115</v>
      </c>
      <c r="D570" s="1654">
        <v>4.8999999999999998E-3</v>
      </c>
      <c r="E570" s="1650" t="s">
        <v>1277</v>
      </c>
      <c r="F570" s="1654">
        <v>2.6000000000000001E-6</v>
      </c>
      <c r="G570" s="1650" t="s">
        <v>1234</v>
      </c>
      <c r="H570" s="1654" t="s">
        <v>115</v>
      </c>
      <c r="I570" s="1650" t="s">
        <v>115</v>
      </c>
      <c r="J570" s="1654" t="s">
        <v>115</v>
      </c>
      <c r="K570" s="1655" t="s">
        <v>115</v>
      </c>
      <c r="L570" t="str">
        <f t="shared" si="24"/>
        <v/>
      </c>
      <c r="M570" t="str">
        <f t="shared" si="25"/>
        <v/>
      </c>
      <c r="N570" t="str">
        <f t="shared" si="26"/>
        <v>--</v>
      </c>
    </row>
    <row r="571" spans="1:14">
      <c r="A571" s="1650" t="s">
        <v>2874</v>
      </c>
      <c r="B571" s="1649" t="s">
        <v>3925</v>
      </c>
      <c r="C571" s="1650" t="s">
        <v>115</v>
      </c>
      <c r="D571" s="1654">
        <v>7</v>
      </c>
      <c r="E571" s="1650" t="s">
        <v>1277</v>
      </c>
      <c r="F571" s="1654">
        <v>2E-3</v>
      </c>
      <c r="G571" s="1650" t="s">
        <v>1234</v>
      </c>
      <c r="H571" s="1654" t="s">
        <v>115</v>
      </c>
      <c r="I571" s="1650" t="s">
        <v>115</v>
      </c>
      <c r="J571" s="1654" t="s">
        <v>115</v>
      </c>
      <c r="K571" s="1655" t="s">
        <v>115</v>
      </c>
      <c r="L571" t="str">
        <f t="shared" si="24"/>
        <v/>
      </c>
      <c r="M571" t="str">
        <f t="shared" si="25"/>
        <v/>
      </c>
      <c r="N571" t="str">
        <f t="shared" si="26"/>
        <v>--</v>
      </c>
    </row>
    <row r="572" spans="1:14">
      <c r="A572" s="1650" t="s">
        <v>2878</v>
      </c>
      <c r="B572" s="1649" t="s">
        <v>3926</v>
      </c>
      <c r="C572" s="1650" t="s">
        <v>115</v>
      </c>
      <c r="D572" s="1654">
        <v>6.7</v>
      </c>
      <c r="E572" s="1650" t="s">
        <v>1234</v>
      </c>
      <c r="F572" s="1654">
        <v>1.9E-3</v>
      </c>
      <c r="G572" s="1650" t="s">
        <v>1234</v>
      </c>
      <c r="H572" s="1654" t="s">
        <v>115</v>
      </c>
      <c r="I572" s="1650" t="s">
        <v>115</v>
      </c>
      <c r="J572" s="1654" t="s">
        <v>115</v>
      </c>
      <c r="K572" s="1655" t="s">
        <v>115</v>
      </c>
      <c r="L572" t="str">
        <f t="shared" si="24"/>
        <v/>
      </c>
      <c r="M572" t="str">
        <f t="shared" si="25"/>
        <v/>
      </c>
      <c r="N572" t="str">
        <f t="shared" si="26"/>
        <v>--</v>
      </c>
    </row>
    <row r="573" spans="1:14">
      <c r="A573" s="1650" t="s">
        <v>2860</v>
      </c>
      <c r="B573" s="1649" t="s">
        <v>3927</v>
      </c>
      <c r="C573" s="1650" t="s">
        <v>1906</v>
      </c>
      <c r="D573" s="1654">
        <v>27</v>
      </c>
      <c r="E573" s="1650" t="s">
        <v>1234</v>
      </c>
      <c r="F573" s="1654">
        <v>7.7000000000000002E-3</v>
      </c>
      <c r="G573" s="1650" t="s">
        <v>1234</v>
      </c>
      <c r="H573" s="1654" t="s">
        <v>115</v>
      </c>
      <c r="I573" s="1650" t="s">
        <v>115</v>
      </c>
      <c r="J573" s="1654" t="s">
        <v>115</v>
      </c>
      <c r="K573" s="1655" t="s">
        <v>115</v>
      </c>
      <c r="L573" t="str">
        <f t="shared" si="24"/>
        <v/>
      </c>
      <c r="M573" t="str">
        <f t="shared" si="25"/>
        <v/>
      </c>
      <c r="N573" t="str">
        <f t="shared" si="26"/>
        <v>--</v>
      </c>
    </row>
    <row r="574" spans="1:14">
      <c r="A574" s="1650" t="s">
        <v>2876</v>
      </c>
      <c r="B574" s="1649" t="s">
        <v>3928</v>
      </c>
      <c r="C574" s="1650" t="s">
        <v>115</v>
      </c>
      <c r="D574" s="1654">
        <v>22</v>
      </c>
      <c r="E574" s="1650" t="s">
        <v>1277</v>
      </c>
      <c r="F574" s="1654">
        <v>6.3E-3</v>
      </c>
      <c r="G574" s="1650" t="s">
        <v>1234</v>
      </c>
      <c r="H574" s="1654" t="s">
        <v>115</v>
      </c>
      <c r="I574" s="1650" t="s">
        <v>115</v>
      </c>
      <c r="J574" s="1654" t="s">
        <v>115</v>
      </c>
      <c r="K574" s="1655" t="s">
        <v>115</v>
      </c>
      <c r="L574" t="str">
        <f t="shared" si="24"/>
        <v/>
      </c>
      <c r="M574" t="str">
        <f t="shared" si="25"/>
        <v/>
      </c>
      <c r="N574" t="str">
        <f t="shared" si="26"/>
        <v>--</v>
      </c>
    </row>
    <row r="575" spans="1:14">
      <c r="A575" s="1650" t="s">
        <v>2862</v>
      </c>
      <c r="B575" s="1649" t="s">
        <v>3929</v>
      </c>
      <c r="C575" s="1650" t="s">
        <v>1906</v>
      </c>
      <c r="D575" s="1654">
        <v>120</v>
      </c>
      <c r="E575" s="1650" t="s">
        <v>1234</v>
      </c>
      <c r="F575" s="1654">
        <v>3.4000000000000002E-2</v>
      </c>
      <c r="G575" s="1650" t="s">
        <v>1234</v>
      </c>
      <c r="H575" s="1654" t="s">
        <v>115</v>
      </c>
      <c r="I575" s="1650" t="s">
        <v>115</v>
      </c>
      <c r="J575" s="1654" t="s">
        <v>115</v>
      </c>
      <c r="K575" s="1655" t="s">
        <v>115</v>
      </c>
      <c r="L575" t="str">
        <f t="shared" si="24"/>
        <v/>
      </c>
      <c r="M575" t="str">
        <f t="shared" si="25"/>
        <v/>
      </c>
      <c r="N575" t="str">
        <f t="shared" si="26"/>
        <v>--</v>
      </c>
    </row>
    <row r="576" spans="1:14">
      <c r="A576" s="1650" t="s">
        <v>2880</v>
      </c>
      <c r="B576" s="1649" t="s">
        <v>3930</v>
      </c>
      <c r="C576" s="1650" t="s">
        <v>115</v>
      </c>
      <c r="D576" s="1654">
        <v>9.4</v>
      </c>
      <c r="E576" s="1650" t="s">
        <v>1234</v>
      </c>
      <c r="F576" s="1654">
        <v>2.7000000000000001E-3</v>
      </c>
      <c r="G576" s="1650" t="s">
        <v>1234</v>
      </c>
      <c r="H576" s="1654" t="s">
        <v>115</v>
      </c>
      <c r="I576" s="1650" t="s">
        <v>115</v>
      </c>
      <c r="J576" s="1654" t="s">
        <v>115</v>
      </c>
      <c r="K576" s="1655" t="s">
        <v>115</v>
      </c>
      <c r="L576" t="str">
        <f t="shared" si="24"/>
        <v/>
      </c>
      <c r="M576" t="str">
        <f t="shared" si="25"/>
        <v/>
      </c>
      <c r="N576" t="str">
        <f t="shared" si="26"/>
        <v>--</v>
      </c>
    </row>
    <row r="577" spans="1:14">
      <c r="A577" s="1650" t="s">
        <v>2882</v>
      </c>
      <c r="B577" s="1649" t="s">
        <v>3931</v>
      </c>
      <c r="C577" s="1650" t="s">
        <v>115</v>
      </c>
      <c r="D577" s="1654">
        <v>2.1</v>
      </c>
      <c r="E577" s="1650" t="s">
        <v>1277</v>
      </c>
      <c r="F577" s="1654">
        <v>6.0999999999999997E-4</v>
      </c>
      <c r="G577" s="1650" t="s">
        <v>1277</v>
      </c>
      <c r="H577" s="1654" t="s">
        <v>115</v>
      </c>
      <c r="I577" s="1650" t="s">
        <v>115</v>
      </c>
      <c r="J577" s="1654" t="s">
        <v>115</v>
      </c>
      <c r="K577" s="1655" t="s">
        <v>115</v>
      </c>
      <c r="L577" t="str">
        <f t="shared" si="24"/>
        <v/>
      </c>
      <c r="M577" t="str">
        <f t="shared" si="25"/>
        <v/>
      </c>
      <c r="N577" t="str">
        <f t="shared" si="26"/>
        <v>--</v>
      </c>
    </row>
    <row r="578" spans="1:14">
      <c r="A578" s="1650" t="s">
        <v>2890</v>
      </c>
      <c r="B578" s="1649" t="s">
        <v>3932</v>
      </c>
      <c r="C578" s="1650" t="s">
        <v>115</v>
      </c>
      <c r="D578" s="1654" t="s">
        <v>115</v>
      </c>
      <c r="E578" s="1650" t="s">
        <v>115</v>
      </c>
      <c r="F578" s="1654" t="s">
        <v>115</v>
      </c>
      <c r="G578" s="1650" t="s">
        <v>115</v>
      </c>
      <c r="H578" s="1654">
        <v>2.9999999999999997E-4</v>
      </c>
      <c r="I578" s="1650" t="s">
        <v>3603</v>
      </c>
      <c r="J578" s="1654">
        <v>20</v>
      </c>
      <c r="K578" s="1655" t="s">
        <v>1247</v>
      </c>
      <c r="L578" t="str">
        <f t="shared" si="24"/>
        <v/>
      </c>
      <c r="M578" t="str">
        <f t="shared" si="25"/>
        <v/>
      </c>
      <c r="N578" t="str">
        <f t="shared" si="26"/>
        <v>--</v>
      </c>
    </row>
    <row r="579" spans="1:14">
      <c r="A579" s="1650" t="s">
        <v>2892</v>
      </c>
      <c r="B579" s="1649" t="s">
        <v>2893</v>
      </c>
      <c r="C579" s="1650" t="s">
        <v>115</v>
      </c>
      <c r="D579" s="1654" t="s">
        <v>115</v>
      </c>
      <c r="E579" s="1650" t="s">
        <v>115</v>
      </c>
      <c r="F579" s="1654" t="s">
        <v>115</v>
      </c>
      <c r="G579" s="1650" t="s">
        <v>115</v>
      </c>
      <c r="H579" s="1654">
        <v>1.5E-3</v>
      </c>
      <c r="I579" s="1650" t="s">
        <v>3663</v>
      </c>
      <c r="J579" s="1654" t="s">
        <v>115</v>
      </c>
      <c r="K579" s="1655" t="s">
        <v>115</v>
      </c>
      <c r="L579" t="str">
        <f t="shared" si="24"/>
        <v/>
      </c>
      <c r="M579" t="str">
        <f t="shared" si="25"/>
        <v/>
      </c>
      <c r="N579" t="str">
        <f t="shared" si="26"/>
        <v>--</v>
      </c>
    </row>
    <row r="580" spans="1:14">
      <c r="A580" s="1650" t="s">
        <v>2933</v>
      </c>
      <c r="B580" s="1649" t="s">
        <v>3933</v>
      </c>
      <c r="C580" s="1650" t="s">
        <v>115</v>
      </c>
      <c r="D580" s="1654" t="s">
        <v>115</v>
      </c>
      <c r="E580" s="1650" t="s">
        <v>115</v>
      </c>
      <c r="F580" s="1654" t="s">
        <v>115</v>
      </c>
      <c r="G580" s="1650" t="s">
        <v>115</v>
      </c>
      <c r="H580" s="1654" t="s">
        <v>115</v>
      </c>
      <c r="I580" s="1650" t="s">
        <v>115</v>
      </c>
      <c r="J580" s="1654">
        <v>1000</v>
      </c>
      <c r="K580" s="1655" t="s">
        <v>1247</v>
      </c>
      <c r="L580" t="str">
        <f t="shared" si="24"/>
        <v/>
      </c>
      <c r="M580" t="str">
        <f t="shared" si="25"/>
        <v/>
      </c>
      <c r="N580" t="str">
        <f t="shared" si="26"/>
        <v>--</v>
      </c>
    </row>
    <row r="581" spans="1:14">
      <c r="A581" s="1650" t="s">
        <v>3249</v>
      </c>
      <c r="B581" s="1649" t="s">
        <v>3934</v>
      </c>
      <c r="C581" s="1650" t="s">
        <v>115</v>
      </c>
      <c r="D581" s="1654" t="s">
        <v>115</v>
      </c>
      <c r="E581" s="1650" t="s">
        <v>115</v>
      </c>
      <c r="F581" s="1654" t="s">
        <v>115</v>
      </c>
      <c r="G581" s="1650" t="s">
        <v>115</v>
      </c>
      <c r="H581" s="1654">
        <v>0.1</v>
      </c>
      <c r="I581" s="1650" t="s">
        <v>3603</v>
      </c>
      <c r="J581" s="1654">
        <v>1000</v>
      </c>
      <c r="K581" s="1655" t="s">
        <v>3603</v>
      </c>
      <c r="L581" t="str">
        <f t="shared" si="24"/>
        <v/>
      </c>
      <c r="M581" t="str">
        <f t="shared" si="25"/>
        <v/>
      </c>
      <c r="N581" t="str">
        <f t="shared" si="26"/>
        <v>--</v>
      </c>
    </row>
    <row r="582" spans="1:14">
      <c r="A582" s="1650" t="s">
        <v>1939</v>
      </c>
      <c r="B582" s="1649" t="s">
        <v>3935</v>
      </c>
      <c r="C582" s="1650" t="s">
        <v>115</v>
      </c>
      <c r="D582" s="1654" t="s">
        <v>115</v>
      </c>
      <c r="E582" s="1650" t="s">
        <v>115</v>
      </c>
      <c r="F582" s="1654" t="s">
        <v>115</v>
      </c>
      <c r="G582" s="1650" t="s">
        <v>115</v>
      </c>
      <c r="H582" s="1654">
        <v>4.0000000000000001E-3</v>
      </c>
      <c r="I582" s="1650" t="s">
        <v>3603</v>
      </c>
      <c r="J582" s="1654" t="s">
        <v>115</v>
      </c>
      <c r="K582" s="1655" t="s">
        <v>115</v>
      </c>
      <c r="L582" t="str">
        <f t="shared" ref="L582:L645" si="27">IF(COUNTIF(G582,"*Route*"),"Route IUR","")</f>
        <v/>
      </c>
      <c r="M582" t="str">
        <f t="shared" ref="M582:M645" si="28">IF(COUNTIF(K582,"*Route*"),"Route RfC","")</f>
        <v/>
      </c>
      <c r="N582" t="str">
        <f t="shared" ref="N582:N645" si="29">IF(AND(L582&lt;&gt;"",M582&lt;&gt;""),"Route IUR &amp; RfC",IF(L582&lt;&gt;"","Route IUR",IF(M582&lt;&gt;"","Route RfC","--")))</f>
        <v>--</v>
      </c>
    </row>
    <row r="583" spans="1:14">
      <c r="A583" s="1650" t="s">
        <v>2894</v>
      </c>
      <c r="B583" s="1649" t="s">
        <v>3936</v>
      </c>
      <c r="C583" s="1650" t="s">
        <v>115</v>
      </c>
      <c r="D583" s="1654" t="s">
        <v>115</v>
      </c>
      <c r="E583" s="1650" t="s">
        <v>115</v>
      </c>
      <c r="F583" s="1654" t="s">
        <v>115</v>
      </c>
      <c r="G583" s="1650" t="s">
        <v>115</v>
      </c>
      <c r="H583" s="1654">
        <v>3.0000000000000001E-3</v>
      </c>
      <c r="I583" s="1650" t="s">
        <v>1277</v>
      </c>
      <c r="J583" s="1654" t="s">
        <v>115</v>
      </c>
      <c r="K583" s="1655" t="s">
        <v>115</v>
      </c>
      <c r="L583" t="str">
        <f t="shared" si="27"/>
        <v/>
      </c>
      <c r="M583" t="str">
        <f t="shared" si="28"/>
        <v/>
      </c>
      <c r="N583" t="str">
        <f t="shared" si="29"/>
        <v>--</v>
      </c>
    </row>
    <row r="584" spans="1:14">
      <c r="A584" s="1650" t="s">
        <v>2898</v>
      </c>
      <c r="B584" s="1649" t="s">
        <v>2899</v>
      </c>
      <c r="C584" s="1650" t="s">
        <v>115</v>
      </c>
      <c r="D584" s="1654" t="s">
        <v>115</v>
      </c>
      <c r="E584" s="1650" t="s">
        <v>115</v>
      </c>
      <c r="F584" s="1654" t="s">
        <v>115</v>
      </c>
      <c r="G584" s="1650" t="s">
        <v>115</v>
      </c>
      <c r="H584" s="1654">
        <v>2E-3</v>
      </c>
      <c r="I584" s="1650" t="s">
        <v>3616</v>
      </c>
      <c r="J584" s="1654" t="s">
        <v>115</v>
      </c>
      <c r="K584" s="1655" t="s">
        <v>115</v>
      </c>
      <c r="L584" t="str">
        <f t="shared" si="27"/>
        <v/>
      </c>
      <c r="M584" t="str">
        <f t="shared" si="28"/>
        <v/>
      </c>
      <c r="N584" t="str">
        <f t="shared" si="29"/>
        <v>--</v>
      </c>
    </row>
    <row r="585" spans="1:14">
      <c r="A585" s="1650" t="s">
        <v>2900</v>
      </c>
      <c r="B585" s="1649" t="s">
        <v>2901</v>
      </c>
      <c r="C585" s="1650" t="s">
        <v>115</v>
      </c>
      <c r="D585" s="1654">
        <v>7.7999999999999996E-3</v>
      </c>
      <c r="E585" s="1650" t="s">
        <v>3663</v>
      </c>
      <c r="F585" s="1654" t="s">
        <v>115</v>
      </c>
      <c r="G585" s="1650" t="s">
        <v>115</v>
      </c>
      <c r="H585" s="1654">
        <v>0.19</v>
      </c>
      <c r="I585" s="1650" t="s">
        <v>3663</v>
      </c>
      <c r="J585" s="1654" t="s">
        <v>115</v>
      </c>
      <c r="K585" s="1655" t="s">
        <v>115</v>
      </c>
      <c r="L585" t="str">
        <f t="shared" si="27"/>
        <v/>
      </c>
      <c r="M585" t="str">
        <f t="shared" si="28"/>
        <v/>
      </c>
      <c r="N585" t="str">
        <f t="shared" si="29"/>
        <v>--</v>
      </c>
    </row>
    <row r="586" spans="1:14">
      <c r="A586" s="1650" t="s">
        <v>3407</v>
      </c>
      <c r="B586" s="1649" t="s">
        <v>3937</v>
      </c>
      <c r="C586" s="1650" t="s">
        <v>115</v>
      </c>
      <c r="D586" s="1654">
        <v>0.18</v>
      </c>
      <c r="E586" s="1650" t="s">
        <v>1234</v>
      </c>
      <c r="F586" s="1654">
        <v>5.1E-5</v>
      </c>
      <c r="G586" s="1650" t="s">
        <v>1234</v>
      </c>
      <c r="H586" s="1654" t="s">
        <v>115</v>
      </c>
      <c r="I586" s="1650" t="s">
        <v>115</v>
      </c>
      <c r="J586" s="1654" t="s">
        <v>115</v>
      </c>
      <c r="K586" s="1655" t="s">
        <v>115</v>
      </c>
      <c r="L586" t="str">
        <f t="shared" si="27"/>
        <v/>
      </c>
      <c r="M586" t="str">
        <f t="shared" si="28"/>
        <v/>
      </c>
      <c r="N586" t="str">
        <f t="shared" si="29"/>
        <v>--</v>
      </c>
    </row>
    <row r="587" spans="1:14">
      <c r="A587" s="1650" t="s">
        <v>2902</v>
      </c>
      <c r="B587" s="1649" t="s">
        <v>2903</v>
      </c>
      <c r="C587" s="1650" t="s">
        <v>115</v>
      </c>
      <c r="D587" s="1654" t="s">
        <v>115</v>
      </c>
      <c r="E587" s="1650" t="s">
        <v>115</v>
      </c>
      <c r="F587" s="1654" t="s">
        <v>115</v>
      </c>
      <c r="G587" s="1650" t="s">
        <v>115</v>
      </c>
      <c r="H587" s="1654">
        <v>5.0000000000000001E-3</v>
      </c>
      <c r="I587" s="1650" t="s">
        <v>1277</v>
      </c>
      <c r="J587" s="1654" t="s">
        <v>115</v>
      </c>
      <c r="K587" s="1655" t="s">
        <v>115</v>
      </c>
      <c r="L587" t="str">
        <f t="shared" si="27"/>
        <v/>
      </c>
      <c r="M587" t="str">
        <f t="shared" si="28"/>
        <v/>
      </c>
      <c r="N587" t="str">
        <f t="shared" si="29"/>
        <v>--</v>
      </c>
    </row>
    <row r="588" spans="1:14">
      <c r="A588" s="1650" t="s">
        <v>2904</v>
      </c>
      <c r="B588" s="1649" t="s">
        <v>2905</v>
      </c>
      <c r="C588" s="1650" t="s">
        <v>115</v>
      </c>
      <c r="D588" s="1654" t="s">
        <v>115</v>
      </c>
      <c r="E588" s="1650" t="s">
        <v>115</v>
      </c>
      <c r="F588" s="1654" t="s">
        <v>115</v>
      </c>
      <c r="G588" s="1650" t="s">
        <v>115</v>
      </c>
      <c r="H588" s="1654">
        <v>2.5000000000000001E-2</v>
      </c>
      <c r="I588" s="1650" t="s">
        <v>1277</v>
      </c>
      <c r="J588" s="1654" t="s">
        <v>115</v>
      </c>
      <c r="K588" s="1655" t="s">
        <v>115</v>
      </c>
      <c r="L588" t="str">
        <f t="shared" si="27"/>
        <v/>
      </c>
      <c r="M588" t="str">
        <f t="shared" si="28"/>
        <v/>
      </c>
      <c r="N588" t="str">
        <f t="shared" si="29"/>
        <v>--</v>
      </c>
    </row>
    <row r="589" spans="1:14">
      <c r="A589" s="1650" t="s">
        <v>2906</v>
      </c>
      <c r="B589" s="1649" t="s">
        <v>2907</v>
      </c>
      <c r="C589" s="1650" t="s">
        <v>115</v>
      </c>
      <c r="D589" s="1654">
        <v>7.2999999999999995E-2</v>
      </c>
      <c r="E589" s="1650" t="s">
        <v>3663</v>
      </c>
      <c r="F589" s="1654" t="s">
        <v>115</v>
      </c>
      <c r="G589" s="1650" t="s">
        <v>115</v>
      </c>
      <c r="H589" s="1654">
        <v>0.04</v>
      </c>
      <c r="I589" s="1650" t="s">
        <v>3663</v>
      </c>
      <c r="J589" s="1654" t="s">
        <v>115</v>
      </c>
      <c r="K589" s="1655" t="s">
        <v>115</v>
      </c>
      <c r="L589" t="str">
        <f t="shared" si="27"/>
        <v/>
      </c>
      <c r="M589" t="str">
        <f t="shared" si="28"/>
        <v/>
      </c>
      <c r="N589" t="str">
        <f t="shared" si="29"/>
        <v>--</v>
      </c>
    </row>
    <row r="590" spans="1:14">
      <c r="A590" s="1650" t="s">
        <v>3539</v>
      </c>
      <c r="B590" s="1649" t="s">
        <v>3938</v>
      </c>
      <c r="C590" s="1650" t="s">
        <v>115</v>
      </c>
      <c r="D590" s="1654" t="s">
        <v>115</v>
      </c>
      <c r="E590" s="1650" t="s">
        <v>115</v>
      </c>
      <c r="F590" s="1654" t="s">
        <v>115</v>
      </c>
      <c r="G590" s="1650" t="s">
        <v>115</v>
      </c>
      <c r="H590" s="1654">
        <v>0.2</v>
      </c>
      <c r="I590" s="1650" t="s">
        <v>3906</v>
      </c>
      <c r="J590" s="1654">
        <v>100</v>
      </c>
      <c r="K590" s="1655" t="s">
        <v>3906</v>
      </c>
      <c r="L590" t="str">
        <f t="shared" si="27"/>
        <v/>
      </c>
      <c r="M590" t="str">
        <f t="shared" si="28"/>
        <v/>
      </c>
      <c r="N590" t="str">
        <f t="shared" si="29"/>
        <v>--</v>
      </c>
    </row>
    <row r="591" spans="1:14">
      <c r="A591" s="1650" t="s">
        <v>3348</v>
      </c>
      <c r="B591" s="1649" t="s">
        <v>3939</v>
      </c>
      <c r="C591" s="1650" t="s">
        <v>115</v>
      </c>
      <c r="D591" s="1654">
        <v>16</v>
      </c>
      <c r="E591" s="1650" t="s">
        <v>3603</v>
      </c>
      <c r="F591" s="1654">
        <v>4.0000000000000001E-3</v>
      </c>
      <c r="G591" s="1650" t="s">
        <v>3609</v>
      </c>
      <c r="H591" s="1654">
        <v>6.0000000000000002E-5</v>
      </c>
      <c r="I591" s="1650" t="s">
        <v>3603</v>
      </c>
      <c r="J591" s="1654">
        <v>0.24</v>
      </c>
      <c r="K591" s="1657" t="s">
        <v>3609</v>
      </c>
      <c r="L591" t="str">
        <f t="shared" si="27"/>
        <v>Route IUR</v>
      </c>
      <c r="M591" t="str">
        <f t="shared" si="28"/>
        <v>Route RfC</v>
      </c>
      <c r="N591" t="str">
        <f t="shared" si="29"/>
        <v>Route IUR &amp; RfC</v>
      </c>
    </row>
    <row r="592" spans="1:14">
      <c r="A592" s="1650" t="s">
        <v>2908</v>
      </c>
      <c r="B592" s="1649" t="s">
        <v>2909</v>
      </c>
      <c r="C592" s="1650" t="s">
        <v>115</v>
      </c>
      <c r="D592" s="1654" t="s">
        <v>115</v>
      </c>
      <c r="E592" s="1650" t="s">
        <v>115</v>
      </c>
      <c r="F592" s="1654" t="s">
        <v>115</v>
      </c>
      <c r="G592" s="1650" t="s">
        <v>115</v>
      </c>
      <c r="H592" s="1654">
        <v>1.2999999999999999E-2</v>
      </c>
      <c r="I592" s="1650" t="s">
        <v>1277</v>
      </c>
      <c r="J592" s="1654" t="s">
        <v>115</v>
      </c>
      <c r="K592" s="1655" t="s">
        <v>115</v>
      </c>
      <c r="L592" t="str">
        <f t="shared" si="27"/>
        <v/>
      </c>
      <c r="M592" t="str">
        <f t="shared" si="28"/>
        <v/>
      </c>
      <c r="N592" t="str">
        <f t="shared" si="29"/>
        <v>--</v>
      </c>
    </row>
    <row r="593" spans="1:14">
      <c r="A593" s="1650" t="s">
        <v>1941</v>
      </c>
      <c r="B593" s="1649" t="s">
        <v>3940</v>
      </c>
      <c r="C593" s="1650" t="s">
        <v>115</v>
      </c>
      <c r="D593" s="1654" t="s">
        <v>115</v>
      </c>
      <c r="E593" s="1650" t="s">
        <v>115</v>
      </c>
      <c r="F593" s="1654" t="s">
        <v>115</v>
      </c>
      <c r="G593" s="1650" t="s">
        <v>115</v>
      </c>
      <c r="H593" s="1654">
        <v>0.02</v>
      </c>
      <c r="I593" s="1650" t="s">
        <v>1247</v>
      </c>
      <c r="J593" s="1654" t="s">
        <v>115</v>
      </c>
      <c r="K593" s="1655" t="s">
        <v>115</v>
      </c>
      <c r="L593" t="str">
        <f t="shared" si="27"/>
        <v/>
      </c>
      <c r="M593" t="str">
        <f t="shared" si="28"/>
        <v/>
      </c>
      <c r="N593" t="str">
        <f t="shared" si="29"/>
        <v>--</v>
      </c>
    </row>
    <row r="594" spans="1:14">
      <c r="A594" s="1650" t="s">
        <v>2910</v>
      </c>
      <c r="B594" s="1649" t="s">
        <v>3941</v>
      </c>
      <c r="C594" s="1650" t="s">
        <v>115</v>
      </c>
      <c r="D594" s="1654" t="s">
        <v>115</v>
      </c>
      <c r="E594" s="1650" t="s">
        <v>115</v>
      </c>
      <c r="F594" s="1654" t="s">
        <v>115</v>
      </c>
      <c r="G594" s="1650" t="s">
        <v>115</v>
      </c>
      <c r="H594" s="1654">
        <v>4.4999999999999997E-3</v>
      </c>
      <c r="I594" s="1650" t="s">
        <v>1277</v>
      </c>
      <c r="J594" s="1654" t="s">
        <v>115</v>
      </c>
      <c r="K594" s="1655" t="s">
        <v>115</v>
      </c>
      <c r="L594" t="str">
        <f t="shared" si="27"/>
        <v/>
      </c>
      <c r="M594" t="str">
        <f t="shared" si="28"/>
        <v/>
      </c>
      <c r="N594" t="str">
        <f t="shared" si="29"/>
        <v>--</v>
      </c>
    </row>
    <row r="595" spans="1:14">
      <c r="A595" s="1650" t="s">
        <v>2912</v>
      </c>
      <c r="B595" s="1649" t="s">
        <v>2913</v>
      </c>
      <c r="C595" s="1650" t="s">
        <v>115</v>
      </c>
      <c r="D595" s="1654" t="s">
        <v>115</v>
      </c>
      <c r="E595" s="1650" t="s">
        <v>115</v>
      </c>
      <c r="F595" s="1654" t="s">
        <v>115</v>
      </c>
      <c r="G595" s="1650" t="s">
        <v>115</v>
      </c>
      <c r="H595" s="1654">
        <v>6.0000000000000001E-3</v>
      </c>
      <c r="I595" s="1650" t="s">
        <v>3616</v>
      </c>
      <c r="J595" s="1654" t="s">
        <v>115</v>
      </c>
      <c r="K595" s="1655" t="s">
        <v>115</v>
      </c>
      <c r="L595" t="str">
        <f t="shared" si="27"/>
        <v/>
      </c>
      <c r="M595" t="str">
        <f t="shared" si="28"/>
        <v/>
      </c>
      <c r="N595" t="str">
        <f t="shared" si="29"/>
        <v>--</v>
      </c>
    </row>
    <row r="596" spans="1:14">
      <c r="A596" s="1650" t="s">
        <v>3181</v>
      </c>
      <c r="B596" s="1649" t="s">
        <v>3942</v>
      </c>
      <c r="C596" s="1650" t="s">
        <v>115</v>
      </c>
      <c r="D596" s="1654">
        <v>13</v>
      </c>
      <c r="E596" s="1650" t="s">
        <v>3943</v>
      </c>
      <c r="F596" s="1654">
        <v>3.8E-3</v>
      </c>
      <c r="G596" s="1650" t="s">
        <v>3943</v>
      </c>
      <c r="H596" s="1654">
        <v>6.9999999999999999E-6</v>
      </c>
      <c r="I596" s="1650" t="s">
        <v>1275</v>
      </c>
      <c r="J596" s="1654">
        <v>0.4</v>
      </c>
      <c r="K596" s="1655" t="s">
        <v>3943</v>
      </c>
      <c r="L596" t="str">
        <f t="shared" si="27"/>
        <v/>
      </c>
      <c r="M596" t="str">
        <f t="shared" si="28"/>
        <v/>
      </c>
      <c r="N596" t="str">
        <f t="shared" si="29"/>
        <v>--</v>
      </c>
    </row>
    <row r="597" spans="1:14">
      <c r="A597" s="1650" t="s">
        <v>3184</v>
      </c>
      <c r="B597" s="1649" t="s">
        <v>3944</v>
      </c>
      <c r="C597" s="1650" t="s">
        <v>115</v>
      </c>
      <c r="D597" s="1654">
        <v>39</v>
      </c>
      <c r="E597" s="1650" t="s">
        <v>3943</v>
      </c>
      <c r="F597" s="1654">
        <v>1.0999999999999999E-2</v>
      </c>
      <c r="G597" s="1650" t="s">
        <v>3943</v>
      </c>
      <c r="H597" s="1654">
        <v>2.3E-6</v>
      </c>
      <c r="I597" s="1650" t="s">
        <v>1275</v>
      </c>
      <c r="J597" s="1654">
        <v>0.13</v>
      </c>
      <c r="K597" s="1655" t="s">
        <v>3943</v>
      </c>
      <c r="L597" t="str">
        <f t="shared" si="27"/>
        <v/>
      </c>
      <c r="M597" t="str">
        <f t="shared" si="28"/>
        <v/>
      </c>
      <c r="N597" t="str">
        <f t="shared" si="29"/>
        <v>--</v>
      </c>
    </row>
    <row r="598" spans="1:14">
      <c r="A598" s="1650" t="s">
        <v>3172</v>
      </c>
      <c r="B598" s="1649" t="s">
        <v>3945</v>
      </c>
      <c r="C598" s="1650" t="s">
        <v>115</v>
      </c>
      <c r="D598" s="1654">
        <v>3.9</v>
      </c>
      <c r="E598" s="1650" t="s">
        <v>3943</v>
      </c>
      <c r="F598" s="1654">
        <v>1.1000000000000001E-3</v>
      </c>
      <c r="G598" s="1650" t="s">
        <v>3943</v>
      </c>
      <c r="H598" s="1654">
        <v>2.3E-5</v>
      </c>
      <c r="I598" s="1650" t="s">
        <v>1275</v>
      </c>
      <c r="J598" s="1654">
        <v>1.3</v>
      </c>
      <c r="K598" s="1655" t="s">
        <v>3943</v>
      </c>
      <c r="L598" t="str">
        <f t="shared" si="27"/>
        <v/>
      </c>
      <c r="M598" t="str">
        <f t="shared" si="28"/>
        <v/>
      </c>
      <c r="N598" t="str">
        <f t="shared" si="29"/>
        <v>--</v>
      </c>
    </row>
    <row r="599" spans="1:14">
      <c r="A599" s="1650" t="s">
        <v>3174</v>
      </c>
      <c r="B599" s="1649" t="s">
        <v>3946</v>
      </c>
      <c r="C599" s="1650" t="s">
        <v>115</v>
      </c>
      <c r="D599" s="1654">
        <v>3.9</v>
      </c>
      <c r="E599" s="1650" t="s">
        <v>3943</v>
      </c>
      <c r="F599" s="1654">
        <v>1.1000000000000001E-3</v>
      </c>
      <c r="G599" s="1650" t="s">
        <v>3943</v>
      </c>
      <c r="H599" s="1654">
        <v>2.3E-5</v>
      </c>
      <c r="I599" s="1650" t="s">
        <v>1275</v>
      </c>
      <c r="J599" s="1654">
        <v>1.3</v>
      </c>
      <c r="K599" s="1655" t="s">
        <v>3943</v>
      </c>
      <c r="L599" t="str">
        <f t="shared" si="27"/>
        <v/>
      </c>
      <c r="M599" t="str">
        <f t="shared" si="28"/>
        <v/>
      </c>
      <c r="N599" t="str">
        <f t="shared" si="29"/>
        <v>--</v>
      </c>
    </row>
    <row r="600" spans="1:14">
      <c r="A600" s="1650" t="s">
        <v>3170</v>
      </c>
      <c r="B600" s="1649" t="s">
        <v>3947</v>
      </c>
      <c r="C600" s="1650" t="s">
        <v>115</v>
      </c>
      <c r="D600" s="1654">
        <v>3.9</v>
      </c>
      <c r="E600" s="1650" t="s">
        <v>3943</v>
      </c>
      <c r="F600" s="1654">
        <v>1.1000000000000001E-3</v>
      </c>
      <c r="G600" s="1650" t="s">
        <v>3943</v>
      </c>
      <c r="H600" s="1654">
        <v>2.3E-5</v>
      </c>
      <c r="I600" s="1650" t="s">
        <v>1275</v>
      </c>
      <c r="J600" s="1654">
        <v>1.3</v>
      </c>
      <c r="K600" s="1655" t="s">
        <v>3943</v>
      </c>
      <c r="L600" t="str">
        <f t="shared" si="27"/>
        <v/>
      </c>
      <c r="M600" t="str">
        <f t="shared" si="28"/>
        <v/>
      </c>
      <c r="N600" t="str">
        <f t="shared" si="29"/>
        <v>--</v>
      </c>
    </row>
    <row r="601" spans="1:14">
      <c r="A601" s="1650" t="s">
        <v>3168</v>
      </c>
      <c r="B601" s="1649" t="s">
        <v>3948</v>
      </c>
      <c r="C601" s="1650" t="s">
        <v>115</v>
      </c>
      <c r="D601" s="1654">
        <v>3.9</v>
      </c>
      <c r="E601" s="1650" t="s">
        <v>3943</v>
      </c>
      <c r="F601" s="1654">
        <v>1.1000000000000001E-3</v>
      </c>
      <c r="G601" s="1650" t="s">
        <v>3943</v>
      </c>
      <c r="H601" s="1654">
        <v>2.3E-5</v>
      </c>
      <c r="I601" s="1650" t="s">
        <v>1275</v>
      </c>
      <c r="J601" s="1654">
        <v>1.3</v>
      </c>
      <c r="K601" s="1655" t="s">
        <v>3943</v>
      </c>
      <c r="L601" t="str">
        <f t="shared" si="27"/>
        <v/>
      </c>
      <c r="M601" t="str">
        <f t="shared" si="28"/>
        <v/>
      </c>
      <c r="N601" t="str">
        <f t="shared" si="29"/>
        <v>--</v>
      </c>
    </row>
    <row r="602" spans="1:14">
      <c r="A602" s="1650" t="s">
        <v>3176</v>
      </c>
      <c r="B602" s="1649" t="s">
        <v>3949</v>
      </c>
      <c r="C602" s="1650" t="s">
        <v>115</v>
      </c>
      <c r="D602" s="1654">
        <v>13000</v>
      </c>
      <c r="E602" s="1650" t="s">
        <v>3943</v>
      </c>
      <c r="F602" s="1654">
        <v>3.8</v>
      </c>
      <c r="G602" s="1650" t="s">
        <v>3943</v>
      </c>
      <c r="H602" s="1654">
        <v>6.9999999999999998E-9</v>
      </c>
      <c r="I602" s="1650" t="s">
        <v>1275</v>
      </c>
      <c r="J602" s="1654">
        <v>4.0000000000000002E-4</v>
      </c>
      <c r="K602" s="1655" t="s">
        <v>3943</v>
      </c>
      <c r="L602" t="str">
        <f t="shared" si="27"/>
        <v/>
      </c>
      <c r="M602" t="str">
        <f t="shared" si="28"/>
        <v/>
      </c>
      <c r="N602" t="str">
        <f t="shared" si="29"/>
        <v>--</v>
      </c>
    </row>
    <row r="603" spans="1:14">
      <c r="A603" s="1650" t="s">
        <v>3164</v>
      </c>
      <c r="B603" s="1649" t="s">
        <v>3950</v>
      </c>
      <c r="C603" s="1650" t="s">
        <v>115</v>
      </c>
      <c r="D603" s="1654">
        <v>3.9</v>
      </c>
      <c r="E603" s="1650" t="s">
        <v>3943</v>
      </c>
      <c r="F603" s="1654">
        <v>1.1000000000000001E-3</v>
      </c>
      <c r="G603" s="1650" t="s">
        <v>3943</v>
      </c>
      <c r="H603" s="1654">
        <v>2.3E-5</v>
      </c>
      <c r="I603" s="1650" t="s">
        <v>1275</v>
      </c>
      <c r="J603" s="1654">
        <v>1.3</v>
      </c>
      <c r="K603" s="1655" t="s">
        <v>3943</v>
      </c>
      <c r="L603" t="str">
        <f t="shared" si="27"/>
        <v/>
      </c>
      <c r="M603" t="str">
        <f t="shared" si="28"/>
        <v/>
      </c>
      <c r="N603" t="str">
        <f t="shared" si="29"/>
        <v>--</v>
      </c>
    </row>
    <row r="604" spans="1:14">
      <c r="A604" s="1650" t="s">
        <v>3161</v>
      </c>
      <c r="B604" s="1649" t="s">
        <v>3951</v>
      </c>
      <c r="C604" s="1650" t="s">
        <v>115</v>
      </c>
      <c r="D604" s="1654">
        <v>3.9</v>
      </c>
      <c r="E604" s="1650" t="s">
        <v>3943</v>
      </c>
      <c r="F604" s="1654">
        <v>1.1000000000000001E-3</v>
      </c>
      <c r="G604" s="1650" t="s">
        <v>3943</v>
      </c>
      <c r="H604" s="1654">
        <v>2.3E-5</v>
      </c>
      <c r="I604" s="1650" t="s">
        <v>1275</v>
      </c>
      <c r="J604" s="1654">
        <v>1.3</v>
      </c>
      <c r="K604" s="1655" t="s">
        <v>3943</v>
      </c>
      <c r="L604" t="str">
        <f t="shared" si="27"/>
        <v/>
      </c>
      <c r="M604" t="str">
        <f t="shared" si="28"/>
        <v/>
      </c>
      <c r="N604" t="str">
        <f t="shared" si="29"/>
        <v>--</v>
      </c>
    </row>
    <row r="605" spans="1:14">
      <c r="A605" s="1650" t="s">
        <v>3159</v>
      </c>
      <c r="B605" s="1649" t="s">
        <v>3952</v>
      </c>
      <c r="C605" s="1650" t="s">
        <v>115</v>
      </c>
      <c r="D605" s="1654">
        <v>3.9</v>
      </c>
      <c r="E605" s="1650" t="s">
        <v>3943</v>
      </c>
      <c r="F605" s="1654">
        <v>1.1000000000000001E-3</v>
      </c>
      <c r="G605" s="1650" t="s">
        <v>3943</v>
      </c>
      <c r="H605" s="1654">
        <v>2.3E-5</v>
      </c>
      <c r="I605" s="1650" t="s">
        <v>1275</v>
      </c>
      <c r="J605" s="1654">
        <v>1.3</v>
      </c>
      <c r="K605" s="1655" t="s">
        <v>3943</v>
      </c>
      <c r="L605" t="str">
        <f t="shared" si="27"/>
        <v/>
      </c>
      <c r="M605" t="str">
        <f t="shared" si="28"/>
        <v/>
      </c>
      <c r="N605" t="str">
        <f t="shared" si="29"/>
        <v>--</v>
      </c>
    </row>
    <row r="606" spans="1:14">
      <c r="A606" s="1650" t="s">
        <v>3166</v>
      </c>
      <c r="B606" s="1649" t="s">
        <v>3953</v>
      </c>
      <c r="C606" s="1650" t="s">
        <v>115</v>
      </c>
      <c r="D606" s="1654">
        <v>3900</v>
      </c>
      <c r="E606" s="1650" t="s">
        <v>3943</v>
      </c>
      <c r="F606" s="1654">
        <v>1.1000000000000001</v>
      </c>
      <c r="G606" s="1650" t="s">
        <v>3943</v>
      </c>
      <c r="H606" s="1654">
        <v>2.3000000000000001E-8</v>
      </c>
      <c r="I606" s="1650" t="s">
        <v>1275</v>
      </c>
      <c r="J606" s="1654">
        <v>1.2999999999999999E-3</v>
      </c>
      <c r="K606" s="1655" t="s">
        <v>3943</v>
      </c>
      <c r="L606" t="str">
        <f t="shared" si="27"/>
        <v/>
      </c>
      <c r="M606" t="str">
        <f t="shared" si="28"/>
        <v/>
      </c>
      <c r="N606" t="str">
        <f t="shared" si="29"/>
        <v>--</v>
      </c>
    </row>
    <row r="607" spans="1:14">
      <c r="A607" s="1650" t="s">
        <v>3156</v>
      </c>
      <c r="B607" s="1649" t="s">
        <v>3954</v>
      </c>
      <c r="C607" s="1650" t="s">
        <v>115</v>
      </c>
      <c r="D607" s="1654">
        <v>3.9</v>
      </c>
      <c r="E607" s="1650" t="s">
        <v>3943</v>
      </c>
      <c r="F607" s="1654">
        <v>1.1000000000000001E-3</v>
      </c>
      <c r="G607" s="1650" t="s">
        <v>3943</v>
      </c>
      <c r="H607" s="1654">
        <v>2.3E-5</v>
      </c>
      <c r="I607" s="1650" t="s">
        <v>1275</v>
      </c>
      <c r="J607" s="1654">
        <v>1.3</v>
      </c>
      <c r="K607" s="1655" t="s">
        <v>3943</v>
      </c>
      <c r="L607" t="str">
        <f t="shared" si="27"/>
        <v/>
      </c>
      <c r="M607" t="str">
        <f t="shared" si="28"/>
        <v/>
      </c>
      <c r="N607" t="str">
        <f t="shared" si="29"/>
        <v>--</v>
      </c>
    </row>
    <row r="608" spans="1:14">
      <c r="A608" s="1650" t="s">
        <v>304</v>
      </c>
      <c r="B608" s="1649" t="s">
        <v>3955</v>
      </c>
      <c r="C608" s="1650" t="s">
        <v>115</v>
      </c>
      <c r="D608" s="1654">
        <v>2</v>
      </c>
      <c r="E608" s="1650" t="s">
        <v>1277</v>
      </c>
      <c r="F608" s="1654">
        <v>5.6999999999999998E-4</v>
      </c>
      <c r="G608" s="1650" t="s">
        <v>1277</v>
      </c>
      <c r="H608" s="1654" t="s">
        <v>115</v>
      </c>
      <c r="I608" s="1650" t="s">
        <v>115</v>
      </c>
      <c r="J608" s="1654" t="s">
        <v>115</v>
      </c>
      <c r="K608" s="1655" t="s">
        <v>115</v>
      </c>
      <c r="L608" t="str">
        <f t="shared" si="27"/>
        <v/>
      </c>
      <c r="M608" t="str">
        <f t="shared" si="28"/>
        <v/>
      </c>
      <c r="N608" t="str">
        <f t="shared" si="29"/>
        <v>--</v>
      </c>
    </row>
    <row r="609" spans="1:14">
      <c r="A609" s="1650" t="s">
        <v>3956</v>
      </c>
      <c r="B609" s="1649" t="s">
        <v>3957</v>
      </c>
      <c r="C609" s="1650" t="s">
        <v>115</v>
      </c>
      <c r="D609" s="1654">
        <v>0.4</v>
      </c>
      <c r="E609" s="1650" t="s">
        <v>1277</v>
      </c>
      <c r="F609" s="1654">
        <v>1E-4</v>
      </c>
      <c r="G609" s="1650" t="s">
        <v>1277</v>
      </c>
      <c r="H609" s="1654" t="s">
        <v>115</v>
      </c>
      <c r="I609" s="1650" t="s">
        <v>115</v>
      </c>
      <c r="J609" s="1654" t="s">
        <v>115</v>
      </c>
      <c r="K609" s="1655" t="s">
        <v>115</v>
      </c>
      <c r="L609" t="str">
        <f t="shared" si="27"/>
        <v/>
      </c>
      <c r="M609" t="str">
        <f t="shared" si="28"/>
        <v/>
      </c>
      <c r="N609" t="str">
        <f t="shared" si="29"/>
        <v>--</v>
      </c>
    </row>
    <row r="610" spans="1:14" ht="25.5">
      <c r="A610" s="1650" t="s">
        <v>3958</v>
      </c>
      <c r="B610" s="1649" t="s">
        <v>3959</v>
      </c>
      <c r="C610" s="1650" t="s">
        <v>115</v>
      </c>
      <c r="D610" s="1654">
        <v>7.0000000000000007E-2</v>
      </c>
      <c r="E610" s="1650" t="s">
        <v>1277</v>
      </c>
      <c r="F610" s="1654">
        <v>2.0000000000000002E-5</v>
      </c>
      <c r="G610" s="1650" t="s">
        <v>1277</v>
      </c>
      <c r="H610" s="1654" t="s">
        <v>115</v>
      </c>
      <c r="I610" s="1650" t="s">
        <v>115</v>
      </c>
      <c r="J610" s="1654" t="s">
        <v>115</v>
      </c>
      <c r="K610" s="1655" t="s">
        <v>115</v>
      </c>
      <c r="L610" t="str">
        <f t="shared" si="27"/>
        <v/>
      </c>
      <c r="M610" t="str">
        <f t="shared" si="28"/>
        <v/>
      </c>
      <c r="N610" t="str">
        <f t="shared" si="29"/>
        <v>--</v>
      </c>
    </row>
    <row r="611" spans="1:14">
      <c r="A611" s="1650" t="s">
        <v>2143</v>
      </c>
      <c r="B611" s="1649" t="s">
        <v>3960</v>
      </c>
      <c r="C611" s="1650" t="s">
        <v>115</v>
      </c>
      <c r="D611" s="1654" t="s">
        <v>115</v>
      </c>
      <c r="E611" s="1650" t="s">
        <v>115</v>
      </c>
      <c r="F611" s="1654" t="s">
        <v>115</v>
      </c>
      <c r="G611" s="1650" t="s">
        <v>115</v>
      </c>
      <c r="H611" s="1654">
        <v>0.1</v>
      </c>
      <c r="I611" s="1650" t="s">
        <v>3603</v>
      </c>
      <c r="J611" s="1654" t="s">
        <v>115</v>
      </c>
      <c r="K611" s="1655" t="s">
        <v>115</v>
      </c>
      <c r="L611" t="str">
        <f t="shared" si="27"/>
        <v/>
      </c>
      <c r="M611" t="str">
        <f t="shared" si="28"/>
        <v/>
      </c>
      <c r="N611" t="str">
        <f t="shared" si="29"/>
        <v>--</v>
      </c>
    </row>
    <row r="612" spans="1:14">
      <c r="A612" s="1650" t="s">
        <v>2147</v>
      </c>
      <c r="B612" s="1649" t="s">
        <v>3961</v>
      </c>
      <c r="C612" s="1650" t="s">
        <v>115</v>
      </c>
      <c r="D612" s="1654" t="s">
        <v>115</v>
      </c>
      <c r="E612" s="1650" t="s">
        <v>115</v>
      </c>
      <c r="F612" s="1654" t="s">
        <v>115</v>
      </c>
      <c r="G612" s="1650" t="s">
        <v>115</v>
      </c>
      <c r="H612" s="1654">
        <v>0.03</v>
      </c>
      <c r="I612" s="1650" t="s">
        <v>3603</v>
      </c>
      <c r="J612" s="1654" t="s">
        <v>115</v>
      </c>
      <c r="K612" s="1655" t="s">
        <v>115</v>
      </c>
      <c r="L612" t="str">
        <f t="shared" si="27"/>
        <v/>
      </c>
      <c r="M612" t="str">
        <f t="shared" si="28"/>
        <v/>
      </c>
      <c r="N612" t="str">
        <f t="shared" si="29"/>
        <v>--</v>
      </c>
    </row>
    <row r="613" spans="1:14">
      <c r="A613" s="1650" t="s">
        <v>2134</v>
      </c>
      <c r="B613" s="1649" t="s">
        <v>3962</v>
      </c>
      <c r="C613" s="1650" t="s">
        <v>115</v>
      </c>
      <c r="D613" s="1654">
        <v>0.27</v>
      </c>
      <c r="E613" s="1650" t="s">
        <v>1234</v>
      </c>
      <c r="F613" s="1654">
        <v>7.7000000000000001E-5</v>
      </c>
      <c r="G613" s="1650" t="s">
        <v>1234</v>
      </c>
      <c r="H613" s="1654">
        <v>3.0000000000000001E-3</v>
      </c>
      <c r="I613" s="1650" t="s">
        <v>3603</v>
      </c>
      <c r="J613" s="1654" t="s">
        <v>115</v>
      </c>
      <c r="K613" s="1655" t="s">
        <v>115</v>
      </c>
      <c r="L613" t="str">
        <f t="shared" si="27"/>
        <v/>
      </c>
      <c r="M613" t="str">
        <f t="shared" si="28"/>
        <v/>
      </c>
      <c r="N613" t="str">
        <f t="shared" si="29"/>
        <v>--</v>
      </c>
    </row>
    <row r="614" spans="1:14">
      <c r="A614" s="1650" t="s">
        <v>2914</v>
      </c>
      <c r="B614" s="1649" t="s">
        <v>2915</v>
      </c>
      <c r="C614" s="1650" t="s">
        <v>115</v>
      </c>
      <c r="D614" s="1654" t="s">
        <v>115</v>
      </c>
      <c r="E614" s="1650" t="s">
        <v>115</v>
      </c>
      <c r="F614" s="1654" t="s">
        <v>115</v>
      </c>
      <c r="G614" s="1650" t="s">
        <v>115</v>
      </c>
      <c r="H614" s="1654">
        <v>0.05</v>
      </c>
      <c r="I614" s="1650" t="s">
        <v>3616</v>
      </c>
      <c r="J614" s="1654">
        <v>200</v>
      </c>
      <c r="K614" s="1655" t="s">
        <v>3789</v>
      </c>
      <c r="L614" t="str">
        <f t="shared" si="27"/>
        <v/>
      </c>
      <c r="M614" t="str">
        <f t="shared" si="28"/>
        <v>Route RfC</v>
      </c>
      <c r="N614" t="str">
        <f t="shared" si="29"/>
        <v>Route RfC</v>
      </c>
    </row>
    <row r="615" spans="1:14">
      <c r="A615" s="1650" t="s">
        <v>2916</v>
      </c>
      <c r="B615" s="1649" t="s">
        <v>2917</v>
      </c>
      <c r="C615" s="1650" t="s">
        <v>115</v>
      </c>
      <c r="D615" s="1654" t="s">
        <v>115</v>
      </c>
      <c r="E615" s="1650" t="s">
        <v>115</v>
      </c>
      <c r="F615" s="1654" t="s">
        <v>115</v>
      </c>
      <c r="G615" s="1650" t="s">
        <v>115</v>
      </c>
      <c r="H615" s="1654">
        <v>0.3</v>
      </c>
      <c r="I615" s="1650" t="s">
        <v>3663</v>
      </c>
      <c r="J615" s="1654" t="s">
        <v>115</v>
      </c>
      <c r="K615" s="1655" t="s">
        <v>115</v>
      </c>
      <c r="L615" t="str">
        <f t="shared" si="27"/>
        <v/>
      </c>
      <c r="M615" t="str">
        <f t="shared" si="28"/>
        <v/>
      </c>
      <c r="N615" t="str">
        <f t="shared" si="29"/>
        <v>--</v>
      </c>
    </row>
    <row r="616" spans="1:14">
      <c r="A616" s="1650" t="s">
        <v>2240</v>
      </c>
      <c r="B616" s="1649" t="s">
        <v>3963</v>
      </c>
      <c r="C616" s="1650" t="s">
        <v>115</v>
      </c>
      <c r="D616" s="1654">
        <v>0.02</v>
      </c>
      <c r="E616" s="1650" t="s">
        <v>3603</v>
      </c>
      <c r="F616" s="1654" t="s">
        <v>115</v>
      </c>
      <c r="G616" s="1650" t="s">
        <v>115</v>
      </c>
      <c r="H616" s="1654">
        <v>0.02</v>
      </c>
      <c r="I616" s="1650" t="s">
        <v>3603</v>
      </c>
      <c r="J616" s="1654" t="s">
        <v>115</v>
      </c>
      <c r="K616" s="1655" t="s">
        <v>115</v>
      </c>
      <c r="L616" t="str">
        <f t="shared" si="27"/>
        <v/>
      </c>
      <c r="M616" t="str">
        <f t="shared" si="28"/>
        <v/>
      </c>
      <c r="N616" t="str">
        <f t="shared" si="29"/>
        <v>--</v>
      </c>
    </row>
    <row r="617" spans="1:14">
      <c r="A617" s="1650" t="s">
        <v>2918</v>
      </c>
      <c r="B617" s="1649" t="s">
        <v>3964</v>
      </c>
      <c r="C617" s="1650" t="s">
        <v>115</v>
      </c>
      <c r="D617" s="1654" t="s">
        <v>115</v>
      </c>
      <c r="E617" s="1650" t="s">
        <v>115</v>
      </c>
      <c r="F617" s="1654" t="s">
        <v>115</v>
      </c>
      <c r="G617" s="1650" t="s">
        <v>115</v>
      </c>
      <c r="H617" s="1654">
        <v>2E-3</v>
      </c>
      <c r="I617" s="1650" t="s">
        <v>1277</v>
      </c>
      <c r="J617" s="1654">
        <v>8</v>
      </c>
      <c r="K617" s="1655" t="s">
        <v>3598</v>
      </c>
      <c r="L617" t="str">
        <f t="shared" si="27"/>
        <v/>
      </c>
      <c r="M617" t="str">
        <f t="shared" si="28"/>
        <v>Route RfC</v>
      </c>
      <c r="N617" t="str">
        <f t="shared" si="29"/>
        <v>Route RfC</v>
      </c>
    </row>
    <row r="618" spans="1:14">
      <c r="A618" s="1650" t="s">
        <v>2922</v>
      </c>
      <c r="B618" s="1649" t="s">
        <v>2923</v>
      </c>
      <c r="C618" s="1650" t="s">
        <v>115</v>
      </c>
      <c r="D618" s="1654" t="s">
        <v>115</v>
      </c>
      <c r="E618" s="1650" t="s">
        <v>115</v>
      </c>
      <c r="F618" s="1654" t="s">
        <v>115</v>
      </c>
      <c r="G618" s="1650" t="s">
        <v>115</v>
      </c>
      <c r="H618" s="1654">
        <v>8.0000000000000004E-4</v>
      </c>
      <c r="I618" s="1650" t="s">
        <v>1277</v>
      </c>
      <c r="J618" s="1654">
        <v>3.2</v>
      </c>
      <c r="K618" s="1655" t="s">
        <v>3598</v>
      </c>
      <c r="L618" t="str">
        <f t="shared" si="27"/>
        <v/>
      </c>
      <c r="M618" t="str">
        <f t="shared" si="28"/>
        <v>Route RfC</v>
      </c>
      <c r="N618" t="str">
        <f t="shared" si="29"/>
        <v>Route RfC</v>
      </c>
    </row>
    <row r="619" spans="1:14">
      <c r="A619" s="1650" t="s">
        <v>2924</v>
      </c>
      <c r="B619" s="1649" t="s">
        <v>2925</v>
      </c>
      <c r="C619" s="1650" t="s">
        <v>115</v>
      </c>
      <c r="D619" s="1654">
        <v>0.09</v>
      </c>
      <c r="E619" s="1650" t="s">
        <v>1247</v>
      </c>
      <c r="F619" s="1654">
        <v>2.3E-5</v>
      </c>
      <c r="G619" s="1650" t="s">
        <v>3605</v>
      </c>
      <c r="H619" s="1654" t="s">
        <v>115</v>
      </c>
      <c r="I619" s="1650" t="s">
        <v>115</v>
      </c>
      <c r="J619" s="1654" t="s">
        <v>115</v>
      </c>
      <c r="K619" s="1655" t="s">
        <v>115</v>
      </c>
      <c r="L619" t="str">
        <f t="shared" si="27"/>
        <v>Route IUR</v>
      </c>
      <c r="M619" t="str">
        <f t="shared" si="28"/>
        <v/>
      </c>
      <c r="N619" t="str">
        <f t="shared" si="29"/>
        <v>Route IUR</v>
      </c>
    </row>
    <row r="620" spans="1:14">
      <c r="A620" s="1650" t="s">
        <v>2926</v>
      </c>
      <c r="B620" s="1649" t="s">
        <v>2927</v>
      </c>
      <c r="C620" s="1650" t="s">
        <v>115</v>
      </c>
      <c r="D620" s="1654">
        <v>0.26</v>
      </c>
      <c r="E620" s="1650" t="s">
        <v>3616</v>
      </c>
      <c r="F620" s="1654">
        <v>6.4999999999999994E-5</v>
      </c>
      <c r="G620" s="1650" t="s">
        <v>3789</v>
      </c>
      <c r="H620" s="1654">
        <v>3.0000000000000001E-3</v>
      </c>
      <c r="I620" s="1650" t="s">
        <v>1277</v>
      </c>
      <c r="J620" s="1654">
        <v>12</v>
      </c>
      <c r="K620" s="1655" t="s">
        <v>3598</v>
      </c>
      <c r="L620" t="str">
        <f t="shared" si="27"/>
        <v>Route IUR</v>
      </c>
      <c r="M620" t="str">
        <f t="shared" si="28"/>
        <v>Route RfC</v>
      </c>
      <c r="N620" t="str">
        <f t="shared" si="29"/>
        <v>Route IUR &amp; RfC</v>
      </c>
    </row>
    <row r="621" spans="1:14">
      <c r="A621" s="1650" t="s">
        <v>260</v>
      </c>
      <c r="B621" s="1649" t="s">
        <v>259</v>
      </c>
      <c r="C621" s="1650" t="s">
        <v>115</v>
      </c>
      <c r="D621" s="1654">
        <v>0.4</v>
      </c>
      <c r="E621" s="1650" t="s">
        <v>1277</v>
      </c>
      <c r="F621" s="1654">
        <v>5.1000000000000003E-6</v>
      </c>
      <c r="G621" s="1650" t="s">
        <v>1234</v>
      </c>
      <c r="H621" s="1654">
        <v>5.0000000000000001E-3</v>
      </c>
      <c r="I621" s="1650" t="s">
        <v>1277</v>
      </c>
      <c r="J621" s="1654" t="s">
        <v>115</v>
      </c>
      <c r="K621" s="1655" t="s">
        <v>115</v>
      </c>
      <c r="L621" t="str">
        <f t="shared" si="27"/>
        <v/>
      </c>
      <c r="M621" t="str">
        <f t="shared" si="28"/>
        <v/>
      </c>
      <c r="N621" t="str">
        <f t="shared" si="29"/>
        <v>--</v>
      </c>
    </row>
    <row r="622" spans="1:14">
      <c r="A622" s="1650" t="s">
        <v>2928</v>
      </c>
      <c r="B622" s="1649" t="s">
        <v>2929</v>
      </c>
      <c r="C622" s="1650" t="s">
        <v>115</v>
      </c>
      <c r="D622" s="1654">
        <v>4.3E-3</v>
      </c>
      <c r="E622" s="1650" t="s">
        <v>3603</v>
      </c>
      <c r="F622" s="1654" t="s">
        <v>115</v>
      </c>
      <c r="G622" s="1650" t="s">
        <v>115</v>
      </c>
      <c r="H622" s="1654">
        <v>8.9999999999999993E-3</v>
      </c>
      <c r="I622" s="1650" t="s">
        <v>1247</v>
      </c>
      <c r="J622" s="1654" t="s">
        <v>115</v>
      </c>
      <c r="K622" s="1655" t="s">
        <v>115</v>
      </c>
      <c r="L622" t="str">
        <f t="shared" si="27"/>
        <v/>
      </c>
      <c r="M622" t="str">
        <f t="shared" si="28"/>
        <v/>
      </c>
      <c r="N622" t="str">
        <f t="shared" si="29"/>
        <v>--</v>
      </c>
    </row>
    <row r="623" spans="1:14">
      <c r="A623" s="1650" t="s">
        <v>1261</v>
      </c>
      <c r="B623" s="1649" t="s">
        <v>3965</v>
      </c>
      <c r="C623" s="1650" t="s">
        <v>115</v>
      </c>
      <c r="D623" s="1654" t="s">
        <v>115</v>
      </c>
      <c r="E623" s="1650" t="s">
        <v>115</v>
      </c>
      <c r="F623" s="1654" t="s">
        <v>115</v>
      </c>
      <c r="G623" s="1650" t="s">
        <v>115</v>
      </c>
      <c r="H623" s="1654">
        <v>6.9999999999999999E-4</v>
      </c>
      <c r="I623" s="1650" t="s">
        <v>1277</v>
      </c>
      <c r="J623" s="1654" t="s">
        <v>115</v>
      </c>
      <c r="K623" s="1655" t="s">
        <v>115</v>
      </c>
      <c r="L623" t="str">
        <f t="shared" si="27"/>
        <v/>
      </c>
      <c r="M623" t="str">
        <f t="shared" si="28"/>
        <v/>
      </c>
      <c r="N623" t="str">
        <f t="shared" si="29"/>
        <v>--</v>
      </c>
    </row>
    <row r="624" spans="1:14">
      <c r="A624" s="1650" t="s">
        <v>3023</v>
      </c>
      <c r="B624" s="1649" t="s">
        <v>3024</v>
      </c>
      <c r="C624" s="1650" t="s">
        <v>115</v>
      </c>
      <c r="D624" s="1654" t="s">
        <v>115</v>
      </c>
      <c r="E624" s="1650" t="s">
        <v>115</v>
      </c>
      <c r="F624" s="1654" t="s">
        <v>115</v>
      </c>
      <c r="G624" s="1650" t="s">
        <v>115</v>
      </c>
      <c r="H624" s="1654">
        <v>0.05</v>
      </c>
      <c r="I624" s="1650" t="s">
        <v>1277</v>
      </c>
      <c r="J624" s="1654" t="s">
        <v>115</v>
      </c>
      <c r="K624" s="1655" t="s">
        <v>115</v>
      </c>
      <c r="L624" t="str">
        <f t="shared" si="27"/>
        <v/>
      </c>
      <c r="M624" t="str">
        <f t="shared" si="28"/>
        <v/>
      </c>
      <c r="N624" t="str">
        <f t="shared" si="29"/>
        <v>--</v>
      </c>
    </row>
    <row r="625" spans="1:14">
      <c r="A625" s="1650" t="s">
        <v>3025</v>
      </c>
      <c r="B625" s="1649" t="s">
        <v>3026</v>
      </c>
      <c r="C625" s="1650" t="s">
        <v>115</v>
      </c>
      <c r="D625" s="1654">
        <v>2.2000000000000001E-3</v>
      </c>
      <c r="E625" s="1650" t="s">
        <v>1234</v>
      </c>
      <c r="F625" s="1654">
        <v>6.3E-7</v>
      </c>
      <c r="G625" s="1650" t="s">
        <v>1234</v>
      </c>
      <c r="H625" s="1654" t="s">
        <v>115</v>
      </c>
      <c r="I625" s="1650" t="s">
        <v>115</v>
      </c>
      <c r="J625" s="1654" t="s">
        <v>115</v>
      </c>
      <c r="K625" s="1655" t="s">
        <v>115</v>
      </c>
      <c r="L625" t="str">
        <f t="shared" si="27"/>
        <v/>
      </c>
      <c r="M625" t="str">
        <f t="shared" si="28"/>
        <v/>
      </c>
      <c r="N625" t="str">
        <f t="shared" si="29"/>
        <v>--</v>
      </c>
    </row>
    <row r="626" spans="1:14">
      <c r="A626" s="1650" t="s">
        <v>3027</v>
      </c>
      <c r="B626" s="1649" t="s">
        <v>3028</v>
      </c>
      <c r="C626" s="1650" t="s">
        <v>115</v>
      </c>
      <c r="D626" s="1654" t="s">
        <v>115</v>
      </c>
      <c r="E626" s="1650" t="s">
        <v>115</v>
      </c>
      <c r="F626" s="1654" t="s">
        <v>115</v>
      </c>
      <c r="G626" s="1650" t="s">
        <v>115</v>
      </c>
      <c r="H626" s="1654">
        <v>0.24</v>
      </c>
      <c r="I626" s="1650" t="s">
        <v>3663</v>
      </c>
      <c r="J626" s="1654" t="s">
        <v>115</v>
      </c>
      <c r="K626" s="1655" t="s">
        <v>115</v>
      </c>
      <c r="L626" t="str">
        <f t="shared" si="27"/>
        <v/>
      </c>
      <c r="M626" t="str">
        <f t="shared" si="28"/>
        <v/>
      </c>
      <c r="N626" t="str">
        <f t="shared" si="29"/>
        <v>--</v>
      </c>
    </row>
    <row r="627" spans="1:14">
      <c r="A627" s="1650" t="s">
        <v>302</v>
      </c>
      <c r="B627" s="1649" t="s">
        <v>301</v>
      </c>
      <c r="C627" s="1650" t="s">
        <v>115</v>
      </c>
      <c r="D627" s="1654" t="s">
        <v>115</v>
      </c>
      <c r="E627" s="1650" t="s">
        <v>115</v>
      </c>
      <c r="F627" s="1654" t="s">
        <v>115</v>
      </c>
      <c r="G627" s="1650" t="s">
        <v>115</v>
      </c>
      <c r="H627" s="1654">
        <v>0.3</v>
      </c>
      <c r="I627" s="1650" t="s">
        <v>1277</v>
      </c>
      <c r="J627" s="1654">
        <v>200</v>
      </c>
      <c r="K627" s="1655" t="s">
        <v>1234</v>
      </c>
      <c r="L627" t="str">
        <f t="shared" si="27"/>
        <v/>
      </c>
      <c r="M627" t="str">
        <f t="shared" si="28"/>
        <v/>
      </c>
      <c r="N627" t="str">
        <f t="shared" si="29"/>
        <v>--</v>
      </c>
    </row>
    <row r="628" spans="1:14">
      <c r="A628" s="1650" t="s">
        <v>3029</v>
      </c>
      <c r="B628" s="1649" t="s">
        <v>3030</v>
      </c>
      <c r="C628" s="1650" t="s">
        <v>115</v>
      </c>
      <c r="D628" s="1654" t="s">
        <v>115</v>
      </c>
      <c r="E628" s="1650" t="s">
        <v>115</v>
      </c>
      <c r="F628" s="1654" t="s">
        <v>115</v>
      </c>
      <c r="G628" s="1650" t="s">
        <v>115</v>
      </c>
      <c r="H628" s="1654">
        <v>4.0000000000000001E-3</v>
      </c>
      <c r="I628" s="1650" t="s">
        <v>1277</v>
      </c>
      <c r="J628" s="1654" t="s">
        <v>115</v>
      </c>
      <c r="K628" s="1655" t="s">
        <v>115</v>
      </c>
      <c r="L628" t="str">
        <f t="shared" si="27"/>
        <v/>
      </c>
      <c r="M628" t="str">
        <f t="shared" si="28"/>
        <v/>
      </c>
      <c r="N628" t="str">
        <f t="shared" si="29"/>
        <v>--</v>
      </c>
    </row>
    <row r="629" spans="1:14">
      <c r="A629" s="1650" t="s">
        <v>3031</v>
      </c>
      <c r="B629" s="1649" t="s">
        <v>3032</v>
      </c>
      <c r="C629" s="1650" t="s">
        <v>115</v>
      </c>
      <c r="D629" s="1654" t="s">
        <v>115</v>
      </c>
      <c r="E629" s="1650" t="s">
        <v>115</v>
      </c>
      <c r="F629" s="1654" t="s">
        <v>115</v>
      </c>
      <c r="G629" s="1650" t="s">
        <v>115</v>
      </c>
      <c r="H629" s="1654">
        <v>5.0000000000000001E-4</v>
      </c>
      <c r="I629" s="1650" t="s">
        <v>3603</v>
      </c>
      <c r="J629" s="1654" t="s">
        <v>115</v>
      </c>
      <c r="K629" s="1655" t="s">
        <v>115</v>
      </c>
      <c r="L629" t="str">
        <f t="shared" si="27"/>
        <v/>
      </c>
      <c r="M629" t="str">
        <f t="shared" si="28"/>
        <v/>
      </c>
      <c r="N629" t="str">
        <f t="shared" si="29"/>
        <v>--</v>
      </c>
    </row>
    <row r="630" spans="1:14">
      <c r="A630" s="1650" t="s">
        <v>3033</v>
      </c>
      <c r="B630" s="1649" t="s">
        <v>3034</v>
      </c>
      <c r="C630" s="1650" t="s">
        <v>115</v>
      </c>
      <c r="D630" s="1654" t="s">
        <v>115</v>
      </c>
      <c r="E630" s="1650" t="s">
        <v>115</v>
      </c>
      <c r="F630" s="1654" t="s">
        <v>115</v>
      </c>
      <c r="G630" s="1650" t="s">
        <v>115</v>
      </c>
      <c r="H630" s="1654">
        <v>2.0000000000000001E-4</v>
      </c>
      <c r="I630" s="1650" t="s">
        <v>3603</v>
      </c>
      <c r="J630" s="1654">
        <v>0.8</v>
      </c>
      <c r="K630" s="1655" t="s">
        <v>3609</v>
      </c>
      <c r="L630" t="str">
        <f t="shared" si="27"/>
        <v/>
      </c>
      <c r="M630" t="str">
        <f t="shared" si="28"/>
        <v>Route RfC</v>
      </c>
      <c r="N630" t="str">
        <f t="shared" si="29"/>
        <v>Route RfC</v>
      </c>
    </row>
    <row r="631" spans="1:14">
      <c r="A631" s="1650" t="s">
        <v>2002</v>
      </c>
      <c r="B631" s="1649" t="s">
        <v>3966</v>
      </c>
      <c r="C631" s="1650" t="s">
        <v>115</v>
      </c>
      <c r="D631" s="1654" t="s">
        <v>115</v>
      </c>
      <c r="E631" s="1650" t="s">
        <v>115</v>
      </c>
      <c r="F631" s="1654" t="s">
        <v>115</v>
      </c>
      <c r="G631" s="1650" t="s">
        <v>115</v>
      </c>
      <c r="H631" s="1654">
        <v>1E-3</v>
      </c>
      <c r="I631" s="1650" t="s">
        <v>1247</v>
      </c>
      <c r="J631" s="1654">
        <v>4</v>
      </c>
      <c r="K631" s="1655" t="s">
        <v>3605</v>
      </c>
      <c r="L631" t="str">
        <f t="shared" si="27"/>
        <v/>
      </c>
      <c r="M631" t="str">
        <f t="shared" si="28"/>
        <v>Route RfC</v>
      </c>
      <c r="N631" t="str">
        <f t="shared" si="29"/>
        <v>Route RfC</v>
      </c>
    </row>
    <row r="632" spans="1:14">
      <c r="A632" s="1650" t="s">
        <v>2710</v>
      </c>
      <c r="B632" s="1649" t="s">
        <v>3967</v>
      </c>
      <c r="C632" s="1650" t="s">
        <v>115</v>
      </c>
      <c r="D632" s="1654" t="s">
        <v>115</v>
      </c>
      <c r="E632" s="1650" t="s">
        <v>115</v>
      </c>
      <c r="F632" s="1654" t="s">
        <v>115</v>
      </c>
      <c r="G632" s="1650" t="s">
        <v>115</v>
      </c>
      <c r="H632" s="1654">
        <v>8.0000000000000007E-5</v>
      </c>
      <c r="I632" s="1650" t="s">
        <v>1277</v>
      </c>
      <c r="J632" s="1654" t="s">
        <v>115</v>
      </c>
      <c r="K632" s="1655" t="s">
        <v>115</v>
      </c>
      <c r="L632" t="str">
        <f t="shared" si="27"/>
        <v/>
      </c>
      <c r="M632" t="str">
        <f t="shared" si="28"/>
        <v/>
      </c>
      <c r="N632" t="str">
        <f t="shared" si="29"/>
        <v>--</v>
      </c>
    </row>
    <row r="633" spans="1:14">
      <c r="A633" s="1650" t="s">
        <v>3043</v>
      </c>
      <c r="B633" s="1649" t="s">
        <v>3044</v>
      </c>
      <c r="C633" s="1650" t="s">
        <v>115</v>
      </c>
      <c r="D633" s="1654" t="s">
        <v>115</v>
      </c>
      <c r="E633" s="1650" t="s">
        <v>115</v>
      </c>
      <c r="F633" s="1654" t="s">
        <v>115</v>
      </c>
      <c r="G633" s="1650" t="s">
        <v>115</v>
      </c>
      <c r="H633" s="1654">
        <v>2.0000000000000001E-4</v>
      </c>
      <c r="I633" s="1650" t="s">
        <v>3616</v>
      </c>
      <c r="J633" s="1654" t="s">
        <v>115</v>
      </c>
      <c r="K633" s="1655" t="s">
        <v>115</v>
      </c>
      <c r="L633" t="str">
        <f t="shared" si="27"/>
        <v/>
      </c>
      <c r="M633" t="str">
        <f t="shared" si="28"/>
        <v/>
      </c>
      <c r="N633" t="str">
        <f t="shared" si="29"/>
        <v>--</v>
      </c>
    </row>
    <row r="634" spans="1:14">
      <c r="A634" s="1650" t="s">
        <v>3045</v>
      </c>
      <c r="B634" s="1649" t="s">
        <v>3046</v>
      </c>
      <c r="C634" s="1650" t="s">
        <v>115</v>
      </c>
      <c r="D634" s="1654" t="s">
        <v>115</v>
      </c>
      <c r="E634" s="1650" t="s">
        <v>115</v>
      </c>
      <c r="F634" s="1654" t="s">
        <v>115</v>
      </c>
      <c r="G634" s="1650" t="s">
        <v>115</v>
      </c>
      <c r="H634" s="1654" t="s">
        <v>115</v>
      </c>
      <c r="I634" s="1650" t="s">
        <v>115</v>
      </c>
      <c r="J634" s="1654">
        <v>0.3</v>
      </c>
      <c r="K634" s="1655" t="s">
        <v>1277</v>
      </c>
      <c r="L634" t="str">
        <f t="shared" si="27"/>
        <v/>
      </c>
      <c r="M634" t="str">
        <f t="shared" si="28"/>
        <v/>
      </c>
      <c r="N634" t="str">
        <f t="shared" si="29"/>
        <v>--</v>
      </c>
    </row>
    <row r="635" spans="1:14">
      <c r="A635" s="1650" t="s">
        <v>3047</v>
      </c>
      <c r="B635" s="1649" t="s">
        <v>3048</v>
      </c>
      <c r="C635" s="1650" t="s">
        <v>115</v>
      </c>
      <c r="D635" s="1654" t="s">
        <v>115</v>
      </c>
      <c r="E635" s="1650" t="s">
        <v>115</v>
      </c>
      <c r="F635" s="1654" t="s">
        <v>115</v>
      </c>
      <c r="G635" s="1650" t="s">
        <v>115</v>
      </c>
      <c r="H635" s="1654">
        <v>0.02</v>
      </c>
      <c r="I635" s="1650" t="s">
        <v>1277</v>
      </c>
      <c r="J635" s="1654" t="s">
        <v>115</v>
      </c>
      <c r="K635" s="1655" t="s">
        <v>115</v>
      </c>
      <c r="L635" t="str">
        <f t="shared" si="27"/>
        <v/>
      </c>
      <c r="M635" t="str">
        <f t="shared" si="28"/>
        <v/>
      </c>
      <c r="N635" t="str">
        <f t="shared" si="29"/>
        <v>--</v>
      </c>
    </row>
    <row r="636" spans="1:14">
      <c r="A636" s="1650" t="s">
        <v>3104</v>
      </c>
      <c r="B636" s="1649" t="s">
        <v>3105</v>
      </c>
      <c r="C636" s="1650" t="s">
        <v>115</v>
      </c>
      <c r="D636" s="1654" t="s">
        <v>115</v>
      </c>
      <c r="E636" s="1650" t="s">
        <v>115</v>
      </c>
      <c r="F636" s="1654" t="s">
        <v>115</v>
      </c>
      <c r="G636" s="1650" t="s">
        <v>115</v>
      </c>
      <c r="H636" s="1654">
        <v>2.9999999999999997E-4</v>
      </c>
      <c r="I636" s="1650" t="s">
        <v>1277</v>
      </c>
      <c r="J636" s="1654">
        <v>0.3</v>
      </c>
      <c r="K636" s="1655" t="s">
        <v>1277</v>
      </c>
      <c r="L636" t="str">
        <f t="shared" si="27"/>
        <v/>
      </c>
      <c r="M636" t="str">
        <f t="shared" si="28"/>
        <v/>
      </c>
      <c r="N636" t="str">
        <f t="shared" si="29"/>
        <v>--</v>
      </c>
    </row>
    <row r="637" spans="1:14">
      <c r="A637" s="1650" t="s">
        <v>3064</v>
      </c>
      <c r="B637" s="1649" t="s">
        <v>3968</v>
      </c>
      <c r="C637" s="1650" t="s">
        <v>115</v>
      </c>
      <c r="D637" s="1654" t="s">
        <v>115</v>
      </c>
      <c r="E637" s="1650" t="s">
        <v>115</v>
      </c>
      <c r="F637" s="1654" t="s">
        <v>115</v>
      </c>
      <c r="G637" s="1650" t="s">
        <v>115</v>
      </c>
      <c r="H637" s="1654">
        <v>1</v>
      </c>
      <c r="I637" s="1650" t="s">
        <v>1247</v>
      </c>
      <c r="J637" s="1654">
        <v>10</v>
      </c>
      <c r="K637" s="1655" t="s">
        <v>1277</v>
      </c>
      <c r="L637" t="str">
        <f t="shared" si="27"/>
        <v/>
      </c>
      <c r="M637" t="str">
        <f t="shared" si="28"/>
        <v/>
      </c>
      <c r="N637" t="str">
        <f t="shared" si="29"/>
        <v>--</v>
      </c>
    </row>
    <row r="638" spans="1:14">
      <c r="A638" s="1650" t="s">
        <v>3106</v>
      </c>
      <c r="B638" s="1649" t="s">
        <v>3969</v>
      </c>
      <c r="C638" s="1650" t="s">
        <v>115</v>
      </c>
      <c r="D638" s="1654" t="s">
        <v>115</v>
      </c>
      <c r="E638" s="1650" t="s">
        <v>115</v>
      </c>
      <c r="F638" s="1654" t="s">
        <v>115</v>
      </c>
      <c r="G638" s="1650" t="s">
        <v>115</v>
      </c>
      <c r="H638" s="1654">
        <v>2.0000000000000002E-5</v>
      </c>
      <c r="I638" s="1650" t="s">
        <v>1277</v>
      </c>
      <c r="J638" s="1654">
        <v>0.08</v>
      </c>
      <c r="K638" s="1655" t="s">
        <v>3598</v>
      </c>
      <c r="L638" t="str">
        <f t="shared" si="27"/>
        <v/>
      </c>
      <c r="M638" t="str">
        <f t="shared" si="28"/>
        <v>Route RfC</v>
      </c>
      <c r="N638" t="str">
        <f t="shared" si="29"/>
        <v>Route RfC</v>
      </c>
    </row>
    <row r="639" spans="1:14">
      <c r="A639" s="1650" t="s">
        <v>3127</v>
      </c>
      <c r="B639" s="1649" t="s">
        <v>3970</v>
      </c>
      <c r="C639" s="1650" t="s">
        <v>115</v>
      </c>
      <c r="D639" s="1654" t="s">
        <v>115</v>
      </c>
      <c r="E639" s="1650" t="s">
        <v>115</v>
      </c>
      <c r="F639" s="1654" t="s">
        <v>115</v>
      </c>
      <c r="G639" s="1650" t="s">
        <v>115</v>
      </c>
      <c r="H639" s="1654">
        <v>2</v>
      </c>
      <c r="I639" s="1650" t="s">
        <v>1277</v>
      </c>
      <c r="J639" s="1654">
        <v>20</v>
      </c>
      <c r="K639" s="1655" t="s">
        <v>1234</v>
      </c>
      <c r="L639" t="str">
        <f t="shared" si="27"/>
        <v/>
      </c>
      <c r="M639" t="str">
        <f t="shared" si="28"/>
        <v/>
      </c>
      <c r="N639" t="str">
        <f t="shared" si="29"/>
        <v>--</v>
      </c>
    </row>
    <row r="640" spans="1:14">
      <c r="A640" s="1656">
        <v>6607</v>
      </c>
      <c r="B640" s="1649" t="s">
        <v>3130</v>
      </c>
      <c r="C640" s="1650" t="s">
        <v>115</v>
      </c>
      <c r="D640" s="1654" t="s">
        <v>115</v>
      </c>
      <c r="E640" s="1650" t="s">
        <v>115</v>
      </c>
      <c r="F640" s="1654" t="s">
        <v>115</v>
      </c>
      <c r="G640" s="1650" t="s">
        <v>115</v>
      </c>
      <c r="H640" s="1654">
        <v>7.0000000000000007E-2</v>
      </c>
      <c r="I640" s="1650" t="s">
        <v>1277</v>
      </c>
      <c r="J640" s="1654" t="s">
        <v>115</v>
      </c>
      <c r="K640" s="1655" t="s">
        <v>115</v>
      </c>
      <c r="L640" t="str">
        <f t="shared" si="27"/>
        <v/>
      </c>
      <c r="M640" t="str">
        <f t="shared" si="28"/>
        <v/>
      </c>
      <c r="N640" t="str">
        <f t="shared" si="29"/>
        <v>--</v>
      </c>
    </row>
    <row r="641" spans="1:14">
      <c r="A641" s="1650" t="s">
        <v>3131</v>
      </c>
      <c r="B641" s="1649" t="s">
        <v>3971</v>
      </c>
      <c r="C641" s="1650" t="s">
        <v>115</v>
      </c>
      <c r="D641" s="1654" t="s">
        <v>115</v>
      </c>
      <c r="E641" s="1650" t="s">
        <v>115</v>
      </c>
      <c r="F641" s="1654" t="s">
        <v>115</v>
      </c>
      <c r="G641" s="1650" t="s">
        <v>115</v>
      </c>
      <c r="H641" s="1654">
        <v>1E-4</v>
      </c>
      <c r="I641" s="1650" t="s">
        <v>3603</v>
      </c>
      <c r="J641" s="1654" t="s">
        <v>115</v>
      </c>
      <c r="K641" s="1655" t="s">
        <v>115</v>
      </c>
      <c r="L641" t="str">
        <f t="shared" si="27"/>
        <v/>
      </c>
      <c r="M641" t="str">
        <f t="shared" si="28"/>
        <v/>
      </c>
      <c r="N641" t="str">
        <f t="shared" si="29"/>
        <v>--</v>
      </c>
    </row>
    <row r="642" spans="1:14">
      <c r="A642" s="1650" t="s">
        <v>3133</v>
      </c>
      <c r="B642" s="1649" t="s">
        <v>3972</v>
      </c>
      <c r="C642" s="1650" t="s">
        <v>115</v>
      </c>
      <c r="D642" s="1654" t="s">
        <v>115</v>
      </c>
      <c r="E642" s="1650" t="s">
        <v>115</v>
      </c>
      <c r="F642" s="1654" t="s">
        <v>115</v>
      </c>
      <c r="G642" s="1650" t="s">
        <v>115</v>
      </c>
      <c r="H642" s="1654">
        <v>2E-3</v>
      </c>
      <c r="I642" s="1650" t="s">
        <v>3603</v>
      </c>
      <c r="J642" s="1654" t="s">
        <v>115</v>
      </c>
      <c r="K642" s="1655" t="s">
        <v>115</v>
      </c>
      <c r="L642" t="str">
        <f t="shared" si="27"/>
        <v/>
      </c>
      <c r="M642" t="str">
        <f t="shared" si="28"/>
        <v/>
      </c>
      <c r="N642" t="str">
        <f t="shared" si="29"/>
        <v>--</v>
      </c>
    </row>
    <row r="643" spans="1:14">
      <c r="A643" s="1650" t="s">
        <v>3135</v>
      </c>
      <c r="B643" s="1649" t="s">
        <v>3973</v>
      </c>
      <c r="C643" s="1650" t="s">
        <v>115</v>
      </c>
      <c r="D643" s="1654" t="s">
        <v>115</v>
      </c>
      <c r="E643" s="1650" t="s">
        <v>115</v>
      </c>
      <c r="F643" s="1654" t="s">
        <v>115</v>
      </c>
      <c r="G643" s="1650" t="s">
        <v>115</v>
      </c>
      <c r="H643" s="1654">
        <v>7.2999999999999996E-4</v>
      </c>
      <c r="I643" s="1650" t="s">
        <v>3663</v>
      </c>
      <c r="J643" s="1654" t="s">
        <v>115</v>
      </c>
      <c r="K643" s="1655" t="s">
        <v>115</v>
      </c>
      <c r="L643" t="str">
        <f t="shared" si="27"/>
        <v/>
      </c>
      <c r="M643" t="str">
        <f t="shared" si="28"/>
        <v/>
      </c>
      <c r="N643" t="str">
        <f t="shared" si="29"/>
        <v>--</v>
      </c>
    </row>
    <row r="644" spans="1:14">
      <c r="A644" s="1650" t="s">
        <v>3137</v>
      </c>
      <c r="B644" s="1649" t="s">
        <v>3974</v>
      </c>
      <c r="C644" s="1650" t="s">
        <v>115</v>
      </c>
      <c r="D644" s="1654">
        <v>30</v>
      </c>
      <c r="E644" s="1650" t="s">
        <v>1234</v>
      </c>
      <c r="F644" s="1654">
        <v>8.6E-3</v>
      </c>
      <c r="G644" s="1650" t="s">
        <v>1234</v>
      </c>
      <c r="H644" s="1654">
        <v>6.9999999999999999E-6</v>
      </c>
      <c r="I644" s="1650" t="s">
        <v>3616</v>
      </c>
      <c r="J644" s="1654" t="s">
        <v>115</v>
      </c>
      <c r="K644" s="1655" t="s">
        <v>115</v>
      </c>
      <c r="L644" t="str">
        <f t="shared" si="27"/>
        <v/>
      </c>
      <c r="M644" t="str">
        <f t="shared" si="28"/>
        <v/>
      </c>
      <c r="N644" t="str">
        <f t="shared" si="29"/>
        <v>--</v>
      </c>
    </row>
    <row r="645" spans="1:14">
      <c r="A645" s="1650" t="s">
        <v>3186</v>
      </c>
      <c r="B645" s="1649" t="s">
        <v>3975</v>
      </c>
      <c r="C645" s="1650" t="s">
        <v>115</v>
      </c>
      <c r="D645" s="1654" t="s">
        <v>115</v>
      </c>
      <c r="E645" s="1650" t="s">
        <v>115</v>
      </c>
      <c r="F645" s="1654" t="s">
        <v>115</v>
      </c>
      <c r="G645" s="1650" t="s">
        <v>115</v>
      </c>
      <c r="H645" s="1654" t="s">
        <v>115</v>
      </c>
      <c r="I645" s="1650" t="s">
        <v>115</v>
      </c>
      <c r="J645" s="1654">
        <v>0.08</v>
      </c>
      <c r="K645" s="1655" t="s">
        <v>3600</v>
      </c>
      <c r="L645" t="str">
        <f t="shared" si="27"/>
        <v/>
      </c>
      <c r="M645" t="str">
        <f t="shared" si="28"/>
        <v/>
      </c>
      <c r="N645" t="str">
        <f t="shared" si="29"/>
        <v>--</v>
      </c>
    </row>
    <row r="646" spans="1:14">
      <c r="A646" s="1650" t="s">
        <v>3070</v>
      </c>
      <c r="B646" s="1649" t="s">
        <v>3976</v>
      </c>
      <c r="C646" s="1650" t="s">
        <v>115</v>
      </c>
      <c r="D646" s="1654" t="s">
        <v>115</v>
      </c>
      <c r="E646" s="1650" t="s">
        <v>115</v>
      </c>
      <c r="F646" s="1654" t="s">
        <v>115</v>
      </c>
      <c r="G646" s="1650" t="s">
        <v>115</v>
      </c>
      <c r="H646" s="1654">
        <v>1</v>
      </c>
      <c r="I646" s="1650" t="s">
        <v>1247</v>
      </c>
      <c r="J646" s="1654" t="s">
        <v>115</v>
      </c>
      <c r="K646" s="1655" t="s">
        <v>115</v>
      </c>
      <c r="L646" t="str">
        <f t="shared" ref="L646:L709" si="30">IF(COUNTIF(G646,"*Route*"),"Route IUR","")</f>
        <v/>
      </c>
      <c r="M646" t="str">
        <f t="shared" ref="M646:M709" si="31">IF(COUNTIF(K646,"*Route*"),"Route RfC","")</f>
        <v/>
      </c>
      <c r="N646" t="str">
        <f t="shared" ref="N646:N709" si="32">IF(AND(L646&lt;&gt;"",M646&lt;&gt;""),"Route IUR &amp; RfC",IF(L646&lt;&gt;"","Route IUR",IF(M646&lt;&gt;"","Route RfC","--")))</f>
        <v>--</v>
      </c>
    </row>
    <row r="647" spans="1:14">
      <c r="A647" s="1650" t="s">
        <v>2228</v>
      </c>
      <c r="B647" s="1649" t="s">
        <v>3977</v>
      </c>
      <c r="C647" s="1650" t="s">
        <v>115</v>
      </c>
      <c r="D647" s="1654" t="s">
        <v>115</v>
      </c>
      <c r="E647" s="1650" t="s">
        <v>115</v>
      </c>
      <c r="F647" s="1654" t="s">
        <v>115</v>
      </c>
      <c r="G647" s="1650" t="s">
        <v>115</v>
      </c>
      <c r="H647" s="1654">
        <v>2E-3</v>
      </c>
      <c r="I647" s="1650" t="s">
        <v>1277</v>
      </c>
      <c r="J647" s="1654">
        <v>9</v>
      </c>
      <c r="K647" s="1655" t="s">
        <v>1234</v>
      </c>
      <c r="L647" t="str">
        <f t="shared" si="30"/>
        <v/>
      </c>
      <c r="M647" t="str">
        <f t="shared" si="31"/>
        <v/>
      </c>
      <c r="N647" t="str">
        <f t="shared" si="32"/>
        <v>--</v>
      </c>
    </row>
    <row r="648" spans="1:14">
      <c r="A648" s="1650" t="s">
        <v>3019</v>
      </c>
      <c r="B648" s="1649" t="s">
        <v>3978</v>
      </c>
      <c r="C648" s="1650" t="s">
        <v>115</v>
      </c>
      <c r="D648" s="1654" t="s">
        <v>115</v>
      </c>
      <c r="E648" s="1650" t="s">
        <v>115</v>
      </c>
      <c r="F648" s="1654" t="s">
        <v>115</v>
      </c>
      <c r="G648" s="1650" t="s">
        <v>115</v>
      </c>
      <c r="H648" s="1654">
        <v>6.9999999999999999E-4</v>
      </c>
      <c r="I648" s="1650" t="s">
        <v>1277</v>
      </c>
      <c r="J648" s="1654" t="s">
        <v>115</v>
      </c>
      <c r="K648" s="1655" t="s">
        <v>115</v>
      </c>
      <c r="L648" t="str">
        <f t="shared" si="30"/>
        <v/>
      </c>
      <c r="M648" t="str">
        <f t="shared" si="31"/>
        <v/>
      </c>
      <c r="N648" t="str">
        <f t="shared" si="32"/>
        <v>--</v>
      </c>
    </row>
    <row r="649" spans="1:14">
      <c r="A649" s="1650" t="s">
        <v>2230</v>
      </c>
      <c r="B649" s="1649" t="s">
        <v>3979</v>
      </c>
      <c r="C649" s="1650" t="s">
        <v>115</v>
      </c>
      <c r="D649" s="1654" t="s">
        <v>115</v>
      </c>
      <c r="E649" s="1650" t="s">
        <v>115</v>
      </c>
      <c r="F649" s="1654" t="s">
        <v>115</v>
      </c>
      <c r="G649" s="1650" t="s">
        <v>115</v>
      </c>
      <c r="H649" s="1654">
        <v>5.0000000000000001E-3</v>
      </c>
      <c r="I649" s="1650" t="s">
        <v>1277</v>
      </c>
      <c r="J649" s="1654" t="s">
        <v>115</v>
      </c>
      <c r="K649" s="1655" t="s">
        <v>115</v>
      </c>
      <c r="L649" t="str">
        <f t="shared" si="30"/>
        <v/>
      </c>
      <c r="M649" t="str">
        <f t="shared" si="31"/>
        <v/>
      </c>
      <c r="N649" t="str">
        <f t="shared" si="32"/>
        <v>--</v>
      </c>
    </row>
    <row r="650" spans="1:14">
      <c r="A650" s="1650" t="s">
        <v>3074</v>
      </c>
      <c r="B650" s="1649" t="s">
        <v>3980</v>
      </c>
      <c r="C650" s="1650" t="s">
        <v>115</v>
      </c>
      <c r="D650" s="1654" t="s">
        <v>115</v>
      </c>
      <c r="E650" s="1650" t="s">
        <v>115</v>
      </c>
      <c r="F650" s="1654" t="s">
        <v>115</v>
      </c>
      <c r="G650" s="1650" t="s">
        <v>115</v>
      </c>
      <c r="H650" s="1654">
        <v>1</v>
      </c>
      <c r="I650" s="1650" t="s">
        <v>1247</v>
      </c>
      <c r="J650" s="1654" t="s">
        <v>115</v>
      </c>
      <c r="K650" s="1655" t="s">
        <v>115</v>
      </c>
      <c r="L650" t="str">
        <f t="shared" si="30"/>
        <v/>
      </c>
      <c r="M650" t="str">
        <f t="shared" si="31"/>
        <v/>
      </c>
      <c r="N650" t="str">
        <f t="shared" si="32"/>
        <v>--</v>
      </c>
    </row>
    <row r="651" spans="1:14">
      <c r="A651" s="1650" t="s">
        <v>3125</v>
      </c>
      <c r="B651" s="1649" t="s">
        <v>3981</v>
      </c>
      <c r="C651" s="1650" t="s">
        <v>115</v>
      </c>
      <c r="D651" s="1654" t="s">
        <v>115</v>
      </c>
      <c r="E651" s="1650" t="s">
        <v>115</v>
      </c>
      <c r="F651" s="1654" t="s">
        <v>115</v>
      </c>
      <c r="G651" s="1650" t="s">
        <v>115</v>
      </c>
      <c r="H651" s="1654">
        <v>0.5</v>
      </c>
      <c r="I651" s="1650" t="s">
        <v>3603</v>
      </c>
      <c r="J651" s="1654" t="s">
        <v>115</v>
      </c>
      <c r="K651" s="1655" t="s">
        <v>115</v>
      </c>
      <c r="L651" t="str">
        <f t="shared" si="30"/>
        <v/>
      </c>
      <c r="M651" t="str">
        <f t="shared" si="31"/>
        <v/>
      </c>
      <c r="N651" t="str">
        <f t="shared" si="32"/>
        <v>--</v>
      </c>
    </row>
    <row r="652" spans="1:14">
      <c r="A652" s="1650" t="s">
        <v>3223</v>
      </c>
      <c r="B652" s="1649" t="s">
        <v>3224</v>
      </c>
      <c r="C652" s="1650" t="s">
        <v>115</v>
      </c>
      <c r="D652" s="1654">
        <v>0.15</v>
      </c>
      <c r="E652" s="1650" t="s">
        <v>1277</v>
      </c>
      <c r="F652" s="1654" t="s">
        <v>115</v>
      </c>
      <c r="G652" s="1650" t="s">
        <v>115</v>
      </c>
      <c r="H652" s="1654">
        <v>8.9999999999999993E-3</v>
      </c>
      <c r="I652" s="1650" t="s">
        <v>1277</v>
      </c>
      <c r="J652" s="1654" t="s">
        <v>115</v>
      </c>
      <c r="K652" s="1655" t="s">
        <v>115</v>
      </c>
      <c r="L652" t="str">
        <f t="shared" si="30"/>
        <v/>
      </c>
      <c r="M652" t="str">
        <f t="shared" si="31"/>
        <v/>
      </c>
      <c r="N652" t="str">
        <f t="shared" si="32"/>
        <v>--</v>
      </c>
    </row>
    <row r="653" spans="1:14">
      <c r="A653" s="1650" t="s">
        <v>3225</v>
      </c>
      <c r="B653" s="1649" t="s">
        <v>3226</v>
      </c>
      <c r="C653" s="1650" t="s">
        <v>115</v>
      </c>
      <c r="D653" s="1654" t="s">
        <v>115</v>
      </c>
      <c r="E653" s="1650" t="s">
        <v>115</v>
      </c>
      <c r="F653" s="1654" t="s">
        <v>115</v>
      </c>
      <c r="G653" s="1650" t="s">
        <v>115</v>
      </c>
      <c r="H653" s="1654">
        <v>6.0000000000000001E-3</v>
      </c>
      <c r="I653" s="1650" t="s">
        <v>3616</v>
      </c>
      <c r="J653" s="1654">
        <v>24</v>
      </c>
      <c r="K653" s="1655" t="s">
        <v>3789</v>
      </c>
      <c r="L653" t="str">
        <f t="shared" si="30"/>
        <v/>
      </c>
      <c r="M653" t="str">
        <f t="shared" si="31"/>
        <v>Route RfC</v>
      </c>
      <c r="N653" t="str">
        <f t="shared" si="32"/>
        <v>Route RfC</v>
      </c>
    </row>
    <row r="654" spans="1:14">
      <c r="A654" s="1650" t="s">
        <v>3227</v>
      </c>
      <c r="B654" s="1649" t="s">
        <v>3228</v>
      </c>
      <c r="C654" s="1650" t="s">
        <v>115</v>
      </c>
      <c r="D654" s="1654" t="s">
        <v>115</v>
      </c>
      <c r="E654" s="1650" t="s">
        <v>115</v>
      </c>
      <c r="F654" s="1654" t="s">
        <v>115</v>
      </c>
      <c r="G654" s="1650" t="s">
        <v>115</v>
      </c>
      <c r="H654" s="1654">
        <v>1.4999999999999999E-2</v>
      </c>
      <c r="I654" s="1650" t="s">
        <v>1277</v>
      </c>
      <c r="J654" s="1654" t="s">
        <v>115</v>
      </c>
      <c r="K654" s="1655" t="s">
        <v>115</v>
      </c>
      <c r="L654" t="str">
        <f t="shared" si="30"/>
        <v/>
      </c>
      <c r="M654" t="str">
        <f t="shared" si="31"/>
        <v/>
      </c>
      <c r="N654" t="str">
        <f t="shared" si="32"/>
        <v>--</v>
      </c>
    </row>
    <row r="655" spans="1:14">
      <c r="A655" s="1650" t="s">
        <v>3229</v>
      </c>
      <c r="B655" s="1649" t="s">
        <v>3230</v>
      </c>
      <c r="C655" s="1650" t="s">
        <v>115</v>
      </c>
      <c r="D655" s="1654" t="s">
        <v>115</v>
      </c>
      <c r="E655" s="1650" t="s">
        <v>115</v>
      </c>
      <c r="F655" s="1654" t="s">
        <v>115</v>
      </c>
      <c r="G655" s="1650" t="s">
        <v>115</v>
      </c>
      <c r="H655" s="1654">
        <v>0.04</v>
      </c>
      <c r="I655" s="1650" t="s">
        <v>3663</v>
      </c>
      <c r="J655" s="1654" t="s">
        <v>115</v>
      </c>
      <c r="K655" s="1655" t="s">
        <v>115</v>
      </c>
      <c r="L655" t="str">
        <f t="shared" si="30"/>
        <v/>
      </c>
      <c r="M655" t="str">
        <f t="shared" si="31"/>
        <v/>
      </c>
      <c r="N655" t="str">
        <f t="shared" si="32"/>
        <v>--</v>
      </c>
    </row>
    <row r="656" spans="1:14">
      <c r="A656" s="1650" t="s">
        <v>3233</v>
      </c>
      <c r="B656" s="1649" t="s">
        <v>3234</v>
      </c>
      <c r="C656" s="1650" t="s">
        <v>115</v>
      </c>
      <c r="D656" s="1654" t="s">
        <v>115</v>
      </c>
      <c r="E656" s="1650" t="s">
        <v>115</v>
      </c>
      <c r="F656" s="1654" t="s">
        <v>115</v>
      </c>
      <c r="G656" s="1650" t="s">
        <v>115</v>
      </c>
      <c r="H656" s="1654">
        <v>1.2999999999999999E-2</v>
      </c>
      <c r="I656" s="1650" t="s">
        <v>1277</v>
      </c>
      <c r="J656" s="1654" t="s">
        <v>115</v>
      </c>
      <c r="K656" s="1655" t="s">
        <v>115</v>
      </c>
      <c r="L656" t="str">
        <f t="shared" si="30"/>
        <v/>
      </c>
      <c r="M656" t="str">
        <f t="shared" si="31"/>
        <v/>
      </c>
      <c r="N656" t="str">
        <f t="shared" si="32"/>
        <v>--</v>
      </c>
    </row>
    <row r="657" spans="1:14">
      <c r="A657" s="1650" t="s">
        <v>3235</v>
      </c>
      <c r="B657" s="1649" t="s">
        <v>3236</v>
      </c>
      <c r="C657" s="1650" t="s">
        <v>115</v>
      </c>
      <c r="D657" s="1654" t="s">
        <v>115</v>
      </c>
      <c r="E657" s="1650" t="s">
        <v>115</v>
      </c>
      <c r="F657" s="1654" t="s">
        <v>115</v>
      </c>
      <c r="G657" s="1650" t="s">
        <v>115</v>
      </c>
      <c r="H657" s="1654">
        <v>5.0000000000000001E-3</v>
      </c>
      <c r="I657" s="1650" t="s">
        <v>1277</v>
      </c>
      <c r="J657" s="1654" t="s">
        <v>115</v>
      </c>
      <c r="K657" s="1655" t="s">
        <v>115</v>
      </c>
      <c r="L657" t="str">
        <f t="shared" si="30"/>
        <v/>
      </c>
      <c r="M657" t="str">
        <f t="shared" si="31"/>
        <v/>
      </c>
      <c r="N657" t="str">
        <f t="shared" si="32"/>
        <v>--</v>
      </c>
    </row>
    <row r="658" spans="1:14">
      <c r="A658" s="1650" t="s">
        <v>3237</v>
      </c>
      <c r="B658" s="1649" t="s">
        <v>3238</v>
      </c>
      <c r="C658" s="1650" t="s">
        <v>115</v>
      </c>
      <c r="D658" s="1654">
        <v>0.19</v>
      </c>
      <c r="E658" s="1650" t="s">
        <v>3663</v>
      </c>
      <c r="F658" s="1654" t="s">
        <v>115</v>
      </c>
      <c r="G658" s="1650" t="s">
        <v>115</v>
      </c>
      <c r="H658" s="1654">
        <v>0.04</v>
      </c>
      <c r="I658" s="1650" t="s">
        <v>3663</v>
      </c>
      <c r="J658" s="1654" t="s">
        <v>115</v>
      </c>
      <c r="K658" s="1655" t="s">
        <v>115</v>
      </c>
      <c r="L658" t="str">
        <f t="shared" si="30"/>
        <v/>
      </c>
      <c r="M658" t="str">
        <f t="shared" si="31"/>
        <v/>
      </c>
      <c r="N658" t="str">
        <f t="shared" si="32"/>
        <v>--</v>
      </c>
    </row>
    <row r="659" spans="1:14">
      <c r="A659" s="1650" t="s">
        <v>3239</v>
      </c>
      <c r="B659" s="1649" t="s">
        <v>3982</v>
      </c>
      <c r="C659" s="1650" t="s">
        <v>115</v>
      </c>
      <c r="D659" s="1654" t="s">
        <v>115</v>
      </c>
      <c r="E659" s="1650" t="s">
        <v>115</v>
      </c>
      <c r="F659" s="1654" t="s">
        <v>115</v>
      </c>
      <c r="G659" s="1650" t="s">
        <v>115</v>
      </c>
      <c r="H659" s="1654">
        <v>2E-3</v>
      </c>
      <c r="I659" s="1650" t="s">
        <v>1277</v>
      </c>
      <c r="J659" s="1654">
        <v>8</v>
      </c>
      <c r="K659" s="1655" t="s">
        <v>3598</v>
      </c>
      <c r="L659" t="str">
        <f t="shared" si="30"/>
        <v/>
      </c>
      <c r="M659" t="str">
        <f t="shared" si="31"/>
        <v>Route RfC</v>
      </c>
      <c r="N659" t="str">
        <f t="shared" si="32"/>
        <v>Route RfC</v>
      </c>
    </row>
    <row r="660" spans="1:14">
      <c r="A660" s="1650" t="s">
        <v>3241</v>
      </c>
      <c r="B660" s="1649" t="s">
        <v>3242</v>
      </c>
      <c r="C660" s="1650" t="s">
        <v>115</v>
      </c>
      <c r="D660" s="1654" t="s">
        <v>115</v>
      </c>
      <c r="E660" s="1650" t="s">
        <v>115</v>
      </c>
      <c r="F660" s="1654" t="s">
        <v>115</v>
      </c>
      <c r="G660" s="1650" t="s">
        <v>115</v>
      </c>
      <c r="H660" s="1654">
        <v>0.02</v>
      </c>
      <c r="I660" s="1650" t="s">
        <v>1277</v>
      </c>
      <c r="J660" s="1654" t="s">
        <v>115</v>
      </c>
      <c r="K660" s="1655" t="s">
        <v>115</v>
      </c>
      <c r="L660" t="str">
        <f t="shared" si="30"/>
        <v/>
      </c>
      <c r="M660" t="str">
        <f t="shared" si="31"/>
        <v/>
      </c>
      <c r="N660" t="str">
        <f t="shared" si="32"/>
        <v>--</v>
      </c>
    </row>
    <row r="661" spans="1:14">
      <c r="A661" s="1650" t="s">
        <v>3243</v>
      </c>
      <c r="B661" s="1649" t="s">
        <v>3244</v>
      </c>
      <c r="C661" s="1650" t="s">
        <v>115</v>
      </c>
      <c r="D661" s="1654" t="s">
        <v>115</v>
      </c>
      <c r="E661" s="1650" t="s">
        <v>115</v>
      </c>
      <c r="F661" s="1654" t="s">
        <v>115</v>
      </c>
      <c r="G661" s="1650" t="s">
        <v>115</v>
      </c>
      <c r="H661" s="1654">
        <v>0.02</v>
      </c>
      <c r="I661" s="1650" t="s">
        <v>1277</v>
      </c>
      <c r="J661" s="1654" t="s">
        <v>115</v>
      </c>
      <c r="K661" s="1655" t="s">
        <v>115</v>
      </c>
      <c r="L661" t="str">
        <f t="shared" si="30"/>
        <v/>
      </c>
      <c r="M661" t="str">
        <f t="shared" si="31"/>
        <v/>
      </c>
      <c r="N661" t="str">
        <f t="shared" si="32"/>
        <v>--</v>
      </c>
    </row>
    <row r="662" spans="1:14">
      <c r="A662" s="1650" t="s">
        <v>3245</v>
      </c>
      <c r="B662" s="1649" t="s">
        <v>3246</v>
      </c>
      <c r="C662" s="1650" t="s">
        <v>115</v>
      </c>
      <c r="D662" s="1654" t="s">
        <v>115</v>
      </c>
      <c r="E662" s="1650" t="s">
        <v>115</v>
      </c>
      <c r="F662" s="1654" t="s">
        <v>115</v>
      </c>
      <c r="G662" s="1650" t="s">
        <v>115</v>
      </c>
      <c r="H662" s="1654">
        <v>0.1</v>
      </c>
      <c r="I662" s="1650" t="s">
        <v>3663</v>
      </c>
      <c r="J662" s="1654" t="s">
        <v>115</v>
      </c>
      <c r="K662" s="1655" t="s">
        <v>115</v>
      </c>
      <c r="L662" t="str">
        <f t="shared" si="30"/>
        <v/>
      </c>
      <c r="M662" t="str">
        <f t="shared" si="31"/>
        <v/>
      </c>
      <c r="N662" t="str">
        <f t="shared" si="32"/>
        <v>--</v>
      </c>
    </row>
    <row r="663" spans="1:14">
      <c r="A663" s="1650" t="s">
        <v>3247</v>
      </c>
      <c r="B663" s="1649" t="s">
        <v>3983</v>
      </c>
      <c r="C663" s="1650" t="s">
        <v>115</v>
      </c>
      <c r="D663" s="1654" t="s">
        <v>115</v>
      </c>
      <c r="E663" s="1650" t="s">
        <v>115</v>
      </c>
      <c r="F663" s="1654" t="s">
        <v>115</v>
      </c>
      <c r="G663" s="1650" t="s">
        <v>115</v>
      </c>
      <c r="H663" s="1654" t="s">
        <v>115</v>
      </c>
      <c r="I663" s="1650" t="s">
        <v>115</v>
      </c>
      <c r="J663" s="1654">
        <v>8</v>
      </c>
      <c r="K663" s="1655" t="s">
        <v>1277</v>
      </c>
      <c r="L663" t="str">
        <f t="shared" si="30"/>
        <v/>
      </c>
      <c r="M663" t="str">
        <f t="shared" si="31"/>
        <v/>
      </c>
      <c r="N663" t="str">
        <f t="shared" si="32"/>
        <v>--</v>
      </c>
    </row>
    <row r="664" spans="1:14">
      <c r="A664" s="1650" t="s">
        <v>3251</v>
      </c>
      <c r="B664" s="1649" t="s">
        <v>3252</v>
      </c>
      <c r="C664" s="1650" t="s">
        <v>115</v>
      </c>
      <c r="D664" s="1654" t="s">
        <v>115</v>
      </c>
      <c r="E664" s="1650" t="s">
        <v>115</v>
      </c>
      <c r="F664" s="1654" t="s">
        <v>115</v>
      </c>
      <c r="G664" s="1650" t="s">
        <v>115</v>
      </c>
      <c r="H664" s="1654" t="s">
        <v>115</v>
      </c>
      <c r="I664" s="1650" t="s">
        <v>115</v>
      </c>
      <c r="J664" s="1654">
        <v>3000</v>
      </c>
      <c r="K664" s="1655" t="s">
        <v>1234</v>
      </c>
      <c r="L664" t="str">
        <f t="shared" si="30"/>
        <v/>
      </c>
      <c r="M664" t="str">
        <f t="shared" si="31"/>
        <v/>
      </c>
      <c r="N664" t="str">
        <f t="shared" si="32"/>
        <v>--</v>
      </c>
    </row>
    <row r="665" spans="1:14">
      <c r="A665" s="1650" t="s">
        <v>3253</v>
      </c>
      <c r="B665" s="1649" t="s">
        <v>3984</v>
      </c>
      <c r="C665" s="1650" t="s">
        <v>115</v>
      </c>
      <c r="D665" s="1654" t="s">
        <v>115</v>
      </c>
      <c r="E665" s="1650" t="s">
        <v>115</v>
      </c>
      <c r="F665" s="1654" t="s">
        <v>115</v>
      </c>
      <c r="G665" s="1650" t="s">
        <v>115</v>
      </c>
      <c r="H665" s="1654">
        <v>20</v>
      </c>
      <c r="I665" s="1650" t="s">
        <v>1247</v>
      </c>
      <c r="J665" s="1654" t="s">
        <v>115</v>
      </c>
      <c r="K665" s="1655" t="s">
        <v>115</v>
      </c>
      <c r="L665" t="str">
        <f t="shared" si="30"/>
        <v/>
      </c>
      <c r="M665" t="str">
        <f t="shared" si="31"/>
        <v/>
      </c>
      <c r="N665" t="str">
        <f t="shared" si="32"/>
        <v>--</v>
      </c>
    </row>
    <row r="666" spans="1:14">
      <c r="A666" s="1650" t="s">
        <v>3255</v>
      </c>
      <c r="B666" s="1649" t="s">
        <v>3985</v>
      </c>
      <c r="C666" s="1650" t="s">
        <v>115</v>
      </c>
      <c r="D666" s="1654" t="s">
        <v>115</v>
      </c>
      <c r="E666" s="1650" t="s">
        <v>115</v>
      </c>
      <c r="F666" s="1654" t="s">
        <v>115</v>
      </c>
      <c r="G666" s="1650" t="s">
        <v>115</v>
      </c>
      <c r="H666" s="1654" t="s">
        <v>115</v>
      </c>
      <c r="I666" s="1650" t="s">
        <v>115</v>
      </c>
      <c r="J666" s="1654">
        <v>0.27</v>
      </c>
      <c r="K666" s="1655" t="s">
        <v>1280</v>
      </c>
      <c r="L666" t="str">
        <f t="shared" si="30"/>
        <v/>
      </c>
      <c r="M666" t="str">
        <f t="shared" si="31"/>
        <v/>
      </c>
      <c r="N666" t="str">
        <f t="shared" si="32"/>
        <v>--</v>
      </c>
    </row>
    <row r="667" spans="1:14">
      <c r="A667" s="1650" t="s">
        <v>3259</v>
      </c>
      <c r="B667" s="1649" t="s">
        <v>3986</v>
      </c>
      <c r="C667" s="1650" t="s">
        <v>115</v>
      </c>
      <c r="D667" s="1654">
        <v>0.24</v>
      </c>
      <c r="E667" s="1650" t="s">
        <v>1277</v>
      </c>
      <c r="F667" s="1654">
        <v>3.7000000000000002E-6</v>
      </c>
      <c r="G667" s="1650" t="s">
        <v>1277</v>
      </c>
      <c r="H667" s="1654" t="s">
        <v>115</v>
      </c>
      <c r="I667" s="1650" t="s">
        <v>115</v>
      </c>
      <c r="J667" s="1654">
        <v>30</v>
      </c>
      <c r="K667" s="1655" t="s">
        <v>1277</v>
      </c>
      <c r="L667" t="str">
        <f t="shared" si="30"/>
        <v/>
      </c>
      <c r="M667" t="str">
        <f t="shared" si="31"/>
        <v/>
      </c>
      <c r="N667" t="str">
        <f t="shared" si="32"/>
        <v>--</v>
      </c>
    </row>
    <row r="668" spans="1:14">
      <c r="A668" s="1650" t="s">
        <v>3231</v>
      </c>
      <c r="B668" s="1649" t="s">
        <v>3987</v>
      </c>
      <c r="C668" s="1650" t="s">
        <v>115</v>
      </c>
      <c r="D668" s="1654" t="s">
        <v>115</v>
      </c>
      <c r="E668" s="1650" t="s">
        <v>115</v>
      </c>
      <c r="F668" s="1654" t="s">
        <v>115</v>
      </c>
      <c r="G668" s="1650" t="s">
        <v>115</v>
      </c>
      <c r="H668" s="1654">
        <v>7.4999999999999997E-2</v>
      </c>
      <c r="I668" s="1650" t="s">
        <v>1277</v>
      </c>
      <c r="J668" s="1654" t="s">
        <v>115</v>
      </c>
      <c r="K668" s="1655" t="s">
        <v>115</v>
      </c>
      <c r="L668" t="str">
        <f t="shared" si="30"/>
        <v/>
      </c>
      <c r="M668" t="str">
        <f t="shared" si="31"/>
        <v/>
      </c>
      <c r="N668" t="str">
        <f t="shared" si="32"/>
        <v>--</v>
      </c>
    </row>
    <row r="669" spans="1:14">
      <c r="A669" s="1650" t="s">
        <v>3405</v>
      </c>
      <c r="B669" s="1649" t="s">
        <v>3988</v>
      </c>
      <c r="C669" s="1650" t="s">
        <v>115</v>
      </c>
      <c r="D669" s="1654" t="s">
        <v>115</v>
      </c>
      <c r="E669" s="1650" t="s">
        <v>115</v>
      </c>
      <c r="F669" s="1654" t="s">
        <v>115</v>
      </c>
      <c r="G669" s="1650" t="s">
        <v>115</v>
      </c>
      <c r="H669" s="1654">
        <v>5.0000000000000001E-3</v>
      </c>
      <c r="I669" s="1650" t="s">
        <v>1247</v>
      </c>
      <c r="J669" s="1654" t="s">
        <v>115</v>
      </c>
      <c r="K669" s="1655" t="s">
        <v>115</v>
      </c>
      <c r="L669" t="str">
        <f t="shared" si="30"/>
        <v/>
      </c>
      <c r="M669" t="str">
        <f t="shared" si="31"/>
        <v/>
      </c>
      <c r="N669" t="str">
        <f t="shared" si="32"/>
        <v>--</v>
      </c>
    </row>
    <row r="670" spans="1:14">
      <c r="A670" s="1650" t="s">
        <v>3409</v>
      </c>
      <c r="B670" s="1649" t="s">
        <v>3989</v>
      </c>
      <c r="C670" s="1650" t="s">
        <v>115</v>
      </c>
      <c r="D670" s="1654">
        <v>0.03</v>
      </c>
      <c r="E670" s="1650" t="s">
        <v>1247</v>
      </c>
      <c r="F670" s="1654" t="s">
        <v>115</v>
      </c>
      <c r="G670" s="1650" t="s">
        <v>115</v>
      </c>
      <c r="H670" s="1654">
        <v>4.0000000000000001E-3</v>
      </c>
      <c r="I670" s="1650" t="s">
        <v>3603</v>
      </c>
      <c r="J670" s="1654" t="s">
        <v>115</v>
      </c>
      <c r="K670" s="1655" t="s">
        <v>115</v>
      </c>
      <c r="L670" t="str">
        <f t="shared" si="30"/>
        <v/>
      </c>
      <c r="M670" t="str">
        <f t="shared" si="31"/>
        <v/>
      </c>
      <c r="N670" t="str">
        <f t="shared" si="32"/>
        <v>--</v>
      </c>
    </row>
    <row r="671" spans="1:14">
      <c r="A671" s="1650" t="s">
        <v>3541</v>
      </c>
      <c r="B671" s="1649" t="s">
        <v>3990</v>
      </c>
      <c r="C671" s="1650" t="s">
        <v>115</v>
      </c>
      <c r="D671" s="1654" t="s">
        <v>115</v>
      </c>
      <c r="E671" s="1650" t="s">
        <v>115</v>
      </c>
      <c r="F671" s="1654" t="s">
        <v>115</v>
      </c>
      <c r="G671" s="1650" t="s">
        <v>115</v>
      </c>
      <c r="H671" s="1654">
        <v>0.2</v>
      </c>
      <c r="I671" s="1650" t="s">
        <v>3906</v>
      </c>
      <c r="J671" s="1654">
        <v>100</v>
      </c>
      <c r="K671" s="1655" t="s">
        <v>3906</v>
      </c>
      <c r="L671" t="str">
        <f t="shared" si="30"/>
        <v/>
      </c>
      <c r="M671" t="str">
        <f t="shared" si="31"/>
        <v/>
      </c>
      <c r="N671" t="str">
        <f t="shared" si="32"/>
        <v>--</v>
      </c>
    </row>
    <row r="672" spans="1:14">
      <c r="A672" s="1650" t="s">
        <v>258</v>
      </c>
      <c r="B672" s="1649" t="s">
        <v>3991</v>
      </c>
      <c r="C672" s="1650" t="s">
        <v>115</v>
      </c>
      <c r="D672" s="1654" t="s">
        <v>115</v>
      </c>
      <c r="E672" s="1650" t="s">
        <v>115</v>
      </c>
      <c r="F672" s="1654" t="s">
        <v>115</v>
      </c>
      <c r="G672" s="1650" t="s">
        <v>115</v>
      </c>
      <c r="H672" s="1654">
        <v>0.03</v>
      </c>
      <c r="I672" s="1650" t="s">
        <v>1277</v>
      </c>
      <c r="J672" s="1654">
        <v>120</v>
      </c>
      <c r="K672" s="1655" t="s">
        <v>3598</v>
      </c>
      <c r="L672" t="str">
        <f t="shared" si="30"/>
        <v/>
      </c>
      <c r="M672" t="str">
        <f t="shared" si="31"/>
        <v>Route RfC</v>
      </c>
      <c r="N672" t="str">
        <f t="shared" si="32"/>
        <v>Route RfC</v>
      </c>
    </row>
    <row r="673" spans="1:14">
      <c r="A673" s="1650" t="s">
        <v>3261</v>
      </c>
      <c r="B673" s="1649" t="s">
        <v>3262</v>
      </c>
      <c r="C673" s="1650" t="s">
        <v>115</v>
      </c>
      <c r="D673" s="1654" t="s">
        <v>115</v>
      </c>
      <c r="E673" s="1650" t="s">
        <v>115</v>
      </c>
      <c r="F673" s="1654" t="s">
        <v>115</v>
      </c>
      <c r="G673" s="1650" t="s">
        <v>115</v>
      </c>
      <c r="H673" s="1654">
        <v>1E-3</v>
      </c>
      <c r="I673" s="1650" t="s">
        <v>1277</v>
      </c>
      <c r="J673" s="1654">
        <v>4</v>
      </c>
      <c r="K673" s="1655" t="s">
        <v>3598</v>
      </c>
      <c r="L673" t="str">
        <f t="shared" si="30"/>
        <v/>
      </c>
      <c r="M673" t="str">
        <f t="shared" si="31"/>
        <v>Route RfC</v>
      </c>
      <c r="N673" t="str">
        <f t="shared" si="32"/>
        <v>Route RfC</v>
      </c>
    </row>
    <row r="674" spans="1:14">
      <c r="A674" s="1650" t="s">
        <v>3263</v>
      </c>
      <c r="B674" s="1649" t="s">
        <v>3264</v>
      </c>
      <c r="C674" s="1650" t="s">
        <v>115</v>
      </c>
      <c r="D674" s="1654" t="s">
        <v>115</v>
      </c>
      <c r="E674" s="1650" t="s">
        <v>115</v>
      </c>
      <c r="F674" s="1654" t="s">
        <v>115</v>
      </c>
      <c r="G674" s="1650" t="s">
        <v>115</v>
      </c>
      <c r="H674" s="1654">
        <v>5.0000000000000001E-4</v>
      </c>
      <c r="I674" s="1650" t="s">
        <v>1277</v>
      </c>
      <c r="J674" s="1654" t="s">
        <v>115</v>
      </c>
      <c r="K674" s="1655" t="s">
        <v>115</v>
      </c>
      <c r="L674" t="str">
        <f t="shared" si="30"/>
        <v/>
      </c>
      <c r="M674" t="str">
        <f t="shared" si="31"/>
        <v/>
      </c>
      <c r="N674" t="str">
        <f t="shared" si="32"/>
        <v>--</v>
      </c>
    </row>
    <row r="675" spans="1:14">
      <c r="A675" s="1650" t="s">
        <v>3265</v>
      </c>
      <c r="B675" s="1649" t="s">
        <v>3266</v>
      </c>
      <c r="C675" s="1650" t="s">
        <v>115</v>
      </c>
      <c r="D675" s="1654">
        <v>3</v>
      </c>
      <c r="E675" s="1650" t="s">
        <v>1277</v>
      </c>
      <c r="F675" s="1654" t="s">
        <v>115</v>
      </c>
      <c r="G675" s="1650" t="s">
        <v>115</v>
      </c>
      <c r="H675" s="1654" t="s">
        <v>115</v>
      </c>
      <c r="I675" s="1650" t="s">
        <v>115</v>
      </c>
      <c r="J675" s="1654" t="s">
        <v>115</v>
      </c>
      <c r="K675" s="1655" t="s">
        <v>115</v>
      </c>
      <c r="L675" t="str">
        <f t="shared" si="30"/>
        <v/>
      </c>
      <c r="M675" t="str">
        <f t="shared" si="31"/>
        <v/>
      </c>
      <c r="N675" t="str">
        <f t="shared" si="32"/>
        <v>--</v>
      </c>
    </row>
    <row r="676" spans="1:14">
      <c r="A676" s="1650" t="s">
        <v>3267</v>
      </c>
      <c r="B676" s="1649" t="s">
        <v>3268</v>
      </c>
      <c r="C676" s="1650" t="s">
        <v>115</v>
      </c>
      <c r="D676" s="1654" t="s">
        <v>115</v>
      </c>
      <c r="E676" s="1650" t="s">
        <v>115</v>
      </c>
      <c r="F676" s="1654" t="s">
        <v>115</v>
      </c>
      <c r="G676" s="1650" t="s">
        <v>115</v>
      </c>
      <c r="H676" s="1654">
        <v>8.9999999999999993E-3</v>
      </c>
      <c r="I676" s="1650" t="s">
        <v>1277</v>
      </c>
      <c r="J676" s="1654" t="s">
        <v>115</v>
      </c>
      <c r="K676" s="1655" t="s">
        <v>115</v>
      </c>
      <c r="L676" t="str">
        <f t="shared" si="30"/>
        <v/>
      </c>
      <c r="M676" t="str">
        <f t="shared" si="31"/>
        <v/>
      </c>
      <c r="N676" t="str">
        <f t="shared" si="32"/>
        <v>--</v>
      </c>
    </row>
    <row r="677" spans="1:14">
      <c r="A677" s="1650" t="s">
        <v>2575</v>
      </c>
      <c r="B677" s="1649" t="s">
        <v>3992</v>
      </c>
      <c r="C677" s="1650" t="s">
        <v>115</v>
      </c>
      <c r="D677" s="1654">
        <v>0.08</v>
      </c>
      <c r="E677" s="1650" t="s">
        <v>1277</v>
      </c>
      <c r="F677" s="1654" t="s">
        <v>115</v>
      </c>
      <c r="G677" s="1650" t="s">
        <v>115</v>
      </c>
      <c r="H677" s="1654">
        <v>4.0000000000000001E-3</v>
      </c>
      <c r="I677" s="1650" t="s">
        <v>1277</v>
      </c>
      <c r="J677" s="1654" t="s">
        <v>115</v>
      </c>
      <c r="K677" s="1655" t="s">
        <v>115</v>
      </c>
      <c r="L677" t="str">
        <f t="shared" si="30"/>
        <v/>
      </c>
      <c r="M677" t="str">
        <f t="shared" si="31"/>
        <v/>
      </c>
      <c r="N677" t="str">
        <f t="shared" si="32"/>
        <v>--</v>
      </c>
    </row>
    <row r="678" spans="1:14" ht="25.5">
      <c r="A678" s="1650" t="s">
        <v>3269</v>
      </c>
      <c r="B678" s="1649" t="s">
        <v>3993</v>
      </c>
      <c r="C678" s="1650" t="s">
        <v>115</v>
      </c>
      <c r="D678" s="1654" t="s">
        <v>115</v>
      </c>
      <c r="E678" s="1650" t="s">
        <v>115</v>
      </c>
      <c r="F678" s="1654" t="s">
        <v>115</v>
      </c>
      <c r="G678" s="1650" t="s">
        <v>115</v>
      </c>
      <c r="H678" s="1654" t="s">
        <v>115</v>
      </c>
      <c r="I678" s="1650" t="s">
        <v>115</v>
      </c>
      <c r="J678" s="1654">
        <v>30000</v>
      </c>
      <c r="K678" s="1655" t="s">
        <v>3994</v>
      </c>
      <c r="L678" t="str">
        <f t="shared" si="30"/>
        <v/>
      </c>
      <c r="M678" t="str">
        <f t="shared" si="31"/>
        <v/>
      </c>
      <c r="N678" t="str">
        <f t="shared" si="32"/>
        <v>--</v>
      </c>
    </row>
    <row r="679" spans="1:14">
      <c r="A679" s="1650" t="s">
        <v>3271</v>
      </c>
      <c r="B679" s="1649" t="s">
        <v>3272</v>
      </c>
      <c r="C679" s="1650" t="s">
        <v>115</v>
      </c>
      <c r="D679" s="1654" t="s">
        <v>115</v>
      </c>
      <c r="E679" s="1650" t="s">
        <v>115</v>
      </c>
      <c r="F679" s="1654" t="s">
        <v>115</v>
      </c>
      <c r="G679" s="1650" t="s">
        <v>115</v>
      </c>
      <c r="H679" s="1654">
        <v>0.03</v>
      </c>
      <c r="I679" s="1650" t="s">
        <v>1277</v>
      </c>
      <c r="J679" s="1654" t="s">
        <v>115</v>
      </c>
      <c r="K679" s="1655" t="s">
        <v>115</v>
      </c>
      <c r="L679" t="str">
        <f t="shared" si="30"/>
        <v/>
      </c>
      <c r="M679" t="str">
        <f t="shared" si="31"/>
        <v/>
      </c>
      <c r="N679" t="str">
        <f t="shared" si="32"/>
        <v>--</v>
      </c>
    </row>
    <row r="680" spans="1:14">
      <c r="A680" s="1650" t="s">
        <v>3273</v>
      </c>
      <c r="B680" s="1649" t="s">
        <v>3274</v>
      </c>
      <c r="C680" s="1650" t="s">
        <v>115</v>
      </c>
      <c r="D680" s="1654" t="s">
        <v>115</v>
      </c>
      <c r="E680" s="1650" t="s">
        <v>115</v>
      </c>
      <c r="F680" s="1654" t="s">
        <v>115</v>
      </c>
      <c r="G680" s="1650" t="s">
        <v>115</v>
      </c>
      <c r="H680" s="1654">
        <v>0.05</v>
      </c>
      <c r="I680" s="1650" t="s">
        <v>3616</v>
      </c>
      <c r="J680" s="1654">
        <v>200</v>
      </c>
      <c r="K680" s="1655" t="s">
        <v>3789</v>
      </c>
      <c r="L680" t="str">
        <f t="shared" si="30"/>
        <v/>
      </c>
      <c r="M680" t="str">
        <f t="shared" si="31"/>
        <v>Route RfC</v>
      </c>
      <c r="N680" t="str">
        <f t="shared" si="32"/>
        <v>Route RfC</v>
      </c>
    </row>
    <row r="681" spans="1:14">
      <c r="A681" s="1650" t="s">
        <v>3275</v>
      </c>
      <c r="B681" s="1649" t="s">
        <v>3276</v>
      </c>
      <c r="C681" s="1650" t="s">
        <v>115</v>
      </c>
      <c r="D681" s="1654" t="s">
        <v>115</v>
      </c>
      <c r="E681" s="1650" t="s">
        <v>115</v>
      </c>
      <c r="F681" s="1654" t="s">
        <v>115</v>
      </c>
      <c r="G681" s="1650" t="s">
        <v>115</v>
      </c>
      <c r="H681" s="1654">
        <v>4.0000000000000001E-3</v>
      </c>
      <c r="I681" s="1650" t="s">
        <v>1277</v>
      </c>
      <c r="J681" s="1654" t="s">
        <v>115</v>
      </c>
      <c r="K681" s="1655" t="s">
        <v>115</v>
      </c>
      <c r="L681" t="str">
        <f t="shared" si="30"/>
        <v/>
      </c>
      <c r="M681" t="str">
        <f t="shared" si="31"/>
        <v/>
      </c>
      <c r="N681" t="str">
        <f t="shared" si="32"/>
        <v>--</v>
      </c>
    </row>
    <row r="682" spans="1:14">
      <c r="A682" s="1650" t="s">
        <v>3277</v>
      </c>
      <c r="B682" s="1649" t="s">
        <v>3278</v>
      </c>
      <c r="C682" s="1650" t="s">
        <v>1906</v>
      </c>
      <c r="D682" s="1654">
        <v>0.22</v>
      </c>
      <c r="E682" s="1650" t="s">
        <v>1234</v>
      </c>
      <c r="F682" s="1654">
        <v>6.3E-5</v>
      </c>
      <c r="G682" s="1650" t="s">
        <v>1234</v>
      </c>
      <c r="H682" s="1654" t="s">
        <v>115</v>
      </c>
      <c r="I682" s="1650" t="s">
        <v>115</v>
      </c>
      <c r="J682" s="1654" t="s">
        <v>115</v>
      </c>
      <c r="K682" s="1655" t="s">
        <v>115</v>
      </c>
      <c r="L682" t="str">
        <f t="shared" si="30"/>
        <v/>
      </c>
      <c r="M682" t="str">
        <f t="shared" si="31"/>
        <v/>
      </c>
      <c r="N682" t="str">
        <f t="shared" si="32"/>
        <v>--</v>
      </c>
    </row>
    <row r="683" spans="1:14">
      <c r="A683" s="1650" t="s">
        <v>2062</v>
      </c>
      <c r="B683" s="1649" t="s">
        <v>3995</v>
      </c>
      <c r="C683" s="1650" t="s">
        <v>115</v>
      </c>
      <c r="D683" s="1654" t="s">
        <v>115</v>
      </c>
      <c r="E683" s="1650" t="s">
        <v>115</v>
      </c>
      <c r="F683" s="1654" t="s">
        <v>115</v>
      </c>
      <c r="G683" s="1650" t="s">
        <v>115</v>
      </c>
      <c r="H683" s="1654">
        <v>2</v>
      </c>
      <c r="I683" s="1650" t="s">
        <v>1247</v>
      </c>
      <c r="J683" s="1654">
        <v>30000</v>
      </c>
      <c r="K683" s="1655" t="s">
        <v>1247</v>
      </c>
      <c r="L683" t="str">
        <f t="shared" si="30"/>
        <v/>
      </c>
      <c r="M683" t="str">
        <f t="shared" si="31"/>
        <v/>
      </c>
      <c r="N683" t="str">
        <f t="shared" si="32"/>
        <v>--</v>
      </c>
    </row>
    <row r="684" spans="1:14">
      <c r="A684" s="1650" t="s">
        <v>2072</v>
      </c>
      <c r="B684" s="1649" t="s">
        <v>3996</v>
      </c>
      <c r="C684" s="1650" t="s">
        <v>115</v>
      </c>
      <c r="D684" s="1654" t="s">
        <v>115</v>
      </c>
      <c r="E684" s="1650" t="s">
        <v>115</v>
      </c>
      <c r="F684" s="1654" t="s">
        <v>115</v>
      </c>
      <c r="G684" s="1650" t="s">
        <v>115</v>
      </c>
      <c r="H684" s="1654">
        <v>0.1</v>
      </c>
      <c r="I684" s="1650" t="s">
        <v>3603</v>
      </c>
      <c r="J684" s="1654">
        <v>400</v>
      </c>
      <c r="K684" s="1655" t="s">
        <v>3609</v>
      </c>
      <c r="L684" t="str">
        <f t="shared" si="30"/>
        <v/>
      </c>
      <c r="M684" t="str">
        <f t="shared" si="31"/>
        <v>Route RfC</v>
      </c>
      <c r="N684" t="str">
        <f t="shared" si="32"/>
        <v>Route RfC</v>
      </c>
    </row>
    <row r="685" spans="1:14">
      <c r="A685" s="1650" t="s">
        <v>3279</v>
      </c>
      <c r="B685" s="1649" t="s">
        <v>3997</v>
      </c>
      <c r="C685" s="1650" t="s">
        <v>115</v>
      </c>
      <c r="D685" s="1654" t="s">
        <v>115</v>
      </c>
      <c r="E685" s="1650" t="s">
        <v>115</v>
      </c>
      <c r="F685" s="1654" t="s">
        <v>115</v>
      </c>
      <c r="G685" s="1650" t="s">
        <v>115</v>
      </c>
      <c r="H685" s="1654">
        <v>5.0000000000000001E-3</v>
      </c>
      <c r="I685" s="1650" t="s">
        <v>1277</v>
      </c>
      <c r="J685" s="1654" t="s">
        <v>115</v>
      </c>
      <c r="K685" s="1655" t="s">
        <v>115</v>
      </c>
      <c r="L685" t="str">
        <f t="shared" si="30"/>
        <v/>
      </c>
      <c r="M685" t="str">
        <f t="shared" si="31"/>
        <v/>
      </c>
      <c r="N685" t="str">
        <f t="shared" si="32"/>
        <v>--</v>
      </c>
    </row>
    <row r="686" spans="1:14">
      <c r="A686" s="1650" t="s">
        <v>306</v>
      </c>
      <c r="B686" s="1649" t="s">
        <v>305</v>
      </c>
      <c r="C686" s="1650" t="s">
        <v>115</v>
      </c>
      <c r="D686" s="1654" t="s">
        <v>115</v>
      </c>
      <c r="E686" s="1650" t="s">
        <v>115</v>
      </c>
      <c r="F686" s="1654" t="s">
        <v>115</v>
      </c>
      <c r="G686" s="1650" t="s">
        <v>115</v>
      </c>
      <c r="H686" s="1654">
        <v>5.0000000000000001E-3</v>
      </c>
      <c r="I686" s="1650" t="s">
        <v>1277</v>
      </c>
      <c r="J686" s="1654">
        <v>20</v>
      </c>
      <c r="K686" s="1655" t="s">
        <v>1234</v>
      </c>
      <c r="L686" t="str">
        <f t="shared" si="30"/>
        <v/>
      </c>
      <c r="M686" t="str">
        <f t="shared" si="31"/>
        <v/>
      </c>
      <c r="N686" t="str">
        <f t="shared" si="32"/>
        <v>--</v>
      </c>
    </row>
    <row r="687" spans="1:14">
      <c r="A687" s="1650" t="s">
        <v>3281</v>
      </c>
      <c r="B687" s="1649" t="s">
        <v>3998</v>
      </c>
      <c r="C687" s="1650" t="s">
        <v>115</v>
      </c>
      <c r="D687" s="1654" t="s">
        <v>115</v>
      </c>
      <c r="E687" s="1650" t="s">
        <v>115</v>
      </c>
      <c r="F687" s="1654" t="s">
        <v>115</v>
      </c>
      <c r="G687" s="1650" t="s">
        <v>115</v>
      </c>
      <c r="H687" s="1654">
        <v>5.0000000000000001E-3</v>
      </c>
      <c r="I687" s="1650" t="s">
        <v>1234</v>
      </c>
      <c r="J687" s="1654">
        <v>20</v>
      </c>
      <c r="K687" s="1655" t="s">
        <v>1234</v>
      </c>
      <c r="L687" t="str">
        <f t="shared" si="30"/>
        <v/>
      </c>
      <c r="M687" t="str">
        <f t="shared" si="31"/>
        <v/>
      </c>
      <c r="N687" t="str">
        <f t="shared" si="32"/>
        <v>--</v>
      </c>
    </row>
    <row r="688" spans="1:14">
      <c r="A688" s="1650" t="s">
        <v>3283</v>
      </c>
      <c r="B688" s="1649" t="s">
        <v>3284</v>
      </c>
      <c r="C688" s="1650" t="s">
        <v>115</v>
      </c>
      <c r="D688" s="1654" t="s">
        <v>115</v>
      </c>
      <c r="E688" s="1650" t="s">
        <v>115</v>
      </c>
      <c r="F688" s="1654" t="s">
        <v>115</v>
      </c>
      <c r="G688" s="1650" t="s">
        <v>115</v>
      </c>
      <c r="H688" s="1654">
        <v>0.14000000000000001</v>
      </c>
      <c r="I688" s="1650" t="s">
        <v>3663</v>
      </c>
      <c r="J688" s="1654" t="s">
        <v>115</v>
      </c>
      <c r="K688" s="1655" t="s">
        <v>115</v>
      </c>
      <c r="L688" t="str">
        <f t="shared" si="30"/>
        <v/>
      </c>
      <c r="M688" t="str">
        <f t="shared" si="31"/>
        <v/>
      </c>
      <c r="N688" t="str">
        <f t="shared" si="32"/>
        <v>--</v>
      </c>
    </row>
    <row r="689" spans="1:14">
      <c r="A689" s="1650" t="s">
        <v>2438</v>
      </c>
      <c r="B689" s="1649" t="s">
        <v>3999</v>
      </c>
      <c r="C689" s="1650" t="s">
        <v>115</v>
      </c>
      <c r="D689" s="1654" t="s">
        <v>115</v>
      </c>
      <c r="E689" s="1650" t="s">
        <v>115</v>
      </c>
      <c r="F689" s="1654" t="s">
        <v>115</v>
      </c>
      <c r="G689" s="1650" t="s">
        <v>115</v>
      </c>
      <c r="H689" s="1654">
        <v>0.05</v>
      </c>
      <c r="I689" s="1650" t="s">
        <v>3663</v>
      </c>
      <c r="J689" s="1654">
        <v>200</v>
      </c>
      <c r="K689" s="1655" t="s">
        <v>3766</v>
      </c>
      <c r="L689" t="str">
        <f t="shared" si="30"/>
        <v/>
      </c>
      <c r="M689" t="str">
        <f t="shared" si="31"/>
        <v>Route RfC</v>
      </c>
      <c r="N689" t="str">
        <f t="shared" si="32"/>
        <v>Route RfC</v>
      </c>
    </row>
    <row r="690" spans="1:14" ht="38.25">
      <c r="A690" s="1650" t="s">
        <v>3285</v>
      </c>
      <c r="B690" s="1649" t="s">
        <v>4000</v>
      </c>
      <c r="C690" s="1650" t="s">
        <v>115</v>
      </c>
      <c r="D690" s="1654" t="s">
        <v>115</v>
      </c>
      <c r="E690" s="1650" t="s">
        <v>115</v>
      </c>
      <c r="F690" s="1654" t="s">
        <v>115</v>
      </c>
      <c r="G690" s="1650" t="s">
        <v>115</v>
      </c>
      <c r="H690" s="1654" t="s">
        <v>115</v>
      </c>
      <c r="I690" s="1650" t="s">
        <v>115</v>
      </c>
      <c r="J690" s="1654">
        <v>3</v>
      </c>
      <c r="K690" s="1655" t="s">
        <v>4001</v>
      </c>
      <c r="L690" t="str">
        <f t="shared" si="30"/>
        <v/>
      </c>
      <c r="M690" t="str">
        <f t="shared" si="31"/>
        <v/>
      </c>
      <c r="N690" t="str">
        <f t="shared" si="32"/>
        <v>--</v>
      </c>
    </row>
    <row r="691" spans="1:14">
      <c r="A691" s="1650" t="s">
        <v>308</v>
      </c>
      <c r="B691" s="1649" t="s">
        <v>307</v>
      </c>
      <c r="C691" s="1650" t="s">
        <v>115</v>
      </c>
      <c r="D691" s="1654" t="s">
        <v>115</v>
      </c>
      <c r="E691" s="1650" t="s">
        <v>115</v>
      </c>
      <c r="F691" s="1654" t="s">
        <v>115</v>
      </c>
      <c r="G691" s="1650" t="s">
        <v>115</v>
      </c>
      <c r="H691" s="1654">
        <v>5.0000000000000001E-3</v>
      </c>
      <c r="I691" s="1650" t="s">
        <v>1277</v>
      </c>
      <c r="J691" s="1654" t="s">
        <v>115</v>
      </c>
      <c r="K691" s="1655" t="s">
        <v>115</v>
      </c>
      <c r="L691" t="str">
        <f t="shared" si="30"/>
        <v/>
      </c>
      <c r="M691" t="str">
        <f t="shared" si="31"/>
        <v/>
      </c>
      <c r="N691" t="str">
        <f t="shared" si="32"/>
        <v>--</v>
      </c>
    </row>
    <row r="692" spans="1:14">
      <c r="A692" s="1650" t="s">
        <v>2232</v>
      </c>
      <c r="B692" s="1649" t="s">
        <v>4002</v>
      </c>
      <c r="C692" s="1650" t="s">
        <v>115</v>
      </c>
      <c r="D692" s="1654" t="s">
        <v>115</v>
      </c>
      <c r="E692" s="1650" t="s">
        <v>115</v>
      </c>
      <c r="F692" s="1654" t="s">
        <v>115</v>
      </c>
      <c r="G692" s="1650" t="s">
        <v>115</v>
      </c>
      <c r="H692" s="1654">
        <v>0.1</v>
      </c>
      <c r="I692" s="1650" t="s">
        <v>1277</v>
      </c>
      <c r="J692" s="1654" t="s">
        <v>115</v>
      </c>
      <c r="K692" s="1655" t="s">
        <v>115</v>
      </c>
      <c r="L692" t="str">
        <f t="shared" si="30"/>
        <v/>
      </c>
      <c r="M692" t="str">
        <f t="shared" si="31"/>
        <v/>
      </c>
      <c r="N692" t="str">
        <f t="shared" si="32"/>
        <v>--</v>
      </c>
    </row>
    <row r="693" spans="1:14">
      <c r="A693" s="1650" t="s">
        <v>3472</v>
      </c>
      <c r="B693" s="1649" t="s">
        <v>4003</v>
      </c>
      <c r="C693" s="1650" t="s">
        <v>115</v>
      </c>
      <c r="D693" s="1654" t="s">
        <v>115</v>
      </c>
      <c r="E693" s="1650" t="s">
        <v>115</v>
      </c>
      <c r="F693" s="1654" t="s">
        <v>115</v>
      </c>
      <c r="G693" s="1650" t="s">
        <v>115</v>
      </c>
      <c r="H693" s="1654">
        <v>8.0000000000000002E-3</v>
      </c>
      <c r="I693" s="1650" t="s">
        <v>1277</v>
      </c>
      <c r="J693" s="1654" t="s">
        <v>115</v>
      </c>
      <c r="K693" s="1655" t="s">
        <v>115</v>
      </c>
      <c r="L693" t="str">
        <f t="shared" si="30"/>
        <v/>
      </c>
      <c r="M693" t="str">
        <f t="shared" si="31"/>
        <v/>
      </c>
      <c r="N693" t="str">
        <f t="shared" si="32"/>
        <v>--</v>
      </c>
    </row>
    <row r="694" spans="1:14">
      <c r="A694" s="1650" t="s">
        <v>3287</v>
      </c>
      <c r="B694" s="1649" t="s">
        <v>3288</v>
      </c>
      <c r="C694" s="1650" t="s">
        <v>115</v>
      </c>
      <c r="D694" s="1654">
        <v>0.12</v>
      </c>
      <c r="E694" s="1650" t="s">
        <v>3616</v>
      </c>
      <c r="F694" s="1654" t="s">
        <v>115</v>
      </c>
      <c r="G694" s="1650" t="s">
        <v>115</v>
      </c>
      <c r="H694" s="1654">
        <v>5.0000000000000001E-3</v>
      </c>
      <c r="I694" s="1650" t="s">
        <v>1277</v>
      </c>
      <c r="J694" s="1654" t="s">
        <v>115</v>
      </c>
      <c r="K694" s="1655" t="s">
        <v>115</v>
      </c>
      <c r="L694" t="str">
        <f t="shared" si="30"/>
        <v/>
      </c>
      <c r="M694" t="str">
        <f t="shared" si="31"/>
        <v/>
      </c>
      <c r="N694" t="str">
        <f t="shared" si="32"/>
        <v>--</v>
      </c>
    </row>
    <row r="695" spans="1:14">
      <c r="A695" s="1650" t="s">
        <v>3084</v>
      </c>
      <c r="B695" s="1649" t="s">
        <v>4004</v>
      </c>
      <c r="C695" s="1650" t="s">
        <v>115</v>
      </c>
      <c r="D695" s="1654" t="s">
        <v>115</v>
      </c>
      <c r="E695" s="1650" t="s">
        <v>115</v>
      </c>
      <c r="F695" s="1654" t="s">
        <v>115</v>
      </c>
      <c r="G695" s="1650" t="s">
        <v>115</v>
      </c>
      <c r="H695" s="1654">
        <v>1</v>
      </c>
      <c r="I695" s="1650" t="s">
        <v>1247</v>
      </c>
      <c r="J695" s="1654" t="s">
        <v>115</v>
      </c>
      <c r="K695" s="1655" t="s">
        <v>115</v>
      </c>
      <c r="L695" t="str">
        <f t="shared" si="30"/>
        <v/>
      </c>
      <c r="M695" t="str">
        <f t="shared" si="31"/>
        <v/>
      </c>
      <c r="N695" t="str">
        <f t="shared" si="32"/>
        <v>--</v>
      </c>
    </row>
    <row r="696" spans="1:14">
      <c r="A696" s="1650" t="s">
        <v>3068</v>
      </c>
      <c r="B696" s="1649" t="s">
        <v>4005</v>
      </c>
      <c r="C696" s="1650" t="s">
        <v>115</v>
      </c>
      <c r="D696" s="1654" t="s">
        <v>115</v>
      </c>
      <c r="E696" s="1650" t="s">
        <v>115</v>
      </c>
      <c r="F696" s="1654" t="s">
        <v>115</v>
      </c>
      <c r="G696" s="1650" t="s">
        <v>115</v>
      </c>
      <c r="H696" s="1654">
        <v>4.3</v>
      </c>
      <c r="I696" s="1650" t="s">
        <v>3603</v>
      </c>
      <c r="J696" s="1654" t="s">
        <v>115</v>
      </c>
      <c r="K696" s="1655" t="s">
        <v>115</v>
      </c>
      <c r="L696" t="str">
        <f t="shared" si="30"/>
        <v/>
      </c>
      <c r="M696" t="str">
        <f t="shared" si="31"/>
        <v/>
      </c>
      <c r="N696" t="str">
        <f t="shared" si="32"/>
        <v>--</v>
      </c>
    </row>
    <row r="697" spans="1:14">
      <c r="A697" s="1650" t="s">
        <v>3076</v>
      </c>
      <c r="B697" s="1649" t="s">
        <v>4006</v>
      </c>
      <c r="C697" s="1650" t="s">
        <v>115</v>
      </c>
      <c r="D697" s="1654" t="s">
        <v>115</v>
      </c>
      <c r="E697" s="1650" t="s">
        <v>115</v>
      </c>
      <c r="F697" s="1654" t="s">
        <v>115</v>
      </c>
      <c r="G697" s="1650" t="s">
        <v>115</v>
      </c>
      <c r="H697" s="1654">
        <v>5</v>
      </c>
      <c r="I697" s="1650" t="s">
        <v>3603</v>
      </c>
      <c r="J697" s="1654" t="s">
        <v>115</v>
      </c>
      <c r="K697" s="1655" t="s">
        <v>115</v>
      </c>
      <c r="L697" t="str">
        <f t="shared" si="30"/>
        <v/>
      </c>
      <c r="M697" t="str">
        <f t="shared" si="31"/>
        <v/>
      </c>
      <c r="N697" t="str">
        <f t="shared" si="32"/>
        <v>--</v>
      </c>
    </row>
    <row r="698" spans="1:14">
      <c r="A698" s="1650" t="s">
        <v>3078</v>
      </c>
      <c r="B698" s="1649" t="s">
        <v>4007</v>
      </c>
      <c r="C698" s="1650" t="s">
        <v>115</v>
      </c>
      <c r="D698" s="1654" t="s">
        <v>115</v>
      </c>
      <c r="E698" s="1650" t="s">
        <v>115</v>
      </c>
      <c r="F698" s="1654" t="s">
        <v>115</v>
      </c>
      <c r="G698" s="1650" t="s">
        <v>115</v>
      </c>
      <c r="H698" s="1654">
        <v>3.5</v>
      </c>
      <c r="I698" s="1650" t="s">
        <v>3603</v>
      </c>
      <c r="J698" s="1654" t="s">
        <v>115</v>
      </c>
      <c r="K698" s="1655" t="s">
        <v>115</v>
      </c>
      <c r="L698" t="str">
        <f t="shared" si="30"/>
        <v/>
      </c>
      <c r="M698" t="str">
        <f t="shared" si="31"/>
        <v/>
      </c>
      <c r="N698" t="str">
        <f t="shared" si="32"/>
        <v>--</v>
      </c>
    </row>
    <row r="699" spans="1:14">
      <c r="A699" s="1650" t="s">
        <v>3291</v>
      </c>
      <c r="B699" s="1649" t="s">
        <v>4008</v>
      </c>
      <c r="C699" s="1650" t="s">
        <v>115</v>
      </c>
      <c r="D699" s="1654" t="s">
        <v>115</v>
      </c>
      <c r="E699" s="1650" t="s">
        <v>115</v>
      </c>
      <c r="F699" s="1654" t="s">
        <v>115</v>
      </c>
      <c r="G699" s="1650" t="s">
        <v>115</v>
      </c>
      <c r="H699" s="1654">
        <v>4.0000000000000001E-3</v>
      </c>
      <c r="I699" s="1650" t="s">
        <v>1277</v>
      </c>
      <c r="J699" s="1654" t="s">
        <v>115</v>
      </c>
      <c r="K699" s="1655" t="s">
        <v>115</v>
      </c>
      <c r="L699" t="str">
        <f t="shared" si="30"/>
        <v/>
      </c>
      <c r="M699" t="str">
        <f t="shared" si="31"/>
        <v/>
      </c>
      <c r="N699" t="str">
        <f t="shared" si="32"/>
        <v>--</v>
      </c>
    </row>
    <row r="700" spans="1:14">
      <c r="A700" s="1650" t="s">
        <v>2234</v>
      </c>
      <c r="B700" s="1649" t="s">
        <v>4009</v>
      </c>
      <c r="C700" s="1650" t="s">
        <v>115</v>
      </c>
      <c r="D700" s="1654" t="s">
        <v>115</v>
      </c>
      <c r="E700" s="1650" t="s">
        <v>115</v>
      </c>
      <c r="F700" s="1654" t="s">
        <v>115</v>
      </c>
      <c r="G700" s="1650" t="s">
        <v>115</v>
      </c>
      <c r="H700" s="1654">
        <v>1E-3</v>
      </c>
      <c r="I700" s="1650" t="s">
        <v>1277</v>
      </c>
      <c r="J700" s="1654">
        <v>9</v>
      </c>
      <c r="K700" s="1655" t="s">
        <v>1234</v>
      </c>
      <c r="L700" t="str">
        <f t="shared" si="30"/>
        <v/>
      </c>
      <c r="M700" t="str">
        <f t="shared" si="31"/>
        <v/>
      </c>
      <c r="N700" t="str">
        <f t="shared" si="32"/>
        <v>--</v>
      </c>
    </row>
    <row r="701" spans="1:14">
      <c r="A701" s="1650" t="s">
        <v>3293</v>
      </c>
      <c r="B701" s="1649" t="s">
        <v>4010</v>
      </c>
      <c r="C701" s="1650" t="s">
        <v>115</v>
      </c>
      <c r="D701" s="1654">
        <v>0.27</v>
      </c>
      <c r="E701" s="1650" t="s">
        <v>3616</v>
      </c>
      <c r="F701" s="1654" t="s">
        <v>115</v>
      </c>
      <c r="G701" s="1650" t="s">
        <v>115</v>
      </c>
      <c r="H701" s="1654">
        <v>0.03</v>
      </c>
      <c r="I701" s="1650" t="s">
        <v>1277</v>
      </c>
      <c r="J701" s="1654" t="s">
        <v>115</v>
      </c>
      <c r="K701" s="1655" t="s">
        <v>115</v>
      </c>
      <c r="L701" t="str">
        <f t="shared" si="30"/>
        <v/>
      </c>
      <c r="M701" t="str">
        <f t="shared" si="31"/>
        <v/>
      </c>
      <c r="N701" t="str">
        <f t="shared" si="32"/>
        <v>--</v>
      </c>
    </row>
    <row r="702" spans="1:14" ht="25.5">
      <c r="A702" s="1650" t="s">
        <v>3295</v>
      </c>
      <c r="B702" s="1649" t="s">
        <v>4011</v>
      </c>
      <c r="C702" s="1650" t="s">
        <v>115</v>
      </c>
      <c r="D702" s="1654" t="s">
        <v>115</v>
      </c>
      <c r="E702" s="1650" t="s">
        <v>115</v>
      </c>
      <c r="F702" s="1654" t="s">
        <v>115</v>
      </c>
      <c r="G702" s="1650" t="s">
        <v>115</v>
      </c>
      <c r="H702" s="1654">
        <v>0.05</v>
      </c>
      <c r="I702" s="1650" t="s">
        <v>1280</v>
      </c>
      <c r="J702" s="1654">
        <v>13</v>
      </c>
      <c r="K702" s="1655" t="s">
        <v>3852</v>
      </c>
      <c r="L702" t="str">
        <f t="shared" si="30"/>
        <v/>
      </c>
      <c r="M702" t="str">
        <f t="shared" si="31"/>
        <v/>
      </c>
      <c r="N702" t="str">
        <f t="shared" si="32"/>
        <v>--</v>
      </c>
    </row>
    <row r="703" spans="1:14">
      <c r="A703" s="1650" t="s">
        <v>3297</v>
      </c>
      <c r="B703" s="1649" t="s">
        <v>4012</v>
      </c>
      <c r="C703" s="1650" t="s">
        <v>115</v>
      </c>
      <c r="D703" s="1654" t="s">
        <v>115</v>
      </c>
      <c r="E703" s="1650" t="s">
        <v>115</v>
      </c>
      <c r="F703" s="1654" t="s">
        <v>115</v>
      </c>
      <c r="G703" s="1650" t="s">
        <v>115</v>
      </c>
      <c r="H703" s="1654">
        <v>2.0000000000000002E-5</v>
      </c>
      <c r="I703" s="1650" t="s">
        <v>1277</v>
      </c>
      <c r="J703" s="1654" t="s">
        <v>115</v>
      </c>
      <c r="K703" s="1655" t="s">
        <v>115</v>
      </c>
      <c r="L703" t="str">
        <f t="shared" si="30"/>
        <v/>
      </c>
      <c r="M703" t="str">
        <f t="shared" si="31"/>
        <v/>
      </c>
      <c r="N703" t="str">
        <f t="shared" si="32"/>
        <v>--</v>
      </c>
    </row>
    <row r="704" spans="1:14">
      <c r="A704" s="1650" t="s">
        <v>3080</v>
      </c>
      <c r="B704" s="1649" t="s">
        <v>4013</v>
      </c>
      <c r="C704" s="1650" t="s">
        <v>115</v>
      </c>
      <c r="D704" s="1654" t="s">
        <v>115</v>
      </c>
      <c r="E704" s="1650" t="s">
        <v>115</v>
      </c>
      <c r="F704" s="1654" t="s">
        <v>115</v>
      </c>
      <c r="G704" s="1650" t="s">
        <v>115</v>
      </c>
      <c r="H704" s="1654">
        <v>1</v>
      </c>
      <c r="I704" s="1650" t="s">
        <v>1247</v>
      </c>
      <c r="J704" s="1654" t="s">
        <v>115</v>
      </c>
      <c r="K704" s="1655" t="s">
        <v>115</v>
      </c>
      <c r="L704" t="str">
        <f t="shared" si="30"/>
        <v/>
      </c>
      <c r="M704" t="str">
        <f t="shared" si="31"/>
        <v/>
      </c>
      <c r="N704" t="str">
        <f t="shared" si="32"/>
        <v>--</v>
      </c>
    </row>
    <row r="705" spans="1:14">
      <c r="A705" s="1650" t="s">
        <v>3299</v>
      </c>
      <c r="B705" s="1649" t="s">
        <v>4014</v>
      </c>
      <c r="C705" s="1650" t="s">
        <v>115</v>
      </c>
      <c r="D705" s="1654" t="s">
        <v>115</v>
      </c>
      <c r="E705" s="1650" t="s">
        <v>115</v>
      </c>
      <c r="F705" s="1654" t="s">
        <v>115</v>
      </c>
      <c r="G705" s="1650" t="s">
        <v>115</v>
      </c>
      <c r="H705" s="1654">
        <v>1E-3</v>
      </c>
      <c r="I705" s="1650" t="s">
        <v>3616</v>
      </c>
      <c r="J705" s="1654" t="s">
        <v>115</v>
      </c>
      <c r="K705" s="1655" t="s">
        <v>115</v>
      </c>
      <c r="L705" t="str">
        <f t="shared" si="30"/>
        <v/>
      </c>
      <c r="M705" t="str">
        <f t="shared" si="31"/>
        <v/>
      </c>
      <c r="N705" t="str">
        <f t="shared" si="32"/>
        <v>--</v>
      </c>
    </row>
    <row r="706" spans="1:14">
      <c r="A706" s="1650" t="s">
        <v>3021</v>
      </c>
      <c r="B706" s="1649" t="s">
        <v>4015</v>
      </c>
      <c r="C706" s="1650" t="s">
        <v>115</v>
      </c>
      <c r="D706" s="1654" t="s">
        <v>115</v>
      </c>
      <c r="E706" s="1650" t="s">
        <v>115</v>
      </c>
      <c r="F706" s="1654" t="s">
        <v>115</v>
      </c>
      <c r="G706" s="1650" t="s">
        <v>115</v>
      </c>
      <c r="H706" s="1654">
        <v>6.9999999999999999E-4</v>
      </c>
      <c r="I706" s="1650" t="s">
        <v>1277</v>
      </c>
      <c r="J706" s="1654" t="s">
        <v>115</v>
      </c>
      <c r="K706" s="1655" t="s">
        <v>115</v>
      </c>
      <c r="L706" t="str">
        <f t="shared" si="30"/>
        <v/>
      </c>
      <c r="M706" t="str">
        <f t="shared" si="31"/>
        <v/>
      </c>
      <c r="N706" t="str">
        <f t="shared" si="32"/>
        <v>--</v>
      </c>
    </row>
    <row r="707" spans="1:14">
      <c r="A707" s="1650" t="s">
        <v>3082</v>
      </c>
      <c r="B707" s="1649" t="s">
        <v>4016</v>
      </c>
      <c r="C707" s="1650" t="s">
        <v>115</v>
      </c>
      <c r="D707" s="1654" t="s">
        <v>115</v>
      </c>
      <c r="E707" s="1650" t="s">
        <v>115</v>
      </c>
      <c r="F707" s="1654" t="s">
        <v>115</v>
      </c>
      <c r="G707" s="1650" t="s">
        <v>115</v>
      </c>
      <c r="H707" s="1654">
        <v>1</v>
      </c>
      <c r="I707" s="1650" t="s">
        <v>1247</v>
      </c>
      <c r="J707" s="1654" t="s">
        <v>115</v>
      </c>
      <c r="K707" s="1655" t="s">
        <v>115</v>
      </c>
      <c r="L707" t="str">
        <f t="shared" si="30"/>
        <v/>
      </c>
      <c r="M707" t="str">
        <f t="shared" si="31"/>
        <v/>
      </c>
      <c r="N707" t="str">
        <f t="shared" si="32"/>
        <v>--</v>
      </c>
    </row>
    <row r="708" spans="1:14">
      <c r="A708" s="1650" t="s">
        <v>3088</v>
      </c>
      <c r="B708" s="1649" t="s">
        <v>4017</v>
      </c>
      <c r="C708" s="1650" t="s">
        <v>115</v>
      </c>
      <c r="D708" s="1654" t="s">
        <v>115</v>
      </c>
      <c r="E708" s="1650" t="s">
        <v>115</v>
      </c>
      <c r="F708" s="1654" t="s">
        <v>115</v>
      </c>
      <c r="G708" s="1650" t="s">
        <v>115</v>
      </c>
      <c r="H708" s="1654">
        <v>1</v>
      </c>
      <c r="I708" s="1650" t="s">
        <v>1247</v>
      </c>
      <c r="J708" s="1654" t="s">
        <v>115</v>
      </c>
      <c r="K708" s="1655" t="s">
        <v>115</v>
      </c>
      <c r="L708" t="str">
        <f t="shared" si="30"/>
        <v/>
      </c>
      <c r="M708" t="str">
        <f t="shared" si="31"/>
        <v/>
      </c>
      <c r="N708" t="str">
        <f t="shared" si="32"/>
        <v>--</v>
      </c>
    </row>
    <row r="709" spans="1:14">
      <c r="A709" s="1650" t="s">
        <v>3090</v>
      </c>
      <c r="B709" s="1649" t="s">
        <v>4018</v>
      </c>
      <c r="C709" s="1650" t="s">
        <v>115</v>
      </c>
      <c r="D709" s="1654" t="s">
        <v>115</v>
      </c>
      <c r="E709" s="1650" t="s">
        <v>115</v>
      </c>
      <c r="F709" s="1654" t="s">
        <v>115</v>
      </c>
      <c r="G709" s="1650" t="s">
        <v>115</v>
      </c>
      <c r="H709" s="1654">
        <v>1</v>
      </c>
      <c r="I709" s="1650" t="s">
        <v>1247</v>
      </c>
      <c r="J709" s="1654" t="s">
        <v>115</v>
      </c>
      <c r="K709" s="1655" t="s">
        <v>115</v>
      </c>
      <c r="L709" t="str">
        <f t="shared" si="30"/>
        <v/>
      </c>
      <c r="M709" t="str">
        <f t="shared" si="31"/>
        <v/>
      </c>
      <c r="N709" t="str">
        <f t="shared" si="32"/>
        <v>--</v>
      </c>
    </row>
    <row r="710" spans="1:14">
      <c r="A710" s="1650" t="s">
        <v>3301</v>
      </c>
      <c r="B710" s="1649" t="s">
        <v>3302</v>
      </c>
      <c r="C710" s="1650" t="s">
        <v>115</v>
      </c>
      <c r="D710" s="1654" t="s">
        <v>115</v>
      </c>
      <c r="E710" s="1650" t="s">
        <v>115</v>
      </c>
      <c r="F710" s="1654" t="s">
        <v>115</v>
      </c>
      <c r="G710" s="1650" t="s">
        <v>115</v>
      </c>
      <c r="H710" s="1654">
        <v>8.0000000000000004E-4</v>
      </c>
      <c r="I710" s="1650" t="s">
        <v>1247</v>
      </c>
      <c r="J710" s="1654" t="s">
        <v>115</v>
      </c>
      <c r="K710" s="1655" t="s">
        <v>115</v>
      </c>
      <c r="L710" t="str">
        <f t="shared" ref="L710:L773" si="33">IF(COUNTIF(G710,"*Route*"),"Route IUR","")</f>
        <v/>
      </c>
      <c r="M710" t="str">
        <f t="shared" ref="M710:M773" si="34">IF(COUNTIF(K710,"*Route*"),"Route RfC","")</f>
        <v/>
      </c>
      <c r="N710" t="str">
        <f t="shared" ref="N710:N773" si="35">IF(AND(L710&lt;&gt;"",M710&lt;&gt;""),"Route IUR &amp; RfC",IF(L710&lt;&gt;"","Route IUR",IF(M710&lt;&gt;"","Route RfC","--")))</f>
        <v>--</v>
      </c>
    </row>
    <row r="711" spans="1:14">
      <c r="A711" s="1650" t="s">
        <v>3303</v>
      </c>
      <c r="B711" s="1649" t="s">
        <v>4019</v>
      </c>
      <c r="C711" s="1650" t="s">
        <v>115</v>
      </c>
      <c r="D711" s="1654" t="s">
        <v>115</v>
      </c>
      <c r="E711" s="1650" t="s">
        <v>115</v>
      </c>
      <c r="F711" s="1654" t="s">
        <v>115</v>
      </c>
      <c r="G711" s="1650" t="s">
        <v>115</v>
      </c>
      <c r="H711" s="1654">
        <v>8.0000000000000004E-4</v>
      </c>
      <c r="I711" s="1650" t="s">
        <v>1247</v>
      </c>
      <c r="J711" s="1654" t="s">
        <v>115</v>
      </c>
      <c r="K711" s="1655" t="s">
        <v>115</v>
      </c>
      <c r="L711" t="str">
        <f t="shared" si="33"/>
        <v/>
      </c>
      <c r="M711" t="str">
        <f t="shared" si="34"/>
        <v/>
      </c>
      <c r="N711" t="str">
        <f t="shared" si="35"/>
        <v>--</v>
      </c>
    </row>
    <row r="712" spans="1:14">
      <c r="A712" s="1650" t="s">
        <v>3305</v>
      </c>
      <c r="B712" s="1649" t="s">
        <v>4020</v>
      </c>
      <c r="C712" s="1650" t="s">
        <v>115</v>
      </c>
      <c r="D712" s="1654">
        <v>2.4E-2</v>
      </c>
      <c r="E712" s="1650" t="s">
        <v>3616</v>
      </c>
      <c r="F712" s="1654" t="s">
        <v>115</v>
      </c>
      <c r="G712" s="1650" t="s">
        <v>115</v>
      </c>
      <c r="H712" s="1654">
        <v>0.03</v>
      </c>
      <c r="I712" s="1650" t="s">
        <v>1277</v>
      </c>
      <c r="J712" s="1654" t="s">
        <v>115</v>
      </c>
      <c r="K712" s="1655" t="s">
        <v>115</v>
      </c>
      <c r="L712" t="str">
        <f t="shared" si="33"/>
        <v/>
      </c>
      <c r="M712" t="str">
        <f t="shared" si="34"/>
        <v/>
      </c>
      <c r="N712" t="str">
        <f t="shared" si="35"/>
        <v>--</v>
      </c>
    </row>
    <row r="713" spans="1:14">
      <c r="A713" s="1650" t="s">
        <v>3307</v>
      </c>
      <c r="B713" s="1649" t="s">
        <v>4021</v>
      </c>
      <c r="C713" s="1650" t="s">
        <v>115</v>
      </c>
      <c r="D713" s="1654" t="s">
        <v>115</v>
      </c>
      <c r="E713" s="1650" t="s">
        <v>115</v>
      </c>
      <c r="F713" s="1654" t="s">
        <v>115</v>
      </c>
      <c r="G713" s="1650" t="s">
        <v>115</v>
      </c>
      <c r="H713" s="1654">
        <v>0.6</v>
      </c>
      <c r="I713" s="1650" t="s">
        <v>1277</v>
      </c>
      <c r="J713" s="1654" t="s">
        <v>115</v>
      </c>
      <c r="K713" s="1655" t="s">
        <v>115</v>
      </c>
      <c r="L713" t="str">
        <f t="shared" si="33"/>
        <v/>
      </c>
      <c r="M713" t="str">
        <f t="shared" si="34"/>
        <v/>
      </c>
      <c r="N713" t="str">
        <f t="shared" si="35"/>
        <v>--</v>
      </c>
    </row>
    <row r="714" spans="1:14">
      <c r="A714" s="1650" t="s">
        <v>3309</v>
      </c>
      <c r="B714" s="1649" t="s">
        <v>3310</v>
      </c>
      <c r="C714" s="1650" t="s">
        <v>115</v>
      </c>
      <c r="D714" s="1654" t="s">
        <v>115</v>
      </c>
      <c r="E714" s="1650" t="s">
        <v>115</v>
      </c>
      <c r="F714" s="1654" t="s">
        <v>115</v>
      </c>
      <c r="G714" s="1650" t="s">
        <v>115</v>
      </c>
      <c r="H714" s="1654">
        <v>2.9999999999999997E-4</v>
      </c>
      <c r="I714" s="1650" t="s">
        <v>1277</v>
      </c>
      <c r="J714" s="1654" t="s">
        <v>115</v>
      </c>
      <c r="K714" s="1655" t="s">
        <v>115</v>
      </c>
      <c r="L714" t="str">
        <f t="shared" si="33"/>
        <v/>
      </c>
      <c r="M714" t="str">
        <f t="shared" si="34"/>
        <v/>
      </c>
      <c r="N714" t="str">
        <f t="shared" si="35"/>
        <v>--</v>
      </c>
    </row>
    <row r="715" spans="1:14">
      <c r="A715" s="1650" t="s">
        <v>310</v>
      </c>
      <c r="B715" s="1649" t="s">
        <v>309</v>
      </c>
      <c r="C715" s="1650" t="s">
        <v>115</v>
      </c>
      <c r="D715" s="1654" t="s">
        <v>115</v>
      </c>
      <c r="E715" s="1650" t="s">
        <v>115</v>
      </c>
      <c r="F715" s="1654" t="s">
        <v>115</v>
      </c>
      <c r="G715" s="1650" t="s">
        <v>115</v>
      </c>
      <c r="H715" s="1654">
        <v>0.2</v>
      </c>
      <c r="I715" s="1650" t="s">
        <v>1277</v>
      </c>
      <c r="J715" s="1654">
        <v>900</v>
      </c>
      <c r="K715" s="1655" t="s">
        <v>3600</v>
      </c>
      <c r="L715" t="str">
        <f t="shared" si="33"/>
        <v/>
      </c>
      <c r="M715" t="str">
        <f t="shared" si="34"/>
        <v/>
      </c>
      <c r="N715" t="str">
        <f t="shared" si="35"/>
        <v>--</v>
      </c>
    </row>
    <row r="716" spans="1:14">
      <c r="A716" s="1650" t="s">
        <v>3311</v>
      </c>
      <c r="B716" s="1649" t="s">
        <v>4022</v>
      </c>
      <c r="C716" s="1650" t="s">
        <v>115</v>
      </c>
      <c r="D716" s="1654" t="s">
        <v>115</v>
      </c>
      <c r="E716" s="1650" t="s">
        <v>115</v>
      </c>
      <c r="F716" s="1654" t="s">
        <v>115</v>
      </c>
      <c r="G716" s="1650" t="s">
        <v>115</v>
      </c>
      <c r="H716" s="1654">
        <v>3.0000000000000001E-3</v>
      </c>
      <c r="I716" s="1650" t="s">
        <v>1247</v>
      </c>
      <c r="J716" s="1654" t="s">
        <v>115</v>
      </c>
      <c r="K716" s="1655" t="s">
        <v>115</v>
      </c>
      <c r="L716" t="str">
        <f t="shared" si="33"/>
        <v/>
      </c>
      <c r="M716" t="str">
        <f t="shared" si="34"/>
        <v/>
      </c>
      <c r="N716" t="str">
        <f t="shared" si="35"/>
        <v>--</v>
      </c>
    </row>
    <row r="717" spans="1:14">
      <c r="A717" s="1650" t="s">
        <v>3317</v>
      </c>
      <c r="B717" s="1649" t="s">
        <v>3318</v>
      </c>
      <c r="C717" s="1650" t="s">
        <v>115</v>
      </c>
      <c r="D717" s="1654" t="s">
        <v>115</v>
      </c>
      <c r="E717" s="1650" t="s">
        <v>115</v>
      </c>
      <c r="F717" s="1654" t="s">
        <v>115</v>
      </c>
      <c r="G717" s="1650" t="s">
        <v>115</v>
      </c>
      <c r="H717" s="1654">
        <v>1E-3</v>
      </c>
      <c r="I717" s="1650" t="s">
        <v>1247</v>
      </c>
      <c r="J717" s="1654">
        <v>2</v>
      </c>
      <c r="K717" s="1655" t="s">
        <v>1247</v>
      </c>
      <c r="L717" t="str">
        <f t="shared" si="33"/>
        <v/>
      </c>
      <c r="M717" t="str">
        <f t="shared" si="34"/>
        <v/>
      </c>
      <c r="N717" t="str">
        <f t="shared" si="35"/>
        <v>--</v>
      </c>
    </row>
    <row r="718" spans="1:14">
      <c r="A718" s="1656">
        <v>2025949</v>
      </c>
      <c r="B718" s="1649" t="s">
        <v>3322</v>
      </c>
      <c r="C718" s="1650" t="s">
        <v>115</v>
      </c>
      <c r="D718" s="1654" t="s">
        <v>115</v>
      </c>
      <c r="E718" s="1650" t="s">
        <v>115</v>
      </c>
      <c r="F718" s="1654" t="s">
        <v>115</v>
      </c>
      <c r="G718" s="1650" t="s">
        <v>115</v>
      </c>
      <c r="H718" s="1654" t="s">
        <v>115</v>
      </c>
      <c r="I718" s="1650" t="s">
        <v>115</v>
      </c>
      <c r="J718" s="1654">
        <v>1</v>
      </c>
      <c r="K718" s="1655" t="s">
        <v>1234</v>
      </c>
      <c r="L718" t="str">
        <f t="shared" si="33"/>
        <v/>
      </c>
      <c r="M718" t="str">
        <f t="shared" si="34"/>
        <v/>
      </c>
      <c r="N718" t="str">
        <f t="shared" si="35"/>
        <v>--</v>
      </c>
    </row>
    <row r="719" spans="1:14">
      <c r="A719" s="1650" t="s">
        <v>3323</v>
      </c>
      <c r="B719" s="1649" t="s">
        <v>3324</v>
      </c>
      <c r="C719" s="1650" t="s">
        <v>115</v>
      </c>
      <c r="D719" s="1654" t="s">
        <v>115</v>
      </c>
      <c r="E719" s="1650" t="s">
        <v>115</v>
      </c>
      <c r="F719" s="1654" t="s">
        <v>115</v>
      </c>
      <c r="G719" s="1650" t="s">
        <v>115</v>
      </c>
      <c r="H719" s="1654" t="s">
        <v>115</v>
      </c>
      <c r="I719" s="1650" t="s">
        <v>115</v>
      </c>
      <c r="J719" s="1654">
        <v>1</v>
      </c>
      <c r="K719" s="1655" t="s">
        <v>1234</v>
      </c>
      <c r="L719" t="str">
        <f t="shared" si="33"/>
        <v/>
      </c>
      <c r="M719" t="str">
        <f t="shared" si="34"/>
        <v/>
      </c>
      <c r="N719" t="str">
        <f t="shared" si="35"/>
        <v>--</v>
      </c>
    </row>
    <row r="720" spans="1:14">
      <c r="A720" s="1650" t="s">
        <v>3327</v>
      </c>
      <c r="B720" s="1649" t="s">
        <v>3328</v>
      </c>
      <c r="C720" s="1650" t="s">
        <v>115</v>
      </c>
      <c r="D720" s="1654" t="s">
        <v>115</v>
      </c>
      <c r="E720" s="1650" t="s">
        <v>115</v>
      </c>
      <c r="F720" s="1654" t="s">
        <v>115</v>
      </c>
      <c r="G720" s="1650" t="s">
        <v>115</v>
      </c>
      <c r="H720" s="1654">
        <v>7.0000000000000007E-2</v>
      </c>
      <c r="I720" s="1650" t="s">
        <v>1277</v>
      </c>
      <c r="J720" s="1654" t="s">
        <v>115</v>
      </c>
      <c r="K720" s="1655" t="s">
        <v>115</v>
      </c>
      <c r="L720" t="str">
        <f t="shared" si="33"/>
        <v/>
      </c>
      <c r="M720" t="str">
        <f t="shared" si="34"/>
        <v/>
      </c>
      <c r="N720" t="str">
        <f t="shared" si="35"/>
        <v>--</v>
      </c>
    </row>
    <row r="721" spans="1:14">
      <c r="A721" s="1650" t="s">
        <v>3329</v>
      </c>
      <c r="B721" s="1649" t="s">
        <v>3330</v>
      </c>
      <c r="C721" s="1650" t="s">
        <v>115</v>
      </c>
      <c r="D721" s="1654" t="s">
        <v>115</v>
      </c>
      <c r="E721" s="1650" t="s">
        <v>115</v>
      </c>
      <c r="F721" s="1654" t="s">
        <v>115</v>
      </c>
      <c r="G721" s="1650" t="s">
        <v>115</v>
      </c>
      <c r="H721" s="1654">
        <v>0.02</v>
      </c>
      <c r="I721" s="1650" t="s">
        <v>3616</v>
      </c>
      <c r="J721" s="1654" t="s">
        <v>115</v>
      </c>
      <c r="K721" s="1655" t="s">
        <v>115</v>
      </c>
      <c r="L721" t="str">
        <f t="shared" si="33"/>
        <v/>
      </c>
      <c r="M721" t="str">
        <f t="shared" si="34"/>
        <v/>
      </c>
      <c r="N721" t="str">
        <f t="shared" si="35"/>
        <v>--</v>
      </c>
    </row>
    <row r="722" spans="1:14">
      <c r="A722" s="1650" t="s">
        <v>3331</v>
      </c>
      <c r="B722" s="1649" t="s">
        <v>3332</v>
      </c>
      <c r="C722" s="1650" t="s">
        <v>115</v>
      </c>
      <c r="D722" s="1654" t="s">
        <v>115</v>
      </c>
      <c r="E722" s="1650" t="s">
        <v>115</v>
      </c>
      <c r="F722" s="1654" t="s">
        <v>115</v>
      </c>
      <c r="G722" s="1650" t="s">
        <v>115</v>
      </c>
      <c r="H722" s="1654">
        <v>1.2999999999999999E-2</v>
      </c>
      <c r="I722" s="1650" t="s">
        <v>1277</v>
      </c>
      <c r="J722" s="1654" t="s">
        <v>115</v>
      </c>
      <c r="K722" s="1655" t="s">
        <v>115</v>
      </c>
      <c r="L722" t="str">
        <f t="shared" si="33"/>
        <v/>
      </c>
      <c r="M722" t="str">
        <f t="shared" si="34"/>
        <v/>
      </c>
      <c r="N722" t="str">
        <f t="shared" si="35"/>
        <v>--</v>
      </c>
    </row>
    <row r="723" spans="1:14">
      <c r="A723" s="1650" t="s">
        <v>3333</v>
      </c>
      <c r="B723" s="1649" t="s">
        <v>3334</v>
      </c>
      <c r="C723" s="1650" t="s">
        <v>115</v>
      </c>
      <c r="D723" s="1654" t="s">
        <v>115</v>
      </c>
      <c r="E723" s="1650" t="s">
        <v>115</v>
      </c>
      <c r="F723" s="1654" t="s">
        <v>115</v>
      </c>
      <c r="G723" s="1650" t="s">
        <v>115</v>
      </c>
      <c r="H723" s="1654">
        <v>2.5000000000000001E-5</v>
      </c>
      <c r="I723" s="1650" t="s">
        <v>3616</v>
      </c>
      <c r="J723" s="1654">
        <v>0.1</v>
      </c>
      <c r="K723" s="1655" t="s">
        <v>3789</v>
      </c>
      <c r="L723" t="str">
        <f t="shared" si="33"/>
        <v/>
      </c>
      <c r="M723" t="str">
        <f t="shared" si="34"/>
        <v>Route RfC</v>
      </c>
      <c r="N723" t="str">
        <f t="shared" si="35"/>
        <v>Route RfC</v>
      </c>
    </row>
    <row r="724" spans="1:14">
      <c r="A724" s="1650" t="s">
        <v>3335</v>
      </c>
      <c r="B724" s="1649" t="s">
        <v>3336</v>
      </c>
      <c r="C724" s="1650" t="s">
        <v>115</v>
      </c>
      <c r="D724" s="1654" t="s">
        <v>115</v>
      </c>
      <c r="E724" s="1650" t="s">
        <v>115</v>
      </c>
      <c r="F724" s="1654" t="s">
        <v>115</v>
      </c>
      <c r="G724" s="1650" t="s">
        <v>115</v>
      </c>
      <c r="H724" s="1654">
        <v>1E-3</v>
      </c>
      <c r="I724" s="1650" t="s">
        <v>1277</v>
      </c>
      <c r="J724" s="1654" t="s">
        <v>115</v>
      </c>
      <c r="K724" s="1655" t="s">
        <v>115</v>
      </c>
      <c r="L724" t="str">
        <f t="shared" si="33"/>
        <v/>
      </c>
      <c r="M724" t="str">
        <f t="shared" si="34"/>
        <v/>
      </c>
      <c r="N724" t="str">
        <f t="shared" si="35"/>
        <v>--</v>
      </c>
    </row>
    <row r="725" spans="1:14">
      <c r="A725" s="1650" t="s">
        <v>1952</v>
      </c>
      <c r="B725" s="1649" t="s">
        <v>4023</v>
      </c>
      <c r="C725" s="1650" t="s">
        <v>115</v>
      </c>
      <c r="D725" s="1654" t="s">
        <v>115</v>
      </c>
      <c r="E725" s="1650" t="s">
        <v>115</v>
      </c>
      <c r="F725" s="1654" t="s">
        <v>115</v>
      </c>
      <c r="G725" s="1650" t="s">
        <v>115</v>
      </c>
      <c r="H725" s="1654" t="s">
        <v>115</v>
      </c>
      <c r="I725" s="1650" t="s">
        <v>115</v>
      </c>
      <c r="J725" s="1654">
        <v>3</v>
      </c>
      <c r="K725" s="1655" t="s">
        <v>3603</v>
      </c>
      <c r="L725" t="str">
        <f t="shared" si="33"/>
        <v/>
      </c>
      <c r="M725" t="str">
        <f t="shared" si="34"/>
        <v/>
      </c>
      <c r="N725" t="str">
        <f t="shared" si="35"/>
        <v>--</v>
      </c>
    </row>
    <row r="726" spans="1:14">
      <c r="A726" s="1650" t="s">
        <v>3337</v>
      </c>
      <c r="B726" s="1649" t="s">
        <v>4024</v>
      </c>
      <c r="C726" s="1650" t="s">
        <v>115</v>
      </c>
      <c r="D726" s="1654">
        <v>5.0000000000000001E-3</v>
      </c>
      <c r="E726" s="1650" t="s">
        <v>1234</v>
      </c>
      <c r="F726" s="1654">
        <v>1.3E-6</v>
      </c>
      <c r="G726" s="1650" t="s">
        <v>1234</v>
      </c>
      <c r="H726" s="1654" t="s">
        <v>115</v>
      </c>
      <c r="I726" s="1650" t="s">
        <v>115</v>
      </c>
      <c r="J726" s="1654" t="s">
        <v>115</v>
      </c>
      <c r="K726" s="1655" t="s">
        <v>115</v>
      </c>
      <c r="L726" t="str">
        <f t="shared" si="33"/>
        <v/>
      </c>
      <c r="M726" t="str">
        <f t="shared" si="34"/>
        <v/>
      </c>
      <c r="N726" t="str">
        <f t="shared" si="35"/>
        <v>--</v>
      </c>
    </row>
    <row r="727" spans="1:14">
      <c r="A727" s="1650" t="s">
        <v>2074</v>
      </c>
      <c r="B727" s="1649" t="s">
        <v>4025</v>
      </c>
      <c r="C727" s="1650" t="s">
        <v>115</v>
      </c>
      <c r="D727" s="1654" t="s">
        <v>115</v>
      </c>
      <c r="E727" s="1650" t="s">
        <v>115</v>
      </c>
      <c r="F727" s="1654" t="s">
        <v>115</v>
      </c>
      <c r="G727" s="1650" t="s">
        <v>115</v>
      </c>
      <c r="H727" s="1654">
        <v>0.1</v>
      </c>
      <c r="I727" s="1650" t="s">
        <v>3603</v>
      </c>
      <c r="J727" s="1654">
        <v>400</v>
      </c>
      <c r="K727" s="1655" t="s">
        <v>3609</v>
      </c>
      <c r="L727" t="str">
        <f t="shared" si="33"/>
        <v/>
      </c>
      <c r="M727" t="str">
        <f t="shared" si="34"/>
        <v>Route RfC</v>
      </c>
      <c r="N727" t="str">
        <f t="shared" si="35"/>
        <v>Route RfC</v>
      </c>
    </row>
    <row r="728" spans="1:14" ht="25.5">
      <c r="A728" s="1650" t="s">
        <v>318</v>
      </c>
      <c r="B728" s="1649" t="s">
        <v>317</v>
      </c>
      <c r="C728" s="1650" t="s">
        <v>115</v>
      </c>
      <c r="D728" s="1654">
        <v>0.54</v>
      </c>
      <c r="E728" s="1650" t="s">
        <v>3764</v>
      </c>
      <c r="F728" s="1654">
        <v>6.1E-6</v>
      </c>
      <c r="G728" s="1650" t="s">
        <v>3600</v>
      </c>
      <c r="H728" s="1654">
        <v>6.0000000000000001E-3</v>
      </c>
      <c r="I728" s="1650" t="s">
        <v>1277</v>
      </c>
      <c r="J728" s="1654">
        <v>40</v>
      </c>
      <c r="K728" s="1655" t="s">
        <v>1277</v>
      </c>
      <c r="L728" t="str">
        <f t="shared" si="33"/>
        <v/>
      </c>
      <c r="M728" t="str">
        <f t="shared" si="34"/>
        <v/>
      </c>
      <c r="N728" t="str">
        <f t="shared" si="35"/>
        <v>--</v>
      </c>
    </row>
    <row r="729" spans="1:14">
      <c r="A729" s="1650" t="s">
        <v>2667</v>
      </c>
      <c r="B729" s="1649" t="s">
        <v>4026</v>
      </c>
      <c r="C729" s="1650" t="s">
        <v>115</v>
      </c>
      <c r="D729" s="1654" t="s">
        <v>115</v>
      </c>
      <c r="E729" s="1650" t="s">
        <v>115</v>
      </c>
      <c r="F729" s="1654" t="s">
        <v>115</v>
      </c>
      <c r="G729" s="1650" t="s">
        <v>115</v>
      </c>
      <c r="H729" s="1654">
        <v>9.9999999999999995E-8</v>
      </c>
      <c r="I729" s="1650" t="s">
        <v>1277</v>
      </c>
      <c r="J729" s="1654">
        <v>4.0000000000000002E-4</v>
      </c>
      <c r="K729" s="1655" t="s">
        <v>3598</v>
      </c>
      <c r="L729" t="str">
        <f t="shared" si="33"/>
        <v/>
      </c>
      <c r="M729" t="str">
        <f t="shared" si="34"/>
        <v>Route RfC</v>
      </c>
      <c r="N729" t="str">
        <f t="shared" si="35"/>
        <v>Route RfC</v>
      </c>
    </row>
    <row r="730" spans="1:14">
      <c r="A730" s="1650" t="s">
        <v>3350</v>
      </c>
      <c r="B730" s="1649" t="s">
        <v>4027</v>
      </c>
      <c r="C730" s="1650" t="s">
        <v>115</v>
      </c>
      <c r="D730" s="1654" t="s">
        <v>115</v>
      </c>
      <c r="E730" s="1650" t="s">
        <v>115</v>
      </c>
      <c r="F730" s="1654" t="s">
        <v>115</v>
      </c>
      <c r="G730" s="1650" t="s">
        <v>115</v>
      </c>
      <c r="H730" s="1654">
        <v>5.0000000000000001E-4</v>
      </c>
      <c r="I730" s="1650" t="s">
        <v>1277</v>
      </c>
      <c r="J730" s="1654" t="s">
        <v>115</v>
      </c>
      <c r="K730" s="1655"/>
      <c r="L730" t="str">
        <f t="shared" si="33"/>
        <v/>
      </c>
      <c r="M730" t="str">
        <f t="shared" si="34"/>
        <v/>
      </c>
      <c r="N730" t="str">
        <f t="shared" si="35"/>
        <v>--</v>
      </c>
    </row>
    <row r="731" spans="1:14">
      <c r="A731" s="1650" t="s">
        <v>2526</v>
      </c>
      <c r="B731" s="1649" t="s">
        <v>4028</v>
      </c>
      <c r="C731" s="1650" t="s">
        <v>115</v>
      </c>
      <c r="D731" s="1654" t="s">
        <v>115</v>
      </c>
      <c r="E731" s="1650" t="s">
        <v>115</v>
      </c>
      <c r="F731" s="1654" t="s">
        <v>115</v>
      </c>
      <c r="G731" s="1650" t="s">
        <v>115</v>
      </c>
      <c r="H731" s="1654">
        <v>0.9</v>
      </c>
      <c r="I731" s="1650" t="s">
        <v>1277</v>
      </c>
      <c r="J731" s="1654">
        <v>2000</v>
      </c>
      <c r="K731" s="1655"/>
      <c r="L731" t="str">
        <f t="shared" si="33"/>
        <v/>
      </c>
      <c r="M731" t="str">
        <f t="shared" si="34"/>
        <v/>
      </c>
      <c r="N731" t="str">
        <f t="shared" si="35"/>
        <v>--</v>
      </c>
    </row>
    <row r="732" spans="1:14">
      <c r="A732" s="1650" t="s">
        <v>3092</v>
      </c>
      <c r="B732" s="1649" t="s">
        <v>4029</v>
      </c>
      <c r="C732" s="1650" t="s">
        <v>115</v>
      </c>
      <c r="D732" s="1654" t="s">
        <v>115</v>
      </c>
      <c r="E732" s="1650" t="s">
        <v>115</v>
      </c>
      <c r="F732" s="1654" t="s">
        <v>115</v>
      </c>
      <c r="G732" s="1650" t="s">
        <v>115</v>
      </c>
      <c r="H732" s="1654">
        <v>1</v>
      </c>
      <c r="I732" s="1650" t="s">
        <v>1247</v>
      </c>
      <c r="J732" s="1654" t="s">
        <v>115</v>
      </c>
      <c r="K732" s="1655"/>
      <c r="L732" t="str">
        <f t="shared" si="33"/>
        <v/>
      </c>
      <c r="M732" t="str">
        <f t="shared" si="34"/>
        <v/>
      </c>
      <c r="N732" t="str">
        <f t="shared" si="35"/>
        <v>--</v>
      </c>
    </row>
    <row r="733" spans="1:14">
      <c r="A733" s="1650" t="s">
        <v>3094</v>
      </c>
      <c r="B733" s="1649" t="s">
        <v>4030</v>
      </c>
      <c r="C733" s="1650" t="s">
        <v>115</v>
      </c>
      <c r="D733" s="1654" t="s">
        <v>115</v>
      </c>
      <c r="E733" s="1650" t="s">
        <v>115</v>
      </c>
      <c r="F733" s="1654" t="s">
        <v>115</v>
      </c>
      <c r="G733" s="1650" t="s">
        <v>115</v>
      </c>
      <c r="H733" s="1654">
        <v>1</v>
      </c>
      <c r="I733" s="1650" t="s">
        <v>1247</v>
      </c>
      <c r="J733" s="1654" t="s">
        <v>115</v>
      </c>
      <c r="K733" s="1655"/>
      <c r="L733" t="str">
        <f t="shared" si="33"/>
        <v/>
      </c>
      <c r="M733" t="str">
        <f t="shared" si="34"/>
        <v/>
      </c>
      <c r="N733" t="str">
        <f t="shared" si="35"/>
        <v>--</v>
      </c>
    </row>
    <row r="734" spans="1:14">
      <c r="A734" s="1650" t="s">
        <v>3356</v>
      </c>
      <c r="B734" s="1649" t="s">
        <v>4031</v>
      </c>
      <c r="C734" s="1650" t="s">
        <v>115</v>
      </c>
      <c r="D734" s="1654" t="s">
        <v>115</v>
      </c>
      <c r="E734" s="1650" t="s">
        <v>115</v>
      </c>
      <c r="F734" s="1654" t="s">
        <v>115</v>
      </c>
      <c r="G734" s="1650" t="s">
        <v>115</v>
      </c>
      <c r="H734" s="1654">
        <v>2E-3</v>
      </c>
      <c r="I734" s="1650" t="s">
        <v>1247</v>
      </c>
      <c r="J734" s="1654" t="s">
        <v>115</v>
      </c>
      <c r="K734" s="1655"/>
      <c r="L734" t="str">
        <f t="shared" si="33"/>
        <v/>
      </c>
      <c r="M734" t="str">
        <f t="shared" si="34"/>
        <v/>
      </c>
      <c r="N734" t="str">
        <f t="shared" si="35"/>
        <v>--</v>
      </c>
    </row>
    <row r="735" spans="1:14">
      <c r="A735" s="1650" t="s">
        <v>3358</v>
      </c>
      <c r="B735" s="1649" t="s">
        <v>3359</v>
      </c>
      <c r="C735" s="1650" t="s">
        <v>115</v>
      </c>
      <c r="D735" s="1654" t="s">
        <v>115</v>
      </c>
      <c r="E735" s="1650" t="s">
        <v>115</v>
      </c>
      <c r="F735" s="1654" t="s">
        <v>115</v>
      </c>
      <c r="G735" s="1650" t="s">
        <v>115</v>
      </c>
      <c r="H735" s="1654">
        <v>2.0000000000000002E-5</v>
      </c>
      <c r="I735" s="1650" t="s">
        <v>1275</v>
      </c>
      <c r="J735" s="1654" t="s">
        <v>115</v>
      </c>
      <c r="K735" s="1655"/>
      <c r="L735" t="str">
        <f t="shared" si="33"/>
        <v/>
      </c>
      <c r="M735" t="str">
        <f t="shared" si="34"/>
        <v/>
      </c>
      <c r="N735" t="str">
        <f t="shared" si="35"/>
        <v>--</v>
      </c>
    </row>
    <row r="736" spans="1:14">
      <c r="A736" s="1650" t="s">
        <v>320</v>
      </c>
      <c r="B736" s="1649" t="s">
        <v>319</v>
      </c>
      <c r="C736" s="1650" t="s">
        <v>115</v>
      </c>
      <c r="D736" s="1654" t="s">
        <v>115</v>
      </c>
      <c r="E736" s="1650" t="s">
        <v>115</v>
      </c>
      <c r="F736" s="1654" t="s">
        <v>115</v>
      </c>
      <c r="G736" s="1650" t="s">
        <v>115</v>
      </c>
      <c r="H736" s="1654">
        <v>1.0000000000000001E-5</v>
      </c>
      <c r="I736" s="1650" t="s">
        <v>3603</v>
      </c>
      <c r="J736" s="1654" t="s">
        <v>115</v>
      </c>
      <c r="K736" s="1655"/>
      <c r="L736" t="str">
        <f t="shared" si="33"/>
        <v/>
      </c>
      <c r="M736" t="str">
        <f t="shared" si="34"/>
        <v/>
      </c>
      <c r="N736" t="str">
        <f t="shared" si="35"/>
        <v>--</v>
      </c>
    </row>
    <row r="737" spans="1:14">
      <c r="A737" s="1650" t="s">
        <v>3363</v>
      </c>
      <c r="B737" s="1649" t="s">
        <v>4032</v>
      </c>
      <c r="C737" s="1650" t="s">
        <v>115</v>
      </c>
      <c r="D737" s="1654" t="s">
        <v>115</v>
      </c>
      <c r="E737" s="1650" t="s">
        <v>115</v>
      </c>
      <c r="F737" s="1654" t="s">
        <v>115</v>
      </c>
      <c r="G737" s="1650" t="s">
        <v>115</v>
      </c>
      <c r="H737" s="1654">
        <v>1.0000000000000001E-5</v>
      </c>
      <c r="I737" s="1650" t="s">
        <v>3603</v>
      </c>
      <c r="J737" s="1654">
        <v>0.04</v>
      </c>
      <c r="K737" s="1655"/>
      <c r="L737" t="str">
        <f t="shared" si="33"/>
        <v/>
      </c>
      <c r="M737" t="str">
        <f t="shared" si="34"/>
        <v/>
      </c>
      <c r="N737" t="str">
        <f t="shared" si="35"/>
        <v>--</v>
      </c>
    </row>
    <row r="738" spans="1:14">
      <c r="A738" s="1650" t="s">
        <v>3365</v>
      </c>
      <c r="B738" s="1649" t="s">
        <v>4033</v>
      </c>
      <c r="C738" s="1650" t="s">
        <v>115</v>
      </c>
      <c r="D738" s="1654" t="s">
        <v>115</v>
      </c>
      <c r="E738" s="1650" t="s">
        <v>115</v>
      </c>
      <c r="F738" s="1654" t="s">
        <v>115</v>
      </c>
      <c r="G738" s="1650" t="s">
        <v>115</v>
      </c>
      <c r="H738" s="1654">
        <v>2.0000000000000002E-5</v>
      </c>
      <c r="I738" s="1650" t="s">
        <v>3603</v>
      </c>
      <c r="J738" s="1654">
        <v>0.08</v>
      </c>
      <c r="K738" s="1655"/>
      <c r="L738" t="str">
        <f t="shared" si="33"/>
        <v/>
      </c>
      <c r="M738" t="str">
        <f t="shared" si="34"/>
        <v/>
      </c>
      <c r="N738" t="str">
        <f t="shared" si="35"/>
        <v>--</v>
      </c>
    </row>
    <row r="739" spans="1:14">
      <c r="A739" s="1650" t="s">
        <v>3367</v>
      </c>
      <c r="B739" s="1649" t="s">
        <v>4034</v>
      </c>
      <c r="C739" s="1650" t="s">
        <v>115</v>
      </c>
      <c r="D739" s="1654" t="s">
        <v>115</v>
      </c>
      <c r="E739" s="1650" t="s">
        <v>115</v>
      </c>
      <c r="F739" s="1654" t="s">
        <v>115</v>
      </c>
      <c r="G739" s="1650" t="s">
        <v>115</v>
      </c>
      <c r="H739" s="1654">
        <v>1.0000000000000001E-5</v>
      </c>
      <c r="I739" s="1650" t="s">
        <v>3603</v>
      </c>
      <c r="J739" s="1654" t="s">
        <v>115</v>
      </c>
      <c r="K739" s="1655"/>
      <c r="L739" t="str">
        <f t="shared" si="33"/>
        <v/>
      </c>
      <c r="M739" t="str">
        <f t="shared" si="34"/>
        <v/>
      </c>
      <c r="N739" t="str">
        <f t="shared" si="35"/>
        <v>--</v>
      </c>
    </row>
    <row r="740" spans="1:14">
      <c r="A740" s="1650" t="s">
        <v>3360</v>
      </c>
      <c r="B740" s="1649" t="s">
        <v>4035</v>
      </c>
      <c r="C740" s="1650" t="s">
        <v>115</v>
      </c>
      <c r="D740" s="1654" t="s">
        <v>115</v>
      </c>
      <c r="E740" s="1650" t="s">
        <v>115</v>
      </c>
      <c r="F740" s="1654" t="s">
        <v>115</v>
      </c>
      <c r="G740" s="1650" t="s">
        <v>115</v>
      </c>
      <c r="H740" s="1654">
        <v>1.0000000000000001E-5</v>
      </c>
      <c r="I740" s="1650" t="s">
        <v>1275</v>
      </c>
      <c r="J740" s="1654" t="s">
        <v>115</v>
      </c>
      <c r="K740" s="1655"/>
      <c r="L740" t="str">
        <f t="shared" si="33"/>
        <v/>
      </c>
      <c r="M740" t="str">
        <f t="shared" si="34"/>
        <v/>
      </c>
      <c r="N740" t="str">
        <f t="shared" si="35"/>
        <v>--</v>
      </c>
    </row>
    <row r="741" spans="1:14">
      <c r="A741" s="1650" t="s">
        <v>3369</v>
      </c>
      <c r="B741" s="1649" t="s">
        <v>4036</v>
      </c>
      <c r="C741" s="1650" t="s">
        <v>115</v>
      </c>
      <c r="D741" s="1654" t="s">
        <v>115</v>
      </c>
      <c r="E741" s="1650" t="s">
        <v>115</v>
      </c>
      <c r="F741" s="1654" t="s">
        <v>115</v>
      </c>
      <c r="G741" s="1650" t="s">
        <v>115</v>
      </c>
      <c r="H741" s="1654">
        <v>1.0000000000000001E-5</v>
      </c>
      <c r="I741" s="1650" t="s">
        <v>1275</v>
      </c>
      <c r="J741" s="1654" t="s">
        <v>115</v>
      </c>
      <c r="K741" s="1655"/>
      <c r="L741" t="str">
        <f t="shared" si="33"/>
        <v/>
      </c>
      <c r="M741" t="str">
        <f t="shared" si="34"/>
        <v/>
      </c>
      <c r="N741" t="str">
        <f t="shared" si="35"/>
        <v>--</v>
      </c>
    </row>
    <row r="742" spans="1:14">
      <c r="A742" s="1650" t="s">
        <v>3371</v>
      </c>
      <c r="B742" s="1649" t="s">
        <v>4037</v>
      </c>
      <c r="C742" s="1650" t="s">
        <v>115</v>
      </c>
      <c r="D742" s="1654" t="s">
        <v>115</v>
      </c>
      <c r="E742" s="1650" t="s">
        <v>115</v>
      </c>
      <c r="F742" s="1654" t="s">
        <v>115</v>
      </c>
      <c r="G742" s="1650" t="s">
        <v>115</v>
      </c>
      <c r="H742" s="1654">
        <v>2.0000000000000002E-5</v>
      </c>
      <c r="I742" s="1650" t="s">
        <v>3603</v>
      </c>
      <c r="J742" s="1654" t="s">
        <v>115</v>
      </c>
      <c r="K742" s="1655" t="s">
        <v>115</v>
      </c>
      <c r="L742" t="str">
        <f t="shared" si="33"/>
        <v/>
      </c>
      <c r="M742" t="str">
        <f t="shared" si="34"/>
        <v/>
      </c>
      <c r="N742" t="str">
        <f t="shared" si="35"/>
        <v>--</v>
      </c>
    </row>
    <row r="743" spans="1:14">
      <c r="A743" s="1650" t="s">
        <v>3373</v>
      </c>
      <c r="B743" s="1649" t="s">
        <v>3374</v>
      </c>
      <c r="C743" s="1650" t="s">
        <v>115</v>
      </c>
      <c r="D743" s="1654" t="s">
        <v>115</v>
      </c>
      <c r="E743" s="1650" t="s">
        <v>115</v>
      </c>
      <c r="F743" s="1654" t="s">
        <v>115</v>
      </c>
      <c r="G743" s="1650" t="s">
        <v>115</v>
      </c>
      <c r="H743" s="1654">
        <v>4.2999999999999997E-2</v>
      </c>
      <c r="I743" s="1650" t="s">
        <v>3663</v>
      </c>
      <c r="J743" s="1654" t="s">
        <v>115</v>
      </c>
      <c r="K743" s="1655" t="s">
        <v>115</v>
      </c>
      <c r="L743" t="str">
        <f t="shared" si="33"/>
        <v/>
      </c>
      <c r="M743" t="str">
        <f t="shared" si="34"/>
        <v/>
      </c>
      <c r="N743" t="str">
        <f t="shared" si="35"/>
        <v>--</v>
      </c>
    </row>
    <row r="744" spans="1:14">
      <c r="A744" s="1650" t="s">
        <v>3375</v>
      </c>
      <c r="B744" s="1649" t="s">
        <v>3376</v>
      </c>
      <c r="C744" s="1650" t="s">
        <v>115</v>
      </c>
      <c r="D744" s="1654" t="s">
        <v>115</v>
      </c>
      <c r="E744" s="1650" t="s">
        <v>115</v>
      </c>
      <c r="F744" s="1654" t="s">
        <v>115</v>
      </c>
      <c r="G744" s="1650" t="s">
        <v>115</v>
      </c>
      <c r="H744" s="1654">
        <v>0.01</v>
      </c>
      <c r="I744" s="1650" t="s">
        <v>1277</v>
      </c>
      <c r="J744" s="1654" t="s">
        <v>115</v>
      </c>
      <c r="K744" s="1655" t="s">
        <v>115</v>
      </c>
      <c r="L744" t="str">
        <f t="shared" si="33"/>
        <v/>
      </c>
      <c r="M744" t="str">
        <f t="shared" si="34"/>
        <v/>
      </c>
      <c r="N744" t="str">
        <f t="shared" si="35"/>
        <v>--</v>
      </c>
    </row>
    <row r="745" spans="1:14">
      <c r="A745" s="1650" t="s">
        <v>4038</v>
      </c>
      <c r="B745" s="1649" t="s">
        <v>3378</v>
      </c>
      <c r="C745" s="1650" t="s">
        <v>115</v>
      </c>
      <c r="D745" s="1654" t="s">
        <v>115</v>
      </c>
      <c r="E745" s="1650" t="s">
        <v>115</v>
      </c>
      <c r="F745" s="1654" t="s">
        <v>115</v>
      </c>
      <c r="G745" s="1650" t="s">
        <v>115</v>
      </c>
      <c r="H745" s="1654">
        <v>2.0000000000000001E-4</v>
      </c>
      <c r="I745" s="1650" t="s">
        <v>1247</v>
      </c>
      <c r="J745" s="1654" t="s">
        <v>115</v>
      </c>
      <c r="K745" s="1655" t="s">
        <v>115</v>
      </c>
      <c r="L745" t="str">
        <f t="shared" si="33"/>
        <v/>
      </c>
      <c r="M745" t="str">
        <f t="shared" si="34"/>
        <v/>
      </c>
      <c r="N745" t="str">
        <f t="shared" si="35"/>
        <v>--</v>
      </c>
    </row>
    <row r="746" spans="1:14">
      <c r="A746" s="1650" t="s">
        <v>3379</v>
      </c>
      <c r="B746" s="1649" t="s">
        <v>4039</v>
      </c>
      <c r="C746" s="1650" t="s">
        <v>115</v>
      </c>
      <c r="D746" s="1654" t="s">
        <v>115</v>
      </c>
      <c r="E746" s="1650" t="s">
        <v>115</v>
      </c>
      <c r="F746" s="1654" t="s">
        <v>115</v>
      </c>
      <c r="G746" s="1650" t="s">
        <v>115</v>
      </c>
      <c r="H746" s="1654">
        <v>2.0000000000000001E-4</v>
      </c>
      <c r="I746" s="1650" t="s">
        <v>1247</v>
      </c>
      <c r="J746" s="1654">
        <v>0.8</v>
      </c>
      <c r="K746" s="1655" t="s">
        <v>3605</v>
      </c>
      <c r="L746" t="str">
        <f t="shared" si="33"/>
        <v/>
      </c>
      <c r="M746" t="str">
        <f t="shared" si="34"/>
        <v>Route RfC</v>
      </c>
      <c r="N746" t="str">
        <f t="shared" si="35"/>
        <v>Route RfC</v>
      </c>
    </row>
    <row r="747" spans="1:14" ht="25.5">
      <c r="A747" s="1650" t="s">
        <v>3381</v>
      </c>
      <c r="B747" s="1649" t="s">
        <v>4040</v>
      </c>
      <c r="C747" s="1650" t="s">
        <v>115</v>
      </c>
      <c r="D747" s="1654" t="s">
        <v>115</v>
      </c>
      <c r="E747" s="1650" t="s">
        <v>115</v>
      </c>
      <c r="F747" s="1654" t="s">
        <v>115</v>
      </c>
      <c r="G747" s="1650" t="s">
        <v>115</v>
      </c>
      <c r="H747" s="1654">
        <v>0.03</v>
      </c>
      <c r="I747" s="1650" t="s">
        <v>3616</v>
      </c>
      <c r="J747" s="1654" t="s">
        <v>115</v>
      </c>
      <c r="K747" s="1655" t="s">
        <v>115</v>
      </c>
      <c r="L747" t="str">
        <f t="shared" si="33"/>
        <v/>
      </c>
      <c r="M747" t="str">
        <f t="shared" si="34"/>
        <v/>
      </c>
      <c r="N747" t="str">
        <f t="shared" si="35"/>
        <v>--</v>
      </c>
    </row>
    <row r="748" spans="1:14">
      <c r="A748" s="1650" t="s">
        <v>3383</v>
      </c>
      <c r="B748" s="1649" t="s">
        <v>3384</v>
      </c>
      <c r="C748" s="1650" t="s">
        <v>115</v>
      </c>
      <c r="D748" s="1654" t="s">
        <v>115</v>
      </c>
      <c r="E748" s="1650" t="s">
        <v>115</v>
      </c>
      <c r="F748" s="1654" t="s">
        <v>115</v>
      </c>
      <c r="G748" s="1650" t="s">
        <v>115</v>
      </c>
      <c r="H748" s="1654">
        <v>7.0000000000000007E-2</v>
      </c>
      <c r="I748" s="1650" t="s">
        <v>3603</v>
      </c>
      <c r="J748" s="1654" t="s">
        <v>115</v>
      </c>
      <c r="K748" s="1655" t="s">
        <v>115</v>
      </c>
      <c r="L748" t="str">
        <f t="shared" si="33"/>
        <v/>
      </c>
      <c r="M748" t="str">
        <f t="shared" si="34"/>
        <v/>
      </c>
      <c r="N748" t="str">
        <f t="shared" si="35"/>
        <v>--</v>
      </c>
    </row>
    <row r="749" spans="1:14">
      <c r="A749" s="1650" t="s">
        <v>3385</v>
      </c>
      <c r="B749" s="1649" t="s">
        <v>3386</v>
      </c>
      <c r="C749" s="1650" t="s">
        <v>115</v>
      </c>
      <c r="D749" s="1654" t="s">
        <v>115</v>
      </c>
      <c r="E749" s="1650" t="s">
        <v>115</v>
      </c>
      <c r="F749" s="1654" t="s">
        <v>115</v>
      </c>
      <c r="G749" s="1650" t="s">
        <v>115</v>
      </c>
      <c r="H749" s="1654">
        <v>2.9999999999999997E-4</v>
      </c>
      <c r="I749" s="1650" t="s">
        <v>3616</v>
      </c>
      <c r="J749" s="1654" t="s">
        <v>115</v>
      </c>
      <c r="K749" s="1655" t="s">
        <v>115</v>
      </c>
      <c r="L749" t="str">
        <f t="shared" si="33"/>
        <v/>
      </c>
      <c r="M749" t="str">
        <f t="shared" si="34"/>
        <v/>
      </c>
      <c r="N749" t="str">
        <f t="shared" si="35"/>
        <v>--</v>
      </c>
    </row>
    <row r="750" spans="1:14">
      <c r="A750" s="1650" t="s">
        <v>3387</v>
      </c>
      <c r="B750" s="1649" t="s">
        <v>4041</v>
      </c>
      <c r="C750" s="1650" t="s">
        <v>115</v>
      </c>
      <c r="D750" s="1654">
        <v>1.2E-2</v>
      </c>
      <c r="E750" s="1650" t="s">
        <v>3663</v>
      </c>
      <c r="F750" s="1654" t="s">
        <v>115</v>
      </c>
      <c r="G750" s="1650" t="s">
        <v>115</v>
      </c>
      <c r="H750" s="1654">
        <v>0.16</v>
      </c>
      <c r="I750" s="1650" t="s">
        <v>3663</v>
      </c>
      <c r="J750" s="1654" t="s">
        <v>115</v>
      </c>
      <c r="K750" s="1655" t="s">
        <v>115</v>
      </c>
      <c r="L750" t="str">
        <f t="shared" si="33"/>
        <v/>
      </c>
      <c r="M750" t="str">
        <f t="shared" si="34"/>
        <v/>
      </c>
      <c r="N750" t="str">
        <f t="shared" si="35"/>
        <v>--</v>
      </c>
    </row>
    <row r="751" spans="1:14">
      <c r="A751" s="1650" t="s">
        <v>3389</v>
      </c>
      <c r="B751" s="1649" t="s">
        <v>3390</v>
      </c>
      <c r="C751" s="1650" t="s">
        <v>115</v>
      </c>
      <c r="D751" s="1654" t="s">
        <v>115</v>
      </c>
      <c r="E751" s="1650" t="s">
        <v>115</v>
      </c>
      <c r="F751" s="1654" t="s">
        <v>115</v>
      </c>
      <c r="G751" s="1650" t="s">
        <v>115</v>
      </c>
      <c r="H751" s="1654">
        <v>1.4999999999999999E-2</v>
      </c>
      <c r="I751" s="1650" t="s">
        <v>3663</v>
      </c>
      <c r="J751" s="1654" t="s">
        <v>115</v>
      </c>
      <c r="K751" s="1655" t="s">
        <v>115</v>
      </c>
      <c r="L751" t="str">
        <f t="shared" si="33"/>
        <v/>
      </c>
      <c r="M751" t="str">
        <f t="shared" si="34"/>
        <v/>
      </c>
      <c r="N751" t="str">
        <f t="shared" si="35"/>
        <v>--</v>
      </c>
    </row>
    <row r="752" spans="1:14">
      <c r="A752" s="1650" t="s">
        <v>3391</v>
      </c>
      <c r="B752" s="1649" t="s">
        <v>3392</v>
      </c>
      <c r="C752" s="1650" t="s">
        <v>115</v>
      </c>
      <c r="D752" s="1654" t="s">
        <v>115</v>
      </c>
      <c r="E752" s="1650" t="s">
        <v>115</v>
      </c>
      <c r="F752" s="1654" t="s">
        <v>115</v>
      </c>
      <c r="G752" s="1650" t="s">
        <v>115</v>
      </c>
      <c r="H752" s="1654">
        <v>0.6</v>
      </c>
      <c r="I752" s="1650" t="s">
        <v>3616</v>
      </c>
      <c r="J752" s="1654" t="s">
        <v>115</v>
      </c>
      <c r="K752" s="1655" t="s">
        <v>115</v>
      </c>
      <c r="L752" t="str">
        <f t="shared" si="33"/>
        <v/>
      </c>
      <c r="M752" t="str">
        <f t="shared" si="34"/>
        <v/>
      </c>
      <c r="N752" t="str">
        <f t="shared" si="35"/>
        <v>--</v>
      </c>
    </row>
    <row r="753" spans="1:14">
      <c r="A753" s="1650" t="s">
        <v>3393</v>
      </c>
      <c r="B753" s="1649" t="s">
        <v>4042</v>
      </c>
      <c r="C753" s="1650" t="s">
        <v>115</v>
      </c>
      <c r="D753" s="1654" t="s">
        <v>115</v>
      </c>
      <c r="E753" s="1650" t="s">
        <v>115</v>
      </c>
      <c r="F753" s="1654" t="s">
        <v>115</v>
      </c>
      <c r="G753" s="1650" t="s">
        <v>115</v>
      </c>
      <c r="H753" s="1654" t="s">
        <v>115</v>
      </c>
      <c r="I753" s="1650" t="s">
        <v>115</v>
      </c>
      <c r="J753" s="1654">
        <v>0.1</v>
      </c>
      <c r="K753" s="1655" t="s">
        <v>1280</v>
      </c>
      <c r="L753" t="str">
        <f t="shared" si="33"/>
        <v/>
      </c>
      <c r="M753" t="str">
        <f t="shared" si="34"/>
        <v/>
      </c>
      <c r="N753" t="str">
        <f t="shared" si="35"/>
        <v>--</v>
      </c>
    </row>
    <row r="754" spans="1:14" ht="14.25">
      <c r="A754" s="1650" t="s">
        <v>322</v>
      </c>
      <c r="B754" s="1649" t="s">
        <v>321</v>
      </c>
      <c r="C754" s="1650" t="s">
        <v>115</v>
      </c>
      <c r="D754" s="1654" t="s">
        <v>115</v>
      </c>
      <c r="E754" s="1650" t="s">
        <v>115</v>
      </c>
      <c r="F754" s="1654" t="s">
        <v>115</v>
      </c>
      <c r="G754" s="1650" t="s">
        <v>115</v>
      </c>
      <c r="H754" s="1654">
        <v>0.08</v>
      </c>
      <c r="I754" s="1650" t="s">
        <v>1277</v>
      </c>
      <c r="J754" s="1654">
        <v>420</v>
      </c>
      <c r="K754" s="1655" t="s">
        <v>4043</v>
      </c>
      <c r="L754" t="str">
        <f t="shared" si="33"/>
        <v/>
      </c>
      <c r="M754" t="str">
        <f t="shared" si="34"/>
        <v/>
      </c>
      <c r="N754" t="str">
        <f t="shared" si="35"/>
        <v>--</v>
      </c>
    </row>
    <row r="755" spans="1:14">
      <c r="A755" s="1650" t="s">
        <v>4044</v>
      </c>
      <c r="B755" s="1649" t="s">
        <v>4045</v>
      </c>
      <c r="C755" s="1650" t="s">
        <v>115</v>
      </c>
      <c r="D755" s="1654">
        <v>3.9E-2</v>
      </c>
      <c r="E755" s="1650" t="s">
        <v>1234</v>
      </c>
      <c r="F755" s="1654">
        <v>1.1E-5</v>
      </c>
      <c r="G755" s="1650" t="s">
        <v>1234</v>
      </c>
      <c r="H755" s="1654" t="s">
        <v>115</v>
      </c>
      <c r="I755" s="1650" t="s">
        <v>115</v>
      </c>
      <c r="J755" s="1654">
        <v>8.0000000000000002E-3</v>
      </c>
      <c r="K755" s="1655" t="s">
        <v>1234</v>
      </c>
      <c r="L755" t="str">
        <f t="shared" si="33"/>
        <v/>
      </c>
      <c r="M755" t="str">
        <f t="shared" si="34"/>
        <v/>
      </c>
      <c r="N755" t="str">
        <f t="shared" si="35"/>
        <v>--</v>
      </c>
    </row>
    <row r="756" spans="1:14">
      <c r="A756" s="1650" t="s">
        <v>3395</v>
      </c>
      <c r="B756" s="1649" t="s">
        <v>3396</v>
      </c>
      <c r="C756" s="1650" t="s">
        <v>115</v>
      </c>
      <c r="D756" s="1654">
        <v>3.9E-2</v>
      </c>
      <c r="E756" s="1650" t="s">
        <v>3600</v>
      </c>
      <c r="F756" s="1654">
        <v>1.1E-5</v>
      </c>
      <c r="G756" s="1650" t="s">
        <v>1234</v>
      </c>
      <c r="H756" s="1654" t="s">
        <v>115</v>
      </c>
      <c r="I756" s="1650" t="s">
        <v>115</v>
      </c>
      <c r="J756" s="1654">
        <v>8.0000000000000002E-3</v>
      </c>
      <c r="K756" s="1655" t="s">
        <v>3600</v>
      </c>
      <c r="L756" t="str">
        <f t="shared" si="33"/>
        <v/>
      </c>
      <c r="M756" t="str">
        <f t="shared" si="34"/>
        <v/>
      </c>
      <c r="N756" t="str">
        <f t="shared" si="35"/>
        <v>--</v>
      </c>
    </row>
    <row r="757" spans="1:14">
      <c r="A757" s="1650" t="s">
        <v>3401</v>
      </c>
      <c r="B757" s="1649" t="s">
        <v>4046</v>
      </c>
      <c r="C757" s="1650" t="s">
        <v>115</v>
      </c>
      <c r="D757" s="1654">
        <v>0.18</v>
      </c>
      <c r="E757" s="1650" t="s">
        <v>3603</v>
      </c>
      <c r="F757" s="1654" t="s">
        <v>115</v>
      </c>
      <c r="G757" s="1650" t="s">
        <v>115</v>
      </c>
      <c r="H757" s="1654">
        <v>2.0000000000000001E-4</v>
      </c>
      <c r="I757" s="1650" t="s">
        <v>3603</v>
      </c>
      <c r="J757" s="1654" t="s">
        <v>115</v>
      </c>
      <c r="K757" s="1655" t="s">
        <v>115</v>
      </c>
      <c r="L757" t="str">
        <f t="shared" si="33"/>
        <v/>
      </c>
      <c r="M757" t="str">
        <f t="shared" si="34"/>
        <v/>
      </c>
      <c r="N757" t="str">
        <f t="shared" si="35"/>
        <v>--</v>
      </c>
    </row>
    <row r="758" spans="1:14">
      <c r="A758" s="1650" t="s">
        <v>3397</v>
      </c>
      <c r="B758" s="1649" t="s">
        <v>3398</v>
      </c>
      <c r="C758" s="1650" t="s">
        <v>115</v>
      </c>
      <c r="D758" s="1654">
        <v>3.9E-2</v>
      </c>
      <c r="E758" s="1650" t="s">
        <v>3600</v>
      </c>
      <c r="F758" s="1654">
        <v>1.1E-5</v>
      </c>
      <c r="G758" s="1650" t="s">
        <v>1234</v>
      </c>
      <c r="H758" s="1654" t="s">
        <v>115</v>
      </c>
      <c r="I758" s="1650" t="s">
        <v>115</v>
      </c>
      <c r="J758" s="1654">
        <v>8.0000000000000002E-3</v>
      </c>
      <c r="K758" s="1655" t="s">
        <v>3600</v>
      </c>
      <c r="L758" t="str">
        <f t="shared" si="33"/>
        <v/>
      </c>
      <c r="M758" t="str">
        <f t="shared" si="34"/>
        <v/>
      </c>
      <c r="N758" t="str">
        <f t="shared" si="35"/>
        <v>--</v>
      </c>
    </row>
    <row r="759" spans="1:14">
      <c r="A759" s="1650" t="s">
        <v>324</v>
      </c>
      <c r="B759" s="1649" t="s">
        <v>323</v>
      </c>
      <c r="C759" s="1650" t="s">
        <v>115</v>
      </c>
      <c r="D759" s="1654">
        <v>1.2</v>
      </c>
      <c r="E759" s="1650" t="s">
        <v>3600</v>
      </c>
      <c r="F759" s="1654">
        <v>3.2000000000000003E-4</v>
      </c>
      <c r="G759" s="1650" t="s">
        <v>1277</v>
      </c>
      <c r="H759" s="1654">
        <v>9.0000000000000006E-5</v>
      </c>
      <c r="I759" s="1650" t="s">
        <v>1247</v>
      </c>
      <c r="J759" s="1654" t="s">
        <v>115</v>
      </c>
      <c r="K759" s="1655" t="s">
        <v>115</v>
      </c>
      <c r="L759" t="str">
        <f t="shared" si="33"/>
        <v/>
      </c>
      <c r="M759" t="str">
        <f t="shared" si="34"/>
        <v/>
      </c>
      <c r="N759" t="str">
        <f t="shared" si="35"/>
        <v>--</v>
      </c>
    </row>
    <row r="760" spans="1:14">
      <c r="A760" s="1650" t="s">
        <v>3424</v>
      </c>
      <c r="B760" s="1649" t="s">
        <v>3425</v>
      </c>
      <c r="C760" s="1650" t="s">
        <v>115</v>
      </c>
      <c r="D760" s="1654" t="s">
        <v>115</v>
      </c>
      <c r="E760" s="1650" t="s">
        <v>115</v>
      </c>
      <c r="F760" s="1654" t="s">
        <v>115</v>
      </c>
      <c r="G760" s="1650" t="s">
        <v>115</v>
      </c>
      <c r="H760" s="1654">
        <v>7.4999999999999997E-3</v>
      </c>
      <c r="I760" s="1650" t="s">
        <v>1277</v>
      </c>
      <c r="J760" s="1654" t="s">
        <v>115</v>
      </c>
      <c r="K760" s="1655" t="s">
        <v>115</v>
      </c>
      <c r="L760" t="str">
        <f t="shared" si="33"/>
        <v/>
      </c>
      <c r="M760" t="str">
        <f t="shared" si="34"/>
        <v/>
      </c>
      <c r="N760" t="str">
        <f t="shared" si="35"/>
        <v>--</v>
      </c>
    </row>
    <row r="761" spans="1:14">
      <c r="A761" s="1650" t="s">
        <v>172</v>
      </c>
      <c r="B761" s="1649" t="s">
        <v>171</v>
      </c>
      <c r="C761" s="1650" t="s">
        <v>115</v>
      </c>
      <c r="D761" s="1654" t="s">
        <v>115</v>
      </c>
      <c r="E761" s="1650" t="s">
        <v>115</v>
      </c>
      <c r="F761" s="1654" t="s">
        <v>115</v>
      </c>
      <c r="G761" s="1650" t="s">
        <v>115</v>
      </c>
      <c r="H761" s="1654">
        <v>0.02</v>
      </c>
      <c r="I761" s="1650" t="s">
        <v>1277</v>
      </c>
      <c r="J761" s="1654">
        <v>40</v>
      </c>
      <c r="K761" s="1655" t="s">
        <v>3603</v>
      </c>
      <c r="L761" t="str">
        <f t="shared" si="33"/>
        <v/>
      </c>
      <c r="M761" t="str">
        <f t="shared" si="34"/>
        <v/>
      </c>
      <c r="N761" t="str">
        <f t="shared" si="35"/>
        <v>--</v>
      </c>
    </row>
    <row r="762" spans="1:14">
      <c r="A762" s="1650" t="s">
        <v>2287</v>
      </c>
      <c r="B762" s="1649" t="s">
        <v>4047</v>
      </c>
      <c r="C762" s="1650" t="s">
        <v>115</v>
      </c>
      <c r="D762" s="1654" t="s">
        <v>115</v>
      </c>
      <c r="E762" s="1650" t="s">
        <v>115</v>
      </c>
      <c r="F762" s="1654">
        <v>4.1999999999999997E-3</v>
      </c>
      <c r="G762" s="1650" t="s">
        <v>1247</v>
      </c>
      <c r="H762" s="1654" t="s">
        <v>115</v>
      </c>
      <c r="I762" s="1650" t="s">
        <v>115</v>
      </c>
      <c r="J762" s="1654" t="s">
        <v>115</v>
      </c>
      <c r="K762" s="1655" t="s">
        <v>115</v>
      </c>
      <c r="L762" t="str">
        <f t="shared" si="33"/>
        <v/>
      </c>
      <c r="M762" t="str">
        <f t="shared" si="34"/>
        <v/>
      </c>
      <c r="N762" t="str">
        <f t="shared" si="35"/>
        <v>--</v>
      </c>
    </row>
    <row r="763" spans="1:14">
      <c r="A763" s="1650" t="s">
        <v>2204</v>
      </c>
      <c r="B763" s="1649" t="s">
        <v>4048</v>
      </c>
      <c r="C763" s="1650" t="s">
        <v>115</v>
      </c>
      <c r="D763" s="1654">
        <v>1.9</v>
      </c>
      <c r="E763" s="1650" t="s">
        <v>3616</v>
      </c>
      <c r="F763" s="1654">
        <v>4.8000000000000001E-4</v>
      </c>
      <c r="G763" s="1650" t="s">
        <v>3789</v>
      </c>
      <c r="H763" s="1654">
        <v>1E-3</v>
      </c>
      <c r="I763" s="1650" t="s">
        <v>1247</v>
      </c>
      <c r="J763" s="1654">
        <v>4</v>
      </c>
      <c r="K763" s="1655" t="s">
        <v>3605</v>
      </c>
      <c r="L763" t="str">
        <f t="shared" si="33"/>
        <v>Route IUR</v>
      </c>
      <c r="M763" t="str">
        <f t="shared" si="34"/>
        <v>Route RfC</v>
      </c>
      <c r="N763" t="str">
        <f t="shared" si="35"/>
        <v>Route IUR &amp; RfC</v>
      </c>
    </row>
    <row r="764" spans="1:14">
      <c r="A764" s="1650" t="s">
        <v>3428</v>
      </c>
      <c r="B764" s="1649" t="s">
        <v>3429</v>
      </c>
      <c r="C764" s="1650" t="s">
        <v>115</v>
      </c>
      <c r="D764" s="1654" t="s">
        <v>115</v>
      </c>
      <c r="E764" s="1650" t="s">
        <v>115</v>
      </c>
      <c r="F764" s="1654" t="s">
        <v>115</v>
      </c>
      <c r="G764" s="1650" t="s">
        <v>115</v>
      </c>
      <c r="H764" s="1654">
        <v>80</v>
      </c>
      <c r="I764" s="1650" t="s">
        <v>3603</v>
      </c>
      <c r="J764" s="1654" t="s">
        <v>115</v>
      </c>
      <c r="K764" s="1655" t="s">
        <v>115</v>
      </c>
      <c r="L764" t="str">
        <f t="shared" si="33"/>
        <v/>
      </c>
      <c r="M764" t="str">
        <f t="shared" si="34"/>
        <v/>
      </c>
      <c r="N764" t="str">
        <f t="shared" si="35"/>
        <v>--</v>
      </c>
    </row>
    <row r="765" spans="1:14">
      <c r="A765" s="1650" t="s">
        <v>3430</v>
      </c>
      <c r="B765" s="1649" t="s">
        <v>3431</v>
      </c>
      <c r="C765" s="1650" t="s">
        <v>115</v>
      </c>
      <c r="D765" s="1654" t="s">
        <v>115</v>
      </c>
      <c r="E765" s="1650" t="s">
        <v>115</v>
      </c>
      <c r="F765" s="1654" t="s">
        <v>115</v>
      </c>
      <c r="G765" s="1650" t="s">
        <v>115</v>
      </c>
      <c r="H765" s="1654">
        <v>3.4000000000000002E-2</v>
      </c>
      <c r="I765" s="1650" t="s">
        <v>3663</v>
      </c>
      <c r="J765" s="1654" t="s">
        <v>115</v>
      </c>
      <c r="K765" s="1655" t="s">
        <v>115</v>
      </c>
      <c r="L765" t="str">
        <f t="shared" si="33"/>
        <v/>
      </c>
      <c r="M765" t="str">
        <f t="shared" si="34"/>
        <v/>
      </c>
      <c r="N765" t="str">
        <f t="shared" si="35"/>
        <v>--</v>
      </c>
    </row>
    <row r="766" spans="1:14">
      <c r="A766" s="1650" t="s">
        <v>3432</v>
      </c>
      <c r="B766" s="1649" t="s">
        <v>3433</v>
      </c>
      <c r="C766" s="1650" t="s">
        <v>115</v>
      </c>
      <c r="D766" s="1654">
        <v>7.1999999999999995E-2</v>
      </c>
      <c r="E766" s="1650" t="s">
        <v>3663</v>
      </c>
      <c r="F766" s="1654">
        <v>1.8E-5</v>
      </c>
      <c r="G766" s="1650" t="s">
        <v>3766</v>
      </c>
      <c r="H766" s="1654">
        <v>2.5000000000000001E-2</v>
      </c>
      <c r="I766" s="1650" t="s">
        <v>3663</v>
      </c>
      <c r="J766" s="1654">
        <v>100</v>
      </c>
      <c r="K766" s="1655" t="s">
        <v>3766</v>
      </c>
      <c r="L766" t="str">
        <f t="shared" si="33"/>
        <v>Route IUR</v>
      </c>
      <c r="M766" t="str">
        <f t="shared" si="34"/>
        <v>Route RfC</v>
      </c>
      <c r="N766" t="str">
        <f t="shared" si="35"/>
        <v>Route IUR &amp; RfC</v>
      </c>
    </row>
    <row r="767" spans="1:14" ht="25.5">
      <c r="A767" s="1650" t="s">
        <v>3096</v>
      </c>
      <c r="B767" s="1649" t="s">
        <v>4049</v>
      </c>
      <c r="C767" s="1650" t="s">
        <v>115</v>
      </c>
      <c r="D767" s="1654" t="s">
        <v>115</v>
      </c>
      <c r="E767" s="1650" t="s">
        <v>115</v>
      </c>
      <c r="F767" s="1654" t="s">
        <v>115</v>
      </c>
      <c r="G767" s="1650" t="s">
        <v>115</v>
      </c>
      <c r="H767" s="1654">
        <v>3.3</v>
      </c>
      <c r="I767" s="1650" t="s">
        <v>3603</v>
      </c>
      <c r="J767" s="1654" t="s">
        <v>115</v>
      </c>
      <c r="K767" s="1655" t="s">
        <v>115</v>
      </c>
      <c r="L767" t="str">
        <f t="shared" si="33"/>
        <v/>
      </c>
      <c r="M767" t="str">
        <f t="shared" si="34"/>
        <v/>
      </c>
      <c r="N767" t="str">
        <f t="shared" si="35"/>
        <v>--</v>
      </c>
    </row>
    <row r="768" spans="1:14">
      <c r="A768" s="1650" t="s">
        <v>3434</v>
      </c>
      <c r="B768" s="1649" t="s">
        <v>3435</v>
      </c>
      <c r="C768" s="1650" t="s">
        <v>115</v>
      </c>
      <c r="D768" s="1654" t="s">
        <v>115</v>
      </c>
      <c r="E768" s="1650" t="s">
        <v>115</v>
      </c>
      <c r="F768" s="1654" t="s">
        <v>115</v>
      </c>
      <c r="G768" s="1650" t="s">
        <v>115</v>
      </c>
      <c r="H768" s="1654">
        <v>0.01</v>
      </c>
      <c r="I768" s="1650" t="s">
        <v>1277</v>
      </c>
      <c r="J768" s="1654" t="s">
        <v>115</v>
      </c>
      <c r="K768" s="1655" t="s">
        <v>115</v>
      </c>
      <c r="L768" t="str">
        <f t="shared" si="33"/>
        <v/>
      </c>
      <c r="M768" t="str">
        <f t="shared" si="34"/>
        <v/>
      </c>
      <c r="N768" t="str">
        <f t="shared" si="35"/>
        <v>--</v>
      </c>
    </row>
    <row r="769" spans="1:14">
      <c r="A769" s="1650" t="s">
        <v>3436</v>
      </c>
      <c r="B769" s="1649" t="s">
        <v>3437</v>
      </c>
      <c r="C769" s="1650" t="s">
        <v>115</v>
      </c>
      <c r="D769" s="1654" t="s">
        <v>115</v>
      </c>
      <c r="E769" s="1650" t="s">
        <v>115</v>
      </c>
      <c r="F769" s="1654" t="s">
        <v>115</v>
      </c>
      <c r="G769" s="1650" t="s">
        <v>115</v>
      </c>
      <c r="H769" s="1654">
        <v>8.0000000000000002E-3</v>
      </c>
      <c r="I769" s="1650" t="s">
        <v>1277</v>
      </c>
      <c r="J769" s="1654" t="s">
        <v>115</v>
      </c>
      <c r="K769" s="1655" t="s">
        <v>115</v>
      </c>
      <c r="L769" t="str">
        <f t="shared" si="33"/>
        <v/>
      </c>
      <c r="M769" t="str">
        <f t="shared" si="34"/>
        <v/>
      </c>
      <c r="N769" t="str">
        <f t="shared" si="35"/>
        <v>--</v>
      </c>
    </row>
    <row r="770" spans="1:14">
      <c r="A770" s="1650" t="s">
        <v>3444</v>
      </c>
      <c r="B770" s="1649" t="s">
        <v>4050</v>
      </c>
      <c r="C770" s="1650" t="s">
        <v>115</v>
      </c>
      <c r="D770" s="1654">
        <v>8.9999999999999993E-3</v>
      </c>
      <c r="E770" s="1650" t="s">
        <v>1247</v>
      </c>
      <c r="F770" s="1654" t="s">
        <v>115</v>
      </c>
      <c r="G770" s="1650" t="s">
        <v>115</v>
      </c>
      <c r="H770" s="1654">
        <v>0.01</v>
      </c>
      <c r="I770" s="1650" t="s">
        <v>1247</v>
      </c>
      <c r="J770" s="1654" t="s">
        <v>115</v>
      </c>
      <c r="K770" s="1655" t="s">
        <v>115</v>
      </c>
      <c r="L770" t="str">
        <f t="shared" si="33"/>
        <v/>
      </c>
      <c r="M770" t="str">
        <f t="shared" si="34"/>
        <v/>
      </c>
      <c r="N770" t="str">
        <f t="shared" si="35"/>
        <v>--</v>
      </c>
    </row>
    <row r="771" spans="1:14">
      <c r="A771" s="1650" t="s">
        <v>3426</v>
      </c>
      <c r="B771" s="1649" t="s">
        <v>4051</v>
      </c>
      <c r="C771" s="1650" t="s">
        <v>115</v>
      </c>
      <c r="D771" s="1654" t="s">
        <v>115</v>
      </c>
      <c r="E771" s="1650" t="s">
        <v>115</v>
      </c>
      <c r="F771" s="1654" t="s">
        <v>115</v>
      </c>
      <c r="G771" s="1650" t="s">
        <v>115</v>
      </c>
      <c r="H771" s="1654">
        <v>2.9999999999999997E-4</v>
      </c>
      <c r="I771" s="1650" t="s">
        <v>1247</v>
      </c>
      <c r="J771" s="1654">
        <v>1.2</v>
      </c>
      <c r="K771" s="1655" t="s">
        <v>3605</v>
      </c>
      <c r="L771" t="str">
        <f t="shared" si="33"/>
        <v/>
      </c>
      <c r="M771" t="str">
        <f t="shared" si="34"/>
        <v>Route RfC</v>
      </c>
      <c r="N771" t="str">
        <f t="shared" si="35"/>
        <v>Route RfC</v>
      </c>
    </row>
    <row r="772" spans="1:14">
      <c r="A772" s="1650" t="s">
        <v>3446</v>
      </c>
      <c r="B772" s="1649" t="s">
        <v>3447</v>
      </c>
      <c r="C772" s="1650" t="s">
        <v>115</v>
      </c>
      <c r="D772" s="1654" t="s">
        <v>115</v>
      </c>
      <c r="E772" s="1650" t="s">
        <v>115</v>
      </c>
      <c r="F772" s="1654" t="s">
        <v>115</v>
      </c>
      <c r="G772" s="1650" t="s">
        <v>115</v>
      </c>
      <c r="H772" s="1654">
        <v>2.9999999999999997E-4</v>
      </c>
      <c r="I772" s="1650" t="s">
        <v>1247</v>
      </c>
      <c r="J772" s="1654" t="s">
        <v>115</v>
      </c>
      <c r="K772" s="1655" t="s">
        <v>115</v>
      </c>
      <c r="L772" t="str">
        <f t="shared" si="33"/>
        <v/>
      </c>
      <c r="M772" t="str">
        <f t="shared" si="34"/>
        <v/>
      </c>
      <c r="N772" t="str">
        <f t="shared" si="35"/>
        <v>--</v>
      </c>
    </row>
    <row r="773" spans="1:14">
      <c r="A773" s="1650" t="s">
        <v>3448</v>
      </c>
      <c r="B773" s="1649" t="s">
        <v>4052</v>
      </c>
      <c r="C773" s="1650" t="s">
        <v>115</v>
      </c>
      <c r="D773" s="1654" t="s">
        <v>115</v>
      </c>
      <c r="E773" s="1650" t="s">
        <v>115</v>
      </c>
      <c r="F773" s="1654" t="s">
        <v>115</v>
      </c>
      <c r="G773" s="1650" t="s">
        <v>115</v>
      </c>
      <c r="H773" s="1654">
        <v>2.9999999999999997E-4</v>
      </c>
      <c r="I773" s="1650" t="s">
        <v>1277</v>
      </c>
      <c r="J773" s="1654" t="s">
        <v>115</v>
      </c>
      <c r="K773" s="1655" t="s">
        <v>115</v>
      </c>
      <c r="L773" t="str">
        <f t="shared" si="33"/>
        <v/>
      </c>
      <c r="M773" t="str">
        <f t="shared" si="34"/>
        <v/>
      </c>
      <c r="N773" t="str">
        <f t="shared" si="35"/>
        <v>--</v>
      </c>
    </row>
    <row r="774" spans="1:14">
      <c r="A774" s="1650" t="s">
        <v>3454</v>
      </c>
      <c r="B774" s="1649" t="s">
        <v>4053</v>
      </c>
      <c r="C774" s="1650" t="s">
        <v>115</v>
      </c>
      <c r="D774" s="1654">
        <v>7.0000000000000007E-2</v>
      </c>
      <c r="E774" s="1650" t="s">
        <v>1277</v>
      </c>
      <c r="F774" s="1654" t="s">
        <v>115</v>
      </c>
      <c r="G774" s="1650" t="s">
        <v>115</v>
      </c>
      <c r="H774" s="1654">
        <v>0.02</v>
      </c>
      <c r="I774" s="1650" t="s">
        <v>1277</v>
      </c>
      <c r="J774" s="1654" t="s">
        <v>115</v>
      </c>
      <c r="K774" s="1655" t="s">
        <v>115</v>
      </c>
      <c r="L774" t="str">
        <f t="shared" ref="L774:L808" si="36">IF(COUNTIF(G774,"*Route*"),"Route IUR","")</f>
        <v/>
      </c>
      <c r="M774" t="str">
        <f t="shared" ref="M774:M808" si="37">IF(COUNTIF(K774,"*Route*"),"Route RfC","")</f>
        <v/>
      </c>
      <c r="N774" t="str">
        <f t="shared" ref="N774:N808" si="38">IF(AND(L774&lt;&gt;"",M774&lt;&gt;""),"Route IUR &amp; RfC",IF(L774&lt;&gt;"","Route IUR",IF(M774&lt;&gt;"","Route RfC","--")))</f>
        <v>--</v>
      </c>
    </row>
    <row r="775" spans="1:14">
      <c r="A775" s="1650" t="s">
        <v>332</v>
      </c>
      <c r="B775" s="1649" t="s">
        <v>331</v>
      </c>
      <c r="C775" s="1650" t="s">
        <v>1906</v>
      </c>
      <c r="D775" s="1654">
        <v>4.5999999999999999E-2</v>
      </c>
      <c r="E775" s="1650" t="s">
        <v>1277</v>
      </c>
      <c r="F775" s="1654">
        <v>4.0999999999999997E-6</v>
      </c>
      <c r="G775" s="1650" t="s">
        <v>1277</v>
      </c>
      <c r="H775" s="1654">
        <v>5.0000000000000001E-4</v>
      </c>
      <c r="I775" s="1650" t="s">
        <v>1277</v>
      </c>
      <c r="J775" s="1654">
        <v>2</v>
      </c>
      <c r="K775" s="1655" t="s">
        <v>1277</v>
      </c>
      <c r="L775" t="str">
        <f t="shared" si="36"/>
        <v/>
      </c>
      <c r="M775" t="str">
        <f t="shared" si="37"/>
        <v/>
      </c>
      <c r="N775" t="str">
        <f t="shared" si="38"/>
        <v>--</v>
      </c>
    </row>
    <row r="776" spans="1:14">
      <c r="A776" s="1650" t="s">
        <v>3466</v>
      </c>
      <c r="B776" s="1649" t="s">
        <v>3467</v>
      </c>
      <c r="C776" s="1650" t="s">
        <v>115</v>
      </c>
      <c r="D776" s="1654" t="s">
        <v>115</v>
      </c>
      <c r="E776" s="1650" t="s">
        <v>115</v>
      </c>
      <c r="F776" s="1654" t="s">
        <v>115</v>
      </c>
      <c r="G776" s="1650" t="s">
        <v>115</v>
      </c>
      <c r="H776" s="1654">
        <v>0.3</v>
      </c>
      <c r="I776" s="1650" t="s">
        <v>1277</v>
      </c>
      <c r="J776" s="1654">
        <v>1200</v>
      </c>
      <c r="K776" s="1655" t="s">
        <v>3598</v>
      </c>
      <c r="L776" t="str">
        <f t="shared" si="36"/>
        <v/>
      </c>
      <c r="M776" t="str">
        <f t="shared" si="37"/>
        <v>Route RfC</v>
      </c>
      <c r="N776" t="str">
        <f t="shared" si="38"/>
        <v>Route RfC</v>
      </c>
    </row>
    <row r="777" spans="1:14">
      <c r="A777" s="1650" t="s">
        <v>3479</v>
      </c>
      <c r="B777" s="1649" t="s">
        <v>4054</v>
      </c>
      <c r="C777" s="1650" t="s">
        <v>115</v>
      </c>
      <c r="D777" s="1654" t="s">
        <v>115</v>
      </c>
      <c r="E777" s="1650" t="s">
        <v>115</v>
      </c>
      <c r="F777" s="1654" t="s">
        <v>115</v>
      </c>
      <c r="G777" s="1650" t="s">
        <v>115</v>
      </c>
      <c r="H777" s="1654">
        <v>0.02</v>
      </c>
      <c r="I777" s="1650" t="s">
        <v>1280</v>
      </c>
      <c r="J777" s="1654" t="s">
        <v>115</v>
      </c>
      <c r="K777" s="1655" t="s">
        <v>115</v>
      </c>
      <c r="L777" t="str">
        <f t="shared" si="36"/>
        <v/>
      </c>
      <c r="M777" t="str">
        <f t="shared" si="37"/>
        <v/>
      </c>
      <c r="N777" t="str">
        <f t="shared" si="38"/>
        <v>--</v>
      </c>
    </row>
    <row r="778" spans="1:14">
      <c r="A778" s="1650" t="s">
        <v>3481</v>
      </c>
      <c r="B778" s="1649" t="s">
        <v>3482</v>
      </c>
      <c r="C778" s="1650" t="s">
        <v>115</v>
      </c>
      <c r="D778" s="1654" t="s">
        <v>115</v>
      </c>
      <c r="E778" s="1650" t="s">
        <v>115</v>
      </c>
      <c r="F778" s="1654" t="s">
        <v>115</v>
      </c>
      <c r="G778" s="1650" t="s">
        <v>115</v>
      </c>
      <c r="H778" s="1654">
        <v>3.0000000000000001E-3</v>
      </c>
      <c r="I778" s="1650" t="s">
        <v>1277</v>
      </c>
      <c r="J778" s="1654" t="s">
        <v>115</v>
      </c>
      <c r="K778" s="1655" t="s">
        <v>115</v>
      </c>
      <c r="L778" t="str">
        <f t="shared" si="36"/>
        <v/>
      </c>
      <c r="M778" t="str">
        <f t="shared" si="37"/>
        <v/>
      </c>
      <c r="N778" t="str">
        <f t="shared" si="38"/>
        <v>--</v>
      </c>
    </row>
    <row r="779" spans="1:14">
      <c r="A779" s="1650" t="s">
        <v>3483</v>
      </c>
      <c r="B779" s="1649" t="s">
        <v>3484</v>
      </c>
      <c r="C779" s="1650" t="s">
        <v>115</v>
      </c>
      <c r="D779" s="1654" t="s">
        <v>115</v>
      </c>
      <c r="E779" s="1650" t="s">
        <v>115</v>
      </c>
      <c r="F779" s="1654" t="s">
        <v>115</v>
      </c>
      <c r="G779" s="1650" t="s">
        <v>115</v>
      </c>
      <c r="H779" s="1654" t="s">
        <v>115</v>
      </c>
      <c r="I779" s="1650" t="s">
        <v>115</v>
      </c>
      <c r="J779" s="1654">
        <v>7</v>
      </c>
      <c r="K779" s="1655" t="s">
        <v>1277</v>
      </c>
      <c r="L779" t="str">
        <f t="shared" si="36"/>
        <v/>
      </c>
      <c r="M779" t="str">
        <f t="shared" si="37"/>
        <v/>
      </c>
      <c r="N779" t="str">
        <f t="shared" si="38"/>
        <v>--</v>
      </c>
    </row>
    <row r="780" spans="1:14">
      <c r="A780" s="1650" t="s">
        <v>3485</v>
      </c>
      <c r="B780" s="1649" t="s">
        <v>4055</v>
      </c>
      <c r="C780" s="1650" t="s">
        <v>115</v>
      </c>
      <c r="D780" s="1654" t="s">
        <v>115</v>
      </c>
      <c r="E780" s="1650" t="s">
        <v>115</v>
      </c>
      <c r="F780" s="1654" t="s">
        <v>115</v>
      </c>
      <c r="G780" s="1650" t="s">
        <v>115</v>
      </c>
      <c r="H780" s="1654">
        <v>2</v>
      </c>
      <c r="I780" s="1650" t="s">
        <v>1247</v>
      </c>
      <c r="J780" s="1654" t="s">
        <v>115</v>
      </c>
      <c r="K780" s="1655" t="s">
        <v>115</v>
      </c>
      <c r="L780" t="str">
        <f t="shared" si="36"/>
        <v/>
      </c>
      <c r="M780" t="str">
        <f t="shared" si="37"/>
        <v/>
      </c>
      <c r="N780" t="str">
        <f t="shared" si="38"/>
        <v>--</v>
      </c>
    </row>
    <row r="781" spans="1:14">
      <c r="A781" s="1650" t="s">
        <v>3489</v>
      </c>
      <c r="B781" s="1649" t="s">
        <v>3490</v>
      </c>
      <c r="C781" s="1650" t="s">
        <v>115</v>
      </c>
      <c r="D781" s="1654">
        <v>7.7000000000000002E-3</v>
      </c>
      <c r="E781" s="1650" t="s">
        <v>1277</v>
      </c>
      <c r="F781" s="1654">
        <v>1.9E-6</v>
      </c>
      <c r="G781" s="1650" t="s">
        <v>3598</v>
      </c>
      <c r="H781" s="1654">
        <v>7.4999999999999997E-3</v>
      </c>
      <c r="I781" s="1650" t="s">
        <v>1277</v>
      </c>
      <c r="J781" s="1654">
        <v>30</v>
      </c>
      <c r="K781" s="1655" t="s">
        <v>3598</v>
      </c>
      <c r="L781" t="str">
        <f t="shared" si="36"/>
        <v>Route IUR</v>
      </c>
      <c r="M781" t="str">
        <f t="shared" si="37"/>
        <v>Route RfC</v>
      </c>
      <c r="N781" t="str">
        <f t="shared" si="38"/>
        <v>Route IUR &amp; RfC</v>
      </c>
    </row>
    <row r="782" spans="1:14">
      <c r="A782" s="1650" t="s">
        <v>4056</v>
      </c>
      <c r="B782" s="1649" t="s">
        <v>4057</v>
      </c>
      <c r="C782" s="1650" t="s">
        <v>115</v>
      </c>
      <c r="D782" s="1654" t="s">
        <v>115</v>
      </c>
      <c r="E782" s="1650" t="s">
        <v>115</v>
      </c>
      <c r="F782" s="1654" t="s">
        <v>115</v>
      </c>
      <c r="G782" s="1650" t="s">
        <v>115</v>
      </c>
      <c r="H782" s="1654">
        <v>49</v>
      </c>
      <c r="I782" s="1650" t="s">
        <v>1247</v>
      </c>
      <c r="J782" s="1654" t="s">
        <v>115</v>
      </c>
      <c r="K782" s="1655" t="s">
        <v>115</v>
      </c>
      <c r="L782" t="str">
        <f t="shared" si="36"/>
        <v/>
      </c>
      <c r="M782" t="str">
        <f t="shared" si="37"/>
        <v/>
      </c>
      <c r="N782" t="str">
        <f t="shared" si="38"/>
        <v>--</v>
      </c>
    </row>
    <row r="783" spans="1:14">
      <c r="A783" s="1650" t="s">
        <v>3491</v>
      </c>
      <c r="B783" s="1649" t="s">
        <v>4058</v>
      </c>
      <c r="C783" s="1650" t="s">
        <v>115</v>
      </c>
      <c r="D783" s="1654">
        <v>0.02</v>
      </c>
      <c r="E783" s="1650" t="s">
        <v>1247</v>
      </c>
      <c r="F783" s="1654" t="s">
        <v>115</v>
      </c>
      <c r="G783" s="1650" t="s">
        <v>115</v>
      </c>
      <c r="H783" s="1654">
        <v>0.01</v>
      </c>
      <c r="I783" s="1650" t="s">
        <v>1247</v>
      </c>
      <c r="J783" s="1654" t="s">
        <v>115</v>
      </c>
      <c r="K783" s="1655" t="s">
        <v>115</v>
      </c>
      <c r="L783" t="str">
        <f t="shared" si="36"/>
        <v/>
      </c>
      <c r="M783" t="str">
        <f t="shared" si="37"/>
        <v/>
      </c>
      <c r="N783" t="str">
        <f t="shared" si="38"/>
        <v>--</v>
      </c>
    </row>
    <row r="784" spans="1:14">
      <c r="A784" s="1650" t="s">
        <v>3505</v>
      </c>
      <c r="B784" s="1649" t="s">
        <v>4059</v>
      </c>
      <c r="C784" s="1650" t="s">
        <v>115</v>
      </c>
      <c r="D784" s="1654" t="s">
        <v>115</v>
      </c>
      <c r="E784" s="1650" t="s">
        <v>115</v>
      </c>
      <c r="F784" s="1654" t="s">
        <v>115</v>
      </c>
      <c r="G784" s="1650" t="s">
        <v>115</v>
      </c>
      <c r="H784" s="1654">
        <v>0.02</v>
      </c>
      <c r="I784" s="1650" t="s">
        <v>1247</v>
      </c>
      <c r="J784" s="1654" t="s">
        <v>115</v>
      </c>
      <c r="K784" s="1655" t="s">
        <v>115</v>
      </c>
      <c r="L784" t="str">
        <f t="shared" si="36"/>
        <v/>
      </c>
      <c r="M784" t="str">
        <f t="shared" si="37"/>
        <v/>
      </c>
      <c r="N784" t="str">
        <f t="shared" si="38"/>
        <v>--</v>
      </c>
    </row>
    <row r="785" spans="1:14">
      <c r="A785" s="1650" t="s">
        <v>3100</v>
      </c>
      <c r="B785" s="1649" t="s">
        <v>4060</v>
      </c>
      <c r="C785" s="1650" t="s">
        <v>115</v>
      </c>
      <c r="D785" s="1654" t="s">
        <v>115</v>
      </c>
      <c r="E785" s="1650" t="s">
        <v>115</v>
      </c>
      <c r="F785" s="1654" t="s">
        <v>115</v>
      </c>
      <c r="G785" s="1650" t="s">
        <v>115</v>
      </c>
      <c r="H785" s="1654">
        <v>1</v>
      </c>
      <c r="I785" s="1650" t="s">
        <v>1247</v>
      </c>
      <c r="J785" s="1654" t="s">
        <v>115</v>
      </c>
      <c r="K785" s="1655" t="s">
        <v>115</v>
      </c>
      <c r="L785" t="str">
        <f t="shared" si="36"/>
        <v/>
      </c>
      <c r="M785" t="str">
        <f t="shared" si="37"/>
        <v/>
      </c>
      <c r="N785" t="str">
        <f t="shared" si="38"/>
        <v>--</v>
      </c>
    </row>
    <row r="786" spans="1:14">
      <c r="A786" s="1650" t="s">
        <v>3507</v>
      </c>
      <c r="B786" s="1649" t="s">
        <v>4061</v>
      </c>
      <c r="C786" s="1650" t="s">
        <v>115</v>
      </c>
      <c r="D786" s="1654" t="s">
        <v>115</v>
      </c>
      <c r="E786" s="1650" t="s">
        <v>115</v>
      </c>
      <c r="F786" s="1654" t="s">
        <v>115</v>
      </c>
      <c r="G786" s="1650" t="s">
        <v>115</v>
      </c>
      <c r="H786" s="1654">
        <v>0.02</v>
      </c>
      <c r="I786" s="1650" t="s">
        <v>1280</v>
      </c>
      <c r="J786" s="1654" t="s">
        <v>115</v>
      </c>
      <c r="K786" s="1655" t="s">
        <v>115</v>
      </c>
      <c r="L786" t="str">
        <f t="shared" si="36"/>
        <v/>
      </c>
      <c r="M786" t="str">
        <f t="shared" si="37"/>
        <v/>
      </c>
      <c r="N786" t="str">
        <f t="shared" si="38"/>
        <v>--</v>
      </c>
    </row>
    <row r="787" spans="1:14">
      <c r="A787" s="1650" t="s">
        <v>3509</v>
      </c>
      <c r="B787" s="1649" t="s">
        <v>3510</v>
      </c>
      <c r="C787" s="1650" t="s">
        <v>115</v>
      </c>
      <c r="D787" s="1654" t="s">
        <v>115</v>
      </c>
      <c r="E787" s="1650" t="s">
        <v>115</v>
      </c>
      <c r="F787" s="1654" t="s">
        <v>115</v>
      </c>
      <c r="G787" s="1650" t="s">
        <v>115</v>
      </c>
      <c r="H787" s="1654">
        <v>0.01</v>
      </c>
      <c r="I787" s="1650" t="s">
        <v>3603</v>
      </c>
      <c r="J787" s="1654" t="s">
        <v>115</v>
      </c>
      <c r="K787" s="1655" t="s">
        <v>115</v>
      </c>
      <c r="L787" t="str">
        <f t="shared" si="36"/>
        <v/>
      </c>
      <c r="M787" t="str">
        <f t="shared" si="37"/>
        <v/>
      </c>
      <c r="N787" t="str">
        <f t="shared" si="38"/>
        <v>--</v>
      </c>
    </row>
    <row r="788" spans="1:14">
      <c r="A788" s="1650" t="s">
        <v>3511</v>
      </c>
      <c r="B788" s="1649" t="s">
        <v>3512</v>
      </c>
      <c r="C788" s="1650" t="s">
        <v>115</v>
      </c>
      <c r="D788" s="1654">
        <v>2.2999999999999998</v>
      </c>
      <c r="E788" s="1650" t="s">
        <v>1234</v>
      </c>
      <c r="F788" s="1654">
        <v>6.6E-4</v>
      </c>
      <c r="G788" s="1650" t="s">
        <v>1234</v>
      </c>
      <c r="H788" s="1654" t="s">
        <v>115</v>
      </c>
      <c r="I788" s="1650" t="s">
        <v>115</v>
      </c>
      <c r="J788" s="1654" t="s">
        <v>115</v>
      </c>
      <c r="K788" s="1655" t="s">
        <v>115</v>
      </c>
      <c r="L788" t="str">
        <f t="shared" si="36"/>
        <v/>
      </c>
      <c r="M788" t="str">
        <f t="shared" si="37"/>
        <v/>
      </c>
      <c r="N788" t="str">
        <f t="shared" si="38"/>
        <v>--</v>
      </c>
    </row>
    <row r="789" spans="1:14">
      <c r="A789" s="1650" t="s">
        <v>3513</v>
      </c>
      <c r="B789" s="1649" t="s">
        <v>3514</v>
      </c>
      <c r="C789" s="1650" t="s">
        <v>115</v>
      </c>
      <c r="D789" s="1654">
        <v>0.02</v>
      </c>
      <c r="E789" s="1650" t="s">
        <v>1247</v>
      </c>
      <c r="F789" s="1654" t="s">
        <v>115</v>
      </c>
      <c r="G789" s="1650" t="s">
        <v>115</v>
      </c>
      <c r="H789" s="1654">
        <v>7.0000000000000001E-3</v>
      </c>
      <c r="I789" s="1650" t="s">
        <v>1247</v>
      </c>
      <c r="J789" s="1654" t="s">
        <v>115</v>
      </c>
      <c r="K789" s="1655" t="s">
        <v>115</v>
      </c>
      <c r="L789" t="str">
        <f t="shared" si="36"/>
        <v/>
      </c>
      <c r="M789" t="str">
        <f t="shared" si="37"/>
        <v/>
      </c>
      <c r="N789" t="str">
        <f t="shared" si="38"/>
        <v>--</v>
      </c>
    </row>
    <row r="790" spans="1:14">
      <c r="A790" s="1650" t="s">
        <v>3515</v>
      </c>
      <c r="B790" s="1649" t="s">
        <v>3516</v>
      </c>
      <c r="C790" s="1650" t="s">
        <v>115</v>
      </c>
      <c r="D790" s="1654">
        <v>3.2000000000000002E-3</v>
      </c>
      <c r="E790" s="1650" t="s">
        <v>1247</v>
      </c>
      <c r="F790" s="1654" t="s">
        <v>115</v>
      </c>
      <c r="G790" s="1650" t="s">
        <v>115</v>
      </c>
      <c r="H790" s="1654">
        <v>0.1</v>
      </c>
      <c r="I790" s="1650" t="s">
        <v>1247</v>
      </c>
      <c r="J790" s="1654" t="s">
        <v>115</v>
      </c>
      <c r="K790" s="1655" t="s">
        <v>115</v>
      </c>
      <c r="L790" t="str">
        <f t="shared" si="36"/>
        <v/>
      </c>
      <c r="M790" t="str">
        <f t="shared" si="37"/>
        <v/>
      </c>
      <c r="N790" t="str">
        <f t="shared" si="38"/>
        <v>--</v>
      </c>
    </row>
    <row r="791" spans="1:14">
      <c r="A791" s="1650" t="s">
        <v>3102</v>
      </c>
      <c r="B791" s="1649" t="s">
        <v>4062</v>
      </c>
      <c r="C791" s="1650" t="s">
        <v>115</v>
      </c>
      <c r="D791" s="1654" t="s">
        <v>115</v>
      </c>
      <c r="E791" s="1650" t="s">
        <v>115</v>
      </c>
      <c r="F791" s="1654" t="s">
        <v>115</v>
      </c>
      <c r="G791" s="1650" t="s">
        <v>115</v>
      </c>
      <c r="H791" s="1654">
        <v>1</v>
      </c>
      <c r="I791" s="1650" t="s">
        <v>1247</v>
      </c>
      <c r="J791" s="1654" t="s">
        <v>115</v>
      </c>
      <c r="K791" s="1655" t="s">
        <v>115</v>
      </c>
      <c r="L791" t="str">
        <f t="shared" si="36"/>
        <v/>
      </c>
      <c r="M791" t="str">
        <f t="shared" si="37"/>
        <v/>
      </c>
      <c r="N791" t="str">
        <f t="shared" si="38"/>
        <v>--</v>
      </c>
    </row>
    <row r="792" spans="1:14">
      <c r="A792" s="1650" t="s">
        <v>3517</v>
      </c>
      <c r="B792" s="1649" t="s">
        <v>3518</v>
      </c>
      <c r="C792" s="1650" t="s">
        <v>115</v>
      </c>
      <c r="D792" s="1654" t="s">
        <v>115</v>
      </c>
      <c r="E792" s="1650" t="s">
        <v>115</v>
      </c>
      <c r="F792" s="1654" t="s">
        <v>115</v>
      </c>
      <c r="G792" s="1650" t="s">
        <v>115</v>
      </c>
      <c r="H792" s="1654">
        <v>8.0000000000000004E-4</v>
      </c>
      <c r="I792" s="1650" t="s">
        <v>1247</v>
      </c>
      <c r="J792" s="1654" t="s">
        <v>115</v>
      </c>
      <c r="K792" s="1655" t="s">
        <v>115</v>
      </c>
      <c r="L792" t="str">
        <f t="shared" si="36"/>
        <v/>
      </c>
      <c r="M792" t="str">
        <f t="shared" si="37"/>
        <v/>
      </c>
      <c r="N792" t="str">
        <f t="shared" si="38"/>
        <v>--</v>
      </c>
    </row>
    <row r="793" spans="1:14">
      <c r="A793" s="1650" t="s">
        <v>3519</v>
      </c>
      <c r="B793" s="1649" t="s">
        <v>4063</v>
      </c>
      <c r="C793" s="1650" t="s">
        <v>115</v>
      </c>
      <c r="D793" s="1654" t="s">
        <v>115</v>
      </c>
      <c r="E793" s="1650" t="s">
        <v>115</v>
      </c>
      <c r="F793" s="1654" t="s">
        <v>115</v>
      </c>
      <c r="G793" s="1650" t="s">
        <v>115</v>
      </c>
      <c r="H793" s="1654">
        <v>2.0000000000000001E-4</v>
      </c>
      <c r="I793" s="1650" t="s">
        <v>1280</v>
      </c>
      <c r="J793" s="1654">
        <v>0.04</v>
      </c>
      <c r="K793" s="1655" t="s">
        <v>1280</v>
      </c>
      <c r="L793" t="str">
        <f t="shared" si="36"/>
        <v/>
      </c>
      <c r="M793" t="str">
        <f t="shared" si="37"/>
        <v/>
      </c>
      <c r="N793" t="str">
        <f t="shared" si="38"/>
        <v>--</v>
      </c>
    </row>
    <row r="794" spans="1:14">
      <c r="A794" s="1650" t="s">
        <v>3521</v>
      </c>
      <c r="B794" s="1649" t="s">
        <v>3522</v>
      </c>
      <c r="C794" s="1650" t="s">
        <v>1906</v>
      </c>
      <c r="D794" s="1654">
        <v>1</v>
      </c>
      <c r="E794" s="1650" t="s">
        <v>1234</v>
      </c>
      <c r="F794" s="1654">
        <v>2.9E-4</v>
      </c>
      <c r="G794" s="1650" t="s">
        <v>1234</v>
      </c>
      <c r="H794" s="1654" t="s">
        <v>115</v>
      </c>
      <c r="I794" s="1650" t="s">
        <v>115</v>
      </c>
      <c r="J794" s="1654" t="s">
        <v>115</v>
      </c>
      <c r="K794" s="1655" t="s">
        <v>115</v>
      </c>
      <c r="L794" t="str">
        <f t="shared" si="36"/>
        <v/>
      </c>
      <c r="M794" t="str">
        <f t="shared" si="37"/>
        <v/>
      </c>
      <c r="N794" t="str">
        <f t="shared" si="38"/>
        <v>--</v>
      </c>
    </row>
    <row r="795" spans="1:14">
      <c r="A795" s="1650" t="s">
        <v>340</v>
      </c>
      <c r="B795" s="1649" t="s">
        <v>339</v>
      </c>
      <c r="C795" s="1650" t="s">
        <v>115</v>
      </c>
      <c r="D795" s="1654" t="s">
        <v>115</v>
      </c>
      <c r="E795" s="1650" t="s">
        <v>115</v>
      </c>
      <c r="F795" s="1654" t="s">
        <v>115</v>
      </c>
      <c r="G795" s="1650" t="s">
        <v>115</v>
      </c>
      <c r="H795" s="1654">
        <v>5.0000000000000001E-3</v>
      </c>
      <c r="I795" s="1650" t="s">
        <v>1275</v>
      </c>
      <c r="J795" s="1654">
        <v>0.1</v>
      </c>
      <c r="K795" s="1655" t="s">
        <v>1280</v>
      </c>
      <c r="L795" t="str">
        <f t="shared" si="36"/>
        <v/>
      </c>
      <c r="M795" t="str">
        <f t="shared" si="37"/>
        <v/>
      </c>
      <c r="N795" t="str">
        <f t="shared" si="38"/>
        <v>--</v>
      </c>
    </row>
    <row r="796" spans="1:14">
      <c r="A796" s="1650" t="s">
        <v>3523</v>
      </c>
      <c r="B796" s="1649" t="s">
        <v>4064</v>
      </c>
      <c r="C796" s="1650" t="s">
        <v>115</v>
      </c>
      <c r="D796" s="1654" t="s">
        <v>115</v>
      </c>
      <c r="E796" s="1650" t="s">
        <v>115</v>
      </c>
      <c r="F796" s="1654">
        <v>8.3000000000000001E-3</v>
      </c>
      <c r="G796" s="1650" t="s">
        <v>1247</v>
      </c>
      <c r="H796" s="1654">
        <v>8.9999999999999993E-3</v>
      </c>
      <c r="I796" s="1650" t="s">
        <v>1277</v>
      </c>
      <c r="J796" s="1654">
        <v>7.0000000000000001E-3</v>
      </c>
      <c r="K796" s="1655" t="s">
        <v>1247</v>
      </c>
      <c r="L796" t="str">
        <f t="shared" si="36"/>
        <v/>
      </c>
      <c r="M796" t="str">
        <f t="shared" si="37"/>
        <v/>
      </c>
      <c r="N796" t="str">
        <f t="shared" si="38"/>
        <v>--</v>
      </c>
    </row>
    <row r="797" spans="1:14">
      <c r="A797" s="1650" t="s">
        <v>3526</v>
      </c>
      <c r="B797" s="1649" t="s">
        <v>3527</v>
      </c>
      <c r="C797" s="1650" t="s">
        <v>115</v>
      </c>
      <c r="D797" s="1654" t="s">
        <v>115</v>
      </c>
      <c r="E797" s="1650" t="s">
        <v>115</v>
      </c>
      <c r="F797" s="1654" t="s">
        <v>115</v>
      </c>
      <c r="G797" s="1650" t="s">
        <v>115</v>
      </c>
      <c r="H797" s="1654">
        <v>1E-3</v>
      </c>
      <c r="I797" s="1650" t="s">
        <v>1277</v>
      </c>
      <c r="J797" s="1654">
        <v>4</v>
      </c>
      <c r="K797" s="1655" t="s">
        <v>3598</v>
      </c>
      <c r="L797" t="str">
        <f t="shared" si="36"/>
        <v/>
      </c>
      <c r="M797" t="str">
        <f t="shared" si="37"/>
        <v>Route RfC</v>
      </c>
      <c r="N797" t="str">
        <f t="shared" si="38"/>
        <v>Route RfC</v>
      </c>
    </row>
    <row r="798" spans="1:14">
      <c r="A798" s="1650" t="s">
        <v>3528</v>
      </c>
      <c r="B798" s="1649" t="s">
        <v>3529</v>
      </c>
      <c r="C798" s="1650" t="s">
        <v>115</v>
      </c>
      <c r="D798" s="1654" t="s">
        <v>115</v>
      </c>
      <c r="E798" s="1650" t="s">
        <v>115</v>
      </c>
      <c r="F798" s="1654" t="s">
        <v>115</v>
      </c>
      <c r="G798" s="1650" t="s">
        <v>115</v>
      </c>
      <c r="H798" s="1654">
        <v>1.1999999999999999E-3</v>
      </c>
      <c r="I798" s="1650" t="s">
        <v>3663</v>
      </c>
      <c r="J798" s="1654" t="s">
        <v>115</v>
      </c>
      <c r="K798" s="1655" t="s">
        <v>115</v>
      </c>
      <c r="L798" t="str">
        <f t="shared" si="36"/>
        <v/>
      </c>
      <c r="M798" t="str">
        <f t="shared" si="37"/>
        <v/>
      </c>
      <c r="N798" t="str">
        <f t="shared" si="38"/>
        <v>--</v>
      </c>
    </row>
    <row r="799" spans="1:14">
      <c r="A799" s="1650" t="s">
        <v>3530</v>
      </c>
      <c r="B799" s="1649" t="s">
        <v>4065</v>
      </c>
      <c r="C799" s="1650" t="s">
        <v>115</v>
      </c>
      <c r="D799" s="1654" t="s">
        <v>115</v>
      </c>
      <c r="E799" s="1650" t="s">
        <v>115</v>
      </c>
      <c r="F799" s="1654" t="s">
        <v>115</v>
      </c>
      <c r="G799" s="1650" t="s">
        <v>115</v>
      </c>
      <c r="H799" s="1654">
        <v>1</v>
      </c>
      <c r="I799" s="1650" t="s">
        <v>3616</v>
      </c>
      <c r="J799" s="1654">
        <v>200</v>
      </c>
      <c r="K799" s="1655" t="s">
        <v>1277</v>
      </c>
      <c r="L799" t="str">
        <f t="shared" si="36"/>
        <v/>
      </c>
      <c r="M799" t="str">
        <f t="shared" si="37"/>
        <v/>
      </c>
      <c r="N799" t="str">
        <f t="shared" si="38"/>
        <v>--</v>
      </c>
    </row>
    <row r="800" spans="1:14">
      <c r="A800" s="1650" t="s">
        <v>3532</v>
      </c>
      <c r="B800" s="1649" t="s">
        <v>4066</v>
      </c>
      <c r="C800" s="1650" t="s">
        <v>115</v>
      </c>
      <c r="D800" s="1654" t="s">
        <v>115</v>
      </c>
      <c r="E800" s="1650" t="s">
        <v>115</v>
      </c>
      <c r="F800" s="1654">
        <v>1.5E-5</v>
      </c>
      <c r="G800" s="1650" t="s">
        <v>1247</v>
      </c>
      <c r="H800" s="1654" t="s">
        <v>115</v>
      </c>
      <c r="I800" s="1650" t="s">
        <v>115</v>
      </c>
      <c r="J800" s="1654">
        <v>3</v>
      </c>
      <c r="K800" s="1655" t="s">
        <v>1277</v>
      </c>
      <c r="L800" t="str">
        <f t="shared" si="36"/>
        <v/>
      </c>
      <c r="M800" t="str">
        <f t="shared" si="37"/>
        <v/>
      </c>
      <c r="N800" t="str">
        <f t="shared" si="38"/>
        <v>--</v>
      </c>
    </row>
    <row r="801" spans="1:14">
      <c r="A801" s="1650" t="s">
        <v>342</v>
      </c>
      <c r="B801" s="1649" t="s">
        <v>341</v>
      </c>
      <c r="C801" s="1650" t="s">
        <v>1906</v>
      </c>
      <c r="D801" s="1654">
        <v>0.72</v>
      </c>
      <c r="E801" s="1650" t="s">
        <v>1277</v>
      </c>
      <c r="F801" s="1654">
        <v>7.7999999999999999E-5</v>
      </c>
      <c r="G801" s="1650" t="s">
        <v>3600</v>
      </c>
      <c r="H801" s="1654">
        <v>3.0000000000000001E-3</v>
      </c>
      <c r="I801" s="1650" t="s">
        <v>1277</v>
      </c>
      <c r="J801" s="1654">
        <v>51</v>
      </c>
      <c r="K801" s="1655" t="s">
        <v>1280</v>
      </c>
      <c r="L801" t="str">
        <f t="shared" si="36"/>
        <v/>
      </c>
      <c r="M801" t="str">
        <f t="shared" si="37"/>
        <v/>
      </c>
      <c r="N801" t="str">
        <f t="shared" si="38"/>
        <v>--</v>
      </c>
    </row>
    <row r="802" spans="1:14">
      <c r="A802" s="1650" t="s">
        <v>3535</v>
      </c>
      <c r="B802" s="1649" t="s">
        <v>3536</v>
      </c>
      <c r="C802" s="1650" t="s">
        <v>115</v>
      </c>
      <c r="D802" s="1654" t="s">
        <v>115</v>
      </c>
      <c r="E802" s="1650" t="s">
        <v>115</v>
      </c>
      <c r="F802" s="1654" t="s">
        <v>115</v>
      </c>
      <c r="G802" s="1650" t="s">
        <v>115</v>
      </c>
      <c r="H802" s="1654">
        <v>2.9999999999999997E-4</v>
      </c>
      <c r="I802" s="1650" t="s">
        <v>1277</v>
      </c>
      <c r="J802" s="1654" t="s">
        <v>115</v>
      </c>
      <c r="K802" s="1655" t="s">
        <v>115</v>
      </c>
      <c r="L802" t="str">
        <f t="shared" si="36"/>
        <v/>
      </c>
      <c r="M802" t="str">
        <f t="shared" si="37"/>
        <v/>
      </c>
      <c r="N802" t="str">
        <f t="shared" si="38"/>
        <v>--</v>
      </c>
    </row>
    <row r="803" spans="1:14">
      <c r="A803" s="1650" t="s">
        <v>344</v>
      </c>
      <c r="B803" s="1649" t="s">
        <v>343</v>
      </c>
      <c r="C803" s="1650" t="s">
        <v>115</v>
      </c>
      <c r="D803" s="1654" t="s">
        <v>115</v>
      </c>
      <c r="E803" s="1650" t="s">
        <v>115</v>
      </c>
      <c r="F803" s="1654" t="s">
        <v>115</v>
      </c>
      <c r="G803" s="1650" t="s">
        <v>115</v>
      </c>
      <c r="H803" s="1654">
        <v>0.2</v>
      </c>
      <c r="I803" s="1650" t="s">
        <v>1277</v>
      </c>
      <c r="J803" s="1654">
        <v>100</v>
      </c>
      <c r="K803" s="1655" t="s">
        <v>1277</v>
      </c>
      <c r="L803" t="str">
        <f t="shared" si="36"/>
        <v/>
      </c>
      <c r="M803" t="str">
        <f t="shared" si="37"/>
        <v/>
      </c>
      <c r="N803" t="str">
        <f t="shared" si="38"/>
        <v>--</v>
      </c>
    </row>
    <row r="804" spans="1:14">
      <c r="A804" s="1650" t="s">
        <v>346</v>
      </c>
      <c r="B804" s="1649" t="s">
        <v>345</v>
      </c>
      <c r="C804" s="1650" t="s">
        <v>115</v>
      </c>
      <c r="D804" s="1654" t="s">
        <v>115</v>
      </c>
      <c r="E804" s="1650" t="s">
        <v>115</v>
      </c>
      <c r="F804" s="1654" t="s">
        <v>115</v>
      </c>
      <c r="G804" s="1650" t="s">
        <v>115</v>
      </c>
      <c r="H804" s="1654">
        <v>0.3</v>
      </c>
      <c r="I804" s="1650" t="s">
        <v>1277</v>
      </c>
      <c r="J804" s="1654" t="s">
        <v>115</v>
      </c>
      <c r="K804" s="1655" t="s">
        <v>115</v>
      </c>
      <c r="L804" t="str">
        <f t="shared" si="36"/>
        <v/>
      </c>
      <c r="M804" t="str">
        <f t="shared" si="37"/>
        <v/>
      </c>
      <c r="N804" t="str">
        <f t="shared" si="38"/>
        <v>--</v>
      </c>
    </row>
    <row r="805" spans="1:14">
      <c r="A805" s="1650" t="s">
        <v>2236</v>
      </c>
      <c r="B805" s="1649" t="s">
        <v>4067</v>
      </c>
      <c r="C805" s="1650" t="s">
        <v>115</v>
      </c>
      <c r="D805" s="1654" t="s">
        <v>115</v>
      </c>
      <c r="E805" s="1650" t="s">
        <v>115</v>
      </c>
      <c r="F805" s="1654" t="s">
        <v>115</v>
      </c>
      <c r="G805" s="1650" t="s">
        <v>115</v>
      </c>
      <c r="H805" s="1654">
        <v>0.05</v>
      </c>
      <c r="I805" s="1650" t="s">
        <v>1277</v>
      </c>
      <c r="J805" s="1654" t="s">
        <v>115</v>
      </c>
      <c r="K805" s="1655" t="s">
        <v>115</v>
      </c>
      <c r="L805" t="str">
        <f t="shared" si="36"/>
        <v/>
      </c>
      <c r="M805" t="str">
        <f t="shared" si="37"/>
        <v/>
      </c>
      <c r="N805" t="str">
        <f t="shared" si="38"/>
        <v>--</v>
      </c>
    </row>
    <row r="806" spans="1:14">
      <c r="A806" s="1650" t="s">
        <v>3543</v>
      </c>
      <c r="B806" s="1649" t="s">
        <v>4068</v>
      </c>
      <c r="C806" s="1650" t="s">
        <v>115</v>
      </c>
      <c r="D806" s="1654" t="s">
        <v>115</v>
      </c>
      <c r="E806" s="1650" t="s">
        <v>115</v>
      </c>
      <c r="F806" s="1654" t="s">
        <v>115</v>
      </c>
      <c r="G806" s="1650" t="s">
        <v>115</v>
      </c>
      <c r="H806" s="1654">
        <v>2.9999999999999997E-4</v>
      </c>
      <c r="I806" s="1650" t="s">
        <v>1277</v>
      </c>
      <c r="J806" s="1654" t="s">
        <v>115</v>
      </c>
      <c r="K806" s="1655" t="s">
        <v>115</v>
      </c>
      <c r="L806" t="str">
        <f t="shared" si="36"/>
        <v/>
      </c>
      <c r="M806" t="str">
        <f t="shared" si="37"/>
        <v/>
      </c>
      <c r="N806" t="str">
        <f t="shared" si="38"/>
        <v>--</v>
      </c>
    </row>
    <row r="807" spans="1:14">
      <c r="A807" s="1650" t="s">
        <v>3546</v>
      </c>
      <c r="B807" s="1649" t="s">
        <v>3547</v>
      </c>
      <c r="C807" s="1650" t="s">
        <v>115</v>
      </c>
      <c r="D807" s="1654" t="s">
        <v>115</v>
      </c>
      <c r="E807" s="1650" t="s">
        <v>115</v>
      </c>
      <c r="F807" s="1654" t="s">
        <v>115</v>
      </c>
      <c r="G807" s="1650" t="s">
        <v>115</v>
      </c>
      <c r="H807" s="1654">
        <v>0.05</v>
      </c>
      <c r="I807" s="1650" t="s">
        <v>1277</v>
      </c>
      <c r="J807" s="1654" t="s">
        <v>115</v>
      </c>
      <c r="K807" s="1655" t="s">
        <v>115</v>
      </c>
      <c r="L807" t="str">
        <f t="shared" si="36"/>
        <v/>
      </c>
      <c r="M807" t="str">
        <f t="shared" si="37"/>
        <v/>
      </c>
      <c r="N807" t="str">
        <f t="shared" si="38"/>
        <v>--</v>
      </c>
    </row>
    <row r="808" spans="1:14" ht="13.5" thickBot="1">
      <c r="A808" s="1659" t="s">
        <v>3548</v>
      </c>
      <c r="B808" s="1658" t="s">
        <v>3549</v>
      </c>
      <c r="C808" s="1659" t="s">
        <v>115</v>
      </c>
      <c r="D808" s="1660" t="s">
        <v>115</v>
      </c>
      <c r="E808" s="1659" t="s">
        <v>115</v>
      </c>
      <c r="F808" s="1660" t="s">
        <v>115</v>
      </c>
      <c r="G808" s="1659" t="s">
        <v>115</v>
      </c>
      <c r="H808" s="1660">
        <v>8.0000000000000007E-5</v>
      </c>
      <c r="I808" s="1659" t="s">
        <v>1247</v>
      </c>
      <c r="J808" s="1660" t="s">
        <v>115</v>
      </c>
      <c r="K808" s="1661" t="s">
        <v>115</v>
      </c>
      <c r="L808" t="str">
        <f t="shared" si="36"/>
        <v/>
      </c>
      <c r="M808" t="str">
        <f t="shared" si="37"/>
        <v/>
      </c>
      <c r="N808" t="str">
        <f t="shared" si="38"/>
        <v>--</v>
      </c>
    </row>
    <row r="809" spans="1:14" ht="13.5" thickTop="1"/>
    <row r="810" spans="1:14" ht="14.25">
      <c r="B810" s="1662" t="s">
        <v>4069</v>
      </c>
    </row>
    <row r="811" spans="1:14" ht="14.25">
      <c r="B811" s="1662" t="s">
        <v>4070</v>
      </c>
    </row>
    <row r="812" spans="1:14" ht="14.25">
      <c r="B812" s="1662" t="s">
        <v>4071</v>
      </c>
    </row>
  </sheetData>
  <mergeCells count="10">
    <mergeCell ref="C471:K471"/>
    <mergeCell ref="B2:B4"/>
    <mergeCell ref="A2:A4"/>
    <mergeCell ref="C2:G2"/>
    <mergeCell ref="H2:K2"/>
    <mergeCell ref="C3:C4"/>
    <mergeCell ref="D3:E3"/>
    <mergeCell ref="F3:G3"/>
    <mergeCell ref="H3:I3"/>
    <mergeCell ref="J3:K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pageSetUpPr fitToPage="1"/>
  </sheetPr>
  <dimension ref="A1:AN158"/>
  <sheetViews>
    <sheetView showGridLines="0" zoomScale="60" zoomScaleNormal="60" workbookViewId="0">
      <pane xSplit="2" ySplit="6" topLeftCell="C7" activePane="bottomRight" state="frozen"/>
      <selection pane="topRight" activeCell="B2" sqref="B2:F2"/>
      <selection pane="bottomLeft" activeCell="B2" sqref="B2:F2"/>
      <selection pane="bottomRight" activeCell="A3" sqref="A3:B3"/>
    </sheetView>
  </sheetViews>
  <sheetFormatPr defaultColWidth="0.5703125" defaultRowHeight="18"/>
  <cols>
    <col min="1" max="1" width="90.85546875" style="102" customWidth="1"/>
    <col min="2" max="2" width="19" style="102" bestFit="1" customWidth="1"/>
    <col min="3" max="3" width="24.28515625" style="102" bestFit="1" customWidth="1"/>
    <col min="4" max="4" width="16.7109375" style="102" bestFit="1" customWidth="1"/>
    <col min="5" max="5" width="16.7109375" style="103" bestFit="1" customWidth="1"/>
    <col min="6" max="6" width="14.42578125" style="103" bestFit="1" customWidth="1"/>
    <col min="7" max="7" width="16.85546875" style="103" bestFit="1" customWidth="1"/>
    <col min="8" max="8" width="17.140625" style="102" bestFit="1" customWidth="1"/>
    <col min="9" max="11" width="14.42578125" style="102" bestFit="1" customWidth="1"/>
    <col min="12" max="12" width="15.28515625" style="102" bestFit="1" customWidth="1"/>
    <col min="13" max="13" width="18.5703125" style="102" customWidth="1"/>
    <col min="14" max="15" width="15.7109375" style="102" bestFit="1" customWidth="1"/>
    <col min="16" max="16" width="26.28515625" style="102" bestFit="1" customWidth="1"/>
    <col min="17" max="17" width="29.42578125" style="102" bestFit="1" customWidth="1"/>
    <col min="18" max="39" width="10.5703125" customWidth="1"/>
    <col min="40" max="40" width="10.5703125" style="102" customWidth="1"/>
    <col min="41" max="16384" width="0.5703125" style="102"/>
  </cols>
  <sheetData>
    <row r="1" spans="1:40" s="46" customFormat="1" ht="16.5" hidden="1" customHeight="1">
      <c r="A1" s="102" t="s">
        <v>356</v>
      </c>
      <c r="B1" s="102"/>
      <c r="C1" s="46" t="s">
        <v>357</v>
      </c>
      <c r="D1" s="46" t="s">
        <v>358</v>
      </c>
      <c r="E1" s="46" t="s">
        <v>359</v>
      </c>
      <c r="F1" s="46" t="s">
        <v>360</v>
      </c>
      <c r="G1" s="46" t="s">
        <v>361</v>
      </c>
      <c r="H1" s="46" t="s">
        <v>362</v>
      </c>
      <c r="I1" s="46" t="s">
        <v>363</v>
      </c>
      <c r="J1" s="46" t="s">
        <v>364</v>
      </c>
      <c r="K1" s="46" t="s">
        <v>365</v>
      </c>
      <c r="L1" s="46" t="s">
        <v>366</v>
      </c>
      <c r="M1" s="46" t="s">
        <v>367</v>
      </c>
      <c r="N1" s="46" t="s">
        <v>368</v>
      </c>
      <c r="O1" s="46" t="s">
        <v>369</v>
      </c>
      <c r="P1" s="46" t="s">
        <v>370</v>
      </c>
      <c r="Q1" s="46" t="s">
        <v>371</v>
      </c>
    </row>
    <row r="2" spans="1:40" s="46" customFormat="1" ht="5.25" hidden="1" customHeight="1" thickBot="1">
      <c r="A2" s="102"/>
      <c r="B2" s="102"/>
    </row>
    <row r="3" spans="1:40" ht="60" customHeight="1" thickTop="1" thickBot="1">
      <c r="A3" s="2188" t="str">
        <f>'Tier 1 ESL'!A6:F6</f>
        <v>2025 (Rev 4)</v>
      </c>
      <c r="B3" s="2189"/>
      <c r="C3" s="2196" t="s">
        <v>372</v>
      </c>
      <c r="D3" s="2197"/>
      <c r="E3" s="2198"/>
      <c r="F3" s="2199"/>
      <c r="G3" s="2199"/>
      <c r="H3" s="2199"/>
      <c r="I3" s="2199"/>
      <c r="J3" s="2199"/>
      <c r="K3" s="2199"/>
      <c r="L3" s="2199"/>
      <c r="M3" s="2199"/>
      <c r="N3" s="2199"/>
      <c r="O3" s="2199"/>
      <c r="P3" s="2199"/>
      <c r="Q3" s="2200"/>
    </row>
    <row r="4" spans="1:40" s="470" customFormat="1" ht="78.75" customHeight="1" thickBot="1">
      <c r="A4" s="2190" t="s">
        <v>79</v>
      </c>
      <c r="B4" s="2192" t="s">
        <v>80</v>
      </c>
      <c r="C4" s="2201" t="s">
        <v>373</v>
      </c>
      <c r="D4" s="2202"/>
      <c r="E4" s="2202"/>
      <c r="F4" s="2201" t="s">
        <v>374</v>
      </c>
      <c r="G4" s="2202"/>
      <c r="H4" s="2203"/>
      <c r="I4" s="2194" t="s">
        <v>375</v>
      </c>
      <c r="J4" s="2195"/>
      <c r="K4" s="2195"/>
      <c r="L4" s="2195"/>
      <c r="M4" s="2207" t="s">
        <v>376</v>
      </c>
      <c r="N4" s="2201" t="s">
        <v>377</v>
      </c>
      <c r="O4" s="2203"/>
      <c r="P4" s="2210" t="s">
        <v>378</v>
      </c>
      <c r="Q4" s="2185" t="s">
        <v>379</v>
      </c>
    </row>
    <row r="5" spans="1:40" s="470" customFormat="1" ht="48.75" customHeight="1" thickBot="1">
      <c r="A5" s="2190"/>
      <c r="B5" s="2192"/>
      <c r="C5" s="2204"/>
      <c r="D5" s="2205"/>
      <c r="E5" s="2205"/>
      <c r="F5" s="2204"/>
      <c r="G5" s="2205"/>
      <c r="H5" s="2206"/>
      <c r="I5" s="2194" t="s">
        <v>380</v>
      </c>
      <c r="J5" s="2195"/>
      <c r="K5" s="2194" t="s">
        <v>467</v>
      </c>
      <c r="L5" s="2195"/>
      <c r="M5" s="2208"/>
      <c r="N5" s="2204"/>
      <c r="O5" s="2206"/>
      <c r="P5" s="2211"/>
      <c r="Q5" s="2186"/>
    </row>
    <row r="6" spans="1:40" s="473" customFormat="1" ht="100.5" customHeight="1" thickBot="1">
      <c r="A6" s="2191"/>
      <c r="B6" s="2193"/>
      <c r="C6" s="1959" t="s">
        <v>381</v>
      </c>
      <c r="D6" s="472" t="s">
        <v>382</v>
      </c>
      <c r="E6" s="1960" t="s">
        <v>383</v>
      </c>
      <c r="F6" s="1959" t="s">
        <v>384</v>
      </c>
      <c r="G6" s="1952" t="s">
        <v>385</v>
      </c>
      <c r="H6" s="471" t="s">
        <v>386</v>
      </c>
      <c r="I6" s="1960" t="s">
        <v>387</v>
      </c>
      <c r="J6" s="1952" t="s">
        <v>388</v>
      </c>
      <c r="K6" s="1959" t="s">
        <v>387</v>
      </c>
      <c r="L6" s="1952" t="s">
        <v>388</v>
      </c>
      <c r="M6" s="2209"/>
      <c r="N6" s="472" t="s">
        <v>389</v>
      </c>
      <c r="O6" s="1961" t="s">
        <v>390</v>
      </c>
      <c r="P6" s="2212"/>
      <c r="Q6" s="2187"/>
    </row>
    <row r="7" spans="1:40" s="477" customFormat="1" ht="30" customHeight="1">
      <c r="A7" s="449" t="s">
        <v>391</v>
      </c>
      <c r="B7" s="450" t="s">
        <v>392</v>
      </c>
      <c r="C7" s="451" t="str">
        <f>(VLOOKUP($A7,Table_W_1, MATCH("MCL_Pri",heading_W_1,0), FALSE))</f>
        <v>--</v>
      </c>
      <c r="D7" s="458" t="str">
        <f t="shared" ref="D7:D69" si="0">(VLOOKUP($A7,Table_W_1, MATCH("DW-C",heading_W_1,0), FALSE))</f>
        <v>--</v>
      </c>
      <c r="E7" s="452">
        <f t="shared" ref="E7:E69" si="1">(VLOOKUP($A7,Table_W_1, MATCH("DW-NC",heading_W_1,0), FALSE))</f>
        <v>14065.199496529907</v>
      </c>
      <c r="F7" s="454">
        <f t="shared" ref="F7:F69" si="2">(VLOOKUP($A7,Table_W_2, MATCH("FW-EcoT",heading_W_2,0), FALSE))</f>
        <v>1500</v>
      </c>
      <c r="G7" s="455" t="str">
        <f t="shared" ref="G7:G69" si="3">(VLOOKUP($A7,Table_W_2, MATCH("SW-EcoT",heading_W_2,0), FALSE))</f>
        <v>--</v>
      </c>
      <c r="H7" s="455" t="str">
        <f t="shared" ref="H7:H69" si="4">(VLOOKUP($A7,Table_W_2, MATCH("bioac",heading_W_2,0), FALSE))</f>
        <v>--</v>
      </c>
      <c r="I7" s="474" t="str">
        <f t="shared" ref="I7:I69" si="5">(VLOOKUP($A7,Table_W_3, MATCH("G-VI-Res-Min-C",heading_W_3,0), FALSE))</f>
        <v>--</v>
      </c>
      <c r="J7" s="475">
        <f t="shared" ref="J7:J69" si="6">(VLOOKUP($A7,Table_W_3, MATCH("G-VI-Res-Min-NC",heading_W_3,0), FALSE))</f>
        <v>22593053.061253536</v>
      </c>
      <c r="K7" s="454" t="str">
        <f t="shared" ref="K7:K69" si="7">(VLOOKUP($A7,Table_W_3, MATCH("G-VI-Com-Min-C",heading_W_3,0), FALSE))</f>
        <v>--</v>
      </c>
      <c r="L7" s="475">
        <f t="shared" ref="L7:L69" si="8">(VLOOKUP($A7,Table_W_3, MATCH("G-VI-Com-Min-NC",heading_W_3,0), FALSE))</f>
        <v>94890822.857264861</v>
      </c>
      <c r="M7" s="476">
        <f t="shared" ref="M7:M69" si="9">(VLOOKUP($A7,Table_W_4, MATCH("W-GC",heading_W_4,0), FALSE))</f>
        <v>50000</v>
      </c>
      <c r="N7" s="458">
        <f t="shared" ref="N7:N69" si="10">(VLOOKUP($A7,Table_W_5, MATCH("DW-NO",heading_W_5,0), FALSE))</f>
        <v>20000</v>
      </c>
      <c r="O7" s="453">
        <f t="shared" ref="O7:O69" si="11">(VLOOKUP($A7,Table_W_5, MATCH("NDW-NO",heading_W_5,0), FALSE))</f>
        <v>200000</v>
      </c>
      <c r="P7" s="1608">
        <f>IF(MIN(C7:O7)=0,"--",IF(C7="--",MIN(D7:O7),MIN(C7,F7:O7)))</f>
        <v>1500</v>
      </c>
      <c r="Q7" s="459" t="str">
        <f>IF(P7="--", "--", IF(P7=N7, "Odor/Nuis", IF(P7=M7, "Gross Contam", IF(P7=C7, "MCL", IF(OR(P7=F7,P7=H7,P7=G7),"Aquatic Habitat", IF(OR(P7=D7,P7=E7),"Tapwater", "Vapor Intrusion"))))))</f>
        <v>Aquatic Habitat</v>
      </c>
      <c r="R7" s="720"/>
      <c r="S7" s="720"/>
      <c r="AN7" s="478"/>
    </row>
    <row r="8" spans="1:40" s="477" customFormat="1" ht="30" customHeight="1">
      <c r="A8" s="893" t="s">
        <v>85</v>
      </c>
      <c r="B8" s="460" t="s">
        <v>86</v>
      </c>
      <c r="C8" s="461" t="str">
        <f t="shared" ref="C8:C69" si="12">(VLOOKUP($A8,Table_W_1, MATCH("MCL_Pri",heading_W_1,0), FALSE))</f>
        <v>--</v>
      </c>
      <c r="D8" s="468">
        <f t="shared" si="0"/>
        <v>9.1675143477878659E-4</v>
      </c>
      <c r="E8" s="462">
        <f t="shared" si="1"/>
        <v>2E-3</v>
      </c>
      <c r="F8" s="464">
        <f t="shared" si="2"/>
        <v>0.3</v>
      </c>
      <c r="G8" s="465">
        <f t="shared" si="3"/>
        <v>0.13</v>
      </c>
      <c r="H8" s="465">
        <f t="shared" si="4"/>
        <v>7.7000000000000004E-7</v>
      </c>
      <c r="I8" s="479">
        <f t="shared" si="5"/>
        <v>0.31853503639157693</v>
      </c>
      <c r="J8" s="480" t="str">
        <f t="shared" si="6"/>
        <v>--</v>
      </c>
      <c r="K8" s="464">
        <f t="shared" si="7"/>
        <v>1.3913610389584077</v>
      </c>
      <c r="L8" s="480" t="str">
        <f t="shared" si="8"/>
        <v>--</v>
      </c>
      <c r="M8" s="481">
        <f t="shared" si="9"/>
        <v>8.5</v>
      </c>
      <c r="N8" s="468">
        <f t="shared" si="10"/>
        <v>17</v>
      </c>
      <c r="O8" s="463">
        <f t="shared" si="11"/>
        <v>170</v>
      </c>
      <c r="P8" s="461">
        <f t="shared" ref="P8:P9" si="13">IF(MIN(C8:O8)=0,"--",IF(C8="--",MIN(D8:O8),MIN(C8,F8:O8)))</f>
        <v>7.7000000000000004E-7</v>
      </c>
      <c r="Q8" s="469" t="str">
        <f t="shared" ref="Q8:Q70" si="14">IF(P8="--", "--", IF(P8=N8, "Odor/Nuis", IF(P8=M8, "Gross Contam", IF(P8=C8, "MCL", IF(OR(P8=F8,P8=H8,P8=G8),"Aquatic Habitat", IF(OR(P8=D8,P8=E8),"Tapwater", "Vapor Intrusion"))))))</f>
        <v>Aquatic Habitat</v>
      </c>
      <c r="S8" s="720"/>
      <c r="AN8" s="478"/>
    </row>
    <row r="9" spans="1:40" s="477" customFormat="1" ht="30" customHeight="1">
      <c r="A9" s="893" t="s">
        <v>87</v>
      </c>
      <c r="B9" s="460" t="s">
        <v>88</v>
      </c>
      <c r="C9" s="461">
        <f t="shared" si="12"/>
        <v>6</v>
      </c>
      <c r="D9" s="468" t="str">
        <f t="shared" si="0"/>
        <v>--</v>
      </c>
      <c r="E9" s="462">
        <f t="shared" si="1"/>
        <v>1</v>
      </c>
      <c r="F9" s="464">
        <f t="shared" si="2"/>
        <v>30</v>
      </c>
      <c r="G9" s="465">
        <f t="shared" si="3"/>
        <v>500</v>
      </c>
      <c r="H9" s="465">
        <f t="shared" si="4"/>
        <v>640</v>
      </c>
      <c r="I9" s="479" t="str">
        <f t="shared" si="5"/>
        <v>--</v>
      </c>
      <c r="J9" s="480" t="str">
        <f t="shared" si="6"/>
        <v>--</v>
      </c>
      <c r="K9" s="464" t="str">
        <f t="shared" si="7"/>
        <v>--</v>
      </c>
      <c r="L9" s="480" t="str">
        <f t="shared" si="8"/>
        <v>--</v>
      </c>
      <c r="M9" s="481">
        <f t="shared" si="9"/>
        <v>50000</v>
      </c>
      <c r="N9" s="468" t="str">
        <f t="shared" si="10"/>
        <v>--</v>
      </c>
      <c r="O9" s="463" t="str">
        <f t="shared" si="11"/>
        <v>--</v>
      </c>
      <c r="P9" s="461">
        <f t="shared" si="13"/>
        <v>6</v>
      </c>
      <c r="Q9" s="469" t="str">
        <f t="shared" si="14"/>
        <v>MCL</v>
      </c>
      <c r="S9" s="720"/>
      <c r="AN9" s="478"/>
    </row>
    <row r="10" spans="1:40" s="477" customFormat="1" ht="30" customHeight="1">
      <c r="A10" s="893" t="s">
        <v>89</v>
      </c>
      <c r="B10" s="460" t="s">
        <v>90</v>
      </c>
      <c r="C10" s="461">
        <f t="shared" si="12"/>
        <v>10</v>
      </c>
      <c r="D10" s="468">
        <f t="shared" si="0"/>
        <v>2.4217007289035635E-3</v>
      </c>
      <c r="E10" s="462">
        <f t="shared" si="1"/>
        <v>6.988435957398495E-2</v>
      </c>
      <c r="F10" s="464">
        <f t="shared" si="2"/>
        <v>150</v>
      </c>
      <c r="G10" s="465">
        <f t="shared" si="3"/>
        <v>8</v>
      </c>
      <c r="H10" s="465">
        <f t="shared" si="4"/>
        <v>0.14000000000000001</v>
      </c>
      <c r="I10" s="479" t="str">
        <f t="shared" si="5"/>
        <v>--</v>
      </c>
      <c r="J10" s="480" t="str">
        <f t="shared" si="6"/>
        <v>--</v>
      </c>
      <c r="K10" s="464" t="str">
        <f t="shared" si="7"/>
        <v>--</v>
      </c>
      <c r="L10" s="480" t="str">
        <f t="shared" si="8"/>
        <v>--</v>
      </c>
      <c r="M10" s="481">
        <f t="shared" si="9"/>
        <v>50000</v>
      </c>
      <c r="N10" s="468" t="str">
        <f t="shared" si="10"/>
        <v>--</v>
      </c>
      <c r="O10" s="463" t="str">
        <f t="shared" si="11"/>
        <v>--</v>
      </c>
      <c r="P10" s="461">
        <f t="shared" ref="P10:P72" si="15">IF(MIN(C10:O10)=0,"--",IF(C10="--",MIN(D10:O10),MIN(C10,F10:O10)))</f>
        <v>0.14000000000000001</v>
      </c>
      <c r="Q10" s="469" t="str">
        <f t="shared" si="14"/>
        <v>Aquatic Habitat</v>
      </c>
      <c r="S10" s="720"/>
      <c r="AN10" s="478"/>
    </row>
    <row r="11" spans="1:40" s="477" customFormat="1" ht="30" customHeight="1">
      <c r="A11" s="893" t="s">
        <v>91</v>
      </c>
      <c r="B11" s="460" t="s">
        <v>92</v>
      </c>
      <c r="C11" s="461">
        <f t="shared" si="12"/>
        <v>1000</v>
      </c>
      <c r="D11" s="468" t="str">
        <f t="shared" si="0"/>
        <v>--</v>
      </c>
      <c r="E11" s="462">
        <f t="shared" si="1"/>
        <v>2000</v>
      </c>
      <c r="F11" s="464" t="str">
        <f t="shared" si="2"/>
        <v>--</v>
      </c>
      <c r="G11" s="465" t="str">
        <f t="shared" si="3"/>
        <v>--</v>
      </c>
      <c r="H11" s="465" t="str">
        <f t="shared" si="4"/>
        <v>--</v>
      </c>
      <c r="I11" s="479" t="str">
        <f t="shared" si="5"/>
        <v>--</v>
      </c>
      <c r="J11" s="480" t="str">
        <f t="shared" si="6"/>
        <v>--</v>
      </c>
      <c r="K11" s="464" t="str">
        <f t="shared" si="7"/>
        <v>--</v>
      </c>
      <c r="L11" s="480" t="str">
        <f t="shared" si="8"/>
        <v>--</v>
      </c>
      <c r="M11" s="481">
        <f t="shared" si="9"/>
        <v>50000</v>
      </c>
      <c r="N11" s="468" t="str">
        <f t="shared" si="10"/>
        <v>--</v>
      </c>
      <c r="O11" s="463" t="str">
        <f t="shared" si="11"/>
        <v>--</v>
      </c>
      <c r="P11" s="461">
        <f t="shared" si="15"/>
        <v>1000</v>
      </c>
      <c r="Q11" s="469" t="str">
        <f t="shared" si="14"/>
        <v>MCL</v>
      </c>
      <c r="S11" s="720"/>
      <c r="AN11" s="478"/>
    </row>
    <row r="12" spans="1:40" s="477" customFormat="1" ht="30" customHeight="1">
      <c r="A12" s="893" t="s">
        <v>93</v>
      </c>
      <c r="B12" s="460" t="s">
        <v>94</v>
      </c>
      <c r="C12" s="461">
        <f t="shared" si="12"/>
        <v>1</v>
      </c>
      <c r="D12" s="468">
        <f t="shared" si="0"/>
        <v>0.15</v>
      </c>
      <c r="E12" s="462">
        <f t="shared" si="1"/>
        <v>5.7492741399940606</v>
      </c>
      <c r="F12" s="464">
        <f t="shared" si="2"/>
        <v>46</v>
      </c>
      <c r="G12" s="465">
        <f t="shared" si="3"/>
        <v>350</v>
      </c>
      <c r="H12" s="465">
        <f t="shared" si="4"/>
        <v>5.9</v>
      </c>
      <c r="I12" s="479">
        <f t="shared" si="5"/>
        <v>0.42669247496832674</v>
      </c>
      <c r="J12" s="480">
        <f t="shared" si="6"/>
        <v>13.788262548262219</v>
      </c>
      <c r="K12" s="464">
        <f t="shared" si="7"/>
        <v>1.8637927306616511</v>
      </c>
      <c r="L12" s="480">
        <f t="shared" si="8"/>
        <v>57.910702702701315</v>
      </c>
      <c r="M12" s="481">
        <f t="shared" si="9"/>
        <v>50000</v>
      </c>
      <c r="N12" s="468">
        <f t="shared" si="10"/>
        <v>170</v>
      </c>
      <c r="O12" s="463">
        <f t="shared" si="11"/>
        <v>20000</v>
      </c>
      <c r="P12" s="461">
        <f t="shared" si="15"/>
        <v>0.42669247496832674</v>
      </c>
      <c r="Q12" s="469" t="str">
        <f t="shared" si="14"/>
        <v>Vapor Intrusion</v>
      </c>
      <c r="S12" s="720"/>
      <c r="AN12" s="478"/>
    </row>
    <row r="13" spans="1:40" s="477" customFormat="1" ht="30" customHeight="1">
      <c r="A13" s="893" t="s">
        <v>95</v>
      </c>
      <c r="B13" s="460" t="s">
        <v>96</v>
      </c>
      <c r="C13" s="461">
        <f t="shared" si="12"/>
        <v>4</v>
      </c>
      <c r="D13" s="468" t="str">
        <f t="shared" si="0"/>
        <v>--</v>
      </c>
      <c r="E13" s="462">
        <f t="shared" si="1"/>
        <v>1</v>
      </c>
      <c r="F13" s="464">
        <f t="shared" si="2"/>
        <v>2.65</v>
      </c>
      <c r="G13" s="465" t="str">
        <f t="shared" si="3"/>
        <v>--</v>
      </c>
      <c r="H13" s="465">
        <f t="shared" si="4"/>
        <v>3.3000000000000002E-2</v>
      </c>
      <c r="I13" s="479" t="str">
        <f t="shared" si="5"/>
        <v>--</v>
      </c>
      <c r="J13" s="480" t="str">
        <f t="shared" si="6"/>
        <v>--</v>
      </c>
      <c r="K13" s="464" t="str">
        <f t="shared" si="7"/>
        <v>--</v>
      </c>
      <c r="L13" s="480" t="str">
        <f t="shared" si="8"/>
        <v>--</v>
      </c>
      <c r="M13" s="481">
        <f t="shared" si="9"/>
        <v>50000</v>
      </c>
      <c r="N13" s="468" t="str">
        <f t="shared" si="10"/>
        <v>--</v>
      </c>
      <c r="O13" s="463" t="str">
        <f t="shared" si="11"/>
        <v>--</v>
      </c>
      <c r="P13" s="461">
        <f t="shared" si="15"/>
        <v>3.3000000000000002E-2</v>
      </c>
      <c r="Q13" s="469" t="str">
        <f t="shared" si="14"/>
        <v>Aquatic Habitat</v>
      </c>
      <c r="S13" s="720"/>
      <c r="AN13" s="478"/>
    </row>
    <row r="14" spans="1:40" s="477" customFormat="1" ht="30" customHeight="1">
      <c r="A14" s="893" t="s">
        <v>97</v>
      </c>
      <c r="B14" s="460" t="s">
        <v>98</v>
      </c>
      <c r="C14" s="461" t="str">
        <f t="shared" si="12"/>
        <v>--</v>
      </c>
      <c r="D14" s="468">
        <f t="shared" si="0"/>
        <v>3.9121541266834634</v>
      </c>
      <c r="E14" s="462">
        <f t="shared" si="1"/>
        <v>0.83412125317780383</v>
      </c>
      <c r="F14" s="464">
        <f t="shared" si="2"/>
        <v>14</v>
      </c>
      <c r="G14" s="465" t="str">
        <f t="shared" si="3"/>
        <v>--</v>
      </c>
      <c r="H14" s="465" t="str">
        <f t="shared" si="4"/>
        <v>--</v>
      </c>
      <c r="I14" s="479" t="str">
        <f t="shared" si="5"/>
        <v>--</v>
      </c>
      <c r="J14" s="480">
        <f t="shared" si="6"/>
        <v>33.127643784776616</v>
      </c>
      <c r="K14" s="464" t="str">
        <f t="shared" si="7"/>
        <v>--</v>
      </c>
      <c r="L14" s="480">
        <f t="shared" si="8"/>
        <v>139.13610389606177</v>
      </c>
      <c r="M14" s="481">
        <f t="shared" si="9"/>
        <v>3740</v>
      </c>
      <c r="N14" s="468">
        <f t="shared" si="10"/>
        <v>0.5</v>
      </c>
      <c r="O14" s="463">
        <f t="shared" si="11"/>
        <v>5</v>
      </c>
      <c r="P14" s="461">
        <f t="shared" si="15"/>
        <v>0.5</v>
      </c>
      <c r="Q14" s="469" t="str">
        <f t="shared" si="14"/>
        <v>Odor/Nuis</v>
      </c>
      <c r="S14" s="720"/>
      <c r="AN14" s="478"/>
    </row>
    <row r="15" spans="1:40" s="477" customFormat="1" ht="30" customHeight="1">
      <c r="A15" s="893" t="s">
        <v>99</v>
      </c>
      <c r="B15" s="460" t="s">
        <v>100</v>
      </c>
      <c r="C15" s="461" t="str">
        <f t="shared" si="12"/>
        <v>--</v>
      </c>
      <c r="D15" s="468">
        <f t="shared" si="0"/>
        <v>6.2748389659023776E-3</v>
      </c>
      <c r="E15" s="462" t="str">
        <f t="shared" si="1"/>
        <v>--</v>
      </c>
      <c r="F15" s="464">
        <f t="shared" si="2"/>
        <v>61</v>
      </c>
      <c r="G15" s="465" t="str">
        <f t="shared" si="3"/>
        <v>--</v>
      </c>
      <c r="H15" s="465">
        <f t="shared" si="4"/>
        <v>4.4999999999999998E-2</v>
      </c>
      <c r="I15" s="479">
        <f t="shared" si="5"/>
        <v>5.6898221910839517</v>
      </c>
      <c r="J15" s="480" t="str">
        <f t="shared" si="6"/>
        <v>--</v>
      </c>
      <c r="K15" s="464">
        <f t="shared" si="7"/>
        <v>24.853143330654703</v>
      </c>
      <c r="L15" s="480" t="str">
        <f t="shared" si="8"/>
        <v>--</v>
      </c>
      <c r="M15" s="481">
        <f t="shared" si="9"/>
        <v>50000</v>
      </c>
      <c r="N15" s="468">
        <f t="shared" si="10"/>
        <v>360</v>
      </c>
      <c r="O15" s="463">
        <f t="shared" si="11"/>
        <v>3600</v>
      </c>
      <c r="P15" s="461">
        <f t="shared" si="15"/>
        <v>6.2748389659023776E-3</v>
      </c>
      <c r="Q15" s="469" t="str">
        <f>IF(P15="--", "--", IF(P15=N15, "Odor/Nuis", IF(P15=M15, "Gross Contam", IF(P15=C15, "MCL", IF(OR(P15=F15,P15=H15,P15=G15),"Aquatic Habitat", IF(OR(P15=D15,P15=E15),"Tapwater", "Vapor Intrusion"))))))</f>
        <v>Tapwater</v>
      </c>
      <c r="S15" s="720"/>
      <c r="AN15" s="478"/>
    </row>
    <row r="16" spans="1:40" s="477" customFormat="1" ht="30" customHeight="1">
      <c r="A16" s="893" t="s">
        <v>101</v>
      </c>
      <c r="B16" s="460" t="s">
        <v>102</v>
      </c>
      <c r="C16" s="461" t="str">
        <f t="shared" si="12"/>
        <v>--</v>
      </c>
      <c r="D16" s="468" t="str">
        <f t="shared" si="0"/>
        <v>--</v>
      </c>
      <c r="E16" s="462">
        <f t="shared" si="1"/>
        <v>713.87600680014839</v>
      </c>
      <c r="F16" s="464">
        <f t="shared" si="2"/>
        <v>61</v>
      </c>
      <c r="G16" s="465" t="str">
        <f t="shared" si="3"/>
        <v>--</v>
      </c>
      <c r="H16" s="465">
        <f t="shared" si="4"/>
        <v>4000</v>
      </c>
      <c r="I16" s="479" t="str">
        <f t="shared" si="5"/>
        <v>--</v>
      </c>
      <c r="J16" s="480" t="str">
        <f t="shared" si="6"/>
        <v>--</v>
      </c>
      <c r="K16" s="464" t="str">
        <f t="shared" si="7"/>
        <v>--</v>
      </c>
      <c r="L16" s="480" t="str">
        <f t="shared" si="8"/>
        <v>--</v>
      </c>
      <c r="M16" s="481">
        <f t="shared" si="9"/>
        <v>50000</v>
      </c>
      <c r="N16" s="468">
        <f t="shared" si="10"/>
        <v>320</v>
      </c>
      <c r="O16" s="463">
        <f t="shared" si="11"/>
        <v>3200</v>
      </c>
      <c r="P16" s="461">
        <f t="shared" si="15"/>
        <v>61</v>
      </c>
      <c r="Q16" s="469" t="str">
        <f t="shared" si="14"/>
        <v>Aquatic Habitat</v>
      </c>
      <c r="S16" s="720"/>
      <c r="AN16" s="478"/>
    </row>
    <row r="17" spans="1:40" s="477" customFormat="1" ht="30" customHeight="1">
      <c r="A17" s="893" t="s">
        <v>103</v>
      </c>
      <c r="B17" s="460" t="s">
        <v>104</v>
      </c>
      <c r="C17" s="461">
        <f t="shared" si="12"/>
        <v>4</v>
      </c>
      <c r="D17" s="468">
        <f t="shared" si="0"/>
        <v>5.5648726940082334</v>
      </c>
      <c r="E17" s="462">
        <f t="shared" si="1"/>
        <v>401.09890109890108</v>
      </c>
      <c r="F17" s="464">
        <f t="shared" si="2"/>
        <v>32</v>
      </c>
      <c r="G17" s="465" t="str">
        <f t="shared" si="3"/>
        <v>--</v>
      </c>
      <c r="H17" s="465">
        <f t="shared" si="4"/>
        <v>0.37</v>
      </c>
      <c r="I17" s="479" t="str">
        <f t="shared" si="5"/>
        <v>--</v>
      </c>
      <c r="J17" s="480" t="str">
        <f t="shared" si="6"/>
        <v>--</v>
      </c>
      <c r="K17" s="464" t="str">
        <f t="shared" si="7"/>
        <v>--</v>
      </c>
      <c r="L17" s="480" t="str">
        <f t="shared" si="8"/>
        <v>--</v>
      </c>
      <c r="M17" s="481">
        <f t="shared" si="9"/>
        <v>135</v>
      </c>
      <c r="N17" s="468" t="str">
        <f t="shared" si="10"/>
        <v>--</v>
      </c>
      <c r="O17" s="463" t="str">
        <f t="shared" si="11"/>
        <v>--</v>
      </c>
      <c r="P17" s="461">
        <f t="shared" si="15"/>
        <v>0.37</v>
      </c>
      <c r="Q17" s="469" t="str">
        <f t="shared" si="14"/>
        <v>Aquatic Habitat</v>
      </c>
      <c r="S17" s="720"/>
      <c r="AN17" s="478"/>
    </row>
    <row r="18" spans="1:40" s="477" customFormat="1" ht="30" customHeight="1">
      <c r="A18" s="893" t="s">
        <v>105</v>
      </c>
      <c r="B18" s="460" t="s">
        <v>106</v>
      </c>
      <c r="C18" s="461" t="str">
        <f t="shared" si="12"/>
        <v>--</v>
      </c>
      <c r="D18" s="468" t="str">
        <f t="shared" si="0"/>
        <v>--</v>
      </c>
      <c r="E18" s="462">
        <f t="shared" si="1"/>
        <v>1000</v>
      </c>
      <c r="F18" s="464">
        <f t="shared" si="2"/>
        <v>1.6</v>
      </c>
      <c r="G18" s="465" t="str">
        <f t="shared" si="3"/>
        <v>--</v>
      </c>
      <c r="H18" s="465" t="str">
        <f t="shared" si="4"/>
        <v>--</v>
      </c>
      <c r="I18" s="479" t="str">
        <f t="shared" si="5"/>
        <v>--</v>
      </c>
      <c r="J18" s="480" t="str">
        <f t="shared" si="6"/>
        <v>--</v>
      </c>
      <c r="K18" s="464" t="str">
        <f t="shared" si="7"/>
        <v>--</v>
      </c>
      <c r="L18" s="480" t="str">
        <f t="shared" si="8"/>
        <v>--</v>
      </c>
      <c r="M18" s="481">
        <f t="shared" si="9"/>
        <v>50000</v>
      </c>
      <c r="N18" s="468" t="str">
        <f t="shared" si="10"/>
        <v>--</v>
      </c>
      <c r="O18" s="463" t="str">
        <f t="shared" si="11"/>
        <v>--</v>
      </c>
      <c r="P18" s="461">
        <f t="shared" si="15"/>
        <v>1.6</v>
      </c>
      <c r="Q18" s="469" t="str">
        <f t="shared" si="14"/>
        <v>Aquatic Habitat</v>
      </c>
      <c r="S18" s="720"/>
      <c r="AN18" s="478"/>
    </row>
    <row r="19" spans="1:40" s="477" customFormat="1" ht="30" customHeight="1">
      <c r="A19" s="893" t="s">
        <v>107</v>
      </c>
      <c r="B19" s="460" t="s">
        <v>108</v>
      </c>
      <c r="C19" s="461">
        <f t="shared" si="12"/>
        <v>80</v>
      </c>
      <c r="D19" s="468">
        <f t="shared" si="0"/>
        <v>0.06</v>
      </c>
      <c r="E19" s="462">
        <f t="shared" si="1"/>
        <v>151.05445134322525</v>
      </c>
      <c r="F19" s="464">
        <f t="shared" si="2"/>
        <v>1100</v>
      </c>
      <c r="G19" s="465">
        <f t="shared" si="3"/>
        <v>3200</v>
      </c>
      <c r="H19" s="465">
        <f t="shared" si="4"/>
        <v>27</v>
      </c>
      <c r="I19" s="479">
        <f t="shared" si="5"/>
        <v>0.87552465382658373</v>
      </c>
      <c r="J19" s="480" t="str">
        <f t="shared" si="6"/>
        <v>--</v>
      </c>
      <c r="K19" s="464">
        <f t="shared" si="7"/>
        <v>3.8242916879145175</v>
      </c>
      <c r="L19" s="480" t="str">
        <f t="shared" si="8"/>
        <v>--</v>
      </c>
      <c r="M19" s="481">
        <f t="shared" si="9"/>
        <v>50000</v>
      </c>
      <c r="N19" s="468" t="str">
        <f t="shared" si="10"/>
        <v>--</v>
      </c>
      <c r="O19" s="463" t="str">
        <f t="shared" si="11"/>
        <v>--</v>
      </c>
      <c r="P19" s="461">
        <f t="shared" si="15"/>
        <v>0.87552465382658373</v>
      </c>
      <c r="Q19" s="469" t="str">
        <f t="shared" si="14"/>
        <v>Vapor Intrusion</v>
      </c>
      <c r="S19" s="720"/>
      <c r="AN19" s="478"/>
    </row>
    <row r="20" spans="1:40" s="477" customFormat="1" ht="30" customHeight="1">
      <c r="A20" s="893" t="s">
        <v>109</v>
      </c>
      <c r="B20" s="460" t="s">
        <v>110</v>
      </c>
      <c r="C20" s="461">
        <f t="shared" si="12"/>
        <v>80</v>
      </c>
      <c r="D20" s="468">
        <f t="shared" si="0"/>
        <v>0.5</v>
      </c>
      <c r="E20" s="462">
        <f t="shared" si="1"/>
        <v>376.8214429008363</v>
      </c>
      <c r="F20" s="464">
        <f t="shared" si="2"/>
        <v>1100</v>
      </c>
      <c r="G20" s="465">
        <f t="shared" si="3"/>
        <v>3200</v>
      </c>
      <c r="H20" s="465">
        <f t="shared" si="4"/>
        <v>120</v>
      </c>
      <c r="I20" s="479">
        <f t="shared" si="5"/>
        <v>116.69694791189876</v>
      </c>
      <c r="J20" s="480" t="str">
        <f t="shared" si="6"/>
        <v>--</v>
      </c>
      <c r="K20" s="464">
        <f t="shared" si="7"/>
        <v>509.73226847917368</v>
      </c>
      <c r="L20" s="480" t="str">
        <f t="shared" si="8"/>
        <v>--</v>
      </c>
      <c r="M20" s="481">
        <f t="shared" si="9"/>
        <v>50000</v>
      </c>
      <c r="N20" s="468">
        <f t="shared" si="10"/>
        <v>510</v>
      </c>
      <c r="O20" s="463">
        <f t="shared" si="11"/>
        <v>5100</v>
      </c>
      <c r="P20" s="461">
        <f t="shared" si="15"/>
        <v>80</v>
      </c>
      <c r="Q20" s="469" t="str">
        <f t="shared" si="14"/>
        <v>MCL</v>
      </c>
      <c r="S20" s="720"/>
      <c r="AN20" s="478"/>
    </row>
    <row r="21" spans="1:40" s="477" customFormat="1" ht="30" customHeight="1">
      <c r="A21" s="893" t="s">
        <v>111</v>
      </c>
      <c r="B21" s="460" t="s">
        <v>112</v>
      </c>
      <c r="C21" s="461" t="str">
        <f t="shared" si="12"/>
        <v>--</v>
      </c>
      <c r="D21" s="468" t="str">
        <f t="shared" si="0"/>
        <v>--</v>
      </c>
      <c r="E21" s="462">
        <f t="shared" si="1"/>
        <v>7.5466281908805035</v>
      </c>
      <c r="F21" s="464">
        <f>(VLOOKUP($A21,Table_W_2, MATCH("FW-EcoT",heading_W_2,0), FALSE))</f>
        <v>160</v>
      </c>
      <c r="G21" s="465">
        <f t="shared" si="3"/>
        <v>3200</v>
      </c>
      <c r="H21" s="465">
        <f t="shared" si="4"/>
        <v>4000</v>
      </c>
      <c r="I21" s="479" t="str">
        <f t="shared" si="5"/>
        <v>--</v>
      </c>
      <c r="J21" s="480">
        <f t="shared" si="6"/>
        <v>17.376216426625401</v>
      </c>
      <c r="K21" s="464" t="str">
        <f t="shared" si="7"/>
        <v>--</v>
      </c>
      <c r="L21" s="480">
        <f t="shared" si="8"/>
        <v>72.980108991826683</v>
      </c>
      <c r="M21" s="481">
        <f t="shared" si="9"/>
        <v>50000</v>
      </c>
      <c r="N21" s="468" t="str">
        <f t="shared" si="10"/>
        <v>--</v>
      </c>
      <c r="O21" s="463" t="str">
        <f t="shared" si="11"/>
        <v>--</v>
      </c>
      <c r="P21" s="461">
        <f t="shared" si="15"/>
        <v>7.5466281908805035</v>
      </c>
      <c r="Q21" s="469" t="str">
        <f t="shared" si="14"/>
        <v>Tapwater</v>
      </c>
      <c r="S21" s="720"/>
      <c r="AN21" s="478"/>
    </row>
    <row r="22" spans="1:40" s="477" customFormat="1" ht="30" customHeight="1">
      <c r="A22" s="893" t="s">
        <v>116</v>
      </c>
      <c r="B22" s="460" t="s">
        <v>114</v>
      </c>
      <c r="C22" s="461">
        <f t="shared" si="12"/>
        <v>5</v>
      </c>
      <c r="D22" s="468" t="str">
        <f t="shared" si="0"/>
        <v>--</v>
      </c>
      <c r="E22" s="462">
        <f t="shared" si="1"/>
        <v>0.04</v>
      </c>
      <c r="F22" s="464">
        <f t="shared" si="2"/>
        <v>0.25</v>
      </c>
      <c r="G22" s="465">
        <f t="shared" si="3"/>
        <v>1</v>
      </c>
      <c r="H22" s="465" t="str">
        <f t="shared" si="4"/>
        <v>--</v>
      </c>
      <c r="I22" s="479" t="str">
        <f t="shared" si="5"/>
        <v>--</v>
      </c>
      <c r="J22" s="480" t="str">
        <f t="shared" si="6"/>
        <v>--</v>
      </c>
      <c r="K22" s="464" t="str">
        <f t="shared" si="7"/>
        <v>--</v>
      </c>
      <c r="L22" s="480" t="str">
        <f t="shared" si="8"/>
        <v>--</v>
      </c>
      <c r="M22" s="481">
        <f t="shared" si="9"/>
        <v>50000</v>
      </c>
      <c r="N22" s="468" t="str">
        <f t="shared" si="10"/>
        <v>--</v>
      </c>
      <c r="O22" s="463" t="str">
        <f t="shared" si="11"/>
        <v>--</v>
      </c>
      <c r="P22" s="461">
        <f t="shared" si="15"/>
        <v>0.25</v>
      </c>
      <c r="Q22" s="469" t="str">
        <f t="shared" si="14"/>
        <v>Aquatic Habitat</v>
      </c>
      <c r="S22" s="720"/>
      <c r="AN22" s="478"/>
    </row>
    <row r="23" spans="1:40" s="477" customFormat="1" ht="30" customHeight="1">
      <c r="A23" s="893" t="s">
        <v>117</v>
      </c>
      <c r="B23" s="460" t="s">
        <v>118</v>
      </c>
      <c r="C23" s="461">
        <f t="shared" si="12"/>
        <v>0.5</v>
      </c>
      <c r="D23" s="468">
        <f t="shared" si="0"/>
        <v>0.1</v>
      </c>
      <c r="E23" s="462">
        <f t="shared" si="1"/>
        <v>36.501424748469837</v>
      </c>
      <c r="F23" s="464">
        <f t="shared" si="2"/>
        <v>240</v>
      </c>
      <c r="G23" s="465">
        <f t="shared" si="3"/>
        <v>3200</v>
      </c>
      <c r="H23" s="465">
        <f t="shared" si="4"/>
        <v>0.9</v>
      </c>
      <c r="I23" s="479">
        <f t="shared" si="5"/>
        <v>0.41471107395020562</v>
      </c>
      <c r="J23" s="480">
        <f t="shared" si="6"/>
        <v>36.968530020704051</v>
      </c>
      <c r="K23" s="464">
        <f t="shared" si="7"/>
        <v>1.8114579710144982</v>
      </c>
      <c r="L23" s="480">
        <f t="shared" si="8"/>
        <v>155.267826086957</v>
      </c>
      <c r="M23" s="481">
        <f t="shared" si="9"/>
        <v>50000</v>
      </c>
      <c r="N23" s="468">
        <f t="shared" si="10"/>
        <v>520</v>
      </c>
      <c r="O23" s="463">
        <f t="shared" si="11"/>
        <v>5200</v>
      </c>
      <c r="P23" s="461">
        <f t="shared" si="15"/>
        <v>0.41471107395020562</v>
      </c>
      <c r="Q23" s="469" t="str">
        <f t="shared" si="14"/>
        <v>Vapor Intrusion</v>
      </c>
      <c r="S23" s="720"/>
      <c r="AN23" s="478"/>
    </row>
    <row r="24" spans="1:40" s="477" customFormat="1" ht="30" customHeight="1">
      <c r="A24" s="893" t="s">
        <v>119</v>
      </c>
      <c r="B24" s="460" t="s">
        <v>120</v>
      </c>
      <c r="C24" s="461">
        <f t="shared" si="12"/>
        <v>0.1</v>
      </c>
      <c r="D24" s="468">
        <f t="shared" si="0"/>
        <v>2.0036636538101203E-2</v>
      </c>
      <c r="E24" s="462">
        <f t="shared" si="1"/>
        <v>0.74165587167721603</v>
      </c>
      <c r="F24" s="464">
        <f t="shared" si="2"/>
        <v>4.3E-3</v>
      </c>
      <c r="G24" s="465">
        <f t="shared" si="3"/>
        <v>4.0000000000000001E-3</v>
      </c>
      <c r="H24" s="465">
        <f t="shared" si="4"/>
        <v>2.3E-5</v>
      </c>
      <c r="I24" s="479">
        <f t="shared" si="5"/>
        <v>14.130895853115922</v>
      </c>
      <c r="J24" s="480">
        <f t="shared" si="6"/>
        <v>367.40329218101402</v>
      </c>
      <c r="K24" s="464">
        <f t="shared" si="7"/>
        <v>61.723753086410333</v>
      </c>
      <c r="L24" s="480">
        <f t="shared" si="8"/>
        <v>1543.0938271602588</v>
      </c>
      <c r="M24" s="481">
        <f t="shared" si="9"/>
        <v>28</v>
      </c>
      <c r="N24" s="468">
        <f t="shared" si="10"/>
        <v>2.5</v>
      </c>
      <c r="O24" s="463">
        <f t="shared" si="11"/>
        <v>25</v>
      </c>
      <c r="P24" s="461">
        <f t="shared" si="15"/>
        <v>2.3E-5</v>
      </c>
      <c r="Q24" s="469" t="str">
        <f t="shared" si="14"/>
        <v>Aquatic Habitat</v>
      </c>
      <c r="S24" s="720"/>
      <c r="AN24" s="478"/>
    </row>
    <row r="25" spans="1:40" s="477" customFormat="1" ht="30" customHeight="1">
      <c r="A25" s="893" t="s">
        <v>121</v>
      </c>
      <c r="B25" s="460" t="s">
        <v>122</v>
      </c>
      <c r="C25" s="461" t="str">
        <f t="shared" si="12"/>
        <v>--</v>
      </c>
      <c r="D25" s="468">
        <f t="shared" si="0"/>
        <v>0.36543272383745468</v>
      </c>
      <c r="E25" s="462">
        <f t="shared" si="1"/>
        <v>9.4538301632907622</v>
      </c>
      <c r="F25" s="464">
        <f t="shared" si="2"/>
        <v>5</v>
      </c>
      <c r="G25" s="465" t="str">
        <f t="shared" si="3"/>
        <v>--</v>
      </c>
      <c r="H25" s="465" t="str">
        <f t="shared" si="4"/>
        <v>--</v>
      </c>
      <c r="I25" s="479" t="str">
        <f t="shared" si="5"/>
        <v>--</v>
      </c>
      <c r="J25" s="480" t="str">
        <f t="shared" si="6"/>
        <v>--</v>
      </c>
      <c r="K25" s="464" t="str">
        <f t="shared" si="7"/>
        <v>--</v>
      </c>
      <c r="L25" s="480" t="str">
        <f t="shared" si="8"/>
        <v>--</v>
      </c>
      <c r="M25" s="481">
        <f t="shared" si="9"/>
        <v>50000</v>
      </c>
      <c r="N25" s="468" t="str">
        <f t="shared" si="10"/>
        <v>--</v>
      </c>
      <c r="O25" s="463" t="str">
        <f t="shared" si="11"/>
        <v>--</v>
      </c>
      <c r="P25" s="461">
        <f t="shared" si="15"/>
        <v>0.36543272383745468</v>
      </c>
      <c r="Q25" s="469" t="str">
        <f t="shared" si="14"/>
        <v>Tapwater</v>
      </c>
      <c r="S25" s="720"/>
      <c r="AN25" s="478"/>
    </row>
    <row r="26" spans="1:40" s="477" customFormat="1" ht="30" customHeight="1">
      <c r="A26" s="893" t="s">
        <v>123</v>
      </c>
      <c r="B26" s="460" t="s">
        <v>124</v>
      </c>
      <c r="C26" s="461">
        <f t="shared" si="12"/>
        <v>70</v>
      </c>
      <c r="D26" s="468" t="str">
        <f t="shared" si="0"/>
        <v>--</v>
      </c>
      <c r="E26" s="462">
        <f t="shared" si="1"/>
        <v>70</v>
      </c>
      <c r="F26" s="464">
        <f t="shared" si="2"/>
        <v>25</v>
      </c>
      <c r="G26" s="465">
        <f t="shared" si="3"/>
        <v>64.5</v>
      </c>
      <c r="H26" s="465">
        <f t="shared" si="4"/>
        <v>570</v>
      </c>
      <c r="I26" s="479" t="str">
        <f t="shared" si="5"/>
        <v>--</v>
      </c>
      <c r="J26" s="480">
        <f t="shared" si="6"/>
        <v>410.1010564997631</v>
      </c>
      <c r="K26" s="464" t="str">
        <f t="shared" si="7"/>
        <v>--</v>
      </c>
      <c r="L26" s="480">
        <f t="shared" si="8"/>
        <v>1722.4244372990049</v>
      </c>
      <c r="M26" s="481">
        <f t="shared" si="9"/>
        <v>50000</v>
      </c>
      <c r="N26" s="468">
        <f t="shared" si="10"/>
        <v>50</v>
      </c>
      <c r="O26" s="463">
        <f t="shared" si="11"/>
        <v>500</v>
      </c>
      <c r="P26" s="461">
        <f t="shared" si="15"/>
        <v>25</v>
      </c>
      <c r="Q26" s="469" t="str">
        <f t="shared" si="14"/>
        <v>Aquatic Habitat</v>
      </c>
      <c r="S26" s="720"/>
      <c r="AN26" s="478"/>
    </row>
    <row r="27" spans="1:40" s="477" customFormat="1" ht="30" customHeight="1">
      <c r="A27" s="893" t="s">
        <v>125</v>
      </c>
      <c r="B27" s="460" t="s">
        <v>126</v>
      </c>
      <c r="C27" s="461" t="str">
        <f t="shared" si="12"/>
        <v>--</v>
      </c>
      <c r="D27" s="468" t="str">
        <f t="shared" si="0"/>
        <v>--</v>
      </c>
      <c r="E27" s="462">
        <f t="shared" si="1"/>
        <v>8342.8571428571431</v>
      </c>
      <c r="F27" s="464" t="str">
        <f t="shared" si="2"/>
        <v>--</v>
      </c>
      <c r="G27" s="465" t="str">
        <f t="shared" si="3"/>
        <v>--</v>
      </c>
      <c r="H27" s="465" t="str">
        <f t="shared" si="4"/>
        <v>--</v>
      </c>
      <c r="I27" s="479" t="str">
        <f t="shared" si="5"/>
        <v>--</v>
      </c>
      <c r="J27" s="480">
        <f t="shared" si="6"/>
        <v>9192.1750321750151</v>
      </c>
      <c r="K27" s="464" t="str">
        <f t="shared" si="7"/>
        <v>--</v>
      </c>
      <c r="L27" s="480">
        <f t="shared" si="8"/>
        <v>38607.13513513506</v>
      </c>
      <c r="M27" s="481">
        <f t="shared" si="9"/>
        <v>50000</v>
      </c>
      <c r="N27" s="468">
        <f t="shared" si="10"/>
        <v>16</v>
      </c>
      <c r="O27" s="463">
        <f t="shared" si="11"/>
        <v>160</v>
      </c>
      <c r="P27" s="461">
        <f t="shared" si="15"/>
        <v>16</v>
      </c>
      <c r="Q27" s="469" t="str">
        <f t="shared" si="14"/>
        <v>Odor/Nuis</v>
      </c>
      <c r="S27" s="720"/>
      <c r="AN27" s="478"/>
    </row>
    <row r="28" spans="1:40" s="477" customFormat="1" ht="30" customHeight="1">
      <c r="A28" s="893" t="s">
        <v>127</v>
      </c>
      <c r="B28" s="460" t="s">
        <v>128</v>
      </c>
      <c r="C28" s="461">
        <f t="shared" si="12"/>
        <v>80</v>
      </c>
      <c r="D28" s="468">
        <f t="shared" si="0"/>
        <v>0.22084401783876592</v>
      </c>
      <c r="E28" s="462">
        <f t="shared" si="1"/>
        <v>3.9800305654275552</v>
      </c>
      <c r="F28" s="464">
        <f t="shared" si="2"/>
        <v>620</v>
      </c>
      <c r="G28" s="465">
        <f t="shared" si="3"/>
        <v>3200</v>
      </c>
      <c r="H28" s="465">
        <f t="shared" si="4"/>
        <v>130</v>
      </c>
      <c r="I28" s="479">
        <f t="shared" si="5"/>
        <v>0.81360210693226576</v>
      </c>
      <c r="J28" s="480">
        <f t="shared" si="6"/>
        <v>13.55344881276736</v>
      </c>
      <c r="K28" s="464">
        <f t="shared" si="7"/>
        <v>3.5538140030801371</v>
      </c>
      <c r="L28" s="480">
        <f t="shared" si="8"/>
        <v>56.924485013622906</v>
      </c>
      <c r="M28" s="481">
        <f t="shared" si="9"/>
        <v>50000</v>
      </c>
      <c r="N28" s="468">
        <f t="shared" si="10"/>
        <v>2400</v>
      </c>
      <c r="O28" s="463">
        <f t="shared" si="11"/>
        <v>24000</v>
      </c>
      <c r="P28" s="461">
        <f t="shared" si="15"/>
        <v>0.81360210693226576</v>
      </c>
      <c r="Q28" s="469" t="str">
        <f t="shared" si="14"/>
        <v>Vapor Intrusion</v>
      </c>
      <c r="S28" s="720"/>
      <c r="AN28" s="478"/>
    </row>
    <row r="29" spans="1:40" s="477" customFormat="1" ht="30" customHeight="1">
      <c r="A29" s="893" t="s">
        <v>129</v>
      </c>
      <c r="B29" s="460" t="s">
        <v>130</v>
      </c>
      <c r="C29" s="461" t="str">
        <f t="shared" si="12"/>
        <v>--</v>
      </c>
      <c r="D29" s="468" t="str">
        <f t="shared" si="0"/>
        <v>--</v>
      </c>
      <c r="E29" s="462">
        <f t="shared" si="1"/>
        <v>187.71428571428572</v>
      </c>
      <c r="F29" s="464">
        <f t="shared" si="2"/>
        <v>1100</v>
      </c>
      <c r="G29" s="465">
        <f t="shared" si="3"/>
        <v>3200</v>
      </c>
      <c r="H29" s="465" t="str">
        <f t="shared" si="4"/>
        <v>--</v>
      </c>
      <c r="I29" s="479" t="str">
        <f t="shared" si="5"/>
        <v>--</v>
      </c>
      <c r="J29" s="480">
        <f t="shared" si="6"/>
        <v>260.28862973761193</v>
      </c>
      <c r="K29" s="464" t="str">
        <f t="shared" si="7"/>
        <v>--</v>
      </c>
      <c r="L29" s="480">
        <f t="shared" si="8"/>
        <v>1093.2122448979701</v>
      </c>
      <c r="M29" s="481">
        <f t="shared" si="9"/>
        <v>50000</v>
      </c>
      <c r="N29" s="468" t="str">
        <f t="shared" si="10"/>
        <v>--</v>
      </c>
      <c r="O29" s="463" t="str">
        <f t="shared" si="11"/>
        <v>--</v>
      </c>
      <c r="P29" s="461">
        <f t="shared" si="15"/>
        <v>187.71428571428572</v>
      </c>
      <c r="Q29" s="469" t="str">
        <f t="shared" si="14"/>
        <v>Tapwater</v>
      </c>
      <c r="S29" s="720"/>
      <c r="AN29" s="478"/>
    </row>
    <row r="30" spans="1:40" s="477" customFormat="1" ht="30" customHeight="1">
      <c r="A30" s="893" t="s">
        <v>131</v>
      </c>
      <c r="B30" s="460" t="s">
        <v>132</v>
      </c>
      <c r="C30" s="461" t="str">
        <f t="shared" si="12"/>
        <v>--</v>
      </c>
      <c r="D30" s="468" t="str">
        <f t="shared" si="0"/>
        <v>--</v>
      </c>
      <c r="E30" s="462">
        <f t="shared" si="1"/>
        <v>91.293974613088139</v>
      </c>
      <c r="F30" s="464">
        <f t="shared" si="2"/>
        <v>438</v>
      </c>
      <c r="G30" s="465">
        <f t="shared" si="3"/>
        <v>1</v>
      </c>
      <c r="H30" s="465">
        <f t="shared" si="4"/>
        <v>400</v>
      </c>
      <c r="I30" s="479" t="str">
        <f t="shared" si="5"/>
        <v>--</v>
      </c>
      <c r="J30" s="480" t="str">
        <f t="shared" si="6"/>
        <v>--</v>
      </c>
      <c r="K30" s="464" t="str">
        <f t="shared" si="7"/>
        <v>--</v>
      </c>
      <c r="L30" s="480" t="str">
        <f t="shared" si="8"/>
        <v>--</v>
      </c>
      <c r="M30" s="481">
        <f t="shared" si="9"/>
        <v>50000</v>
      </c>
      <c r="N30" s="468">
        <f t="shared" si="10"/>
        <v>0.18</v>
      </c>
      <c r="O30" s="463">
        <f t="shared" si="11"/>
        <v>1.8</v>
      </c>
      <c r="P30" s="461">
        <f t="shared" si="15"/>
        <v>0.18</v>
      </c>
      <c r="Q30" s="469" t="str">
        <f t="shared" si="14"/>
        <v>Odor/Nuis</v>
      </c>
      <c r="S30" s="720"/>
      <c r="AN30" s="478"/>
    </row>
    <row r="31" spans="1:40" s="477" customFormat="1" ht="30" customHeight="1">
      <c r="A31" s="893" t="s">
        <v>133</v>
      </c>
      <c r="B31" s="460" t="s">
        <v>134</v>
      </c>
      <c r="C31" s="461">
        <f t="shared" si="12"/>
        <v>50</v>
      </c>
      <c r="D31" s="468" t="str">
        <f t="shared" si="0"/>
        <v>--</v>
      </c>
      <c r="E31" s="462" t="str">
        <f t="shared" si="1"/>
        <v>--</v>
      </c>
      <c r="F31" s="464">
        <f t="shared" si="2"/>
        <v>180</v>
      </c>
      <c r="G31" s="465" t="str">
        <f t="shared" si="3"/>
        <v>--</v>
      </c>
      <c r="H31" s="465" t="str">
        <f t="shared" si="4"/>
        <v>--</v>
      </c>
      <c r="I31" s="479" t="str">
        <f t="shared" si="5"/>
        <v>--</v>
      </c>
      <c r="J31" s="480" t="str">
        <f t="shared" si="6"/>
        <v>--</v>
      </c>
      <c r="K31" s="464" t="str">
        <f t="shared" si="7"/>
        <v>--</v>
      </c>
      <c r="L31" s="480" t="str">
        <f t="shared" si="8"/>
        <v>--</v>
      </c>
      <c r="M31" s="481">
        <f t="shared" si="9"/>
        <v>50000</v>
      </c>
      <c r="N31" s="468" t="str">
        <f t="shared" si="10"/>
        <v>--</v>
      </c>
      <c r="O31" s="463" t="str">
        <f t="shared" si="11"/>
        <v>--</v>
      </c>
      <c r="P31" s="461">
        <f t="shared" si="15"/>
        <v>50</v>
      </c>
      <c r="Q31" s="469" t="str">
        <f t="shared" si="14"/>
        <v>MCL</v>
      </c>
      <c r="S31" s="720"/>
      <c r="AN31" s="478"/>
    </row>
    <row r="32" spans="1:40" s="477" customFormat="1" ht="30" customHeight="1">
      <c r="A32" s="893" t="s">
        <v>135</v>
      </c>
      <c r="B32" s="460" t="s">
        <v>136</v>
      </c>
      <c r="C32" s="461" t="str">
        <f>(VLOOKUP("Chromium III (insoluble)",Table_W_1, MATCH("MCL_Pri",heading_W_1,0), FALSE))</f>
        <v>--</v>
      </c>
      <c r="D32" s="468" t="str">
        <f>(VLOOKUP("Chromium III (insoluble)",Table_W_1, MATCH("DW-C",heading_W_1,0), FALSE))</f>
        <v>--</v>
      </c>
      <c r="E32" s="462">
        <f>(VLOOKUP("Chromium III (insoluble)",Table_W_1, MATCH("DW-NC",heading_W_1,0), FALSE))</f>
        <v>22466.926978936172</v>
      </c>
      <c r="F32" s="464">
        <f t="shared" si="2"/>
        <v>180</v>
      </c>
      <c r="G32" s="465">
        <f t="shared" si="3"/>
        <v>1030</v>
      </c>
      <c r="H32" s="465">
        <f t="shared" si="4"/>
        <v>190000</v>
      </c>
      <c r="I32" s="479" t="str">
        <f t="shared" si="5"/>
        <v>--</v>
      </c>
      <c r="J32" s="480" t="str">
        <f t="shared" si="6"/>
        <v>--</v>
      </c>
      <c r="K32" s="464" t="str">
        <f t="shared" si="7"/>
        <v>--</v>
      </c>
      <c r="L32" s="480" t="str">
        <f t="shared" si="8"/>
        <v>--</v>
      </c>
      <c r="M32" s="481">
        <f t="shared" si="9"/>
        <v>50000</v>
      </c>
      <c r="N32" s="468" t="str">
        <f t="shared" si="10"/>
        <v>--</v>
      </c>
      <c r="O32" s="463" t="str">
        <f t="shared" si="11"/>
        <v>--</v>
      </c>
      <c r="P32" s="461">
        <f t="shared" ref="P32" si="16">IF(MIN(C32:O32)=0,"--",IF(C32="--",MIN(D32:O32),MIN(C32,F32:O32)))</f>
        <v>180</v>
      </c>
      <c r="Q32" s="469" t="str">
        <f t="shared" ref="Q32" si="17">IF(P32="--", "--", IF(P32=N32, "Odor/Nuis", IF(P32=M32, "Gross Contam", IF(P32=C32, "MCL", IF(OR(P32=F32,P32=H32,P32=G32),"Aquatic Habitat", IF(OR(P32=D32,P32=E32),"Tapwater", "Vapor Intrusion"))))))</f>
        <v>Aquatic Habitat</v>
      </c>
      <c r="S32" s="720"/>
      <c r="AN32" s="478"/>
    </row>
    <row r="33" spans="1:40" s="477" customFormat="1" ht="30" customHeight="1">
      <c r="A33" s="893" t="s">
        <v>137</v>
      </c>
      <c r="B33" s="460" t="s">
        <v>138</v>
      </c>
      <c r="C33" s="461">
        <f t="shared" si="12"/>
        <v>10</v>
      </c>
      <c r="D33" s="468">
        <f t="shared" si="0"/>
        <v>0.02</v>
      </c>
      <c r="E33" s="462">
        <f t="shared" si="1"/>
        <v>13.345022245766152</v>
      </c>
      <c r="F33" s="464">
        <f t="shared" si="2"/>
        <v>11</v>
      </c>
      <c r="G33" s="465">
        <f t="shared" si="3"/>
        <v>2</v>
      </c>
      <c r="H33" s="465" t="str">
        <f t="shared" si="4"/>
        <v>--</v>
      </c>
      <c r="I33" s="479" t="str">
        <f t="shared" si="5"/>
        <v>--</v>
      </c>
      <c r="J33" s="480" t="str">
        <f t="shared" si="6"/>
        <v>--</v>
      </c>
      <c r="K33" s="464" t="str">
        <f t="shared" si="7"/>
        <v>--</v>
      </c>
      <c r="L33" s="480" t="str">
        <f t="shared" si="8"/>
        <v>--</v>
      </c>
      <c r="M33" s="481">
        <f t="shared" si="9"/>
        <v>50000</v>
      </c>
      <c r="N33" s="468" t="str">
        <f t="shared" si="10"/>
        <v>--</v>
      </c>
      <c r="O33" s="463" t="str">
        <f t="shared" si="11"/>
        <v>--</v>
      </c>
      <c r="P33" s="461">
        <f t="shared" si="15"/>
        <v>2</v>
      </c>
      <c r="Q33" s="469" t="str">
        <f t="shared" si="14"/>
        <v>Aquatic Habitat</v>
      </c>
      <c r="S33" s="720"/>
      <c r="AN33" s="478"/>
    </row>
    <row r="34" spans="1:40" s="477" customFormat="1" ht="30" customHeight="1">
      <c r="A34" s="893" t="s">
        <v>139</v>
      </c>
      <c r="B34" s="460" t="s">
        <v>140</v>
      </c>
      <c r="C34" s="461" t="str">
        <f t="shared" si="12"/>
        <v>--</v>
      </c>
      <c r="D34" s="468" t="str">
        <f t="shared" si="0"/>
        <v>--</v>
      </c>
      <c r="E34" s="462">
        <f t="shared" si="1"/>
        <v>6.0058974292762528</v>
      </c>
      <c r="F34" s="464">
        <f t="shared" si="2"/>
        <v>3</v>
      </c>
      <c r="G34" s="465" t="str">
        <f t="shared" si="3"/>
        <v>--</v>
      </c>
      <c r="H34" s="465" t="str">
        <f t="shared" si="4"/>
        <v>--</v>
      </c>
      <c r="I34" s="479" t="str">
        <f t="shared" si="5"/>
        <v>--</v>
      </c>
      <c r="J34" s="480" t="str">
        <f t="shared" si="6"/>
        <v>--</v>
      </c>
      <c r="K34" s="464" t="str">
        <f t="shared" si="7"/>
        <v>--</v>
      </c>
      <c r="L34" s="480" t="str">
        <f t="shared" si="8"/>
        <v>--</v>
      </c>
      <c r="M34" s="481">
        <f t="shared" si="9"/>
        <v>50000</v>
      </c>
      <c r="N34" s="468" t="str">
        <f t="shared" si="10"/>
        <v>--</v>
      </c>
      <c r="O34" s="463" t="str">
        <f t="shared" si="11"/>
        <v>--</v>
      </c>
      <c r="P34" s="461">
        <f t="shared" si="15"/>
        <v>3</v>
      </c>
      <c r="Q34" s="469" t="str">
        <f t="shared" si="14"/>
        <v>Aquatic Habitat</v>
      </c>
      <c r="S34" s="720"/>
      <c r="AN34" s="478"/>
    </row>
    <row r="35" spans="1:40" s="477" customFormat="1" ht="30" customHeight="1">
      <c r="A35" s="893" t="s">
        <v>141</v>
      </c>
      <c r="B35" s="460" t="s">
        <v>142</v>
      </c>
      <c r="C35" s="461">
        <f t="shared" si="12"/>
        <v>1000</v>
      </c>
      <c r="D35" s="468" t="str">
        <f t="shared" si="0"/>
        <v>--</v>
      </c>
      <c r="E35" s="462">
        <f t="shared" si="1"/>
        <v>300</v>
      </c>
      <c r="F35" s="464">
        <f t="shared" si="2"/>
        <v>9</v>
      </c>
      <c r="G35" s="465">
        <f t="shared" si="3"/>
        <v>3</v>
      </c>
      <c r="H35" s="465" t="str">
        <f t="shared" si="4"/>
        <v>--</v>
      </c>
      <c r="I35" s="479" t="str">
        <f t="shared" si="5"/>
        <v>--</v>
      </c>
      <c r="J35" s="480" t="str">
        <f t="shared" si="6"/>
        <v>--</v>
      </c>
      <c r="K35" s="464" t="str">
        <f t="shared" si="7"/>
        <v>--</v>
      </c>
      <c r="L35" s="480" t="str">
        <f t="shared" si="8"/>
        <v>--</v>
      </c>
      <c r="M35" s="481">
        <f t="shared" si="9"/>
        <v>50000</v>
      </c>
      <c r="N35" s="468">
        <f t="shared" si="10"/>
        <v>1000</v>
      </c>
      <c r="O35" s="463" t="str">
        <f t="shared" si="11"/>
        <v>--</v>
      </c>
      <c r="P35" s="461">
        <f t="shared" si="15"/>
        <v>3</v>
      </c>
      <c r="Q35" s="469" t="str">
        <f t="shared" si="14"/>
        <v>Aquatic Habitat</v>
      </c>
      <c r="S35" s="720"/>
      <c r="AN35" s="478"/>
    </row>
    <row r="36" spans="1:40" s="477" customFormat="1" ht="30" customHeight="1">
      <c r="A36" s="893" t="s">
        <v>143</v>
      </c>
      <c r="B36" s="460" t="s">
        <v>144</v>
      </c>
      <c r="C36" s="461">
        <f t="shared" si="12"/>
        <v>150</v>
      </c>
      <c r="D36" s="468" t="str">
        <f t="shared" si="0"/>
        <v>--</v>
      </c>
      <c r="E36" s="462">
        <f t="shared" si="1"/>
        <v>1.4645870965503094</v>
      </c>
      <c r="F36" s="464">
        <f t="shared" si="2"/>
        <v>5.2</v>
      </c>
      <c r="G36" s="465">
        <f t="shared" si="3"/>
        <v>1</v>
      </c>
      <c r="H36" s="465">
        <f t="shared" si="4"/>
        <v>400</v>
      </c>
      <c r="I36" s="479" t="str">
        <f t="shared" si="5"/>
        <v>--</v>
      </c>
      <c r="J36" s="480">
        <f t="shared" si="6"/>
        <v>201.03270223752151</v>
      </c>
      <c r="K36" s="464" t="str">
        <f t="shared" si="7"/>
        <v>--</v>
      </c>
      <c r="L36" s="480">
        <f t="shared" si="8"/>
        <v>844.33734939759029</v>
      </c>
      <c r="M36" s="481">
        <f t="shared" si="9"/>
        <v>50000</v>
      </c>
      <c r="N36" s="468">
        <f t="shared" si="10"/>
        <v>170</v>
      </c>
      <c r="O36" s="463">
        <f t="shared" si="11"/>
        <v>1700</v>
      </c>
      <c r="P36" s="461">
        <f t="shared" si="15"/>
        <v>1</v>
      </c>
      <c r="Q36" s="469" t="str">
        <f t="shared" si="14"/>
        <v>Aquatic Habitat</v>
      </c>
      <c r="S36" s="720"/>
      <c r="AN36" s="478"/>
    </row>
    <row r="37" spans="1:40" s="477" customFormat="1" ht="30" customHeight="1">
      <c r="A37" s="893" t="s">
        <v>145</v>
      </c>
      <c r="B37" s="460" t="s">
        <v>146</v>
      </c>
      <c r="C37" s="461">
        <f t="shared" si="12"/>
        <v>80</v>
      </c>
      <c r="D37" s="468">
        <f t="shared" si="0"/>
        <v>0.1</v>
      </c>
      <c r="E37" s="462">
        <f t="shared" si="1"/>
        <v>378.5776477689576</v>
      </c>
      <c r="F37" s="464">
        <f t="shared" si="2"/>
        <v>1100</v>
      </c>
      <c r="G37" s="465">
        <f t="shared" si="3"/>
        <v>3200</v>
      </c>
      <c r="H37" s="465">
        <f t="shared" si="4"/>
        <v>21</v>
      </c>
      <c r="I37" s="479" t="str">
        <f t="shared" si="5"/>
        <v>--</v>
      </c>
      <c r="J37" s="480" t="str">
        <f t="shared" si="6"/>
        <v>--</v>
      </c>
      <c r="K37" s="464" t="str">
        <f t="shared" si="7"/>
        <v>--</v>
      </c>
      <c r="L37" s="480" t="str">
        <f t="shared" si="8"/>
        <v>--</v>
      </c>
      <c r="M37" s="481">
        <f t="shared" si="9"/>
        <v>50000</v>
      </c>
      <c r="N37" s="468" t="str">
        <f t="shared" si="10"/>
        <v>--</v>
      </c>
      <c r="O37" s="463" t="str">
        <f t="shared" si="11"/>
        <v>--</v>
      </c>
      <c r="P37" s="461">
        <f t="shared" si="15"/>
        <v>21</v>
      </c>
      <c r="Q37" s="469" t="str">
        <f t="shared" si="14"/>
        <v>Aquatic Habitat</v>
      </c>
      <c r="S37" s="720"/>
      <c r="AN37" s="478"/>
    </row>
    <row r="38" spans="1:40" s="477" customFormat="1" ht="30" customHeight="1">
      <c r="A38" s="893" t="s">
        <v>147</v>
      </c>
      <c r="B38" s="460" t="s">
        <v>148</v>
      </c>
      <c r="C38" s="461">
        <f t="shared" si="12"/>
        <v>0.2</v>
      </c>
      <c r="D38" s="468">
        <f t="shared" si="0"/>
        <v>3.0394052871379507E-4</v>
      </c>
      <c r="E38" s="462">
        <f t="shared" si="1"/>
        <v>0.37192718887264564</v>
      </c>
      <c r="F38" s="464" t="str">
        <f t="shared" si="2"/>
        <v>--</v>
      </c>
      <c r="G38" s="465" t="str">
        <f t="shared" si="3"/>
        <v>--</v>
      </c>
      <c r="H38" s="465" t="str">
        <f t="shared" si="4"/>
        <v>--</v>
      </c>
      <c r="I38" s="479">
        <f t="shared" si="5"/>
        <v>2.8117598891397772E-2</v>
      </c>
      <c r="J38" s="480">
        <f t="shared" si="6"/>
        <v>34.705150631668118</v>
      </c>
      <c r="K38" s="464">
        <f t="shared" si="7"/>
        <v>0.34011047619034745</v>
      </c>
      <c r="L38" s="480">
        <f t="shared" si="8"/>
        <v>145.76163265300607</v>
      </c>
      <c r="M38" s="481">
        <f t="shared" si="9"/>
        <v>50000</v>
      </c>
      <c r="N38" s="468">
        <f t="shared" si="10"/>
        <v>10</v>
      </c>
      <c r="O38" s="463">
        <f t="shared" si="11"/>
        <v>100</v>
      </c>
      <c r="P38" s="461">
        <f t="shared" si="15"/>
        <v>2.8117598891397772E-2</v>
      </c>
      <c r="Q38" s="469" t="str">
        <f t="shared" si="14"/>
        <v>Vapor Intrusion</v>
      </c>
      <c r="S38" s="720"/>
      <c r="AN38" s="478"/>
    </row>
    <row r="39" spans="1:40" s="477" customFormat="1" ht="30" customHeight="1">
      <c r="A39" s="893" t="s">
        <v>149</v>
      </c>
      <c r="B39" s="460" t="s">
        <v>150</v>
      </c>
      <c r="C39" s="461">
        <f t="shared" si="12"/>
        <v>0.05</v>
      </c>
      <c r="D39" s="468">
        <f t="shared" si="0"/>
        <v>7.4671042818152374E-3</v>
      </c>
      <c r="E39" s="462">
        <f t="shared" si="1"/>
        <v>1.6525283524111283</v>
      </c>
      <c r="F39" s="464">
        <f t="shared" si="2"/>
        <v>1400</v>
      </c>
      <c r="G39" s="465" t="str">
        <f t="shared" si="3"/>
        <v>--</v>
      </c>
      <c r="H39" s="465" t="str">
        <f t="shared" si="4"/>
        <v>--</v>
      </c>
      <c r="I39" s="479">
        <f t="shared" si="5"/>
        <v>0.17609270216960551</v>
      </c>
      <c r="J39" s="480">
        <f t="shared" si="6"/>
        <v>31.394813186809671</v>
      </c>
      <c r="K39" s="464">
        <f t="shared" si="7"/>
        <v>0.76917292307683682</v>
      </c>
      <c r="L39" s="480">
        <f t="shared" si="8"/>
        <v>131.85821538460061</v>
      </c>
      <c r="M39" s="481">
        <f t="shared" si="9"/>
        <v>50000</v>
      </c>
      <c r="N39" s="468" t="str">
        <f t="shared" si="10"/>
        <v>--</v>
      </c>
      <c r="O39" s="463" t="str">
        <f t="shared" si="11"/>
        <v>--</v>
      </c>
      <c r="P39" s="461">
        <f t="shared" si="15"/>
        <v>0.05</v>
      </c>
      <c r="Q39" s="469" t="str">
        <f t="shared" si="14"/>
        <v>MCL</v>
      </c>
      <c r="S39" s="720"/>
      <c r="AN39" s="478"/>
    </row>
    <row r="40" spans="1:40" s="477" customFormat="1" ht="30" customHeight="1">
      <c r="A40" s="893" t="s">
        <v>151</v>
      </c>
      <c r="B40" s="460" t="s">
        <v>152</v>
      </c>
      <c r="C40" s="461">
        <f t="shared" si="12"/>
        <v>600</v>
      </c>
      <c r="D40" s="468" t="str">
        <f t="shared" si="0"/>
        <v>--</v>
      </c>
      <c r="E40" s="462">
        <f t="shared" si="1"/>
        <v>303.58920793298864</v>
      </c>
      <c r="F40" s="464">
        <f t="shared" si="2"/>
        <v>14</v>
      </c>
      <c r="G40" s="465">
        <f t="shared" si="3"/>
        <v>64.5</v>
      </c>
      <c r="H40" s="465">
        <f t="shared" si="4"/>
        <v>3000</v>
      </c>
      <c r="I40" s="479" t="str">
        <f t="shared" si="5"/>
        <v>--</v>
      </c>
      <c r="J40" s="480">
        <f t="shared" si="6"/>
        <v>2657.1130952379331</v>
      </c>
      <c r="K40" s="464" t="str">
        <f t="shared" si="7"/>
        <v>--</v>
      </c>
      <c r="L40" s="480">
        <f t="shared" si="8"/>
        <v>11159.874999999318</v>
      </c>
      <c r="M40" s="481">
        <f t="shared" si="9"/>
        <v>50000</v>
      </c>
      <c r="N40" s="468">
        <f t="shared" si="10"/>
        <v>100</v>
      </c>
      <c r="O40" s="463">
        <f t="shared" si="11"/>
        <v>100</v>
      </c>
      <c r="P40" s="461">
        <f t="shared" si="15"/>
        <v>14</v>
      </c>
      <c r="Q40" s="469" t="str">
        <f t="shared" si="14"/>
        <v>Aquatic Habitat</v>
      </c>
      <c r="S40" s="720"/>
      <c r="AN40" s="478"/>
    </row>
    <row r="41" spans="1:40" s="477" customFormat="1" ht="30" customHeight="1">
      <c r="A41" s="893" t="s">
        <v>153</v>
      </c>
      <c r="B41" s="460" t="s">
        <v>154</v>
      </c>
      <c r="C41" s="461">
        <f t="shared" si="12"/>
        <v>5</v>
      </c>
      <c r="D41" s="468">
        <f t="shared" si="0"/>
        <v>0.48179944441109085</v>
      </c>
      <c r="E41" s="462">
        <f t="shared" si="1"/>
        <v>568.47786337736659</v>
      </c>
      <c r="F41" s="464">
        <f t="shared" si="2"/>
        <v>15</v>
      </c>
      <c r="G41" s="465">
        <f t="shared" si="3"/>
        <v>64.5</v>
      </c>
      <c r="H41" s="465">
        <f t="shared" si="4"/>
        <v>18</v>
      </c>
      <c r="I41" s="479">
        <f t="shared" si="5"/>
        <v>2.5905753997040555</v>
      </c>
      <c r="J41" s="480">
        <f t="shared" si="6"/>
        <v>8467.4807350326846</v>
      </c>
      <c r="K41" s="464">
        <f t="shared" si="7"/>
        <v>11.315633345907312</v>
      </c>
      <c r="L41" s="480">
        <f t="shared" si="8"/>
        <v>35563.41908713727</v>
      </c>
      <c r="M41" s="481">
        <f t="shared" si="9"/>
        <v>40650</v>
      </c>
      <c r="N41" s="468">
        <f t="shared" si="10"/>
        <v>5</v>
      </c>
      <c r="O41" s="463">
        <f t="shared" si="11"/>
        <v>110</v>
      </c>
      <c r="P41" s="461">
        <f t="shared" si="15"/>
        <v>2.5905753997040555</v>
      </c>
      <c r="Q41" s="469" t="str">
        <f t="shared" si="14"/>
        <v>Vapor Intrusion</v>
      </c>
      <c r="S41" s="720"/>
      <c r="AN41" s="478"/>
    </row>
    <row r="42" spans="1:40" s="477" customFormat="1" ht="30" customHeight="1">
      <c r="A42" s="893" t="s">
        <v>155</v>
      </c>
      <c r="B42" s="460" t="s">
        <v>156</v>
      </c>
      <c r="C42" s="461" t="str">
        <f t="shared" si="12"/>
        <v>--</v>
      </c>
      <c r="D42" s="468">
        <f t="shared" si="0"/>
        <v>4.6960197920817265E-2</v>
      </c>
      <c r="E42" s="462" t="str">
        <f t="shared" si="1"/>
        <v>--</v>
      </c>
      <c r="F42" s="464">
        <f t="shared" si="2"/>
        <v>250</v>
      </c>
      <c r="G42" s="465" t="str">
        <f t="shared" si="3"/>
        <v>--</v>
      </c>
      <c r="H42" s="465">
        <f t="shared" si="4"/>
        <v>7.6999999999999999E-2</v>
      </c>
      <c r="I42" s="479" t="str">
        <f t="shared" si="5"/>
        <v>--</v>
      </c>
      <c r="J42" s="480" t="str">
        <f t="shared" si="6"/>
        <v>--</v>
      </c>
      <c r="K42" s="464" t="str">
        <f t="shared" si="7"/>
        <v>--</v>
      </c>
      <c r="L42" s="480" t="str">
        <f t="shared" si="8"/>
        <v>--</v>
      </c>
      <c r="M42" s="481">
        <f t="shared" si="9"/>
        <v>1550</v>
      </c>
      <c r="N42" s="468" t="str">
        <f t="shared" si="10"/>
        <v>--</v>
      </c>
      <c r="O42" s="463" t="str">
        <f t="shared" si="11"/>
        <v>--</v>
      </c>
      <c r="P42" s="461">
        <f t="shared" si="15"/>
        <v>4.6960197920817265E-2</v>
      </c>
      <c r="Q42" s="469" t="str">
        <f t="shared" si="14"/>
        <v>Tapwater</v>
      </c>
      <c r="S42" s="720"/>
      <c r="AN42" s="478"/>
    </row>
    <row r="43" spans="1:40" s="477" customFormat="1" ht="30" customHeight="1">
      <c r="A43" s="893" t="s">
        <v>157</v>
      </c>
      <c r="B43" s="460" t="s">
        <v>158</v>
      </c>
      <c r="C43" s="461" t="str">
        <f t="shared" si="12"/>
        <v>--</v>
      </c>
      <c r="D43" s="468">
        <f t="shared" si="0"/>
        <v>3.1706574873866973E-2</v>
      </c>
      <c r="E43" s="462">
        <f t="shared" si="1"/>
        <v>1.0558702631786985</v>
      </c>
      <c r="F43" s="464">
        <f t="shared" si="2"/>
        <v>1E-3</v>
      </c>
      <c r="G43" s="465">
        <f t="shared" si="3"/>
        <v>1E-3</v>
      </c>
      <c r="H43" s="465">
        <f t="shared" si="4"/>
        <v>1.2E-4</v>
      </c>
      <c r="I43" s="479" t="str">
        <f t="shared" si="5"/>
        <v>--</v>
      </c>
      <c r="J43" s="480" t="str">
        <f t="shared" si="6"/>
        <v>--</v>
      </c>
      <c r="K43" s="464" t="str">
        <f t="shared" si="7"/>
        <v>--</v>
      </c>
      <c r="L43" s="480" t="str">
        <f t="shared" si="8"/>
        <v>--</v>
      </c>
      <c r="M43" s="481">
        <f t="shared" si="9"/>
        <v>45</v>
      </c>
      <c r="N43" s="468" t="str">
        <f t="shared" si="10"/>
        <v>--</v>
      </c>
      <c r="O43" s="463" t="str">
        <f t="shared" si="11"/>
        <v>--</v>
      </c>
      <c r="P43" s="461">
        <f t="shared" si="15"/>
        <v>1.2E-4</v>
      </c>
      <c r="Q43" s="469" t="str">
        <f t="shared" si="14"/>
        <v>Aquatic Habitat</v>
      </c>
      <c r="S43" s="720"/>
      <c r="AN43" s="478"/>
    </row>
    <row r="44" spans="1:40" s="477" customFormat="1" ht="30" customHeight="1">
      <c r="A44" s="893" t="s">
        <v>159</v>
      </c>
      <c r="B44" s="460" t="s">
        <v>160</v>
      </c>
      <c r="C44" s="461" t="str">
        <f t="shared" si="12"/>
        <v>--</v>
      </c>
      <c r="D44" s="468">
        <f t="shared" si="0"/>
        <v>4.6214816596816873E-2</v>
      </c>
      <c r="E44" s="462">
        <f t="shared" si="1"/>
        <v>10.027472527472527</v>
      </c>
      <c r="F44" s="464">
        <f t="shared" si="2"/>
        <v>1E-3</v>
      </c>
      <c r="G44" s="465">
        <f t="shared" si="3"/>
        <v>1E-3</v>
      </c>
      <c r="H44" s="465">
        <f t="shared" si="4"/>
        <v>1.8E-5</v>
      </c>
      <c r="I44" s="479">
        <f t="shared" si="5"/>
        <v>17.019268895253461</v>
      </c>
      <c r="J44" s="480" t="str">
        <f t="shared" si="6"/>
        <v>--</v>
      </c>
      <c r="K44" s="464">
        <f t="shared" si="7"/>
        <v>74.340166534467116</v>
      </c>
      <c r="L44" s="480" t="str">
        <f t="shared" si="8"/>
        <v>--</v>
      </c>
      <c r="M44" s="481">
        <f t="shared" si="9"/>
        <v>20</v>
      </c>
      <c r="N44" s="468" t="str">
        <f t="shared" si="10"/>
        <v>--</v>
      </c>
      <c r="O44" s="463" t="str">
        <f t="shared" si="11"/>
        <v>--</v>
      </c>
      <c r="P44" s="461">
        <f t="shared" si="15"/>
        <v>1.8E-5</v>
      </c>
      <c r="Q44" s="469" t="str">
        <f t="shared" si="14"/>
        <v>Aquatic Habitat</v>
      </c>
      <c r="S44" s="720"/>
      <c r="AN44" s="478"/>
    </row>
    <row r="45" spans="1:40" s="477" customFormat="1" ht="30" customHeight="1">
      <c r="A45" s="893" t="s">
        <v>161</v>
      </c>
      <c r="B45" s="460" t="s">
        <v>162</v>
      </c>
      <c r="C45" s="461" t="str">
        <f t="shared" si="12"/>
        <v>--</v>
      </c>
      <c r="D45" s="468">
        <f t="shared" si="0"/>
        <v>0.22914181681210372</v>
      </c>
      <c r="E45" s="462">
        <f t="shared" si="1"/>
        <v>10.027472527472527</v>
      </c>
      <c r="F45" s="464">
        <f t="shared" si="2"/>
        <v>1E-3</v>
      </c>
      <c r="G45" s="465">
        <f t="shared" si="3"/>
        <v>1E-3</v>
      </c>
      <c r="H45" s="465">
        <f t="shared" si="4"/>
        <v>3.0000000000000001E-5</v>
      </c>
      <c r="I45" s="479" t="str">
        <f t="shared" si="5"/>
        <v>--</v>
      </c>
      <c r="J45" s="480" t="str">
        <f t="shared" si="6"/>
        <v>--</v>
      </c>
      <c r="K45" s="464" t="str">
        <f t="shared" si="7"/>
        <v>--</v>
      </c>
      <c r="L45" s="480" t="str">
        <f t="shared" si="8"/>
        <v>--</v>
      </c>
      <c r="M45" s="481">
        <f t="shared" si="9"/>
        <v>2.75</v>
      </c>
      <c r="N45" s="468">
        <f t="shared" si="10"/>
        <v>350</v>
      </c>
      <c r="O45" s="463">
        <f t="shared" si="11"/>
        <v>3500</v>
      </c>
      <c r="P45" s="461">
        <f t="shared" si="15"/>
        <v>3.0000000000000001E-5</v>
      </c>
      <c r="Q45" s="469" t="str">
        <f t="shared" si="14"/>
        <v>Aquatic Habitat</v>
      </c>
      <c r="S45" s="720"/>
      <c r="AN45" s="478"/>
    </row>
    <row r="46" spans="1:40" s="477" customFormat="1" ht="30" customHeight="1">
      <c r="A46" s="893" t="s">
        <v>163</v>
      </c>
      <c r="B46" s="460" t="s">
        <v>164</v>
      </c>
      <c r="C46" s="461">
        <f t="shared" si="12"/>
        <v>5</v>
      </c>
      <c r="D46" s="468">
        <f t="shared" si="0"/>
        <v>2.7506025847406992</v>
      </c>
      <c r="E46" s="462">
        <f t="shared" si="1"/>
        <v>3753.2639645857175</v>
      </c>
      <c r="F46" s="464">
        <f t="shared" si="2"/>
        <v>47</v>
      </c>
      <c r="G46" s="465" t="str">
        <f t="shared" si="3"/>
        <v>--</v>
      </c>
      <c r="H46" s="465" t="str">
        <f t="shared" si="4"/>
        <v>--</v>
      </c>
      <c r="I46" s="479">
        <f t="shared" si="5"/>
        <v>7.6374726252394707</v>
      </c>
      <c r="J46" s="480" t="str">
        <f t="shared" si="6"/>
        <v>--</v>
      </c>
      <c r="K46" s="464">
        <f t="shared" si="7"/>
        <v>33.360480427046006</v>
      </c>
      <c r="L46" s="480" t="str">
        <f t="shared" si="8"/>
        <v>--</v>
      </c>
      <c r="M46" s="481">
        <f t="shared" si="9"/>
        <v>50000</v>
      </c>
      <c r="N46" s="468" t="str">
        <f t="shared" si="10"/>
        <v>--</v>
      </c>
      <c r="O46" s="463" t="str">
        <f t="shared" si="11"/>
        <v>--</v>
      </c>
      <c r="P46" s="461">
        <f t="shared" si="15"/>
        <v>5</v>
      </c>
      <c r="Q46" s="469" t="str">
        <f t="shared" si="14"/>
        <v>MCL</v>
      </c>
      <c r="S46" s="720"/>
      <c r="AN46" s="478"/>
    </row>
    <row r="47" spans="1:40" s="477" customFormat="1" ht="30" customHeight="1">
      <c r="A47" s="893" t="s">
        <v>165</v>
      </c>
      <c r="B47" s="460" t="s">
        <v>166</v>
      </c>
      <c r="C47" s="461">
        <f t="shared" si="12"/>
        <v>0.5</v>
      </c>
      <c r="D47" s="468">
        <f t="shared" si="0"/>
        <v>0.17086896486121286</v>
      </c>
      <c r="E47" s="462">
        <f t="shared" si="1"/>
        <v>12.960296574149602</v>
      </c>
      <c r="F47" s="464">
        <f t="shared" si="2"/>
        <v>10000</v>
      </c>
      <c r="G47" s="465">
        <f t="shared" si="3"/>
        <v>11300</v>
      </c>
      <c r="H47" s="465">
        <f t="shared" si="4"/>
        <v>28</v>
      </c>
      <c r="I47" s="479">
        <f t="shared" si="5"/>
        <v>2.2384665530037382</v>
      </c>
      <c r="J47" s="480">
        <f t="shared" si="6"/>
        <v>151.32033898305272</v>
      </c>
      <c r="K47" s="464">
        <f t="shared" si="7"/>
        <v>9.7776219035203287</v>
      </c>
      <c r="L47" s="480">
        <f t="shared" si="8"/>
        <v>635.54542372882133</v>
      </c>
      <c r="M47" s="481">
        <f t="shared" si="9"/>
        <v>50000</v>
      </c>
      <c r="N47" s="468">
        <f t="shared" si="10"/>
        <v>7000</v>
      </c>
      <c r="O47" s="463">
        <f t="shared" si="11"/>
        <v>200000</v>
      </c>
      <c r="P47" s="461">
        <f t="shared" si="15"/>
        <v>0.5</v>
      </c>
      <c r="Q47" s="469" t="str">
        <f t="shared" si="14"/>
        <v>MCL</v>
      </c>
      <c r="S47" s="720"/>
      <c r="AN47" s="478"/>
    </row>
    <row r="48" spans="1:40" s="477" customFormat="1" ht="30" customHeight="1">
      <c r="A48" s="893" t="s">
        <v>167</v>
      </c>
      <c r="B48" s="460" t="s">
        <v>168</v>
      </c>
      <c r="C48" s="461">
        <f t="shared" si="12"/>
        <v>6</v>
      </c>
      <c r="D48" s="468" t="str">
        <f t="shared" si="0"/>
        <v>--</v>
      </c>
      <c r="E48" s="462">
        <f t="shared" si="1"/>
        <v>8.1840979942799947</v>
      </c>
      <c r="F48" s="464">
        <f t="shared" si="2"/>
        <v>25</v>
      </c>
      <c r="G48" s="465">
        <f t="shared" si="3"/>
        <v>22400</v>
      </c>
      <c r="H48" s="465">
        <f t="shared" si="4"/>
        <v>0.9</v>
      </c>
      <c r="I48" s="479" t="str">
        <f t="shared" si="5"/>
        <v>--</v>
      </c>
      <c r="J48" s="480">
        <f t="shared" si="6"/>
        <v>3.8702226600985239</v>
      </c>
      <c r="K48" s="464" t="str">
        <f t="shared" si="7"/>
        <v>--</v>
      </c>
      <c r="L48" s="480">
        <f t="shared" si="8"/>
        <v>16.254935172413798</v>
      </c>
      <c r="M48" s="481">
        <f t="shared" si="9"/>
        <v>50000</v>
      </c>
      <c r="N48" s="468">
        <f t="shared" si="10"/>
        <v>1500</v>
      </c>
      <c r="O48" s="463">
        <f t="shared" si="11"/>
        <v>15000</v>
      </c>
      <c r="P48" s="461">
        <f t="shared" si="15"/>
        <v>0.9</v>
      </c>
      <c r="Q48" s="469" t="str">
        <f t="shared" si="14"/>
        <v>Aquatic Habitat</v>
      </c>
      <c r="S48" s="720"/>
      <c r="AN48" s="478"/>
    </row>
    <row r="49" spans="1:40" s="477" customFormat="1" ht="30" customHeight="1">
      <c r="A49" s="893" t="s">
        <v>169</v>
      </c>
      <c r="B49" s="460" t="s">
        <v>170</v>
      </c>
      <c r="C49" s="461">
        <f t="shared" si="12"/>
        <v>6</v>
      </c>
      <c r="D49" s="468" t="str">
        <f t="shared" si="0"/>
        <v>--</v>
      </c>
      <c r="E49" s="462">
        <f t="shared" si="1"/>
        <v>13</v>
      </c>
      <c r="F49" s="464">
        <f t="shared" si="2"/>
        <v>590</v>
      </c>
      <c r="G49" s="465">
        <f t="shared" si="3"/>
        <v>22400</v>
      </c>
      <c r="H49" s="465" t="str">
        <f t="shared" si="4"/>
        <v>--</v>
      </c>
      <c r="I49" s="479" t="str">
        <f t="shared" si="5"/>
        <v>--</v>
      </c>
      <c r="J49" s="480">
        <f t="shared" si="6"/>
        <v>250.08123249299314</v>
      </c>
      <c r="K49" s="464" t="str">
        <f t="shared" si="7"/>
        <v>--</v>
      </c>
      <c r="L49" s="480">
        <f t="shared" si="8"/>
        <v>1050.3411764705711</v>
      </c>
      <c r="M49" s="481">
        <f t="shared" si="9"/>
        <v>50000</v>
      </c>
      <c r="N49" s="468" t="str">
        <f t="shared" si="10"/>
        <v>--</v>
      </c>
      <c r="O49" s="463" t="str">
        <f t="shared" si="11"/>
        <v>--</v>
      </c>
      <c r="P49" s="461">
        <f t="shared" si="15"/>
        <v>6</v>
      </c>
      <c r="Q49" s="469" t="str">
        <f t="shared" si="14"/>
        <v>MCL</v>
      </c>
      <c r="S49" s="720"/>
      <c r="AN49" s="478"/>
    </row>
    <row r="50" spans="1:40" s="477" customFormat="1" ht="30" customHeight="1">
      <c r="A50" s="893" t="s">
        <v>171</v>
      </c>
      <c r="B50" s="460" t="s">
        <v>172</v>
      </c>
      <c r="C50" s="461">
        <f t="shared" si="12"/>
        <v>10</v>
      </c>
      <c r="D50" s="468" t="str">
        <f t="shared" si="0"/>
        <v>--</v>
      </c>
      <c r="E50" s="462">
        <f t="shared" si="1"/>
        <v>50</v>
      </c>
      <c r="F50" s="464">
        <f t="shared" si="2"/>
        <v>590</v>
      </c>
      <c r="G50" s="465">
        <f t="shared" si="3"/>
        <v>22400</v>
      </c>
      <c r="H50" s="465">
        <f t="shared" si="4"/>
        <v>4000</v>
      </c>
      <c r="I50" s="479" t="str">
        <f t="shared" si="5"/>
        <v>--</v>
      </c>
      <c r="J50" s="480">
        <f t="shared" si="6"/>
        <v>108.77733780079281</v>
      </c>
      <c r="K50" s="464" t="str">
        <f t="shared" si="7"/>
        <v>--</v>
      </c>
      <c r="L50" s="480">
        <f t="shared" si="8"/>
        <v>456.86481876332977</v>
      </c>
      <c r="M50" s="481">
        <f t="shared" si="9"/>
        <v>50000</v>
      </c>
      <c r="N50" s="468">
        <f t="shared" si="10"/>
        <v>260</v>
      </c>
      <c r="O50" s="463">
        <f t="shared" si="11"/>
        <v>2600</v>
      </c>
      <c r="P50" s="461">
        <f t="shared" si="15"/>
        <v>10</v>
      </c>
      <c r="Q50" s="469" t="str">
        <f t="shared" si="14"/>
        <v>MCL</v>
      </c>
      <c r="S50" s="720"/>
      <c r="AN50" s="478"/>
    </row>
    <row r="51" spans="1:40" s="477" customFormat="1" ht="30" customHeight="1">
      <c r="A51" s="893" t="s">
        <v>173</v>
      </c>
      <c r="B51" s="460" t="s">
        <v>174</v>
      </c>
      <c r="C51" s="461" t="str">
        <f t="shared" si="12"/>
        <v>--</v>
      </c>
      <c r="D51" s="468" t="str">
        <f t="shared" si="0"/>
        <v>--</v>
      </c>
      <c r="E51" s="462">
        <f t="shared" si="1"/>
        <v>45.694289862312644</v>
      </c>
      <c r="F51" s="464">
        <f t="shared" si="2"/>
        <v>182.5</v>
      </c>
      <c r="G51" s="465">
        <f t="shared" si="3"/>
        <v>1</v>
      </c>
      <c r="H51" s="465">
        <f t="shared" si="4"/>
        <v>60</v>
      </c>
      <c r="I51" s="479" t="str">
        <f t="shared" si="5"/>
        <v>--</v>
      </c>
      <c r="J51" s="480" t="str">
        <f t="shared" si="6"/>
        <v>--</v>
      </c>
      <c r="K51" s="464" t="str">
        <f t="shared" si="7"/>
        <v>--</v>
      </c>
      <c r="L51" s="480" t="str">
        <f t="shared" si="8"/>
        <v>--</v>
      </c>
      <c r="M51" s="481">
        <f t="shared" si="9"/>
        <v>50000</v>
      </c>
      <c r="N51" s="468">
        <f t="shared" si="10"/>
        <v>0.3</v>
      </c>
      <c r="O51" s="463">
        <f t="shared" si="11"/>
        <v>3</v>
      </c>
      <c r="P51" s="461">
        <f t="shared" si="15"/>
        <v>0.3</v>
      </c>
      <c r="Q51" s="469" t="str">
        <f t="shared" si="14"/>
        <v>Odor/Nuis</v>
      </c>
      <c r="S51" s="720"/>
      <c r="AN51" s="478"/>
    </row>
    <row r="52" spans="1:40" s="477" customFormat="1" ht="30" customHeight="1">
      <c r="A52" s="893" t="s">
        <v>175</v>
      </c>
      <c r="B52" s="460" t="s">
        <v>176</v>
      </c>
      <c r="C52" s="461">
        <f t="shared" si="12"/>
        <v>5</v>
      </c>
      <c r="D52" s="468">
        <f t="shared" si="0"/>
        <v>0.5</v>
      </c>
      <c r="E52" s="462">
        <f t="shared" si="1"/>
        <v>8.249864020050655</v>
      </c>
      <c r="F52" s="464">
        <f t="shared" si="2"/>
        <v>2850</v>
      </c>
      <c r="G52" s="465">
        <f t="shared" si="3"/>
        <v>1520</v>
      </c>
      <c r="H52" s="465">
        <f t="shared" si="4"/>
        <v>31</v>
      </c>
      <c r="I52" s="479">
        <f t="shared" si="5"/>
        <v>6.5819583904690893</v>
      </c>
      <c r="J52" s="480">
        <f t="shared" si="6"/>
        <v>36.18196555217866</v>
      </c>
      <c r="K52" s="464">
        <f t="shared" si="7"/>
        <v>28.749994249568978</v>
      </c>
      <c r="L52" s="480">
        <f t="shared" si="8"/>
        <v>151.96425531915037</v>
      </c>
      <c r="M52" s="481">
        <f t="shared" si="9"/>
        <v>50000</v>
      </c>
      <c r="N52" s="468">
        <f t="shared" si="10"/>
        <v>10</v>
      </c>
      <c r="O52" s="463">
        <f t="shared" si="11"/>
        <v>100</v>
      </c>
      <c r="P52" s="461">
        <f t="shared" si="15"/>
        <v>5</v>
      </c>
      <c r="Q52" s="469" t="str">
        <f t="shared" si="14"/>
        <v>MCL</v>
      </c>
      <c r="S52" s="720"/>
      <c r="AN52" s="478"/>
    </row>
    <row r="53" spans="1:40" s="477" customFormat="1" ht="30" customHeight="1">
      <c r="A53" s="893" t="s">
        <v>177</v>
      </c>
      <c r="B53" s="460" t="s">
        <v>178</v>
      </c>
      <c r="C53" s="461">
        <f t="shared" si="12"/>
        <v>0.5</v>
      </c>
      <c r="D53" s="468">
        <f t="shared" si="0"/>
        <v>0.2</v>
      </c>
      <c r="E53" s="462">
        <f t="shared" si="1"/>
        <v>38.779122093390228</v>
      </c>
      <c r="F53" s="464">
        <f t="shared" si="2"/>
        <v>122</v>
      </c>
      <c r="G53" s="465">
        <f t="shared" si="3"/>
        <v>79</v>
      </c>
      <c r="H53" s="465">
        <f t="shared" si="4"/>
        <v>12</v>
      </c>
      <c r="I53" s="479">
        <f t="shared" si="5"/>
        <v>4.8363488624053241</v>
      </c>
      <c r="J53" s="480">
        <f t="shared" si="6"/>
        <v>143.70865191147251</v>
      </c>
      <c r="K53" s="464">
        <f t="shared" si="7"/>
        <v>21.125171830986456</v>
      </c>
      <c r="L53" s="480">
        <f t="shared" si="8"/>
        <v>603.57633802818452</v>
      </c>
      <c r="M53" s="481">
        <f t="shared" si="9"/>
        <v>50000</v>
      </c>
      <c r="N53" s="468" t="str">
        <f t="shared" si="10"/>
        <v>--</v>
      </c>
      <c r="O53" s="463" t="str">
        <f t="shared" si="11"/>
        <v>--</v>
      </c>
      <c r="P53" s="461">
        <f t="shared" si="15"/>
        <v>0.5</v>
      </c>
      <c r="Q53" s="469" t="str">
        <f t="shared" si="14"/>
        <v>MCL</v>
      </c>
      <c r="S53" s="720"/>
      <c r="AN53" s="478"/>
    </row>
    <row r="54" spans="1:40" s="477" customFormat="1" ht="30" customHeight="1">
      <c r="A54" s="893" t="s">
        <v>179</v>
      </c>
      <c r="B54" s="460" t="s">
        <v>180</v>
      </c>
      <c r="C54" s="461" t="str">
        <f t="shared" si="12"/>
        <v>--</v>
      </c>
      <c r="D54" s="468">
        <f t="shared" si="0"/>
        <v>1.7538113370915019E-3</v>
      </c>
      <c r="E54" s="462">
        <f t="shared" si="1"/>
        <v>2E-3</v>
      </c>
      <c r="F54" s="464">
        <f t="shared" si="2"/>
        <v>5.6000000000000001E-2</v>
      </c>
      <c r="G54" s="465">
        <f t="shared" si="3"/>
        <v>1.9E-3</v>
      </c>
      <c r="H54" s="465">
        <f t="shared" si="4"/>
        <v>1.1999999999999999E-6</v>
      </c>
      <c r="I54" s="479" t="str">
        <f t="shared" si="5"/>
        <v>--</v>
      </c>
      <c r="J54" s="480" t="str">
        <f t="shared" si="6"/>
        <v>--</v>
      </c>
      <c r="K54" s="464" t="str">
        <f t="shared" si="7"/>
        <v>--</v>
      </c>
      <c r="L54" s="480" t="str">
        <f t="shared" si="8"/>
        <v>--</v>
      </c>
      <c r="M54" s="481">
        <f t="shared" si="9"/>
        <v>97.5</v>
      </c>
      <c r="N54" s="468">
        <f t="shared" si="10"/>
        <v>41</v>
      </c>
      <c r="O54" s="463">
        <f t="shared" si="11"/>
        <v>410</v>
      </c>
      <c r="P54" s="461">
        <f t="shared" si="15"/>
        <v>1.1999999999999999E-6</v>
      </c>
      <c r="Q54" s="469" t="str">
        <f t="shared" si="14"/>
        <v>Aquatic Habitat</v>
      </c>
      <c r="S54" s="720"/>
      <c r="AN54" s="478"/>
    </row>
    <row r="55" spans="1:40" s="477" customFormat="1" ht="30" customHeight="1">
      <c r="A55" s="893" t="s">
        <v>181</v>
      </c>
      <c r="B55" s="460" t="s">
        <v>182</v>
      </c>
      <c r="C55" s="461" t="str">
        <f t="shared" si="12"/>
        <v>--</v>
      </c>
      <c r="D55" s="468" t="str">
        <f t="shared" si="0"/>
        <v>--</v>
      </c>
      <c r="E55" s="462">
        <f t="shared" si="1"/>
        <v>14840.631879910537</v>
      </c>
      <c r="F55" s="464">
        <f t="shared" si="2"/>
        <v>1.5</v>
      </c>
      <c r="G55" s="465">
        <f t="shared" si="3"/>
        <v>1.7</v>
      </c>
      <c r="H55" s="465">
        <f t="shared" si="4"/>
        <v>600</v>
      </c>
      <c r="I55" s="479" t="str">
        <f t="shared" si="5"/>
        <v>--</v>
      </c>
      <c r="J55" s="480" t="str">
        <f t="shared" si="6"/>
        <v>--</v>
      </c>
      <c r="K55" s="464" t="str">
        <f t="shared" si="7"/>
        <v>--</v>
      </c>
      <c r="L55" s="480" t="str">
        <f t="shared" si="8"/>
        <v>--</v>
      </c>
      <c r="M55" s="481">
        <f t="shared" si="9"/>
        <v>50000</v>
      </c>
      <c r="N55" s="468" t="str">
        <f t="shared" si="10"/>
        <v>--</v>
      </c>
      <c r="O55" s="463" t="str">
        <f t="shared" si="11"/>
        <v>--</v>
      </c>
      <c r="P55" s="461">
        <f t="shared" si="15"/>
        <v>1.5</v>
      </c>
      <c r="Q55" s="469" t="str">
        <f t="shared" si="14"/>
        <v>Aquatic Habitat</v>
      </c>
      <c r="S55" s="720"/>
      <c r="AN55" s="478"/>
    </row>
    <row r="56" spans="1:40" s="477" customFormat="1" ht="30" customHeight="1">
      <c r="A56" s="893" t="s">
        <v>183</v>
      </c>
      <c r="B56" s="460" t="s">
        <v>184</v>
      </c>
      <c r="C56" s="461" t="str">
        <f t="shared" si="12"/>
        <v>--</v>
      </c>
      <c r="D56" s="468" t="str">
        <f t="shared" si="0"/>
        <v>--</v>
      </c>
      <c r="E56" s="462">
        <f t="shared" si="1"/>
        <v>100</v>
      </c>
      <c r="F56" s="464">
        <f t="shared" si="2"/>
        <v>530</v>
      </c>
      <c r="G56" s="465">
        <f t="shared" si="3"/>
        <v>30</v>
      </c>
      <c r="H56" s="465">
        <f t="shared" si="4"/>
        <v>2300</v>
      </c>
      <c r="I56" s="479" t="str">
        <f t="shared" si="5"/>
        <v>--</v>
      </c>
      <c r="J56" s="480" t="str">
        <f t="shared" si="6"/>
        <v>--</v>
      </c>
      <c r="K56" s="464" t="str">
        <f t="shared" si="7"/>
        <v>--</v>
      </c>
      <c r="L56" s="480" t="str">
        <f t="shared" si="8"/>
        <v>--</v>
      </c>
      <c r="M56" s="481">
        <f t="shared" si="9"/>
        <v>50000</v>
      </c>
      <c r="N56" s="468">
        <f t="shared" si="10"/>
        <v>400</v>
      </c>
      <c r="O56" s="463">
        <f t="shared" si="11"/>
        <v>4000</v>
      </c>
      <c r="P56" s="461">
        <f t="shared" si="15"/>
        <v>30</v>
      </c>
      <c r="Q56" s="469" t="str">
        <f t="shared" si="14"/>
        <v>Aquatic Habitat</v>
      </c>
      <c r="S56" s="720"/>
      <c r="AN56" s="478"/>
    </row>
    <row r="57" spans="1:40" s="477" customFormat="1" ht="30" customHeight="1">
      <c r="A57" s="893" t="s">
        <v>185</v>
      </c>
      <c r="B57" s="460" t="s">
        <v>186</v>
      </c>
      <c r="C57" s="461" t="str">
        <f t="shared" si="12"/>
        <v>--</v>
      </c>
      <c r="D57" s="468" t="str">
        <f t="shared" si="0"/>
        <v>--</v>
      </c>
      <c r="E57" s="462">
        <f t="shared" si="1"/>
        <v>38.830855461586651</v>
      </c>
      <c r="F57" s="464">
        <f t="shared" si="2"/>
        <v>75</v>
      </c>
      <c r="G57" s="465">
        <f t="shared" si="3"/>
        <v>30</v>
      </c>
      <c r="H57" s="465">
        <f t="shared" si="4"/>
        <v>4</v>
      </c>
      <c r="I57" s="479" t="str">
        <f t="shared" si="5"/>
        <v>--</v>
      </c>
      <c r="J57" s="480" t="str">
        <f t="shared" si="6"/>
        <v>--</v>
      </c>
      <c r="K57" s="464" t="str">
        <f t="shared" si="7"/>
        <v>--</v>
      </c>
      <c r="L57" s="480" t="str">
        <f t="shared" si="8"/>
        <v>--</v>
      </c>
      <c r="M57" s="481">
        <f t="shared" si="9"/>
        <v>50000</v>
      </c>
      <c r="N57" s="468" t="str">
        <f t="shared" si="10"/>
        <v>--</v>
      </c>
      <c r="O57" s="463" t="str">
        <f t="shared" si="11"/>
        <v>--</v>
      </c>
      <c r="P57" s="461">
        <f t="shared" si="15"/>
        <v>4</v>
      </c>
      <c r="Q57" s="469" t="str">
        <f t="shared" si="14"/>
        <v>Aquatic Habitat</v>
      </c>
      <c r="S57" s="720"/>
      <c r="AN57" s="478"/>
    </row>
    <row r="58" spans="1:40" s="477" customFormat="1" ht="30" customHeight="1">
      <c r="A58" s="893" t="s">
        <v>187</v>
      </c>
      <c r="B58" s="460" t="s">
        <v>188</v>
      </c>
      <c r="C58" s="461" t="str">
        <f t="shared" si="12"/>
        <v>--</v>
      </c>
      <c r="D58" s="468">
        <f t="shared" si="0"/>
        <v>0.23748554600466867</v>
      </c>
      <c r="E58" s="462">
        <f t="shared" si="1"/>
        <v>38.070559132271825</v>
      </c>
      <c r="F58" s="464">
        <f t="shared" si="2"/>
        <v>115</v>
      </c>
      <c r="G58" s="465">
        <f t="shared" si="3"/>
        <v>185</v>
      </c>
      <c r="H58" s="465">
        <f t="shared" si="4"/>
        <v>1.7</v>
      </c>
      <c r="I58" s="479" t="str">
        <f t="shared" si="5"/>
        <v>--</v>
      </c>
      <c r="J58" s="480" t="str">
        <f t="shared" si="6"/>
        <v>--</v>
      </c>
      <c r="K58" s="464" t="str">
        <f t="shared" si="7"/>
        <v>--</v>
      </c>
      <c r="L58" s="480" t="str">
        <f t="shared" si="8"/>
        <v>--</v>
      </c>
      <c r="M58" s="481">
        <f t="shared" si="9"/>
        <v>50000</v>
      </c>
      <c r="N58" s="468" t="str">
        <f t="shared" si="10"/>
        <v>--</v>
      </c>
      <c r="O58" s="463" t="str">
        <f t="shared" si="11"/>
        <v>--</v>
      </c>
      <c r="P58" s="461">
        <f t="shared" si="15"/>
        <v>0.23748554600466867</v>
      </c>
      <c r="Q58" s="469" t="str">
        <f t="shared" si="14"/>
        <v>Tapwater</v>
      </c>
      <c r="S58" s="720"/>
      <c r="AN58" s="478"/>
    </row>
    <row r="59" spans="1:40" s="477" customFormat="1" ht="30" customHeight="1">
      <c r="A59" s="893" t="s">
        <v>189</v>
      </c>
      <c r="B59" s="460" t="s">
        <v>190</v>
      </c>
      <c r="C59" s="461" t="str">
        <f t="shared" si="12"/>
        <v>--</v>
      </c>
      <c r="D59" s="468">
        <f t="shared" si="0"/>
        <v>0.4590593892974133</v>
      </c>
      <c r="E59" s="462">
        <f t="shared" si="1"/>
        <v>56.660209865928671</v>
      </c>
      <c r="F59" s="464">
        <f t="shared" si="2"/>
        <v>335000</v>
      </c>
      <c r="G59" s="465">
        <f t="shared" si="3"/>
        <v>500000</v>
      </c>
      <c r="H59" s="465" t="str">
        <f t="shared" si="4"/>
        <v>--</v>
      </c>
      <c r="I59" s="479">
        <f t="shared" si="5"/>
        <v>2861.5064103225818</v>
      </c>
      <c r="J59" s="480">
        <f t="shared" si="6"/>
        <v>159426.78571797244</v>
      </c>
      <c r="K59" s="464">
        <f t="shared" si="7"/>
        <v>12499.060000289037</v>
      </c>
      <c r="L59" s="480">
        <f t="shared" si="8"/>
        <v>669592.50001548417</v>
      </c>
      <c r="M59" s="481">
        <f t="shared" si="9"/>
        <v>50000</v>
      </c>
      <c r="N59" s="468">
        <f t="shared" si="10"/>
        <v>230000</v>
      </c>
      <c r="O59" s="463" t="str">
        <f t="shared" si="11"/>
        <v>--</v>
      </c>
      <c r="P59" s="461">
        <f t="shared" si="15"/>
        <v>0.4590593892974133</v>
      </c>
      <c r="Q59" s="469" t="str">
        <f t="shared" si="14"/>
        <v>Tapwater</v>
      </c>
      <c r="S59" s="720"/>
      <c r="AN59" s="478"/>
    </row>
    <row r="60" spans="1:40" s="477" customFormat="1" ht="30" customHeight="1">
      <c r="A60" s="893" t="s">
        <v>191</v>
      </c>
      <c r="B60" s="460" t="s">
        <v>192</v>
      </c>
      <c r="C60" s="461">
        <f t="shared" si="12"/>
        <v>3.0000000000000001E-5</v>
      </c>
      <c r="D60" s="468">
        <f t="shared" si="0"/>
        <v>1.1854305711177148E-7</v>
      </c>
      <c r="E60" s="462">
        <f t="shared" si="1"/>
        <v>1.2016460905349795E-5</v>
      </c>
      <c r="F60" s="464">
        <f t="shared" si="2"/>
        <v>5.0000000000000004E-6</v>
      </c>
      <c r="G60" s="465" t="str">
        <f t="shared" si="3"/>
        <v>--</v>
      </c>
      <c r="H60" s="465">
        <f t="shared" si="4"/>
        <v>5.1000000000000002E-9</v>
      </c>
      <c r="I60" s="479">
        <f t="shared" si="5"/>
        <v>3.6145344129550594E-5</v>
      </c>
      <c r="J60" s="480">
        <f t="shared" si="6"/>
        <v>2.0406628571426284E-2</v>
      </c>
      <c r="K60" s="464">
        <f t="shared" si="7"/>
        <v>1.5788286315787699E-4</v>
      </c>
      <c r="L60" s="480">
        <f t="shared" si="8"/>
        <v>8.570783999999039E-2</v>
      </c>
      <c r="M60" s="481">
        <f t="shared" si="9"/>
        <v>0.1</v>
      </c>
      <c r="N60" s="468" t="str">
        <f t="shared" si="10"/>
        <v>--</v>
      </c>
      <c r="O60" s="463" t="str">
        <f t="shared" si="11"/>
        <v>--</v>
      </c>
      <c r="P60" s="461">
        <f t="shared" si="15"/>
        <v>5.1000000000000002E-9</v>
      </c>
      <c r="Q60" s="469" t="str">
        <f t="shared" si="14"/>
        <v>Aquatic Habitat</v>
      </c>
      <c r="S60" s="720"/>
      <c r="AN60" s="478"/>
    </row>
    <row r="61" spans="1:40" s="477" customFormat="1" ht="30" customHeight="1">
      <c r="A61" s="893" t="s">
        <v>193</v>
      </c>
      <c r="B61" s="460" t="s">
        <v>194</v>
      </c>
      <c r="C61" s="461" t="str">
        <f t="shared" si="12"/>
        <v>--</v>
      </c>
      <c r="D61" s="468" t="str">
        <f t="shared" si="0"/>
        <v>--</v>
      </c>
      <c r="E61" s="462">
        <f t="shared" si="1"/>
        <v>101.05726848563953</v>
      </c>
      <c r="F61" s="464">
        <f t="shared" si="2"/>
        <v>5.6000000000000001E-2</v>
      </c>
      <c r="G61" s="465">
        <f t="shared" si="3"/>
        <v>8.6999999999999994E-3</v>
      </c>
      <c r="H61" s="465">
        <f t="shared" si="4"/>
        <v>240</v>
      </c>
      <c r="I61" s="479" t="str">
        <f t="shared" si="5"/>
        <v>--</v>
      </c>
      <c r="J61" s="480" t="str">
        <f t="shared" si="6"/>
        <v>--</v>
      </c>
      <c r="K61" s="464" t="str">
        <f t="shared" si="7"/>
        <v>--</v>
      </c>
      <c r="L61" s="480" t="str">
        <f t="shared" si="8"/>
        <v>--</v>
      </c>
      <c r="M61" s="481">
        <f t="shared" si="9"/>
        <v>162.5</v>
      </c>
      <c r="N61" s="468" t="str">
        <f t="shared" si="10"/>
        <v>--</v>
      </c>
      <c r="O61" s="463" t="str">
        <f t="shared" si="11"/>
        <v>--</v>
      </c>
      <c r="P61" s="461">
        <f t="shared" si="15"/>
        <v>8.6999999999999994E-3</v>
      </c>
      <c r="Q61" s="469" t="str">
        <f t="shared" si="14"/>
        <v>Aquatic Habitat</v>
      </c>
      <c r="S61" s="720"/>
      <c r="AN61" s="478"/>
    </row>
    <row r="62" spans="1:40" s="477" customFormat="1" ht="30" customHeight="1">
      <c r="A62" s="893" t="s">
        <v>195</v>
      </c>
      <c r="B62" s="460" t="s">
        <v>196</v>
      </c>
      <c r="C62" s="461">
        <f t="shared" si="12"/>
        <v>2</v>
      </c>
      <c r="D62" s="468" t="str">
        <f t="shared" si="0"/>
        <v>--</v>
      </c>
      <c r="E62" s="462">
        <f t="shared" si="1"/>
        <v>0.3</v>
      </c>
      <c r="F62" s="464">
        <f t="shared" si="2"/>
        <v>3.5999999999999997E-2</v>
      </c>
      <c r="G62" s="465">
        <f t="shared" si="3"/>
        <v>2E-3</v>
      </c>
      <c r="H62" s="465">
        <f t="shared" si="4"/>
        <v>0.03</v>
      </c>
      <c r="I62" s="479" t="str">
        <f t="shared" si="5"/>
        <v>--</v>
      </c>
      <c r="J62" s="480" t="str">
        <f t="shared" si="6"/>
        <v>--</v>
      </c>
      <c r="K62" s="464" t="str">
        <f t="shared" si="7"/>
        <v>--</v>
      </c>
      <c r="L62" s="480" t="str">
        <f t="shared" si="8"/>
        <v>--</v>
      </c>
      <c r="M62" s="481">
        <f t="shared" si="9"/>
        <v>125</v>
      </c>
      <c r="N62" s="468">
        <f t="shared" si="10"/>
        <v>41</v>
      </c>
      <c r="O62" s="463">
        <f t="shared" si="11"/>
        <v>410</v>
      </c>
      <c r="P62" s="461">
        <f t="shared" si="15"/>
        <v>2E-3</v>
      </c>
      <c r="Q62" s="469" t="str">
        <f t="shared" si="14"/>
        <v>Aquatic Habitat</v>
      </c>
      <c r="S62" s="720"/>
      <c r="AN62" s="478"/>
    </row>
    <row r="63" spans="1:40" s="477" customFormat="1" ht="30" customHeight="1">
      <c r="A63" s="893" t="s">
        <v>197</v>
      </c>
      <c r="B63" s="460" t="s">
        <v>198</v>
      </c>
      <c r="C63" s="461">
        <f t="shared" si="12"/>
        <v>300</v>
      </c>
      <c r="D63" s="468">
        <f t="shared" si="0"/>
        <v>1.4991397267199893</v>
      </c>
      <c r="E63" s="462">
        <f t="shared" si="1"/>
        <v>300</v>
      </c>
      <c r="F63" s="464">
        <f t="shared" si="2"/>
        <v>290</v>
      </c>
      <c r="G63" s="465">
        <f t="shared" si="3"/>
        <v>43</v>
      </c>
      <c r="H63" s="465">
        <f t="shared" si="4"/>
        <v>130</v>
      </c>
      <c r="I63" s="479">
        <f t="shared" si="5"/>
        <v>3.4860991800078076</v>
      </c>
      <c r="J63" s="480">
        <f t="shared" si="6"/>
        <v>3237.0920957215367</v>
      </c>
      <c r="K63" s="464">
        <f t="shared" si="7"/>
        <v>15.227281218274104</v>
      </c>
      <c r="L63" s="480">
        <f t="shared" si="8"/>
        <v>13595.786802030452</v>
      </c>
      <c r="M63" s="481">
        <f t="shared" si="9"/>
        <v>50000</v>
      </c>
      <c r="N63" s="468">
        <f t="shared" si="10"/>
        <v>30</v>
      </c>
      <c r="O63" s="463">
        <f t="shared" si="11"/>
        <v>300</v>
      </c>
      <c r="P63" s="461">
        <f t="shared" si="15"/>
        <v>3.4860991800078076</v>
      </c>
      <c r="Q63" s="469" t="str">
        <f t="shared" si="14"/>
        <v>Vapor Intrusion</v>
      </c>
      <c r="S63" s="720"/>
      <c r="AN63" s="478"/>
    </row>
    <row r="64" spans="1:40" s="477" customFormat="1" ht="30" customHeight="1">
      <c r="A64" s="893" t="s">
        <v>199</v>
      </c>
      <c r="B64" s="460" t="s">
        <v>200</v>
      </c>
      <c r="C64" s="461">
        <f t="shared" si="12"/>
        <v>0.01</v>
      </c>
      <c r="D64" s="468">
        <f t="shared" si="0"/>
        <v>1.3930504195594853E-3</v>
      </c>
      <c r="E64" s="462">
        <f t="shared" si="1"/>
        <v>0.25630603751169218</v>
      </c>
      <c r="F64" s="464">
        <f t="shared" si="2"/>
        <v>3.8E-3</v>
      </c>
      <c r="G64" s="465">
        <f t="shared" si="3"/>
        <v>3.5999999999999999E-3</v>
      </c>
      <c r="H64" s="465">
        <f t="shared" si="4"/>
        <v>5.9000000000000003E-6</v>
      </c>
      <c r="I64" s="479">
        <f t="shared" si="5"/>
        <v>0.17968643078526389</v>
      </c>
      <c r="J64" s="480" t="str">
        <f t="shared" si="6"/>
        <v>--</v>
      </c>
      <c r="K64" s="464">
        <f t="shared" si="7"/>
        <v>0.78487032967003267</v>
      </c>
      <c r="L64" s="480" t="str">
        <f t="shared" si="8"/>
        <v>--</v>
      </c>
      <c r="M64" s="481">
        <f t="shared" si="9"/>
        <v>90</v>
      </c>
      <c r="N64" s="468">
        <f t="shared" si="10"/>
        <v>20</v>
      </c>
      <c r="O64" s="463">
        <f t="shared" si="11"/>
        <v>200</v>
      </c>
      <c r="P64" s="461">
        <f t="shared" si="15"/>
        <v>5.9000000000000003E-6</v>
      </c>
      <c r="Q64" s="469" t="str">
        <f t="shared" si="14"/>
        <v>Aquatic Habitat</v>
      </c>
      <c r="S64" s="720"/>
      <c r="AN64" s="478"/>
    </row>
    <row r="65" spans="1:40" s="477" customFormat="1" ht="30" customHeight="1">
      <c r="A65" s="893" t="s">
        <v>201</v>
      </c>
      <c r="B65" s="460" t="s">
        <v>202</v>
      </c>
      <c r="C65" s="461">
        <f t="shared" si="12"/>
        <v>0.01</v>
      </c>
      <c r="D65" s="468">
        <f t="shared" si="0"/>
        <v>1.3884028363364219E-3</v>
      </c>
      <c r="E65" s="462">
        <f t="shared" si="1"/>
        <v>0.12380600336940729</v>
      </c>
      <c r="F65" s="464">
        <f t="shared" si="2"/>
        <v>3.8E-3</v>
      </c>
      <c r="G65" s="465">
        <f t="shared" si="3"/>
        <v>3.5999999999999999E-3</v>
      </c>
      <c r="H65" s="465">
        <f t="shared" si="4"/>
        <v>2.0000000000000002E-5</v>
      </c>
      <c r="I65" s="479">
        <f t="shared" si="5"/>
        <v>1.2578050154989402</v>
      </c>
      <c r="J65" s="480" t="str">
        <f t="shared" si="6"/>
        <v>--</v>
      </c>
      <c r="K65" s="464">
        <f t="shared" si="7"/>
        <v>5.4940923076993702</v>
      </c>
      <c r="L65" s="480" t="str">
        <f t="shared" si="8"/>
        <v>--</v>
      </c>
      <c r="M65" s="481">
        <f t="shared" si="9"/>
        <v>100</v>
      </c>
      <c r="N65" s="468" t="str">
        <f t="shared" si="10"/>
        <v>--</v>
      </c>
      <c r="O65" s="463" t="str">
        <f t="shared" si="11"/>
        <v>--</v>
      </c>
      <c r="P65" s="461">
        <f t="shared" si="15"/>
        <v>2.0000000000000002E-5</v>
      </c>
      <c r="Q65" s="469" t="str">
        <f t="shared" si="14"/>
        <v>Aquatic Habitat</v>
      </c>
      <c r="S65" s="720"/>
      <c r="AN65" s="478"/>
    </row>
    <row r="66" spans="1:40" s="477" customFormat="1" ht="30" customHeight="1">
      <c r="A66" s="893" t="s">
        <v>203</v>
      </c>
      <c r="B66" s="460" t="s">
        <v>204</v>
      </c>
      <c r="C66" s="461">
        <f t="shared" si="12"/>
        <v>1</v>
      </c>
      <c r="D66" s="468">
        <f t="shared" si="0"/>
        <v>8.7776254719476709E-3</v>
      </c>
      <c r="E66" s="462">
        <f t="shared" si="1"/>
        <v>0.20054945054945059</v>
      </c>
      <c r="F66" s="464">
        <f t="shared" si="2"/>
        <v>3.68</v>
      </c>
      <c r="G66" s="465">
        <f t="shared" si="3"/>
        <v>64.5</v>
      </c>
      <c r="H66" s="465">
        <f t="shared" si="4"/>
        <v>7.8999999999999996E-5</v>
      </c>
      <c r="I66" s="479">
        <f t="shared" si="5"/>
        <v>7.92112501109066E-2</v>
      </c>
      <c r="J66" s="480" t="str">
        <f t="shared" si="6"/>
        <v>--</v>
      </c>
      <c r="K66" s="464">
        <f t="shared" si="7"/>
        <v>0.34599474048443996</v>
      </c>
      <c r="L66" s="480" t="str">
        <f t="shared" si="8"/>
        <v>--</v>
      </c>
      <c r="M66" s="481">
        <f t="shared" si="9"/>
        <v>3.1</v>
      </c>
      <c r="N66" s="468">
        <f t="shared" si="10"/>
        <v>3000</v>
      </c>
      <c r="O66" s="463">
        <f t="shared" si="11"/>
        <v>30000</v>
      </c>
      <c r="P66" s="461">
        <f t="shared" si="15"/>
        <v>7.8999999999999996E-5</v>
      </c>
      <c r="Q66" s="469" t="str">
        <f t="shared" si="14"/>
        <v>Aquatic Habitat</v>
      </c>
      <c r="S66" s="720"/>
      <c r="AN66" s="478"/>
    </row>
    <row r="67" spans="1:40" s="477" customFormat="1" ht="30" customHeight="1">
      <c r="A67" s="893" t="s">
        <v>205</v>
      </c>
      <c r="B67" s="460" t="s">
        <v>206</v>
      </c>
      <c r="C67" s="461" t="str">
        <f t="shared" si="12"/>
        <v>--</v>
      </c>
      <c r="D67" s="468">
        <f t="shared" si="0"/>
        <v>0.13869404115936773</v>
      </c>
      <c r="E67" s="462">
        <f t="shared" si="1"/>
        <v>6.4593311487380403</v>
      </c>
      <c r="F67" s="464">
        <f t="shared" si="2"/>
        <v>4.6500000000000004</v>
      </c>
      <c r="G67" s="465">
        <f t="shared" si="3"/>
        <v>3.2</v>
      </c>
      <c r="H67" s="465">
        <f t="shared" si="4"/>
        <v>0.01</v>
      </c>
      <c r="I67" s="479">
        <f t="shared" si="5"/>
        <v>0.3030721705479007</v>
      </c>
      <c r="J67" s="480" t="str">
        <f t="shared" si="6"/>
        <v>--</v>
      </c>
      <c r="K67" s="464">
        <f t="shared" si="7"/>
        <v>1.3238192409532301</v>
      </c>
      <c r="L67" s="480" t="str">
        <f t="shared" si="8"/>
        <v>--</v>
      </c>
      <c r="M67" s="481">
        <f t="shared" si="9"/>
        <v>1600</v>
      </c>
      <c r="N67" s="468">
        <f t="shared" si="10"/>
        <v>6</v>
      </c>
      <c r="O67" s="463">
        <f t="shared" si="11"/>
        <v>60</v>
      </c>
      <c r="P67" s="461">
        <f t="shared" si="15"/>
        <v>0.01</v>
      </c>
      <c r="Q67" s="469" t="str">
        <f t="shared" si="14"/>
        <v>Aquatic Habitat</v>
      </c>
      <c r="S67" s="720"/>
      <c r="AN67" s="478"/>
    </row>
    <row r="68" spans="1:40" s="477" customFormat="1" ht="30" customHeight="1">
      <c r="A68" s="2111" t="s">
        <v>4280</v>
      </c>
      <c r="B68" s="460" t="s">
        <v>208</v>
      </c>
      <c r="C68" s="461">
        <f t="shared" si="12"/>
        <v>0.2</v>
      </c>
      <c r="D68" s="468">
        <f t="shared" si="0"/>
        <v>3.2000000000000001E-2</v>
      </c>
      <c r="E68" s="462">
        <f t="shared" si="1"/>
        <v>9.7247023426446713E-3</v>
      </c>
      <c r="F68" s="464">
        <f t="shared" si="2"/>
        <v>0.08</v>
      </c>
      <c r="G68" s="465">
        <f t="shared" si="3"/>
        <v>4.0000000000000001E-3</v>
      </c>
      <c r="H68" s="465">
        <f t="shared" si="4"/>
        <v>6.3E-2</v>
      </c>
      <c r="I68" s="479" t="str">
        <f t="shared" si="5"/>
        <v>--</v>
      </c>
      <c r="J68" s="480" t="str">
        <f t="shared" si="6"/>
        <v>--</v>
      </c>
      <c r="K68" s="464" t="str">
        <f t="shared" si="7"/>
        <v>--</v>
      </c>
      <c r="L68" s="480" t="str">
        <f t="shared" si="8"/>
        <v>--</v>
      </c>
      <c r="M68" s="481">
        <f t="shared" si="9"/>
        <v>3650</v>
      </c>
      <c r="N68" s="468">
        <f t="shared" si="10"/>
        <v>12000</v>
      </c>
      <c r="O68" s="463">
        <f t="shared" si="11"/>
        <v>120000</v>
      </c>
      <c r="P68" s="461">
        <f t="shared" si="15"/>
        <v>4.0000000000000001E-3</v>
      </c>
      <c r="Q68" s="469" t="str">
        <f t="shared" si="14"/>
        <v>Aquatic Habitat</v>
      </c>
      <c r="S68" s="720"/>
      <c r="AN68" s="478"/>
    </row>
    <row r="69" spans="1:40" s="477" customFormat="1" ht="30" customHeight="1">
      <c r="A69" s="893" t="s">
        <v>209</v>
      </c>
      <c r="B69" s="460" t="s">
        <v>210</v>
      </c>
      <c r="C69" s="461" t="str">
        <f t="shared" si="12"/>
        <v>--</v>
      </c>
      <c r="D69" s="468">
        <f t="shared" si="0"/>
        <v>0.32838246315927444</v>
      </c>
      <c r="E69" s="462">
        <f t="shared" si="1"/>
        <v>6.2374795144245558</v>
      </c>
      <c r="F69" s="464">
        <f t="shared" si="2"/>
        <v>12</v>
      </c>
      <c r="G69" s="465">
        <f t="shared" si="3"/>
        <v>94</v>
      </c>
      <c r="H69" s="465">
        <f t="shared" si="4"/>
        <v>0.1</v>
      </c>
      <c r="I69" s="479">
        <f t="shared" si="5"/>
        <v>1.6049580239811621</v>
      </c>
      <c r="J69" s="480">
        <f t="shared" si="6"/>
        <v>196.72199779654815</v>
      </c>
      <c r="K69" s="464">
        <f t="shared" si="7"/>
        <v>7.0104566487497149</v>
      </c>
      <c r="L69" s="480">
        <f t="shared" si="8"/>
        <v>826.23239074550213</v>
      </c>
      <c r="M69" s="481">
        <f t="shared" si="9"/>
        <v>25000</v>
      </c>
      <c r="N69" s="468">
        <f t="shared" si="10"/>
        <v>10</v>
      </c>
      <c r="O69" s="463">
        <f t="shared" si="11"/>
        <v>100</v>
      </c>
      <c r="P69" s="461">
        <f t="shared" si="15"/>
        <v>0.1</v>
      </c>
      <c r="Q69" s="469" t="str">
        <f t="shared" si="14"/>
        <v>Aquatic Habitat</v>
      </c>
      <c r="S69" s="720"/>
      <c r="AN69" s="478"/>
    </row>
    <row r="70" spans="1:40" s="477" customFormat="1" ht="30" customHeight="1">
      <c r="A70" s="893" t="s">
        <v>211</v>
      </c>
      <c r="B70" s="460" t="s">
        <v>212</v>
      </c>
      <c r="C70" s="461">
        <f t="shared" ref="C70:C129" si="18">(VLOOKUP($A70,Table_W_1, MATCH("MCL_Pri",heading_W_1,0), FALSE))</f>
        <v>15</v>
      </c>
      <c r="D70" s="468" t="str">
        <f t="shared" ref="D70:D129" si="19">(VLOOKUP($A70,Table_W_1, MATCH("DW-C",heading_W_1,0), FALSE))</f>
        <v>--</v>
      </c>
      <c r="E70" s="462">
        <f t="shared" ref="E70:E129" si="20">(VLOOKUP($A70,Table_W_1, MATCH("DW-NC",heading_W_1,0), FALSE))</f>
        <v>0.2</v>
      </c>
      <c r="F70" s="464">
        <f t="shared" ref="F70:F129" si="21">(VLOOKUP($A70,Table_W_2, MATCH("FW-EcoT",heading_W_2,0), FALSE))</f>
        <v>2.5</v>
      </c>
      <c r="G70" s="465">
        <f t="shared" ref="G70:G129" si="22">(VLOOKUP($A70,Table_W_2, MATCH("SW-EcoT",heading_W_2,0), FALSE))</f>
        <v>2</v>
      </c>
      <c r="H70" s="465" t="str">
        <f t="shared" ref="H70:H129" si="23">(VLOOKUP($A70,Table_W_2, MATCH("bioac",heading_W_2,0), FALSE))</f>
        <v>--</v>
      </c>
      <c r="I70" s="479" t="str">
        <f t="shared" ref="I70:I129" si="24">(VLOOKUP($A70,Table_W_3, MATCH("G-VI-Res-Min-C",heading_W_3,0), FALSE))</f>
        <v>--</v>
      </c>
      <c r="J70" s="480" t="str">
        <f t="shared" ref="J70:J129" si="25">(VLOOKUP($A70,Table_W_3, MATCH("G-VI-Res-Min-NC",heading_W_3,0), FALSE))</f>
        <v>--</v>
      </c>
      <c r="K70" s="464" t="str">
        <f t="shared" ref="K70:K129" si="26">(VLOOKUP($A70,Table_W_3, MATCH("G-VI-Com-Min-C",heading_W_3,0), FALSE))</f>
        <v>--</v>
      </c>
      <c r="L70" s="480" t="str">
        <f t="shared" ref="L70:L129" si="27">(VLOOKUP($A70,Table_W_3, MATCH("G-VI-Com-Min-NC",heading_W_3,0), FALSE))</f>
        <v>--</v>
      </c>
      <c r="M70" s="481">
        <f t="shared" ref="M70:M129" si="28">(VLOOKUP($A70,Table_W_4, MATCH("W-GC",heading_W_4,0), FALSE))</f>
        <v>50000</v>
      </c>
      <c r="N70" s="468" t="str">
        <f t="shared" ref="N70:N129" si="29">(VLOOKUP($A70,Table_W_5, MATCH("DW-NO",heading_W_5,0), FALSE))</f>
        <v>--</v>
      </c>
      <c r="O70" s="463" t="str">
        <f t="shared" ref="O70:O129" si="30">(VLOOKUP($A70,Table_W_5, MATCH("NDW-NO",heading_W_5,0), FALSE))</f>
        <v>--</v>
      </c>
      <c r="P70" s="461">
        <f t="shared" si="15"/>
        <v>2</v>
      </c>
      <c r="Q70" s="469" t="str">
        <f t="shared" si="14"/>
        <v>Aquatic Habitat</v>
      </c>
      <c r="S70" s="720"/>
      <c r="AN70" s="478"/>
    </row>
    <row r="71" spans="1:40" s="477" customFormat="1" ht="30" customHeight="1">
      <c r="A71" s="893" t="s">
        <v>213</v>
      </c>
      <c r="B71" s="460" t="s">
        <v>214</v>
      </c>
      <c r="C71" s="461">
        <f t="shared" si="18"/>
        <v>2</v>
      </c>
      <c r="D71" s="468" t="str">
        <f t="shared" si="19"/>
        <v>--</v>
      </c>
      <c r="E71" s="462">
        <f t="shared" si="20"/>
        <v>6.1369450954322405E-2</v>
      </c>
      <c r="F71" s="464">
        <f t="shared" si="21"/>
        <v>2.5000000000000001E-2</v>
      </c>
      <c r="G71" s="465">
        <f t="shared" si="22"/>
        <v>2.5000000000000001E-2</v>
      </c>
      <c r="H71" s="465">
        <f t="shared" si="23"/>
        <v>5.0999999999999997E-2</v>
      </c>
      <c r="I71" s="479" t="str">
        <f t="shared" si="24"/>
        <v>--</v>
      </c>
      <c r="J71" s="480">
        <f t="shared" si="25"/>
        <v>8.8879870129870128E-2</v>
      </c>
      <c r="K71" s="464" t="str">
        <f t="shared" si="26"/>
        <v>--</v>
      </c>
      <c r="L71" s="480">
        <f t="shared" si="27"/>
        <v>0.37329545454545454</v>
      </c>
      <c r="M71" s="481">
        <f t="shared" si="28"/>
        <v>30</v>
      </c>
      <c r="N71" s="468" t="str">
        <f t="shared" si="29"/>
        <v>--</v>
      </c>
      <c r="O71" s="463" t="str">
        <f t="shared" si="30"/>
        <v>--</v>
      </c>
      <c r="P71" s="461">
        <f t="shared" si="15"/>
        <v>2.5000000000000001E-2</v>
      </c>
      <c r="Q71" s="469" t="str">
        <f t="shared" ref="Q71:Q134" si="31">IF(P71="--", "--", IF(P71=N71, "Odor/Nuis", IF(P71=M71, "Gross Contam", IF(P71=C71, "MCL", IF(OR(P71=F71,P71=H71,P71=G71),"Aquatic Habitat", IF(OR(P71=D71,P71=E71),"Tapwater", "Vapor Intrusion"))))))</f>
        <v>Aquatic Habitat</v>
      </c>
      <c r="S71" s="720"/>
      <c r="AN71" s="478"/>
    </row>
    <row r="72" spans="1:40" s="477" customFormat="1" ht="30" customHeight="1">
      <c r="A72" s="893" t="s">
        <v>215</v>
      </c>
      <c r="B72" s="460" t="s">
        <v>216</v>
      </c>
      <c r="C72" s="461">
        <f t="shared" si="18"/>
        <v>30</v>
      </c>
      <c r="D72" s="468" t="str">
        <f t="shared" si="19"/>
        <v>--</v>
      </c>
      <c r="E72" s="462">
        <f t="shared" si="20"/>
        <v>0.09</v>
      </c>
      <c r="F72" s="464">
        <f t="shared" si="21"/>
        <v>1.9E-2</v>
      </c>
      <c r="G72" s="465">
        <f t="shared" si="22"/>
        <v>3.0000000000000001E-3</v>
      </c>
      <c r="H72" s="465">
        <f t="shared" si="23"/>
        <v>0.02</v>
      </c>
      <c r="I72" s="479" t="str">
        <f t="shared" si="24"/>
        <v>--</v>
      </c>
      <c r="J72" s="480" t="str">
        <f t="shared" si="25"/>
        <v>--</v>
      </c>
      <c r="K72" s="464" t="str">
        <f t="shared" si="26"/>
        <v>--</v>
      </c>
      <c r="L72" s="480" t="str">
        <f t="shared" si="27"/>
        <v>--</v>
      </c>
      <c r="M72" s="481">
        <f t="shared" si="28"/>
        <v>50</v>
      </c>
      <c r="N72" s="468">
        <f t="shared" si="29"/>
        <v>4700</v>
      </c>
      <c r="O72" s="463">
        <f t="shared" si="30"/>
        <v>47000</v>
      </c>
      <c r="P72" s="461">
        <f t="shared" si="15"/>
        <v>3.0000000000000001E-3</v>
      </c>
      <c r="Q72" s="469" t="str">
        <f t="shared" si="31"/>
        <v>Aquatic Habitat</v>
      </c>
      <c r="S72" s="720"/>
      <c r="AN72" s="478"/>
    </row>
    <row r="73" spans="1:40" s="477" customFormat="1" ht="30" customHeight="1">
      <c r="A73" s="893" t="s">
        <v>217</v>
      </c>
      <c r="B73" s="460" t="s">
        <v>218</v>
      </c>
      <c r="C73" s="461">
        <f t="shared" si="18"/>
        <v>5</v>
      </c>
      <c r="D73" s="468">
        <f t="shared" si="19"/>
        <v>1.7365106951938476</v>
      </c>
      <c r="E73" s="462">
        <f t="shared" si="20"/>
        <v>102.22301814616738</v>
      </c>
      <c r="F73" s="464">
        <f t="shared" si="21"/>
        <v>2200</v>
      </c>
      <c r="G73" s="465">
        <f t="shared" si="22"/>
        <v>3200</v>
      </c>
      <c r="H73" s="465">
        <f t="shared" si="23"/>
        <v>1000</v>
      </c>
      <c r="I73" s="479">
        <f t="shared" si="24"/>
        <v>7.630683760683481</v>
      </c>
      <c r="J73" s="480">
        <f t="shared" si="25"/>
        <v>3139.4813186812039</v>
      </c>
      <c r="K73" s="464">
        <f t="shared" si="26"/>
        <v>92.300750769227363</v>
      </c>
      <c r="L73" s="480">
        <f t="shared" si="27"/>
        <v>13185.821538461054</v>
      </c>
      <c r="M73" s="481">
        <f t="shared" si="28"/>
        <v>50000</v>
      </c>
      <c r="N73" s="468">
        <f t="shared" si="29"/>
        <v>9100</v>
      </c>
      <c r="O73" s="463">
        <f t="shared" si="30"/>
        <v>91000</v>
      </c>
      <c r="P73" s="461">
        <f t="shared" ref="P73:P136" si="32">IF(MIN(C73:O73)=0,"--",IF(C73="--",MIN(D73:O73),MIN(C73,F73:O73)))</f>
        <v>5</v>
      </c>
      <c r="Q73" s="469" t="str">
        <f t="shared" si="31"/>
        <v>MCL</v>
      </c>
      <c r="S73" s="720"/>
      <c r="AN73" s="478"/>
    </row>
    <row r="74" spans="1:40" s="477" customFormat="1" ht="30" customHeight="1">
      <c r="A74" s="893" t="s">
        <v>219</v>
      </c>
      <c r="B74" s="460" t="s">
        <v>220</v>
      </c>
      <c r="C74" s="461" t="str">
        <f t="shared" si="18"/>
        <v>--</v>
      </c>
      <c r="D74" s="468" t="str">
        <f t="shared" si="19"/>
        <v>--</v>
      </c>
      <c r="E74" s="462">
        <f t="shared" si="20"/>
        <v>5565.4670122467714</v>
      </c>
      <c r="F74" s="464">
        <f t="shared" si="21"/>
        <v>14000</v>
      </c>
      <c r="G74" s="465" t="str">
        <f t="shared" si="22"/>
        <v>--</v>
      </c>
      <c r="H74" s="465" t="str">
        <f t="shared" si="23"/>
        <v>--</v>
      </c>
      <c r="I74" s="479" t="str">
        <f t="shared" si="24"/>
        <v>--</v>
      </c>
      <c r="J74" s="480">
        <f t="shared" si="25"/>
        <v>2241501.3808681327</v>
      </c>
      <c r="K74" s="464" t="str">
        <f t="shared" si="26"/>
        <v>--</v>
      </c>
      <c r="L74" s="480">
        <f t="shared" si="27"/>
        <v>9414305.7996461578</v>
      </c>
      <c r="M74" s="481">
        <f t="shared" si="28"/>
        <v>50000</v>
      </c>
      <c r="N74" s="468">
        <f t="shared" si="29"/>
        <v>8400</v>
      </c>
      <c r="O74" s="463">
        <f t="shared" si="30"/>
        <v>84000</v>
      </c>
      <c r="P74" s="461">
        <f t="shared" si="32"/>
        <v>5565.4670122467714</v>
      </c>
      <c r="Q74" s="469" t="str">
        <f t="shared" si="31"/>
        <v>Tapwater</v>
      </c>
      <c r="S74" s="720"/>
      <c r="AN74" s="478"/>
    </row>
    <row r="75" spans="1:40" s="477" customFormat="1" ht="30" customHeight="1">
      <c r="A75" s="893" t="s">
        <v>221</v>
      </c>
      <c r="B75" s="460" t="s">
        <v>222</v>
      </c>
      <c r="C75" s="461" t="str">
        <f t="shared" si="18"/>
        <v>--</v>
      </c>
      <c r="D75" s="468" t="str">
        <f t="shared" si="19"/>
        <v>--</v>
      </c>
      <c r="E75" s="462">
        <f t="shared" si="20"/>
        <v>120</v>
      </c>
      <c r="F75" s="464">
        <f t="shared" si="21"/>
        <v>170</v>
      </c>
      <c r="G75" s="465" t="str">
        <f t="shared" si="22"/>
        <v>--</v>
      </c>
      <c r="H75" s="465" t="str">
        <f t="shared" si="23"/>
        <v>--</v>
      </c>
      <c r="I75" s="479" t="str">
        <f t="shared" si="24"/>
        <v>--</v>
      </c>
      <c r="J75" s="480">
        <f t="shared" si="25"/>
        <v>554527.95031085075</v>
      </c>
      <c r="K75" s="464" t="str">
        <f t="shared" si="26"/>
        <v>--</v>
      </c>
      <c r="L75" s="480">
        <f t="shared" si="27"/>
        <v>2329017.3913055728</v>
      </c>
      <c r="M75" s="481">
        <f t="shared" si="28"/>
        <v>50000</v>
      </c>
      <c r="N75" s="468">
        <f t="shared" si="29"/>
        <v>1300</v>
      </c>
      <c r="O75" s="463">
        <f t="shared" si="30"/>
        <v>13000</v>
      </c>
      <c r="P75" s="461">
        <f t="shared" si="32"/>
        <v>120</v>
      </c>
      <c r="Q75" s="469" t="str">
        <f t="shared" si="31"/>
        <v>Tapwater</v>
      </c>
      <c r="S75" s="720"/>
      <c r="AN75" s="478"/>
    </row>
    <row r="76" spans="1:40" s="477" customFormat="1" ht="30" customHeight="1">
      <c r="A76" s="893" t="s">
        <v>223</v>
      </c>
      <c r="B76" s="460" t="s">
        <v>224</v>
      </c>
      <c r="C76" s="461" t="str">
        <f t="shared" si="18"/>
        <v>--</v>
      </c>
      <c r="D76" s="468" t="str">
        <f t="shared" si="19"/>
        <v>--</v>
      </c>
      <c r="E76" s="462">
        <f t="shared" si="20"/>
        <v>1.9966959878281414</v>
      </c>
      <c r="F76" s="464">
        <f t="shared" si="21"/>
        <v>3.0000000000000001E-3</v>
      </c>
      <c r="G76" s="465" t="str">
        <f t="shared" si="22"/>
        <v>--</v>
      </c>
      <c r="H76" s="465" t="str">
        <f t="shared" si="23"/>
        <v>--</v>
      </c>
      <c r="I76" s="479" t="str">
        <f t="shared" si="24"/>
        <v>--</v>
      </c>
      <c r="J76" s="480" t="str">
        <f t="shared" si="25"/>
        <v>--</v>
      </c>
      <c r="K76" s="464" t="str">
        <f t="shared" si="26"/>
        <v>--</v>
      </c>
      <c r="L76" s="480" t="str">
        <f t="shared" si="27"/>
        <v>--</v>
      </c>
      <c r="M76" s="481">
        <f t="shared" si="28"/>
        <v>50000</v>
      </c>
      <c r="N76" s="468" t="str">
        <f t="shared" si="29"/>
        <v>--</v>
      </c>
      <c r="O76" s="463" t="str">
        <f t="shared" si="30"/>
        <v>--</v>
      </c>
      <c r="P76" s="461">
        <f t="shared" si="32"/>
        <v>3.0000000000000001E-3</v>
      </c>
      <c r="Q76" s="469" t="str">
        <f t="shared" si="31"/>
        <v>Aquatic Habitat</v>
      </c>
      <c r="S76" s="720"/>
      <c r="AN76" s="478"/>
    </row>
    <row r="77" spans="1:40" s="477" customFormat="1" ht="30" customHeight="1">
      <c r="A77" s="893" t="s">
        <v>225</v>
      </c>
      <c r="B77" s="460" t="s">
        <v>226</v>
      </c>
      <c r="C77" s="461" t="str">
        <f t="shared" si="18"/>
        <v>--</v>
      </c>
      <c r="D77" s="468" t="str">
        <f t="shared" si="19"/>
        <v>--</v>
      </c>
      <c r="E77" s="462">
        <f t="shared" si="20"/>
        <v>35.928229020099174</v>
      </c>
      <c r="F77" s="464">
        <f t="shared" si="21"/>
        <v>2.1</v>
      </c>
      <c r="G77" s="465">
        <f t="shared" si="22"/>
        <v>30</v>
      </c>
      <c r="H77" s="465" t="str">
        <f t="shared" si="23"/>
        <v>--</v>
      </c>
      <c r="I77" s="479" t="str">
        <f t="shared" si="24"/>
        <v>--</v>
      </c>
      <c r="J77" s="480" t="str">
        <f t="shared" si="25"/>
        <v>--</v>
      </c>
      <c r="K77" s="464" t="str">
        <f t="shared" si="26"/>
        <v>--</v>
      </c>
      <c r="L77" s="480" t="str">
        <f t="shared" si="27"/>
        <v>--</v>
      </c>
      <c r="M77" s="481">
        <f t="shared" si="28"/>
        <v>12300</v>
      </c>
      <c r="N77" s="468">
        <f t="shared" si="29"/>
        <v>10</v>
      </c>
      <c r="O77" s="463">
        <f t="shared" si="30"/>
        <v>100</v>
      </c>
      <c r="P77" s="461">
        <f t="shared" si="32"/>
        <v>2.1</v>
      </c>
      <c r="Q77" s="469" t="str">
        <f t="shared" si="31"/>
        <v>Aquatic Habitat</v>
      </c>
      <c r="S77" s="720"/>
      <c r="AN77" s="478"/>
    </row>
    <row r="78" spans="1:40" s="477" customFormat="1" ht="30" customHeight="1">
      <c r="A78" s="893" t="s">
        <v>227</v>
      </c>
      <c r="B78" s="460" t="s">
        <v>228</v>
      </c>
      <c r="C78" s="461">
        <f t="shared" si="18"/>
        <v>5</v>
      </c>
      <c r="D78" s="468">
        <f t="shared" si="19"/>
        <v>13</v>
      </c>
      <c r="E78" s="462">
        <f t="shared" si="20"/>
        <v>6257.1428571428569</v>
      </c>
      <c r="F78" s="464">
        <f t="shared" si="21"/>
        <v>66000</v>
      </c>
      <c r="G78" s="465">
        <f t="shared" si="22"/>
        <v>8000</v>
      </c>
      <c r="H78" s="465" t="str">
        <f t="shared" si="23"/>
        <v>--</v>
      </c>
      <c r="I78" s="479">
        <f t="shared" si="24"/>
        <v>449.98135137049178</v>
      </c>
      <c r="J78" s="480">
        <f t="shared" si="25"/>
        <v>130366.02579705107</v>
      </c>
      <c r="K78" s="464">
        <f t="shared" si="26"/>
        <v>1965.518542786308</v>
      </c>
      <c r="L78" s="480">
        <f t="shared" si="27"/>
        <v>547537.30834761448</v>
      </c>
      <c r="M78" s="481">
        <f t="shared" si="28"/>
        <v>50000</v>
      </c>
      <c r="N78" s="468">
        <f t="shared" si="29"/>
        <v>5</v>
      </c>
      <c r="O78" s="463">
        <f t="shared" si="30"/>
        <v>1800</v>
      </c>
      <c r="P78" s="461">
        <f t="shared" si="32"/>
        <v>5</v>
      </c>
      <c r="Q78" s="469" t="str">
        <f t="shared" si="31"/>
        <v>Odor/Nuis</v>
      </c>
      <c r="S78" s="720"/>
      <c r="AN78" s="478"/>
    </row>
    <row r="79" spans="1:40" s="477" customFormat="1" ht="30" customHeight="1">
      <c r="A79" s="893" t="s">
        <v>229</v>
      </c>
      <c r="B79" s="460" t="s">
        <v>230</v>
      </c>
      <c r="C79" s="461" t="str">
        <f t="shared" si="18"/>
        <v>--</v>
      </c>
      <c r="D79" s="468" t="str">
        <f t="shared" si="19"/>
        <v>--</v>
      </c>
      <c r="E79" s="462">
        <f t="shared" si="20"/>
        <v>99.83479939140706</v>
      </c>
      <c r="F79" s="464">
        <f t="shared" si="21"/>
        <v>240</v>
      </c>
      <c r="G79" s="465" t="str">
        <f t="shared" si="22"/>
        <v>--</v>
      </c>
      <c r="H79" s="465" t="str">
        <f t="shared" si="23"/>
        <v>--</v>
      </c>
      <c r="I79" s="479" t="str">
        <f t="shared" si="24"/>
        <v>--</v>
      </c>
      <c r="J79" s="480" t="str">
        <f t="shared" si="25"/>
        <v>--</v>
      </c>
      <c r="K79" s="464" t="str">
        <f t="shared" si="26"/>
        <v>--</v>
      </c>
      <c r="L79" s="480" t="str">
        <f t="shared" si="27"/>
        <v>--</v>
      </c>
      <c r="M79" s="481">
        <f t="shared" si="28"/>
        <v>50000</v>
      </c>
      <c r="N79" s="468" t="str">
        <f t="shared" si="29"/>
        <v>--</v>
      </c>
      <c r="O79" s="463" t="str">
        <f t="shared" si="30"/>
        <v>--</v>
      </c>
      <c r="P79" s="461">
        <f t="shared" si="32"/>
        <v>99.83479939140706</v>
      </c>
      <c r="Q79" s="469" t="str">
        <f t="shared" si="31"/>
        <v>Tapwater</v>
      </c>
      <c r="S79" s="720"/>
      <c r="AN79" s="478"/>
    </row>
    <row r="80" spans="1:40" s="477" customFormat="1" ht="30" customHeight="1">
      <c r="A80" s="893" t="s">
        <v>231</v>
      </c>
      <c r="B80" s="460" t="s">
        <v>232</v>
      </c>
      <c r="C80" s="461">
        <f t="shared" si="18"/>
        <v>100</v>
      </c>
      <c r="D80" s="468">
        <f t="shared" si="19"/>
        <v>12</v>
      </c>
      <c r="E80" s="462">
        <f t="shared" si="20"/>
        <v>215.84866831048549</v>
      </c>
      <c r="F80" s="464">
        <f t="shared" si="21"/>
        <v>52</v>
      </c>
      <c r="G80" s="465">
        <f t="shared" si="22"/>
        <v>5</v>
      </c>
      <c r="H80" s="465">
        <f t="shared" si="23"/>
        <v>4600</v>
      </c>
      <c r="I80" s="479" t="str">
        <f t="shared" si="24"/>
        <v>--</v>
      </c>
      <c r="J80" s="480" t="str">
        <f t="shared" si="25"/>
        <v>--</v>
      </c>
      <c r="K80" s="464" t="str">
        <f t="shared" si="26"/>
        <v>--</v>
      </c>
      <c r="L80" s="480" t="str">
        <f t="shared" si="27"/>
        <v>--</v>
      </c>
      <c r="M80" s="481">
        <f t="shared" si="28"/>
        <v>50000</v>
      </c>
      <c r="N80" s="468" t="str">
        <f t="shared" si="29"/>
        <v>--</v>
      </c>
      <c r="O80" s="463" t="str">
        <f t="shared" si="30"/>
        <v>--</v>
      </c>
      <c r="P80" s="461">
        <f t="shared" si="32"/>
        <v>5</v>
      </c>
      <c r="Q80" s="469" t="str">
        <f t="shared" si="31"/>
        <v>Aquatic Habitat</v>
      </c>
      <c r="S80" s="720"/>
      <c r="AN80" s="478"/>
    </row>
    <row r="81" spans="1:40" s="477" customFormat="1" ht="30" customHeight="1">
      <c r="A81" s="893" t="s">
        <v>233</v>
      </c>
      <c r="B81" s="460" t="s">
        <v>234</v>
      </c>
      <c r="C81" s="461" t="str">
        <f t="shared" si="18"/>
        <v>--</v>
      </c>
      <c r="D81" s="468" t="str">
        <f t="shared" si="19"/>
        <v>--</v>
      </c>
      <c r="E81" s="462">
        <f t="shared" si="20"/>
        <v>534.98176066436667</v>
      </c>
      <c r="F81" s="464">
        <f t="shared" si="21"/>
        <v>23</v>
      </c>
      <c r="G81" s="465">
        <f t="shared" si="22"/>
        <v>15</v>
      </c>
      <c r="H81" s="465">
        <f t="shared" si="23"/>
        <v>90</v>
      </c>
      <c r="I81" s="479" t="str">
        <f t="shared" si="24"/>
        <v>--</v>
      </c>
      <c r="J81" s="480" t="str">
        <f t="shared" si="25"/>
        <v>--</v>
      </c>
      <c r="K81" s="464" t="str">
        <f t="shared" si="26"/>
        <v>--</v>
      </c>
      <c r="L81" s="480" t="str">
        <f t="shared" si="27"/>
        <v>--</v>
      </c>
      <c r="M81" s="481">
        <f t="shared" si="28"/>
        <v>1950</v>
      </c>
      <c r="N81" s="468">
        <f t="shared" si="29"/>
        <v>20</v>
      </c>
      <c r="O81" s="463">
        <f t="shared" si="30"/>
        <v>200</v>
      </c>
      <c r="P81" s="461">
        <f t="shared" si="32"/>
        <v>15</v>
      </c>
      <c r="Q81" s="469" t="str">
        <f t="shared" si="31"/>
        <v>Aquatic Habitat</v>
      </c>
      <c r="S81" s="720"/>
      <c r="AN81" s="478"/>
    </row>
    <row r="82" spans="1:40" s="477" customFormat="1" ht="30" customHeight="1">
      <c r="A82" s="893" t="s">
        <v>235</v>
      </c>
      <c r="B82" s="460" t="s">
        <v>236</v>
      </c>
      <c r="C82" s="461" t="str">
        <f t="shared" si="18"/>
        <v>--</v>
      </c>
      <c r="D82" s="468" t="str">
        <f t="shared" si="19"/>
        <v>--</v>
      </c>
      <c r="E82" s="462">
        <f t="shared" si="20"/>
        <v>1765.228896017758</v>
      </c>
      <c r="F82" s="464">
        <f t="shared" si="21"/>
        <v>0.73</v>
      </c>
      <c r="G82" s="465">
        <f t="shared" si="22"/>
        <v>15</v>
      </c>
      <c r="H82" s="465">
        <f t="shared" si="23"/>
        <v>400</v>
      </c>
      <c r="I82" s="479" t="str">
        <f t="shared" si="24"/>
        <v>--</v>
      </c>
      <c r="J82" s="480" t="str">
        <f t="shared" si="25"/>
        <v>--</v>
      </c>
      <c r="K82" s="464" t="str">
        <f t="shared" si="26"/>
        <v>--</v>
      </c>
      <c r="L82" s="480" t="str">
        <f t="shared" si="27"/>
        <v>--</v>
      </c>
      <c r="M82" s="481">
        <f t="shared" si="28"/>
        <v>21.7</v>
      </c>
      <c r="N82" s="468" t="str">
        <f t="shared" si="29"/>
        <v>--</v>
      </c>
      <c r="O82" s="463" t="str">
        <f t="shared" si="30"/>
        <v>--</v>
      </c>
      <c r="P82" s="461">
        <f t="shared" si="32"/>
        <v>0.73</v>
      </c>
      <c r="Q82" s="469" t="str">
        <f t="shared" si="31"/>
        <v>Aquatic Habitat</v>
      </c>
      <c r="S82" s="720"/>
      <c r="AN82" s="478"/>
    </row>
    <row r="83" spans="1:40" s="477" customFormat="1" ht="30" customHeight="1">
      <c r="A83" s="893" t="s">
        <v>237</v>
      </c>
      <c r="B83" s="460" t="s">
        <v>238</v>
      </c>
      <c r="C83" s="461" t="str">
        <f t="shared" si="18"/>
        <v>--</v>
      </c>
      <c r="D83" s="468">
        <f t="shared" si="19"/>
        <v>1.7170814319988709E-2</v>
      </c>
      <c r="E83" s="462" t="str">
        <f t="shared" si="20"/>
        <v>--</v>
      </c>
      <c r="F83" s="464">
        <f t="shared" si="21"/>
        <v>2.7E-2</v>
      </c>
      <c r="G83" s="465">
        <f t="shared" si="22"/>
        <v>15</v>
      </c>
      <c r="H83" s="465">
        <f t="shared" si="23"/>
        <v>1.2999999999999999E-3</v>
      </c>
      <c r="I83" s="479">
        <f t="shared" si="24"/>
        <v>18.787668350028376</v>
      </c>
      <c r="J83" s="480" t="str">
        <f t="shared" si="25"/>
        <v>--</v>
      </c>
      <c r="K83" s="464">
        <f t="shared" si="26"/>
        <v>227.25563636194326</v>
      </c>
      <c r="L83" s="480" t="str">
        <f t="shared" si="27"/>
        <v>--</v>
      </c>
      <c r="M83" s="481">
        <f t="shared" si="28"/>
        <v>4.7</v>
      </c>
      <c r="N83" s="468" t="str">
        <f t="shared" si="29"/>
        <v>--</v>
      </c>
      <c r="O83" s="463" t="str">
        <f t="shared" si="30"/>
        <v>--</v>
      </c>
      <c r="P83" s="461">
        <f t="shared" si="32"/>
        <v>1.2999999999999999E-3</v>
      </c>
      <c r="Q83" s="469" t="str">
        <f t="shared" si="31"/>
        <v>Aquatic Habitat</v>
      </c>
      <c r="S83" s="720"/>
      <c r="AN83" s="478"/>
    </row>
    <row r="84" spans="1:40" s="477" customFormat="1" ht="30" customHeight="1">
      <c r="A84" s="893" t="s">
        <v>239</v>
      </c>
      <c r="B84" s="460" t="s">
        <v>240</v>
      </c>
      <c r="C84" s="461">
        <f t="shared" si="18"/>
        <v>0.2</v>
      </c>
      <c r="D84" s="468">
        <f t="shared" si="19"/>
        <v>7.0000000000000001E-3</v>
      </c>
      <c r="E84" s="462">
        <f t="shared" si="20"/>
        <v>6.0164835164835164</v>
      </c>
      <c r="F84" s="464">
        <f t="shared" si="21"/>
        <v>1.4E-2</v>
      </c>
      <c r="G84" s="465">
        <f t="shared" si="22"/>
        <v>15</v>
      </c>
      <c r="H84" s="465">
        <f t="shared" si="23"/>
        <v>1.2999999999999999E-4</v>
      </c>
      <c r="I84" s="479" t="str">
        <f t="shared" si="24"/>
        <v>--</v>
      </c>
      <c r="J84" s="480" t="str">
        <f t="shared" si="25"/>
        <v>--</v>
      </c>
      <c r="K84" s="464" t="str">
        <f t="shared" si="26"/>
        <v>--</v>
      </c>
      <c r="L84" s="480" t="str">
        <f t="shared" si="27"/>
        <v>--</v>
      </c>
      <c r="M84" s="481">
        <f t="shared" si="28"/>
        <v>0.80999999999999994</v>
      </c>
      <c r="N84" s="468" t="str">
        <f t="shared" si="29"/>
        <v>--</v>
      </c>
      <c r="O84" s="463" t="str">
        <f t="shared" si="30"/>
        <v>--</v>
      </c>
      <c r="P84" s="461">
        <f t="shared" si="32"/>
        <v>1.2999999999999999E-4</v>
      </c>
      <c r="Q84" s="469" t="str">
        <f t="shared" si="31"/>
        <v>Aquatic Habitat</v>
      </c>
      <c r="S84" s="720"/>
      <c r="AN84" s="478"/>
    </row>
    <row r="85" spans="1:40" s="477" customFormat="1" ht="30" customHeight="1">
      <c r="A85" s="893" t="s">
        <v>241</v>
      </c>
      <c r="B85" s="460" t="s">
        <v>242</v>
      </c>
      <c r="C85" s="461" t="str">
        <f t="shared" si="18"/>
        <v>--</v>
      </c>
      <c r="D85" s="468">
        <f t="shared" si="19"/>
        <v>0.2505147563486616</v>
      </c>
      <c r="E85" s="462" t="str">
        <f t="shared" si="20"/>
        <v>--</v>
      </c>
      <c r="F85" s="464" t="str">
        <f t="shared" si="21"/>
        <v>--</v>
      </c>
      <c r="G85" s="465">
        <f t="shared" si="22"/>
        <v>15</v>
      </c>
      <c r="H85" s="465">
        <f t="shared" si="23"/>
        <v>1.2999999999999999E-3</v>
      </c>
      <c r="I85" s="479" t="str">
        <f t="shared" si="24"/>
        <v>--</v>
      </c>
      <c r="J85" s="480" t="str">
        <f t="shared" si="25"/>
        <v>--</v>
      </c>
      <c r="K85" s="464" t="str">
        <f t="shared" si="26"/>
        <v>--</v>
      </c>
      <c r="L85" s="480" t="str">
        <f t="shared" si="27"/>
        <v>--</v>
      </c>
      <c r="M85" s="481">
        <f t="shared" si="28"/>
        <v>0.75</v>
      </c>
      <c r="N85" s="468" t="str">
        <f t="shared" si="29"/>
        <v>--</v>
      </c>
      <c r="O85" s="463" t="str">
        <f t="shared" si="30"/>
        <v>--</v>
      </c>
      <c r="P85" s="461">
        <f t="shared" si="32"/>
        <v>1.2999999999999999E-3</v>
      </c>
      <c r="Q85" s="469" t="str">
        <f t="shared" si="31"/>
        <v>Aquatic Habitat</v>
      </c>
      <c r="S85" s="720"/>
      <c r="AN85" s="478"/>
    </row>
    <row r="86" spans="1:40" s="477" customFormat="1" ht="30" customHeight="1">
      <c r="A86" s="893" t="s">
        <v>243</v>
      </c>
      <c r="B86" s="460" t="s">
        <v>244</v>
      </c>
      <c r="C86" s="461" t="str">
        <f t="shared" si="18"/>
        <v>--</v>
      </c>
      <c r="D86" s="468">
        <f t="shared" si="19"/>
        <v>2.5051475634866165</v>
      </c>
      <c r="E86" s="462" t="str">
        <f t="shared" si="20"/>
        <v>--</v>
      </c>
      <c r="F86" s="464">
        <f t="shared" si="21"/>
        <v>3.7</v>
      </c>
      <c r="G86" s="465">
        <f t="shared" si="22"/>
        <v>15</v>
      </c>
      <c r="H86" s="465">
        <f t="shared" si="23"/>
        <v>1.2999999999999999E-2</v>
      </c>
      <c r="I86" s="479" t="str">
        <f t="shared" si="24"/>
        <v>--</v>
      </c>
      <c r="J86" s="480" t="str">
        <f t="shared" si="25"/>
        <v>--</v>
      </c>
      <c r="K86" s="464" t="str">
        <f t="shared" si="26"/>
        <v>--</v>
      </c>
      <c r="L86" s="480" t="str">
        <f t="shared" si="27"/>
        <v>--</v>
      </c>
      <c r="M86" s="481">
        <f t="shared" si="28"/>
        <v>0.4</v>
      </c>
      <c r="N86" s="468" t="str">
        <f t="shared" si="29"/>
        <v>--</v>
      </c>
      <c r="O86" s="463" t="str">
        <f t="shared" si="30"/>
        <v>--</v>
      </c>
      <c r="P86" s="461">
        <f t="shared" si="32"/>
        <v>1.2999999999999999E-2</v>
      </c>
      <c r="Q86" s="469" t="str">
        <f t="shared" si="31"/>
        <v>Aquatic Habitat</v>
      </c>
      <c r="S86" s="720"/>
      <c r="AN86" s="478"/>
    </row>
    <row r="87" spans="1:40" s="477" customFormat="1" ht="30" customHeight="1">
      <c r="A87" s="893" t="s">
        <v>245</v>
      </c>
      <c r="B87" s="460" t="s">
        <v>246</v>
      </c>
      <c r="C87" s="461" t="str">
        <f t="shared" si="18"/>
        <v>--</v>
      </c>
      <c r="D87" s="468">
        <f t="shared" si="19"/>
        <v>25.051475634866165</v>
      </c>
      <c r="E87" s="462" t="str">
        <f t="shared" si="20"/>
        <v>--</v>
      </c>
      <c r="F87" s="464">
        <f t="shared" si="21"/>
        <v>0.35</v>
      </c>
      <c r="G87" s="465">
        <f t="shared" si="22"/>
        <v>15</v>
      </c>
      <c r="H87" s="465">
        <f t="shared" si="23"/>
        <v>4.9000000000000002E-2</v>
      </c>
      <c r="I87" s="479" t="str">
        <f t="shared" si="24"/>
        <v>--</v>
      </c>
      <c r="J87" s="480" t="str">
        <f t="shared" si="25"/>
        <v>--</v>
      </c>
      <c r="K87" s="464" t="str">
        <f t="shared" si="26"/>
        <v>--</v>
      </c>
      <c r="L87" s="480" t="str">
        <f t="shared" si="27"/>
        <v>--</v>
      </c>
      <c r="M87" s="481">
        <f t="shared" si="28"/>
        <v>1</v>
      </c>
      <c r="N87" s="468" t="str">
        <f t="shared" si="29"/>
        <v>--</v>
      </c>
      <c r="O87" s="463" t="str">
        <f t="shared" si="30"/>
        <v>--</v>
      </c>
      <c r="P87" s="461">
        <f t="shared" si="32"/>
        <v>4.9000000000000002E-2</v>
      </c>
      <c r="Q87" s="469" t="str">
        <f t="shared" si="31"/>
        <v>Aquatic Habitat</v>
      </c>
      <c r="S87" s="720"/>
      <c r="AN87" s="478"/>
    </row>
    <row r="88" spans="1:40" s="477" customFormat="1" ht="30" customHeight="1">
      <c r="A88" s="893" t="s">
        <v>247</v>
      </c>
      <c r="B88" s="460" t="s">
        <v>248</v>
      </c>
      <c r="C88" s="461" t="str">
        <f t="shared" si="18"/>
        <v>--</v>
      </c>
      <c r="D88" s="468">
        <f t="shared" si="19"/>
        <v>6.1101160085039437E-3</v>
      </c>
      <c r="E88" s="462" t="str">
        <f t="shared" si="20"/>
        <v>--</v>
      </c>
      <c r="F88" s="464">
        <f t="shared" si="21"/>
        <v>7.5</v>
      </c>
      <c r="G88" s="465">
        <f t="shared" si="22"/>
        <v>15</v>
      </c>
      <c r="H88" s="465">
        <f t="shared" si="23"/>
        <v>1.2999999999999999E-4</v>
      </c>
      <c r="I88" s="479" t="str">
        <f t="shared" si="24"/>
        <v>--</v>
      </c>
      <c r="J88" s="480" t="str">
        <f t="shared" si="25"/>
        <v>--</v>
      </c>
      <c r="K88" s="464" t="str">
        <f t="shared" si="26"/>
        <v>--</v>
      </c>
      <c r="L88" s="480" t="str">
        <f t="shared" si="27"/>
        <v>--</v>
      </c>
      <c r="M88" s="481">
        <f t="shared" si="28"/>
        <v>1.2450000000000001</v>
      </c>
      <c r="N88" s="468" t="str">
        <f t="shared" si="29"/>
        <v>--</v>
      </c>
      <c r="O88" s="463" t="str">
        <f t="shared" si="30"/>
        <v>--</v>
      </c>
      <c r="P88" s="461">
        <f t="shared" si="32"/>
        <v>1.2999999999999999E-4</v>
      </c>
      <c r="Q88" s="469" t="str">
        <f t="shared" si="31"/>
        <v>Aquatic Habitat</v>
      </c>
      <c r="S88" s="720"/>
      <c r="AN88" s="478"/>
    </row>
    <row r="89" spans="1:40" s="477" customFormat="1" ht="30" customHeight="1">
      <c r="A89" s="893" t="s">
        <v>249</v>
      </c>
      <c r="B89" s="460" t="s">
        <v>250</v>
      </c>
      <c r="C89" s="461" t="str">
        <f t="shared" si="18"/>
        <v>--</v>
      </c>
      <c r="D89" s="468" t="str">
        <f t="shared" si="19"/>
        <v>--</v>
      </c>
      <c r="E89" s="462">
        <f t="shared" si="20"/>
        <v>802.19780219780216</v>
      </c>
      <c r="F89" s="464">
        <f t="shared" si="21"/>
        <v>8.1</v>
      </c>
      <c r="G89" s="465">
        <f t="shared" si="22"/>
        <v>8</v>
      </c>
      <c r="H89" s="465">
        <f t="shared" si="23"/>
        <v>20</v>
      </c>
      <c r="I89" s="479" t="str">
        <f t="shared" si="24"/>
        <v>--</v>
      </c>
      <c r="J89" s="480" t="str">
        <f t="shared" si="25"/>
        <v>--</v>
      </c>
      <c r="K89" s="464" t="str">
        <f t="shared" si="26"/>
        <v>--</v>
      </c>
      <c r="L89" s="480" t="str">
        <f t="shared" si="27"/>
        <v>--</v>
      </c>
      <c r="M89" s="481">
        <f t="shared" si="28"/>
        <v>130</v>
      </c>
      <c r="N89" s="468" t="str">
        <f t="shared" si="29"/>
        <v>--</v>
      </c>
      <c r="O89" s="463" t="str">
        <f t="shared" si="30"/>
        <v>--</v>
      </c>
      <c r="P89" s="461">
        <f t="shared" si="32"/>
        <v>8</v>
      </c>
      <c r="Q89" s="469" t="str">
        <f t="shared" si="31"/>
        <v>Aquatic Habitat</v>
      </c>
      <c r="S89" s="720"/>
      <c r="AN89" s="478"/>
    </row>
    <row r="90" spans="1:40" s="477" customFormat="1" ht="30" customHeight="1">
      <c r="A90" s="893" t="s">
        <v>251</v>
      </c>
      <c r="B90" s="460" t="s">
        <v>252</v>
      </c>
      <c r="C90" s="461" t="str">
        <f t="shared" si="18"/>
        <v>--</v>
      </c>
      <c r="D90" s="468" t="str">
        <f t="shared" si="19"/>
        <v>--</v>
      </c>
      <c r="E90" s="462">
        <f t="shared" si="20"/>
        <v>294.22348082483762</v>
      </c>
      <c r="F90" s="464">
        <f t="shared" si="21"/>
        <v>3.9</v>
      </c>
      <c r="G90" s="465">
        <f t="shared" si="22"/>
        <v>15</v>
      </c>
      <c r="H90" s="465">
        <f t="shared" si="23"/>
        <v>70</v>
      </c>
      <c r="I90" s="479" t="str">
        <f t="shared" si="24"/>
        <v>--</v>
      </c>
      <c r="J90" s="480" t="str">
        <f t="shared" si="25"/>
        <v>--</v>
      </c>
      <c r="K90" s="464" t="str">
        <f t="shared" si="26"/>
        <v>--</v>
      </c>
      <c r="L90" s="480" t="str">
        <f t="shared" si="27"/>
        <v>--</v>
      </c>
      <c r="M90" s="481">
        <f t="shared" si="28"/>
        <v>845</v>
      </c>
      <c r="N90" s="468" t="str">
        <f t="shared" si="29"/>
        <v>--</v>
      </c>
      <c r="O90" s="463" t="str">
        <f t="shared" si="30"/>
        <v>--</v>
      </c>
      <c r="P90" s="461">
        <f t="shared" si="32"/>
        <v>3.9</v>
      </c>
      <c r="Q90" s="469" t="str">
        <f t="shared" si="31"/>
        <v>Aquatic Habitat</v>
      </c>
      <c r="S90" s="720"/>
      <c r="AN90" s="478"/>
    </row>
    <row r="91" spans="1:40" s="477" customFormat="1" ht="30" customHeight="1">
      <c r="A91" s="893" t="s">
        <v>253</v>
      </c>
      <c r="B91" s="460" t="s">
        <v>254</v>
      </c>
      <c r="C91" s="461" t="str">
        <f t="shared" si="18"/>
        <v>--</v>
      </c>
      <c r="D91" s="468">
        <f t="shared" si="19"/>
        <v>0.2505147563486616</v>
      </c>
      <c r="E91" s="462" t="str">
        <f t="shared" si="20"/>
        <v>--</v>
      </c>
      <c r="F91" s="464" t="str">
        <f t="shared" si="21"/>
        <v>--</v>
      </c>
      <c r="G91" s="465">
        <f t="shared" si="22"/>
        <v>15</v>
      </c>
      <c r="H91" s="465">
        <f t="shared" si="23"/>
        <v>1.2999999999999999E-3</v>
      </c>
      <c r="I91" s="479" t="str">
        <f t="shared" si="24"/>
        <v>--</v>
      </c>
      <c r="J91" s="480" t="str">
        <f t="shared" si="25"/>
        <v>--</v>
      </c>
      <c r="K91" s="464" t="str">
        <f t="shared" si="26"/>
        <v>--</v>
      </c>
      <c r="L91" s="480" t="str">
        <f t="shared" si="27"/>
        <v>--</v>
      </c>
      <c r="M91" s="481">
        <f t="shared" si="28"/>
        <v>9.5000000000000001E-2</v>
      </c>
      <c r="N91" s="468" t="str">
        <f t="shared" si="29"/>
        <v>--</v>
      </c>
      <c r="O91" s="463" t="str">
        <f t="shared" si="30"/>
        <v>--</v>
      </c>
      <c r="P91" s="461">
        <f t="shared" si="32"/>
        <v>1.2999999999999999E-3</v>
      </c>
      <c r="Q91" s="469" t="str">
        <f t="shared" si="31"/>
        <v>Aquatic Habitat</v>
      </c>
      <c r="S91" s="720"/>
      <c r="AN91" s="478"/>
    </row>
    <row r="92" spans="1:40" s="477" customFormat="1" ht="30" customHeight="1">
      <c r="A92" s="893" t="s">
        <v>255</v>
      </c>
      <c r="B92" s="460" t="s">
        <v>256</v>
      </c>
      <c r="C92" s="461" t="str">
        <f t="shared" si="18"/>
        <v>--</v>
      </c>
      <c r="D92" s="468">
        <f t="shared" si="19"/>
        <v>0.11691092078404149</v>
      </c>
      <c r="E92" s="462">
        <f t="shared" si="20"/>
        <v>6.1073400028997504</v>
      </c>
      <c r="F92" s="464">
        <f t="shared" si="21"/>
        <v>24</v>
      </c>
      <c r="G92" s="465">
        <f t="shared" si="22"/>
        <v>15</v>
      </c>
      <c r="H92" s="465" t="str">
        <f t="shared" si="23"/>
        <v>--</v>
      </c>
      <c r="I92" s="479">
        <f t="shared" si="24"/>
        <v>4.5906519950627338</v>
      </c>
      <c r="J92" s="480">
        <f t="shared" si="25"/>
        <v>173.92012987009105</v>
      </c>
      <c r="K92" s="464">
        <f t="shared" si="26"/>
        <v>20.051967914434027</v>
      </c>
      <c r="L92" s="480">
        <f t="shared" si="27"/>
        <v>730.46454545438235</v>
      </c>
      <c r="M92" s="481">
        <f t="shared" si="28"/>
        <v>15500</v>
      </c>
      <c r="N92" s="468">
        <f t="shared" si="29"/>
        <v>21</v>
      </c>
      <c r="O92" s="463">
        <f t="shared" si="30"/>
        <v>210</v>
      </c>
      <c r="P92" s="461">
        <f t="shared" si="32"/>
        <v>0.11691092078404149</v>
      </c>
      <c r="Q92" s="469" t="str">
        <f t="shared" si="31"/>
        <v>Tapwater</v>
      </c>
      <c r="S92" s="720"/>
      <c r="AN92" s="478"/>
    </row>
    <row r="93" spans="1:40" s="477" customFormat="1" ht="30" customHeight="1">
      <c r="A93" s="893" t="s">
        <v>257</v>
      </c>
      <c r="B93" s="460" t="s">
        <v>258</v>
      </c>
      <c r="C93" s="461" t="str">
        <f t="shared" si="18"/>
        <v>--</v>
      </c>
      <c r="D93" s="468" t="str">
        <f t="shared" si="19"/>
        <v>--</v>
      </c>
      <c r="E93" s="462">
        <f t="shared" si="20"/>
        <v>120.81364904085669</v>
      </c>
      <c r="F93" s="464">
        <f t="shared" si="21"/>
        <v>2</v>
      </c>
      <c r="G93" s="465">
        <f t="shared" si="22"/>
        <v>15</v>
      </c>
      <c r="H93" s="465">
        <f t="shared" si="23"/>
        <v>30</v>
      </c>
      <c r="I93" s="479" t="str">
        <f t="shared" si="24"/>
        <v>--</v>
      </c>
      <c r="J93" s="480" t="str">
        <f t="shared" si="25"/>
        <v>--</v>
      </c>
      <c r="K93" s="464" t="str">
        <f t="shared" si="26"/>
        <v>--</v>
      </c>
      <c r="L93" s="480" t="str">
        <f t="shared" si="27"/>
        <v>--</v>
      </c>
      <c r="M93" s="481">
        <f t="shared" si="28"/>
        <v>67.5</v>
      </c>
      <c r="N93" s="468" t="str">
        <f t="shared" si="29"/>
        <v>--</v>
      </c>
      <c r="O93" s="463" t="str">
        <f t="shared" si="30"/>
        <v>--</v>
      </c>
      <c r="P93" s="461">
        <f t="shared" si="32"/>
        <v>2</v>
      </c>
      <c r="Q93" s="469" t="str">
        <f t="shared" si="31"/>
        <v>Aquatic Habitat</v>
      </c>
      <c r="S93" s="720"/>
      <c r="AN93" s="478"/>
    </row>
    <row r="94" spans="1:40" s="477" customFormat="1" ht="30" customHeight="1">
      <c r="A94" s="893" t="s">
        <v>259</v>
      </c>
      <c r="B94" s="460" t="s">
        <v>260</v>
      </c>
      <c r="C94" s="461">
        <f t="shared" si="18"/>
        <v>1</v>
      </c>
      <c r="D94" s="468">
        <f t="shared" si="19"/>
        <v>4.1269593980201587E-2</v>
      </c>
      <c r="E94" s="462">
        <f t="shared" si="20"/>
        <v>22.681421475775775</v>
      </c>
      <c r="F94" s="464">
        <f t="shared" si="21"/>
        <v>15</v>
      </c>
      <c r="G94" s="465">
        <f t="shared" si="22"/>
        <v>1</v>
      </c>
      <c r="H94" s="465">
        <f t="shared" si="23"/>
        <v>0.04</v>
      </c>
      <c r="I94" s="479" t="str">
        <f t="shared" si="24"/>
        <v>--</v>
      </c>
      <c r="J94" s="480" t="str">
        <f t="shared" si="25"/>
        <v>--</v>
      </c>
      <c r="K94" s="464" t="str">
        <f t="shared" si="26"/>
        <v>--</v>
      </c>
      <c r="L94" s="480" t="str">
        <f t="shared" si="27"/>
        <v>--</v>
      </c>
      <c r="M94" s="481">
        <f t="shared" si="28"/>
        <v>7000</v>
      </c>
      <c r="N94" s="468">
        <f t="shared" si="29"/>
        <v>30</v>
      </c>
      <c r="O94" s="463">
        <f t="shared" si="30"/>
        <v>5900</v>
      </c>
      <c r="P94" s="461">
        <f t="shared" si="32"/>
        <v>0.04</v>
      </c>
      <c r="Q94" s="469" t="str">
        <f t="shared" si="31"/>
        <v>Aquatic Habitat</v>
      </c>
      <c r="S94" s="720"/>
      <c r="AN94" s="478"/>
    </row>
    <row r="95" spans="1:40" s="477" customFormat="1" ht="30" customHeight="1">
      <c r="A95" s="893" t="s">
        <v>261</v>
      </c>
      <c r="B95" s="460" t="s">
        <v>1261</v>
      </c>
      <c r="C95" s="461">
        <f t="shared" si="18"/>
        <v>6</v>
      </c>
      <c r="D95" s="468" t="str">
        <f t="shared" si="19"/>
        <v>--</v>
      </c>
      <c r="E95" s="462">
        <f t="shared" si="20"/>
        <v>1</v>
      </c>
      <c r="F95" s="464">
        <f t="shared" si="21"/>
        <v>600</v>
      </c>
      <c r="G95" s="465" t="str">
        <f t="shared" si="22"/>
        <v>--</v>
      </c>
      <c r="H95" s="465" t="str">
        <f t="shared" si="23"/>
        <v>--</v>
      </c>
      <c r="I95" s="479" t="str">
        <f t="shared" si="24"/>
        <v>--</v>
      </c>
      <c r="J95" s="480" t="str">
        <f t="shared" si="25"/>
        <v>--</v>
      </c>
      <c r="K95" s="464" t="str">
        <f t="shared" si="26"/>
        <v>--</v>
      </c>
      <c r="L95" s="480" t="str">
        <f t="shared" si="27"/>
        <v>--</v>
      </c>
      <c r="M95" s="481">
        <f t="shared" si="28"/>
        <v>50000</v>
      </c>
      <c r="N95" s="468" t="str">
        <f t="shared" si="29"/>
        <v>--</v>
      </c>
      <c r="O95" s="463" t="str">
        <f t="shared" si="30"/>
        <v>--</v>
      </c>
      <c r="P95" s="461">
        <f t="shared" si="32"/>
        <v>6</v>
      </c>
      <c r="Q95" s="469" t="str">
        <f t="shared" si="31"/>
        <v>MCL</v>
      </c>
      <c r="S95" s="720"/>
      <c r="AN95" s="478"/>
    </row>
    <row r="96" spans="1:40" s="477" customFormat="1" ht="30" customHeight="1">
      <c r="A96" s="893" t="s">
        <v>263</v>
      </c>
      <c r="B96" s="460" t="s">
        <v>115</v>
      </c>
      <c r="C96" s="461" t="str">
        <f t="shared" si="18"/>
        <v>--</v>
      </c>
      <c r="D96" s="468" t="str">
        <f t="shared" si="19"/>
        <v>--</v>
      </c>
      <c r="E96" s="462">
        <f t="shared" si="20"/>
        <v>798.81669063090976</v>
      </c>
      <c r="F96" s="464">
        <f t="shared" si="21"/>
        <v>443</v>
      </c>
      <c r="G96" s="465">
        <f t="shared" si="22"/>
        <v>3700</v>
      </c>
      <c r="H96" s="465" t="str">
        <f t="shared" si="23"/>
        <v>--</v>
      </c>
      <c r="I96" s="479" t="str">
        <f t="shared" si="24"/>
        <v>--</v>
      </c>
      <c r="J96" s="480" t="str">
        <f t="shared" si="25"/>
        <v>--</v>
      </c>
      <c r="K96" s="464" t="str">
        <f t="shared" si="26"/>
        <v>--</v>
      </c>
      <c r="L96" s="480" t="str">
        <f t="shared" si="27"/>
        <v>--</v>
      </c>
      <c r="M96" s="481">
        <f t="shared" si="28"/>
        <v>50000</v>
      </c>
      <c r="N96" s="468">
        <f t="shared" si="29"/>
        <v>100</v>
      </c>
      <c r="O96" s="463">
        <f t="shared" si="30"/>
        <v>5000</v>
      </c>
      <c r="P96" s="461">
        <f t="shared" si="32"/>
        <v>100</v>
      </c>
      <c r="Q96" s="469" t="str">
        <f t="shared" si="31"/>
        <v>Odor/Nuis</v>
      </c>
      <c r="S96" s="720"/>
      <c r="AN96" s="478"/>
    </row>
    <row r="97" spans="1:40" s="477" customFormat="1" ht="30" customHeight="1">
      <c r="A97" s="893" t="s">
        <v>264</v>
      </c>
      <c r="B97" s="460" t="s">
        <v>115</v>
      </c>
      <c r="C97" s="461" t="str">
        <f t="shared" si="18"/>
        <v>--</v>
      </c>
      <c r="D97" s="468" t="str">
        <f t="shared" si="19"/>
        <v>--</v>
      </c>
      <c r="E97" s="462">
        <f t="shared" si="20"/>
        <v>210.48658526371332</v>
      </c>
      <c r="F97" s="464">
        <f t="shared" si="21"/>
        <v>640</v>
      </c>
      <c r="G97" s="465">
        <f t="shared" si="22"/>
        <v>640</v>
      </c>
      <c r="H97" s="465" t="str">
        <f t="shared" si="23"/>
        <v>--</v>
      </c>
      <c r="I97" s="479" t="str">
        <f t="shared" si="24"/>
        <v>--</v>
      </c>
      <c r="J97" s="480" t="str">
        <f t="shared" si="25"/>
        <v>--</v>
      </c>
      <c r="K97" s="464" t="str">
        <f t="shared" si="26"/>
        <v>--</v>
      </c>
      <c r="L97" s="480" t="str">
        <f t="shared" si="27"/>
        <v>--</v>
      </c>
      <c r="M97" s="481">
        <f t="shared" si="28"/>
        <v>2500</v>
      </c>
      <c r="N97" s="468">
        <f t="shared" si="29"/>
        <v>100</v>
      </c>
      <c r="O97" s="463">
        <f t="shared" si="30"/>
        <v>5000</v>
      </c>
      <c r="P97" s="461">
        <f t="shared" si="32"/>
        <v>100</v>
      </c>
      <c r="Q97" s="469" t="str">
        <f t="shared" si="31"/>
        <v>Odor/Nuis</v>
      </c>
      <c r="S97" s="720"/>
      <c r="AN97" s="478"/>
    </row>
    <row r="98" spans="1:40" s="477" customFormat="1" ht="30" customHeight="1">
      <c r="A98" s="893" t="s">
        <v>265</v>
      </c>
      <c r="B98" s="460" t="s">
        <v>115</v>
      </c>
      <c r="C98" s="461" t="str">
        <f t="shared" si="18"/>
        <v>--</v>
      </c>
      <c r="D98" s="468" t="str">
        <f t="shared" si="19"/>
        <v>--</v>
      </c>
      <c r="E98" s="462">
        <f t="shared" si="20"/>
        <v>210.48658526371332</v>
      </c>
      <c r="F98" s="464">
        <f t="shared" si="21"/>
        <v>640</v>
      </c>
      <c r="G98" s="465">
        <f t="shared" si="22"/>
        <v>640</v>
      </c>
      <c r="H98" s="465" t="str">
        <f t="shared" si="23"/>
        <v>--</v>
      </c>
      <c r="I98" s="479" t="str">
        <f t="shared" si="24"/>
        <v>--</v>
      </c>
      <c r="J98" s="480" t="str">
        <f t="shared" si="25"/>
        <v>--</v>
      </c>
      <c r="K98" s="464" t="str">
        <f t="shared" si="26"/>
        <v>--</v>
      </c>
      <c r="L98" s="480" t="str">
        <f t="shared" si="27"/>
        <v>--</v>
      </c>
      <c r="M98" s="481">
        <f t="shared" si="28"/>
        <v>2500</v>
      </c>
      <c r="N98" s="468">
        <f t="shared" si="29"/>
        <v>100</v>
      </c>
      <c r="O98" s="463">
        <f t="shared" si="30"/>
        <v>5000</v>
      </c>
      <c r="P98" s="461">
        <f t="shared" si="32"/>
        <v>100</v>
      </c>
      <c r="Q98" s="469" t="str">
        <f t="shared" si="31"/>
        <v>Odor/Nuis</v>
      </c>
      <c r="S98" s="720"/>
      <c r="AN98" s="478"/>
    </row>
    <row r="99" spans="1:40" s="477" customFormat="1" ht="30" customHeight="1">
      <c r="A99" s="893" t="s">
        <v>266</v>
      </c>
      <c r="B99" s="460" t="s">
        <v>115</v>
      </c>
      <c r="C99" s="461" t="str">
        <f t="shared" si="18"/>
        <v>--</v>
      </c>
      <c r="D99" s="468" t="str">
        <f t="shared" si="19"/>
        <v>--</v>
      </c>
      <c r="E99" s="462">
        <f t="shared" si="20"/>
        <v>178.56467953809269</v>
      </c>
      <c r="F99" s="464">
        <f t="shared" si="21"/>
        <v>640</v>
      </c>
      <c r="G99" s="465">
        <f t="shared" si="22"/>
        <v>640</v>
      </c>
      <c r="H99" s="465" t="str">
        <f t="shared" si="23"/>
        <v>--</v>
      </c>
      <c r="I99" s="479" t="str">
        <f t="shared" si="24"/>
        <v>--</v>
      </c>
      <c r="J99" s="480" t="str">
        <f t="shared" si="25"/>
        <v>--</v>
      </c>
      <c r="K99" s="464" t="str">
        <f t="shared" si="26"/>
        <v>--</v>
      </c>
      <c r="L99" s="480" t="str">
        <f t="shared" si="27"/>
        <v>--</v>
      </c>
      <c r="M99" s="481">
        <f t="shared" si="28"/>
        <v>2500</v>
      </c>
      <c r="N99" s="468">
        <f t="shared" si="29"/>
        <v>100</v>
      </c>
      <c r="O99" s="463">
        <f t="shared" si="30"/>
        <v>5000</v>
      </c>
      <c r="P99" s="461">
        <f t="shared" si="32"/>
        <v>100</v>
      </c>
      <c r="Q99" s="469" t="str">
        <f t="shared" si="31"/>
        <v>Odor/Nuis</v>
      </c>
      <c r="S99" s="720"/>
      <c r="AN99" s="478"/>
    </row>
    <row r="100" spans="1:40" s="477" customFormat="1" ht="30" customHeight="1">
      <c r="A100" s="893" t="s">
        <v>267</v>
      </c>
      <c r="B100" s="460" t="s">
        <v>115</v>
      </c>
      <c r="C100" s="461" t="str">
        <f t="shared" si="18"/>
        <v>--</v>
      </c>
      <c r="D100" s="468" t="str">
        <f t="shared" si="19"/>
        <v>--</v>
      </c>
      <c r="E100" s="462">
        <f t="shared" si="20"/>
        <v>409.72309098470822</v>
      </c>
      <c r="F100" s="464">
        <f t="shared" si="21"/>
        <v>640</v>
      </c>
      <c r="G100" s="465">
        <f t="shared" si="22"/>
        <v>640</v>
      </c>
      <c r="H100" s="465" t="str">
        <f t="shared" si="23"/>
        <v>--</v>
      </c>
      <c r="I100" s="479" t="str">
        <f t="shared" si="24"/>
        <v>--</v>
      </c>
      <c r="J100" s="480" t="str">
        <f t="shared" si="25"/>
        <v>--</v>
      </c>
      <c r="K100" s="464" t="str">
        <f t="shared" si="26"/>
        <v>--</v>
      </c>
      <c r="L100" s="480" t="str">
        <f t="shared" si="27"/>
        <v>--</v>
      </c>
      <c r="M100" s="481">
        <f t="shared" si="28"/>
        <v>50000</v>
      </c>
      <c r="N100" s="468">
        <f t="shared" si="29"/>
        <v>100</v>
      </c>
      <c r="O100" s="463">
        <f t="shared" si="30"/>
        <v>5000</v>
      </c>
      <c r="P100" s="461">
        <f t="shared" si="32"/>
        <v>100</v>
      </c>
      <c r="Q100" s="469" t="str">
        <f t="shared" si="31"/>
        <v>Odor/Nuis</v>
      </c>
      <c r="S100" s="720"/>
      <c r="AN100" s="478"/>
    </row>
    <row r="101" spans="1:40" s="477" customFormat="1" ht="30" customHeight="1">
      <c r="A101" s="894" t="s">
        <v>268</v>
      </c>
      <c r="B101" s="1225" t="s">
        <v>115</v>
      </c>
      <c r="C101" s="1258" t="s">
        <v>115</v>
      </c>
      <c r="D101" s="1226" t="s">
        <v>115</v>
      </c>
      <c r="E101" s="1227" t="s">
        <v>115</v>
      </c>
      <c r="F101" s="1228" t="s">
        <v>115</v>
      </c>
      <c r="G101" s="1229" t="s">
        <v>115</v>
      </c>
      <c r="H101" s="1229" t="s">
        <v>115</v>
      </c>
      <c r="I101" s="1230" t="s">
        <v>115</v>
      </c>
      <c r="J101" s="1231" t="s">
        <v>115</v>
      </c>
      <c r="K101" s="1228" t="s">
        <v>115</v>
      </c>
      <c r="L101" s="1231" t="s">
        <v>115</v>
      </c>
      <c r="M101" s="1232" t="s">
        <v>115</v>
      </c>
      <c r="N101" s="1226" t="s">
        <v>115</v>
      </c>
      <c r="O101" s="1233" t="s">
        <v>115</v>
      </c>
      <c r="P101" s="703" t="str">
        <f t="shared" si="32"/>
        <v>--</v>
      </c>
      <c r="Q101" s="704" t="str">
        <f t="shared" si="31"/>
        <v>--</v>
      </c>
      <c r="S101" s="720"/>
      <c r="AN101" s="478"/>
    </row>
    <row r="102" spans="1:40" s="477" customFormat="1" ht="30" customHeight="1">
      <c r="A102" s="893" t="s">
        <v>269</v>
      </c>
      <c r="B102" s="460" t="s">
        <v>270</v>
      </c>
      <c r="C102" s="461" t="str">
        <f t="shared" si="18"/>
        <v>--</v>
      </c>
      <c r="D102" s="468" t="str">
        <f t="shared" si="19"/>
        <v>--</v>
      </c>
      <c r="E102" s="462">
        <f t="shared" si="20"/>
        <v>9.7587103357656151</v>
      </c>
      <c r="F102" s="464">
        <f t="shared" si="21"/>
        <v>0.2</v>
      </c>
      <c r="G102" s="465">
        <f t="shared" si="22"/>
        <v>0.2</v>
      </c>
      <c r="H102" s="465" t="str">
        <f t="shared" si="23"/>
        <v>--</v>
      </c>
      <c r="I102" s="479" t="str">
        <f t="shared" si="24"/>
        <v>--</v>
      </c>
      <c r="J102" s="480" t="str">
        <f t="shared" si="25"/>
        <v>--</v>
      </c>
      <c r="K102" s="464" t="str">
        <f t="shared" si="26"/>
        <v>--</v>
      </c>
      <c r="L102" s="480" t="str">
        <f t="shared" si="27"/>
        <v>--</v>
      </c>
      <c r="M102" s="481">
        <f t="shared" si="28"/>
        <v>50000</v>
      </c>
      <c r="N102" s="468" t="str">
        <f t="shared" si="29"/>
        <v>--</v>
      </c>
      <c r="O102" s="463" t="str">
        <f t="shared" si="30"/>
        <v>--</v>
      </c>
      <c r="P102" s="461">
        <f t="shared" si="32"/>
        <v>0.2</v>
      </c>
      <c r="Q102" s="469" t="str">
        <f t="shared" si="31"/>
        <v>Aquatic Habitat</v>
      </c>
      <c r="S102" s="720"/>
      <c r="AN102" s="478"/>
    </row>
    <row r="103" spans="1:40" s="477" customFormat="1" ht="30" customHeight="1">
      <c r="A103" s="893" t="s">
        <v>271</v>
      </c>
      <c r="B103" s="460" t="s">
        <v>272</v>
      </c>
      <c r="C103" s="461" t="str">
        <f t="shared" si="18"/>
        <v>--</v>
      </c>
      <c r="D103" s="468" t="str">
        <f t="shared" si="19"/>
        <v>--</v>
      </c>
      <c r="E103" s="462">
        <f t="shared" si="20"/>
        <v>18.453992005678288</v>
      </c>
      <c r="F103" s="464">
        <f t="shared" si="21"/>
        <v>75.7</v>
      </c>
      <c r="G103" s="465">
        <f t="shared" si="22"/>
        <v>119</v>
      </c>
      <c r="H103" s="465" t="str">
        <f t="shared" si="23"/>
        <v>--</v>
      </c>
      <c r="I103" s="479" t="str">
        <f t="shared" si="24"/>
        <v>--</v>
      </c>
      <c r="J103" s="480" t="str">
        <f t="shared" si="25"/>
        <v>--</v>
      </c>
      <c r="K103" s="464" t="str">
        <f t="shared" si="26"/>
        <v>--</v>
      </c>
      <c r="L103" s="480" t="str">
        <f t="shared" si="27"/>
        <v>--</v>
      </c>
      <c r="M103" s="481">
        <f t="shared" si="28"/>
        <v>50000</v>
      </c>
      <c r="N103" s="468" t="str">
        <f t="shared" si="29"/>
        <v>--</v>
      </c>
      <c r="O103" s="463" t="str">
        <f t="shared" si="30"/>
        <v>--</v>
      </c>
      <c r="P103" s="461">
        <f t="shared" si="32"/>
        <v>18.453992005678288</v>
      </c>
      <c r="Q103" s="469" t="str">
        <f t="shared" si="31"/>
        <v>Tapwater</v>
      </c>
      <c r="S103" s="720"/>
      <c r="AN103" s="478"/>
    </row>
    <row r="104" spans="1:40" s="477" customFormat="1" ht="30" customHeight="1">
      <c r="A104" s="893" t="s">
        <v>273</v>
      </c>
      <c r="B104" s="460" t="s">
        <v>274</v>
      </c>
      <c r="C104" s="461" t="str">
        <f t="shared" si="18"/>
        <v>--</v>
      </c>
      <c r="D104" s="468" t="str">
        <f t="shared" si="19"/>
        <v>--</v>
      </c>
      <c r="E104" s="462" t="str">
        <f t="shared" si="20"/>
        <v>--</v>
      </c>
      <c r="F104" s="464">
        <f t="shared" si="21"/>
        <v>140</v>
      </c>
      <c r="G104" s="465" t="str">
        <f t="shared" si="22"/>
        <v>--</v>
      </c>
      <c r="H104" s="465" t="str">
        <f t="shared" si="23"/>
        <v>--</v>
      </c>
      <c r="I104" s="479" t="str">
        <f t="shared" si="24"/>
        <v>--</v>
      </c>
      <c r="J104" s="480" t="str">
        <f t="shared" si="25"/>
        <v>--</v>
      </c>
      <c r="K104" s="464" t="str">
        <f t="shared" si="26"/>
        <v>--</v>
      </c>
      <c r="L104" s="480" t="str">
        <f t="shared" si="27"/>
        <v>--</v>
      </c>
      <c r="M104" s="481">
        <f t="shared" si="28"/>
        <v>50000</v>
      </c>
      <c r="N104" s="468" t="str">
        <f t="shared" si="29"/>
        <v>--</v>
      </c>
      <c r="O104" s="463" t="str">
        <f t="shared" si="30"/>
        <v>--</v>
      </c>
      <c r="P104" s="461">
        <f t="shared" si="32"/>
        <v>140</v>
      </c>
      <c r="Q104" s="469" t="str">
        <f t="shared" si="31"/>
        <v>Aquatic Habitat</v>
      </c>
      <c r="S104" s="720"/>
      <c r="AN104" s="478"/>
    </row>
    <row r="105" spans="1:40" s="477" customFormat="1" ht="30" customHeight="1">
      <c r="A105" s="893" t="s">
        <v>275</v>
      </c>
      <c r="B105" s="460" t="s">
        <v>276</v>
      </c>
      <c r="C105" s="461" t="str">
        <f t="shared" si="18"/>
        <v>--</v>
      </c>
      <c r="D105" s="468" t="str">
        <f t="shared" si="19"/>
        <v>--</v>
      </c>
      <c r="E105" s="462">
        <f t="shared" si="20"/>
        <v>9.9189668276470293</v>
      </c>
      <c r="F105" s="464">
        <f t="shared" si="21"/>
        <v>33.799999999999997</v>
      </c>
      <c r="G105" s="465">
        <f t="shared" si="22"/>
        <v>544</v>
      </c>
      <c r="H105" s="465" t="str">
        <f t="shared" si="23"/>
        <v>--</v>
      </c>
      <c r="I105" s="479" t="str">
        <f t="shared" si="24"/>
        <v>--</v>
      </c>
      <c r="J105" s="480" t="str">
        <f t="shared" si="25"/>
        <v>--</v>
      </c>
      <c r="K105" s="464" t="str">
        <f t="shared" si="26"/>
        <v>--</v>
      </c>
      <c r="L105" s="480" t="str">
        <f t="shared" si="27"/>
        <v>--</v>
      </c>
      <c r="M105" s="481">
        <f t="shared" si="28"/>
        <v>50000</v>
      </c>
      <c r="N105" s="468" t="str">
        <f t="shared" si="29"/>
        <v>--</v>
      </c>
      <c r="O105" s="463" t="str">
        <f t="shared" si="30"/>
        <v>--</v>
      </c>
      <c r="P105" s="461">
        <f t="shared" si="32"/>
        <v>9.9189668276470293</v>
      </c>
      <c r="Q105" s="469" t="str">
        <f t="shared" si="31"/>
        <v>Tapwater</v>
      </c>
      <c r="S105" s="720"/>
      <c r="AN105" s="478"/>
    </row>
    <row r="106" spans="1:40" s="477" customFormat="1" ht="30" customHeight="1">
      <c r="A106" s="893" t="s">
        <v>277</v>
      </c>
      <c r="B106" s="460" t="s">
        <v>278</v>
      </c>
      <c r="C106" s="461" t="str">
        <f t="shared" si="18"/>
        <v>--</v>
      </c>
      <c r="D106" s="468" t="str">
        <f t="shared" si="19"/>
        <v>--</v>
      </c>
      <c r="E106" s="462" t="str">
        <f t="shared" si="20"/>
        <v>--</v>
      </c>
      <c r="F106" s="464">
        <f t="shared" si="21"/>
        <v>870</v>
      </c>
      <c r="G106" s="465" t="str">
        <f t="shared" si="22"/>
        <v>--</v>
      </c>
      <c r="H106" s="465" t="str">
        <f t="shared" si="23"/>
        <v>--</v>
      </c>
      <c r="I106" s="479" t="str">
        <f t="shared" si="24"/>
        <v>--</v>
      </c>
      <c r="J106" s="480" t="str">
        <f t="shared" si="25"/>
        <v>--</v>
      </c>
      <c r="K106" s="464" t="str">
        <f t="shared" si="26"/>
        <v>--</v>
      </c>
      <c r="L106" s="480" t="str">
        <f t="shared" si="27"/>
        <v>--</v>
      </c>
      <c r="M106" s="481">
        <f t="shared" si="28"/>
        <v>50000</v>
      </c>
      <c r="N106" s="468" t="str">
        <f t="shared" si="29"/>
        <v>--</v>
      </c>
      <c r="O106" s="463" t="str">
        <f t="shared" si="30"/>
        <v>--</v>
      </c>
      <c r="P106" s="461">
        <f t="shared" si="32"/>
        <v>870</v>
      </c>
      <c r="Q106" s="469" t="str">
        <f t="shared" si="31"/>
        <v>Aquatic Habitat</v>
      </c>
      <c r="S106" s="720"/>
      <c r="AN106" s="478"/>
    </row>
    <row r="107" spans="1:40" s="477" customFormat="1" ht="30" customHeight="1">
      <c r="A107" s="893" t="s">
        <v>279</v>
      </c>
      <c r="B107" s="460" t="s">
        <v>280</v>
      </c>
      <c r="C107" s="461">
        <f t="shared" si="18"/>
        <v>4.0000000000000001E-3</v>
      </c>
      <c r="D107" s="468">
        <f t="shared" si="19"/>
        <v>2.6541431534365369E-6</v>
      </c>
      <c r="E107" s="462">
        <f t="shared" si="20"/>
        <v>6.0064085489063045E-4</v>
      </c>
      <c r="F107" s="464">
        <f t="shared" si="21"/>
        <v>47.6</v>
      </c>
      <c r="G107" s="465">
        <f t="shared" si="22"/>
        <v>3.16</v>
      </c>
      <c r="H107" s="465">
        <f t="shared" si="23"/>
        <v>3.5999999999999998E-6</v>
      </c>
      <c r="I107" s="479" t="str">
        <f t="shared" si="24"/>
        <v>--</v>
      </c>
      <c r="J107" s="480" t="str">
        <f t="shared" si="25"/>
        <v>--</v>
      </c>
      <c r="K107" s="464" t="str">
        <f t="shared" si="26"/>
        <v>--</v>
      </c>
      <c r="L107" s="480" t="str">
        <f t="shared" si="27"/>
        <v>--</v>
      </c>
      <c r="M107" s="481">
        <f t="shared" si="28"/>
        <v>50000</v>
      </c>
      <c r="N107" s="468" t="str">
        <f t="shared" si="29"/>
        <v>--</v>
      </c>
      <c r="O107" s="463" t="str">
        <f t="shared" si="30"/>
        <v>--</v>
      </c>
      <c r="P107" s="461">
        <f t="shared" si="32"/>
        <v>3.5999999999999998E-6</v>
      </c>
      <c r="Q107" s="469" t="str">
        <f t="shared" si="31"/>
        <v>Aquatic Habitat</v>
      </c>
      <c r="S107" s="720"/>
      <c r="AN107" s="478"/>
    </row>
    <row r="108" spans="1:40" s="477" customFormat="1" ht="30" customHeight="1">
      <c r="A108" s="894" t="s">
        <v>281</v>
      </c>
      <c r="B108" s="2087" t="s">
        <v>282</v>
      </c>
      <c r="C108" s="703" t="str">
        <f t="shared" si="18"/>
        <v>&lt; 0.01 (HI Calc)</v>
      </c>
      <c r="D108" s="468" t="str">
        <f t="shared" si="19"/>
        <v>--</v>
      </c>
      <c r="E108" s="462">
        <f t="shared" si="20"/>
        <v>5.8910209303611336E-2</v>
      </c>
      <c r="F108" s="464">
        <f t="shared" si="21"/>
        <v>0.11600000000000001</v>
      </c>
      <c r="G108" s="465">
        <f t="shared" si="22"/>
        <v>0.11600000000000001</v>
      </c>
      <c r="H108" s="465" t="str">
        <f t="shared" si="23"/>
        <v>--</v>
      </c>
      <c r="I108" s="479" t="str">
        <f t="shared" si="24"/>
        <v>--</v>
      </c>
      <c r="J108" s="480" t="str">
        <f t="shared" si="25"/>
        <v>--</v>
      </c>
      <c r="K108" s="464" t="str">
        <f t="shared" si="26"/>
        <v>--</v>
      </c>
      <c r="L108" s="480" t="str">
        <f t="shared" si="27"/>
        <v>--</v>
      </c>
      <c r="M108" s="481">
        <f t="shared" si="28"/>
        <v>50000</v>
      </c>
      <c r="N108" s="468" t="str">
        <f t="shared" si="29"/>
        <v>--</v>
      </c>
      <c r="O108" s="463" t="str">
        <f t="shared" si="30"/>
        <v>--</v>
      </c>
      <c r="P108" s="703" t="str">
        <f>C108</f>
        <v>&lt; 0.01 (HI Calc)</v>
      </c>
      <c r="Q108" s="469" t="str">
        <f t="shared" si="31"/>
        <v>MCL</v>
      </c>
      <c r="S108" s="720"/>
      <c r="AN108" s="478"/>
    </row>
    <row r="109" spans="1:40" s="477" customFormat="1" ht="30" customHeight="1">
      <c r="A109" s="893" t="s">
        <v>283</v>
      </c>
      <c r="B109" s="460" t="s">
        <v>284</v>
      </c>
      <c r="C109" s="461" t="str">
        <f t="shared" si="18"/>
        <v>--</v>
      </c>
      <c r="D109" s="468" t="str">
        <f t="shared" si="19"/>
        <v>--</v>
      </c>
      <c r="E109" s="462">
        <f t="shared" si="20"/>
        <v>4.0109890109890117E-5</v>
      </c>
      <c r="F109" s="464">
        <f t="shared" si="21"/>
        <v>9.3700000000000006E-2</v>
      </c>
      <c r="G109" s="465">
        <f t="shared" si="22"/>
        <v>9.3700000000000006E-2</v>
      </c>
      <c r="H109" s="465" t="str">
        <f t="shared" si="23"/>
        <v>--</v>
      </c>
      <c r="I109" s="479" t="str">
        <f t="shared" si="24"/>
        <v>--</v>
      </c>
      <c r="J109" s="480" t="str">
        <f t="shared" si="25"/>
        <v>--</v>
      </c>
      <c r="K109" s="464" t="str">
        <f t="shared" si="26"/>
        <v>--</v>
      </c>
      <c r="L109" s="480" t="str">
        <f t="shared" si="27"/>
        <v>--</v>
      </c>
      <c r="M109" s="481">
        <f t="shared" si="28"/>
        <v>50000</v>
      </c>
      <c r="N109" s="468" t="str">
        <f t="shared" si="29"/>
        <v>--</v>
      </c>
      <c r="O109" s="463" t="str">
        <f t="shared" si="30"/>
        <v>--</v>
      </c>
      <c r="P109" s="461">
        <f t="shared" si="32"/>
        <v>4.0109890109890117E-5</v>
      </c>
      <c r="Q109" s="469" t="str">
        <f t="shared" si="31"/>
        <v>Tapwater</v>
      </c>
      <c r="S109" s="720"/>
      <c r="AN109" s="478"/>
    </row>
    <row r="110" spans="1:40" s="477" customFormat="1" ht="30" customHeight="1">
      <c r="A110" s="893" t="s">
        <v>285</v>
      </c>
      <c r="B110" s="460" t="s">
        <v>286</v>
      </c>
      <c r="C110" s="461" t="str">
        <f t="shared" si="18"/>
        <v>--</v>
      </c>
      <c r="D110" s="468" t="str">
        <f t="shared" si="19"/>
        <v>--</v>
      </c>
      <c r="E110" s="462">
        <f t="shared" si="20"/>
        <v>6.0164835164835164</v>
      </c>
      <c r="F110" s="464">
        <f t="shared" si="21"/>
        <v>49</v>
      </c>
      <c r="G110" s="465" t="str">
        <f t="shared" si="22"/>
        <v>--</v>
      </c>
      <c r="H110" s="465" t="str">
        <f t="shared" si="23"/>
        <v>--</v>
      </c>
      <c r="I110" s="479" t="str">
        <f t="shared" si="24"/>
        <v>--</v>
      </c>
      <c r="J110" s="480" t="str">
        <f t="shared" si="25"/>
        <v>--</v>
      </c>
      <c r="K110" s="464" t="str">
        <f t="shared" si="26"/>
        <v>--</v>
      </c>
      <c r="L110" s="480" t="str">
        <f t="shared" si="27"/>
        <v>--</v>
      </c>
      <c r="M110" s="481">
        <f t="shared" si="28"/>
        <v>45950</v>
      </c>
      <c r="N110" s="468" t="str">
        <f t="shared" si="29"/>
        <v>--</v>
      </c>
      <c r="O110" s="463" t="str">
        <f t="shared" si="30"/>
        <v>--</v>
      </c>
      <c r="P110" s="461">
        <f t="shared" si="32"/>
        <v>6.0164835164835164</v>
      </c>
      <c r="Q110" s="469" t="str">
        <f t="shared" si="31"/>
        <v>Tapwater</v>
      </c>
      <c r="S110" s="720"/>
      <c r="AN110" s="478"/>
    </row>
    <row r="111" spans="1:40" s="477" customFormat="1" ht="30" customHeight="1">
      <c r="A111" s="893" t="s">
        <v>287</v>
      </c>
      <c r="B111" s="460" t="s">
        <v>288</v>
      </c>
      <c r="C111" s="461" t="str">
        <f t="shared" si="18"/>
        <v>--</v>
      </c>
      <c r="D111" s="468" t="str">
        <f t="shared" si="19"/>
        <v>--</v>
      </c>
      <c r="E111" s="462">
        <f t="shared" si="20"/>
        <v>1.0027472527472527</v>
      </c>
      <c r="F111" s="464">
        <f t="shared" si="21"/>
        <v>72</v>
      </c>
      <c r="G111" s="465" t="str">
        <f t="shared" si="22"/>
        <v>--</v>
      </c>
      <c r="H111" s="465" t="str">
        <f t="shared" si="23"/>
        <v>--</v>
      </c>
      <c r="I111" s="479" t="str">
        <f t="shared" si="24"/>
        <v>--</v>
      </c>
      <c r="J111" s="480" t="str">
        <f t="shared" si="25"/>
        <v>--</v>
      </c>
      <c r="K111" s="464" t="str">
        <f t="shared" si="26"/>
        <v>--</v>
      </c>
      <c r="L111" s="480" t="str">
        <f t="shared" si="27"/>
        <v>--</v>
      </c>
      <c r="M111" s="481">
        <f t="shared" si="28"/>
        <v>41450</v>
      </c>
      <c r="N111" s="468" t="str">
        <f t="shared" si="29"/>
        <v>--</v>
      </c>
      <c r="O111" s="463" t="str">
        <f t="shared" si="30"/>
        <v>--</v>
      </c>
      <c r="P111" s="461">
        <f t="shared" si="32"/>
        <v>1.0027472527472527</v>
      </c>
      <c r="Q111" s="469" t="str">
        <f t="shared" si="31"/>
        <v>Tapwater</v>
      </c>
      <c r="S111" s="720"/>
      <c r="AN111" s="478"/>
    </row>
    <row r="112" spans="1:40" s="477" customFormat="1" ht="30" customHeight="1">
      <c r="A112" s="893" t="s">
        <v>289</v>
      </c>
      <c r="B112" s="460" t="s">
        <v>290</v>
      </c>
      <c r="C112" s="461" t="str">
        <f t="shared" si="18"/>
        <v>--</v>
      </c>
      <c r="D112" s="468" t="str">
        <f t="shared" si="19"/>
        <v>--</v>
      </c>
      <c r="E112" s="462">
        <f t="shared" si="20"/>
        <v>20.054945054945055</v>
      </c>
      <c r="F112" s="464" t="str">
        <f t="shared" si="21"/>
        <v>--</v>
      </c>
      <c r="G112" s="465" t="str">
        <f t="shared" si="22"/>
        <v>--</v>
      </c>
      <c r="H112" s="465" t="str">
        <f t="shared" si="23"/>
        <v>--</v>
      </c>
      <c r="I112" s="479" t="str">
        <f t="shared" si="24"/>
        <v>--</v>
      </c>
      <c r="J112" s="480" t="str">
        <f t="shared" si="25"/>
        <v>--</v>
      </c>
      <c r="K112" s="464" t="str">
        <f t="shared" si="26"/>
        <v>--</v>
      </c>
      <c r="L112" s="480" t="str">
        <f t="shared" si="27"/>
        <v>--</v>
      </c>
      <c r="M112" s="481">
        <f t="shared" si="28"/>
        <v>148</v>
      </c>
      <c r="N112" s="468" t="str">
        <f t="shared" si="29"/>
        <v>--</v>
      </c>
      <c r="O112" s="463" t="str">
        <f t="shared" si="30"/>
        <v>--</v>
      </c>
      <c r="P112" s="461">
        <f t="shared" si="32"/>
        <v>20.054945054945055</v>
      </c>
      <c r="Q112" s="469" t="str">
        <f t="shared" si="31"/>
        <v>Tapwater</v>
      </c>
      <c r="S112" s="720"/>
      <c r="AN112" s="478"/>
    </row>
    <row r="113" spans="1:40" s="477" customFormat="1" ht="30" customHeight="1">
      <c r="A113" s="893" t="s">
        <v>291</v>
      </c>
      <c r="B113" s="460" t="s">
        <v>292</v>
      </c>
      <c r="C113" s="461" t="str">
        <f t="shared" si="18"/>
        <v>--</v>
      </c>
      <c r="D113" s="468" t="str">
        <f t="shared" si="19"/>
        <v>--</v>
      </c>
      <c r="E113" s="462">
        <f t="shared" si="20"/>
        <v>802.19780219780216</v>
      </c>
      <c r="F113" s="464" t="str">
        <f t="shared" si="21"/>
        <v>--</v>
      </c>
      <c r="G113" s="465" t="str">
        <f t="shared" si="22"/>
        <v>--</v>
      </c>
      <c r="H113" s="465" t="str">
        <f t="shared" si="23"/>
        <v>--</v>
      </c>
      <c r="I113" s="479" t="str">
        <f t="shared" si="24"/>
        <v>--</v>
      </c>
      <c r="J113" s="480" t="str">
        <f t="shared" si="25"/>
        <v>--</v>
      </c>
      <c r="K113" s="464" t="str">
        <f t="shared" si="26"/>
        <v>--</v>
      </c>
      <c r="L113" s="480" t="str">
        <f t="shared" si="27"/>
        <v>--</v>
      </c>
      <c r="M113" s="481">
        <f t="shared" si="28"/>
        <v>2.35</v>
      </c>
      <c r="N113" s="468" t="str">
        <f t="shared" si="29"/>
        <v>--</v>
      </c>
      <c r="O113" s="463" t="str">
        <f t="shared" si="30"/>
        <v>--</v>
      </c>
      <c r="P113" s="461">
        <f t="shared" si="32"/>
        <v>2.35</v>
      </c>
      <c r="Q113" s="469" t="str">
        <f t="shared" si="31"/>
        <v>Gross Contam</v>
      </c>
      <c r="S113" s="720"/>
      <c r="AN113" s="478"/>
    </row>
    <row r="114" spans="1:40" s="477" customFormat="1" ht="30" customHeight="1">
      <c r="A114" s="894" t="s">
        <v>293</v>
      </c>
      <c r="B114" s="2087" t="s">
        <v>294</v>
      </c>
      <c r="C114" s="703" t="str">
        <f t="shared" si="18"/>
        <v>&lt; 2.0 (HI Calc)</v>
      </c>
      <c r="D114" s="468" t="str">
        <f t="shared" si="19"/>
        <v>--</v>
      </c>
      <c r="E114" s="462">
        <f t="shared" si="20"/>
        <v>0.5</v>
      </c>
      <c r="F114" s="464">
        <f t="shared" si="21"/>
        <v>209</v>
      </c>
      <c r="G114" s="465">
        <f t="shared" si="22"/>
        <v>209</v>
      </c>
      <c r="H114" s="465">
        <f t="shared" si="23"/>
        <v>0.5</v>
      </c>
      <c r="I114" s="479" t="str">
        <f t="shared" si="24"/>
        <v>--</v>
      </c>
      <c r="J114" s="480" t="str">
        <f t="shared" si="25"/>
        <v>--</v>
      </c>
      <c r="K114" s="464" t="str">
        <f t="shared" si="26"/>
        <v>--</v>
      </c>
      <c r="L114" s="480" t="str">
        <f t="shared" si="27"/>
        <v>--</v>
      </c>
      <c r="M114" s="481">
        <f t="shared" si="28"/>
        <v>50000</v>
      </c>
      <c r="N114" s="468" t="str">
        <f t="shared" si="29"/>
        <v>--</v>
      </c>
      <c r="O114" s="463" t="str">
        <f t="shared" si="30"/>
        <v>--</v>
      </c>
      <c r="P114" s="461">
        <f t="shared" si="32"/>
        <v>0.5</v>
      </c>
      <c r="Q114" s="469" t="str">
        <f t="shared" si="31"/>
        <v>Aquatic Habitat</v>
      </c>
      <c r="S114" s="720"/>
      <c r="AN114" s="478"/>
    </row>
    <row r="115" spans="1:40" s="477" customFormat="1" ht="30" customHeight="1">
      <c r="A115" s="894" t="s">
        <v>295</v>
      </c>
      <c r="B115" s="2087" t="s">
        <v>296</v>
      </c>
      <c r="C115" s="703" t="str">
        <f t="shared" si="18"/>
        <v>&lt; 0.01 (HI Calc)</v>
      </c>
      <c r="D115" s="468" t="str">
        <f t="shared" si="19"/>
        <v>--</v>
      </c>
      <c r="E115" s="462">
        <f t="shared" si="20"/>
        <v>3.0000000000000001E-3</v>
      </c>
      <c r="F115" s="464">
        <f t="shared" si="21"/>
        <v>14.1</v>
      </c>
      <c r="G115" s="465">
        <f t="shared" si="22"/>
        <v>14.1</v>
      </c>
      <c r="H115" s="465" t="str">
        <f t="shared" si="23"/>
        <v>--</v>
      </c>
      <c r="I115" s="479" t="str">
        <f t="shared" si="24"/>
        <v>--</v>
      </c>
      <c r="J115" s="480" t="str">
        <f t="shared" si="25"/>
        <v>--</v>
      </c>
      <c r="K115" s="464" t="str">
        <f t="shared" si="26"/>
        <v>--</v>
      </c>
      <c r="L115" s="480" t="str">
        <f t="shared" si="27"/>
        <v>--</v>
      </c>
      <c r="M115" s="481">
        <f t="shared" si="28"/>
        <v>50000</v>
      </c>
      <c r="N115" s="468" t="str">
        <f t="shared" si="29"/>
        <v>--</v>
      </c>
      <c r="O115" s="463" t="str">
        <f t="shared" si="30"/>
        <v>--</v>
      </c>
      <c r="P115" s="703" t="str">
        <f>C115</f>
        <v>&lt; 0.01 (HI Calc)</v>
      </c>
      <c r="Q115" s="469" t="str">
        <f t="shared" si="31"/>
        <v>MCL</v>
      </c>
      <c r="S115" s="720"/>
      <c r="AN115" s="478"/>
    </row>
    <row r="116" spans="1:40" s="477" customFormat="1" ht="30" customHeight="1">
      <c r="A116" s="893" t="s">
        <v>297</v>
      </c>
      <c r="B116" s="460" t="s">
        <v>298</v>
      </c>
      <c r="C116" s="461">
        <f t="shared" si="18"/>
        <v>4.0000000000000001E-3</v>
      </c>
      <c r="D116" s="468">
        <f t="shared" si="19"/>
        <v>1E-3</v>
      </c>
      <c r="E116" s="462">
        <f t="shared" si="20"/>
        <v>2.0054945054945057E-3</v>
      </c>
      <c r="F116" s="464">
        <f t="shared" si="21"/>
        <v>1.67E-2</v>
      </c>
      <c r="G116" s="465">
        <f t="shared" si="22"/>
        <v>1.67E-2</v>
      </c>
      <c r="H116" s="465">
        <f t="shared" si="23"/>
        <v>6.9999999999999994E-5</v>
      </c>
      <c r="I116" s="479" t="str">
        <f t="shared" si="24"/>
        <v>--</v>
      </c>
      <c r="J116" s="480" t="str">
        <f t="shared" si="25"/>
        <v>--</v>
      </c>
      <c r="K116" s="464" t="str">
        <f t="shared" si="26"/>
        <v>--</v>
      </c>
      <c r="L116" s="480" t="str">
        <f t="shared" si="27"/>
        <v>--</v>
      </c>
      <c r="M116" s="481">
        <f t="shared" si="28"/>
        <v>50000</v>
      </c>
      <c r="N116" s="468" t="str">
        <f t="shared" si="29"/>
        <v>--</v>
      </c>
      <c r="O116" s="463" t="str">
        <f t="shared" si="30"/>
        <v>--</v>
      </c>
      <c r="P116" s="461">
        <f t="shared" si="32"/>
        <v>6.9999999999999994E-5</v>
      </c>
      <c r="Q116" s="469" t="str">
        <f t="shared" si="31"/>
        <v>Aquatic Habitat</v>
      </c>
      <c r="S116" s="720"/>
      <c r="AN116" s="478"/>
    </row>
    <row r="117" spans="1:40" s="477" customFormat="1" ht="30" customHeight="1">
      <c r="A117" s="894" t="s">
        <v>299</v>
      </c>
      <c r="B117" s="2087" t="s">
        <v>300</v>
      </c>
      <c r="C117" s="703" t="str">
        <f t="shared" si="18"/>
        <v>&lt; 0.01 (HI Calc)</v>
      </c>
      <c r="D117" s="468" t="str">
        <f t="shared" si="19"/>
        <v>--</v>
      </c>
      <c r="E117" s="462">
        <f t="shared" si="20"/>
        <v>1.4565820195734285E-2</v>
      </c>
      <c r="F117" s="464" t="str">
        <f t="shared" si="21"/>
        <v>--</v>
      </c>
      <c r="G117" s="465" t="str">
        <f t="shared" si="22"/>
        <v>--</v>
      </c>
      <c r="H117" s="465" t="str">
        <f t="shared" si="23"/>
        <v>--</v>
      </c>
      <c r="I117" s="479" t="str">
        <f t="shared" si="24"/>
        <v>--</v>
      </c>
      <c r="J117" s="480" t="str">
        <f t="shared" si="25"/>
        <v>--</v>
      </c>
      <c r="K117" s="464" t="str">
        <f t="shared" si="26"/>
        <v>--</v>
      </c>
      <c r="L117" s="480" t="str">
        <f t="shared" si="27"/>
        <v>--</v>
      </c>
      <c r="M117" s="481">
        <f t="shared" si="28"/>
        <v>50000</v>
      </c>
      <c r="N117" s="468" t="str">
        <f t="shared" si="29"/>
        <v>--</v>
      </c>
      <c r="O117" s="463" t="str">
        <f t="shared" si="30"/>
        <v>--</v>
      </c>
      <c r="P117" s="703" t="str">
        <f>C117</f>
        <v>&lt; 0.01 (HI Calc)</v>
      </c>
      <c r="Q117" s="469" t="str">
        <f t="shared" si="31"/>
        <v>MCL</v>
      </c>
      <c r="S117" s="720"/>
      <c r="AN117" s="478"/>
    </row>
    <row r="118" spans="1:40" s="477" customFormat="1" ht="30" customHeight="1">
      <c r="A118" s="893" t="s">
        <v>301</v>
      </c>
      <c r="B118" s="460" t="s">
        <v>302</v>
      </c>
      <c r="C118" s="461" t="str">
        <f t="shared" si="18"/>
        <v>--</v>
      </c>
      <c r="D118" s="468" t="str">
        <f t="shared" si="19"/>
        <v>--</v>
      </c>
      <c r="E118" s="462">
        <f t="shared" si="20"/>
        <v>600</v>
      </c>
      <c r="F118" s="464">
        <f t="shared" si="21"/>
        <v>1280</v>
      </c>
      <c r="G118" s="465">
        <f t="shared" si="22"/>
        <v>30</v>
      </c>
      <c r="H118" s="465">
        <f t="shared" si="23"/>
        <v>300000</v>
      </c>
      <c r="I118" s="479" t="str">
        <f t="shared" si="24"/>
        <v>--</v>
      </c>
      <c r="J118" s="480" t="str">
        <f t="shared" si="25"/>
        <v>--</v>
      </c>
      <c r="K118" s="464" t="str">
        <f t="shared" si="26"/>
        <v>--</v>
      </c>
      <c r="L118" s="480" t="str">
        <f t="shared" si="27"/>
        <v>--</v>
      </c>
      <c r="M118" s="481">
        <f t="shared" si="28"/>
        <v>50000</v>
      </c>
      <c r="N118" s="468">
        <f t="shared" si="29"/>
        <v>300</v>
      </c>
      <c r="O118" s="463">
        <f t="shared" si="30"/>
        <v>79000</v>
      </c>
      <c r="P118" s="461">
        <f t="shared" si="32"/>
        <v>30</v>
      </c>
      <c r="Q118" s="469" t="str">
        <f t="shared" si="31"/>
        <v>Aquatic Habitat</v>
      </c>
      <c r="S118" s="720"/>
      <c r="AN118" s="478"/>
    </row>
    <row r="119" spans="1:40" s="477" customFormat="1" ht="30" customHeight="1">
      <c r="A119" s="893" t="s">
        <v>303</v>
      </c>
      <c r="B119" s="460" t="s">
        <v>304</v>
      </c>
      <c r="C119" s="461">
        <f t="shared" si="18"/>
        <v>0.5</v>
      </c>
      <c r="D119" s="468">
        <f t="shared" si="19"/>
        <v>7.8629900904782432E-3</v>
      </c>
      <c r="E119" s="462" t="str">
        <f t="shared" si="20"/>
        <v>--</v>
      </c>
      <c r="F119" s="464">
        <f t="shared" si="21"/>
        <v>1.4E-2</v>
      </c>
      <c r="G119" s="465">
        <f t="shared" si="22"/>
        <v>0.03</v>
      </c>
      <c r="H119" s="465">
        <f t="shared" si="23"/>
        <v>1.9000000000000001E-5</v>
      </c>
      <c r="I119" s="479">
        <f t="shared" si="24"/>
        <v>0.29032404923330402</v>
      </c>
      <c r="J119" s="480" t="str">
        <f t="shared" si="25"/>
        <v>--</v>
      </c>
      <c r="K119" s="464">
        <f t="shared" si="26"/>
        <v>1.2681354470510715</v>
      </c>
      <c r="L119" s="480" t="str">
        <f t="shared" si="27"/>
        <v>--</v>
      </c>
      <c r="M119" s="481">
        <f t="shared" si="28"/>
        <v>350</v>
      </c>
      <c r="N119" s="468" t="str">
        <f t="shared" si="29"/>
        <v>--</v>
      </c>
      <c r="O119" s="463" t="str">
        <f t="shared" si="30"/>
        <v>--</v>
      </c>
      <c r="P119" s="461">
        <f t="shared" si="32"/>
        <v>1.9000000000000001E-5</v>
      </c>
      <c r="Q119" s="469" t="str">
        <f t="shared" si="31"/>
        <v>Aquatic Habitat</v>
      </c>
      <c r="S119" s="720"/>
      <c r="AN119" s="478"/>
    </row>
    <row r="120" spans="1:40" s="477" customFormat="1" ht="30" customHeight="1">
      <c r="A120" s="893" t="s">
        <v>305</v>
      </c>
      <c r="B120" s="460" t="s">
        <v>306</v>
      </c>
      <c r="C120" s="461">
        <f t="shared" si="18"/>
        <v>50</v>
      </c>
      <c r="D120" s="468" t="str">
        <f t="shared" si="19"/>
        <v>--</v>
      </c>
      <c r="E120" s="462">
        <f t="shared" si="20"/>
        <v>30</v>
      </c>
      <c r="F120" s="464">
        <f t="shared" si="21"/>
        <v>5</v>
      </c>
      <c r="G120" s="465">
        <f t="shared" si="22"/>
        <v>0.5</v>
      </c>
      <c r="H120" s="465">
        <f t="shared" si="23"/>
        <v>4200</v>
      </c>
      <c r="I120" s="479" t="str">
        <f t="shared" si="24"/>
        <v>--</v>
      </c>
      <c r="J120" s="480" t="str">
        <f t="shared" si="25"/>
        <v>--</v>
      </c>
      <c r="K120" s="464" t="str">
        <f t="shared" si="26"/>
        <v>--</v>
      </c>
      <c r="L120" s="480" t="str">
        <f t="shared" si="27"/>
        <v>--</v>
      </c>
      <c r="M120" s="481">
        <f t="shared" si="28"/>
        <v>50000</v>
      </c>
      <c r="N120" s="468" t="str">
        <f t="shared" si="29"/>
        <v>--</v>
      </c>
      <c r="O120" s="463" t="str">
        <f t="shared" si="30"/>
        <v>--</v>
      </c>
      <c r="P120" s="461">
        <f t="shared" si="32"/>
        <v>0.5</v>
      </c>
      <c r="Q120" s="469" t="str">
        <f t="shared" si="31"/>
        <v>Aquatic Habitat</v>
      </c>
      <c r="S120" s="720"/>
      <c r="AN120" s="478"/>
    </row>
    <row r="121" spans="1:40" s="477" customFormat="1" ht="30" customHeight="1">
      <c r="A121" s="893" t="s">
        <v>307</v>
      </c>
      <c r="B121" s="460" t="s">
        <v>308</v>
      </c>
      <c r="C121" s="461">
        <f t="shared" si="18"/>
        <v>100</v>
      </c>
      <c r="D121" s="468" t="str">
        <f t="shared" si="19"/>
        <v>--</v>
      </c>
      <c r="E121" s="462">
        <f t="shared" si="20"/>
        <v>94.057692669452663</v>
      </c>
      <c r="F121" s="464">
        <f t="shared" si="21"/>
        <v>3.4</v>
      </c>
      <c r="G121" s="465">
        <f t="shared" si="22"/>
        <v>0.7</v>
      </c>
      <c r="H121" s="465" t="str">
        <f t="shared" si="23"/>
        <v>--</v>
      </c>
      <c r="I121" s="479" t="str">
        <f t="shared" si="24"/>
        <v>--</v>
      </c>
      <c r="J121" s="480" t="str">
        <f t="shared" si="25"/>
        <v>--</v>
      </c>
      <c r="K121" s="464" t="str">
        <f t="shared" si="26"/>
        <v>--</v>
      </c>
      <c r="L121" s="480" t="str">
        <f t="shared" si="27"/>
        <v>--</v>
      </c>
      <c r="M121" s="481">
        <f t="shared" si="28"/>
        <v>50000</v>
      </c>
      <c r="N121" s="468">
        <f t="shared" si="29"/>
        <v>100</v>
      </c>
      <c r="O121" s="463" t="str">
        <f t="shared" si="30"/>
        <v>--</v>
      </c>
      <c r="P121" s="461">
        <f t="shared" si="32"/>
        <v>0.7</v>
      </c>
      <c r="Q121" s="469" t="str">
        <f t="shared" si="31"/>
        <v>Aquatic Habitat</v>
      </c>
      <c r="S121" s="720"/>
      <c r="AN121" s="478"/>
    </row>
    <row r="122" spans="1:40" s="477" customFormat="1" ht="30" customHeight="1">
      <c r="A122" s="893" t="s">
        <v>309</v>
      </c>
      <c r="B122" s="460" t="s">
        <v>310</v>
      </c>
      <c r="C122" s="461">
        <f t="shared" si="18"/>
        <v>100</v>
      </c>
      <c r="D122" s="468">
        <f t="shared" si="19"/>
        <v>0.5</v>
      </c>
      <c r="E122" s="462">
        <f t="shared" si="20"/>
        <v>1136.8822806185897</v>
      </c>
      <c r="F122" s="464" t="str">
        <f t="shared" si="21"/>
        <v>--</v>
      </c>
      <c r="G122" s="465" t="str">
        <f t="shared" si="22"/>
        <v>--</v>
      </c>
      <c r="H122" s="465" t="str">
        <f t="shared" si="23"/>
        <v>--</v>
      </c>
      <c r="I122" s="479" t="str">
        <f t="shared" si="24"/>
        <v>--</v>
      </c>
      <c r="J122" s="480">
        <f t="shared" si="25"/>
        <v>8348.16623376604</v>
      </c>
      <c r="K122" s="464" t="str">
        <f t="shared" si="26"/>
        <v>--</v>
      </c>
      <c r="L122" s="480">
        <f t="shared" si="27"/>
        <v>35062.298181817365</v>
      </c>
      <c r="M122" s="481">
        <f t="shared" si="28"/>
        <v>50000</v>
      </c>
      <c r="N122" s="468">
        <f t="shared" si="29"/>
        <v>10</v>
      </c>
      <c r="O122" s="463">
        <f t="shared" si="30"/>
        <v>110</v>
      </c>
      <c r="P122" s="461">
        <f t="shared" si="32"/>
        <v>10</v>
      </c>
      <c r="Q122" s="469" t="str">
        <f t="shared" si="31"/>
        <v>Odor/Nuis</v>
      </c>
      <c r="S122" s="720"/>
      <c r="AN122" s="478"/>
    </row>
    <row r="123" spans="1:40" s="477" customFormat="1" ht="30" customHeight="1">
      <c r="A123" s="893" t="s">
        <v>311</v>
      </c>
      <c r="B123" s="460" t="s">
        <v>312</v>
      </c>
      <c r="C123" s="461" t="str">
        <f t="shared" si="18"/>
        <v>--</v>
      </c>
      <c r="D123" s="468">
        <f t="shared" si="19"/>
        <v>12</v>
      </c>
      <c r="E123" s="462">
        <f t="shared" si="20"/>
        <v>4511.3965413644892</v>
      </c>
      <c r="F123" s="464">
        <f t="shared" si="21"/>
        <v>18000</v>
      </c>
      <c r="G123" s="465" t="str">
        <f t="shared" si="22"/>
        <v>--</v>
      </c>
      <c r="H123" s="465" t="str">
        <f t="shared" si="23"/>
        <v>--</v>
      </c>
      <c r="I123" s="479" t="str">
        <f t="shared" si="24"/>
        <v>--</v>
      </c>
      <c r="J123" s="480">
        <f t="shared" si="25"/>
        <v>14092975.532568602</v>
      </c>
      <c r="K123" s="464" t="str">
        <f t="shared" si="26"/>
        <v>--</v>
      </c>
      <c r="L123" s="480">
        <f t="shared" si="27"/>
        <v>59190497.236788124</v>
      </c>
      <c r="M123" s="481">
        <f t="shared" si="28"/>
        <v>50000</v>
      </c>
      <c r="N123" s="468" t="str">
        <f t="shared" si="29"/>
        <v>--</v>
      </c>
      <c r="O123" s="463" t="str">
        <f t="shared" si="30"/>
        <v>--</v>
      </c>
      <c r="P123" s="461">
        <f t="shared" si="32"/>
        <v>12</v>
      </c>
      <c r="Q123" s="469" t="str">
        <f t="shared" si="31"/>
        <v>Tapwater</v>
      </c>
      <c r="S123" s="720"/>
      <c r="AN123" s="478"/>
    </row>
    <row r="124" spans="1:40" s="477" customFormat="1" ht="30" customHeight="1">
      <c r="A124" s="893" t="s">
        <v>313</v>
      </c>
      <c r="B124" s="460" t="s">
        <v>314</v>
      </c>
      <c r="C124" s="461" t="str">
        <f t="shared" si="18"/>
        <v>--</v>
      </c>
      <c r="D124" s="468">
        <f t="shared" si="19"/>
        <v>0.57371019912170784</v>
      </c>
      <c r="E124" s="462">
        <f t="shared" si="20"/>
        <v>480.47577012948005</v>
      </c>
      <c r="F124" s="464">
        <f t="shared" si="21"/>
        <v>932</v>
      </c>
      <c r="G124" s="465" t="str">
        <f t="shared" si="22"/>
        <v>--</v>
      </c>
      <c r="H124" s="465" t="str">
        <f t="shared" si="23"/>
        <v>--</v>
      </c>
      <c r="I124" s="479">
        <f t="shared" si="24"/>
        <v>3.7122245322244787</v>
      </c>
      <c r="J124" s="480" t="str">
        <f t="shared" si="25"/>
        <v>--</v>
      </c>
      <c r="K124" s="464">
        <f t="shared" si="26"/>
        <v>16.21499675675652</v>
      </c>
      <c r="L124" s="480" t="str">
        <f t="shared" si="27"/>
        <v>--</v>
      </c>
      <c r="M124" s="481">
        <f t="shared" si="28"/>
        <v>50000</v>
      </c>
      <c r="N124" s="468" t="str">
        <f t="shared" si="29"/>
        <v>--</v>
      </c>
      <c r="O124" s="463" t="str">
        <f t="shared" si="30"/>
        <v>--</v>
      </c>
      <c r="P124" s="461">
        <f t="shared" si="32"/>
        <v>0.57371019912170784</v>
      </c>
      <c r="Q124" s="469" t="str">
        <f t="shared" si="31"/>
        <v>Tapwater</v>
      </c>
      <c r="S124" s="720"/>
      <c r="AN124" s="478"/>
    </row>
    <row r="125" spans="1:40" s="477" customFormat="1" ht="30" customHeight="1">
      <c r="A125" s="893" t="s">
        <v>315</v>
      </c>
      <c r="B125" s="460" t="s">
        <v>316</v>
      </c>
      <c r="C125" s="461">
        <f t="shared" si="18"/>
        <v>1</v>
      </c>
      <c r="D125" s="468">
        <f t="shared" si="19"/>
        <v>7.5739650120297694E-2</v>
      </c>
      <c r="E125" s="462">
        <f t="shared" si="20"/>
        <v>361.32540946494953</v>
      </c>
      <c r="F125" s="464">
        <f t="shared" si="21"/>
        <v>420</v>
      </c>
      <c r="G125" s="465">
        <f t="shared" si="22"/>
        <v>902</v>
      </c>
      <c r="H125" s="465">
        <f t="shared" si="23"/>
        <v>2.2999999999999998</v>
      </c>
      <c r="I125" s="479">
        <f t="shared" si="24"/>
        <v>3.2263531826626481</v>
      </c>
      <c r="J125" s="480" t="str">
        <f t="shared" si="25"/>
        <v>--</v>
      </c>
      <c r="K125" s="464">
        <f t="shared" si="26"/>
        <v>14.092710701870446</v>
      </c>
      <c r="L125" s="480" t="str">
        <f t="shared" si="27"/>
        <v>--</v>
      </c>
      <c r="M125" s="481">
        <f t="shared" si="28"/>
        <v>50000</v>
      </c>
      <c r="N125" s="468">
        <f t="shared" si="29"/>
        <v>500</v>
      </c>
      <c r="O125" s="463">
        <f t="shared" si="30"/>
        <v>5000</v>
      </c>
      <c r="P125" s="461">
        <f t="shared" si="32"/>
        <v>1</v>
      </c>
      <c r="Q125" s="469" t="str">
        <f t="shared" si="31"/>
        <v>MCL</v>
      </c>
      <c r="S125" s="720"/>
      <c r="AN125" s="478"/>
    </row>
    <row r="126" spans="1:40" s="477" customFormat="1" ht="30" customHeight="1">
      <c r="A126" s="893" t="s">
        <v>317</v>
      </c>
      <c r="B126" s="460" t="s">
        <v>318</v>
      </c>
      <c r="C126" s="461">
        <f t="shared" si="18"/>
        <v>5</v>
      </c>
      <c r="D126" s="468">
        <f t="shared" si="19"/>
        <v>0.06</v>
      </c>
      <c r="E126" s="462">
        <f t="shared" si="20"/>
        <v>40.580395361445987</v>
      </c>
      <c r="F126" s="464">
        <f t="shared" si="21"/>
        <v>120</v>
      </c>
      <c r="G126" s="465">
        <f t="shared" si="22"/>
        <v>225</v>
      </c>
      <c r="H126" s="465">
        <f t="shared" si="23"/>
        <v>2</v>
      </c>
      <c r="I126" s="479">
        <f t="shared" si="24"/>
        <v>0.63606699866771998</v>
      </c>
      <c r="J126" s="480">
        <f t="shared" si="25"/>
        <v>57.645843422114531</v>
      </c>
      <c r="K126" s="464">
        <f t="shared" si="26"/>
        <v>2.7783406501806009</v>
      </c>
      <c r="L126" s="480">
        <f t="shared" si="27"/>
        <v>242.11254237288099</v>
      </c>
      <c r="M126" s="481">
        <f t="shared" si="28"/>
        <v>50000</v>
      </c>
      <c r="N126" s="468">
        <f t="shared" si="29"/>
        <v>170</v>
      </c>
      <c r="O126" s="463">
        <f t="shared" si="30"/>
        <v>3000</v>
      </c>
      <c r="P126" s="461">
        <f t="shared" si="32"/>
        <v>0.63606699866771998</v>
      </c>
      <c r="Q126" s="469" t="str">
        <f t="shared" si="31"/>
        <v>Vapor Intrusion</v>
      </c>
      <c r="S126" s="720"/>
      <c r="AN126" s="478"/>
    </row>
    <row r="127" spans="1:40" s="477" customFormat="1" ht="30" customHeight="1">
      <c r="A127" s="893" t="s">
        <v>319</v>
      </c>
      <c r="B127" s="460" t="s">
        <v>320</v>
      </c>
      <c r="C127" s="461">
        <f t="shared" si="18"/>
        <v>2</v>
      </c>
      <c r="D127" s="468" t="str">
        <f t="shared" si="19"/>
        <v>--</v>
      </c>
      <c r="E127" s="462">
        <f t="shared" si="20"/>
        <v>0.1</v>
      </c>
      <c r="F127" s="464">
        <f t="shared" si="21"/>
        <v>20</v>
      </c>
      <c r="G127" s="465">
        <f t="shared" si="22"/>
        <v>213</v>
      </c>
      <c r="H127" s="465">
        <f t="shared" si="23"/>
        <v>0.47</v>
      </c>
      <c r="I127" s="479" t="str">
        <f t="shared" si="24"/>
        <v>--</v>
      </c>
      <c r="J127" s="480" t="str">
        <f t="shared" si="25"/>
        <v>--</v>
      </c>
      <c r="K127" s="464" t="str">
        <f t="shared" si="26"/>
        <v>--</v>
      </c>
      <c r="L127" s="480" t="str">
        <f t="shared" si="27"/>
        <v>--</v>
      </c>
      <c r="M127" s="481">
        <f t="shared" si="28"/>
        <v>50000</v>
      </c>
      <c r="N127" s="468" t="str">
        <f t="shared" si="29"/>
        <v>--</v>
      </c>
      <c r="O127" s="463" t="str">
        <f t="shared" si="30"/>
        <v>--</v>
      </c>
      <c r="P127" s="461">
        <f t="shared" si="32"/>
        <v>0.47</v>
      </c>
      <c r="Q127" s="469" t="str">
        <f t="shared" si="31"/>
        <v>Aquatic Habitat</v>
      </c>
      <c r="S127" s="720"/>
      <c r="AN127" s="478"/>
    </row>
    <row r="128" spans="1:40" s="477" customFormat="1" ht="30" customHeight="1">
      <c r="A128" s="893" t="s">
        <v>321</v>
      </c>
      <c r="B128" s="460" t="s">
        <v>322</v>
      </c>
      <c r="C128" s="461">
        <f t="shared" si="18"/>
        <v>150</v>
      </c>
      <c r="D128" s="468" t="str">
        <f t="shared" si="19"/>
        <v>--</v>
      </c>
      <c r="E128" s="462">
        <f t="shared" si="20"/>
        <v>150</v>
      </c>
      <c r="F128" s="464">
        <f t="shared" si="21"/>
        <v>130</v>
      </c>
      <c r="G128" s="465">
        <f t="shared" si="22"/>
        <v>2500</v>
      </c>
      <c r="H128" s="465">
        <f t="shared" si="23"/>
        <v>520</v>
      </c>
      <c r="I128" s="479" t="str">
        <f t="shared" si="24"/>
        <v>--</v>
      </c>
      <c r="J128" s="480">
        <f t="shared" si="25"/>
        <v>1613.4759036144435</v>
      </c>
      <c r="K128" s="464" t="str">
        <f t="shared" si="26"/>
        <v>--</v>
      </c>
      <c r="L128" s="480">
        <f t="shared" si="27"/>
        <v>6776.5987951806628</v>
      </c>
      <c r="M128" s="481">
        <f t="shared" si="28"/>
        <v>50000</v>
      </c>
      <c r="N128" s="468">
        <f t="shared" si="29"/>
        <v>40</v>
      </c>
      <c r="O128" s="463">
        <f t="shared" si="30"/>
        <v>400</v>
      </c>
      <c r="P128" s="461">
        <f t="shared" si="32"/>
        <v>40</v>
      </c>
      <c r="Q128" s="469" t="str">
        <f t="shared" si="31"/>
        <v>Odor/Nuis</v>
      </c>
      <c r="S128" s="720"/>
      <c r="AN128" s="478"/>
    </row>
    <row r="129" spans="1:40" s="477" customFormat="1" ht="30" customHeight="1">
      <c r="A129" s="893" t="s">
        <v>323</v>
      </c>
      <c r="B129" s="460" t="s">
        <v>324</v>
      </c>
      <c r="C129" s="461">
        <f t="shared" si="18"/>
        <v>3</v>
      </c>
      <c r="D129" s="468">
        <f t="shared" si="19"/>
        <v>0.03</v>
      </c>
      <c r="E129" s="462">
        <f t="shared" si="20"/>
        <v>1.804945054945055</v>
      </c>
      <c r="F129" s="464">
        <f t="shared" si="21"/>
        <v>2.0000000000000001E-4</v>
      </c>
      <c r="G129" s="465">
        <f t="shared" si="22"/>
        <v>2.0000000000000001E-4</v>
      </c>
      <c r="H129" s="465">
        <f t="shared" si="23"/>
        <v>2.1000000000000001E-4</v>
      </c>
      <c r="I129" s="479" t="str">
        <f t="shared" si="24"/>
        <v>--</v>
      </c>
      <c r="J129" s="480" t="str">
        <f t="shared" si="25"/>
        <v>--</v>
      </c>
      <c r="K129" s="464" t="str">
        <f t="shared" si="26"/>
        <v>--</v>
      </c>
      <c r="L129" s="480" t="str">
        <f t="shared" si="27"/>
        <v>--</v>
      </c>
      <c r="M129" s="481">
        <f t="shared" si="28"/>
        <v>275</v>
      </c>
      <c r="N129" s="468">
        <f t="shared" si="29"/>
        <v>140</v>
      </c>
      <c r="O129" s="463">
        <f t="shared" si="30"/>
        <v>140</v>
      </c>
      <c r="P129" s="461">
        <f t="shared" si="32"/>
        <v>2.0000000000000001E-4</v>
      </c>
      <c r="Q129" s="469" t="str">
        <f t="shared" si="31"/>
        <v>Aquatic Habitat</v>
      </c>
      <c r="S129" s="720"/>
      <c r="AN129" s="478"/>
    </row>
    <row r="130" spans="1:40" s="477" customFormat="1" ht="30" customHeight="1">
      <c r="A130" s="893" t="s">
        <v>325</v>
      </c>
      <c r="B130" s="460" t="s">
        <v>326</v>
      </c>
      <c r="C130" s="461">
        <f t="shared" ref="C130:C140" si="33">(VLOOKUP($A130,Table_W_1, MATCH("MCL_Pri",heading_W_1,0), FALSE))</f>
        <v>5</v>
      </c>
      <c r="D130" s="468">
        <f t="shared" ref="D130:D140" si="34">(VLOOKUP($A130,Table_W_1, MATCH("DW-C",heading_W_1,0), FALSE))</f>
        <v>1.1543943553643614</v>
      </c>
      <c r="E130" s="462">
        <f t="shared" ref="E130:E140" si="35">(VLOOKUP($A130,Table_W_1, MATCH("DW-NC",heading_W_1,0), FALSE))</f>
        <v>3.9872559385618862</v>
      </c>
      <c r="F130" s="464">
        <f t="shared" ref="F130:F140" si="36">(VLOOKUP($A130,Table_W_2, MATCH("FW-EcoT",heading_W_2,0), FALSE))</f>
        <v>25</v>
      </c>
      <c r="G130" s="465">
        <f t="shared" ref="G130:G140" si="37">(VLOOKUP($A130,Table_W_2, MATCH("SW-EcoT",heading_W_2,0), FALSE))</f>
        <v>64.5</v>
      </c>
      <c r="H130" s="465">
        <f t="shared" ref="H130:H140" si="38">(VLOOKUP($A130,Table_W_2, MATCH("bioac",heading_W_2,0), FALSE))</f>
        <v>7.5999999999999998E-2</v>
      </c>
      <c r="I130" s="479" t="str">
        <f t="shared" ref="I130:I140" si="39">(VLOOKUP($A130,Table_W_3, MATCH("G-VI-Res-Min-C",heading_W_3,0), FALSE))</f>
        <v>--</v>
      </c>
      <c r="J130" s="480">
        <f t="shared" ref="J130:J140" si="40">(VLOOKUP($A130,Table_W_3, MATCH("G-VI-Res-Min-NC",heading_W_3,0), FALSE))</f>
        <v>35.927162977865656</v>
      </c>
      <c r="K130" s="464" t="str">
        <f t="shared" ref="K130:K140" si="41">(VLOOKUP($A130,Table_W_3, MATCH("G-VI-Com-Min-C",heading_W_3,0), FALSE))</f>
        <v>--</v>
      </c>
      <c r="L130" s="480">
        <f t="shared" ref="L130:L140" si="42">(VLOOKUP($A130,Table_W_3, MATCH("G-VI-Com-Min-NC",heading_W_3,0), FALSE))</f>
        <v>150.89408450703576</v>
      </c>
      <c r="M130" s="481">
        <f t="shared" ref="M130:M140" si="43">(VLOOKUP($A130,Table_W_4, MATCH("W-GC",heading_W_4,0), FALSE))</f>
        <v>24500</v>
      </c>
      <c r="N130" s="468">
        <f t="shared" ref="N130:N140" si="44">(VLOOKUP($A130,Table_W_5, MATCH("DW-NO",heading_W_5,0), FALSE))</f>
        <v>3000</v>
      </c>
      <c r="O130" s="463">
        <f t="shared" ref="O130:O140" si="45">(VLOOKUP($A130,Table_W_5, MATCH("NDW-NO",heading_W_5,0), FALSE))</f>
        <v>30000</v>
      </c>
      <c r="P130" s="461">
        <f>IF(MIN(C130:O130)=0,"--",IF(C130="--",MIN(D130:O130),MIN(C130,F130:O130)))</f>
        <v>7.5999999999999998E-2</v>
      </c>
      <c r="Q130" s="469" t="str">
        <f t="shared" si="31"/>
        <v>Aquatic Habitat</v>
      </c>
      <c r="S130" s="720"/>
      <c r="AN130" s="478"/>
    </row>
    <row r="131" spans="1:40" s="477" customFormat="1" ht="30" customHeight="1">
      <c r="A131" s="893" t="s">
        <v>327</v>
      </c>
      <c r="B131" s="460" t="s">
        <v>328</v>
      </c>
      <c r="C131" s="461">
        <f t="shared" si="33"/>
        <v>200</v>
      </c>
      <c r="D131" s="468" t="str">
        <f t="shared" si="34"/>
        <v>--</v>
      </c>
      <c r="E131" s="462">
        <f t="shared" si="35"/>
        <v>1000</v>
      </c>
      <c r="F131" s="464">
        <f t="shared" si="36"/>
        <v>62</v>
      </c>
      <c r="G131" s="465">
        <f t="shared" si="37"/>
        <v>3120</v>
      </c>
      <c r="H131" s="465">
        <f t="shared" si="38"/>
        <v>200000</v>
      </c>
      <c r="I131" s="479" t="str">
        <f t="shared" si="39"/>
        <v>--</v>
      </c>
      <c r="J131" s="480">
        <f t="shared" si="40"/>
        <v>1483.0398671096373</v>
      </c>
      <c r="K131" s="464" t="str">
        <f t="shared" si="41"/>
        <v>--</v>
      </c>
      <c r="L131" s="480">
        <f t="shared" si="42"/>
        <v>6228.7674418604765</v>
      </c>
      <c r="M131" s="481">
        <f t="shared" si="43"/>
        <v>50000</v>
      </c>
      <c r="N131" s="468">
        <f t="shared" si="44"/>
        <v>970</v>
      </c>
      <c r="O131" s="463">
        <f t="shared" si="45"/>
        <v>500000</v>
      </c>
      <c r="P131" s="461">
        <f t="shared" si="32"/>
        <v>62</v>
      </c>
      <c r="Q131" s="469" t="str">
        <f t="shared" si="31"/>
        <v>Aquatic Habitat</v>
      </c>
      <c r="S131" s="720"/>
      <c r="AN131" s="478"/>
    </row>
    <row r="132" spans="1:40" s="477" customFormat="1" ht="30" customHeight="1">
      <c r="A132" s="893" t="s">
        <v>329</v>
      </c>
      <c r="B132" s="460" t="s">
        <v>330</v>
      </c>
      <c r="C132" s="461">
        <f t="shared" si="33"/>
        <v>5</v>
      </c>
      <c r="D132" s="468">
        <f t="shared" si="34"/>
        <v>0.2753400429864914</v>
      </c>
      <c r="E132" s="462">
        <f t="shared" si="35"/>
        <v>0.41484753961311749</v>
      </c>
      <c r="F132" s="464">
        <f t="shared" si="36"/>
        <v>4700</v>
      </c>
      <c r="G132" s="465" t="str">
        <f t="shared" si="37"/>
        <v>--</v>
      </c>
      <c r="H132" s="465">
        <f t="shared" si="38"/>
        <v>8.9</v>
      </c>
      <c r="I132" s="479">
        <f t="shared" si="39"/>
        <v>5.2090529312918568</v>
      </c>
      <c r="J132" s="480">
        <f t="shared" si="40"/>
        <v>6.1913314840497513</v>
      </c>
      <c r="K132" s="464">
        <f t="shared" si="41"/>
        <v>22.753143203882832</v>
      </c>
      <c r="L132" s="480">
        <f t="shared" si="42"/>
        <v>26.003592233008952</v>
      </c>
      <c r="M132" s="481">
        <f t="shared" si="43"/>
        <v>50000</v>
      </c>
      <c r="N132" s="468" t="str">
        <f t="shared" si="44"/>
        <v>--</v>
      </c>
      <c r="O132" s="463" t="str">
        <f t="shared" si="45"/>
        <v>--</v>
      </c>
      <c r="P132" s="461">
        <f t="shared" si="32"/>
        <v>5</v>
      </c>
      <c r="Q132" s="469" t="str">
        <f t="shared" si="31"/>
        <v>MCL</v>
      </c>
      <c r="S132" s="720"/>
      <c r="AN132" s="478"/>
    </row>
    <row r="133" spans="1:40" s="477" customFormat="1" ht="30" customHeight="1">
      <c r="A133" s="893" t="s">
        <v>331</v>
      </c>
      <c r="B133" s="460" t="s">
        <v>332</v>
      </c>
      <c r="C133" s="461">
        <f t="shared" si="33"/>
        <v>5</v>
      </c>
      <c r="D133" s="468">
        <f t="shared" si="34"/>
        <v>0.49377585316143952</v>
      </c>
      <c r="E133" s="462">
        <f t="shared" si="35"/>
        <v>2.8252024217071989</v>
      </c>
      <c r="F133" s="464">
        <f t="shared" si="36"/>
        <v>360</v>
      </c>
      <c r="G133" s="465">
        <f t="shared" si="37"/>
        <v>200</v>
      </c>
      <c r="H133" s="465">
        <f t="shared" si="38"/>
        <v>7</v>
      </c>
      <c r="I133" s="479">
        <f t="shared" si="39"/>
        <v>1.1877804862349743</v>
      </c>
      <c r="J133" s="480">
        <f t="shared" si="40"/>
        <v>5.1793473531543945</v>
      </c>
      <c r="K133" s="464">
        <f t="shared" si="41"/>
        <v>7.4279420576945929</v>
      </c>
      <c r="L133" s="480">
        <f t="shared" si="42"/>
        <v>21.753258883248456</v>
      </c>
      <c r="M133" s="481">
        <f t="shared" si="43"/>
        <v>50000</v>
      </c>
      <c r="N133" s="468">
        <f t="shared" si="44"/>
        <v>310</v>
      </c>
      <c r="O133" s="463">
        <f t="shared" si="45"/>
        <v>100000</v>
      </c>
      <c r="P133" s="461">
        <f t="shared" si="32"/>
        <v>1.1877804862349743</v>
      </c>
      <c r="Q133" s="469" t="str">
        <f t="shared" si="31"/>
        <v>Vapor Intrusion</v>
      </c>
      <c r="S133" s="720"/>
      <c r="AN133" s="478"/>
    </row>
    <row r="134" spans="1:40" s="477" customFormat="1" ht="30" customHeight="1">
      <c r="A134" s="893" t="s">
        <v>333</v>
      </c>
      <c r="B134" s="460" t="s">
        <v>334</v>
      </c>
      <c r="C134" s="461" t="str">
        <f t="shared" si="33"/>
        <v>--</v>
      </c>
      <c r="D134" s="468" t="str">
        <f t="shared" si="34"/>
        <v>--</v>
      </c>
      <c r="E134" s="462">
        <f t="shared" si="35"/>
        <v>1183.2501696420836</v>
      </c>
      <c r="F134" s="464">
        <f t="shared" si="36"/>
        <v>63</v>
      </c>
      <c r="G134" s="465">
        <f t="shared" si="37"/>
        <v>1</v>
      </c>
      <c r="H134" s="465">
        <f t="shared" si="38"/>
        <v>600</v>
      </c>
      <c r="I134" s="479" t="str">
        <f t="shared" si="39"/>
        <v>--</v>
      </c>
      <c r="J134" s="480" t="str">
        <f t="shared" si="40"/>
        <v>--</v>
      </c>
      <c r="K134" s="464" t="str">
        <f t="shared" si="41"/>
        <v>--</v>
      </c>
      <c r="L134" s="480" t="str">
        <f t="shared" si="42"/>
        <v>--</v>
      </c>
      <c r="M134" s="481">
        <f t="shared" si="43"/>
        <v>50000</v>
      </c>
      <c r="N134" s="468">
        <f t="shared" si="44"/>
        <v>200</v>
      </c>
      <c r="O134" s="463">
        <f t="shared" si="45"/>
        <v>2000</v>
      </c>
      <c r="P134" s="461">
        <f t="shared" si="32"/>
        <v>1</v>
      </c>
      <c r="Q134" s="469" t="str">
        <f t="shared" si="31"/>
        <v>Aquatic Habitat</v>
      </c>
      <c r="S134" s="720"/>
      <c r="AN134" s="478"/>
    </row>
    <row r="135" spans="1:40" s="477" customFormat="1" ht="30" customHeight="1">
      <c r="A135" s="893" t="s">
        <v>335</v>
      </c>
      <c r="B135" s="460" t="s">
        <v>336</v>
      </c>
      <c r="C135" s="461" t="str">
        <f t="shared" si="33"/>
        <v>--</v>
      </c>
      <c r="D135" s="468">
        <f t="shared" si="34"/>
        <v>0.64627579540504521</v>
      </c>
      <c r="E135" s="462">
        <f t="shared" si="35"/>
        <v>12.050880051226159</v>
      </c>
      <c r="F135" s="464">
        <f t="shared" si="36"/>
        <v>485</v>
      </c>
      <c r="G135" s="465">
        <f t="shared" si="37"/>
        <v>1</v>
      </c>
      <c r="H135" s="465">
        <f t="shared" si="38"/>
        <v>0.28999999999999998</v>
      </c>
      <c r="I135" s="479" t="str">
        <f t="shared" si="39"/>
        <v>--</v>
      </c>
      <c r="J135" s="480" t="str">
        <f t="shared" si="40"/>
        <v>--</v>
      </c>
      <c r="K135" s="464" t="str">
        <f t="shared" si="41"/>
        <v>--</v>
      </c>
      <c r="L135" s="480" t="str">
        <f t="shared" si="42"/>
        <v>--</v>
      </c>
      <c r="M135" s="481">
        <f t="shared" si="43"/>
        <v>50000</v>
      </c>
      <c r="N135" s="468">
        <f t="shared" si="44"/>
        <v>100</v>
      </c>
      <c r="O135" s="463">
        <f t="shared" si="45"/>
        <v>1000</v>
      </c>
      <c r="P135" s="461">
        <f t="shared" si="32"/>
        <v>0.28999999999999998</v>
      </c>
      <c r="Q135" s="469" t="str">
        <f t="shared" ref="Q135:Q140" si="46">IF(P135="--", "--", IF(P135=N135, "Odor/Nuis", IF(P135=M135, "Gross Contam", IF(P135=C135, "MCL", IF(OR(P135=F135,P135=H135,P135=G135),"Aquatic Habitat", IF(OR(P135=D135,P135=E135),"Tapwater", "Vapor Intrusion"))))))</f>
        <v>Aquatic Habitat</v>
      </c>
      <c r="S135" s="720"/>
      <c r="AN135" s="478"/>
    </row>
    <row r="136" spans="1:40" s="477" customFormat="1" ht="30" customHeight="1">
      <c r="A136" s="893" t="s">
        <v>337</v>
      </c>
      <c r="B136" s="460" t="s">
        <v>338</v>
      </c>
      <c r="C136" s="461">
        <f t="shared" si="33"/>
        <v>5.0000000000000001E-3</v>
      </c>
      <c r="D136" s="468">
        <f t="shared" si="34"/>
        <v>6.9999999999999999E-4</v>
      </c>
      <c r="E136" s="462">
        <f t="shared" si="35"/>
        <v>0.62036943665517019</v>
      </c>
      <c r="F136" s="464">
        <f t="shared" si="36"/>
        <v>2700</v>
      </c>
      <c r="G136" s="465">
        <f t="shared" si="37"/>
        <v>6.0000000000000001E-3</v>
      </c>
      <c r="H136" s="465" t="str">
        <f t="shared" si="38"/>
        <v>--</v>
      </c>
      <c r="I136" s="479" t="str">
        <f t="shared" si="39"/>
        <v>--</v>
      </c>
      <c r="J136" s="480">
        <f t="shared" si="40"/>
        <v>22.310453977506235</v>
      </c>
      <c r="K136" s="464" t="str">
        <f t="shared" si="41"/>
        <v>--</v>
      </c>
      <c r="L136" s="480">
        <f t="shared" si="42"/>
        <v>93.70390670552618</v>
      </c>
      <c r="M136" s="481">
        <f t="shared" si="43"/>
        <v>50000</v>
      </c>
      <c r="N136" s="468" t="str">
        <f t="shared" si="44"/>
        <v>--</v>
      </c>
      <c r="O136" s="463" t="str">
        <f t="shared" si="45"/>
        <v>--</v>
      </c>
      <c r="P136" s="461">
        <f t="shared" si="32"/>
        <v>5.0000000000000001E-3</v>
      </c>
      <c r="Q136" s="469" t="str">
        <f t="shared" si="46"/>
        <v>MCL</v>
      </c>
      <c r="S136" s="720"/>
      <c r="AN136" s="478"/>
    </row>
    <row r="137" spans="1:40" s="477" customFormat="1" ht="30" customHeight="1">
      <c r="A137" s="893" t="s">
        <v>339</v>
      </c>
      <c r="B137" s="460" t="s">
        <v>340</v>
      </c>
      <c r="C137" s="461" t="str">
        <f t="shared" si="33"/>
        <v>--</v>
      </c>
      <c r="D137" s="468" t="str">
        <f t="shared" si="34"/>
        <v>--</v>
      </c>
      <c r="E137" s="462">
        <f t="shared" si="35"/>
        <v>50</v>
      </c>
      <c r="F137" s="464">
        <f t="shared" si="36"/>
        <v>19</v>
      </c>
      <c r="G137" s="465" t="str">
        <f t="shared" si="37"/>
        <v>--</v>
      </c>
      <c r="H137" s="465" t="str">
        <f t="shared" si="38"/>
        <v>--</v>
      </c>
      <c r="I137" s="479" t="str">
        <f t="shared" si="39"/>
        <v>--</v>
      </c>
      <c r="J137" s="480" t="str">
        <f t="shared" si="40"/>
        <v>--</v>
      </c>
      <c r="K137" s="464" t="str">
        <f t="shared" si="41"/>
        <v>--</v>
      </c>
      <c r="L137" s="480" t="str">
        <f t="shared" si="42"/>
        <v>--</v>
      </c>
      <c r="M137" s="481">
        <f t="shared" si="43"/>
        <v>50000</v>
      </c>
      <c r="N137" s="468" t="str">
        <f t="shared" si="44"/>
        <v>--</v>
      </c>
      <c r="O137" s="463" t="str">
        <f t="shared" si="45"/>
        <v>--</v>
      </c>
      <c r="P137" s="461">
        <f t="shared" ref="P137:P139" si="47">IF(MIN(C137:O137)=0,"--",IF(C137="--",MIN(D137:O137),MIN(C137,F137:O137)))</f>
        <v>19</v>
      </c>
      <c r="Q137" s="469" t="str">
        <f t="shared" si="46"/>
        <v>Aquatic Habitat</v>
      </c>
      <c r="S137" s="720"/>
      <c r="AN137" s="478"/>
    </row>
    <row r="138" spans="1:40" s="477" customFormat="1" ht="30" customHeight="1">
      <c r="A138" s="893" t="s">
        <v>341</v>
      </c>
      <c r="B138" s="460" t="s">
        <v>342</v>
      </c>
      <c r="C138" s="461">
        <f t="shared" si="33"/>
        <v>0.5</v>
      </c>
      <c r="D138" s="468">
        <f t="shared" si="34"/>
        <v>9.6914424945337835E-3</v>
      </c>
      <c r="E138" s="462">
        <f t="shared" si="35"/>
        <v>36.843107700838594</v>
      </c>
      <c r="F138" s="464">
        <f t="shared" si="36"/>
        <v>782</v>
      </c>
      <c r="G138" s="465" t="str">
        <f t="shared" si="37"/>
        <v>--</v>
      </c>
      <c r="H138" s="465">
        <f t="shared" si="38"/>
        <v>1.6</v>
      </c>
      <c r="I138" s="479">
        <f t="shared" si="39"/>
        <v>8.3177281019007829E-3</v>
      </c>
      <c r="J138" s="480">
        <f t="shared" si="40"/>
        <v>46.795775950668151</v>
      </c>
      <c r="K138" s="464">
        <f t="shared" si="41"/>
        <v>0.13834045379081381</v>
      </c>
      <c r="L138" s="480">
        <f t="shared" si="42"/>
        <v>196.54225899280624</v>
      </c>
      <c r="M138" s="481">
        <f t="shared" si="43"/>
        <v>50000</v>
      </c>
      <c r="N138" s="468">
        <f t="shared" si="44"/>
        <v>3400</v>
      </c>
      <c r="O138" s="463">
        <f t="shared" si="45"/>
        <v>34000</v>
      </c>
      <c r="P138" s="461">
        <f t="shared" si="47"/>
        <v>8.3177281019007829E-3</v>
      </c>
      <c r="Q138" s="469" t="str">
        <f t="shared" si="46"/>
        <v>Vapor Intrusion</v>
      </c>
      <c r="S138" s="720"/>
      <c r="AN138" s="478"/>
    </row>
    <row r="139" spans="1:40" s="477" customFormat="1" ht="30" customHeight="1">
      <c r="A139" s="893" t="s">
        <v>343</v>
      </c>
      <c r="B139" s="460" t="s">
        <v>344</v>
      </c>
      <c r="C139" s="461">
        <f t="shared" si="33"/>
        <v>1750</v>
      </c>
      <c r="D139" s="468" t="str">
        <f t="shared" si="34"/>
        <v>--</v>
      </c>
      <c r="E139" s="462">
        <f t="shared" si="35"/>
        <v>193.17392261341371</v>
      </c>
      <c r="F139" s="464" t="str">
        <f t="shared" si="36"/>
        <v>--</v>
      </c>
      <c r="G139" s="465">
        <f t="shared" si="37"/>
        <v>100</v>
      </c>
      <c r="H139" s="465" t="str">
        <f t="shared" si="38"/>
        <v>--</v>
      </c>
      <c r="I139" s="479" t="str">
        <f t="shared" si="39"/>
        <v>--</v>
      </c>
      <c r="J139" s="480">
        <f t="shared" si="40"/>
        <v>384.740357681528</v>
      </c>
      <c r="K139" s="464" t="str">
        <f t="shared" si="41"/>
        <v>--</v>
      </c>
      <c r="L139" s="480">
        <f t="shared" si="42"/>
        <v>1615.9095022624172</v>
      </c>
      <c r="M139" s="481">
        <f t="shared" si="43"/>
        <v>50000</v>
      </c>
      <c r="N139" s="468">
        <f t="shared" si="44"/>
        <v>20</v>
      </c>
      <c r="O139" s="463">
        <f t="shared" si="45"/>
        <v>5300</v>
      </c>
      <c r="P139" s="461">
        <f t="shared" si="47"/>
        <v>20</v>
      </c>
      <c r="Q139" s="469" t="str">
        <f t="shared" si="46"/>
        <v>Odor/Nuis</v>
      </c>
      <c r="S139" s="720"/>
      <c r="AN139" s="478"/>
    </row>
    <row r="140" spans="1:40" s="477" customFormat="1" ht="30" customHeight="1" thickBot="1">
      <c r="A140" s="893" t="s">
        <v>345</v>
      </c>
      <c r="B140" s="460" t="s">
        <v>346</v>
      </c>
      <c r="C140" s="461">
        <f t="shared" si="33"/>
        <v>5000</v>
      </c>
      <c r="D140" s="468" t="str">
        <f t="shared" si="34"/>
        <v>--</v>
      </c>
      <c r="E140" s="462">
        <f t="shared" si="35"/>
        <v>6000.6183431702011</v>
      </c>
      <c r="F140" s="464">
        <f t="shared" si="36"/>
        <v>120</v>
      </c>
      <c r="G140" s="465">
        <f t="shared" si="37"/>
        <v>20</v>
      </c>
      <c r="H140" s="465">
        <f t="shared" si="38"/>
        <v>26000</v>
      </c>
      <c r="I140" s="479" t="str">
        <f t="shared" si="39"/>
        <v>--</v>
      </c>
      <c r="J140" s="480" t="str">
        <f t="shared" si="40"/>
        <v>--</v>
      </c>
      <c r="K140" s="464" t="str">
        <f t="shared" si="41"/>
        <v>--</v>
      </c>
      <c r="L140" s="480" t="str">
        <f t="shared" si="42"/>
        <v>--</v>
      </c>
      <c r="M140" s="481">
        <f t="shared" si="43"/>
        <v>50000</v>
      </c>
      <c r="N140" s="468">
        <f t="shared" si="44"/>
        <v>5000</v>
      </c>
      <c r="O140" s="463" t="str">
        <f t="shared" si="45"/>
        <v>--</v>
      </c>
      <c r="P140" s="451">
        <f t="shared" ref="P140" si="48">IF(MIN(C140:O140)=0,"--",IF(C140="--",MIN(D140:O140),MIN(C140,F140:O140)))</f>
        <v>20</v>
      </c>
      <c r="Q140" s="469" t="str">
        <f t="shared" si="46"/>
        <v>Aquatic Habitat</v>
      </c>
      <c r="S140" s="720"/>
      <c r="AN140" s="478"/>
    </row>
    <row r="141" spans="1:40" s="477" customFormat="1" ht="24.95" customHeight="1" thickTop="1">
      <c r="A141" s="937" t="s">
        <v>347</v>
      </c>
      <c r="B141" s="1125"/>
      <c r="C141" s="1125"/>
      <c r="D141" s="1125"/>
      <c r="E141" s="1126"/>
      <c r="F141" s="1126"/>
      <c r="G141" s="1126"/>
      <c r="H141" s="1125"/>
      <c r="I141" s="1125"/>
      <c r="J141" s="1125"/>
      <c r="K141" s="1125"/>
      <c r="L141" s="1125"/>
      <c r="M141" s="1125"/>
      <c r="N141" s="1125"/>
      <c r="O141" s="1125"/>
      <c r="P141" s="1125"/>
      <c r="Q141" s="1127"/>
      <c r="S141" s="720"/>
    </row>
    <row r="142" spans="1:40" s="477" customFormat="1" ht="24.95" customHeight="1">
      <c r="A142" s="482" t="s">
        <v>393</v>
      </c>
      <c r="E142" s="483"/>
      <c r="F142" s="483"/>
      <c r="G142" s="483"/>
      <c r="Q142" s="484"/>
      <c r="S142" s="720"/>
    </row>
    <row r="143" spans="1:40" s="477" customFormat="1" ht="51.75" customHeight="1">
      <c r="A143" s="2182" t="s">
        <v>394</v>
      </c>
      <c r="B143" s="2183"/>
      <c r="C143" s="2183"/>
      <c r="D143" s="2183"/>
      <c r="E143" s="2183"/>
      <c r="F143" s="2183"/>
      <c r="G143" s="2183"/>
      <c r="H143" s="2183"/>
      <c r="I143" s="2183"/>
      <c r="J143" s="2183"/>
      <c r="K143" s="2183"/>
      <c r="L143" s="2183"/>
      <c r="M143" s="2183"/>
      <c r="N143" s="2183"/>
      <c r="O143" s="2183"/>
      <c r="P143" s="2183"/>
      <c r="Q143" s="2184"/>
      <c r="S143"/>
    </row>
    <row r="144" spans="1:40" s="477" customFormat="1" ht="50.25" customHeight="1">
      <c r="A144" s="2179" t="s">
        <v>4263</v>
      </c>
      <c r="B144" s="2180"/>
      <c r="C144" s="2180"/>
      <c r="D144" s="2180"/>
      <c r="E144" s="2180"/>
      <c r="F144" s="2180"/>
      <c r="G144" s="2180"/>
      <c r="H144" s="2180"/>
      <c r="I144" s="2180"/>
      <c r="J144" s="2180"/>
      <c r="K144" s="2180"/>
      <c r="L144" s="2180"/>
      <c r="M144" s="2180"/>
      <c r="N144" s="2180"/>
      <c r="O144" s="2180"/>
      <c r="P144" s="2180"/>
      <c r="Q144" s="2181"/>
      <c r="S144"/>
    </row>
    <row r="145" spans="1:19" s="477" customFormat="1" ht="24.95" customHeight="1">
      <c r="A145" s="1123" t="s">
        <v>348</v>
      </c>
      <c r="E145" s="483"/>
      <c r="F145" s="483"/>
      <c r="G145" s="483"/>
      <c r="Q145" s="484"/>
      <c r="S145"/>
    </row>
    <row r="146" spans="1:19" s="477" customFormat="1" ht="24.95" customHeight="1">
      <c r="A146" s="1129" t="s">
        <v>395</v>
      </c>
      <c r="E146" s="483"/>
      <c r="F146" s="483"/>
      <c r="G146" s="483"/>
      <c r="Q146" s="484"/>
      <c r="S146"/>
    </row>
    <row r="147" spans="1:19" s="477" customFormat="1" ht="24.95" customHeight="1">
      <c r="A147" s="1124" t="s">
        <v>396</v>
      </c>
      <c r="E147" s="483"/>
      <c r="F147" s="483"/>
      <c r="G147" s="483"/>
      <c r="Q147" s="484"/>
      <c r="S147"/>
    </row>
    <row r="148" spans="1:19" s="477" customFormat="1" ht="24.95" customHeight="1">
      <c r="A148" s="1124" t="s">
        <v>349</v>
      </c>
      <c r="E148" s="483"/>
      <c r="F148" s="483"/>
      <c r="G148" s="483"/>
      <c r="Q148" s="484"/>
      <c r="S148"/>
    </row>
    <row r="149" spans="1:19" s="477" customFormat="1" ht="24.95" customHeight="1">
      <c r="A149" s="1124" t="s">
        <v>350</v>
      </c>
      <c r="E149" s="483"/>
      <c r="F149" s="483"/>
      <c r="G149" s="483"/>
      <c r="Q149" s="484"/>
      <c r="S149"/>
    </row>
    <row r="150" spans="1:19" s="477" customFormat="1" ht="24.95" customHeight="1">
      <c r="A150" s="1124" t="s">
        <v>351</v>
      </c>
      <c r="E150" s="483"/>
      <c r="F150" s="483"/>
      <c r="G150" s="483"/>
      <c r="Q150" s="484"/>
      <c r="S150"/>
    </row>
    <row r="151" spans="1:19" s="477" customFormat="1" ht="24.95" customHeight="1">
      <c r="A151" s="1124" t="s">
        <v>397</v>
      </c>
      <c r="E151" s="483"/>
      <c r="F151" s="483"/>
      <c r="G151" s="483"/>
      <c r="Q151" s="484"/>
      <c r="S151"/>
    </row>
    <row r="152" spans="1:19" ht="23.25">
      <c r="A152" s="482" t="s">
        <v>398</v>
      </c>
      <c r="Q152" s="488"/>
    </row>
    <row r="153" spans="1:19" ht="23.25">
      <c r="A153" s="482" t="s">
        <v>399</v>
      </c>
      <c r="Q153" s="488"/>
    </row>
    <row r="154" spans="1:19" ht="23.25">
      <c r="A154" s="482" t="s">
        <v>400</v>
      </c>
      <c r="Q154" s="488"/>
    </row>
    <row r="155" spans="1:19" ht="23.25">
      <c r="A155" s="482" t="s">
        <v>353</v>
      </c>
      <c r="Q155" s="488"/>
    </row>
    <row r="156" spans="1:19" ht="23.25">
      <c r="A156" s="1124" t="s">
        <v>354</v>
      </c>
      <c r="Q156" s="488"/>
    </row>
    <row r="157" spans="1:19" ht="24" thickBot="1">
      <c r="A157" s="1128" t="s">
        <v>355</v>
      </c>
      <c r="B157" s="396"/>
      <c r="C157" s="396"/>
      <c r="D157" s="396"/>
      <c r="E157" s="397"/>
      <c r="F157" s="397"/>
      <c r="G157" s="397"/>
      <c r="H157" s="396"/>
      <c r="I157" s="396"/>
      <c r="J157" s="396"/>
      <c r="K157" s="396"/>
      <c r="L157" s="396"/>
      <c r="M157" s="396"/>
      <c r="N157" s="396"/>
      <c r="O157" s="396"/>
      <c r="P157" s="396"/>
      <c r="Q157" s="398"/>
    </row>
    <row r="158" spans="1:19" ht="18.75" thickTop="1"/>
  </sheetData>
  <sheetProtection algorithmName="SHA-512" hashValue="nq9i8PMZjWANsr/SvP9RoHAoV2Y16Q1SrFW4WYJu7F5mJsN3ri3VoTqk5p7hBMf8uFgdGs0XpDb9bIn814wwAQ==" saltValue="UA6YnBexzDGW3lvQpFYOgw==" spinCount="100000" sheet="1" sort="0" autoFilter="0"/>
  <autoFilter ref="A6:B157" xr:uid="{00000000-0009-0000-0000-000005000000}"/>
  <mergeCells count="15">
    <mergeCell ref="A144:Q144"/>
    <mergeCell ref="A143:Q143"/>
    <mergeCell ref="Q4:Q6"/>
    <mergeCell ref="A3:B3"/>
    <mergeCell ref="A4:A6"/>
    <mergeCell ref="B4:B6"/>
    <mergeCell ref="I5:J5"/>
    <mergeCell ref="C3:Q3"/>
    <mergeCell ref="F4:H5"/>
    <mergeCell ref="C4:E5"/>
    <mergeCell ref="N4:O5"/>
    <mergeCell ref="M4:M6"/>
    <mergeCell ref="I4:L4"/>
    <mergeCell ref="K5:L5"/>
    <mergeCell ref="P4:P6"/>
  </mergeCells>
  <printOptions horizontalCentered="1"/>
  <pageMargins left="0.25" right="0.25" top="0.75" bottom="0.75" header="0.3" footer="0.3"/>
  <pageSetup scale="35" fitToHeight="0" orientation="landscape" r:id="rId1"/>
  <headerFooter alignWithMargins="0">
    <oddFooter>&amp;L&amp;"Arial,Bold"&amp;18
&amp;C&amp;"Arial,Bold"&amp;18&amp;P of &amp;N&amp;R&amp;"Arial,Bold"&amp;18&amp;A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BC8E7-A80D-4713-B8DE-39C0BB8437B5}">
  <dimension ref="A1:X244"/>
  <sheetViews>
    <sheetView topLeftCell="A2" workbookViewId="0">
      <pane xSplit="2" ySplit="4" topLeftCell="C15" activePane="bottomRight" state="frozen"/>
      <selection activeCell="AA14" sqref="AA14"/>
      <selection pane="topRight" activeCell="AA14" sqref="AA14"/>
      <selection pane="bottomLeft" activeCell="AA14" sqref="AA14"/>
      <selection pane="bottomRight" activeCell="A46" sqref="A46"/>
    </sheetView>
  </sheetViews>
  <sheetFormatPr defaultRowHeight="12.75"/>
  <cols>
    <col min="1" max="1" width="42.7109375" style="13" customWidth="1"/>
    <col min="2" max="2" width="13" style="13" customWidth="1"/>
    <col min="4" max="4" width="18" bestFit="1" customWidth="1"/>
    <col min="6" max="6" width="17.28515625" bestFit="1" customWidth="1"/>
    <col min="16" max="16" width="17.28515625" bestFit="1" customWidth="1"/>
    <col min="18" max="18" width="14.42578125" customWidth="1"/>
    <col min="19" max="19" width="14.5703125" customWidth="1"/>
    <col min="21" max="21" width="15.7109375" customWidth="1"/>
  </cols>
  <sheetData>
    <row r="1" spans="1:24">
      <c r="A1" s="7"/>
      <c r="B1" s="7"/>
    </row>
    <row r="2" spans="1:24">
      <c r="A2" s="88"/>
      <c r="B2" s="88"/>
    </row>
    <row r="3" spans="1:24" ht="30.75" thickBot="1">
      <c r="A3" s="1423" t="s">
        <v>1159</v>
      </c>
      <c r="B3" s="315"/>
    </row>
    <row r="4" spans="1:24" ht="14.25" thickTop="1" thickBot="1">
      <c r="A4" s="2819" t="str">
        <f>'Tier 1 ESL'!A6:F6</f>
        <v>2025 (Rev 4)</v>
      </c>
      <c r="B4" s="2836"/>
    </row>
    <row r="5" spans="1:24" s="85" customFormat="1" ht="34.5" thickBot="1">
      <c r="A5" s="576" t="s">
        <v>661</v>
      </c>
      <c r="B5" s="1331" t="s">
        <v>80</v>
      </c>
      <c r="C5" s="1424" t="s">
        <v>4072</v>
      </c>
      <c r="D5" s="1425" t="s">
        <v>1167</v>
      </c>
      <c r="E5" s="1428" t="s">
        <v>4073</v>
      </c>
      <c r="F5" s="1426" t="s">
        <v>1169</v>
      </c>
      <c r="G5" s="1427" t="s">
        <v>4074</v>
      </c>
      <c r="H5" s="1424" t="s">
        <v>4075</v>
      </c>
      <c r="I5" s="1425" t="s">
        <v>1174</v>
      </c>
      <c r="J5" s="1430" t="s">
        <v>4076</v>
      </c>
      <c r="K5" s="1426" t="s">
        <v>1169</v>
      </c>
      <c r="L5" s="1427" t="s">
        <v>4077</v>
      </c>
      <c r="M5" s="1424" t="s">
        <v>4078</v>
      </c>
      <c r="N5" s="1425" t="s">
        <v>1179</v>
      </c>
      <c r="O5" s="1428" t="s">
        <v>4079</v>
      </c>
      <c r="P5" s="1426" t="s">
        <v>1169</v>
      </c>
      <c r="Q5" s="1427" t="s">
        <v>4080</v>
      </c>
      <c r="R5" s="1424" t="s">
        <v>4081</v>
      </c>
      <c r="S5" s="1425" t="s">
        <v>1184</v>
      </c>
      <c r="T5" s="1429" t="s">
        <v>4082</v>
      </c>
      <c r="U5" s="1426" t="s">
        <v>1169</v>
      </c>
      <c r="V5" s="1427" t="s">
        <v>4083</v>
      </c>
      <c r="X5" s="85" t="s">
        <v>3597</v>
      </c>
    </row>
    <row r="6" spans="1:24">
      <c r="A6" s="309" t="s">
        <v>391</v>
      </c>
      <c r="B6" s="427" t="s">
        <v>392</v>
      </c>
      <c r="C6" s="1663" t="str">
        <f t="shared" ref="C6:C37" si="0">VLOOKUP($A6,Table_IP_2, MATCH("SFo", heading_IP_2, 0), FALSE)</f>
        <v>--</v>
      </c>
      <c r="D6" s="1663" t="str">
        <f t="shared" ref="D6:D37" si="1">VLOOKUP($A6,Table_IP_2, MATCH("Sfo-r", heading_IP_2, 0), FALSE)</f>
        <v xml:space="preserve"> </v>
      </c>
      <c r="E6" s="1663" t="str">
        <f t="shared" ref="E6:E37" si="2">VLOOKUP($B6,Table_N10, MATCH("SFo", Heading_N10, 0), FALSE)</f>
        <v>--</v>
      </c>
      <c r="F6" s="1663" t="str">
        <f t="shared" ref="F6:F37" si="3">VLOOKUP($B6,Table_N10, MATCH("Sfo-r", Heading_N10, 0), FALSE)</f>
        <v>--</v>
      </c>
      <c r="G6" s="1663" t="str">
        <f>IF(C6=E6,"",1)</f>
        <v/>
      </c>
      <c r="H6" s="1663" t="str">
        <f t="shared" ref="H6:H37" si="4">VLOOKUP($A6,Table_IP_2, MATCH("IUR", heading_IP_2, 0), FALSE)</f>
        <v>--</v>
      </c>
      <c r="I6" s="1663" t="str">
        <f t="shared" ref="I6:I37" si="5">VLOOKUP($A6,Table_IP_2, MATCH("IUR-r", heading_IP_2, 0), FALSE)</f>
        <v xml:space="preserve"> </v>
      </c>
      <c r="J6" s="1663" t="str">
        <f t="shared" ref="J6:J37" si="6">VLOOKUP($B6,Table_N10, MATCH("IUR", Heading_N10, 0), FALSE)</f>
        <v>--</v>
      </c>
      <c r="K6" s="1663" t="str">
        <f t="shared" ref="K6:K37" si="7">VLOOKUP($B6,Table_N10, MATCH("IUR-r", Heading_N10, 0), FALSE)</f>
        <v>--</v>
      </c>
      <c r="L6" s="1663" t="str">
        <f>IF(H6=J6,"",1)</f>
        <v/>
      </c>
      <c r="M6" s="1663">
        <f t="shared" ref="M6:M37" si="8">VLOOKUP($A6,Table_IP_2, MATCH("Rfdo", heading_IP_2, 0), FALSE)</f>
        <v>0.9</v>
      </c>
      <c r="N6" s="1663" t="str">
        <f t="shared" ref="N6:N37" si="9">VLOOKUP($A6,Table_IP_2, MATCH("Rfdo-r", heading_IP_2, 0), FALSE)</f>
        <v>IRIS 2023</v>
      </c>
      <c r="O6" s="1663">
        <f t="shared" ref="O6:O37" si="10">VLOOKUP($B6,Table_N10, MATCH("Rfdo", Heading_N10, 0), FALSE)</f>
        <v>0.9</v>
      </c>
      <c r="P6" s="1663" t="str">
        <f t="shared" ref="P6:P37" si="11">VLOOKUP($B6,Table_N10, MATCH("Rfdo-r", Heading_N10, 0), FALSE)</f>
        <v>IRIS</v>
      </c>
      <c r="Q6" s="1663" t="str">
        <f>IF(M6=O6,"",1)</f>
        <v/>
      </c>
      <c r="R6" s="1663">
        <f t="shared" ref="R6:R37" si="12">VLOOKUP($A6,Table_IP_2, MATCH("Rfc", heading_IP_2, 0), FALSE)</f>
        <v>31000</v>
      </c>
      <c r="S6" s="1663" t="str">
        <f t="shared" ref="S6:S37" si="13">VLOOKUP($A6,Table_IP_2, MATCH("Rfc-r", heading_IP_2, 0), FALSE)</f>
        <v>ATSDR 1994</v>
      </c>
      <c r="T6" s="1663">
        <f t="shared" ref="T6:T37" si="14">VLOOKUP($B6,Table_N10, MATCH("Rfc", Heading_N10, 0), FALSE)</f>
        <v>31000</v>
      </c>
      <c r="U6" s="1663" t="str">
        <f t="shared" ref="U6:U37" si="15">VLOOKUP($B6,Table_N10, MATCH("Rfc-r", Heading_N10, 0), FALSE)</f>
        <v>ATSDR</v>
      </c>
      <c r="V6" s="1663" t="str">
        <f>IF(R6=T6,"",1)</f>
        <v/>
      </c>
    </row>
    <row r="7" spans="1:24">
      <c r="A7" s="309" t="s">
        <v>85</v>
      </c>
      <c r="B7" s="427" t="s">
        <v>86</v>
      </c>
      <c r="C7" s="1663">
        <f t="shared" si="0"/>
        <v>17</v>
      </c>
      <c r="D7" s="1663" t="str">
        <f t="shared" si="1"/>
        <v>IRIS 1991</v>
      </c>
      <c r="E7" s="1663">
        <f t="shared" si="2"/>
        <v>17</v>
      </c>
      <c r="F7" s="1663" t="str">
        <f t="shared" si="3"/>
        <v>IRIS</v>
      </c>
      <c r="G7" s="1663" t="str">
        <f t="shared" ref="G7:G69" si="16">IF(C7=E7,"",1)</f>
        <v/>
      </c>
      <c r="H7" s="1663">
        <f t="shared" si="4"/>
        <v>4.8999999999999998E-3</v>
      </c>
      <c r="I7" s="1663" t="str">
        <f t="shared" si="5"/>
        <v>IRIS 1991</v>
      </c>
      <c r="J7" s="1663">
        <f t="shared" si="6"/>
        <v>4.8999999999999998E-3</v>
      </c>
      <c r="K7" s="1663" t="str">
        <f t="shared" si="7"/>
        <v>IRIS</v>
      </c>
      <c r="L7" s="1663" t="str">
        <f t="shared" ref="L7:L69" si="17">IF(H7=J7,"",1)</f>
        <v/>
      </c>
      <c r="M7" s="1663">
        <f t="shared" si="8"/>
        <v>3.0000000000000001E-5</v>
      </c>
      <c r="N7" s="1663" t="str">
        <f t="shared" si="9"/>
        <v>IRIS 1991</v>
      </c>
      <c r="O7" s="1663">
        <f t="shared" si="10"/>
        <v>3.0000000000000001E-5</v>
      </c>
      <c r="P7" s="1663" t="str">
        <f t="shared" si="11"/>
        <v>IRIS</v>
      </c>
      <c r="Q7" s="1663" t="str">
        <f t="shared" ref="Q7:Q69" si="18">IF(M7=O7,"",1)</f>
        <v/>
      </c>
      <c r="R7" s="1663" t="str">
        <f t="shared" si="12"/>
        <v>--</v>
      </c>
      <c r="S7" s="1663" t="str">
        <f t="shared" si="13"/>
        <v xml:space="preserve"> </v>
      </c>
      <c r="T7" s="1663">
        <f t="shared" si="14"/>
        <v>0.12</v>
      </c>
      <c r="U7" s="1665" t="str">
        <f t="shared" si="15"/>
        <v>Route (IRIS)</v>
      </c>
      <c r="V7" s="1665">
        <f t="shared" ref="V7:V69" si="19">IF(R7=T7,"",1)</f>
        <v>1</v>
      </c>
      <c r="X7" s="55" t="s">
        <v>4084</v>
      </c>
    </row>
    <row r="8" spans="1:24">
      <c r="A8" s="309" t="s">
        <v>87</v>
      </c>
      <c r="B8" s="427" t="s">
        <v>88</v>
      </c>
      <c r="C8" s="1663" t="str">
        <f t="shared" si="0"/>
        <v>--</v>
      </c>
      <c r="D8" s="1663" t="str">
        <f t="shared" si="1"/>
        <v xml:space="preserve"> </v>
      </c>
      <c r="E8" s="1663" t="str">
        <f t="shared" si="2"/>
        <v>--</v>
      </c>
      <c r="F8" s="1663" t="str">
        <f t="shared" si="3"/>
        <v>--</v>
      </c>
      <c r="G8" s="1663" t="str">
        <f t="shared" si="16"/>
        <v/>
      </c>
      <c r="H8" s="1663" t="str">
        <f t="shared" si="4"/>
        <v>--</v>
      </c>
      <c r="I8" s="1663" t="str">
        <f t="shared" si="5"/>
        <v xml:space="preserve"> </v>
      </c>
      <c r="J8" s="1663" t="str">
        <f t="shared" si="6"/>
        <v>--</v>
      </c>
      <c r="K8" s="1663" t="str">
        <f t="shared" si="7"/>
        <v>--</v>
      </c>
      <c r="L8" s="1663" t="str">
        <f t="shared" si="17"/>
        <v/>
      </c>
      <c r="M8" s="1663">
        <f t="shared" si="8"/>
        <v>4.0000000000000002E-4</v>
      </c>
      <c r="N8" s="1663" t="str">
        <f t="shared" si="9"/>
        <v>IRIS 1991</v>
      </c>
      <c r="O8" s="1663">
        <f t="shared" si="10"/>
        <v>4.0000000000000002E-4</v>
      </c>
      <c r="P8" s="1663" t="str">
        <f t="shared" si="11"/>
        <v>IRIS</v>
      </c>
      <c r="Q8" s="1663" t="str">
        <f t="shared" si="18"/>
        <v/>
      </c>
      <c r="R8" s="1663">
        <f t="shared" si="12"/>
        <v>0.3</v>
      </c>
      <c r="S8" s="1663" t="str">
        <f t="shared" si="13"/>
        <v>ATSDR 2019</v>
      </c>
      <c r="T8" s="1663">
        <f t="shared" si="14"/>
        <v>0.3</v>
      </c>
      <c r="U8" s="1663" t="str">
        <f t="shared" si="15"/>
        <v>ATSDR</v>
      </c>
      <c r="V8" s="1663" t="str">
        <f t="shared" si="19"/>
        <v/>
      </c>
    </row>
    <row r="9" spans="1:24">
      <c r="A9" s="309" t="s">
        <v>89</v>
      </c>
      <c r="B9" s="427" t="s">
        <v>90</v>
      </c>
      <c r="C9" s="1663">
        <f t="shared" si="0"/>
        <v>32</v>
      </c>
      <c r="D9" s="1663" t="str">
        <f t="shared" si="1"/>
        <v>IRIS 2025</v>
      </c>
      <c r="E9" s="1663">
        <f t="shared" si="2"/>
        <v>9.5</v>
      </c>
      <c r="F9" s="1663" t="str">
        <f t="shared" si="3"/>
        <v>Rule, OEHHA PHG</v>
      </c>
      <c r="G9" s="1663">
        <f t="shared" si="16"/>
        <v>1</v>
      </c>
      <c r="H9" s="1663">
        <f t="shared" si="4"/>
        <v>4.3E-3</v>
      </c>
      <c r="I9" s="1663" t="str">
        <f t="shared" si="5"/>
        <v>IRIS 1995</v>
      </c>
      <c r="J9" s="1663">
        <f t="shared" si="6"/>
        <v>4.3E-3</v>
      </c>
      <c r="K9" s="1663" t="str">
        <f t="shared" si="7"/>
        <v>IRIS</v>
      </c>
      <c r="L9" s="1663" t="str">
        <f t="shared" si="17"/>
        <v/>
      </c>
      <c r="M9" s="1663">
        <f t="shared" si="8"/>
        <v>3.4999999999999999E-6</v>
      </c>
      <c r="N9" s="1663" t="str">
        <f t="shared" si="9"/>
        <v>OEHHA 2008</v>
      </c>
      <c r="O9" s="1663">
        <f t="shared" si="10"/>
        <v>3.4999999999999999E-6</v>
      </c>
      <c r="P9" s="1663" t="str">
        <f t="shared" si="11"/>
        <v>Rule, OEHHA</v>
      </c>
      <c r="Q9" s="1663" t="str">
        <f t="shared" si="18"/>
        <v/>
      </c>
      <c r="R9" s="1663">
        <f t="shared" si="12"/>
        <v>1.4999999999999999E-2</v>
      </c>
      <c r="S9" s="1663" t="str">
        <f t="shared" si="13"/>
        <v>OEHHA 2008</v>
      </c>
      <c r="T9" s="1663">
        <f t="shared" si="14"/>
        <v>1.4999999999999999E-2</v>
      </c>
      <c r="U9" s="1663" t="str">
        <f t="shared" si="15"/>
        <v>Rule, OEHHA</v>
      </c>
      <c r="V9" s="1663" t="str">
        <f t="shared" si="19"/>
        <v/>
      </c>
    </row>
    <row r="10" spans="1:24">
      <c r="A10" s="309" t="s">
        <v>91</v>
      </c>
      <c r="B10" s="427" t="s">
        <v>92</v>
      </c>
      <c r="C10" s="1663" t="str">
        <f t="shared" si="0"/>
        <v>--</v>
      </c>
      <c r="D10" s="1663" t="str">
        <f t="shared" si="1"/>
        <v xml:space="preserve"> </v>
      </c>
      <c r="E10" s="1663" t="str">
        <f t="shared" si="2"/>
        <v>--</v>
      </c>
      <c r="F10" s="1663" t="str">
        <f t="shared" si="3"/>
        <v>--</v>
      </c>
      <c r="G10" s="1663" t="str">
        <f t="shared" si="16"/>
        <v/>
      </c>
      <c r="H10" s="1663" t="str">
        <f t="shared" si="4"/>
        <v>--</v>
      </c>
      <c r="I10" s="1663" t="str">
        <f t="shared" si="5"/>
        <v xml:space="preserve"> </v>
      </c>
      <c r="J10" s="1663" t="str">
        <f t="shared" si="6"/>
        <v>--</v>
      </c>
      <c r="K10" s="1663" t="str">
        <f t="shared" si="7"/>
        <v>--</v>
      </c>
      <c r="L10" s="1663" t="str">
        <f t="shared" si="17"/>
        <v/>
      </c>
      <c r="M10" s="1663">
        <f t="shared" si="8"/>
        <v>0.2</v>
      </c>
      <c r="N10" s="1663" t="str">
        <f t="shared" si="9"/>
        <v>IRIS 2005</v>
      </c>
      <c r="O10" s="1663">
        <f t="shared" si="10"/>
        <v>0.2</v>
      </c>
      <c r="P10" s="1663" t="str">
        <f t="shared" si="11"/>
        <v>IRIS</v>
      </c>
      <c r="Q10" s="1663" t="str">
        <f t="shared" si="18"/>
        <v/>
      </c>
      <c r="R10" s="1663">
        <f t="shared" si="12"/>
        <v>0.5</v>
      </c>
      <c r="S10" s="1663" t="str">
        <f t="shared" si="13"/>
        <v>HEAST 1997</v>
      </c>
      <c r="T10" s="1663">
        <f t="shared" si="14"/>
        <v>0.5</v>
      </c>
      <c r="U10" s="1663" t="str">
        <f t="shared" si="15"/>
        <v>HEAST</v>
      </c>
      <c r="V10" s="1663" t="str">
        <f t="shared" si="19"/>
        <v/>
      </c>
    </row>
    <row r="11" spans="1:24">
      <c r="A11" s="309" t="s">
        <v>93</v>
      </c>
      <c r="B11" s="427" t="s">
        <v>94</v>
      </c>
      <c r="C11" s="1663">
        <f t="shared" si="0"/>
        <v>0.1</v>
      </c>
      <c r="D11" s="1663" t="str">
        <f t="shared" si="1"/>
        <v>OEHHA 1984</v>
      </c>
      <c r="E11" s="1663">
        <f t="shared" si="2"/>
        <v>0.1</v>
      </c>
      <c r="F11" s="1663" t="str">
        <f t="shared" si="3"/>
        <v>Rule, OEHHA</v>
      </c>
      <c r="G11" s="1663" t="str">
        <f t="shared" si="16"/>
        <v/>
      </c>
      <c r="H11" s="1663">
        <f t="shared" si="4"/>
        <v>2.9E-5</v>
      </c>
      <c r="I11" s="1663" t="str">
        <f t="shared" si="5"/>
        <v>OEHHA 1984</v>
      </c>
      <c r="J11" s="1663">
        <f t="shared" si="6"/>
        <v>2.9E-5</v>
      </c>
      <c r="K11" s="1663" t="str">
        <f t="shared" si="7"/>
        <v>Rule, OEHHA</v>
      </c>
      <c r="L11" s="1663" t="str">
        <f t="shared" si="17"/>
        <v/>
      </c>
      <c r="M11" s="1663">
        <f t="shared" si="8"/>
        <v>4.0000000000000001E-3</v>
      </c>
      <c r="N11" s="1663" t="str">
        <f t="shared" si="9"/>
        <v>IRIS 2003</v>
      </c>
      <c r="O11" s="1663">
        <f t="shared" si="10"/>
        <v>4.0000000000000001E-3</v>
      </c>
      <c r="P11" s="1663" t="str">
        <f t="shared" si="11"/>
        <v>IRIS</v>
      </c>
      <c r="Q11" s="1663" t="str">
        <f t="shared" si="18"/>
        <v/>
      </c>
      <c r="R11" s="1663">
        <f t="shared" si="12"/>
        <v>3</v>
      </c>
      <c r="S11" s="1663" t="str">
        <f t="shared" si="13"/>
        <v>OEHHA 2014</v>
      </c>
      <c r="T11" s="1663">
        <f t="shared" si="14"/>
        <v>3</v>
      </c>
      <c r="U11" s="1663" t="str">
        <f t="shared" si="15"/>
        <v>Rule, OEHHA</v>
      </c>
      <c r="V11" s="1663" t="str">
        <f t="shared" si="19"/>
        <v/>
      </c>
    </row>
    <row r="12" spans="1:24">
      <c r="A12" s="309" t="s">
        <v>95</v>
      </c>
      <c r="B12" s="427" t="s">
        <v>96</v>
      </c>
      <c r="C12" s="1663" t="str">
        <f t="shared" si="0"/>
        <v>--</v>
      </c>
      <c r="D12" s="1663" t="str">
        <f t="shared" si="1"/>
        <v xml:space="preserve"> </v>
      </c>
      <c r="E12" s="1663" t="str">
        <f t="shared" si="2"/>
        <v>--</v>
      </c>
      <c r="F12" s="1663" t="str">
        <f t="shared" si="3"/>
        <v>--</v>
      </c>
      <c r="G12" s="1663" t="str">
        <f t="shared" si="16"/>
        <v/>
      </c>
      <c r="H12" s="1663">
        <f t="shared" si="4"/>
        <v>2.3999999999999998E-3</v>
      </c>
      <c r="I12" s="1663" t="str">
        <f t="shared" si="5"/>
        <v>IRIS 1998</v>
      </c>
      <c r="J12" s="1663">
        <f t="shared" si="6"/>
        <v>2.3999999999999998E-3</v>
      </c>
      <c r="K12" s="1663" t="str">
        <f t="shared" si="7"/>
        <v>IRIS</v>
      </c>
      <c r="L12" s="1663" t="str">
        <f t="shared" si="17"/>
        <v/>
      </c>
      <c r="M12" s="1663">
        <f t="shared" si="8"/>
        <v>2.0000000000000001E-4</v>
      </c>
      <c r="N12" s="1663" t="str">
        <f t="shared" si="9"/>
        <v>OEHHA 2009</v>
      </c>
      <c r="O12" s="1663">
        <f t="shared" si="10"/>
        <v>2.0000000000000001E-4</v>
      </c>
      <c r="P12" s="1663" t="str">
        <f t="shared" si="11"/>
        <v>Rule, OEHHA PHG</v>
      </c>
      <c r="Q12" s="1663" t="str">
        <f t="shared" si="18"/>
        <v/>
      </c>
      <c r="R12" s="1663">
        <f t="shared" si="12"/>
        <v>7.0000000000000001E-3</v>
      </c>
      <c r="S12" s="1663" t="str">
        <f t="shared" si="13"/>
        <v>OEHHA 2008</v>
      </c>
      <c r="T12" s="1663">
        <f t="shared" si="14"/>
        <v>7.0000000000000001E-3</v>
      </c>
      <c r="U12" s="1663" t="str">
        <f t="shared" si="15"/>
        <v>Rule, OEHHA</v>
      </c>
      <c r="V12" s="1663" t="str">
        <f t="shared" si="19"/>
        <v/>
      </c>
    </row>
    <row r="13" spans="1:24">
      <c r="A13" s="309" t="s">
        <v>97</v>
      </c>
      <c r="B13" s="427" t="s">
        <v>98</v>
      </c>
      <c r="C13" s="1663">
        <f t="shared" si="0"/>
        <v>8.0000000000000002E-3</v>
      </c>
      <c r="D13" s="1663" t="str">
        <f t="shared" si="1"/>
        <v>IRIS 2013</v>
      </c>
      <c r="E13" s="1663">
        <f t="shared" si="2"/>
        <v>8.0000000000000002E-3</v>
      </c>
      <c r="F13" s="1663" t="str">
        <f t="shared" si="3"/>
        <v>IRIS</v>
      </c>
      <c r="G13" s="1663" t="str">
        <f t="shared" si="16"/>
        <v/>
      </c>
      <c r="H13" s="1663" t="str">
        <f t="shared" si="4"/>
        <v>--</v>
      </c>
      <c r="I13" s="1663" t="str">
        <f t="shared" si="5"/>
        <v xml:space="preserve"> </v>
      </c>
      <c r="J13" s="1663">
        <f t="shared" si="6"/>
        <v>1.9999999999999999E-6</v>
      </c>
      <c r="K13" s="1665" t="str">
        <f t="shared" si="7"/>
        <v>Route (IRIS)</v>
      </c>
      <c r="L13" s="1665">
        <f t="shared" si="17"/>
        <v>1</v>
      </c>
      <c r="M13" s="1663">
        <f t="shared" si="8"/>
        <v>0.5</v>
      </c>
      <c r="N13" s="1663" t="str">
        <f t="shared" si="9"/>
        <v>IRIS 2013</v>
      </c>
      <c r="O13" s="1663">
        <f t="shared" si="10"/>
        <v>0.5</v>
      </c>
      <c r="P13" s="1663" t="str">
        <f t="shared" si="11"/>
        <v>IRIS</v>
      </c>
      <c r="Q13" s="1663" t="str">
        <f t="shared" si="18"/>
        <v/>
      </c>
      <c r="R13" s="1663">
        <f t="shared" si="12"/>
        <v>0.4</v>
      </c>
      <c r="S13" s="1663" t="str">
        <f t="shared" si="13"/>
        <v>PPRTV 2011</v>
      </c>
      <c r="T13" s="1663">
        <f t="shared" si="14"/>
        <v>0.4</v>
      </c>
      <c r="U13" s="1663" t="str">
        <f t="shared" si="15"/>
        <v>sPPRTV</v>
      </c>
      <c r="V13" s="1663" t="str">
        <f t="shared" si="19"/>
        <v/>
      </c>
      <c r="X13" t="s">
        <v>4085</v>
      </c>
    </row>
    <row r="14" spans="1:24">
      <c r="A14" s="309" t="s">
        <v>99</v>
      </c>
      <c r="B14" s="427" t="s">
        <v>100</v>
      </c>
      <c r="C14" s="1663">
        <f t="shared" si="0"/>
        <v>2.5</v>
      </c>
      <c r="D14" s="1663" t="str">
        <f t="shared" si="1"/>
        <v>OEHHA 2009</v>
      </c>
      <c r="E14" s="1663">
        <f t="shared" si="2"/>
        <v>2.5</v>
      </c>
      <c r="F14" s="1663" t="str">
        <f t="shared" si="3"/>
        <v>Rule, OEHHA</v>
      </c>
      <c r="G14" s="1663" t="str">
        <f t="shared" si="16"/>
        <v/>
      </c>
      <c r="H14" s="1663">
        <f t="shared" si="4"/>
        <v>7.1000000000000002E-4</v>
      </c>
      <c r="I14" s="1663" t="str">
        <f t="shared" si="5"/>
        <v>OEHHA 2009</v>
      </c>
      <c r="J14" s="1663">
        <f t="shared" si="6"/>
        <v>7.1000000000000002E-4</v>
      </c>
      <c r="K14" s="1663" t="str">
        <f t="shared" si="7"/>
        <v>Rule, OEHHA</v>
      </c>
      <c r="L14" s="1663" t="str">
        <f t="shared" si="17"/>
        <v/>
      </c>
      <c r="M14" s="1663" t="str">
        <f t="shared" si="8"/>
        <v>--</v>
      </c>
      <c r="N14" s="1663" t="str">
        <f t="shared" si="9"/>
        <v xml:space="preserve"> </v>
      </c>
      <c r="O14" s="1663" t="str">
        <f t="shared" si="10"/>
        <v>--</v>
      </c>
      <c r="P14" s="1663" t="str">
        <f t="shared" si="11"/>
        <v>--</v>
      </c>
      <c r="Q14" s="1663" t="str">
        <f t="shared" si="18"/>
        <v/>
      </c>
      <c r="R14" s="1663" t="str">
        <f t="shared" si="12"/>
        <v>--</v>
      </c>
      <c r="S14" s="1663" t="str">
        <f t="shared" si="13"/>
        <v xml:space="preserve"> </v>
      </c>
      <c r="T14" s="1663" t="str">
        <f t="shared" si="14"/>
        <v>--</v>
      </c>
      <c r="U14" s="1663" t="str">
        <f t="shared" si="15"/>
        <v>--</v>
      </c>
      <c r="V14" s="1663" t="str">
        <f t="shared" si="19"/>
        <v/>
      </c>
    </row>
    <row r="15" spans="1:24">
      <c r="A15" s="136" t="s">
        <v>101</v>
      </c>
      <c r="B15" s="427" t="s">
        <v>102</v>
      </c>
      <c r="C15" s="1663" t="str">
        <f t="shared" si="0"/>
        <v>--</v>
      </c>
      <c r="D15" s="1663" t="str">
        <f t="shared" si="1"/>
        <v xml:space="preserve"> </v>
      </c>
      <c r="E15" s="1663" t="str">
        <f t="shared" si="2"/>
        <v>--</v>
      </c>
      <c r="F15" s="1663" t="str">
        <f t="shared" si="3"/>
        <v>--</v>
      </c>
      <c r="G15" s="1663" t="str">
        <f t="shared" si="16"/>
        <v/>
      </c>
      <c r="H15" s="1663" t="str">
        <f t="shared" si="4"/>
        <v>--</v>
      </c>
      <c r="I15" s="1663" t="str">
        <f t="shared" si="5"/>
        <v xml:space="preserve"> </v>
      </c>
      <c r="J15" s="1663" t="str">
        <f t="shared" si="6"/>
        <v>--</v>
      </c>
      <c r="K15" s="1663" t="str">
        <f t="shared" si="7"/>
        <v>--</v>
      </c>
      <c r="L15" s="1663" t="str">
        <f t="shared" si="17"/>
        <v/>
      </c>
      <c r="M15" s="1663">
        <f t="shared" si="8"/>
        <v>0.04</v>
      </c>
      <c r="N15" s="1663" t="str">
        <f t="shared" si="9"/>
        <v>IRIS 1989</v>
      </c>
      <c r="O15" s="1663">
        <f t="shared" si="10"/>
        <v>0.04</v>
      </c>
      <c r="P15" s="1663" t="str">
        <f t="shared" si="11"/>
        <v>IRIS</v>
      </c>
      <c r="Q15" s="1663" t="str">
        <f t="shared" si="18"/>
        <v/>
      </c>
      <c r="R15" s="1663" t="str">
        <f t="shared" si="12"/>
        <v>--</v>
      </c>
      <c r="S15" s="1663" t="str">
        <f t="shared" si="13"/>
        <v xml:space="preserve"> </v>
      </c>
      <c r="T15" s="1663">
        <f t="shared" si="14"/>
        <v>160</v>
      </c>
      <c r="U15" s="1665" t="str">
        <f t="shared" si="15"/>
        <v>Route (IRIS)</v>
      </c>
      <c r="V15" s="1665">
        <f t="shared" si="19"/>
        <v>1</v>
      </c>
      <c r="X15" s="55" t="s">
        <v>4084</v>
      </c>
    </row>
    <row r="16" spans="1:24">
      <c r="A16" s="309" t="s">
        <v>103</v>
      </c>
      <c r="B16" s="427" t="s">
        <v>104</v>
      </c>
      <c r="C16" s="1663">
        <f t="shared" si="0"/>
        <v>1.4E-2</v>
      </c>
      <c r="D16" s="1663" t="str">
        <f t="shared" si="1"/>
        <v>IRIS 1988</v>
      </c>
      <c r="E16" s="1663">
        <f t="shared" si="2"/>
        <v>1.4E-2</v>
      </c>
      <c r="F16" s="1663" t="str">
        <f t="shared" si="3"/>
        <v>IRIS</v>
      </c>
      <c r="G16" s="1663" t="str">
        <f t="shared" si="16"/>
        <v/>
      </c>
      <c r="H16" s="1663">
        <f t="shared" si="4"/>
        <v>2.3999999999999999E-6</v>
      </c>
      <c r="I16" s="1663" t="str">
        <f t="shared" si="5"/>
        <v>OEHHA 2009</v>
      </c>
      <c r="J16" s="1663">
        <f t="shared" si="6"/>
        <v>2.3999999999999999E-6</v>
      </c>
      <c r="K16" s="1663" t="str">
        <f t="shared" si="7"/>
        <v>OEHHA</v>
      </c>
      <c r="L16" s="1663" t="str">
        <f t="shared" si="17"/>
        <v/>
      </c>
      <c r="M16" s="1663">
        <f t="shared" si="8"/>
        <v>0.02</v>
      </c>
      <c r="N16" s="1663" t="str">
        <f t="shared" si="9"/>
        <v>IRIS 1988</v>
      </c>
      <c r="O16" s="1663">
        <f t="shared" si="10"/>
        <v>0.02</v>
      </c>
      <c r="P16" s="1663" t="str">
        <f t="shared" si="11"/>
        <v>IRIS</v>
      </c>
      <c r="Q16" s="1663" t="str">
        <f t="shared" si="18"/>
        <v/>
      </c>
      <c r="R16" s="1663" t="str">
        <f t="shared" si="12"/>
        <v>--</v>
      </c>
      <c r="S16" s="1663" t="str">
        <f t="shared" si="13"/>
        <v xml:space="preserve"> </v>
      </c>
      <c r="T16" s="1663" t="str">
        <f t="shared" si="14"/>
        <v>--</v>
      </c>
      <c r="U16" s="1663" t="str">
        <f t="shared" si="15"/>
        <v>--</v>
      </c>
      <c r="V16" s="1663" t="str">
        <f t="shared" si="19"/>
        <v/>
      </c>
    </row>
    <row r="17" spans="1:24">
      <c r="A17" s="309" t="s">
        <v>105</v>
      </c>
      <c r="B17" s="427" t="s">
        <v>106</v>
      </c>
      <c r="C17" s="1663" t="str">
        <f t="shared" si="0"/>
        <v>--</v>
      </c>
      <c r="D17" s="1663" t="str">
        <f t="shared" si="1"/>
        <v xml:space="preserve"> </v>
      </c>
      <c r="E17" s="1663" t="str">
        <f t="shared" si="2"/>
        <v>--</v>
      </c>
      <c r="F17" s="1663" t="str">
        <f t="shared" si="3"/>
        <v>--</v>
      </c>
      <c r="G17" s="1663" t="str">
        <f t="shared" si="16"/>
        <v/>
      </c>
      <c r="H17" s="1663" t="str">
        <f t="shared" si="4"/>
        <v>--</v>
      </c>
      <c r="I17" s="1663" t="str">
        <f t="shared" si="5"/>
        <v xml:space="preserve"> </v>
      </c>
      <c r="J17" s="1663" t="str">
        <f t="shared" si="6"/>
        <v>--</v>
      </c>
      <c r="K17" s="1663" t="str">
        <f t="shared" si="7"/>
        <v>--</v>
      </c>
      <c r="L17" s="1663" t="str">
        <f t="shared" si="17"/>
        <v/>
      </c>
      <c r="M17" s="1663">
        <f t="shared" si="8"/>
        <v>0.2</v>
      </c>
      <c r="N17" s="1663" t="str">
        <f t="shared" si="9"/>
        <v>IRIS 2004</v>
      </c>
      <c r="O17" s="1663">
        <f t="shared" si="10"/>
        <v>0.2</v>
      </c>
      <c r="P17" s="1663" t="str">
        <f t="shared" si="11"/>
        <v>IRIS</v>
      </c>
      <c r="Q17" s="1663" t="str">
        <f t="shared" si="18"/>
        <v/>
      </c>
      <c r="R17" s="1663">
        <f t="shared" si="12"/>
        <v>20</v>
      </c>
      <c r="S17" s="1663" t="str">
        <f t="shared" si="13"/>
        <v>HEAST 1997</v>
      </c>
      <c r="T17" s="1663">
        <f t="shared" si="14"/>
        <v>20</v>
      </c>
      <c r="U17" s="1663" t="str">
        <f t="shared" si="15"/>
        <v>HEAST</v>
      </c>
      <c r="V17" s="1663" t="str">
        <f t="shared" si="19"/>
        <v/>
      </c>
    </row>
    <row r="18" spans="1:24">
      <c r="A18" s="309" t="s">
        <v>107</v>
      </c>
      <c r="B18" s="427" t="s">
        <v>108</v>
      </c>
      <c r="C18" s="1663">
        <f t="shared" si="0"/>
        <v>6.2E-2</v>
      </c>
      <c r="D18" s="1663" t="str">
        <f t="shared" si="1"/>
        <v>IRIS 1993</v>
      </c>
      <c r="E18" s="1663">
        <f t="shared" si="2"/>
        <v>6.2E-2</v>
      </c>
      <c r="F18" s="1663" t="str">
        <f t="shared" si="3"/>
        <v>IRIS</v>
      </c>
      <c r="G18" s="1663" t="str">
        <f t="shared" si="16"/>
        <v/>
      </c>
      <c r="H18" s="1663">
        <f t="shared" si="4"/>
        <v>3.6999999999999998E-5</v>
      </c>
      <c r="I18" s="1663" t="str">
        <f t="shared" si="5"/>
        <v>OEHHA 1987</v>
      </c>
      <c r="J18" s="1663">
        <f t="shared" si="6"/>
        <v>3.6999999999999998E-5</v>
      </c>
      <c r="K18" s="1663" t="str">
        <f t="shared" si="7"/>
        <v>OEHHA</v>
      </c>
      <c r="L18" s="1663" t="str">
        <f t="shared" si="17"/>
        <v/>
      </c>
      <c r="M18" s="1663">
        <f t="shared" si="8"/>
        <v>8.0000000000000002E-3</v>
      </c>
      <c r="N18" s="1663" t="str">
        <f t="shared" si="9"/>
        <v>PPRTV 2009*</v>
      </c>
      <c r="O18" s="1663">
        <f t="shared" si="10"/>
        <v>8.0000000000000002E-3</v>
      </c>
      <c r="P18" s="1663" t="str">
        <f t="shared" si="11"/>
        <v>PPRTV</v>
      </c>
      <c r="Q18" s="1663" t="str">
        <f t="shared" si="18"/>
        <v/>
      </c>
      <c r="R18" s="1663" t="str">
        <f t="shared" si="12"/>
        <v>--</v>
      </c>
      <c r="S18" s="1663" t="str">
        <f t="shared" si="13"/>
        <v xml:space="preserve"> </v>
      </c>
      <c r="T18" s="1663">
        <f t="shared" si="14"/>
        <v>32</v>
      </c>
      <c r="U18" s="1665" t="str">
        <f t="shared" si="15"/>
        <v>Route (PPRTV)</v>
      </c>
      <c r="V18" s="1665">
        <f t="shared" si="19"/>
        <v>1</v>
      </c>
      <c r="X18" s="55" t="s">
        <v>4084</v>
      </c>
    </row>
    <row r="19" spans="1:24">
      <c r="A19" s="309" t="s">
        <v>109</v>
      </c>
      <c r="B19" s="427" t="s">
        <v>110</v>
      </c>
      <c r="C19" s="1663">
        <f t="shared" si="0"/>
        <v>7.9000000000000008E-3</v>
      </c>
      <c r="D19" s="1663" t="str">
        <f t="shared" si="1"/>
        <v>IRIS 1993</v>
      </c>
      <c r="E19" s="1663">
        <f t="shared" si="2"/>
        <v>7.9000000000000008E-3</v>
      </c>
      <c r="F19" s="1663" t="str">
        <f t="shared" si="3"/>
        <v>IRIS</v>
      </c>
      <c r="G19" s="1663" t="str">
        <f t="shared" si="16"/>
        <v/>
      </c>
      <c r="H19" s="1663">
        <f t="shared" si="4"/>
        <v>1.1000000000000001E-6</v>
      </c>
      <c r="I19" s="1663" t="str">
        <f t="shared" si="5"/>
        <v>IRIS 1993</v>
      </c>
      <c r="J19" s="1663">
        <f t="shared" si="6"/>
        <v>1.1000000000000001E-6</v>
      </c>
      <c r="K19" s="1663" t="str">
        <f t="shared" si="7"/>
        <v>IRIS</v>
      </c>
      <c r="L19" s="1663" t="str">
        <f t="shared" si="17"/>
        <v/>
      </c>
      <c r="M19" s="1663">
        <f t="shared" si="8"/>
        <v>0.02</v>
      </c>
      <c r="N19" s="1663" t="str">
        <f t="shared" si="9"/>
        <v>IRIS 1993</v>
      </c>
      <c r="O19" s="1663">
        <f t="shared" si="10"/>
        <v>0.02</v>
      </c>
      <c r="P19" s="1663" t="str">
        <f t="shared" si="11"/>
        <v>IRIS</v>
      </c>
      <c r="Q19" s="1663" t="str">
        <f t="shared" si="18"/>
        <v/>
      </c>
      <c r="R19" s="1663" t="str">
        <f t="shared" si="12"/>
        <v>--</v>
      </c>
      <c r="S19" s="1663" t="str">
        <f t="shared" si="13"/>
        <v xml:space="preserve"> </v>
      </c>
      <c r="T19" s="1663">
        <f t="shared" si="14"/>
        <v>80</v>
      </c>
      <c r="U19" s="1665" t="str">
        <f t="shared" si="15"/>
        <v>Route (IRIS)</v>
      </c>
      <c r="V19" s="1665">
        <f t="shared" si="19"/>
        <v>1</v>
      </c>
      <c r="X19" s="55" t="s">
        <v>4084</v>
      </c>
    </row>
    <row r="20" spans="1:24">
      <c r="A20" s="309" t="s">
        <v>111</v>
      </c>
      <c r="B20" s="427" t="s">
        <v>112</v>
      </c>
      <c r="C20" s="1663" t="str">
        <f t="shared" si="0"/>
        <v>--</v>
      </c>
      <c r="D20" s="1663" t="str">
        <f t="shared" si="1"/>
        <v xml:space="preserve"> </v>
      </c>
      <c r="E20" s="1663" t="str">
        <f t="shared" si="2"/>
        <v>--</v>
      </c>
      <c r="F20" s="1663" t="str">
        <f t="shared" si="3"/>
        <v>--</v>
      </c>
      <c r="G20" s="1663" t="str">
        <f t="shared" si="16"/>
        <v/>
      </c>
      <c r="H20" s="1663" t="str">
        <f t="shared" si="4"/>
        <v>--</v>
      </c>
      <c r="I20" s="1663" t="str">
        <f t="shared" si="5"/>
        <v xml:space="preserve"> </v>
      </c>
      <c r="J20" s="1663" t="str">
        <f t="shared" si="6"/>
        <v>--</v>
      </c>
      <c r="K20" s="1663" t="str">
        <f t="shared" si="7"/>
        <v>--</v>
      </c>
      <c r="L20" s="1663" t="str">
        <f t="shared" si="17"/>
        <v/>
      </c>
      <c r="M20" s="1663">
        <f t="shared" si="8"/>
        <v>1.4E-3</v>
      </c>
      <c r="N20" s="1663" t="str">
        <f t="shared" si="9"/>
        <v>IRIS 1992</v>
      </c>
      <c r="O20" s="1663">
        <f t="shared" si="10"/>
        <v>1.4E-3</v>
      </c>
      <c r="P20" s="1663" t="str">
        <f t="shared" si="11"/>
        <v>IRIS</v>
      </c>
      <c r="Q20" s="1663" t="str">
        <f t="shared" si="18"/>
        <v/>
      </c>
      <c r="R20" s="1663">
        <f t="shared" si="12"/>
        <v>5</v>
      </c>
      <c r="S20" s="1663" t="str">
        <f t="shared" si="13"/>
        <v>IRIS 1992</v>
      </c>
      <c r="T20" s="1663">
        <f t="shared" si="14"/>
        <v>5</v>
      </c>
      <c r="U20" s="1663" t="str">
        <f t="shared" si="15"/>
        <v>IRIS</v>
      </c>
      <c r="V20" s="1663" t="str">
        <f t="shared" si="19"/>
        <v/>
      </c>
    </row>
    <row r="21" spans="1:24">
      <c r="A21" s="309" t="s">
        <v>113</v>
      </c>
      <c r="B21" s="427" t="s">
        <v>114</v>
      </c>
      <c r="C21" s="1663" t="str">
        <f t="shared" si="0"/>
        <v>--</v>
      </c>
      <c r="D21" s="1663" t="str">
        <f t="shared" si="1"/>
        <v xml:space="preserve"> </v>
      </c>
      <c r="E21" s="1663" t="str">
        <f t="shared" si="2"/>
        <v>--</v>
      </c>
      <c r="F21" s="1663" t="str">
        <f t="shared" si="3"/>
        <v>--</v>
      </c>
      <c r="G21" s="1663" t="str">
        <f t="shared" si="16"/>
        <v/>
      </c>
      <c r="H21" s="1663">
        <f t="shared" si="4"/>
        <v>4.1999999999999997E-3</v>
      </c>
      <c r="I21" s="1663" t="str">
        <f t="shared" si="5"/>
        <v>OEHHA 2009</v>
      </c>
      <c r="J21" s="1663">
        <f t="shared" si="6"/>
        <v>4.1999999999999997E-3</v>
      </c>
      <c r="K21" s="1663" t="str">
        <f t="shared" si="7"/>
        <v>Rule, OEHHA</v>
      </c>
      <c r="L21" s="1663" t="str">
        <f t="shared" si="17"/>
        <v/>
      </c>
      <c r="M21" s="1663">
        <f t="shared" si="8"/>
        <v>1E-4</v>
      </c>
      <c r="N21" s="1663" t="str">
        <f t="shared" si="9"/>
        <v>ATSDR 2012*</v>
      </c>
      <c r="O21" s="1663">
        <f t="shared" si="10"/>
        <v>1E-4</v>
      </c>
      <c r="P21" s="1663" t="str">
        <f t="shared" si="11"/>
        <v>ATSDR</v>
      </c>
      <c r="Q21" s="1663" t="str">
        <f t="shared" si="18"/>
        <v/>
      </c>
      <c r="R21" s="1663">
        <f t="shared" si="12"/>
        <v>0.01</v>
      </c>
      <c r="S21" s="1663" t="str">
        <f t="shared" si="13"/>
        <v>ATSDR 2012</v>
      </c>
      <c r="T21" s="1663">
        <f t="shared" si="14"/>
        <v>0.01</v>
      </c>
      <c r="U21" s="1663" t="str">
        <f t="shared" si="15"/>
        <v>ATSDR</v>
      </c>
      <c r="V21" s="1663" t="str">
        <f t="shared" si="19"/>
        <v/>
      </c>
    </row>
    <row r="22" spans="1:24">
      <c r="A22" s="309" t="s">
        <v>116</v>
      </c>
      <c r="B22" s="427" t="s">
        <v>114</v>
      </c>
      <c r="C22" s="1663" t="str">
        <f t="shared" si="0"/>
        <v>--</v>
      </c>
      <c r="D22" s="1663" t="str">
        <f t="shared" si="1"/>
        <v xml:space="preserve"> </v>
      </c>
      <c r="E22" s="1663" t="str">
        <f t="shared" si="2"/>
        <v>--</v>
      </c>
      <c r="F22" s="1663" t="str">
        <f t="shared" si="3"/>
        <v>--</v>
      </c>
      <c r="G22" s="1663" t="str">
        <f t="shared" si="16"/>
        <v/>
      </c>
      <c r="H22" s="1663">
        <f t="shared" si="4"/>
        <v>4.1999999999999997E-3</v>
      </c>
      <c r="I22" s="1663" t="str">
        <f t="shared" si="5"/>
        <v>OEHHA 2009</v>
      </c>
      <c r="J22" s="1663">
        <f t="shared" si="6"/>
        <v>4.1999999999999997E-3</v>
      </c>
      <c r="K22" s="1663" t="str">
        <f t="shared" si="7"/>
        <v>Rule, OEHHA</v>
      </c>
      <c r="L22" s="1663" t="str">
        <f t="shared" si="17"/>
        <v/>
      </c>
      <c r="M22" s="1663">
        <f t="shared" si="8"/>
        <v>1E-4</v>
      </c>
      <c r="N22" s="1663" t="str">
        <f t="shared" si="9"/>
        <v>ATSDR 2012*</v>
      </c>
      <c r="O22" s="1663">
        <f t="shared" si="10"/>
        <v>1E-4</v>
      </c>
      <c r="P22" s="1663" t="str">
        <f t="shared" si="11"/>
        <v>ATSDR</v>
      </c>
      <c r="Q22" s="1663" t="str">
        <f t="shared" si="18"/>
        <v/>
      </c>
      <c r="R22" s="1663">
        <f t="shared" si="12"/>
        <v>0.01</v>
      </c>
      <c r="S22" s="1663" t="str">
        <f t="shared" si="13"/>
        <v>ATSDR 2012</v>
      </c>
      <c r="T22" s="1663">
        <f t="shared" si="14"/>
        <v>0.01</v>
      </c>
      <c r="U22" s="1663" t="str">
        <f t="shared" si="15"/>
        <v>ATSDR</v>
      </c>
      <c r="V22" s="1663" t="str">
        <f t="shared" si="19"/>
        <v/>
      </c>
    </row>
    <row r="23" spans="1:24">
      <c r="A23" s="309" t="s">
        <v>117</v>
      </c>
      <c r="B23" s="427" t="s">
        <v>118</v>
      </c>
      <c r="C23" s="1663">
        <f t="shared" si="0"/>
        <v>7.0000000000000007E-2</v>
      </c>
      <c r="D23" s="1663" t="str">
        <f t="shared" si="1"/>
        <v>IRIS 2010</v>
      </c>
      <c r="E23" s="1663">
        <f t="shared" si="2"/>
        <v>7.0000000000000007E-2</v>
      </c>
      <c r="F23" s="1663" t="str">
        <f t="shared" si="3"/>
        <v>IRIS</v>
      </c>
      <c r="G23" s="1663" t="str">
        <f t="shared" si="16"/>
        <v/>
      </c>
      <c r="H23" s="1663">
        <f t="shared" si="4"/>
        <v>6.0000000000000002E-6</v>
      </c>
      <c r="I23" s="1663" t="str">
        <f t="shared" si="5"/>
        <v>IRIS 2010</v>
      </c>
      <c r="J23" s="1663">
        <f t="shared" si="6"/>
        <v>6.0000000000000002E-6</v>
      </c>
      <c r="K23" s="1663" t="str">
        <f t="shared" si="7"/>
        <v>IRIS</v>
      </c>
      <c r="L23" s="1663" t="str">
        <f t="shared" si="17"/>
        <v/>
      </c>
      <c r="M23" s="1663">
        <f t="shared" si="8"/>
        <v>4.0000000000000001E-3</v>
      </c>
      <c r="N23" s="1663" t="str">
        <f t="shared" si="9"/>
        <v>IRIS 2010</v>
      </c>
      <c r="O23" s="1663">
        <f t="shared" si="10"/>
        <v>4.0000000000000001E-3</v>
      </c>
      <c r="P23" s="1663" t="str">
        <f t="shared" si="11"/>
        <v>IRIS</v>
      </c>
      <c r="Q23" s="1663" t="str">
        <f t="shared" si="18"/>
        <v/>
      </c>
      <c r="R23" s="1663">
        <f t="shared" si="12"/>
        <v>40</v>
      </c>
      <c r="S23" s="1663" t="str">
        <f t="shared" si="13"/>
        <v>OEHHA 2008</v>
      </c>
      <c r="T23" s="1663">
        <f t="shared" si="14"/>
        <v>40</v>
      </c>
      <c r="U23" s="1663" t="str">
        <f t="shared" si="15"/>
        <v>Rule, OEHHA</v>
      </c>
      <c r="V23" s="1663" t="str">
        <f t="shared" si="19"/>
        <v/>
      </c>
    </row>
    <row r="24" spans="1:24">
      <c r="A24" s="309" t="s">
        <v>119</v>
      </c>
      <c r="B24" s="427" t="s">
        <v>120</v>
      </c>
      <c r="C24" s="1663">
        <f t="shared" si="0"/>
        <v>0.35</v>
      </c>
      <c r="D24" s="1663" t="str">
        <f t="shared" si="1"/>
        <v>IRIS 1998</v>
      </c>
      <c r="E24" s="1663">
        <f t="shared" si="2"/>
        <v>0.35</v>
      </c>
      <c r="F24" s="1663" t="str">
        <f t="shared" si="3"/>
        <v>IRIS</v>
      </c>
      <c r="G24" s="1663" t="str">
        <f t="shared" si="16"/>
        <v/>
      </c>
      <c r="H24" s="1663">
        <f t="shared" si="4"/>
        <v>1E-4</v>
      </c>
      <c r="I24" s="1663" t="str">
        <f t="shared" si="5"/>
        <v>IRIS 1998</v>
      </c>
      <c r="J24" s="1663">
        <f t="shared" si="6"/>
        <v>1E-4</v>
      </c>
      <c r="K24" s="1663" t="str">
        <f t="shared" si="7"/>
        <v>IRIS</v>
      </c>
      <c r="L24" s="1663" t="str">
        <f t="shared" si="17"/>
        <v/>
      </c>
      <c r="M24" s="1663">
        <f t="shared" si="8"/>
        <v>5.0000000000000001E-4</v>
      </c>
      <c r="N24" s="1663" t="str">
        <f t="shared" si="9"/>
        <v>IRIS 1988</v>
      </c>
      <c r="O24" s="1663">
        <f t="shared" si="10"/>
        <v>5.0000000000000001E-4</v>
      </c>
      <c r="P24" s="1663" t="str">
        <f t="shared" si="11"/>
        <v>IRIS</v>
      </c>
      <c r="Q24" s="1663" t="str">
        <f t="shared" si="18"/>
        <v/>
      </c>
      <c r="R24" s="1663">
        <f t="shared" si="12"/>
        <v>0.7</v>
      </c>
      <c r="S24" s="1663" t="str">
        <f t="shared" si="13"/>
        <v>IRIS 1998</v>
      </c>
      <c r="T24" s="1663">
        <f t="shared" si="14"/>
        <v>0.7</v>
      </c>
      <c r="U24" s="1663" t="str">
        <f t="shared" si="15"/>
        <v>IRIS</v>
      </c>
      <c r="V24" s="1663" t="str">
        <f t="shared" si="19"/>
        <v/>
      </c>
    </row>
    <row r="25" spans="1:24">
      <c r="A25" s="309" t="s">
        <v>121</v>
      </c>
      <c r="B25" s="427" t="s">
        <v>122</v>
      </c>
      <c r="C25" s="1663">
        <f t="shared" si="0"/>
        <v>0.2</v>
      </c>
      <c r="D25" s="1663" t="str">
        <f t="shared" si="1"/>
        <v>PPRTV 2008</v>
      </c>
      <c r="E25" s="1663">
        <f t="shared" si="2"/>
        <v>0.2</v>
      </c>
      <c r="F25" s="1663" t="str">
        <f t="shared" si="3"/>
        <v>PPRTV</v>
      </c>
      <c r="G25" s="1663" t="str">
        <f t="shared" si="16"/>
        <v/>
      </c>
      <c r="H25" s="1663" t="str">
        <f t="shared" si="4"/>
        <v>--</v>
      </c>
      <c r="I25" s="1663" t="str">
        <f t="shared" si="5"/>
        <v xml:space="preserve"> </v>
      </c>
      <c r="J25" s="1663" t="str">
        <f t="shared" si="6"/>
        <v>--</v>
      </c>
      <c r="K25" s="1663" t="str">
        <f t="shared" si="7"/>
        <v>--</v>
      </c>
      <c r="L25" s="1663" t="str">
        <f t="shared" si="17"/>
        <v/>
      </c>
      <c r="M25" s="1663">
        <f t="shared" si="8"/>
        <v>5.0000000000000001E-4</v>
      </c>
      <c r="N25" s="1663" t="str">
        <f t="shared" si="9"/>
        <v>PPRTV 2008*</v>
      </c>
      <c r="O25" s="1663">
        <f t="shared" si="10"/>
        <v>5.0000000000000001E-4</v>
      </c>
      <c r="P25" s="1663" t="str">
        <f t="shared" si="11"/>
        <v>PPRTV</v>
      </c>
      <c r="Q25" s="1663" t="str">
        <f t="shared" si="18"/>
        <v/>
      </c>
      <c r="R25" s="1663" t="str">
        <f t="shared" si="12"/>
        <v>--</v>
      </c>
      <c r="S25" s="1663" t="str">
        <f t="shared" si="13"/>
        <v xml:space="preserve"> </v>
      </c>
      <c r="T25" s="1663" t="str">
        <f t="shared" si="14"/>
        <v>--</v>
      </c>
      <c r="U25" s="1663" t="str">
        <f t="shared" si="15"/>
        <v>--</v>
      </c>
      <c r="V25" s="1663" t="str">
        <f t="shared" si="19"/>
        <v/>
      </c>
    </row>
    <row r="26" spans="1:24">
      <c r="A26" s="309" t="s">
        <v>123</v>
      </c>
      <c r="B26" s="427" t="s">
        <v>124</v>
      </c>
      <c r="C26" s="1663" t="str">
        <f t="shared" si="0"/>
        <v>--</v>
      </c>
      <c r="D26" s="1663" t="str">
        <f t="shared" si="1"/>
        <v xml:space="preserve"> </v>
      </c>
      <c r="E26" s="1663" t="str">
        <f t="shared" si="2"/>
        <v>--</v>
      </c>
      <c r="F26" s="1663" t="str">
        <f t="shared" si="3"/>
        <v>--</v>
      </c>
      <c r="G26" s="1663" t="str">
        <f t="shared" si="16"/>
        <v/>
      </c>
      <c r="H26" s="1663" t="str">
        <f t="shared" si="4"/>
        <v>--</v>
      </c>
      <c r="I26" s="1663" t="str">
        <f t="shared" si="5"/>
        <v xml:space="preserve"> </v>
      </c>
      <c r="J26" s="1663" t="str">
        <f t="shared" si="6"/>
        <v>--</v>
      </c>
      <c r="K26" s="1663" t="str">
        <f t="shared" si="7"/>
        <v>--</v>
      </c>
      <c r="L26" s="1663" t="str">
        <f t="shared" si="17"/>
        <v/>
      </c>
      <c r="M26" s="1663">
        <f t="shared" si="8"/>
        <v>0.02</v>
      </c>
      <c r="N26" s="1663" t="str">
        <f t="shared" si="9"/>
        <v>IRIS 1990</v>
      </c>
      <c r="O26" s="1663">
        <f t="shared" si="10"/>
        <v>0.02</v>
      </c>
      <c r="P26" s="1663" t="str">
        <f t="shared" si="11"/>
        <v>IRIS</v>
      </c>
      <c r="Q26" s="1663" t="str">
        <f t="shared" si="18"/>
        <v/>
      </c>
      <c r="R26" s="1663">
        <f t="shared" si="12"/>
        <v>50</v>
      </c>
      <c r="S26" s="1663" t="str">
        <f t="shared" si="13"/>
        <v>PPRTV 2006</v>
      </c>
      <c r="T26" s="1663">
        <f t="shared" si="14"/>
        <v>50</v>
      </c>
      <c r="U26" s="1663" t="str">
        <f t="shared" si="15"/>
        <v>PPRTV</v>
      </c>
      <c r="V26" s="1663" t="str">
        <f t="shared" si="19"/>
        <v/>
      </c>
    </row>
    <row r="27" spans="1:24">
      <c r="A27" s="309" t="s">
        <v>125</v>
      </c>
      <c r="B27" s="427" t="s">
        <v>126</v>
      </c>
      <c r="C27" s="1663" t="str">
        <f t="shared" si="0"/>
        <v>--</v>
      </c>
      <c r="D27" s="1663" t="str">
        <f t="shared" si="1"/>
        <v xml:space="preserve"> </v>
      </c>
      <c r="E27" s="1663" t="str">
        <f t="shared" si="2"/>
        <v>--</v>
      </c>
      <c r="F27" s="1663" t="str">
        <f t="shared" si="3"/>
        <v>--</v>
      </c>
      <c r="G27" s="1663" t="str">
        <f t="shared" si="16"/>
        <v/>
      </c>
      <c r="H27" s="1663" t="str">
        <f t="shared" si="4"/>
        <v>--</v>
      </c>
      <c r="I27" s="1663" t="str">
        <f t="shared" si="5"/>
        <v xml:space="preserve"> </v>
      </c>
      <c r="J27" s="1663" t="str">
        <f t="shared" si="6"/>
        <v>--</v>
      </c>
      <c r="K27" s="1663" t="str">
        <f t="shared" si="7"/>
        <v>--</v>
      </c>
      <c r="L27" s="1663" t="str">
        <f t="shared" si="17"/>
        <v/>
      </c>
      <c r="M27" s="1663" t="str">
        <f t="shared" si="8"/>
        <v>--</v>
      </c>
      <c r="N27" s="1663" t="str">
        <f t="shared" si="9"/>
        <v xml:space="preserve"> </v>
      </c>
      <c r="O27" s="1663" t="str">
        <f t="shared" si="10"/>
        <v>--</v>
      </c>
      <c r="P27" s="1663" t="str">
        <f t="shared" si="11"/>
        <v>--</v>
      </c>
      <c r="Q27" s="1663" t="str">
        <f t="shared" si="18"/>
        <v/>
      </c>
      <c r="R27" s="1663">
        <f t="shared" si="12"/>
        <v>4000</v>
      </c>
      <c r="S27" s="1663" t="str">
        <f t="shared" si="13"/>
        <v>PPRTV 2006*</v>
      </c>
      <c r="T27" s="1663">
        <f t="shared" si="14"/>
        <v>4000</v>
      </c>
      <c r="U27" s="1663" t="str">
        <f t="shared" si="15"/>
        <v>PPRTV</v>
      </c>
      <c r="V27" s="1663" t="str">
        <f t="shared" si="19"/>
        <v/>
      </c>
    </row>
    <row r="28" spans="1:24">
      <c r="A28" s="309" t="s">
        <v>127</v>
      </c>
      <c r="B28" s="427" t="s">
        <v>128</v>
      </c>
      <c r="C28" s="1663">
        <f t="shared" si="0"/>
        <v>3.1E-2</v>
      </c>
      <c r="D28" s="1663" t="str">
        <f t="shared" si="1"/>
        <v>OEHHA 2009</v>
      </c>
      <c r="E28" s="1663">
        <f t="shared" si="2"/>
        <v>3.1E-2</v>
      </c>
      <c r="F28" s="1663" t="str">
        <f t="shared" si="3"/>
        <v>OEHHA</v>
      </c>
      <c r="G28" s="1663" t="str">
        <f t="shared" si="16"/>
        <v/>
      </c>
      <c r="H28" s="1663">
        <f t="shared" si="4"/>
        <v>2.3E-5</v>
      </c>
      <c r="I28" s="1663" t="str">
        <f t="shared" si="5"/>
        <v>IRIS 2001</v>
      </c>
      <c r="J28" s="1663">
        <f t="shared" si="6"/>
        <v>2.3E-5</v>
      </c>
      <c r="K28" s="1663" t="str">
        <f t="shared" si="7"/>
        <v>IRIS</v>
      </c>
      <c r="L28" s="1663" t="str">
        <f t="shared" si="17"/>
        <v/>
      </c>
      <c r="M28" s="1663">
        <f t="shared" si="8"/>
        <v>0.01</v>
      </c>
      <c r="N28" s="1663" t="str">
        <f t="shared" si="9"/>
        <v>IRIS 2001</v>
      </c>
      <c r="O28" s="1663">
        <f t="shared" si="10"/>
        <v>0.01</v>
      </c>
      <c r="P28" s="1663" t="str">
        <f t="shared" si="11"/>
        <v>IRIS</v>
      </c>
      <c r="Q28" s="1663" t="str">
        <f t="shared" si="18"/>
        <v/>
      </c>
      <c r="R28" s="1663">
        <f t="shared" si="12"/>
        <v>1.95</v>
      </c>
      <c r="S28" s="1663" t="str">
        <f t="shared" si="13"/>
        <v>ATSDR Draft</v>
      </c>
      <c r="T28" s="1663">
        <f t="shared" si="14"/>
        <v>2</v>
      </c>
      <c r="U28" s="1663" t="str">
        <f t="shared" si="15"/>
        <v>ATSDR</v>
      </c>
      <c r="V28" s="1664">
        <f t="shared" si="19"/>
        <v>1</v>
      </c>
      <c r="W28" s="727" t="s">
        <v>4086</v>
      </c>
    </row>
    <row r="29" spans="1:24">
      <c r="A29" s="309" t="s">
        <v>129</v>
      </c>
      <c r="B29" s="427" t="s">
        <v>130</v>
      </c>
      <c r="C29" s="1663" t="str">
        <f t="shared" si="0"/>
        <v>--</v>
      </c>
      <c r="D29" s="1663" t="str">
        <f t="shared" si="1"/>
        <v xml:space="preserve"> </v>
      </c>
      <c r="E29" s="1663" t="str">
        <f t="shared" si="2"/>
        <v>--</v>
      </c>
      <c r="F29" s="1663" t="str">
        <f t="shared" si="3"/>
        <v>--</v>
      </c>
      <c r="G29" s="1663" t="str">
        <f t="shared" si="16"/>
        <v/>
      </c>
      <c r="H29" s="1663" t="str">
        <f t="shared" si="4"/>
        <v>--</v>
      </c>
      <c r="I29" s="1663" t="str">
        <f t="shared" si="5"/>
        <v xml:space="preserve"> </v>
      </c>
      <c r="J29" s="1663" t="str">
        <f t="shared" si="6"/>
        <v>--</v>
      </c>
      <c r="K29" s="1663" t="str">
        <f t="shared" si="7"/>
        <v>--</v>
      </c>
      <c r="L29" s="1663" t="str">
        <f t="shared" si="17"/>
        <v/>
      </c>
      <c r="M29" s="1663" t="str">
        <f t="shared" si="8"/>
        <v>--</v>
      </c>
      <c r="N29" s="1663" t="str">
        <f t="shared" si="9"/>
        <v xml:space="preserve"> </v>
      </c>
      <c r="O29" s="1663" t="str">
        <f t="shared" si="10"/>
        <v>--</v>
      </c>
      <c r="P29" s="1663" t="str">
        <f t="shared" si="11"/>
        <v>--</v>
      </c>
      <c r="Q29" s="1663" t="str">
        <f t="shared" si="18"/>
        <v/>
      </c>
      <c r="R29" s="1663">
        <f t="shared" si="12"/>
        <v>90</v>
      </c>
      <c r="S29" s="1663" t="str">
        <f t="shared" si="13"/>
        <v>IRIS 2001</v>
      </c>
      <c r="T29" s="1663">
        <f t="shared" si="14"/>
        <v>90</v>
      </c>
      <c r="U29" s="1663" t="str">
        <f t="shared" si="15"/>
        <v>IRIS</v>
      </c>
      <c r="V29" s="1663" t="str">
        <f t="shared" si="19"/>
        <v/>
      </c>
    </row>
    <row r="30" spans="1:24">
      <c r="A30" s="309" t="s">
        <v>131</v>
      </c>
      <c r="B30" s="427" t="s">
        <v>132</v>
      </c>
      <c r="C30" s="1663" t="str">
        <f t="shared" si="0"/>
        <v>--</v>
      </c>
      <c r="D30" s="1663" t="str">
        <f t="shared" si="1"/>
        <v xml:space="preserve"> </v>
      </c>
      <c r="E30" s="1663" t="str">
        <f t="shared" si="2"/>
        <v>--</v>
      </c>
      <c r="F30" s="1663" t="str">
        <f t="shared" si="3"/>
        <v>--</v>
      </c>
      <c r="G30" s="1663" t="str">
        <f t="shared" si="16"/>
        <v/>
      </c>
      <c r="H30" s="1663" t="str">
        <f t="shared" si="4"/>
        <v>--</v>
      </c>
      <c r="I30" s="1663" t="str">
        <f t="shared" si="5"/>
        <v xml:space="preserve"> </v>
      </c>
      <c r="J30" s="1663" t="str">
        <f t="shared" si="6"/>
        <v>--</v>
      </c>
      <c r="K30" s="1663" t="str">
        <f t="shared" si="7"/>
        <v>--</v>
      </c>
      <c r="L30" s="1663" t="str">
        <f t="shared" si="17"/>
        <v/>
      </c>
      <c r="M30" s="1663">
        <f t="shared" si="8"/>
        <v>5.0000000000000001E-3</v>
      </c>
      <c r="N30" s="1663" t="str">
        <f t="shared" si="9"/>
        <v>IRIS 1988</v>
      </c>
      <c r="O30" s="1663">
        <f t="shared" si="10"/>
        <v>5.0000000000000001E-3</v>
      </c>
      <c r="P30" s="1663" t="str">
        <f t="shared" si="11"/>
        <v>IRIS</v>
      </c>
      <c r="Q30" s="1663" t="str">
        <f t="shared" si="18"/>
        <v/>
      </c>
      <c r="R30" s="1663" t="str">
        <f t="shared" si="12"/>
        <v>--</v>
      </c>
      <c r="S30" s="1663" t="str">
        <f t="shared" si="13"/>
        <v xml:space="preserve"> </v>
      </c>
      <c r="T30" s="1663">
        <f t="shared" si="14"/>
        <v>20</v>
      </c>
      <c r="U30" s="1665" t="str">
        <f t="shared" si="15"/>
        <v>Route (IRIS)</v>
      </c>
      <c r="V30" s="1665">
        <f t="shared" si="19"/>
        <v>1</v>
      </c>
      <c r="X30" s="55" t="s">
        <v>4084</v>
      </c>
    </row>
    <row r="31" spans="1:24">
      <c r="A31" s="309" t="s">
        <v>133</v>
      </c>
      <c r="B31" s="427" t="s">
        <v>134</v>
      </c>
      <c r="C31" s="1663" t="str">
        <f t="shared" si="0"/>
        <v>--</v>
      </c>
      <c r="D31" s="1663" t="str">
        <f t="shared" si="1"/>
        <v xml:space="preserve"> </v>
      </c>
      <c r="E31" s="1663" t="str">
        <f t="shared" si="2"/>
        <v>--</v>
      </c>
      <c r="F31" s="1663" t="str">
        <f t="shared" si="3"/>
        <v>--</v>
      </c>
      <c r="G31" s="1663" t="str">
        <f t="shared" si="16"/>
        <v/>
      </c>
      <c r="H31" s="1663" t="str">
        <f t="shared" si="4"/>
        <v>--</v>
      </c>
      <c r="I31" s="1663" t="str">
        <f t="shared" si="5"/>
        <v xml:space="preserve"> </v>
      </c>
      <c r="J31" s="1663" t="str">
        <f t="shared" si="6"/>
        <v>--</v>
      </c>
      <c r="K31" s="1663" t="str">
        <f t="shared" si="7"/>
        <v>--</v>
      </c>
      <c r="L31" s="1663" t="str">
        <f t="shared" si="17"/>
        <v/>
      </c>
      <c r="M31" s="1663" t="str">
        <f t="shared" si="8"/>
        <v>--</v>
      </c>
      <c r="N31" s="1663" t="str">
        <f t="shared" si="9"/>
        <v xml:space="preserve"> </v>
      </c>
      <c r="O31" s="1663" t="str">
        <f t="shared" si="10"/>
        <v>--</v>
      </c>
      <c r="P31" s="1663" t="str">
        <f t="shared" si="11"/>
        <v>--</v>
      </c>
      <c r="Q31" s="1663" t="str">
        <f t="shared" si="18"/>
        <v/>
      </c>
      <c r="R31" s="1663" t="str">
        <f t="shared" si="12"/>
        <v>--</v>
      </c>
      <c r="S31" s="1663" t="str">
        <f t="shared" si="13"/>
        <v xml:space="preserve"> </v>
      </c>
      <c r="T31" s="1663" t="str">
        <f t="shared" si="14"/>
        <v>--</v>
      </c>
      <c r="U31" s="1663" t="str">
        <f t="shared" si="15"/>
        <v>--</v>
      </c>
      <c r="V31" s="1663" t="str">
        <f t="shared" si="19"/>
        <v/>
      </c>
    </row>
    <row r="32" spans="1:24">
      <c r="A32" s="309" t="s">
        <v>135</v>
      </c>
      <c r="B32" s="427" t="s">
        <v>136</v>
      </c>
      <c r="C32" s="1663" t="e">
        <f t="shared" si="0"/>
        <v>#N/A</v>
      </c>
      <c r="D32" s="1663" t="e">
        <f t="shared" si="1"/>
        <v>#N/A</v>
      </c>
      <c r="E32" s="1663" t="str">
        <f t="shared" si="2"/>
        <v>--</v>
      </c>
      <c r="F32" s="1663" t="str">
        <f t="shared" si="3"/>
        <v>--</v>
      </c>
      <c r="G32" s="1663" t="e">
        <f t="shared" si="16"/>
        <v>#N/A</v>
      </c>
      <c r="H32" s="1663" t="e">
        <f t="shared" si="4"/>
        <v>#N/A</v>
      </c>
      <c r="I32" s="1663" t="e">
        <f t="shared" si="5"/>
        <v>#N/A</v>
      </c>
      <c r="J32" s="1663" t="str">
        <f t="shared" si="6"/>
        <v>--</v>
      </c>
      <c r="K32" s="1663" t="str">
        <f t="shared" si="7"/>
        <v>--</v>
      </c>
      <c r="L32" s="1663" t="e">
        <f t="shared" si="17"/>
        <v>#N/A</v>
      </c>
      <c r="M32" s="1663" t="e">
        <f t="shared" si="8"/>
        <v>#N/A</v>
      </c>
      <c r="N32" s="1663" t="e">
        <f t="shared" si="9"/>
        <v>#N/A</v>
      </c>
      <c r="O32" s="1663">
        <f t="shared" si="10"/>
        <v>1.5</v>
      </c>
      <c r="P32" s="1663" t="str">
        <f t="shared" si="11"/>
        <v>IRIS</v>
      </c>
      <c r="Q32" s="1663" t="e">
        <f t="shared" si="18"/>
        <v>#N/A</v>
      </c>
      <c r="R32" s="1663" t="e">
        <f t="shared" si="12"/>
        <v>#N/A</v>
      </c>
      <c r="S32" s="1663" t="e">
        <f t="shared" si="13"/>
        <v>#N/A</v>
      </c>
      <c r="T32" s="1663" t="str">
        <f t="shared" si="14"/>
        <v>--</v>
      </c>
      <c r="U32" s="1663" t="str">
        <f t="shared" si="15"/>
        <v>--</v>
      </c>
      <c r="V32" s="1664" t="e">
        <f t="shared" si="19"/>
        <v>#N/A</v>
      </c>
      <c r="W32" s="727" t="s">
        <v>4087</v>
      </c>
    </row>
    <row r="33" spans="1:24">
      <c r="A33" s="309" t="s">
        <v>137</v>
      </c>
      <c r="B33" s="427" t="s">
        <v>138</v>
      </c>
      <c r="C33" s="1663">
        <f t="shared" si="0"/>
        <v>0.5</v>
      </c>
      <c r="D33" s="1663" t="str">
        <f t="shared" si="1"/>
        <v>OEHHA 2011</v>
      </c>
      <c r="E33" s="1663">
        <f t="shared" si="2"/>
        <v>0.5</v>
      </c>
      <c r="F33" s="1663" t="str">
        <f t="shared" si="3"/>
        <v>Rule, OEHHA PHG</v>
      </c>
      <c r="G33" s="1663" t="str">
        <f t="shared" si="16"/>
        <v/>
      </c>
      <c r="H33" s="1663">
        <f t="shared" si="4"/>
        <v>0.15</v>
      </c>
      <c r="I33" s="1663" t="str">
        <f t="shared" si="5"/>
        <v>OEHHA 2011</v>
      </c>
      <c r="J33" s="1663">
        <f t="shared" si="6"/>
        <v>0.15</v>
      </c>
      <c r="K33" s="1663" t="str">
        <f t="shared" si="7"/>
        <v>Rule, OEHHA</v>
      </c>
      <c r="L33" s="1663" t="str">
        <f t="shared" si="17"/>
        <v/>
      </c>
      <c r="M33" s="1663">
        <f t="shared" si="8"/>
        <v>8.9999999999999998E-4</v>
      </c>
      <c r="N33" s="1663" t="str">
        <f t="shared" si="9"/>
        <v>IRIS 2024</v>
      </c>
      <c r="O33" s="1663">
        <f t="shared" si="10"/>
        <v>8.9999999999999998E-4</v>
      </c>
      <c r="P33" s="1663" t="str">
        <f t="shared" si="11"/>
        <v>IRIS</v>
      </c>
      <c r="Q33" s="1663" t="str">
        <f t="shared" si="18"/>
        <v/>
      </c>
      <c r="R33" s="1663">
        <f t="shared" si="12"/>
        <v>0.03</v>
      </c>
      <c r="S33" s="1663" t="str">
        <f t="shared" si="13"/>
        <v>IRIS 2024</v>
      </c>
      <c r="T33" s="1663">
        <f t="shared" si="14"/>
        <v>0.03</v>
      </c>
      <c r="U33" s="1663" t="str">
        <f t="shared" si="15"/>
        <v>IRIS</v>
      </c>
      <c r="V33" s="1663" t="str">
        <f t="shared" si="19"/>
        <v/>
      </c>
    </row>
    <row r="34" spans="1:24">
      <c r="A34" s="309" t="s">
        <v>139</v>
      </c>
      <c r="B34" s="427" t="s">
        <v>140</v>
      </c>
      <c r="C34" s="1663" t="str">
        <f t="shared" si="0"/>
        <v>--</v>
      </c>
      <c r="D34" s="1663" t="str">
        <f t="shared" si="1"/>
        <v xml:space="preserve"> </v>
      </c>
      <c r="E34" s="1663" t="str">
        <f t="shared" si="2"/>
        <v>--</v>
      </c>
      <c r="F34" s="1663" t="str">
        <f t="shared" si="3"/>
        <v>--</v>
      </c>
      <c r="G34" s="1663" t="str">
        <f t="shared" si="16"/>
        <v/>
      </c>
      <c r="H34" s="1663">
        <f t="shared" si="4"/>
        <v>8.9999999999999993E-3</v>
      </c>
      <c r="I34" s="1663" t="str">
        <f t="shared" si="5"/>
        <v>PPRTV 2008</v>
      </c>
      <c r="J34" s="1663">
        <f t="shared" si="6"/>
        <v>8.9999999999999993E-3</v>
      </c>
      <c r="K34" s="1663" t="str">
        <f t="shared" si="7"/>
        <v>PPRTV</v>
      </c>
      <c r="L34" s="1663" t="str">
        <f t="shared" si="17"/>
        <v/>
      </c>
      <c r="M34" s="1663">
        <f t="shared" si="8"/>
        <v>2.9999999999999997E-4</v>
      </c>
      <c r="N34" s="1663" t="str">
        <f t="shared" si="9"/>
        <v>PPRTV 2008</v>
      </c>
      <c r="O34" s="1663">
        <f t="shared" si="10"/>
        <v>2.9999999999999997E-4</v>
      </c>
      <c r="P34" s="1663" t="str">
        <f t="shared" si="11"/>
        <v>PPRTV</v>
      </c>
      <c r="Q34" s="1663" t="str">
        <f t="shared" si="18"/>
        <v/>
      </c>
      <c r="R34" s="1663">
        <f t="shared" si="12"/>
        <v>6.0000000000000001E-3</v>
      </c>
      <c r="S34" s="1663" t="str">
        <f t="shared" si="13"/>
        <v>PPRTV 2008</v>
      </c>
      <c r="T34" s="1663">
        <f t="shared" si="14"/>
        <v>6.0000000000000001E-3</v>
      </c>
      <c r="U34" s="1663" t="str">
        <f t="shared" si="15"/>
        <v>PPRTV</v>
      </c>
      <c r="V34" s="1663" t="str">
        <f t="shared" si="19"/>
        <v/>
      </c>
    </row>
    <row r="35" spans="1:24">
      <c r="A35" s="309" t="s">
        <v>141</v>
      </c>
      <c r="B35" s="427" t="s">
        <v>142</v>
      </c>
      <c r="C35" s="1663" t="str">
        <f t="shared" si="0"/>
        <v>--</v>
      </c>
      <c r="D35" s="1663" t="str">
        <f t="shared" si="1"/>
        <v xml:space="preserve"> </v>
      </c>
      <c r="E35" s="1663" t="str">
        <f t="shared" si="2"/>
        <v>--</v>
      </c>
      <c r="F35" s="1663" t="str">
        <f t="shared" si="3"/>
        <v>--</v>
      </c>
      <c r="G35" s="1663" t="str">
        <f t="shared" si="16"/>
        <v/>
      </c>
      <c r="H35" s="1663" t="str">
        <f t="shared" si="4"/>
        <v>--</v>
      </c>
      <c r="I35" s="1663" t="str">
        <f t="shared" si="5"/>
        <v xml:space="preserve"> </v>
      </c>
      <c r="J35" s="1663" t="str">
        <f t="shared" si="6"/>
        <v>--</v>
      </c>
      <c r="K35" s="1663" t="str">
        <f t="shared" si="7"/>
        <v>--</v>
      </c>
      <c r="L35" s="1663" t="str">
        <f t="shared" si="17"/>
        <v/>
      </c>
      <c r="M35" s="1663">
        <f t="shared" si="8"/>
        <v>0.04</v>
      </c>
      <c r="N35" s="1663" t="str">
        <f t="shared" si="9"/>
        <v>HEAST 1997</v>
      </c>
      <c r="O35" s="1663">
        <f t="shared" si="10"/>
        <v>0.04</v>
      </c>
      <c r="P35" s="1663" t="str">
        <f t="shared" si="11"/>
        <v>HEAST</v>
      </c>
      <c r="Q35" s="1663" t="str">
        <f t="shared" si="18"/>
        <v/>
      </c>
      <c r="R35" s="1663" t="str">
        <f t="shared" si="12"/>
        <v>--</v>
      </c>
      <c r="S35" s="1663" t="str">
        <f t="shared" si="13"/>
        <v xml:space="preserve"> </v>
      </c>
      <c r="T35" s="1663" t="str">
        <f t="shared" si="14"/>
        <v>--</v>
      </c>
      <c r="U35" s="1663" t="str">
        <f t="shared" si="15"/>
        <v>--</v>
      </c>
      <c r="V35" s="1663" t="str">
        <f t="shared" si="19"/>
        <v/>
      </c>
    </row>
    <row r="36" spans="1:24">
      <c r="A36" s="309" t="s">
        <v>143</v>
      </c>
      <c r="B36" s="427" t="s">
        <v>144</v>
      </c>
      <c r="C36" s="1663" t="str">
        <f t="shared" si="0"/>
        <v>--</v>
      </c>
      <c r="D36" s="1663" t="str">
        <f t="shared" si="1"/>
        <v xml:space="preserve"> </v>
      </c>
      <c r="E36" s="1663" t="str">
        <f t="shared" si="2"/>
        <v>--</v>
      </c>
      <c r="F36" s="1663" t="str">
        <f t="shared" si="3"/>
        <v>--</v>
      </c>
      <c r="G36" s="1663" t="str">
        <f t="shared" si="16"/>
        <v/>
      </c>
      <c r="H36" s="1663" t="str">
        <f t="shared" si="4"/>
        <v>--</v>
      </c>
      <c r="I36" s="1663" t="str">
        <f t="shared" si="5"/>
        <v xml:space="preserve"> </v>
      </c>
      <c r="J36" s="1663" t="str">
        <f t="shared" si="6"/>
        <v>--</v>
      </c>
      <c r="K36" s="1663" t="str">
        <f t="shared" si="7"/>
        <v>--</v>
      </c>
      <c r="L36" s="1663" t="str">
        <f t="shared" si="17"/>
        <v/>
      </c>
      <c r="M36" s="1663">
        <f t="shared" si="8"/>
        <v>5.9999999999999995E-4</v>
      </c>
      <c r="N36" s="1663" t="str">
        <f t="shared" si="9"/>
        <v>IRIS 2010</v>
      </c>
      <c r="O36" s="1663">
        <f t="shared" si="10"/>
        <v>5.9999999999999995E-4</v>
      </c>
      <c r="P36" s="1663" t="str">
        <f t="shared" si="11"/>
        <v>IRIS</v>
      </c>
      <c r="Q36" s="1663" t="str">
        <f t="shared" si="18"/>
        <v/>
      </c>
      <c r="R36" s="1663">
        <f t="shared" si="12"/>
        <v>0.8</v>
      </c>
      <c r="S36" s="1663" t="str">
        <f t="shared" si="13"/>
        <v>IRIS 2010</v>
      </c>
      <c r="T36" s="1663">
        <f t="shared" si="14"/>
        <v>0.8</v>
      </c>
      <c r="U36" s="1663" t="str">
        <f t="shared" si="15"/>
        <v>IRIS</v>
      </c>
      <c r="V36" s="1663" t="str">
        <f t="shared" si="19"/>
        <v/>
      </c>
    </row>
    <row r="37" spans="1:24">
      <c r="A37" s="309" t="s">
        <v>145</v>
      </c>
      <c r="B37" s="427" t="s">
        <v>146</v>
      </c>
      <c r="C37" s="1663">
        <f t="shared" si="0"/>
        <v>8.4000000000000005E-2</v>
      </c>
      <c r="D37" s="1663" t="str">
        <f t="shared" si="1"/>
        <v>IRIS 1992</v>
      </c>
      <c r="E37" s="1663">
        <f t="shared" si="2"/>
        <v>8.4000000000000005E-2</v>
      </c>
      <c r="F37" s="1663" t="str">
        <f t="shared" si="3"/>
        <v>IRIS</v>
      </c>
      <c r="G37" s="1663" t="str">
        <f t="shared" si="16"/>
        <v/>
      </c>
      <c r="H37" s="1663" t="str">
        <f t="shared" si="4"/>
        <v>--</v>
      </c>
      <c r="I37" s="1663" t="str">
        <f t="shared" si="5"/>
        <v xml:space="preserve"> </v>
      </c>
      <c r="J37" s="1663">
        <f t="shared" si="6"/>
        <v>2.0999999999999999E-5</v>
      </c>
      <c r="K37" s="1665" t="str">
        <f t="shared" si="7"/>
        <v>Route (IRIS)</v>
      </c>
      <c r="L37" s="1665">
        <f t="shared" si="17"/>
        <v>1</v>
      </c>
      <c r="M37" s="1663">
        <f t="shared" si="8"/>
        <v>0.02</v>
      </c>
      <c r="N37" s="1663" t="str">
        <f t="shared" si="9"/>
        <v>IRIS 1992</v>
      </c>
      <c r="O37" s="1663">
        <f t="shared" si="10"/>
        <v>0.02</v>
      </c>
      <c r="P37" s="1663" t="str">
        <f t="shared" si="11"/>
        <v>IRIS</v>
      </c>
      <c r="Q37" s="1663" t="str">
        <f t="shared" si="18"/>
        <v/>
      </c>
      <c r="R37" s="1663" t="str">
        <f t="shared" si="12"/>
        <v>--</v>
      </c>
      <c r="S37" s="1663" t="str">
        <f t="shared" si="13"/>
        <v xml:space="preserve"> </v>
      </c>
      <c r="T37" s="1663">
        <f t="shared" si="14"/>
        <v>80</v>
      </c>
      <c r="U37" s="1665" t="str">
        <f t="shared" si="15"/>
        <v>Route (IRIS)</v>
      </c>
      <c r="V37" s="1665">
        <f t="shared" si="19"/>
        <v>1</v>
      </c>
      <c r="X37" s="55" t="s">
        <v>4088</v>
      </c>
    </row>
    <row r="38" spans="1:24">
      <c r="A38" s="309" t="s">
        <v>147</v>
      </c>
      <c r="B38" s="427" t="s">
        <v>148</v>
      </c>
      <c r="C38" s="1663">
        <f t="shared" ref="C38:C69" si="20">VLOOKUP($A38,Table_IP_2, MATCH("SFo", heading_IP_2, 0), FALSE)</f>
        <v>7</v>
      </c>
      <c r="D38" s="1663" t="str">
        <f t="shared" ref="D38:D69" si="21">VLOOKUP($A38,Table_IP_2, MATCH("Sfo-r", heading_IP_2, 0), FALSE)</f>
        <v>OEHHA 2009</v>
      </c>
      <c r="E38" s="1663">
        <f t="shared" ref="E38:E69" si="22">VLOOKUP($B38,Table_N10, MATCH("SFo", Heading_N10, 0), FALSE)</f>
        <v>7</v>
      </c>
      <c r="F38" s="1663" t="str">
        <f t="shared" ref="F38:F69" si="23">VLOOKUP($B38,Table_N10, MATCH("Sfo-r", Heading_N10, 0), FALSE)</f>
        <v>OEHHA</v>
      </c>
      <c r="G38" s="1663" t="str">
        <f t="shared" si="16"/>
        <v/>
      </c>
      <c r="H38" s="1663">
        <f t="shared" ref="H38:H69" si="24">VLOOKUP($A38,Table_IP_2, MATCH("IUR", heading_IP_2, 0), FALSE)</f>
        <v>6.0000000000000001E-3</v>
      </c>
      <c r="I38" s="1663" t="str">
        <f t="shared" ref="I38:I69" si="25">VLOOKUP($A38,Table_IP_2, MATCH("IUR-r", heading_IP_2, 0), FALSE)</f>
        <v>PPRTV 2006</v>
      </c>
      <c r="J38" s="1663">
        <f t="shared" ref="J38:J69" si="26">VLOOKUP($B38,Table_N10, MATCH("IUR", Heading_N10, 0), FALSE)</f>
        <v>6.0000000000000001E-3</v>
      </c>
      <c r="K38" s="1663" t="str">
        <f t="shared" ref="K38:K69" si="27">VLOOKUP($B38,Table_N10, MATCH("IUR-r", Heading_N10, 0), FALSE)</f>
        <v>PPRTV</v>
      </c>
      <c r="L38" s="1663" t="str">
        <f t="shared" si="17"/>
        <v/>
      </c>
      <c r="M38" s="1663">
        <f t="shared" ref="M38:M69" si="28">VLOOKUP($A38,Table_IP_2, MATCH("Rfdo", heading_IP_2, 0), FALSE)</f>
        <v>2.0000000000000001E-4</v>
      </c>
      <c r="N38" s="1663" t="str">
        <f t="shared" ref="N38:N69" si="29">VLOOKUP($A38,Table_IP_2, MATCH("Rfdo-r", heading_IP_2, 0), FALSE)</f>
        <v>PPRTV 2006</v>
      </c>
      <c r="O38" s="1663">
        <f t="shared" ref="O38:O69" si="30">VLOOKUP($B38,Table_N10, MATCH("Rfdo", Heading_N10, 0), FALSE)</f>
        <v>2.0000000000000001E-4</v>
      </c>
      <c r="P38" s="1663" t="str">
        <f t="shared" ref="P38:P69" si="31">VLOOKUP($B38,Table_N10, MATCH("Rfdo-r", Heading_N10, 0), FALSE)</f>
        <v>PPRTV</v>
      </c>
      <c r="Q38" s="1663" t="str">
        <f t="shared" si="18"/>
        <v/>
      </c>
      <c r="R38" s="1663">
        <f t="shared" ref="R38:R69" si="32">VLOOKUP($A38,Table_IP_2, MATCH("Rfc", heading_IP_2, 0), FALSE)</f>
        <v>0.2</v>
      </c>
      <c r="S38" s="1663" t="str">
        <f t="shared" ref="S38:S69" si="33">VLOOKUP($A38,Table_IP_2, MATCH("Rfc-r", heading_IP_2, 0), FALSE)</f>
        <v>IRIS 1991</v>
      </c>
      <c r="T38" s="1663">
        <f t="shared" ref="T38:T69" si="34">VLOOKUP($B38,Table_N10, MATCH("Rfc", Heading_N10, 0), FALSE)</f>
        <v>0.2</v>
      </c>
      <c r="U38" s="1663" t="str">
        <f t="shared" ref="U38:U69" si="35">VLOOKUP($B38,Table_N10, MATCH("Rfc-r", Heading_N10, 0), FALSE)</f>
        <v>IRIS</v>
      </c>
      <c r="V38" s="1663" t="str">
        <f t="shared" si="19"/>
        <v/>
      </c>
    </row>
    <row r="39" spans="1:24">
      <c r="A39" s="309" t="s">
        <v>149</v>
      </c>
      <c r="B39" s="427" t="s">
        <v>150</v>
      </c>
      <c r="C39" s="1663">
        <f t="shared" si="20"/>
        <v>2</v>
      </c>
      <c r="D39" s="1663" t="str">
        <f t="shared" si="21"/>
        <v>IRIS 2004</v>
      </c>
      <c r="E39" s="1663">
        <f t="shared" si="22"/>
        <v>2</v>
      </c>
      <c r="F39" s="1663" t="str">
        <f t="shared" si="23"/>
        <v>IRIS</v>
      </c>
      <c r="G39" s="1663" t="str">
        <f t="shared" si="16"/>
        <v/>
      </c>
      <c r="H39" s="1663">
        <f t="shared" si="24"/>
        <v>5.9999999999999995E-4</v>
      </c>
      <c r="I39" s="1663" t="str">
        <f t="shared" si="25"/>
        <v>IRIS 2004</v>
      </c>
      <c r="J39" s="1663">
        <f t="shared" si="26"/>
        <v>5.9999999999999995E-4</v>
      </c>
      <c r="K39" s="1663" t="str">
        <f t="shared" si="27"/>
        <v>IRIS</v>
      </c>
      <c r="L39" s="1663" t="str">
        <f t="shared" si="17"/>
        <v/>
      </c>
      <c r="M39" s="1663">
        <f t="shared" si="28"/>
        <v>8.9999999999999993E-3</v>
      </c>
      <c r="N39" s="1663" t="str">
        <f t="shared" si="29"/>
        <v>IRIS 2004</v>
      </c>
      <c r="O39" s="1663">
        <f t="shared" si="30"/>
        <v>8.9999999999999993E-3</v>
      </c>
      <c r="P39" s="1663" t="str">
        <f t="shared" si="31"/>
        <v>IRIS</v>
      </c>
      <c r="Q39" s="1663" t="str">
        <f t="shared" si="18"/>
        <v/>
      </c>
      <c r="R39" s="1663">
        <f t="shared" si="32"/>
        <v>0.8</v>
      </c>
      <c r="S39" s="1663" t="str">
        <f t="shared" si="33"/>
        <v>OEHHA 2008</v>
      </c>
      <c r="T39" s="1663">
        <f t="shared" si="34"/>
        <v>0.8</v>
      </c>
      <c r="U39" s="1663" t="str">
        <f t="shared" si="35"/>
        <v>Rule, OEHHA</v>
      </c>
      <c r="V39" s="1663" t="str">
        <f t="shared" si="19"/>
        <v/>
      </c>
    </row>
    <row r="40" spans="1:24">
      <c r="A40" s="309" t="s">
        <v>151</v>
      </c>
      <c r="B40" s="427" t="s">
        <v>152</v>
      </c>
      <c r="C40" s="1663" t="str">
        <f t="shared" si="20"/>
        <v>--</v>
      </c>
      <c r="D40" s="1663" t="str">
        <f t="shared" si="21"/>
        <v xml:space="preserve"> </v>
      </c>
      <c r="E40" s="1663" t="str">
        <f t="shared" si="22"/>
        <v>--</v>
      </c>
      <c r="F40" s="1663" t="str">
        <f t="shared" si="23"/>
        <v>--</v>
      </c>
      <c r="G40" s="1663" t="str">
        <f t="shared" si="16"/>
        <v/>
      </c>
      <c r="H40" s="1663" t="str">
        <f t="shared" si="24"/>
        <v>--</v>
      </c>
      <c r="I40" s="1663" t="str">
        <f t="shared" si="25"/>
        <v xml:space="preserve"> </v>
      </c>
      <c r="J40" s="1663" t="str">
        <f t="shared" si="26"/>
        <v>--</v>
      </c>
      <c r="K40" s="1663" t="str">
        <f t="shared" si="27"/>
        <v>--</v>
      </c>
      <c r="L40" s="1663" t="str">
        <f t="shared" si="17"/>
        <v/>
      </c>
      <c r="M40" s="1663">
        <f t="shared" si="28"/>
        <v>0.09</v>
      </c>
      <c r="N40" s="1663" t="str">
        <f t="shared" si="29"/>
        <v>IRIS 1990</v>
      </c>
      <c r="O40" s="1663">
        <f t="shared" si="30"/>
        <v>0.09</v>
      </c>
      <c r="P40" s="1663" t="str">
        <f t="shared" si="31"/>
        <v>IRIS</v>
      </c>
      <c r="Q40" s="1663" t="str">
        <f t="shared" si="18"/>
        <v/>
      </c>
      <c r="R40" s="1663">
        <f t="shared" si="32"/>
        <v>200</v>
      </c>
      <c r="S40" s="1663" t="str">
        <f t="shared" si="33"/>
        <v>HEAST 1997</v>
      </c>
      <c r="T40" s="1663">
        <f t="shared" si="34"/>
        <v>200</v>
      </c>
      <c r="U40" s="1663" t="str">
        <f t="shared" si="35"/>
        <v>HEAST</v>
      </c>
      <c r="V40" s="1663" t="str">
        <f t="shared" si="19"/>
        <v/>
      </c>
    </row>
    <row r="41" spans="1:24">
      <c r="A41" s="309" t="s">
        <v>153</v>
      </c>
      <c r="B41" s="427" t="s">
        <v>154</v>
      </c>
      <c r="C41" s="1663">
        <f t="shared" si="20"/>
        <v>5.4000000000000003E-3</v>
      </c>
      <c r="D41" s="1663" t="str">
        <f t="shared" si="21"/>
        <v>OEHHA 2009</v>
      </c>
      <c r="E41" s="1663">
        <f t="shared" si="22"/>
        <v>5.4000000000000003E-3</v>
      </c>
      <c r="F41" s="1663" t="str">
        <f t="shared" si="23"/>
        <v>OEHHA</v>
      </c>
      <c r="G41" s="1663" t="str">
        <f t="shared" si="16"/>
        <v/>
      </c>
      <c r="H41" s="1663">
        <f t="shared" si="24"/>
        <v>1.1E-5</v>
      </c>
      <c r="I41" s="1663" t="str">
        <f t="shared" si="25"/>
        <v>OEHHA 2009</v>
      </c>
      <c r="J41" s="1663">
        <f t="shared" si="26"/>
        <v>1.1E-5</v>
      </c>
      <c r="K41" s="1663" t="str">
        <f t="shared" si="27"/>
        <v>OEHHA</v>
      </c>
      <c r="L41" s="1663" t="str">
        <f t="shared" si="17"/>
        <v/>
      </c>
      <c r="M41" s="1663">
        <f t="shared" si="28"/>
        <v>7.0000000000000007E-2</v>
      </c>
      <c r="N41" s="1663" t="str">
        <f t="shared" si="29"/>
        <v>ATSDR MRL</v>
      </c>
      <c r="O41" s="1663">
        <f t="shared" si="30"/>
        <v>7.0000000000000007E-2</v>
      </c>
      <c r="P41" s="1663" t="str">
        <f t="shared" si="31"/>
        <v>ATSDR</v>
      </c>
      <c r="Q41" s="1663" t="str">
        <f t="shared" si="18"/>
        <v/>
      </c>
      <c r="R41" s="1663">
        <f t="shared" si="32"/>
        <v>800</v>
      </c>
      <c r="S41" s="1663" t="str">
        <f t="shared" si="33"/>
        <v>IRIS 1994</v>
      </c>
      <c r="T41" s="1663">
        <f t="shared" si="34"/>
        <v>800</v>
      </c>
      <c r="U41" s="1663" t="str">
        <f t="shared" si="35"/>
        <v>IRIS</v>
      </c>
      <c r="V41" s="1663" t="str">
        <f t="shared" si="19"/>
        <v/>
      </c>
    </row>
    <row r="42" spans="1:24">
      <c r="A42" s="309" t="s">
        <v>155</v>
      </c>
      <c r="B42" s="427" t="s">
        <v>156</v>
      </c>
      <c r="C42" s="1663">
        <f t="shared" si="20"/>
        <v>1.2</v>
      </c>
      <c r="D42" s="1663" t="str">
        <f t="shared" si="21"/>
        <v>OEHHA 2009</v>
      </c>
      <c r="E42" s="1663">
        <f t="shared" si="22"/>
        <v>1.2</v>
      </c>
      <c r="F42" s="1663" t="str">
        <f t="shared" si="23"/>
        <v>Rule, OEHHA</v>
      </c>
      <c r="G42" s="1663" t="str">
        <f t="shared" si="16"/>
        <v/>
      </c>
      <c r="H42" s="1663">
        <f t="shared" si="24"/>
        <v>3.4000000000000002E-4</v>
      </c>
      <c r="I42" s="1663" t="str">
        <f t="shared" si="25"/>
        <v>OEHHA 2009</v>
      </c>
      <c r="J42" s="1663">
        <f t="shared" si="26"/>
        <v>3.4000000000000002E-4</v>
      </c>
      <c r="K42" s="1663" t="str">
        <f t="shared" si="27"/>
        <v>Rule, OEHHA</v>
      </c>
      <c r="L42" s="1663" t="str">
        <f t="shared" si="17"/>
        <v/>
      </c>
      <c r="M42" s="1663" t="str">
        <f t="shared" si="28"/>
        <v>--</v>
      </c>
      <c r="N42" s="1663" t="str">
        <f t="shared" si="29"/>
        <v xml:space="preserve"> </v>
      </c>
      <c r="O42" s="1663" t="str">
        <f t="shared" si="30"/>
        <v>--</v>
      </c>
      <c r="P42" s="1663" t="str">
        <f t="shared" si="31"/>
        <v>--</v>
      </c>
      <c r="Q42" s="1663" t="str">
        <f t="shared" si="18"/>
        <v/>
      </c>
      <c r="R42" s="1663" t="str">
        <f t="shared" si="32"/>
        <v>--</v>
      </c>
      <c r="S42" s="1663" t="str">
        <f t="shared" si="33"/>
        <v xml:space="preserve"> </v>
      </c>
      <c r="T42" s="1663" t="str">
        <f t="shared" si="34"/>
        <v>--</v>
      </c>
      <c r="U42" s="1663" t="str">
        <f t="shared" si="35"/>
        <v>--</v>
      </c>
      <c r="V42" s="1663" t="str">
        <f t="shared" si="19"/>
        <v/>
      </c>
    </row>
    <row r="43" spans="1:24">
      <c r="A43" s="309" t="s">
        <v>157</v>
      </c>
      <c r="B43" s="427" t="s">
        <v>158</v>
      </c>
      <c r="C43" s="1663">
        <f t="shared" si="20"/>
        <v>0.24</v>
      </c>
      <c r="D43" s="1663" t="str">
        <f t="shared" si="21"/>
        <v>IRIS 1988</v>
      </c>
      <c r="E43" s="1663">
        <f t="shared" si="22"/>
        <v>0.24</v>
      </c>
      <c r="F43" s="1663" t="str">
        <f t="shared" si="23"/>
        <v>IRIS</v>
      </c>
      <c r="G43" s="1663" t="str">
        <f t="shared" si="16"/>
        <v/>
      </c>
      <c r="H43" s="1663">
        <f t="shared" si="24"/>
        <v>6.8999999999999997E-5</v>
      </c>
      <c r="I43" s="1663" t="str">
        <f t="shared" si="25"/>
        <v>OEHHA</v>
      </c>
      <c r="J43" s="1663">
        <f t="shared" si="26"/>
        <v>6.8999999999999997E-5</v>
      </c>
      <c r="K43" s="1663" t="str">
        <f t="shared" si="27"/>
        <v>OEHHA</v>
      </c>
      <c r="L43" s="1663" t="str">
        <f t="shared" si="17"/>
        <v/>
      </c>
      <c r="M43" s="1663">
        <f t="shared" si="28"/>
        <v>5.0000000000000001E-4</v>
      </c>
      <c r="N43" s="1663" t="str">
        <f t="shared" si="29"/>
        <v xml:space="preserve">ATSDR  </v>
      </c>
      <c r="O43" s="1663">
        <f t="shared" si="30"/>
        <v>5.0000000000000001E-4</v>
      </c>
      <c r="P43" s="1663" t="str">
        <f t="shared" si="31"/>
        <v>ATSDR</v>
      </c>
      <c r="Q43" s="1663" t="str">
        <f t="shared" si="18"/>
        <v/>
      </c>
      <c r="R43" s="1663" t="str">
        <f t="shared" si="32"/>
        <v>--</v>
      </c>
      <c r="S43" s="1663" t="str">
        <f t="shared" si="33"/>
        <v xml:space="preserve"> </v>
      </c>
      <c r="T43" s="1663" t="str">
        <f t="shared" si="34"/>
        <v>--</v>
      </c>
      <c r="U43" s="1663" t="str">
        <f t="shared" si="35"/>
        <v>--</v>
      </c>
      <c r="V43" s="1663" t="str">
        <f t="shared" si="19"/>
        <v/>
      </c>
    </row>
    <row r="44" spans="1:24">
      <c r="A44" s="309" t="s">
        <v>159</v>
      </c>
      <c r="B44" s="427" t="s">
        <v>160</v>
      </c>
      <c r="C44" s="1663">
        <f t="shared" si="20"/>
        <v>0.34</v>
      </c>
      <c r="D44" s="1663" t="str">
        <f t="shared" si="21"/>
        <v>IRIS 1988</v>
      </c>
      <c r="E44" s="1663">
        <f t="shared" si="22"/>
        <v>0.34</v>
      </c>
      <c r="F44" s="1663" t="str">
        <f t="shared" si="23"/>
        <v>IRIS</v>
      </c>
      <c r="G44" s="1663" t="str">
        <f t="shared" si="16"/>
        <v/>
      </c>
      <c r="H44" s="1663">
        <f t="shared" si="24"/>
        <v>9.7E-5</v>
      </c>
      <c r="I44" s="1663" t="str">
        <f t="shared" si="25"/>
        <v>OEHHA</v>
      </c>
      <c r="J44" s="1663">
        <f t="shared" si="26"/>
        <v>9.7E-5</v>
      </c>
      <c r="K44" s="1663" t="str">
        <f t="shared" si="27"/>
        <v>OEHHA</v>
      </c>
      <c r="L44" s="1663" t="str">
        <f t="shared" si="17"/>
        <v/>
      </c>
      <c r="M44" s="1663">
        <f t="shared" si="28"/>
        <v>5.0000000000000001E-4</v>
      </c>
      <c r="N44" s="1663" t="str">
        <f t="shared" si="29"/>
        <v xml:space="preserve">ATSDR  </v>
      </c>
      <c r="O44" s="1663">
        <f t="shared" si="30"/>
        <v>5.0000000000000001E-4</v>
      </c>
      <c r="P44" s="1663" t="str">
        <f t="shared" si="31"/>
        <v>ATSDR</v>
      </c>
      <c r="Q44" s="1663" t="str">
        <f t="shared" si="18"/>
        <v/>
      </c>
      <c r="R44" s="1663" t="str">
        <f t="shared" si="32"/>
        <v>--</v>
      </c>
      <c r="S44" s="1663" t="str">
        <f t="shared" si="33"/>
        <v xml:space="preserve"> </v>
      </c>
      <c r="T44" s="1663">
        <f t="shared" si="34"/>
        <v>1.2</v>
      </c>
      <c r="U44" s="1665" t="str">
        <f t="shared" si="35"/>
        <v>Route (sPPRTV)</v>
      </c>
      <c r="V44" s="1665">
        <f t="shared" si="19"/>
        <v>1</v>
      </c>
      <c r="X44" s="55" t="s">
        <v>4084</v>
      </c>
    </row>
    <row r="45" spans="1:24">
      <c r="A45" s="309" t="s">
        <v>161</v>
      </c>
      <c r="B45" s="427" t="s">
        <v>162</v>
      </c>
      <c r="C45" s="1663">
        <f t="shared" si="20"/>
        <v>0.34</v>
      </c>
      <c r="D45" s="1663" t="str">
        <f t="shared" si="21"/>
        <v>IRIS 1991</v>
      </c>
      <c r="E45" s="1663">
        <f t="shared" si="22"/>
        <v>0.34</v>
      </c>
      <c r="F45" s="1663" t="str">
        <f t="shared" si="23"/>
        <v>IRIS</v>
      </c>
      <c r="G45" s="1663" t="str">
        <f t="shared" si="16"/>
        <v/>
      </c>
      <c r="H45" s="1663">
        <f t="shared" si="24"/>
        <v>9.7E-5</v>
      </c>
      <c r="I45" s="1663" t="str">
        <f t="shared" si="25"/>
        <v>OEHHA</v>
      </c>
      <c r="J45" s="1663">
        <f t="shared" si="26"/>
        <v>9.7E-5</v>
      </c>
      <c r="K45" s="1663" t="str">
        <f t="shared" si="27"/>
        <v>IRIS</v>
      </c>
      <c r="L45" s="1663" t="str">
        <f t="shared" si="17"/>
        <v/>
      </c>
      <c r="M45" s="1663">
        <f t="shared" si="28"/>
        <v>5.0000000000000001E-4</v>
      </c>
      <c r="N45" s="1663" t="str">
        <f t="shared" si="29"/>
        <v>IRIS 1991</v>
      </c>
      <c r="O45" s="1663">
        <f t="shared" si="30"/>
        <v>5.0000000000000001E-4</v>
      </c>
      <c r="P45" s="1663" t="str">
        <f t="shared" si="31"/>
        <v>IRIS</v>
      </c>
      <c r="Q45" s="1663" t="str">
        <f t="shared" si="18"/>
        <v/>
      </c>
      <c r="R45" s="1663" t="str">
        <f t="shared" si="32"/>
        <v>--</v>
      </c>
      <c r="S45" s="1663" t="str">
        <f t="shared" si="33"/>
        <v xml:space="preserve"> </v>
      </c>
      <c r="T45" s="1663" t="str">
        <f t="shared" si="34"/>
        <v>--</v>
      </c>
      <c r="U45" s="1663" t="str">
        <f t="shared" si="35"/>
        <v>--</v>
      </c>
      <c r="V45" s="1663" t="str">
        <f t="shared" si="19"/>
        <v/>
      </c>
    </row>
    <row r="46" spans="1:24">
      <c r="A46" s="309" t="s">
        <v>163</v>
      </c>
      <c r="B46" s="427" t="s">
        <v>164</v>
      </c>
      <c r="C46" s="1663">
        <f t="shared" si="20"/>
        <v>5.7000000000000002E-3</v>
      </c>
      <c r="D46" s="1663" t="str">
        <f t="shared" si="21"/>
        <v>OEHHA 2009</v>
      </c>
      <c r="E46" s="1663">
        <f t="shared" si="22"/>
        <v>5.7000000000000002E-3</v>
      </c>
      <c r="F46" s="1663" t="str">
        <f t="shared" si="23"/>
        <v>OEHHA</v>
      </c>
      <c r="G46" s="1663" t="str">
        <f t="shared" si="16"/>
        <v/>
      </c>
      <c r="H46" s="1663">
        <f t="shared" si="24"/>
        <v>1.5999999999999999E-6</v>
      </c>
      <c r="I46" s="1663" t="str">
        <f t="shared" si="25"/>
        <v>OEHHA 2009</v>
      </c>
      <c r="J46" s="1663">
        <f t="shared" si="26"/>
        <v>1.5999999999999999E-6</v>
      </c>
      <c r="K46" s="1663" t="str">
        <f t="shared" si="27"/>
        <v>OEHHA</v>
      </c>
      <c r="L46" s="1663" t="str">
        <f t="shared" si="17"/>
        <v/>
      </c>
      <c r="M46" s="1663">
        <f t="shared" si="28"/>
        <v>0.2</v>
      </c>
      <c r="N46" s="1663" t="str">
        <f t="shared" si="29"/>
        <v>PPRTV 2006</v>
      </c>
      <c r="O46" s="1663">
        <f t="shared" si="30"/>
        <v>0.2</v>
      </c>
      <c r="P46" s="1663" t="str">
        <f t="shared" si="31"/>
        <v>PPRTV</v>
      </c>
      <c r="Q46" s="1663" t="str">
        <f t="shared" si="18"/>
        <v/>
      </c>
      <c r="R46" s="1663" t="str">
        <f t="shared" si="32"/>
        <v>--</v>
      </c>
      <c r="S46" s="1663" t="str">
        <f t="shared" si="33"/>
        <v xml:space="preserve"> </v>
      </c>
      <c r="T46" s="1663">
        <f t="shared" si="34"/>
        <v>800</v>
      </c>
      <c r="U46" s="1665" t="str">
        <f t="shared" si="35"/>
        <v>Route (PPRTV)</v>
      </c>
      <c r="V46" s="1665">
        <f t="shared" si="19"/>
        <v>1</v>
      </c>
      <c r="X46" s="55" t="s">
        <v>4084</v>
      </c>
    </row>
    <row r="47" spans="1:24">
      <c r="A47" s="309" t="s">
        <v>165</v>
      </c>
      <c r="B47" s="427" t="s">
        <v>166</v>
      </c>
      <c r="C47" s="1663">
        <f t="shared" si="20"/>
        <v>9.0999999999999998E-2</v>
      </c>
      <c r="D47" s="1663" t="str">
        <f t="shared" si="21"/>
        <v>IRIS 1991</v>
      </c>
      <c r="E47" s="1663">
        <f t="shared" si="22"/>
        <v>9.0999999999999998E-2</v>
      </c>
      <c r="F47" s="1663" t="str">
        <f t="shared" si="23"/>
        <v>IRIS</v>
      </c>
      <c r="G47" s="1663" t="str">
        <f t="shared" si="16"/>
        <v/>
      </c>
      <c r="H47" s="1663">
        <f t="shared" si="24"/>
        <v>2.5999999999999998E-5</v>
      </c>
      <c r="I47" s="1663" t="str">
        <f t="shared" si="25"/>
        <v>IRIS 1991</v>
      </c>
      <c r="J47" s="1663">
        <f t="shared" si="26"/>
        <v>2.5999999999999998E-5</v>
      </c>
      <c r="K47" s="1663" t="str">
        <f t="shared" si="27"/>
        <v>IRIS</v>
      </c>
      <c r="L47" s="1663" t="str">
        <f t="shared" si="17"/>
        <v/>
      </c>
      <c r="M47" s="1663">
        <f t="shared" si="28"/>
        <v>6.0000000000000001E-3</v>
      </c>
      <c r="N47" s="1663" t="str">
        <f t="shared" si="29"/>
        <v>PPRTV 2010</v>
      </c>
      <c r="O47" s="1663">
        <f t="shared" si="30"/>
        <v>6.0000000000000001E-3</v>
      </c>
      <c r="P47" s="1663" t="str">
        <f t="shared" si="31"/>
        <v>sPPRTV</v>
      </c>
      <c r="Q47" s="1663" t="str">
        <f t="shared" si="18"/>
        <v/>
      </c>
      <c r="R47" s="1663">
        <f t="shared" si="32"/>
        <v>7</v>
      </c>
      <c r="S47" s="1663" t="str">
        <f t="shared" si="33"/>
        <v>PPRTV 2010</v>
      </c>
      <c r="T47" s="1663">
        <f t="shared" si="34"/>
        <v>7</v>
      </c>
      <c r="U47" s="1663" t="str">
        <f t="shared" si="35"/>
        <v>PPRTV</v>
      </c>
      <c r="V47" s="1663" t="str">
        <f t="shared" si="19"/>
        <v/>
      </c>
    </row>
    <row r="48" spans="1:24">
      <c r="A48" s="309" t="s">
        <v>167</v>
      </c>
      <c r="B48" s="427" t="s">
        <v>168</v>
      </c>
      <c r="C48" s="1663" t="str">
        <f t="shared" si="20"/>
        <v>--</v>
      </c>
      <c r="D48" s="1663" t="str">
        <f t="shared" si="21"/>
        <v xml:space="preserve"> </v>
      </c>
      <c r="E48" s="1663" t="str">
        <f t="shared" si="22"/>
        <v>--</v>
      </c>
      <c r="F48" s="1663" t="str">
        <f t="shared" si="23"/>
        <v>--</v>
      </c>
      <c r="G48" s="1663" t="str">
        <f t="shared" si="16"/>
        <v/>
      </c>
      <c r="H48" s="1663" t="str">
        <f t="shared" si="24"/>
        <v>--</v>
      </c>
      <c r="I48" s="1663" t="str">
        <f t="shared" si="25"/>
        <v xml:space="preserve"> </v>
      </c>
      <c r="J48" s="1663" t="str">
        <f t="shared" si="26"/>
        <v>--</v>
      </c>
      <c r="K48" s="1663" t="str">
        <f t="shared" si="27"/>
        <v>--</v>
      </c>
      <c r="L48" s="1663" t="str">
        <f t="shared" si="17"/>
        <v/>
      </c>
      <c r="M48" s="1663">
        <f t="shared" si="28"/>
        <v>0.05</v>
      </c>
      <c r="N48" s="1663" t="str">
        <f t="shared" si="29"/>
        <v>IRIS 2002</v>
      </c>
      <c r="O48" s="1663">
        <f t="shared" si="30"/>
        <v>0.05</v>
      </c>
      <c r="P48" s="1663" t="str">
        <f t="shared" si="31"/>
        <v>IRIS</v>
      </c>
      <c r="Q48" s="1663" t="str">
        <f t="shared" si="18"/>
        <v/>
      </c>
      <c r="R48" s="1664">
        <f t="shared" si="32"/>
        <v>3.96</v>
      </c>
      <c r="S48" s="1664" t="str">
        <f t="shared" si="33"/>
        <v>ATSDR*</v>
      </c>
      <c r="T48" s="1664" t="str">
        <f t="shared" si="34"/>
        <v>--</v>
      </c>
      <c r="U48" s="1664" t="str">
        <f t="shared" si="35"/>
        <v>--</v>
      </c>
      <c r="V48" s="1664">
        <f t="shared" si="19"/>
        <v>1</v>
      </c>
      <c r="W48" s="1602" t="s">
        <v>4089</v>
      </c>
    </row>
    <row r="49" spans="1:24">
      <c r="A49" s="309" t="s">
        <v>169</v>
      </c>
      <c r="B49" s="427" t="s">
        <v>170</v>
      </c>
      <c r="C49" s="1663" t="str">
        <f t="shared" si="20"/>
        <v>--</v>
      </c>
      <c r="D49" s="1663" t="str">
        <f t="shared" si="21"/>
        <v xml:space="preserve"> </v>
      </c>
      <c r="E49" s="1663" t="str">
        <f t="shared" si="22"/>
        <v>--</v>
      </c>
      <c r="F49" s="1663" t="str">
        <f t="shared" si="23"/>
        <v>--</v>
      </c>
      <c r="G49" s="1663" t="str">
        <f t="shared" si="16"/>
        <v/>
      </c>
      <c r="H49" s="1663" t="str">
        <f t="shared" si="24"/>
        <v>--</v>
      </c>
      <c r="I49" s="1663" t="str">
        <f t="shared" si="25"/>
        <v xml:space="preserve"> </v>
      </c>
      <c r="J49" s="1663" t="str">
        <f t="shared" si="26"/>
        <v>--</v>
      </c>
      <c r="K49" s="1663" t="str">
        <f t="shared" si="27"/>
        <v>--</v>
      </c>
      <c r="L49" s="1663" t="str">
        <f t="shared" si="17"/>
        <v/>
      </c>
      <c r="M49" s="1663">
        <f t="shared" si="28"/>
        <v>2E-3</v>
      </c>
      <c r="N49" s="1663" t="str">
        <f t="shared" si="29"/>
        <v>IRIS 2010</v>
      </c>
      <c r="O49" s="1663">
        <f t="shared" si="30"/>
        <v>2E-3</v>
      </c>
      <c r="P49" s="1663" t="str">
        <f t="shared" si="31"/>
        <v>IRIS</v>
      </c>
      <c r="Q49" s="1663" t="str">
        <f t="shared" si="18"/>
        <v/>
      </c>
      <c r="R49" s="1663">
        <f t="shared" si="32"/>
        <v>40</v>
      </c>
      <c r="S49" s="1663" t="str">
        <f t="shared" si="33"/>
        <v>PPRTV 2022</v>
      </c>
      <c r="T49" s="1663">
        <f t="shared" si="34"/>
        <v>40</v>
      </c>
      <c r="U49" s="1663" t="str">
        <f t="shared" si="35"/>
        <v>sPPRTV</v>
      </c>
      <c r="V49" s="1663" t="str">
        <f t="shared" si="19"/>
        <v/>
      </c>
    </row>
    <row r="50" spans="1:24">
      <c r="A50" s="309" t="s">
        <v>171</v>
      </c>
      <c r="B50" s="427" t="s">
        <v>172</v>
      </c>
      <c r="C50" s="1663" t="str">
        <f t="shared" si="20"/>
        <v>--</v>
      </c>
      <c r="D50" s="1663" t="str">
        <f t="shared" si="21"/>
        <v xml:space="preserve"> </v>
      </c>
      <c r="E50" s="1663" t="str">
        <f t="shared" si="22"/>
        <v>--</v>
      </c>
      <c r="F50" s="1663" t="str">
        <f t="shared" si="23"/>
        <v>--</v>
      </c>
      <c r="G50" s="1663" t="str">
        <f t="shared" si="16"/>
        <v/>
      </c>
      <c r="H50" s="1663" t="str">
        <f t="shared" si="24"/>
        <v>--</v>
      </c>
      <c r="I50" s="1663" t="str">
        <f t="shared" si="25"/>
        <v xml:space="preserve"> </v>
      </c>
      <c r="J50" s="1663" t="str">
        <f t="shared" si="26"/>
        <v>--</v>
      </c>
      <c r="K50" s="1663" t="str">
        <f t="shared" si="27"/>
        <v>--</v>
      </c>
      <c r="L50" s="1663" t="str">
        <f t="shared" si="17"/>
        <v/>
      </c>
      <c r="M50" s="1663">
        <f t="shared" si="28"/>
        <v>0.02</v>
      </c>
      <c r="N50" s="1663" t="str">
        <f t="shared" si="29"/>
        <v>IRIS 2010</v>
      </c>
      <c r="O50" s="1663">
        <f t="shared" si="30"/>
        <v>0.02</v>
      </c>
      <c r="P50" s="1663" t="str">
        <f t="shared" si="31"/>
        <v>IRIS</v>
      </c>
      <c r="Q50" s="1663" t="str">
        <f t="shared" si="18"/>
        <v/>
      </c>
      <c r="R50" s="1663">
        <f t="shared" si="32"/>
        <v>40</v>
      </c>
      <c r="S50" s="1663" t="str">
        <f t="shared" si="33"/>
        <v>PPRTV 2020</v>
      </c>
      <c r="T50" s="1663">
        <f t="shared" si="34"/>
        <v>40</v>
      </c>
      <c r="U50" s="1663" t="str">
        <f t="shared" si="35"/>
        <v>sPPRTV</v>
      </c>
      <c r="V50" s="1663" t="str">
        <f t="shared" si="19"/>
        <v/>
      </c>
    </row>
    <row r="51" spans="1:24">
      <c r="A51" s="309" t="s">
        <v>173</v>
      </c>
      <c r="B51" s="427" t="s">
        <v>174</v>
      </c>
      <c r="C51" s="1663" t="str">
        <f t="shared" si="20"/>
        <v>--</v>
      </c>
      <c r="D51" s="1663" t="str">
        <f t="shared" si="21"/>
        <v xml:space="preserve"> </v>
      </c>
      <c r="E51" s="1663" t="str">
        <f t="shared" si="22"/>
        <v>--</v>
      </c>
      <c r="F51" s="1663" t="str">
        <f t="shared" si="23"/>
        <v>--</v>
      </c>
      <c r="G51" s="1663" t="str">
        <f t="shared" si="16"/>
        <v/>
      </c>
      <c r="H51" s="1663" t="str">
        <f t="shared" si="24"/>
        <v>--</v>
      </c>
      <c r="I51" s="1663" t="str">
        <f t="shared" si="25"/>
        <v xml:space="preserve"> </v>
      </c>
      <c r="J51" s="1663" t="str">
        <f t="shared" si="26"/>
        <v>--</v>
      </c>
      <c r="K51" s="1663" t="str">
        <f t="shared" si="27"/>
        <v>--</v>
      </c>
      <c r="L51" s="1663" t="str">
        <f t="shared" si="17"/>
        <v/>
      </c>
      <c r="M51" s="1663">
        <f t="shared" si="28"/>
        <v>3.0000000000000001E-3</v>
      </c>
      <c r="N51" s="1663" t="str">
        <f t="shared" si="29"/>
        <v>IRIS 1988</v>
      </c>
      <c r="O51" s="1663">
        <f t="shared" si="30"/>
        <v>3.0000000000000001E-3</v>
      </c>
      <c r="P51" s="1663" t="str">
        <f t="shared" si="31"/>
        <v>IRIS</v>
      </c>
      <c r="Q51" s="1663" t="str">
        <f t="shared" si="18"/>
        <v/>
      </c>
      <c r="R51" s="1663" t="str">
        <f t="shared" si="32"/>
        <v>--</v>
      </c>
      <c r="S51" s="1663" t="str">
        <f t="shared" si="33"/>
        <v xml:space="preserve"> </v>
      </c>
      <c r="T51" s="1663" t="str">
        <f t="shared" si="34"/>
        <v>--</v>
      </c>
      <c r="U51" s="1663" t="str">
        <f t="shared" si="35"/>
        <v>--</v>
      </c>
      <c r="V51" s="1663" t="str">
        <f t="shared" si="19"/>
        <v/>
      </c>
    </row>
    <row r="52" spans="1:24">
      <c r="A52" s="309" t="s">
        <v>175</v>
      </c>
      <c r="B52" s="427" t="s">
        <v>176</v>
      </c>
      <c r="C52" s="1663">
        <f t="shared" si="20"/>
        <v>3.6999999999999998E-2</v>
      </c>
      <c r="D52" s="1663" t="str">
        <f t="shared" si="21"/>
        <v>PPRTV</v>
      </c>
      <c r="E52" s="1663">
        <f t="shared" si="22"/>
        <v>3.6999999999999998E-2</v>
      </c>
      <c r="F52" s="1663" t="str">
        <f t="shared" si="23"/>
        <v>PPRTV</v>
      </c>
      <c r="G52" s="1663" t="str">
        <f t="shared" si="16"/>
        <v/>
      </c>
      <c r="H52" s="1663">
        <f t="shared" si="24"/>
        <v>3.7000000000000002E-6</v>
      </c>
      <c r="I52" s="1663" t="str">
        <f t="shared" si="25"/>
        <v>PPRTV</v>
      </c>
      <c r="J52" s="1663">
        <f t="shared" si="26"/>
        <v>3.7000000000000002E-6</v>
      </c>
      <c r="K52" s="1663" t="str">
        <f t="shared" si="27"/>
        <v>PPRTV</v>
      </c>
      <c r="L52" s="1663" t="str">
        <f t="shared" si="17"/>
        <v/>
      </c>
      <c r="M52" s="1663">
        <f t="shared" si="28"/>
        <v>0.04</v>
      </c>
      <c r="N52" s="1663" t="str">
        <f t="shared" si="29"/>
        <v>PPRTV 2016</v>
      </c>
      <c r="O52" s="1663">
        <f t="shared" si="30"/>
        <v>0.04</v>
      </c>
      <c r="P52" s="1663" t="str">
        <f t="shared" si="31"/>
        <v>PPRTV</v>
      </c>
      <c r="Q52" s="1663" t="str">
        <f t="shared" si="18"/>
        <v/>
      </c>
      <c r="R52" s="1663">
        <f t="shared" si="32"/>
        <v>4</v>
      </c>
      <c r="S52" s="1663" t="str">
        <f t="shared" si="33"/>
        <v>IRIS 1991</v>
      </c>
      <c r="T52" s="1663">
        <f t="shared" si="34"/>
        <v>4</v>
      </c>
      <c r="U52" s="1663" t="str">
        <f t="shared" si="35"/>
        <v>IRIS</v>
      </c>
      <c r="V52" s="1663" t="str">
        <f t="shared" si="19"/>
        <v/>
      </c>
    </row>
    <row r="53" spans="1:24">
      <c r="A53" s="309" t="s">
        <v>177</v>
      </c>
      <c r="B53" s="427" t="s">
        <v>178</v>
      </c>
      <c r="C53" s="1663">
        <f t="shared" si="20"/>
        <v>0.1</v>
      </c>
      <c r="D53" s="1663" t="str">
        <f t="shared" si="21"/>
        <v>IRIS 2000</v>
      </c>
      <c r="E53" s="1663">
        <f t="shared" si="22"/>
        <v>0.1</v>
      </c>
      <c r="F53" s="1663" t="str">
        <f t="shared" si="23"/>
        <v>IRIS</v>
      </c>
      <c r="G53" s="1663" t="str">
        <f t="shared" si="16"/>
        <v/>
      </c>
      <c r="H53" s="1663">
        <f t="shared" si="24"/>
        <v>3.9999999999999998E-6</v>
      </c>
      <c r="I53" s="1663" t="str">
        <f t="shared" si="25"/>
        <v>IRIS 2000</v>
      </c>
      <c r="J53" s="1663">
        <f t="shared" si="26"/>
        <v>3.9999999999999998E-6</v>
      </c>
      <c r="K53" s="1663" t="str">
        <f t="shared" si="27"/>
        <v>IRIS</v>
      </c>
      <c r="L53" s="1663" t="str">
        <f t="shared" si="17"/>
        <v/>
      </c>
      <c r="M53" s="1663">
        <f t="shared" si="28"/>
        <v>0.03</v>
      </c>
      <c r="N53" s="1663" t="str">
        <f t="shared" si="29"/>
        <v>IRIS 2000</v>
      </c>
      <c r="O53" s="1663">
        <f t="shared" si="30"/>
        <v>0.03</v>
      </c>
      <c r="P53" s="1663" t="str">
        <f t="shared" si="31"/>
        <v>IRIS</v>
      </c>
      <c r="Q53" s="1663" t="str">
        <f t="shared" si="18"/>
        <v/>
      </c>
      <c r="R53" s="1663">
        <f t="shared" si="32"/>
        <v>20</v>
      </c>
      <c r="S53" s="1663" t="str">
        <f t="shared" si="33"/>
        <v>IRIS 2000</v>
      </c>
      <c r="T53" s="1663">
        <f t="shared" si="34"/>
        <v>20</v>
      </c>
      <c r="U53" s="1663" t="str">
        <f t="shared" si="35"/>
        <v>IRIS</v>
      </c>
      <c r="V53" s="1663" t="str">
        <f t="shared" si="19"/>
        <v/>
      </c>
    </row>
    <row r="54" spans="1:24">
      <c r="A54" s="309" t="s">
        <v>179</v>
      </c>
      <c r="B54" s="427" t="s">
        <v>180</v>
      </c>
      <c r="C54" s="1663">
        <f t="shared" si="20"/>
        <v>16</v>
      </c>
      <c r="D54" s="1663" t="str">
        <f t="shared" si="21"/>
        <v>IRIS 1991</v>
      </c>
      <c r="E54" s="1663">
        <f t="shared" si="22"/>
        <v>16</v>
      </c>
      <c r="F54" s="1663" t="str">
        <f t="shared" si="23"/>
        <v>IRIS</v>
      </c>
      <c r="G54" s="1663" t="str">
        <f t="shared" si="16"/>
        <v/>
      </c>
      <c r="H54" s="1663">
        <f t="shared" si="24"/>
        <v>4.5999999999999999E-3</v>
      </c>
      <c r="I54" s="1663" t="str">
        <f t="shared" si="25"/>
        <v>OEHHA 1988</v>
      </c>
      <c r="J54" s="1663">
        <f t="shared" si="26"/>
        <v>4.5999999999999999E-3</v>
      </c>
      <c r="K54" s="1663" t="str">
        <f t="shared" si="27"/>
        <v>IRIS</v>
      </c>
      <c r="L54" s="1663" t="str">
        <f t="shared" si="17"/>
        <v/>
      </c>
      <c r="M54" s="1663">
        <f t="shared" si="28"/>
        <v>5.0000000000000002E-5</v>
      </c>
      <c r="N54" s="1663" t="str">
        <f t="shared" si="29"/>
        <v>IRIS 1991</v>
      </c>
      <c r="O54" s="1663">
        <f t="shared" si="30"/>
        <v>5.0000000000000002E-5</v>
      </c>
      <c r="P54" s="1663" t="str">
        <f t="shared" si="31"/>
        <v>IRIS</v>
      </c>
      <c r="Q54" s="1663" t="str">
        <f t="shared" si="18"/>
        <v/>
      </c>
      <c r="R54" s="1663" t="str">
        <f t="shared" si="32"/>
        <v>--</v>
      </c>
      <c r="S54" s="1663" t="str">
        <f t="shared" si="33"/>
        <v xml:space="preserve"> </v>
      </c>
      <c r="T54" s="1663">
        <f t="shared" si="34"/>
        <v>0.2</v>
      </c>
      <c r="U54" s="1665" t="str">
        <f t="shared" si="35"/>
        <v>Route (IRIS)</v>
      </c>
      <c r="V54" s="1665">
        <f t="shared" si="19"/>
        <v>1</v>
      </c>
      <c r="X54" s="55" t="s">
        <v>4084</v>
      </c>
    </row>
    <row r="55" spans="1:24">
      <c r="A55" s="309" t="s">
        <v>181</v>
      </c>
      <c r="B55" s="427" t="s">
        <v>182</v>
      </c>
      <c r="C55" s="1663" t="str">
        <f t="shared" si="20"/>
        <v>--</v>
      </c>
      <c r="D55" s="1663" t="str">
        <f t="shared" si="21"/>
        <v xml:space="preserve"> </v>
      </c>
      <c r="E55" s="1663" t="str">
        <f t="shared" si="22"/>
        <v>--</v>
      </c>
      <c r="F55" s="1663" t="str">
        <f t="shared" si="23"/>
        <v>--</v>
      </c>
      <c r="G55" s="1663" t="str">
        <f t="shared" si="16"/>
        <v/>
      </c>
      <c r="H55" s="1663" t="str">
        <f t="shared" si="24"/>
        <v>--</v>
      </c>
      <c r="I55" s="1663" t="str">
        <f t="shared" si="25"/>
        <v xml:space="preserve"> </v>
      </c>
      <c r="J55" s="1663" t="str">
        <f t="shared" si="26"/>
        <v>--</v>
      </c>
      <c r="K55" s="1663" t="str">
        <f t="shared" si="27"/>
        <v>--</v>
      </c>
      <c r="L55" s="1663" t="str">
        <f t="shared" si="17"/>
        <v/>
      </c>
      <c r="M55" s="1663">
        <f t="shared" si="28"/>
        <v>0.8</v>
      </c>
      <c r="N55" s="1663" t="str">
        <f t="shared" si="29"/>
        <v>IRIS 1988</v>
      </c>
      <c r="O55" s="1663">
        <f t="shared" si="30"/>
        <v>0.8</v>
      </c>
      <c r="P55" s="1663" t="str">
        <f t="shared" si="31"/>
        <v>IRIS</v>
      </c>
      <c r="Q55" s="1663" t="str">
        <f t="shared" si="18"/>
        <v/>
      </c>
      <c r="R55" s="1663" t="str">
        <f t="shared" si="32"/>
        <v>--</v>
      </c>
      <c r="S55" s="1663" t="str">
        <f t="shared" si="33"/>
        <v xml:space="preserve"> </v>
      </c>
      <c r="T55" s="1663" t="str">
        <f t="shared" si="34"/>
        <v>--</v>
      </c>
      <c r="U55" s="1663" t="str">
        <f t="shared" si="35"/>
        <v>--</v>
      </c>
      <c r="V55" s="1663" t="str">
        <f t="shared" si="19"/>
        <v/>
      </c>
    </row>
    <row r="56" spans="1:24">
      <c r="A56" s="309" t="s">
        <v>183</v>
      </c>
      <c r="B56" s="427" t="s">
        <v>184</v>
      </c>
      <c r="C56" s="1663" t="str">
        <f t="shared" si="20"/>
        <v>--</v>
      </c>
      <c r="D56" s="1663" t="str">
        <f t="shared" si="21"/>
        <v xml:space="preserve"> </v>
      </c>
      <c r="E56" s="1663" t="str">
        <f t="shared" si="22"/>
        <v>--</v>
      </c>
      <c r="F56" s="1663" t="str">
        <f t="shared" si="23"/>
        <v>--</v>
      </c>
      <c r="G56" s="1663" t="str">
        <f t="shared" si="16"/>
        <v/>
      </c>
      <c r="H56" s="1663" t="str">
        <f t="shared" si="24"/>
        <v>--</v>
      </c>
      <c r="I56" s="1663" t="str">
        <f t="shared" si="25"/>
        <v xml:space="preserve"> </v>
      </c>
      <c r="J56" s="1663" t="str">
        <f t="shared" si="26"/>
        <v>--</v>
      </c>
      <c r="K56" s="1663" t="str">
        <f t="shared" si="27"/>
        <v>--</v>
      </c>
      <c r="L56" s="1663" t="str">
        <f t="shared" si="17"/>
        <v/>
      </c>
      <c r="M56" s="1663">
        <f t="shared" si="28"/>
        <v>0.02</v>
      </c>
      <c r="N56" s="1663" t="str">
        <f t="shared" si="29"/>
        <v>IRIS 1990</v>
      </c>
      <c r="O56" s="1663">
        <f t="shared" si="30"/>
        <v>0.02</v>
      </c>
      <c r="P56" s="1663" t="str">
        <f t="shared" si="31"/>
        <v>IRIS</v>
      </c>
      <c r="Q56" s="1663" t="str">
        <f t="shared" si="18"/>
        <v/>
      </c>
      <c r="R56" s="1663" t="str">
        <f t="shared" si="32"/>
        <v>--</v>
      </c>
      <c r="S56" s="1663" t="str">
        <f t="shared" si="33"/>
        <v xml:space="preserve"> </v>
      </c>
      <c r="T56" s="1663" t="str">
        <f t="shared" si="34"/>
        <v>--</v>
      </c>
      <c r="U56" s="1663" t="str">
        <f t="shared" si="35"/>
        <v>--</v>
      </c>
      <c r="V56" s="1663" t="str">
        <f t="shared" si="19"/>
        <v/>
      </c>
    </row>
    <row r="57" spans="1:24">
      <c r="A57" s="309" t="s">
        <v>185</v>
      </c>
      <c r="B57" s="427" t="s">
        <v>186</v>
      </c>
      <c r="C57" s="1663" t="str">
        <f t="shared" si="20"/>
        <v>--</v>
      </c>
      <c r="D57" s="1663" t="str">
        <f t="shared" si="21"/>
        <v xml:space="preserve"> </v>
      </c>
      <c r="E57" s="1663" t="str">
        <f t="shared" si="22"/>
        <v>--</v>
      </c>
      <c r="F57" s="1663" t="str">
        <f t="shared" si="23"/>
        <v>--</v>
      </c>
      <c r="G57" s="1663" t="str">
        <f t="shared" si="16"/>
        <v/>
      </c>
      <c r="H57" s="1663" t="str">
        <f t="shared" si="24"/>
        <v>--</v>
      </c>
      <c r="I57" s="1663" t="str">
        <f t="shared" si="25"/>
        <v xml:space="preserve"> </v>
      </c>
      <c r="J57" s="1663" t="str">
        <f t="shared" si="26"/>
        <v>--</v>
      </c>
      <c r="K57" s="1663" t="str">
        <f t="shared" si="27"/>
        <v>--</v>
      </c>
      <c r="L57" s="1663" t="str">
        <f t="shared" si="17"/>
        <v/>
      </c>
      <c r="M57" s="1663">
        <f t="shared" si="28"/>
        <v>2E-3</v>
      </c>
      <c r="N57" s="1663" t="str">
        <f t="shared" si="29"/>
        <v>IRIS 1991</v>
      </c>
      <c r="O57" s="1663">
        <f t="shared" si="30"/>
        <v>2E-3</v>
      </c>
      <c r="P57" s="1663" t="str">
        <f t="shared" si="31"/>
        <v>IRIS</v>
      </c>
      <c r="Q57" s="1663" t="str">
        <f t="shared" si="18"/>
        <v/>
      </c>
      <c r="R57" s="1663" t="str">
        <f t="shared" si="32"/>
        <v>--</v>
      </c>
      <c r="S57" s="1663" t="str">
        <f t="shared" si="33"/>
        <v xml:space="preserve"> </v>
      </c>
      <c r="T57" s="1663" t="str">
        <f t="shared" si="34"/>
        <v>--</v>
      </c>
      <c r="U57" s="1663" t="str">
        <f t="shared" si="35"/>
        <v>--</v>
      </c>
      <c r="V57" s="1663" t="str">
        <f t="shared" si="19"/>
        <v/>
      </c>
    </row>
    <row r="58" spans="1:24">
      <c r="A58" s="309" t="s">
        <v>187</v>
      </c>
      <c r="B58" s="427" t="s">
        <v>188</v>
      </c>
      <c r="C58" s="1663">
        <f t="shared" si="20"/>
        <v>0.31</v>
      </c>
      <c r="D58" s="1663" t="str">
        <f t="shared" si="21"/>
        <v>OEHHA 2009</v>
      </c>
      <c r="E58" s="1663">
        <f t="shared" si="22"/>
        <v>0.31</v>
      </c>
      <c r="F58" s="1663" t="str">
        <f t="shared" si="23"/>
        <v>OEHHA</v>
      </c>
      <c r="G58" s="1663" t="str">
        <f t="shared" si="16"/>
        <v/>
      </c>
      <c r="H58" s="1663">
        <f t="shared" si="24"/>
        <v>8.8999999999999995E-5</v>
      </c>
      <c r="I58" s="1663" t="str">
        <f t="shared" si="25"/>
        <v>OEHHA 2009</v>
      </c>
      <c r="J58" s="1663">
        <f t="shared" si="26"/>
        <v>8.8999999999999995E-5</v>
      </c>
      <c r="K58" s="1663" t="str">
        <f t="shared" si="27"/>
        <v>OEHHA</v>
      </c>
      <c r="L58" s="1663" t="str">
        <f t="shared" si="17"/>
        <v/>
      </c>
      <c r="M58" s="1663">
        <f t="shared" si="28"/>
        <v>2E-3</v>
      </c>
      <c r="N58" s="1663" t="str">
        <f t="shared" si="29"/>
        <v>IRIS 1992</v>
      </c>
      <c r="O58" s="1663">
        <f t="shared" si="30"/>
        <v>2E-3</v>
      </c>
      <c r="P58" s="1663" t="str">
        <f t="shared" si="31"/>
        <v>IRIS</v>
      </c>
      <c r="Q58" s="1663" t="str">
        <f t="shared" si="18"/>
        <v/>
      </c>
      <c r="R58" s="1663" t="str">
        <f t="shared" si="32"/>
        <v>--</v>
      </c>
      <c r="S58" s="1663" t="str">
        <f t="shared" si="33"/>
        <v xml:space="preserve"> </v>
      </c>
      <c r="T58" s="1663" t="str">
        <f t="shared" si="34"/>
        <v>--</v>
      </c>
      <c r="U58" s="1663" t="str">
        <f t="shared" si="35"/>
        <v>--</v>
      </c>
      <c r="V58" s="1663" t="str">
        <f t="shared" si="19"/>
        <v/>
      </c>
    </row>
    <row r="59" spans="1:24">
      <c r="A59" s="309" t="s">
        <v>189</v>
      </c>
      <c r="B59" s="427" t="s">
        <v>190</v>
      </c>
      <c r="C59" s="1663">
        <f t="shared" si="20"/>
        <v>0.1</v>
      </c>
      <c r="D59" s="1663" t="str">
        <f t="shared" si="21"/>
        <v>IRIS 2013</v>
      </c>
      <c r="E59" s="1663">
        <f t="shared" si="22"/>
        <v>0.1</v>
      </c>
      <c r="F59" s="1663" t="str">
        <f t="shared" si="23"/>
        <v>IRIS</v>
      </c>
      <c r="G59" s="1663" t="str">
        <f t="shared" si="16"/>
        <v/>
      </c>
      <c r="H59" s="1663">
        <f t="shared" si="24"/>
        <v>5.0000000000000004E-6</v>
      </c>
      <c r="I59" s="1663" t="str">
        <f t="shared" si="25"/>
        <v>IRIS 2013</v>
      </c>
      <c r="J59" s="1663">
        <f t="shared" si="26"/>
        <v>5.0000000000000004E-6</v>
      </c>
      <c r="K59" s="1663" t="str">
        <f t="shared" si="27"/>
        <v>IRIS</v>
      </c>
      <c r="L59" s="1663" t="str">
        <f t="shared" si="17"/>
        <v/>
      </c>
      <c r="M59" s="1663">
        <f t="shared" si="28"/>
        <v>0.03</v>
      </c>
      <c r="N59" s="1663" t="str">
        <f t="shared" si="29"/>
        <v>IRIS 2013</v>
      </c>
      <c r="O59" s="1663">
        <f t="shared" si="30"/>
        <v>0.03</v>
      </c>
      <c r="P59" s="1663" t="str">
        <f t="shared" si="31"/>
        <v>IRIS</v>
      </c>
      <c r="Q59" s="1663" t="str">
        <f t="shared" si="18"/>
        <v/>
      </c>
      <c r="R59" s="1663">
        <f t="shared" si="32"/>
        <v>30</v>
      </c>
      <c r="S59" s="1663" t="str">
        <f t="shared" si="33"/>
        <v>IRIS 2013</v>
      </c>
      <c r="T59" s="1663">
        <f t="shared" si="34"/>
        <v>30</v>
      </c>
      <c r="U59" s="1663" t="str">
        <f t="shared" si="35"/>
        <v>IRIS</v>
      </c>
      <c r="V59" s="1663" t="str">
        <f t="shared" si="19"/>
        <v/>
      </c>
    </row>
    <row r="60" spans="1:24">
      <c r="A60" s="309" t="s">
        <v>191</v>
      </c>
      <c r="B60" s="427" t="s">
        <v>192</v>
      </c>
      <c r="C60" s="1663">
        <f t="shared" si="20"/>
        <v>130000</v>
      </c>
      <c r="D60" s="1663" t="str">
        <f t="shared" si="21"/>
        <v>OEHHA 2009</v>
      </c>
      <c r="E60" s="1663">
        <f t="shared" si="22"/>
        <v>130000</v>
      </c>
      <c r="F60" s="1663" t="str">
        <f t="shared" si="23"/>
        <v>OEHHA</v>
      </c>
      <c r="G60" s="1663" t="str">
        <f t="shared" si="16"/>
        <v/>
      </c>
      <c r="H60" s="1663">
        <f t="shared" si="24"/>
        <v>38</v>
      </c>
      <c r="I60" s="1663" t="str">
        <f t="shared" si="25"/>
        <v>OEHHA 2009</v>
      </c>
      <c r="J60" s="1663">
        <f t="shared" si="26"/>
        <v>38</v>
      </c>
      <c r="K60" s="1663" t="str">
        <f t="shared" si="27"/>
        <v>OEHHA</v>
      </c>
      <c r="L60" s="1663" t="str">
        <f t="shared" si="17"/>
        <v/>
      </c>
      <c r="M60" s="1663">
        <f t="shared" si="28"/>
        <v>6.9999999999999996E-10</v>
      </c>
      <c r="N60" s="1663" t="str">
        <f t="shared" si="29"/>
        <v>IRIS 2012</v>
      </c>
      <c r="O60" s="1663">
        <f t="shared" si="30"/>
        <v>6.9999999999999996E-10</v>
      </c>
      <c r="P60" s="1663" t="str">
        <f t="shared" si="31"/>
        <v>IRIS</v>
      </c>
      <c r="Q60" s="1663" t="str">
        <f t="shared" si="18"/>
        <v/>
      </c>
      <c r="R60" s="1663">
        <f t="shared" si="32"/>
        <v>4.0000000000000003E-5</v>
      </c>
      <c r="S60" s="1663" t="str">
        <f t="shared" si="33"/>
        <v>OEHHA 2008</v>
      </c>
      <c r="T60" s="1663">
        <f t="shared" si="34"/>
        <v>4.0000000000000003E-5</v>
      </c>
      <c r="U60" s="1663" t="str">
        <f t="shared" si="35"/>
        <v>OEHHA</v>
      </c>
      <c r="V60" s="1663" t="str">
        <f t="shared" si="19"/>
        <v/>
      </c>
    </row>
    <row r="61" spans="1:24">
      <c r="A61" s="309" t="s">
        <v>193</v>
      </c>
      <c r="B61" s="427" t="s">
        <v>194</v>
      </c>
      <c r="C61" s="1663" t="str">
        <f t="shared" si="20"/>
        <v>--</v>
      </c>
      <c r="D61" s="1663" t="str">
        <f t="shared" si="21"/>
        <v xml:space="preserve"> </v>
      </c>
      <c r="E61" s="1663" t="str">
        <f t="shared" si="22"/>
        <v>--</v>
      </c>
      <c r="F61" s="1663" t="str">
        <f t="shared" si="23"/>
        <v>--</v>
      </c>
      <c r="G61" s="1663" t="str">
        <f t="shared" si="16"/>
        <v/>
      </c>
      <c r="H61" s="1663" t="str">
        <f t="shared" si="24"/>
        <v>--</v>
      </c>
      <c r="I61" s="1663" t="str">
        <f t="shared" si="25"/>
        <v xml:space="preserve"> </v>
      </c>
      <c r="J61" s="1663" t="str">
        <f t="shared" si="26"/>
        <v>--</v>
      </c>
      <c r="K61" s="1663" t="str">
        <f t="shared" si="27"/>
        <v>--</v>
      </c>
      <c r="L61" s="1663" t="str">
        <f t="shared" si="17"/>
        <v/>
      </c>
      <c r="M61" s="1663">
        <f t="shared" si="28"/>
        <v>6.0000000000000001E-3</v>
      </c>
      <c r="N61" s="1663" t="str">
        <f t="shared" si="29"/>
        <v>IRIS 1994</v>
      </c>
      <c r="O61" s="1663">
        <f t="shared" si="30"/>
        <v>6.0000000000000001E-3</v>
      </c>
      <c r="P61" s="1663" t="str">
        <f t="shared" si="31"/>
        <v>IRIS</v>
      </c>
      <c r="Q61" s="1663" t="str">
        <f t="shared" si="18"/>
        <v/>
      </c>
      <c r="R61" s="1663" t="str">
        <f t="shared" si="32"/>
        <v>--</v>
      </c>
      <c r="S61" s="1663" t="str">
        <f t="shared" si="33"/>
        <v xml:space="preserve"> </v>
      </c>
      <c r="T61" s="1663">
        <f t="shared" si="34"/>
        <v>24</v>
      </c>
      <c r="U61" s="1665" t="str">
        <f t="shared" si="35"/>
        <v>Route (IRIS)</v>
      </c>
      <c r="V61" s="1665">
        <f t="shared" si="19"/>
        <v>1</v>
      </c>
      <c r="X61" s="55" t="s">
        <v>4084</v>
      </c>
    </row>
    <row r="62" spans="1:24">
      <c r="A62" s="309" t="s">
        <v>195</v>
      </c>
      <c r="B62" s="427" t="s">
        <v>196</v>
      </c>
      <c r="C62" s="1663" t="str">
        <f t="shared" si="20"/>
        <v>--</v>
      </c>
      <c r="D62" s="1663" t="str">
        <f t="shared" si="21"/>
        <v xml:space="preserve"> </v>
      </c>
      <c r="E62" s="1663" t="str">
        <f t="shared" si="22"/>
        <v>--</v>
      </c>
      <c r="F62" s="1663" t="str">
        <f t="shared" si="23"/>
        <v>--</v>
      </c>
      <c r="G62" s="1663" t="str">
        <f t="shared" si="16"/>
        <v/>
      </c>
      <c r="H62" s="1663" t="str">
        <f t="shared" si="24"/>
        <v>--</v>
      </c>
      <c r="I62" s="1663" t="str">
        <f t="shared" si="25"/>
        <v xml:space="preserve"> </v>
      </c>
      <c r="J62" s="1663" t="str">
        <f t="shared" si="26"/>
        <v>--</v>
      </c>
      <c r="K62" s="1663" t="str">
        <f t="shared" si="27"/>
        <v>--</v>
      </c>
      <c r="L62" s="1663" t="str">
        <f t="shared" si="17"/>
        <v/>
      </c>
      <c r="M62" s="1663">
        <f t="shared" si="28"/>
        <v>2.9999999999999997E-4</v>
      </c>
      <c r="N62" s="1663" t="str">
        <f t="shared" si="29"/>
        <v>IRIS 1989</v>
      </c>
      <c r="O62" s="1663">
        <f t="shared" si="30"/>
        <v>2.9999999999999997E-4</v>
      </c>
      <c r="P62" s="1663" t="str">
        <f t="shared" si="31"/>
        <v>IRIS</v>
      </c>
      <c r="Q62" s="1663" t="str">
        <f t="shared" si="18"/>
        <v/>
      </c>
      <c r="R62" s="1663" t="str">
        <f t="shared" si="32"/>
        <v>--</v>
      </c>
      <c r="S62" s="1663" t="str">
        <f t="shared" si="33"/>
        <v xml:space="preserve"> </v>
      </c>
      <c r="T62" s="1663" t="str">
        <f t="shared" si="34"/>
        <v>--</v>
      </c>
      <c r="U62" s="1663" t="str">
        <f t="shared" si="35"/>
        <v>--</v>
      </c>
      <c r="V62" s="1663" t="str">
        <f t="shared" si="19"/>
        <v/>
      </c>
    </row>
    <row r="63" spans="1:24">
      <c r="A63" s="309" t="s">
        <v>197</v>
      </c>
      <c r="B63" s="427" t="s">
        <v>198</v>
      </c>
      <c r="C63" s="1663">
        <f t="shared" si="20"/>
        <v>1.0999999999999999E-2</v>
      </c>
      <c r="D63" s="1663" t="str">
        <f t="shared" si="21"/>
        <v>OEHHA 2009</v>
      </c>
      <c r="E63" s="1663">
        <f t="shared" si="22"/>
        <v>1.0999999999999999E-2</v>
      </c>
      <c r="F63" s="1663" t="str">
        <f t="shared" si="23"/>
        <v>OEHHA</v>
      </c>
      <c r="G63" s="1663" t="str">
        <f t="shared" si="16"/>
        <v/>
      </c>
      <c r="H63" s="1663">
        <f t="shared" si="24"/>
        <v>2.5000000000000002E-6</v>
      </c>
      <c r="I63" s="1663" t="str">
        <f t="shared" si="25"/>
        <v>OEHHA 2009</v>
      </c>
      <c r="J63" s="1663">
        <f t="shared" si="26"/>
        <v>2.5000000000000002E-6</v>
      </c>
      <c r="K63" s="1663" t="str">
        <f t="shared" si="27"/>
        <v>OEHHA</v>
      </c>
      <c r="L63" s="1663" t="str">
        <f t="shared" si="17"/>
        <v/>
      </c>
      <c r="M63" s="1663">
        <f t="shared" si="28"/>
        <v>0.05</v>
      </c>
      <c r="N63" s="1663" t="str">
        <f t="shared" si="29"/>
        <v>PPRTV 2009*</v>
      </c>
      <c r="O63" s="1663">
        <f t="shared" si="30"/>
        <v>0.05</v>
      </c>
      <c r="P63" s="1663" t="str">
        <f t="shared" si="31"/>
        <v>PPRTV</v>
      </c>
      <c r="Q63" s="1663" t="str">
        <f t="shared" si="18"/>
        <v/>
      </c>
      <c r="R63" s="1663">
        <f t="shared" si="32"/>
        <v>1000</v>
      </c>
      <c r="S63" s="1663" t="str">
        <f t="shared" si="33"/>
        <v>IRIS 1991</v>
      </c>
      <c r="T63" s="1663">
        <f t="shared" si="34"/>
        <v>1000</v>
      </c>
      <c r="U63" s="1663" t="str">
        <f>VLOOKUP($B63,Table_N10, MATCH("Rfc-r", Heading_N10, 0), FALSE)</f>
        <v>IRIS</v>
      </c>
      <c r="V63" s="1663" t="str">
        <f t="shared" si="19"/>
        <v/>
      </c>
    </row>
    <row r="64" spans="1:24">
      <c r="A64" s="309" t="s">
        <v>199</v>
      </c>
      <c r="B64" s="427" t="s">
        <v>200</v>
      </c>
      <c r="C64" s="1663">
        <f t="shared" si="20"/>
        <v>4.5</v>
      </c>
      <c r="D64" s="1663" t="str">
        <f t="shared" si="21"/>
        <v>IRIS 1991</v>
      </c>
      <c r="E64" s="1663">
        <f t="shared" si="22"/>
        <v>4.5</v>
      </c>
      <c r="F64" s="1663" t="str">
        <f t="shared" si="23"/>
        <v>IRIS</v>
      </c>
      <c r="G64" s="1663" t="str">
        <f t="shared" si="16"/>
        <v/>
      </c>
      <c r="H64" s="1663">
        <f t="shared" si="24"/>
        <v>1.2999999999999999E-3</v>
      </c>
      <c r="I64" s="1663" t="str">
        <f t="shared" si="25"/>
        <v>IRIS 1991</v>
      </c>
      <c r="J64" s="1663">
        <f t="shared" si="26"/>
        <v>1.2999999999999999E-3</v>
      </c>
      <c r="K64" s="1663" t="str">
        <f t="shared" si="27"/>
        <v>IRIS</v>
      </c>
      <c r="L64" s="1663" t="str">
        <f t="shared" si="17"/>
        <v/>
      </c>
      <c r="M64" s="1663">
        <f t="shared" si="28"/>
        <v>1E-4</v>
      </c>
      <c r="N64" s="1663" t="str">
        <f t="shared" si="29"/>
        <v>ATSDR 2007*</v>
      </c>
      <c r="O64" s="1663">
        <f t="shared" si="30"/>
        <v>1E-4</v>
      </c>
      <c r="P64" s="1663" t="str">
        <f t="shared" si="31"/>
        <v>ATSDR</v>
      </c>
      <c r="Q64" s="1663" t="str">
        <f t="shared" si="18"/>
        <v/>
      </c>
      <c r="R64" s="1663" t="str">
        <f t="shared" si="32"/>
        <v>--</v>
      </c>
      <c r="S64" s="1663" t="str">
        <f t="shared" si="33"/>
        <v xml:space="preserve"> </v>
      </c>
      <c r="T64" s="1663">
        <f t="shared" si="34"/>
        <v>2</v>
      </c>
      <c r="U64" s="1665" t="str">
        <f t="shared" si="35"/>
        <v>Route (IRIS)</v>
      </c>
      <c r="V64" s="1665">
        <f t="shared" si="19"/>
        <v>1</v>
      </c>
      <c r="X64" s="55" t="s">
        <v>4084</v>
      </c>
    </row>
    <row r="65" spans="1:24">
      <c r="A65" s="309" t="s">
        <v>201</v>
      </c>
      <c r="B65" s="427" t="s">
        <v>202</v>
      </c>
      <c r="C65" s="1663">
        <f t="shared" si="20"/>
        <v>9.1</v>
      </c>
      <c r="D65" s="1663" t="str">
        <f t="shared" si="21"/>
        <v>IRIS 1991</v>
      </c>
      <c r="E65" s="1663">
        <f t="shared" si="22"/>
        <v>9.1</v>
      </c>
      <c r="F65" s="1663" t="str">
        <f t="shared" si="23"/>
        <v>IRIS</v>
      </c>
      <c r="G65" s="1663" t="str">
        <f t="shared" si="16"/>
        <v/>
      </c>
      <c r="H65" s="1663">
        <f t="shared" si="24"/>
        <v>2.5999999999999999E-3</v>
      </c>
      <c r="I65" s="1663" t="str">
        <f t="shared" si="25"/>
        <v>IRIS 1991</v>
      </c>
      <c r="J65" s="1663">
        <f t="shared" si="26"/>
        <v>2.5999999999999999E-3</v>
      </c>
      <c r="K65" s="1663" t="str">
        <f t="shared" si="27"/>
        <v>IRIS</v>
      </c>
      <c r="L65" s="1663" t="str">
        <f t="shared" si="17"/>
        <v/>
      </c>
      <c r="M65" s="1663">
        <f t="shared" si="28"/>
        <v>1.2999999999999999E-5</v>
      </c>
      <c r="N65" s="1663" t="str">
        <f t="shared" si="29"/>
        <v>IRIS 1991</v>
      </c>
      <c r="O65" s="1663">
        <f t="shared" si="30"/>
        <v>1.2999999999999999E-5</v>
      </c>
      <c r="P65" s="1663" t="str">
        <f t="shared" si="31"/>
        <v>IRIS</v>
      </c>
      <c r="Q65" s="1663" t="str">
        <f t="shared" si="18"/>
        <v/>
      </c>
      <c r="R65" s="1663" t="str">
        <f t="shared" si="32"/>
        <v>--</v>
      </c>
      <c r="S65" s="1663" t="str">
        <f t="shared" si="33"/>
        <v xml:space="preserve"> </v>
      </c>
      <c r="T65" s="1663">
        <f t="shared" si="34"/>
        <v>5.1999999999999998E-2</v>
      </c>
      <c r="U65" s="1665" t="str">
        <f t="shared" si="35"/>
        <v>Route (IRIS)</v>
      </c>
      <c r="V65" s="1665">
        <f t="shared" si="19"/>
        <v>1</v>
      </c>
      <c r="X65" s="55" t="s">
        <v>4084</v>
      </c>
    </row>
    <row r="66" spans="1:24">
      <c r="A66" s="309" t="s">
        <v>203</v>
      </c>
      <c r="B66" s="427" t="s">
        <v>204</v>
      </c>
      <c r="C66" s="1663">
        <f t="shared" si="20"/>
        <v>1.8</v>
      </c>
      <c r="D66" s="1663" t="str">
        <f t="shared" si="21"/>
        <v>OEHHA 2009</v>
      </c>
      <c r="E66" s="1663">
        <f t="shared" si="22"/>
        <v>1.8</v>
      </c>
      <c r="F66" s="1663" t="str">
        <f t="shared" si="23"/>
        <v>Rule, OEHHA</v>
      </c>
      <c r="G66" s="1663" t="str">
        <f t="shared" si="16"/>
        <v/>
      </c>
      <c r="H66" s="1663">
        <f t="shared" si="24"/>
        <v>5.1000000000000004E-4</v>
      </c>
      <c r="I66" s="1663" t="str">
        <f t="shared" si="25"/>
        <v>OEHHA 2009</v>
      </c>
      <c r="J66" s="1663">
        <f t="shared" si="26"/>
        <v>5.1000000000000004E-4</v>
      </c>
      <c r="K66" s="1663" t="str">
        <f t="shared" si="27"/>
        <v>Rule, OEHHA</v>
      </c>
      <c r="L66" s="1663" t="str">
        <f t="shared" si="17"/>
        <v/>
      </c>
      <c r="M66" s="1663">
        <f t="shared" si="28"/>
        <v>1.0000000000000001E-5</v>
      </c>
      <c r="N66" s="1663" t="str">
        <f t="shared" si="29"/>
        <v>PPRTV 2010*</v>
      </c>
      <c r="O66" s="1663">
        <f t="shared" si="30"/>
        <v>1.0000000000000001E-5</v>
      </c>
      <c r="P66" s="1663" t="str">
        <f t="shared" si="31"/>
        <v>PPRTV</v>
      </c>
      <c r="Q66" s="1663" t="str">
        <f t="shared" si="18"/>
        <v/>
      </c>
      <c r="R66" s="1663" t="str">
        <f t="shared" si="32"/>
        <v>--</v>
      </c>
      <c r="S66" s="1663" t="str">
        <f t="shared" si="33"/>
        <v xml:space="preserve"> </v>
      </c>
      <c r="T66" s="1663">
        <f t="shared" si="34"/>
        <v>3.2</v>
      </c>
      <c r="U66" s="1665" t="s">
        <v>3693</v>
      </c>
      <c r="V66" s="1665">
        <f t="shared" si="19"/>
        <v>1</v>
      </c>
      <c r="X66" s="55" t="s">
        <v>4084</v>
      </c>
    </row>
    <row r="67" spans="1:24">
      <c r="A67" s="309" t="s">
        <v>205</v>
      </c>
      <c r="B67" s="427" t="s">
        <v>206</v>
      </c>
      <c r="C67" s="1663">
        <f t="shared" si="20"/>
        <v>7.8E-2</v>
      </c>
      <c r="D67" s="1663" t="str">
        <f t="shared" si="21"/>
        <v>IRIS 1993</v>
      </c>
      <c r="E67" s="1663">
        <f t="shared" si="22"/>
        <v>7.8E-2</v>
      </c>
      <c r="F67" s="1663" t="str">
        <f t="shared" si="23"/>
        <v>IRIS</v>
      </c>
      <c r="G67" s="1663" t="str">
        <f t="shared" si="16"/>
        <v/>
      </c>
      <c r="H67" s="1663">
        <f t="shared" si="24"/>
        <v>2.1999999999999999E-5</v>
      </c>
      <c r="I67" s="1663" t="str">
        <f t="shared" si="25"/>
        <v>IRIS 1993</v>
      </c>
      <c r="J67" s="1663">
        <f t="shared" si="26"/>
        <v>2.1999999999999999E-5</v>
      </c>
      <c r="K67" s="1663" t="str">
        <f t="shared" si="27"/>
        <v>IRIS</v>
      </c>
      <c r="L67" s="1663" t="str">
        <f t="shared" si="17"/>
        <v/>
      </c>
      <c r="M67" s="1663">
        <f t="shared" si="28"/>
        <v>1E-3</v>
      </c>
      <c r="N67" s="1663" t="str">
        <f t="shared" si="29"/>
        <v>PPRTV 2007</v>
      </c>
      <c r="O67" s="1663">
        <f t="shared" si="30"/>
        <v>1E-3</v>
      </c>
      <c r="P67" s="1663" t="str">
        <f t="shared" si="31"/>
        <v>PPRTV</v>
      </c>
      <c r="Q67" s="1663" t="str">
        <f t="shared" si="18"/>
        <v/>
      </c>
      <c r="R67" s="1663" t="str">
        <f t="shared" si="32"/>
        <v>--</v>
      </c>
      <c r="S67" s="1663" t="str">
        <f t="shared" si="33"/>
        <v xml:space="preserve"> </v>
      </c>
      <c r="T67" s="1663">
        <f t="shared" si="34"/>
        <v>4</v>
      </c>
      <c r="U67" s="1665" t="str">
        <f t="shared" si="35"/>
        <v>Route (PPRTV)</v>
      </c>
      <c r="V67" s="1665">
        <f t="shared" si="19"/>
        <v>1</v>
      </c>
      <c r="X67" s="55" t="s">
        <v>4084</v>
      </c>
    </row>
    <row r="68" spans="1:24">
      <c r="A68" s="306" t="s">
        <v>1123</v>
      </c>
      <c r="B68" s="427" t="s">
        <v>208</v>
      </c>
      <c r="C68" s="1663">
        <f t="shared" si="20"/>
        <v>1.1000000000000001</v>
      </c>
      <c r="D68" s="1663" t="str">
        <f t="shared" si="21"/>
        <v>OEHHA 2009</v>
      </c>
      <c r="E68" s="1663">
        <f t="shared" si="22"/>
        <v>1.1000000000000001</v>
      </c>
      <c r="F68" s="1663" t="str">
        <f t="shared" si="23"/>
        <v>OEHHA</v>
      </c>
      <c r="G68" s="1663" t="str">
        <f t="shared" si="16"/>
        <v/>
      </c>
      <c r="H68" s="1663">
        <f t="shared" si="24"/>
        <v>3.1E-4</v>
      </c>
      <c r="I68" s="1663" t="str">
        <f t="shared" si="25"/>
        <v>OEHHA 2009</v>
      </c>
      <c r="J68" s="1663">
        <f t="shared" si="26"/>
        <v>3.1E-4</v>
      </c>
      <c r="K68" s="1663" t="str">
        <f t="shared" si="27"/>
        <v>OEHHA</v>
      </c>
      <c r="L68" s="1663" t="str">
        <f t="shared" si="17"/>
        <v/>
      </c>
      <c r="M68" s="1663">
        <f t="shared" si="28"/>
        <v>7.9999999999999996E-7</v>
      </c>
      <c r="N68" s="1663" t="str">
        <f t="shared" si="29"/>
        <v>ATSDR*</v>
      </c>
      <c r="O68" s="1663">
        <f t="shared" si="30"/>
        <v>7.9999999999999996E-7</v>
      </c>
      <c r="P68" s="1663" t="str">
        <f t="shared" si="31"/>
        <v>ATSDR</v>
      </c>
      <c r="Q68" s="1663" t="str">
        <f t="shared" si="18"/>
        <v/>
      </c>
      <c r="R68" s="1663" t="str">
        <f t="shared" si="32"/>
        <v>--</v>
      </c>
      <c r="S68" s="1663" t="str">
        <f t="shared" si="33"/>
        <v xml:space="preserve"> </v>
      </c>
      <c r="T68" s="1663" t="str">
        <f t="shared" si="34"/>
        <v>--</v>
      </c>
      <c r="U68" s="1663" t="str">
        <f t="shared" si="35"/>
        <v>--</v>
      </c>
      <c r="V68" s="1663" t="str">
        <f t="shared" si="19"/>
        <v/>
      </c>
    </row>
    <row r="69" spans="1:24">
      <c r="A69" s="309" t="s">
        <v>209</v>
      </c>
      <c r="B69" s="427" t="s">
        <v>210</v>
      </c>
      <c r="C69" s="1663">
        <f t="shared" si="20"/>
        <v>0.04</v>
      </c>
      <c r="D69" s="1663" t="str">
        <f t="shared" si="21"/>
        <v>IRIS 2011</v>
      </c>
      <c r="E69" s="1663">
        <f t="shared" si="22"/>
        <v>0.04</v>
      </c>
      <c r="F69" s="1663" t="str">
        <f t="shared" si="23"/>
        <v>IRIS</v>
      </c>
      <c r="G69" s="1663" t="str">
        <f t="shared" si="16"/>
        <v/>
      </c>
      <c r="H69" s="1663">
        <f t="shared" si="24"/>
        <v>1.1E-5</v>
      </c>
      <c r="I69" s="1663" t="str">
        <f t="shared" si="25"/>
        <v>OEHHA 2009</v>
      </c>
      <c r="J69" s="1663">
        <f t="shared" si="26"/>
        <v>1.1E-5</v>
      </c>
      <c r="K69" s="1663" t="str">
        <f t="shared" si="27"/>
        <v>OEHHA</v>
      </c>
      <c r="L69" s="1663" t="str">
        <f t="shared" si="17"/>
        <v/>
      </c>
      <c r="M69" s="1663">
        <f t="shared" si="28"/>
        <v>6.9999999999999999E-4</v>
      </c>
      <c r="N69" s="1663" t="str">
        <f t="shared" si="29"/>
        <v>IRIS 2011</v>
      </c>
      <c r="O69" s="1663">
        <f t="shared" si="30"/>
        <v>6.9999999999999999E-4</v>
      </c>
      <c r="P69" s="1663" t="str">
        <f t="shared" si="31"/>
        <v>IRIS</v>
      </c>
      <c r="Q69" s="1663" t="str">
        <f t="shared" si="18"/>
        <v/>
      </c>
      <c r="R69" s="1663">
        <f t="shared" si="32"/>
        <v>30</v>
      </c>
      <c r="S69" s="1663" t="str">
        <f t="shared" si="33"/>
        <v>IRIS 2011</v>
      </c>
      <c r="T69" s="1663">
        <f t="shared" si="34"/>
        <v>30</v>
      </c>
      <c r="U69" s="1663" t="str">
        <f t="shared" si="35"/>
        <v>IRIS</v>
      </c>
      <c r="V69" s="1663" t="str">
        <f t="shared" si="19"/>
        <v/>
      </c>
    </row>
    <row r="70" spans="1:24">
      <c r="A70" s="309" t="s">
        <v>211</v>
      </c>
      <c r="B70" s="427" t="s">
        <v>212</v>
      </c>
      <c r="C70" s="1663" t="str">
        <f t="shared" ref="C70:C101" si="36">VLOOKUP($A70,Table_IP_2, MATCH("SFo", heading_IP_2, 0), FALSE)</f>
        <v>--</v>
      </c>
      <c r="D70" s="1663" t="str">
        <f t="shared" ref="D70:D101" si="37">VLOOKUP($A70,Table_IP_2, MATCH("Sfo-r", heading_IP_2, 0), FALSE)</f>
        <v xml:space="preserve"> </v>
      </c>
      <c r="E70" s="1663">
        <f t="shared" ref="E70:E101" si="38">VLOOKUP($B70,Table_N10, MATCH("SFo", Heading_N10, 0), FALSE)</f>
        <v>0</v>
      </c>
      <c r="F70" s="1663">
        <f t="shared" ref="F70:F101" si="39">VLOOKUP($B70,Table_N10, MATCH("Sfo-r", Heading_N10, 0), FALSE)</f>
        <v>0</v>
      </c>
      <c r="G70" s="1663"/>
      <c r="H70" s="1663" t="str">
        <f t="shared" ref="H70:H101" si="40">VLOOKUP($A70,Table_IP_2, MATCH("IUR", heading_IP_2, 0), FALSE)</f>
        <v>--</v>
      </c>
      <c r="I70" s="1663" t="str">
        <f t="shared" ref="I70:I101" si="41">VLOOKUP($A70,Table_IP_2, MATCH("IUR-r", heading_IP_2, 0), FALSE)</f>
        <v xml:space="preserve"> </v>
      </c>
      <c r="J70" s="1663">
        <f t="shared" ref="J70:J101" si="42">VLOOKUP($B70,Table_N10, MATCH("IUR", Heading_N10, 0), FALSE)</f>
        <v>0</v>
      </c>
      <c r="K70" s="1663">
        <f t="shared" ref="K70:K101" si="43">VLOOKUP($B70,Table_N10, MATCH("IUR-r", Heading_N10, 0), FALSE)</f>
        <v>0</v>
      </c>
      <c r="L70" s="1663"/>
      <c r="M70" s="1663" t="str">
        <f t="shared" ref="M70:M101" si="44">VLOOKUP($A70,Table_IP_2, MATCH("Rfdo", heading_IP_2, 0), FALSE)</f>
        <v>--</v>
      </c>
      <c r="N70" s="1663" t="str">
        <f t="shared" ref="N70:N101" si="45">VLOOKUP($A70,Table_IP_2, MATCH("Rfdo-r", heading_IP_2, 0), FALSE)</f>
        <v xml:space="preserve"> </v>
      </c>
      <c r="O70" s="1663">
        <f t="shared" ref="O70:O101" si="46">VLOOKUP($B70,Table_N10, MATCH("Rfdo", Heading_N10, 0), FALSE)</f>
        <v>0</v>
      </c>
      <c r="P70" s="1663">
        <f t="shared" ref="P70:P101" si="47">VLOOKUP($B70,Table_N10, MATCH("Rfdo-r", Heading_N10, 0), FALSE)</f>
        <v>0</v>
      </c>
      <c r="Q70" s="1663"/>
      <c r="R70" s="1663" t="str">
        <f t="shared" ref="R70:R101" si="48">VLOOKUP($A70,Table_IP_2, MATCH("Rfc", heading_IP_2, 0), FALSE)</f>
        <v>--</v>
      </c>
      <c r="S70" s="1663" t="str">
        <f t="shared" ref="S70:S101" si="49">VLOOKUP($A70,Table_IP_2, MATCH("Rfc-r", heading_IP_2, 0), FALSE)</f>
        <v xml:space="preserve"> </v>
      </c>
      <c r="T70" s="1663">
        <f t="shared" ref="T70:T101" si="50">VLOOKUP($B70,Table_N10, MATCH("Rfc", Heading_N10, 0), FALSE)</f>
        <v>0</v>
      </c>
      <c r="U70" s="1663">
        <f t="shared" ref="U70:U101" si="51">VLOOKUP($B70,Table_N10, MATCH("Rfc-r", Heading_N10, 0), FALSE)</f>
        <v>0</v>
      </c>
      <c r="V70" s="1663"/>
    </row>
    <row r="71" spans="1:24">
      <c r="A71" s="309" t="s">
        <v>213</v>
      </c>
      <c r="B71" s="427" t="s">
        <v>214</v>
      </c>
      <c r="C71" s="1663" t="str">
        <f t="shared" si="36"/>
        <v>--</v>
      </c>
      <c r="D71" s="1663" t="str">
        <f t="shared" si="37"/>
        <v xml:space="preserve"> </v>
      </c>
      <c r="E71" s="1663" t="str">
        <f t="shared" si="38"/>
        <v>--</v>
      </c>
      <c r="F71" s="1663" t="str">
        <f t="shared" si="39"/>
        <v>--</v>
      </c>
      <c r="G71" s="1663" t="str">
        <f t="shared" ref="G71:G134" si="52">IF(C71=E71,"",1)</f>
        <v/>
      </c>
      <c r="H71" s="1663" t="str">
        <f t="shared" si="40"/>
        <v>--</v>
      </c>
      <c r="I71" s="1663" t="str">
        <f t="shared" si="41"/>
        <v xml:space="preserve"> </v>
      </c>
      <c r="J71" s="1663" t="str">
        <f t="shared" si="42"/>
        <v>--</v>
      </c>
      <c r="K71" s="1663" t="str">
        <f t="shared" si="43"/>
        <v>--</v>
      </c>
      <c r="L71" s="1663" t="str">
        <f t="shared" ref="L71:L134" si="53">IF(H71=J71,"",1)</f>
        <v/>
      </c>
      <c r="M71" s="1663">
        <f t="shared" si="44"/>
        <v>1.6000000000000001E-4</v>
      </c>
      <c r="N71" s="1663" t="str">
        <f t="shared" si="45"/>
        <v>OEHHA 2008</v>
      </c>
      <c r="O71" s="1663">
        <f t="shared" si="46"/>
        <v>1.6000000000000001E-4</v>
      </c>
      <c r="P71" s="1663" t="str">
        <f t="shared" si="47"/>
        <v>Rule, OEHHA REL</v>
      </c>
      <c r="Q71" s="1663" t="str">
        <f t="shared" ref="Q71:Q134" si="54">IF(M71=O71,"",1)</f>
        <v/>
      </c>
      <c r="R71" s="1663">
        <f t="shared" si="48"/>
        <v>0.03</v>
      </c>
      <c r="S71" s="1663" t="str">
        <f t="shared" si="49"/>
        <v>OEHHA 2008</v>
      </c>
      <c r="T71" s="1663">
        <f t="shared" si="50"/>
        <v>0.03</v>
      </c>
      <c r="U71" s="1663" t="str">
        <f t="shared" si="51"/>
        <v>Rule, OEHHA</v>
      </c>
      <c r="V71" s="1663" t="str">
        <f t="shared" ref="V71:V134" si="55">IF(R71=T71,"",1)</f>
        <v/>
      </c>
    </row>
    <row r="72" spans="1:24">
      <c r="A72" s="309" t="s">
        <v>215</v>
      </c>
      <c r="B72" s="427" t="s">
        <v>216</v>
      </c>
      <c r="C72" s="1663" t="str">
        <f t="shared" si="36"/>
        <v>--</v>
      </c>
      <c r="D72" s="1663" t="str">
        <f t="shared" si="37"/>
        <v xml:space="preserve"> </v>
      </c>
      <c r="E72" s="1663" t="str">
        <f t="shared" si="38"/>
        <v>--</v>
      </c>
      <c r="F72" s="1663" t="str">
        <f t="shared" si="39"/>
        <v>--</v>
      </c>
      <c r="G72" s="1663" t="str">
        <f t="shared" si="52"/>
        <v/>
      </c>
      <c r="H72" s="1663" t="str">
        <f t="shared" si="40"/>
        <v>--</v>
      </c>
      <c r="I72" s="1663" t="str">
        <f t="shared" si="41"/>
        <v xml:space="preserve"> </v>
      </c>
      <c r="J72" s="1663" t="str">
        <f t="shared" si="42"/>
        <v>--</v>
      </c>
      <c r="K72" s="1663" t="str">
        <f t="shared" si="43"/>
        <v>--</v>
      </c>
      <c r="L72" s="1663" t="str">
        <f t="shared" si="53"/>
        <v/>
      </c>
      <c r="M72" s="1663">
        <f t="shared" si="44"/>
        <v>5.0000000000000001E-3</v>
      </c>
      <c r="N72" s="1663" t="str">
        <f t="shared" si="45"/>
        <v>IRIS 1992</v>
      </c>
      <c r="O72" s="1663">
        <f t="shared" si="46"/>
        <v>5.0000000000000001E-3</v>
      </c>
      <c r="P72" s="1663" t="str">
        <f t="shared" si="47"/>
        <v>IRIS</v>
      </c>
      <c r="Q72" s="1663" t="str">
        <f t="shared" si="54"/>
        <v/>
      </c>
      <c r="R72" s="1663" t="str">
        <f t="shared" si="48"/>
        <v>--</v>
      </c>
      <c r="S72" s="1663" t="str">
        <f t="shared" si="49"/>
        <v xml:space="preserve"> </v>
      </c>
      <c r="T72" s="1663">
        <f t="shared" si="50"/>
        <v>20</v>
      </c>
      <c r="U72" s="1665" t="str">
        <f t="shared" si="51"/>
        <v>Route (IRIS)</v>
      </c>
      <c r="V72" s="1665">
        <f t="shared" si="55"/>
        <v>1</v>
      </c>
      <c r="X72" s="55" t="s">
        <v>4084</v>
      </c>
    </row>
    <row r="73" spans="1:24">
      <c r="A73" s="309" t="s">
        <v>217</v>
      </c>
      <c r="B73" s="427" t="s">
        <v>218</v>
      </c>
      <c r="C73" s="1663">
        <f t="shared" si="36"/>
        <v>2E-3</v>
      </c>
      <c r="D73" s="1663" t="str">
        <f t="shared" si="37"/>
        <v>IRIS 2011</v>
      </c>
      <c r="E73" s="1663">
        <f t="shared" si="38"/>
        <v>2E-3</v>
      </c>
      <c r="F73" s="1663" t="str">
        <f t="shared" si="39"/>
        <v>IRIS</v>
      </c>
      <c r="G73" s="1663" t="str">
        <f t="shared" si="52"/>
        <v/>
      </c>
      <c r="H73" s="1663">
        <f t="shared" si="40"/>
        <v>9.9999999999999995E-7</v>
      </c>
      <c r="I73" s="1663" t="str">
        <f t="shared" si="41"/>
        <v>OEHHA 2009</v>
      </c>
      <c r="J73" s="1663">
        <f t="shared" si="42"/>
        <v>9.9999999999999995E-7</v>
      </c>
      <c r="K73" s="1663" t="str">
        <f t="shared" si="43"/>
        <v>Rule, OEHHA</v>
      </c>
      <c r="L73" s="1663" t="str">
        <f t="shared" si="53"/>
        <v/>
      </c>
      <c r="M73" s="1663">
        <f t="shared" si="44"/>
        <v>6.0000000000000001E-3</v>
      </c>
      <c r="N73" s="1663" t="str">
        <f t="shared" si="45"/>
        <v>IRIS 2001</v>
      </c>
      <c r="O73" s="1663">
        <f t="shared" si="46"/>
        <v>6.0000000000000001E-3</v>
      </c>
      <c r="P73" s="1663" t="str">
        <f t="shared" si="47"/>
        <v>IRIS</v>
      </c>
      <c r="Q73" s="1663" t="str">
        <f t="shared" si="54"/>
        <v/>
      </c>
      <c r="R73" s="1663">
        <f t="shared" si="48"/>
        <v>400</v>
      </c>
      <c r="S73" s="1663" t="str">
        <f t="shared" si="49"/>
        <v>OEHHA 2008</v>
      </c>
      <c r="T73" s="1663">
        <f t="shared" si="50"/>
        <v>400</v>
      </c>
      <c r="U73" s="1663" t="str">
        <f t="shared" si="51"/>
        <v>Rule, OEHHA</v>
      </c>
      <c r="V73" s="1663" t="str">
        <f t="shared" si="55"/>
        <v/>
      </c>
    </row>
    <row r="74" spans="1:24">
      <c r="A74" s="309" t="s">
        <v>219</v>
      </c>
      <c r="B74" s="427" t="s">
        <v>220</v>
      </c>
      <c r="C74" s="1663" t="str">
        <f t="shared" si="36"/>
        <v>--</v>
      </c>
      <c r="D74" s="1663" t="str">
        <f t="shared" si="37"/>
        <v xml:space="preserve"> </v>
      </c>
      <c r="E74" s="1663" t="str">
        <f t="shared" si="38"/>
        <v>--</v>
      </c>
      <c r="F74" s="1663" t="str">
        <f t="shared" si="39"/>
        <v>--</v>
      </c>
      <c r="G74" s="1663" t="str">
        <f t="shared" si="52"/>
        <v/>
      </c>
      <c r="H74" s="1663" t="str">
        <f t="shared" si="40"/>
        <v>--</v>
      </c>
      <c r="I74" s="1663" t="str">
        <f t="shared" si="41"/>
        <v xml:space="preserve"> </v>
      </c>
      <c r="J74" s="1663" t="str">
        <f t="shared" si="42"/>
        <v>--</v>
      </c>
      <c r="K74" s="1663" t="str">
        <f t="shared" si="43"/>
        <v>--</v>
      </c>
      <c r="L74" s="1663" t="str">
        <f t="shared" si="53"/>
        <v/>
      </c>
      <c r="M74" s="1663">
        <f t="shared" si="44"/>
        <v>0.6</v>
      </c>
      <c r="N74" s="1663" t="str">
        <f t="shared" si="45"/>
        <v>IRIS 2003</v>
      </c>
      <c r="O74" s="1663">
        <f t="shared" si="46"/>
        <v>0.6</v>
      </c>
      <c r="P74" s="1663" t="str">
        <f t="shared" si="47"/>
        <v>IRIS</v>
      </c>
      <c r="Q74" s="1663" t="str">
        <f t="shared" si="54"/>
        <v/>
      </c>
      <c r="R74" s="1663">
        <f t="shared" si="48"/>
        <v>5000</v>
      </c>
      <c r="S74" s="1663" t="str">
        <f t="shared" si="49"/>
        <v>IRIS 2003</v>
      </c>
      <c r="T74" s="1663">
        <f t="shared" si="50"/>
        <v>5000</v>
      </c>
      <c r="U74" s="1663" t="str">
        <f t="shared" si="51"/>
        <v>IRIS</v>
      </c>
      <c r="V74" s="1663" t="str">
        <f t="shared" si="55"/>
        <v/>
      </c>
    </row>
    <row r="75" spans="1:24">
      <c r="A75" s="309" t="s">
        <v>221</v>
      </c>
      <c r="B75" s="427" t="s">
        <v>222</v>
      </c>
      <c r="C75" s="1663" t="str">
        <f t="shared" si="36"/>
        <v>--</v>
      </c>
      <c r="D75" s="1663" t="str">
        <f t="shared" si="37"/>
        <v xml:space="preserve"> </v>
      </c>
      <c r="E75" s="1663" t="str">
        <f t="shared" si="38"/>
        <v>--</v>
      </c>
      <c r="F75" s="1663" t="str">
        <f t="shared" si="39"/>
        <v>--</v>
      </c>
      <c r="G75" s="1663" t="str">
        <f t="shared" si="52"/>
        <v/>
      </c>
      <c r="H75" s="1663" t="str">
        <f t="shared" si="40"/>
        <v>--</v>
      </c>
      <c r="I75" s="1663" t="str">
        <f t="shared" si="41"/>
        <v xml:space="preserve"> </v>
      </c>
      <c r="J75" s="1663" t="str">
        <f t="shared" si="42"/>
        <v>--</v>
      </c>
      <c r="K75" s="1663" t="str">
        <f t="shared" si="43"/>
        <v>--</v>
      </c>
      <c r="L75" s="1663" t="str">
        <f t="shared" si="53"/>
        <v/>
      </c>
      <c r="M75" s="1663" t="str">
        <f t="shared" si="44"/>
        <v>--</v>
      </c>
      <c r="N75" s="1663" t="str">
        <f t="shared" si="45"/>
        <v xml:space="preserve"> </v>
      </c>
      <c r="O75" s="1663" t="str">
        <f t="shared" si="46"/>
        <v>--</v>
      </c>
      <c r="P75" s="1663" t="str">
        <f t="shared" si="47"/>
        <v>--</v>
      </c>
      <c r="Q75" s="1663" t="str">
        <f t="shared" si="54"/>
        <v/>
      </c>
      <c r="R75" s="1663">
        <f t="shared" si="48"/>
        <v>3000</v>
      </c>
      <c r="S75" s="1663" t="str">
        <f t="shared" si="49"/>
        <v>IRIS 2003</v>
      </c>
      <c r="T75" s="1663">
        <f t="shared" si="50"/>
        <v>3000</v>
      </c>
      <c r="U75" s="1663" t="str">
        <f t="shared" si="51"/>
        <v>IRIS</v>
      </c>
      <c r="V75" s="1663" t="str">
        <f t="shared" si="55"/>
        <v/>
      </c>
    </row>
    <row r="76" spans="1:24">
      <c r="A76" s="309" t="s">
        <v>223</v>
      </c>
      <c r="B76" s="427" t="s">
        <v>224</v>
      </c>
      <c r="C76" s="1663" t="str">
        <f t="shared" si="36"/>
        <v>--</v>
      </c>
      <c r="D76" s="1663" t="str">
        <f t="shared" si="37"/>
        <v xml:space="preserve"> </v>
      </c>
      <c r="E76" s="1663" t="str">
        <f t="shared" si="38"/>
        <v>--</v>
      </c>
      <c r="F76" s="1663" t="str">
        <f t="shared" si="39"/>
        <v>--</v>
      </c>
      <c r="G76" s="1663" t="str">
        <f t="shared" si="52"/>
        <v/>
      </c>
      <c r="H76" s="1663" t="str">
        <f t="shared" si="40"/>
        <v>--</v>
      </c>
      <c r="I76" s="1663" t="str">
        <f t="shared" si="41"/>
        <v xml:space="preserve"> </v>
      </c>
      <c r="J76" s="1663" t="str">
        <f t="shared" si="42"/>
        <v>--</v>
      </c>
      <c r="K76" s="1663" t="str">
        <f t="shared" si="43"/>
        <v>--</v>
      </c>
      <c r="L76" s="1663" t="str">
        <f t="shared" si="53"/>
        <v/>
      </c>
      <c r="M76" s="1663">
        <f t="shared" si="44"/>
        <v>1E-4</v>
      </c>
      <c r="N76" s="1663" t="str">
        <f t="shared" si="45"/>
        <v>IRIS 2001</v>
      </c>
      <c r="O76" s="1663">
        <f t="shared" si="46"/>
        <v>1E-4</v>
      </c>
      <c r="P76" s="1663" t="str">
        <f t="shared" si="47"/>
        <v>IRIS</v>
      </c>
      <c r="Q76" s="1663" t="str">
        <f t="shared" si="54"/>
        <v/>
      </c>
      <c r="R76" s="1663" t="str">
        <f t="shared" si="48"/>
        <v>--</v>
      </c>
      <c r="S76" s="1663" t="str">
        <f t="shared" si="49"/>
        <v xml:space="preserve"> </v>
      </c>
      <c r="T76" s="1663" t="str">
        <f t="shared" si="50"/>
        <v>--</v>
      </c>
      <c r="U76" s="1663" t="str">
        <f t="shared" si="51"/>
        <v>--</v>
      </c>
      <c r="V76" s="1663" t="str">
        <f t="shared" si="55"/>
        <v/>
      </c>
    </row>
    <row r="77" spans="1:24">
      <c r="A77" s="309" t="s">
        <v>225</v>
      </c>
      <c r="B77" s="427" t="s">
        <v>226</v>
      </c>
      <c r="C77" s="1663" t="str">
        <f t="shared" si="36"/>
        <v>--</v>
      </c>
      <c r="D77" s="1663" t="str">
        <f t="shared" si="37"/>
        <v xml:space="preserve"> </v>
      </c>
      <c r="E77" s="1663" t="str">
        <f t="shared" si="38"/>
        <v>--</v>
      </c>
      <c r="F77" s="1663" t="str">
        <f t="shared" si="39"/>
        <v>--</v>
      </c>
      <c r="G77" s="1663" t="str">
        <f t="shared" si="52"/>
        <v/>
      </c>
      <c r="H77" s="1663" t="str">
        <f t="shared" si="40"/>
        <v>--</v>
      </c>
      <c r="I77" s="1663" t="str">
        <f t="shared" si="41"/>
        <v xml:space="preserve"> </v>
      </c>
      <c r="J77" s="1663" t="str">
        <f t="shared" si="42"/>
        <v>--</v>
      </c>
      <c r="K77" s="1663" t="str">
        <f t="shared" si="43"/>
        <v>--</v>
      </c>
      <c r="L77" s="1663" t="str">
        <f t="shared" si="53"/>
        <v/>
      </c>
      <c r="M77" s="1663">
        <f t="shared" si="44"/>
        <v>4.0000000000000001E-3</v>
      </c>
      <c r="N77" s="1663" t="str">
        <f t="shared" si="45"/>
        <v>IRIS 2003</v>
      </c>
      <c r="O77" s="1663">
        <f t="shared" si="46"/>
        <v>4.0000000000000001E-3</v>
      </c>
      <c r="P77" s="1663" t="str">
        <f t="shared" si="47"/>
        <v>IRIS</v>
      </c>
      <c r="Q77" s="1663" t="str">
        <f t="shared" si="54"/>
        <v/>
      </c>
      <c r="R77" s="1663" t="str">
        <f t="shared" si="48"/>
        <v>--</v>
      </c>
      <c r="S77" s="1663" t="str">
        <f t="shared" si="49"/>
        <v xml:space="preserve"> </v>
      </c>
      <c r="T77" s="1663">
        <f t="shared" si="50"/>
        <v>16</v>
      </c>
      <c r="U77" s="1665" t="str">
        <f t="shared" si="51"/>
        <v>Route (IRIS)</v>
      </c>
      <c r="V77" s="1665">
        <f t="shared" si="55"/>
        <v>1</v>
      </c>
      <c r="X77" s="55" t="s">
        <v>4084</v>
      </c>
    </row>
    <row r="78" spans="1:24">
      <c r="A78" s="309" t="s">
        <v>227</v>
      </c>
      <c r="B78" s="427" t="s">
        <v>228</v>
      </c>
      <c r="C78" s="1663">
        <f t="shared" si="36"/>
        <v>1.8E-3</v>
      </c>
      <c r="D78" s="1663" t="str">
        <f t="shared" si="37"/>
        <v>OEHHA 2009</v>
      </c>
      <c r="E78" s="1663">
        <f t="shared" si="38"/>
        <v>1.8E-3</v>
      </c>
      <c r="F78" s="1663" t="str">
        <f t="shared" si="39"/>
        <v>OEHHA</v>
      </c>
      <c r="G78" s="1663" t="str">
        <f t="shared" si="52"/>
        <v/>
      </c>
      <c r="H78" s="1663">
        <f t="shared" si="40"/>
        <v>2.6E-7</v>
      </c>
      <c r="I78" s="1663" t="str">
        <f t="shared" si="41"/>
        <v>OEHHA 2009</v>
      </c>
      <c r="J78" s="1663">
        <f t="shared" si="42"/>
        <v>2.6E-7</v>
      </c>
      <c r="K78" s="1663" t="str">
        <f t="shared" si="43"/>
        <v>OEHHA</v>
      </c>
      <c r="L78" s="1663" t="str">
        <f t="shared" si="53"/>
        <v/>
      </c>
      <c r="M78" s="1663" t="str">
        <f t="shared" si="44"/>
        <v>--</v>
      </c>
      <c r="N78" s="1663" t="str">
        <f t="shared" si="45"/>
        <v xml:space="preserve"> </v>
      </c>
      <c r="O78" s="1663" t="str">
        <f t="shared" si="46"/>
        <v>--</v>
      </c>
      <c r="P78" s="1663" t="str">
        <f t="shared" si="47"/>
        <v>--</v>
      </c>
      <c r="Q78" s="1663" t="str">
        <f t="shared" si="54"/>
        <v/>
      </c>
      <c r="R78" s="1663">
        <f t="shared" si="48"/>
        <v>3000</v>
      </c>
      <c r="S78" s="1663" t="str">
        <f t="shared" si="49"/>
        <v>IRIS 1993</v>
      </c>
      <c r="T78" s="1663">
        <f t="shared" si="50"/>
        <v>3000</v>
      </c>
      <c r="U78" s="1663" t="str">
        <f t="shared" si="51"/>
        <v>IRIS</v>
      </c>
      <c r="V78" s="1663" t="str">
        <f t="shared" si="55"/>
        <v/>
      </c>
    </row>
    <row r="79" spans="1:24">
      <c r="A79" s="309" t="s">
        <v>229</v>
      </c>
      <c r="B79" s="427" t="s">
        <v>230</v>
      </c>
      <c r="C79" s="1663" t="str">
        <f t="shared" si="36"/>
        <v>--</v>
      </c>
      <c r="D79" s="1663" t="str">
        <f t="shared" si="37"/>
        <v xml:space="preserve"> </v>
      </c>
      <c r="E79" s="1663" t="str">
        <f t="shared" si="38"/>
        <v>--</v>
      </c>
      <c r="F79" s="1663" t="str">
        <f t="shared" si="39"/>
        <v>--</v>
      </c>
      <c r="G79" s="1663" t="str">
        <f t="shared" si="52"/>
        <v/>
      </c>
      <c r="H79" s="1663" t="str">
        <f t="shared" si="40"/>
        <v>--</v>
      </c>
      <c r="I79" s="1663" t="str">
        <f t="shared" si="41"/>
        <v xml:space="preserve"> </v>
      </c>
      <c r="J79" s="1663" t="str">
        <f t="shared" si="42"/>
        <v>--</v>
      </c>
      <c r="K79" s="1663" t="str">
        <f t="shared" si="43"/>
        <v>--</v>
      </c>
      <c r="L79" s="1663" t="str">
        <f t="shared" si="53"/>
        <v/>
      </c>
      <c r="M79" s="1663">
        <f t="shared" si="44"/>
        <v>5.0000000000000001E-3</v>
      </c>
      <c r="N79" s="1663" t="str">
        <f t="shared" si="45"/>
        <v>IRIS 1992</v>
      </c>
      <c r="O79" s="1663">
        <f t="shared" si="46"/>
        <v>5.0000000000000001E-3</v>
      </c>
      <c r="P79" s="1663" t="str">
        <f t="shared" si="47"/>
        <v>IRIS</v>
      </c>
      <c r="Q79" s="1663" t="str">
        <f t="shared" si="54"/>
        <v/>
      </c>
      <c r="R79" s="1663">
        <f t="shared" si="48"/>
        <v>2</v>
      </c>
      <c r="S79" s="1663" t="str">
        <f t="shared" si="49"/>
        <v>ATSDR 2020</v>
      </c>
      <c r="T79" s="1663">
        <f t="shared" si="50"/>
        <v>2</v>
      </c>
      <c r="U79" s="1663" t="str">
        <f t="shared" si="51"/>
        <v>ATSDR</v>
      </c>
      <c r="V79" s="1663" t="str">
        <f t="shared" si="55"/>
        <v/>
      </c>
    </row>
    <row r="80" spans="1:24">
      <c r="A80" s="309" t="s">
        <v>231</v>
      </c>
      <c r="B80" s="427" t="s">
        <v>232</v>
      </c>
      <c r="C80" s="1663" t="str">
        <f t="shared" si="36"/>
        <v>--</v>
      </c>
      <c r="D80" s="1663" t="str">
        <f t="shared" si="37"/>
        <v xml:space="preserve"> </v>
      </c>
      <c r="E80" s="1663" t="str">
        <f t="shared" si="38"/>
        <v>--</v>
      </c>
      <c r="F80" s="1663" t="str">
        <f t="shared" si="39"/>
        <v>--</v>
      </c>
      <c r="G80" s="1663" t="str">
        <f t="shared" si="52"/>
        <v/>
      </c>
      <c r="H80" s="1663">
        <f t="shared" si="40"/>
        <v>2.5999999999999998E-4</v>
      </c>
      <c r="I80" s="1663" t="str">
        <f t="shared" si="41"/>
        <v>OEHHA 2009</v>
      </c>
      <c r="J80" s="1663">
        <f t="shared" si="42"/>
        <v>2.5999999999999998E-4</v>
      </c>
      <c r="K80" s="1663" t="str">
        <f t="shared" si="43"/>
        <v>Rule, OEHHA</v>
      </c>
      <c r="L80" s="1663" t="str">
        <f t="shared" si="53"/>
        <v/>
      </c>
      <c r="M80" s="1663">
        <f t="shared" si="44"/>
        <v>1.0999999999999999E-2</v>
      </c>
      <c r="N80" s="1663" t="str">
        <f t="shared" si="45"/>
        <v>OEHHA 2012</v>
      </c>
      <c r="O80" s="1663">
        <f t="shared" si="46"/>
        <v>1.0999999999999999E-2</v>
      </c>
      <c r="P80" s="1663" t="str">
        <f t="shared" si="47"/>
        <v>Rule, OEHHA</v>
      </c>
      <c r="Q80" s="1663" t="str">
        <f t="shared" si="54"/>
        <v/>
      </c>
      <c r="R80" s="1663">
        <f t="shared" si="48"/>
        <v>1.4E-2</v>
      </c>
      <c r="S80" s="1663" t="str">
        <f t="shared" si="49"/>
        <v>OEHHA 2012</v>
      </c>
      <c r="T80" s="1663">
        <f t="shared" si="50"/>
        <v>1.4E-2</v>
      </c>
      <c r="U80" s="1663" t="str">
        <f t="shared" si="51"/>
        <v>Rule, OEHHA</v>
      </c>
      <c r="V80" s="1663" t="str">
        <f t="shared" si="55"/>
        <v/>
      </c>
    </row>
    <row r="81" spans="1:24">
      <c r="A81" s="2" t="s">
        <v>4090</v>
      </c>
      <c r="B81" s="426" t="s">
        <v>234</v>
      </c>
      <c r="C81" s="1663" t="e">
        <f t="shared" si="36"/>
        <v>#N/A</v>
      </c>
      <c r="D81" s="1663" t="e">
        <f t="shared" si="37"/>
        <v>#N/A</v>
      </c>
      <c r="E81" s="1663" t="str">
        <f t="shared" si="38"/>
        <v>--</v>
      </c>
      <c r="F81" s="1663" t="str">
        <f t="shared" si="39"/>
        <v>--</v>
      </c>
      <c r="G81" s="1663" t="e">
        <f t="shared" si="52"/>
        <v>#N/A</v>
      </c>
      <c r="H81" s="1663" t="e">
        <f t="shared" si="40"/>
        <v>#N/A</v>
      </c>
      <c r="I81" s="1663" t="e">
        <f t="shared" si="41"/>
        <v>#N/A</v>
      </c>
      <c r="J81" s="1663" t="str">
        <f t="shared" si="42"/>
        <v>--</v>
      </c>
      <c r="K81" s="1663" t="str">
        <f t="shared" si="43"/>
        <v>--</v>
      </c>
      <c r="L81" s="1663" t="e">
        <f t="shared" si="53"/>
        <v>#N/A</v>
      </c>
      <c r="M81" s="1663" t="e">
        <f t="shared" si="44"/>
        <v>#N/A</v>
      </c>
      <c r="N81" s="1663" t="e">
        <f t="shared" si="45"/>
        <v>#N/A</v>
      </c>
      <c r="O81" s="1663">
        <f t="shared" si="46"/>
        <v>0.06</v>
      </c>
      <c r="P81" s="1663" t="str">
        <f t="shared" si="47"/>
        <v>IRIS</v>
      </c>
      <c r="Q81" s="1663" t="e">
        <f t="shared" si="54"/>
        <v>#N/A</v>
      </c>
      <c r="R81" s="1663" t="e">
        <f t="shared" si="48"/>
        <v>#N/A</v>
      </c>
      <c r="S81" s="1663" t="e">
        <f t="shared" si="49"/>
        <v>#N/A</v>
      </c>
      <c r="T81" s="1663">
        <f t="shared" si="50"/>
        <v>240</v>
      </c>
      <c r="U81" s="1665" t="str">
        <f t="shared" si="51"/>
        <v>Route (IRIS)</v>
      </c>
      <c r="V81" s="1665" t="e">
        <f t="shared" si="55"/>
        <v>#N/A</v>
      </c>
      <c r="X81" s="55" t="s">
        <v>4084</v>
      </c>
    </row>
    <row r="82" spans="1:24">
      <c r="A82" s="136" t="s">
        <v>4091</v>
      </c>
      <c r="B82" s="427" t="s">
        <v>236</v>
      </c>
      <c r="C82" s="1663" t="e">
        <f t="shared" si="36"/>
        <v>#N/A</v>
      </c>
      <c r="D82" s="1663" t="e">
        <f t="shared" si="37"/>
        <v>#N/A</v>
      </c>
      <c r="E82" s="1663" t="str">
        <f t="shared" si="38"/>
        <v>--</v>
      </c>
      <c r="F82" s="1663" t="str">
        <f t="shared" si="39"/>
        <v>--</v>
      </c>
      <c r="G82" s="1663" t="e">
        <f t="shared" si="52"/>
        <v>#N/A</v>
      </c>
      <c r="H82" s="1663" t="e">
        <f t="shared" si="40"/>
        <v>#N/A</v>
      </c>
      <c r="I82" s="1663" t="e">
        <f t="shared" si="41"/>
        <v>#N/A</v>
      </c>
      <c r="J82" s="1663" t="str">
        <f t="shared" si="42"/>
        <v>--</v>
      </c>
      <c r="K82" s="1663" t="str">
        <f t="shared" si="43"/>
        <v>--</v>
      </c>
      <c r="L82" s="1663" t="e">
        <f t="shared" si="53"/>
        <v>#N/A</v>
      </c>
      <c r="M82" s="1663" t="e">
        <f t="shared" si="44"/>
        <v>#N/A</v>
      </c>
      <c r="N82" s="1663" t="e">
        <f t="shared" si="45"/>
        <v>#N/A</v>
      </c>
      <c r="O82" s="1663">
        <f t="shared" si="46"/>
        <v>0.3</v>
      </c>
      <c r="P82" s="1663" t="str">
        <f t="shared" si="47"/>
        <v>IRIS</v>
      </c>
      <c r="Q82" s="1663" t="e">
        <f t="shared" si="54"/>
        <v>#N/A</v>
      </c>
      <c r="R82" s="1663" t="e">
        <f t="shared" si="48"/>
        <v>#N/A</v>
      </c>
      <c r="S82" s="1663" t="e">
        <f t="shared" si="49"/>
        <v>#N/A</v>
      </c>
      <c r="T82" s="1663">
        <f t="shared" si="50"/>
        <v>1200</v>
      </c>
      <c r="U82" s="1665" t="str">
        <f t="shared" si="51"/>
        <v>Route (IRIS)</v>
      </c>
      <c r="V82" s="1665" t="e">
        <f t="shared" si="55"/>
        <v>#N/A</v>
      </c>
      <c r="X82" s="55" t="s">
        <v>4084</v>
      </c>
    </row>
    <row r="83" spans="1:24">
      <c r="A83" s="136" t="s">
        <v>237</v>
      </c>
      <c r="B83" s="427" t="s">
        <v>238</v>
      </c>
      <c r="C83" s="1663">
        <f t="shared" si="36"/>
        <v>0.1</v>
      </c>
      <c r="D83" s="1663" t="str">
        <f t="shared" si="37"/>
        <v>IRIS 2017</v>
      </c>
      <c r="E83" s="1663">
        <f t="shared" si="38"/>
        <v>0.1</v>
      </c>
      <c r="F83" s="1663" t="str">
        <f t="shared" si="39"/>
        <v>RSLs, ECAO</v>
      </c>
      <c r="G83" s="1663" t="str">
        <f t="shared" si="52"/>
        <v/>
      </c>
      <c r="H83" s="1663">
        <f t="shared" si="40"/>
        <v>1.1E-4</v>
      </c>
      <c r="I83" s="1663" t="str">
        <f t="shared" si="41"/>
        <v>OEHHA 2009</v>
      </c>
      <c r="J83" s="1663">
        <f t="shared" si="42"/>
        <v>1.1E-4</v>
      </c>
      <c r="K83" s="1663" t="str">
        <f t="shared" si="43"/>
        <v>Rule, OEHHA TSD</v>
      </c>
      <c r="L83" s="1663" t="str">
        <f t="shared" si="53"/>
        <v/>
      </c>
      <c r="M83" s="1663" t="str">
        <f t="shared" si="44"/>
        <v>--</v>
      </c>
      <c r="N83" s="1663" t="str">
        <f t="shared" si="45"/>
        <v xml:space="preserve"> </v>
      </c>
      <c r="O83" s="1663" t="str">
        <f t="shared" si="46"/>
        <v>--</v>
      </c>
      <c r="P83" s="1663" t="str">
        <f t="shared" si="47"/>
        <v>--</v>
      </c>
      <c r="Q83" s="1663" t="str">
        <f t="shared" si="54"/>
        <v/>
      </c>
      <c r="R83" s="1663" t="str">
        <f t="shared" si="48"/>
        <v>--</v>
      </c>
      <c r="S83" s="1663" t="str">
        <f t="shared" si="49"/>
        <v xml:space="preserve"> </v>
      </c>
      <c r="T83" s="1663" t="str">
        <f t="shared" si="50"/>
        <v>--</v>
      </c>
      <c r="U83" s="1663" t="str">
        <f t="shared" si="51"/>
        <v>--</v>
      </c>
      <c r="V83" s="1663" t="str">
        <f t="shared" si="55"/>
        <v/>
      </c>
    </row>
    <row r="84" spans="1:24">
      <c r="A84" s="136" t="s">
        <v>4092</v>
      </c>
      <c r="B84" s="427" t="s">
        <v>240</v>
      </c>
      <c r="C84" s="1663" t="e">
        <f t="shared" si="36"/>
        <v>#N/A</v>
      </c>
      <c r="D84" s="1663" t="e">
        <f t="shared" si="37"/>
        <v>#N/A</v>
      </c>
      <c r="E84" s="1663">
        <f t="shared" si="38"/>
        <v>1</v>
      </c>
      <c r="F84" s="1663" t="str">
        <f t="shared" si="39"/>
        <v>IRIS</v>
      </c>
      <c r="G84" s="1663" t="e">
        <f t="shared" si="52"/>
        <v>#N/A</v>
      </c>
      <c r="H84" s="1663" t="e">
        <f t="shared" si="40"/>
        <v>#N/A</v>
      </c>
      <c r="I84" s="1663" t="e">
        <f t="shared" si="41"/>
        <v>#N/A</v>
      </c>
      <c r="J84" s="1663">
        <f t="shared" si="42"/>
        <v>1.1000000000000001E-3</v>
      </c>
      <c r="K84" s="1663" t="str">
        <f t="shared" si="43"/>
        <v>Rule, OEHHA TSD</v>
      </c>
      <c r="L84" s="1663" t="e">
        <f t="shared" si="53"/>
        <v>#N/A</v>
      </c>
      <c r="M84" s="1663" t="e">
        <f t="shared" si="44"/>
        <v>#N/A</v>
      </c>
      <c r="N84" s="1663" t="e">
        <f t="shared" si="45"/>
        <v>#N/A</v>
      </c>
      <c r="O84" s="1663">
        <f t="shared" si="46"/>
        <v>2.9999999999999997E-4</v>
      </c>
      <c r="P84" s="1663" t="str">
        <f t="shared" si="47"/>
        <v>IRIS</v>
      </c>
      <c r="Q84" s="1663" t="e">
        <f t="shared" si="54"/>
        <v>#N/A</v>
      </c>
      <c r="R84" s="1663" t="e">
        <f t="shared" si="48"/>
        <v>#N/A</v>
      </c>
      <c r="S84" s="1663" t="e">
        <f t="shared" si="49"/>
        <v>#N/A</v>
      </c>
      <c r="T84" s="1663">
        <f t="shared" si="50"/>
        <v>2E-3</v>
      </c>
      <c r="U84" s="1663" t="str">
        <f t="shared" si="51"/>
        <v>IRIS</v>
      </c>
      <c r="V84" s="1663" t="e">
        <f t="shared" si="55"/>
        <v>#N/A</v>
      </c>
    </row>
    <row r="85" spans="1:24">
      <c r="A85" s="136" t="s">
        <v>241</v>
      </c>
      <c r="B85" s="427" t="s">
        <v>242</v>
      </c>
      <c r="C85" s="1663">
        <f t="shared" si="36"/>
        <v>0.1</v>
      </c>
      <c r="D85" s="1663" t="str">
        <f t="shared" si="37"/>
        <v>IRIS 2017</v>
      </c>
      <c r="E85" s="1663">
        <f t="shared" si="38"/>
        <v>0.1</v>
      </c>
      <c r="F85" s="1663" t="str">
        <f t="shared" si="39"/>
        <v>RSLs, ECAO</v>
      </c>
      <c r="G85" s="1663" t="str">
        <f t="shared" si="52"/>
        <v/>
      </c>
      <c r="H85" s="1663">
        <f t="shared" si="40"/>
        <v>1.1E-4</v>
      </c>
      <c r="I85" s="1663" t="str">
        <f t="shared" si="41"/>
        <v>OEHHA 2009</v>
      </c>
      <c r="J85" s="1663">
        <f t="shared" si="42"/>
        <v>1.1E-4</v>
      </c>
      <c r="K85" s="1663" t="str">
        <f t="shared" si="43"/>
        <v>Rule, OEHHA TSD</v>
      </c>
      <c r="L85" s="1663" t="str">
        <f t="shared" si="53"/>
        <v/>
      </c>
      <c r="M85" s="1663" t="str">
        <f t="shared" si="44"/>
        <v>--</v>
      </c>
      <c r="N85" s="1663" t="str">
        <f t="shared" si="45"/>
        <v xml:space="preserve"> </v>
      </c>
      <c r="O85" s="1663" t="str">
        <f t="shared" si="46"/>
        <v>--</v>
      </c>
      <c r="P85" s="1663" t="str">
        <f t="shared" si="47"/>
        <v>--</v>
      </c>
      <c r="Q85" s="1663" t="str">
        <f t="shared" si="54"/>
        <v/>
      </c>
      <c r="R85" s="1663" t="str">
        <f t="shared" si="48"/>
        <v>--</v>
      </c>
      <c r="S85" s="1663" t="str">
        <f t="shared" si="49"/>
        <v xml:space="preserve"> </v>
      </c>
      <c r="T85" s="1663" t="str">
        <f t="shared" si="50"/>
        <v>--</v>
      </c>
      <c r="U85" s="1663" t="str">
        <f t="shared" si="51"/>
        <v>--</v>
      </c>
      <c r="V85" s="1663" t="str">
        <f t="shared" si="55"/>
        <v/>
      </c>
    </row>
    <row r="86" spans="1:24">
      <c r="A86" s="136" t="s">
        <v>243</v>
      </c>
      <c r="B86" s="427" t="s">
        <v>244</v>
      </c>
      <c r="C86" s="1663">
        <f t="shared" si="36"/>
        <v>0.01</v>
      </c>
      <c r="D86" s="1663" t="str">
        <f t="shared" si="37"/>
        <v>IRIS 2017</v>
      </c>
      <c r="E86" s="1663">
        <f t="shared" si="38"/>
        <v>0.01</v>
      </c>
      <c r="F86" s="1663" t="str">
        <f t="shared" si="39"/>
        <v>RSLs, ECAO</v>
      </c>
      <c r="G86" s="1663" t="str">
        <f t="shared" si="52"/>
        <v/>
      </c>
      <c r="H86" s="1663">
        <f t="shared" si="40"/>
        <v>1.1E-4</v>
      </c>
      <c r="I86" s="1663" t="str">
        <f t="shared" si="41"/>
        <v>OEHHA 2009</v>
      </c>
      <c r="J86" s="1663">
        <f t="shared" si="42"/>
        <v>1.1E-4</v>
      </c>
      <c r="K86" s="1663" t="str">
        <f t="shared" si="43"/>
        <v>Rule, OEHHA TSD</v>
      </c>
      <c r="L86" s="1663" t="str">
        <f t="shared" si="53"/>
        <v/>
      </c>
      <c r="M86" s="1663" t="str">
        <f t="shared" si="44"/>
        <v>--</v>
      </c>
      <c r="N86" s="1663" t="str">
        <f t="shared" si="45"/>
        <v xml:space="preserve"> </v>
      </c>
      <c r="O86" s="1663" t="str">
        <f t="shared" si="46"/>
        <v>--</v>
      </c>
      <c r="P86" s="1663" t="str">
        <f t="shared" si="47"/>
        <v>--</v>
      </c>
      <c r="Q86" s="1663" t="str">
        <f t="shared" si="54"/>
        <v/>
      </c>
      <c r="R86" s="1663" t="str">
        <f t="shared" si="48"/>
        <v>--</v>
      </c>
      <c r="S86" s="1663" t="str">
        <f t="shared" si="49"/>
        <v xml:space="preserve"> </v>
      </c>
      <c r="T86" s="1663" t="str">
        <f t="shared" si="50"/>
        <v>--</v>
      </c>
      <c r="U86" s="1663" t="str">
        <f t="shared" si="51"/>
        <v>--</v>
      </c>
      <c r="V86" s="1663" t="str">
        <f t="shared" si="55"/>
        <v/>
      </c>
    </row>
    <row r="87" spans="1:24">
      <c r="A87" s="136" t="s">
        <v>245</v>
      </c>
      <c r="B87" s="427" t="s">
        <v>246</v>
      </c>
      <c r="C87" s="1663">
        <f t="shared" si="36"/>
        <v>1E-3</v>
      </c>
      <c r="D87" s="1663" t="str">
        <f t="shared" si="37"/>
        <v>IRIS 2017</v>
      </c>
      <c r="E87" s="1663">
        <f t="shared" si="38"/>
        <v>1E-3</v>
      </c>
      <c r="F87" s="1663" t="str">
        <f t="shared" si="39"/>
        <v>RSLs, ECAO</v>
      </c>
      <c r="G87" s="1663" t="str">
        <f t="shared" si="52"/>
        <v/>
      </c>
      <c r="H87" s="1663">
        <f t="shared" si="40"/>
        <v>1.1E-5</v>
      </c>
      <c r="I87" s="1663" t="str">
        <f t="shared" si="41"/>
        <v>OEHHA 2009</v>
      </c>
      <c r="J87" s="1663">
        <f t="shared" si="42"/>
        <v>1.1E-5</v>
      </c>
      <c r="K87" s="1663" t="str">
        <f t="shared" si="43"/>
        <v>Rule, OEHHA TSD</v>
      </c>
      <c r="L87" s="1663" t="str">
        <f t="shared" si="53"/>
        <v/>
      </c>
      <c r="M87" s="1663" t="str">
        <f t="shared" si="44"/>
        <v>--</v>
      </c>
      <c r="N87" s="1663" t="str">
        <f t="shared" si="45"/>
        <v xml:space="preserve"> </v>
      </c>
      <c r="O87" s="1663" t="str">
        <f t="shared" si="46"/>
        <v>--</v>
      </c>
      <c r="P87" s="1663" t="str">
        <f t="shared" si="47"/>
        <v>--</v>
      </c>
      <c r="Q87" s="1663" t="str">
        <f t="shared" si="54"/>
        <v/>
      </c>
      <c r="R87" s="1663" t="str">
        <f t="shared" si="48"/>
        <v>--</v>
      </c>
      <c r="S87" s="1663" t="str">
        <f t="shared" si="49"/>
        <v xml:space="preserve"> </v>
      </c>
      <c r="T87" s="1663" t="str">
        <f t="shared" si="50"/>
        <v>--</v>
      </c>
      <c r="U87" s="1663" t="str">
        <f t="shared" si="51"/>
        <v>--</v>
      </c>
      <c r="V87" s="1663" t="str">
        <f t="shared" si="55"/>
        <v/>
      </c>
    </row>
    <row r="88" spans="1:24">
      <c r="A88" s="136" t="s">
        <v>247</v>
      </c>
      <c r="B88" s="427" t="s">
        <v>248</v>
      </c>
      <c r="C88" s="1663">
        <f t="shared" si="36"/>
        <v>4.0999999999999996</v>
      </c>
      <c r="D88" s="1663" t="str">
        <f t="shared" si="37"/>
        <v>OEHHA 1992</v>
      </c>
      <c r="E88" s="1663">
        <f t="shared" si="38"/>
        <v>4.0999999999999996</v>
      </c>
      <c r="F88" s="1663" t="str">
        <f t="shared" si="39"/>
        <v>Rule, OEHHA ECP</v>
      </c>
      <c r="G88" s="1663" t="str">
        <f t="shared" si="52"/>
        <v/>
      </c>
      <c r="H88" s="1663">
        <f t="shared" si="40"/>
        <v>1.1999999999999999E-3</v>
      </c>
      <c r="I88" s="1663" t="str">
        <f t="shared" si="41"/>
        <v>OEHHA 2009</v>
      </c>
      <c r="J88" s="1663">
        <f t="shared" si="42"/>
        <v>1.1999999999999999E-3</v>
      </c>
      <c r="K88" s="1663" t="str">
        <f t="shared" si="43"/>
        <v>Rule, OEHHA ECP</v>
      </c>
      <c r="L88" s="1663" t="str">
        <f t="shared" si="53"/>
        <v/>
      </c>
      <c r="M88" s="1663" t="str">
        <f t="shared" si="44"/>
        <v>--</v>
      </c>
      <c r="N88" s="1663" t="str">
        <f t="shared" si="45"/>
        <v xml:space="preserve"> </v>
      </c>
      <c r="O88" s="1663" t="str">
        <f t="shared" si="46"/>
        <v>--</v>
      </c>
      <c r="P88" s="1663" t="str">
        <f t="shared" si="47"/>
        <v>--</v>
      </c>
      <c r="Q88" s="1663" t="str">
        <f t="shared" si="54"/>
        <v/>
      </c>
      <c r="R88" s="1663" t="str">
        <f t="shared" si="48"/>
        <v>--</v>
      </c>
      <c r="S88" s="1663" t="str">
        <f t="shared" si="49"/>
        <v xml:space="preserve"> </v>
      </c>
      <c r="T88" s="1663" t="str">
        <f t="shared" si="50"/>
        <v>--</v>
      </c>
      <c r="U88" s="1663" t="str">
        <f t="shared" si="51"/>
        <v>--</v>
      </c>
      <c r="V88" s="1663" t="str">
        <f t="shared" si="55"/>
        <v/>
      </c>
    </row>
    <row r="89" spans="1:24">
      <c r="A89" s="136" t="s">
        <v>249</v>
      </c>
      <c r="B89" s="427" t="s">
        <v>250</v>
      </c>
      <c r="C89" s="1663" t="str">
        <f t="shared" si="36"/>
        <v>--</v>
      </c>
      <c r="D89" s="1663" t="str">
        <f t="shared" si="37"/>
        <v xml:space="preserve"> </v>
      </c>
      <c r="E89" s="1663" t="str">
        <f t="shared" si="38"/>
        <v>--</v>
      </c>
      <c r="F89" s="1663" t="str">
        <f t="shared" si="39"/>
        <v>--</v>
      </c>
      <c r="G89" s="1663" t="str">
        <f t="shared" si="52"/>
        <v/>
      </c>
      <c r="H89" s="1663" t="str">
        <f t="shared" si="40"/>
        <v>--</v>
      </c>
      <c r="I89" s="1663" t="str">
        <f t="shared" si="41"/>
        <v xml:space="preserve"> </v>
      </c>
      <c r="J89" s="1663" t="str">
        <f t="shared" si="42"/>
        <v>--</v>
      </c>
      <c r="K89" s="1663" t="str">
        <f t="shared" si="43"/>
        <v>--</v>
      </c>
      <c r="L89" s="1663" t="str">
        <f t="shared" si="53"/>
        <v/>
      </c>
      <c r="M89" s="1663">
        <f t="shared" si="44"/>
        <v>0.04</v>
      </c>
      <c r="N89" s="1663" t="str">
        <f t="shared" si="45"/>
        <v>IRIS 1990</v>
      </c>
      <c r="O89" s="1663">
        <f t="shared" si="46"/>
        <v>0.04</v>
      </c>
      <c r="P89" s="1663" t="str">
        <f t="shared" si="47"/>
        <v>IRIS</v>
      </c>
      <c r="Q89" s="1663" t="str">
        <f t="shared" si="54"/>
        <v/>
      </c>
      <c r="R89" s="1663" t="str">
        <f t="shared" si="48"/>
        <v>--</v>
      </c>
      <c r="S89" s="1663" t="str">
        <f t="shared" si="49"/>
        <v xml:space="preserve"> </v>
      </c>
      <c r="T89" s="1663" t="str">
        <f t="shared" si="50"/>
        <v>--</v>
      </c>
      <c r="U89" s="1663" t="str">
        <f t="shared" si="51"/>
        <v>--</v>
      </c>
      <c r="V89" s="1663" t="str">
        <f t="shared" si="55"/>
        <v/>
      </c>
    </row>
    <row r="90" spans="1:24">
      <c r="A90" s="136" t="s">
        <v>251</v>
      </c>
      <c r="B90" s="427" t="s">
        <v>252</v>
      </c>
      <c r="C90" s="1663" t="str">
        <f t="shared" si="36"/>
        <v>--</v>
      </c>
      <c r="D90" s="1663" t="str">
        <f t="shared" si="37"/>
        <v xml:space="preserve"> </v>
      </c>
      <c r="E90" s="1663" t="str">
        <f t="shared" si="38"/>
        <v>--</v>
      </c>
      <c r="F90" s="1663" t="str">
        <f t="shared" si="39"/>
        <v>--</v>
      </c>
      <c r="G90" s="1663" t="str">
        <f t="shared" si="52"/>
        <v/>
      </c>
      <c r="H90" s="1663" t="str">
        <f t="shared" si="40"/>
        <v>--</v>
      </c>
      <c r="I90" s="1663" t="str">
        <f t="shared" si="41"/>
        <v xml:space="preserve"> </v>
      </c>
      <c r="J90" s="1663" t="str">
        <f t="shared" si="42"/>
        <v>--</v>
      </c>
      <c r="K90" s="1663" t="str">
        <f t="shared" si="43"/>
        <v>--</v>
      </c>
      <c r="L90" s="1663" t="str">
        <f t="shared" si="53"/>
        <v/>
      </c>
      <c r="M90" s="1663">
        <f t="shared" si="44"/>
        <v>0.04</v>
      </c>
      <c r="N90" s="1663" t="str">
        <f t="shared" si="45"/>
        <v>IRIS 1990</v>
      </c>
      <c r="O90" s="1663">
        <f t="shared" si="46"/>
        <v>0.04</v>
      </c>
      <c r="P90" s="1663" t="str">
        <f t="shared" si="47"/>
        <v>IRIS</v>
      </c>
      <c r="Q90" s="1663" t="str">
        <f t="shared" si="54"/>
        <v/>
      </c>
      <c r="R90" s="1663" t="str">
        <f t="shared" si="48"/>
        <v>--</v>
      </c>
      <c r="S90" s="1663" t="str">
        <f t="shared" si="49"/>
        <v xml:space="preserve"> </v>
      </c>
      <c r="T90" s="1663">
        <f t="shared" si="50"/>
        <v>160</v>
      </c>
      <c r="U90" s="1665" t="str">
        <f t="shared" si="51"/>
        <v>Route (IRIS)</v>
      </c>
      <c r="V90" s="1665">
        <f t="shared" si="55"/>
        <v>1</v>
      </c>
      <c r="X90" s="55" t="s">
        <v>4084</v>
      </c>
    </row>
    <row r="91" spans="1:24">
      <c r="A91" s="136" t="s">
        <v>253</v>
      </c>
      <c r="B91" s="427" t="s">
        <v>254</v>
      </c>
      <c r="C91" s="1663">
        <f t="shared" si="36"/>
        <v>0.1</v>
      </c>
      <c r="D91" s="1663" t="str">
        <f t="shared" si="37"/>
        <v>IRIS 2017</v>
      </c>
      <c r="E91" s="1663">
        <f t="shared" si="38"/>
        <v>0.1</v>
      </c>
      <c r="F91" s="1663" t="str">
        <f t="shared" si="39"/>
        <v>RSLs, ECAO</v>
      </c>
      <c r="G91" s="1663" t="str">
        <f t="shared" si="52"/>
        <v/>
      </c>
      <c r="H91" s="1663">
        <f t="shared" si="40"/>
        <v>1.1E-4</v>
      </c>
      <c r="I91" s="1663" t="str">
        <f t="shared" si="41"/>
        <v>OEHHA 2009</v>
      </c>
      <c r="J91" s="1663">
        <f t="shared" si="42"/>
        <v>1.1E-4</v>
      </c>
      <c r="K91" s="1663" t="str">
        <f t="shared" si="43"/>
        <v>Rule, OEHHA TSD</v>
      </c>
      <c r="L91" s="1663" t="str">
        <f t="shared" si="53"/>
        <v/>
      </c>
      <c r="M91" s="1663" t="str">
        <f t="shared" si="44"/>
        <v>--</v>
      </c>
      <c r="N91" s="1663" t="str">
        <f t="shared" si="45"/>
        <v xml:space="preserve"> </v>
      </c>
      <c r="O91" s="1663" t="str">
        <f t="shared" si="46"/>
        <v>--</v>
      </c>
      <c r="P91" s="1663" t="str">
        <f t="shared" si="47"/>
        <v>--</v>
      </c>
      <c r="Q91" s="1663" t="str">
        <f t="shared" si="54"/>
        <v/>
      </c>
      <c r="R91" s="1663" t="str">
        <f t="shared" si="48"/>
        <v>--</v>
      </c>
      <c r="S91" s="1663" t="str">
        <f t="shared" si="49"/>
        <v xml:space="preserve"> </v>
      </c>
      <c r="T91" s="1663" t="str">
        <f t="shared" si="50"/>
        <v>--</v>
      </c>
      <c r="U91" s="1663" t="str">
        <f t="shared" si="51"/>
        <v>--</v>
      </c>
      <c r="V91" s="1663" t="str">
        <f t="shared" si="55"/>
        <v/>
      </c>
    </row>
    <row r="92" spans="1:24">
      <c r="A92" s="136" t="s">
        <v>255</v>
      </c>
      <c r="B92" s="427" t="s">
        <v>256</v>
      </c>
      <c r="C92" s="1663">
        <f t="shared" si="36"/>
        <v>0.12</v>
      </c>
      <c r="D92" s="1663" t="str">
        <f t="shared" si="37"/>
        <v>OEHHA 2009</v>
      </c>
      <c r="E92" s="1663">
        <f t="shared" si="38"/>
        <v>0.12</v>
      </c>
      <c r="F92" s="1663" t="str">
        <f t="shared" si="39"/>
        <v>OEHHA</v>
      </c>
      <c r="G92" s="1663" t="str">
        <f t="shared" si="52"/>
        <v/>
      </c>
      <c r="H92" s="1663">
        <f t="shared" si="40"/>
        <v>3.4E-5</v>
      </c>
      <c r="I92" s="1663" t="str">
        <f t="shared" si="41"/>
        <v>OEHHA 2009</v>
      </c>
      <c r="J92" s="1663">
        <f t="shared" si="42"/>
        <v>3.4E-5</v>
      </c>
      <c r="K92" s="1663" t="str">
        <f t="shared" si="43"/>
        <v>OEHHA</v>
      </c>
      <c r="L92" s="1663" t="str">
        <f t="shared" si="53"/>
        <v/>
      </c>
      <c r="M92" s="1663">
        <f t="shared" si="44"/>
        <v>0.02</v>
      </c>
      <c r="N92" s="1663" t="str">
        <f t="shared" si="45"/>
        <v>IRIS 1998</v>
      </c>
      <c r="O92" s="1663">
        <f t="shared" si="46"/>
        <v>0.02</v>
      </c>
      <c r="P92" s="1663" t="str">
        <f t="shared" si="47"/>
        <v>IRIS</v>
      </c>
      <c r="Q92" s="1663" t="str">
        <f t="shared" si="54"/>
        <v/>
      </c>
      <c r="R92" s="1663">
        <f t="shared" si="48"/>
        <v>3</v>
      </c>
      <c r="S92" s="1663" t="str">
        <f t="shared" si="49"/>
        <v>IRIS 1998</v>
      </c>
      <c r="T92" s="1663">
        <f t="shared" si="50"/>
        <v>3</v>
      </c>
      <c r="U92" s="1663" t="str">
        <f t="shared" si="51"/>
        <v>IRIS</v>
      </c>
      <c r="V92" s="1663" t="str">
        <f t="shared" si="55"/>
        <v/>
      </c>
    </row>
    <row r="93" spans="1:24">
      <c r="A93" s="136" t="s">
        <v>257</v>
      </c>
      <c r="B93" s="427" t="s">
        <v>258</v>
      </c>
      <c r="C93" s="1663" t="str">
        <f t="shared" si="36"/>
        <v>--</v>
      </c>
      <c r="D93" s="1663" t="str">
        <f t="shared" si="37"/>
        <v xml:space="preserve"> </v>
      </c>
      <c r="E93" s="1663" t="str">
        <f t="shared" si="38"/>
        <v>--</v>
      </c>
      <c r="F93" s="1663" t="str">
        <f t="shared" si="39"/>
        <v>--</v>
      </c>
      <c r="G93" s="1663" t="str">
        <f t="shared" si="52"/>
        <v/>
      </c>
      <c r="H93" s="1663" t="str">
        <f t="shared" si="40"/>
        <v>--</v>
      </c>
      <c r="I93" s="1663" t="str">
        <f t="shared" si="41"/>
        <v xml:space="preserve"> </v>
      </c>
      <c r="J93" s="1663" t="str">
        <f t="shared" si="42"/>
        <v>--</v>
      </c>
      <c r="K93" s="1663" t="str">
        <f t="shared" si="43"/>
        <v>--</v>
      </c>
      <c r="L93" s="1663" t="str">
        <f t="shared" si="53"/>
        <v/>
      </c>
      <c r="M93" s="1663">
        <f t="shared" si="44"/>
        <v>0.03</v>
      </c>
      <c r="N93" s="1663" t="str">
        <f t="shared" si="45"/>
        <v>IRIS 1991</v>
      </c>
      <c r="O93" s="1663">
        <f t="shared" si="46"/>
        <v>0.03</v>
      </c>
      <c r="P93" s="1663" t="str">
        <f t="shared" si="47"/>
        <v>IRIS</v>
      </c>
      <c r="Q93" s="1663" t="str">
        <f t="shared" si="54"/>
        <v/>
      </c>
      <c r="R93" s="1663" t="str">
        <f t="shared" si="48"/>
        <v>--</v>
      </c>
      <c r="S93" s="1663" t="str">
        <f t="shared" si="49"/>
        <v xml:space="preserve"> </v>
      </c>
      <c r="T93" s="1663">
        <f t="shared" si="50"/>
        <v>120</v>
      </c>
      <c r="U93" s="1665" t="str">
        <f t="shared" si="51"/>
        <v>Route (IRIS)</v>
      </c>
      <c r="V93" s="1665">
        <f t="shared" si="55"/>
        <v>1</v>
      </c>
      <c r="X93" s="55" t="s">
        <v>4084</v>
      </c>
    </row>
    <row r="94" spans="1:24">
      <c r="A94" s="309" t="s">
        <v>259</v>
      </c>
      <c r="B94" s="427" t="s">
        <v>260</v>
      </c>
      <c r="C94" s="1663">
        <f t="shared" si="36"/>
        <v>0.4</v>
      </c>
      <c r="D94" s="1663" t="str">
        <f t="shared" si="37"/>
        <v>IRIS 2010</v>
      </c>
      <c r="E94" s="1663">
        <f t="shared" si="38"/>
        <v>0.4</v>
      </c>
      <c r="F94" s="1663" t="str">
        <f t="shared" si="39"/>
        <v>IRIS</v>
      </c>
      <c r="G94" s="1663" t="str">
        <f t="shared" si="52"/>
        <v/>
      </c>
      <c r="H94" s="1663">
        <f t="shared" si="40"/>
        <v>5.1000000000000003E-6</v>
      </c>
      <c r="I94" s="1663" t="str">
        <f t="shared" si="41"/>
        <v>OEHHA 2009</v>
      </c>
      <c r="J94" s="1663">
        <f t="shared" si="42"/>
        <v>5.1000000000000003E-6</v>
      </c>
      <c r="K94" s="1663" t="str">
        <f t="shared" si="43"/>
        <v>OEHHA</v>
      </c>
      <c r="L94" s="1663" t="str">
        <f t="shared" si="53"/>
        <v/>
      </c>
      <c r="M94" s="1663">
        <f t="shared" si="44"/>
        <v>5.0000000000000001E-3</v>
      </c>
      <c r="N94" s="1663" t="str">
        <f t="shared" si="45"/>
        <v>IRIS 2010</v>
      </c>
      <c r="O94" s="1663">
        <f t="shared" si="46"/>
        <v>5.0000000000000001E-3</v>
      </c>
      <c r="P94" s="1663" t="str">
        <f t="shared" si="47"/>
        <v>IRIS</v>
      </c>
      <c r="Q94" s="1663" t="str">
        <f t="shared" si="54"/>
        <v/>
      </c>
      <c r="R94" s="1663" t="str">
        <f t="shared" si="48"/>
        <v>--</v>
      </c>
      <c r="S94" s="1663" t="str">
        <f t="shared" si="49"/>
        <v xml:space="preserve"> </v>
      </c>
      <c r="T94" s="1663" t="str">
        <f t="shared" si="50"/>
        <v>--</v>
      </c>
      <c r="U94" s="1663" t="str">
        <f t="shared" si="51"/>
        <v>--</v>
      </c>
      <c r="V94" s="1663" t="str">
        <f t="shared" si="55"/>
        <v/>
      </c>
    </row>
    <row r="95" spans="1:24">
      <c r="A95" s="309" t="s">
        <v>261</v>
      </c>
      <c r="B95" s="427" t="s">
        <v>1261</v>
      </c>
      <c r="C95" s="1663" t="str">
        <f t="shared" si="36"/>
        <v>--</v>
      </c>
      <c r="D95" s="1663" t="str">
        <f t="shared" si="37"/>
        <v xml:space="preserve"> </v>
      </c>
      <c r="E95" s="1663" t="str">
        <f t="shared" si="38"/>
        <v>--</v>
      </c>
      <c r="F95" s="1663" t="str">
        <f t="shared" si="39"/>
        <v>--</v>
      </c>
      <c r="G95" s="1663" t="str">
        <f t="shared" si="52"/>
        <v/>
      </c>
      <c r="H95" s="1663" t="str">
        <f t="shared" si="40"/>
        <v>--</v>
      </c>
      <c r="I95" s="1663" t="str">
        <f t="shared" si="41"/>
        <v xml:space="preserve"> </v>
      </c>
      <c r="J95" s="1663" t="str">
        <f t="shared" si="42"/>
        <v>--</v>
      </c>
      <c r="K95" s="1663" t="str">
        <f t="shared" si="43"/>
        <v>--</v>
      </c>
      <c r="L95" s="1663" t="str">
        <f t="shared" si="53"/>
        <v/>
      </c>
      <c r="M95" s="1663">
        <f t="shared" si="44"/>
        <v>6.9999999999999999E-4</v>
      </c>
      <c r="N95" s="1663" t="str">
        <f t="shared" si="45"/>
        <v>IRIS 2005</v>
      </c>
      <c r="O95" s="1663">
        <f t="shared" si="46"/>
        <v>6.9999999999999999E-4</v>
      </c>
      <c r="P95" s="1663" t="str">
        <f t="shared" si="47"/>
        <v>IRIS</v>
      </c>
      <c r="Q95" s="1663" t="str">
        <f t="shared" si="54"/>
        <v/>
      </c>
      <c r="R95" s="1663" t="str">
        <f t="shared" si="48"/>
        <v>--</v>
      </c>
      <c r="S95" s="1663" t="str">
        <f t="shared" si="49"/>
        <v xml:space="preserve"> </v>
      </c>
      <c r="T95" s="1663" t="str">
        <f t="shared" si="50"/>
        <v>--</v>
      </c>
      <c r="U95" s="1663" t="str">
        <f t="shared" si="51"/>
        <v>--</v>
      </c>
      <c r="V95" s="1663" t="str">
        <f t="shared" si="55"/>
        <v/>
      </c>
    </row>
    <row r="96" spans="1:24">
      <c r="A96" s="869" t="s">
        <v>1262</v>
      </c>
      <c r="B96" s="1184" t="s">
        <v>115</v>
      </c>
      <c r="C96" s="1663" t="str">
        <f t="shared" si="36"/>
        <v>--</v>
      </c>
      <c r="D96" s="1663" t="str">
        <f t="shared" si="37"/>
        <v xml:space="preserve"> </v>
      </c>
      <c r="E96" s="1663" t="e">
        <f t="shared" si="38"/>
        <v>#N/A</v>
      </c>
      <c r="F96" s="1663" t="e">
        <f t="shared" si="39"/>
        <v>#N/A</v>
      </c>
      <c r="G96" s="1663" t="e">
        <f t="shared" si="52"/>
        <v>#N/A</v>
      </c>
      <c r="H96" s="1663" t="str">
        <f t="shared" si="40"/>
        <v>--</v>
      </c>
      <c r="I96" s="1663">
        <f t="shared" si="41"/>
        <v>0</v>
      </c>
      <c r="J96" s="1663" t="e">
        <f t="shared" si="42"/>
        <v>#N/A</v>
      </c>
      <c r="K96" s="1663" t="e">
        <f t="shared" si="43"/>
        <v>#N/A</v>
      </c>
      <c r="L96" s="1663" t="e">
        <f t="shared" si="53"/>
        <v>#N/A</v>
      </c>
      <c r="M96" s="1663">
        <f t="shared" si="44"/>
        <v>0.3</v>
      </c>
      <c r="N96" s="1663" t="str">
        <f t="shared" si="45"/>
        <v>ESL Table IP-9</v>
      </c>
      <c r="O96" s="1663" t="e">
        <f t="shared" si="46"/>
        <v>#N/A</v>
      </c>
      <c r="P96" s="1663" t="e">
        <f t="shared" si="47"/>
        <v>#N/A</v>
      </c>
      <c r="Q96" s="1663" t="e">
        <f t="shared" si="54"/>
        <v>#N/A</v>
      </c>
      <c r="R96" s="1663">
        <f t="shared" si="48"/>
        <v>619.46902654867256</v>
      </c>
      <c r="S96" s="1663" t="str">
        <f t="shared" si="49"/>
        <v>ESL Table IP-9</v>
      </c>
      <c r="T96" s="1663" t="e">
        <f t="shared" si="50"/>
        <v>#N/A</v>
      </c>
      <c r="U96" s="1663" t="e">
        <f t="shared" si="51"/>
        <v>#N/A</v>
      </c>
      <c r="V96" s="1663" t="e">
        <f t="shared" si="55"/>
        <v>#N/A</v>
      </c>
    </row>
    <row r="97" spans="1:22">
      <c r="A97" s="869" t="s">
        <v>1264</v>
      </c>
      <c r="B97" s="1184" t="s">
        <v>115</v>
      </c>
      <c r="C97" s="1663" t="str">
        <f t="shared" si="36"/>
        <v>--</v>
      </c>
      <c r="D97" s="1663" t="str">
        <f t="shared" si="37"/>
        <v xml:space="preserve"> </v>
      </c>
      <c r="E97" s="1663" t="e">
        <f t="shared" si="38"/>
        <v>#N/A</v>
      </c>
      <c r="F97" s="1663" t="e">
        <f t="shared" si="39"/>
        <v>#N/A</v>
      </c>
      <c r="G97" s="1663" t="e">
        <f t="shared" si="52"/>
        <v>#N/A</v>
      </c>
      <c r="H97" s="1663" t="str">
        <f t="shared" si="40"/>
        <v>--</v>
      </c>
      <c r="I97" s="1663">
        <f t="shared" si="41"/>
        <v>0</v>
      </c>
      <c r="J97" s="1663" t="e">
        <f t="shared" si="42"/>
        <v>#N/A</v>
      </c>
      <c r="K97" s="1663" t="e">
        <f t="shared" si="43"/>
        <v>#N/A</v>
      </c>
      <c r="L97" s="1663" t="e">
        <f t="shared" si="53"/>
        <v>#N/A</v>
      </c>
      <c r="M97" s="1663">
        <f t="shared" si="44"/>
        <v>3.8839285714285708E-2</v>
      </c>
      <c r="N97" s="1663" t="str">
        <f t="shared" si="45"/>
        <v>ESL Table IP-9</v>
      </c>
      <c r="O97" s="1663" t="e">
        <f t="shared" si="46"/>
        <v>#N/A</v>
      </c>
      <c r="P97" s="1663" t="e">
        <f t="shared" si="47"/>
        <v>#N/A</v>
      </c>
      <c r="Q97" s="1663" t="e">
        <f t="shared" si="54"/>
        <v>#N/A</v>
      </c>
      <c r="R97" s="1663">
        <f t="shared" si="48"/>
        <v>619.46902654867256</v>
      </c>
      <c r="S97" s="1663" t="str">
        <f t="shared" si="49"/>
        <v>ESL Table IP-9</v>
      </c>
      <c r="T97" s="1663" t="e">
        <f t="shared" si="50"/>
        <v>#N/A</v>
      </c>
      <c r="U97" s="1663" t="e">
        <f t="shared" si="51"/>
        <v>#N/A</v>
      </c>
      <c r="V97" s="1663" t="e">
        <f t="shared" si="55"/>
        <v>#N/A</v>
      </c>
    </row>
    <row r="98" spans="1:22">
      <c r="A98" s="919" t="s">
        <v>1265</v>
      </c>
      <c r="B98" s="1184" t="s">
        <v>115</v>
      </c>
      <c r="C98" s="1663" t="str">
        <f t="shared" si="36"/>
        <v>--</v>
      </c>
      <c r="D98" s="1663" t="str">
        <f t="shared" si="37"/>
        <v xml:space="preserve"> </v>
      </c>
      <c r="E98" s="1663" t="e">
        <f t="shared" si="38"/>
        <v>#N/A</v>
      </c>
      <c r="F98" s="1663" t="e">
        <f t="shared" si="39"/>
        <v>#N/A</v>
      </c>
      <c r="G98" s="1663" t="e">
        <f t="shared" si="52"/>
        <v>#N/A</v>
      </c>
      <c r="H98" s="1663" t="str">
        <f t="shared" si="40"/>
        <v>--</v>
      </c>
      <c r="I98" s="1663">
        <f t="shared" si="41"/>
        <v>0</v>
      </c>
      <c r="J98" s="1663" t="e">
        <f t="shared" si="42"/>
        <v>#N/A</v>
      </c>
      <c r="K98" s="1663" t="e">
        <f t="shared" si="43"/>
        <v>#N/A</v>
      </c>
      <c r="L98" s="1663" t="e">
        <f t="shared" si="53"/>
        <v>#N/A</v>
      </c>
      <c r="M98" s="1663">
        <f t="shared" si="44"/>
        <v>0.03</v>
      </c>
      <c r="N98" s="1663" t="str">
        <f t="shared" si="45"/>
        <v>ESL Table IP-9</v>
      </c>
      <c r="O98" s="1663" t="e">
        <f t="shared" si="46"/>
        <v>#N/A</v>
      </c>
      <c r="P98" s="1663" t="e">
        <f t="shared" si="47"/>
        <v>#N/A</v>
      </c>
      <c r="Q98" s="1663" t="e">
        <f t="shared" si="54"/>
        <v>#N/A</v>
      </c>
      <c r="R98" s="1663">
        <f t="shared" si="48"/>
        <v>296.61016949152543</v>
      </c>
      <c r="S98" s="1663" t="str">
        <f t="shared" si="49"/>
        <v>ESL Table IP-9</v>
      </c>
      <c r="T98" s="1663" t="e">
        <f t="shared" si="50"/>
        <v>#N/A</v>
      </c>
      <c r="U98" s="1663" t="e">
        <f t="shared" si="51"/>
        <v>#N/A</v>
      </c>
      <c r="V98" s="1663" t="e">
        <f t="shared" si="55"/>
        <v>#N/A</v>
      </c>
    </row>
    <row r="99" spans="1:22">
      <c r="A99" s="919" t="s">
        <v>1266</v>
      </c>
      <c r="B99" s="1184" t="s">
        <v>115</v>
      </c>
      <c r="C99" s="1663" t="str">
        <f t="shared" si="36"/>
        <v>--</v>
      </c>
      <c r="D99" s="1663" t="str">
        <f t="shared" si="37"/>
        <v xml:space="preserve"> </v>
      </c>
      <c r="E99" s="1663" t="e">
        <f t="shared" si="38"/>
        <v>#N/A</v>
      </c>
      <c r="F99" s="1663" t="e">
        <f t="shared" si="39"/>
        <v>#N/A</v>
      </c>
      <c r="G99" s="1663" t="e">
        <f t="shared" si="52"/>
        <v>#N/A</v>
      </c>
      <c r="H99" s="1663" t="str">
        <f t="shared" si="40"/>
        <v>--</v>
      </c>
      <c r="I99" s="1663">
        <f t="shared" si="41"/>
        <v>0</v>
      </c>
      <c r="J99" s="1663" t="e">
        <f t="shared" si="42"/>
        <v>#N/A</v>
      </c>
      <c r="K99" s="1663" t="e">
        <f t="shared" si="43"/>
        <v>#N/A</v>
      </c>
      <c r="L99" s="1663" t="e">
        <f t="shared" si="53"/>
        <v>#N/A</v>
      </c>
      <c r="M99" s="1663">
        <f t="shared" si="44"/>
        <v>1.1029411764705881E-2</v>
      </c>
      <c r="N99" s="1663" t="str">
        <f t="shared" si="45"/>
        <v>ESL Table IP-9</v>
      </c>
      <c r="O99" s="1663" t="e">
        <f t="shared" si="46"/>
        <v>#N/A</v>
      </c>
      <c r="P99" s="1663" t="e">
        <f t="shared" si="47"/>
        <v>#N/A</v>
      </c>
      <c r="Q99" s="1663" t="e">
        <f t="shared" si="54"/>
        <v>#N/A</v>
      </c>
      <c r="R99" s="1663">
        <f t="shared" si="48"/>
        <v>296.61016949152543</v>
      </c>
      <c r="S99" s="1663" t="str">
        <f t="shared" si="49"/>
        <v>ESL Table IP-9</v>
      </c>
      <c r="T99" s="1663" t="e">
        <f t="shared" si="50"/>
        <v>#N/A</v>
      </c>
      <c r="U99" s="1663" t="e">
        <f t="shared" si="51"/>
        <v>#N/A</v>
      </c>
      <c r="V99" s="1663" t="e">
        <f t="shared" si="55"/>
        <v>#N/A</v>
      </c>
    </row>
    <row r="100" spans="1:22">
      <c r="A100" s="919" t="s">
        <v>1267</v>
      </c>
      <c r="B100" s="1184" t="s">
        <v>115</v>
      </c>
      <c r="C100" s="1663" t="str">
        <f t="shared" si="36"/>
        <v>--</v>
      </c>
      <c r="D100" s="1663" t="str">
        <f t="shared" si="37"/>
        <v xml:space="preserve"> </v>
      </c>
      <c r="E100" s="1663" t="e">
        <f t="shared" si="38"/>
        <v>#N/A</v>
      </c>
      <c r="F100" s="1663" t="e">
        <f t="shared" si="39"/>
        <v>#N/A</v>
      </c>
      <c r="G100" s="1663" t="e">
        <f t="shared" si="52"/>
        <v>#N/A</v>
      </c>
      <c r="H100" s="1663" t="str">
        <f t="shared" si="40"/>
        <v>--</v>
      </c>
      <c r="I100" s="1663">
        <f t="shared" si="41"/>
        <v>0</v>
      </c>
      <c r="J100" s="1663" t="e">
        <f t="shared" si="42"/>
        <v>#N/A</v>
      </c>
      <c r="K100" s="1663" t="e">
        <f t="shared" si="43"/>
        <v>#N/A</v>
      </c>
      <c r="L100" s="1663" t="e">
        <f t="shared" si="53"/>
        <v>#N/A</v>
      </c>
      <c r="M100" s="1663">
        <f t="shared" si="44"/>
        <v>0.03</v>
      </c>
      <c r="N100" s="1663" t="str">
        <f t="shared" si="45"/>
        <v>ESL Table IP-9</v>
      </c>
      <c r="O100" s="1663" t="e">
        <f t="shared" si="46"/>
        <v>#N/A</v>
      </c>
      <c r="P100" s="1663" t="e">
        <f t="shared" si="47"/>
        <v>#N/A</v>
      </c>
      <c r="Q100" s="1663" t="e">
        <f t="shared" si="54"/>
        <v>#N/A</v>
      </c>
      <c r="R100" s="1663">
        <f t="shared" si="48"/>
        <v>296.61016949152543</v>
      </c>
      <c r="S100" s="1663" t="str">
        <f t="shared" si="49"/>
        <v>ESL Table IP-9</v>
      </c>
      <c r="T100" s="1663" t="e">
        <f t="shared" si="50"/>
        <v>#N/A</v>
      </c>
      <c r="U100" s="1663" t="e">
        <f t="shared" si="51"/>
        <v>#N/A</v>
      </c>
      <c r="V100" s="1663" t="e">
        <f t="shared" si="55"/>
        <v>#N/A</v>
      </c>
    </row>
    <row r="101" spans="1:22">
      <c r="A101" s="896" t="s">
        <v>1268</v>
      </c>
      <c r="B101" s="1184" t="s">
        <v>115</v>
      </c>
      <c r="C101" s="1663" t="str">
        <f t="shared" si="36"/>
        <v>--</v>
      </c>
      <c r="D101" s="1663" t="str">
        <f t="shared" si="37"/>
        <v xml:space="preserve"> </v>
      </c>
      <c r="E101" s="1663" t="e">
        <f t="shared" si="38"/>
        <v>#N/A</v>
      </c>
      <c r="F101" s="1663" t="e">
        <f t="shared" si="39"/>
        <v>#N/A</v>
      </c>
      <c r="G101" s="1663" t="e">
        <f t="shared" si="52"/>
        <v>#N/A</v>
      </c>
      <c r="H101" s="1663" t="str">
        <f t="shared" si="40"/>
        <v>--</v>
      </c>
      <c r="I101" s="1663">
        <f t="shared" si="41"/>
        <v>0</v>
      </c>
      <c r="J101" s="1663" t="e">
        <f t="shared" si="42"/>
        <v>#N/A</v>
      </c>
      <c r="K101" s="1663" t="e">
        <f t="shared" si="43"/>
        <v>#N/A</v>
      </c>
      <c r="L101" s="1663" t="e">
        <f t="shared" si="53"/>
        <v>#N/A</v>
      </c>
      <c r="M101" s="1663">
        <f t="shared" si="44"/>
        <v>1.2195121951219513E-2</v>
      </c>
      <c r="N101" s="1663" t="str">
        <f t="shared" si="45"/>
        <v>ESL Table IP-9</v>
      </c>
      <c r="O101" s="1663" t="e">
        <f t="shared" si="46"/>
        <v>#N/A</v>
      </c>
      <c r="P101" s="1663" t="e">
        <f t="shared" si="47"/>
        <v>#N/A</v>
      </c>
      <c r="Q101" s="1663" t="e">
        <f t="shared" si="54"/>
        <v>#N/A</v>
      </c>
      <c r="R101" s="1663">
        <f t="shared" si="48"/>
        <v>296.61016949152543</v>
      </c>
      <c r="S101" s="1663" t="str">
        <f t="shared" si="49"/>
        <v>ESL Table IP-9</v>
      </c>
      <c r="T101" s="1663" t="e">
        <f t="shared" si="50"/>
        <v>#N/A</v>
      </c>
      <c r="U101" s="1663" t="e">
        <f t="shared" si="51"/>
        <v>#N/A</v>
      </c>
      <c r="V101" s="1663" t="e">
        <f t="shared" si="55"/>
        <v>#N/A</v>
      </c>
    </row>
    <row r="102" spans="1:22">
      <c r="A102" s="919" t="s">
        <v>1269</v>
      </c>
      <c r="B102" s="1184" t="s">
        <v>115</v>
      </c>
      <c r="C102" s="1663" t="str">
        <f t="shared" ref="C102:C133" si="56">VLOOKUP($A102,Table_IP_2, MATCH("SFo", heading_IP_2, 0), FALSE)</f>
        <v>--</v>
      </c>
      <c r="D102" s="1663" t="str">
        <f t="shared" ref="D102:D133" si="57">VLOOKUP($A102,Table_IP_2, MATCH("Sfo-r", heading_IP_2, 0), FALSE)</f>
        <v xml:space="preserve"> </v>
      </c>
      <c r="E102" s="1663" t="e">
        <f t="shared" ref="E102:E133" si="58">VLOOKUP($B102,Table_N10, MATCH("SFo", Heading_N10, 0), FALSE)</f>
        <v>#N/A</v>
      </c>
      <c r="F102" s="1663" t="e">
        <f t="shared" ref="F102:F133" si="59">VLOOKUP($B102,Table_N10, MATCH("Sfo-r", Heading_N10, 0), FALSE)</f>
        <v>#N/A</v>
      </c>
      <c r="G102" s="1663" t="e">
        <f t="shared" si="52"/>
        <v>#N/A</v>
      </c>
      <c r="H102" s="1663" t="str">
        <f t="shared" ref="H102:H133" si="60">VLOOKUP($A102,Table_IP_2, MATCH("IUR", heading_IP_2, 0), FALSE)</f>
        <v>--</v>
      </c>
      <c r="I102" s="1663">
        <f t="shared" ref="I102:I133" si="61">VLOOKUP($A102,Table_IP_2, MATCH("IUR-r", heading_IP_2, 0), FALSE)</f>
        <v>0</v>
      </c>
      <c r="J102" s="1663" t="e">
        <f t="shared" ref="J102:J133" si="62">VLOOKUP($B102,Table_N10, MATCH("IUR", Heading_N10, 0), FALSE)</f>
        <v>#N/A</v>
      </c>
      <c r="K102" s="1663" t="e">
        <f t="shared" ref="K102:K133" si="63">VLOOKUP($B102,Table_N10, MATCH("IUR-r", Heading_N10, 0), FALSE)</f>
        <v>#N/A</v>
      </c>
      <c r="L102" s="1663" t="e">
        <f t="shared" si="53"/>
        <v>#N/A</v>
      </c>
      <c r="M102" s="1663">
        <f t="shared" ref="M102:M133" si="64">VLOOKUP($A102,Table_IP_2, MATCH("Rfdo", heading_IP_2, 0), FALSE)</f>
        <v>0.03</v>
      </c>
      <c r="N102" s="1663" t="str">
        <f t="shared" ref="N102:N133" si="65">VLOOKUP($A102,Table_IP_2, MATCH("Rfdo-r", heading_IP_2, 0), FALSE)</f>
        <v>ESL Table IP-9</v>
      </c>
      <c r="O102" s="1663" t="e">
        <f t="shared" ref="O102:O133" si="66">VLOOKUP($B102,Table_N10, MATCH("Rfdo", Heading_N10, 0), FALSE)</f>
        <v>#N/A</v>
      </c>
      <c r="P102" s="1663" t="e">
        <f t="shared" ref="P102:P133" si="67">VLOOKUP($B102,Table_N10, MATCH("Rfdo-r", Heading_N10, 0), FALSE)</f>
        <v>#N/A</v>
      </c>
      <c r="Q102" s="1663" t="e">
        <f t="shared" si="54"/>
        <v>#N/A</v>
      </c>
      <c r="R102" s="1663">
        <f t="shared" ref="R102:R133" si="68">VLOOKUP($A102,Table_IP_2, MATCH("Rfc", heading_IP_2, 0), FALSE)</f>
        <v>194.44444444444443</v>
      </c>
      <c r="S102" s="1663" t="str">
        <f t="shared" ref="S102:S133" si="69">VLOOKUP($A102,Table_IP_2, MATCH("Rfc-r", heading_IP_2, 0), FALSE)</f>
        <v>ESL Table IP-9</v>
      </c>
      <c r="T102" s="1663" t="e">
        <f t="shared" ref="T102:T133" si="70">VLOOKUP($B102,Table_N10, MATCH("Rfc", Heading_N10, 0), FALSE)</f>
        <v>#N/A</v>
      </c>
      <c r="U102" s="1663" t="e">
        <f t="shared" ref="U102:U133" si="71">VLOOKUP($B102,Table_N10, MATCH("Rfc-r", Heading_N10, 0), FALSE)</f>
        <v>#N/A</v>
      </c>
      <c r="V102" s="1663" t="e">
        <f t="shared" si="55"/>
        <v>#N/A</v>
      </c>
    </row>
    <row r="103" spans="1:22">
      <c r="A103" s="896" t="s">
        <v>1270</v>
      </c>
      <c r="B103" s="1184" t="s">
        <v>115</v>
      </c>
      <c r="C103" s="1663" t="str">
        <f t="shared" si="56"/>
        <v>--</v>
      </c>
      <c r="D103" s="1663" t="str">
        <f t="shared" si="57"/>
        <v xml:space="preserve"> </v>
      </c>
      <c r="E103" s="1663" t="e">
        <f t="shared" si="58"/>
        <v>#N/A</v>
      </c>
      <c r="F103" s="1663" t="e">
        <f t="shared" si="59"/>
        <v>#N/A</v>
      </c>
      <c r="G103" s="1663" t="e">
        <f t="shared" si="52"/>
        <v>#N/A</v>
      </c>
      <c r="H103" s="1663" t="str">
        <f t="shared" si="60"/>
        <v>--</v>
      </c>
      <c r="I103" s="1663">
        <f t="shared" si="61"/>
        <v>0</v>
      </c>
      <c r="J103" s="1663" t="e">
        <f t="shared" si="62"/>
        <v>#N/A</v>
      </c>
      <c r="K103" s="1663" t="e">
        <f t="shared" si="63"/>
        <v>#N/A</v>
      </c>
      <c r="L103" s="1663" t="e">
        <f t="shared" si="53"/>
        <v>#N/A</v>
      </c>
      <c r="M103" s="1663">
        <f t="shared" si="64"/>
        <v>1.931123270035404E-2</v>
      </c>
      <c r="N103" s="1663" t="str">
        <f t="shared" si="65"/>
        <v>ESL Table IP-9</v>
      </c>
      <c r="O103" s="1663" t="e">
        <f t="shared" si="66"/>
        <v>#N/A</v>
      </c>
      <c r="P103" s="1663" t="e">
        <f t="shared" si="67"/>
        <v>#N/A</v>
      </c>
      <c r="Q103" s="1663" t="e">
        <f t="shared" si="54"/>
        <v>#N/A</v>
      </c>
      <c r="R103" s="1663">
        <f t="shared" si="68"/>
        <v>194.44444444444443</v>
      </c>
      <c r="S103" s="1663" t="str">
        <f t="shared" si="69"/>
        <v>ESL Table IP-9</v>
      </c>
      <c r="T103" s="1663" t="e">
        <f t="shared" si="70"/>
        <v>#N/A</v>
      </c>
      <c r="U103" s="1663" t="e">
        <f t="shared" si="71"/>
        <v>#N/A</v>
      </c>
      <c r="V103" s="1663" t="e">
        <f t="shared" si="55"/>
        <v>#N/A</v>
      </c>
    </row>
    <row r="104" spans="1:22">
      <c r="A104" s="919" t="s">
        <v>1271</v>
      </c>
      <c r="B104" s="1184" t="s">
        <v>115</v>
      </c>
      <c r="C104" s="1663" t="str">
        <f t="shared" si="56"/>
        <v>--</v>
      </c>
      <c r="D104" s="1663" t="str">
        <f t="shared" si="57"/>
        <v xml:space="preserve"> </v>
      </c>
      <c r="E104" s="1663" t="e">
        <f t="shared" si="58"/>
        <v>#N/A</v>
      </c>
      <c r="F104" s="1663" t="e">
        <f t="shared" si="59"/>
        <v>#N/A</v>
      </c>
      <c r="G104" s="1663" t="e">
        <f t="shared" si="52"/>
        <v>#N/A</v>
      </c>
      <c r="H104" s="1663" t="str">
        <f t="shared" si="60"/>
        <v>--</v>
      </c>
      <c r="I104" s="1663">
        <f t="shared" si="61"/>
        <v>0</v>
      </c>
      <c r="J104" s="1663" t="e">
        <f t="shared" si="62"/>
        <v>#N/A</v>
      </c>
      <c r="K104" s="1663" t="e">
        <f t="shared" si="63"/>
        <v>#N/A</v>
      </c>
      <c r="L104" s="1663" t="e">
        <f t="shared" si="53"/>
        <v>#N/A</v>
      </c>
      <c r="M104" s="1663">
        <f t="shared" si="64"/>
        <v>0.03</v>
      </c>
      <c r="N104" s="1663" t="str">
        <f t="shared" si="65"/>
        <v>See UG Ch 4</v>
      </c>
      <c r="O104" s="1663" t="e">
        <f t="shared" si="66"/>
        <v>#N/A</v>
      </c>
      <c r="P104" s="1663" t="e">
        <f t="shared" si="67"/>
        <v>#N/A</v>
      </c>
      <c r="Q104" s="1663" t="e">
        <f t="shared" si="54"/>
        <v>#N/A</v>
      </c>
      <c r="R104" s="1663" t="str">
        <f t="shared" si="68"/>
        <v>--</v>
      </c>
      <c r="S104" s="1663" t="str">
        <f t="shared" si="69"/>
        <v xml:space="preserve"> </v>
      </c>
      <c r="T104" s="1663" t="e">
        <f t="shared" si="70"/>
        <v>#N/A</v>
      </c>
      <c r="U104" s="1663" t="e">
        <f t="shared" si="71"/>
        <v>#N/A</v>
      </c>
      <c r="V104" s="1663" t="e">
        <f t="shared" si="55"/>
        <v>#N/A</v>
      </c>
    </row>
    <row r="105" spans="1:22">
      <c r="A105" s="896" t="s">
        <v>1273</v>
      </c>
      <c r="B105" s="1184" t="s">
        <v>115</v>
      </c>
      <c r="C105" s="1663" t="str">
        <f t="shared" si="56"/>
        <v>--</v>
      </c>
      <c r="D105" s="1663" t="str">
        <f t="shared" si="57"/>
        <v xml:space="preserve"> </v>
      </c>
      <c r="E105" s="1663" t="e">
        <f t="shared" si="58"/>
        <v>#N/A</v>
      </c>
      <c r="F105" s="1663" t="e">
        <f t="shared" si="59"/>
        <v>#N/A</v>
      </c>
      <c r="G105" s="1663" t="e">
        <f t="shared" si="52"/>
        <v>#N/A</v>
      </c>
      <c r="H105" s="1663" t="str">
        <f t="shared" si="60"/>
        <v>--</v>
      </c>
      <c r="I105" s="1663">
        <f t="shared" si="61"/>
        <v>0</v>
      </c>
      <c r="J105" s="1663" t="e">
        <f t="shared" si="62"/>
        <v>#N/A</v>
      </c>
      <c r="K105" s="1663" t="e">
        <f t="shared" si="63"/>
        <v>#N/A</v>
      </c>
      <c r="L105" s="1663" t="e">
        <f t="shared" si="53"/>
        <v>#N/A</v>
      </c>
      <c r="M105" s="1663" t="str">
        <f t="shared" si="64"/>
        <v>--</v>
      </c>
      <c r="N105" s="1663" t="str">
        <f t="shared" si="65"/>
        <v xml:space="preserve"> </v>
      </c>
      <c r="O105" s="1663" t="e">
        <f t="shared" si="66"/>
        <v>#N/A</v>
      </c>
      <c r="P105" s="1663" t="e">
        <f t="shared" si="67"/>
        <v>#N/A</v>
      </c>
      <c r="Q105" s="1663" t="e">
        <f t="shared" si="54"/>
        <v>#N/A</v>
      </c>
      <c r="R105" s="1663" t="str">
        <f t="shared" si="68"/>
        <v>--</v>
      </c>
      <c r="S105" s="1663" t="str">
        <f t="shared" si="69"/>
        <v xml:space="preserve"> </v>
      </c>
      <c r="T105" s="1663" t="e">
        <f t="shared" si="70"/>
        <v>#N/A</v>
      </c>
      <c r="U105" s="1663" t="e">
        <f t="shared" si="71"/>
        <v>#N/A</v>
      </c>
      <c r="V105" s="1663" t="e">
        <f t="shared" si="55"/>
        <v>#N/A</v>
      </c>
    </row>
    <row r="106" spans="1:22">
      <c r="A106" s="896" t="s">
        <v>1274</v>
      </c>
      <c r="B106" s="1184" t="s">
        <v>115</v>
      </c>
      <c r="C106" s="1663" t="str">
        <f t="shared" si="56"/>
        <v>--</v>
      </c>
      <c r="D106" s="1663" t="str">
        <f t="shared" si="57"/>
        <v xml:space="preserve"> </v>
      </c>
      <c r="E106" s="1663" t="e">
        <f t="shared" si="58"/>
        <v>#N/A</v>
      </c>
      <c r="F106" s="1663" t="e">
        <f t="shared" si="59"/>
        <v>#N/A</v>
      </c>
      <c r="G106" s="1663" t="e">
        <f t="shared" si="52"/>
        <v>#N/A</v>
      </c>
      <c r="H106" s="1663" t="str">
        <f t="shared" si="60"/>
        <v>--</v>
      </c>
      <c r="I106" s="1663">
        <f t="shared" si="61"/>
        <v>0</v>
      </c>
      <c r="J106" s="1663" t="e">
        <f t="shared" si="62"/>
        <v>#N/A</v>
      </c>
      <c r="K106" s="1663" t="e">
        <f t="shared" si="63"/>
        <v>#N/A</v>
      </c>
      <c r="L106" s="1663" t="e">
        <f t="shared" si="53"/>
        <v>#N/A</v>
      </c>
      <c r="M106" s="1663">
        <f t="shared" si="64"/>
        <v>0.15384615384615385</v>
      </c>
      <c r="N106" s="1663" t="str">
        <f t="shared" si="65"/>
        <v>ESL Table IP-9</v>
      </c>
      <c r="O106" s="1663" t="e">
        <f t="shared" si="66"/>
        <v>#N/A</v>
      </c>
      <c r="P106" s="1663" t="e">
        <f t="shared" si="67"/>
        <v>#N/A</v>
      </c>
      <c r="Q106" s="1663" t="e">
        <f t="shared" si="54"/>
        <v>#N/A</v>
      </c>
      <c r="R106" s="1663" t="str">
        <f t="shared" si="68"/>
        <v>--</v>
      </c>
      <c r="S106" s="1663" t="str">
        <f t="shared" si="69"/>
        <v xml:space="preserve"> </v>
      </c>
      <c r="T106" s="1663" t="e">
        <f t="shared" si="70"/>
        <v>#N/A</v>
      </c>
      <c r="U106" s="1663" t="e">
        <f t="shared" si="71"/>
        <v>#N/A</v>
      </c>
      <c r="V106" s="1663" t="e">
        <f t="shared" si="55"/>
        <v>#N/A</v>
      </c>
    </row>
    <row r="107" spans="1:22">
      <c r="A107" s="869" t="s">
        <v>719</v>
      </c>
      <c r="B107" s="1183" t="s">
        <v>115</v>
      </c>
      <c r="C107" s="1663" t="str">
        <f t="shared" si="56"/>
        <v>--</v>
      </c>
      <c r="D107" s="1663" t="str">
        <f t="shared" si="57"/>
        <v xml:space="preserve"> </v>
      </c>
      <c r="E107" s="1663" t="e">
        <f t="shared" si="58"/>
        <v>#N/A</v>
      </c>
      <c r="F107" s="1663" t="e">
        <f t="shared" si="59"/>
        <v>#N/A</v>
      </c>
      <c r="G107" s="1663" t="e">
        <f t="shared" si="52"/>
        <v>#N/A</v>
      </c>
      <c r="H107" s="1663" t="str">
        <f t="shared" si="60"/>
        <v>--</v>
      </c>
      <c r="I107" s="1663" t="str">
        <f t="shared" si="61"/>
        <v xml:space="preserve"> </v>
      </c>
      <c r="J107" s="1663" t="e">
        <f t="shared" si="62"/>
        <v>#N/A</v>
      </c>
      <c r="K107" s="1663" t="e">
        <f t="shared" si="63"/>
        <v>#N/A</v>
      </c>
      <c r="L107" s="1663" t="e">
        <f t="shared" si="53"/>
        <v>#N/A</v>
      </c>
      <c r="M107" s="1663">
        <f t="shared" si="64"/>
        <v>0.3</v>
      </c>
      <c r="N107" s="1663" t="str">
        <f t="shared" si="65"/>
        <v>ESL Table IP-9</v>
      </c>
      <c r="O107" s="1663" t="e">
        <f t="shared" si="66"/>
        <v>#N/A</v>
      </c>
      <c r="P107" s="1663" t="e">
        <f t="shared" si="67"/>
        <v>#N/A</v>
      </c>
      <c r="Q107" s="1663" t="e">
        <f t="shared" si="54"/>
        <v>#N/A</v>
      </c>
      <c r="R107" s="1663">
        <f t="shared" si="68"/>
        <v>700</v>
      </c>
      <c r="S107" s="1663" t="str">
        <f t="shared" si="69"/>
        <v>ESL Table IP-9</v>
      </c>
      <c r="T107" s="1663" t="e">
        <f t="shared" si="70"/>
        <v>#N/A</v>
      </c>
      <c r="U107" s="1663" t="e">
        <f t="shared" si="71"/>
        <v>#N/A</v>
      </c>
      <c r="V107" s="1663" t="e">
        <f t="shared" si="55"/>
        <v>#N/A</v>
      </c>
    </row>
    <row r="108" spans="1:22">
      <c r="A108" s="869" t="s">
        <v>720</v>
      </c>
      <c r="B108" s="1183" t="s">
        <v>115</v>
      </c>
      <c r="C108" s="1663" t="str">
        <f t="shared" si="56"/>
        <v>--</v>
      </c>
      <c r="D108" s="1663" t="str">
        <f t="shared" si="57"/>
        <v xml:space="preserve"> </v>
      </c>
      <c r="E108" s="1663" t="e">
        <f t="shared" si="58"/>
        <v>#N/A</v>
      </c>
      <c r="F108" s="1663" t="e">
        <f t="shared" si="59"/>
        <v>#N/A</v>
      </c>
      <c r="G108" s="1663" t="e">
        <f t="shared" si="52"/>
        <v>#N/A</v>
      </c>
      <c r="H108" s="1663" t="str">
        <f t="shared" si="60"/>
        <v>--</v>
      </c>
      <c r="I108" s="1663" t="str">
        <f t="shared" si="61"/>
        <v xml:space="preserve"> </v>
      </c>
      <c r="J108" s="1663" t="e">
        <f t="shared" si="62"/>
        <v>#N/A</v>
      </c>
      <c r="K108" s="1663" t="e">
        <f t="shared" si="63"/>
        <v>#N/A</v>
      </c>
      <c r="L108" s="1663" t="e">
        <f t="shared" si="53"/>
        <v>#N/A</v>
      </c>
      <c r="M108" s="1663">
        <f t="shared" si="64"/>
        <v>0.01</v>
      </c>
      <c r="N108" s="1663" t="str">
        <f t="shared" si="65"/>
        <v>ESL Table IP-9</v>
      </c>
      <c r="O108" s="1663" t="e">
        <f t="shared" si="66"/>
        <v>#N/A</v>
      </c>
      <c r="P108" s="1663" t="e">
        <f t="shared" si="67"/>
        <v>#N/A</v>
      </c>
      <c r="Q108" s="1663" t="e">
        <f t="shared" si="54"/>
        <v>#N/A</v>
      </c>
      <c r="R108" s="1663">
        <f t="shared" si="68"/>
        <v>100</v>
      </c>
      <c r="S108" s="1663" t="str">
        <f t="shared" si="69"/>
        <v>ESL Table IP-9</v>
      </c>
      <c r="T108" s="1663" t="e">
        <f t="shared" si="70"/>
        <v>#N/A</v>
      </c>
      <c r="U108" s="1663" t="e">
        <f t="shared" si="71"/>
        <v>#N/A</v>
      </c>
      <c r="V108" s="1663" t="e">
        <f t="shared" si="55"/>
        <v>#N/A</v>
      </c>
    </row>
    <row r="109" spans="1:22">
      <c r="A109" s="869" t="s">
        <v>721</v>
      </c>
      <c r="B109" s="1184" t="s">
        <v>115</v>
      </c>
      <c r="C109" s="1663" t="str">
        <f t="shared" si="56"/>
        <v>--</v>
      </c>
      <c r="D109" s="1663" t="str">
        <f t="shared" si="57"/>
        <v xml:space="preserve"> </v>
      </c>
      <c r="E109" s="1663" t="e">
        <f t="shared" si="58"/>
        <v>#N/A</v>
      </c>
      <c r="F109" s="1663" t="e">
        <f t="shared" si="59"/>
        <v>#N/A</v>
      </c>
      <c r="G109" s="1663" t="e">
        <f t="shared" si="52"/>
        <v>#N/A</v>
      </c>
      <c r="H109" s="1663" t="str">
        <f t="shared" si="60"/>
        <v>--</v>
      </c>
      <c r="I109" s="1663" t="str">
        <f t="shared" si="61"/>
        <v xml:space="preserve"> </v>
      </c>
      <c r="J109" s="1663" t="e">
        <f t="shared" si="62"/>
        <v>#N/A</v>
      </c>
      <c r="K109" s="1663" t="e">
        <f t="shared" si="63"/>
        <v>#N/A</v>
      </c>
      <c r="L109" s="1663" t="e">
        <f t="shared" si="53"/>
        <v>#N/A</v>
      </c>
      <c r="M109" s="1663">
        <f t="shared" si="64"/>
        <v>3</v>
      </c>
      <c r="N109" s="1663" t="str">
        <f t="shared" si="65"/>
        <v>ESL Table IP-9</v>
      </c>
      <c r="O109" s="1663" t="e">
        <f t="shared" si="66"/>
        <v>#N/A</v>
      </c>
      <c r="P109" s="1663" t="e">
        <f t="shared" si="67"/>
        <v>#N/A</v>
      </c>
      <c r="Q109" s="1663" t="e">
        <f t="shared" si="54"/>
        <v>#N/A</v>
      </c>
      <c r="R109" s="1663" t="str">
        <f t="shared" si="68"/>
        <v>--</v>
      </c>
      <c r="S109" s="1663" t="str">
        <f t="shared" si="69"/>
        <v xml:space="preserve"> </v>
      </c>
      <c r="T109" s="1663" t="e">
        <f t="shared" si="70"/>
        <v>#N/A</v>
      </c>
      <c r="U109" s="1663" t="e">
        <f t="shared" si="71"/>
        <v>#N/A</v>
      </c>
      <c r="V109" s="1663" t="e">
        <f t="shared" si="55"/>
        <v>#N/A</v>
      </c>
    </row>
    <row r="110" spans="1:22">
      <c r="A110" s="869" t="s">
        <v>722</v>
      </c>
      <c r="B110" s="1184" t="s">
        <v>115</v>
      </c>
      <c r="C110" s="1663" t="str">
        <f t="shared" si="56"/>
        <v>--</v>
      </c>
      <c r="D110" s="1663" t="str">
        <f t="shared" si="57"/>
        <v xml:space="preserve"> </v>
      </c>
      <c r="E110" s="1663" t="e">
        <f t="shared" si="58"/>
        <v>#N/A</v>
      </c>
      <c r="F110" s="1663" t="e">
        <f t="shared" si="59"/>
        <v>#N/A</v>
      </c>
      <c r="G110" s="1663" t="e">
        <f t="shared" si="52"/>
        <v>#N/A</v>
      </c>
      <c r="H110" s="1663" t="str">
        <f t="shared" si="60"/>
        <v>--</v>
      </c>
      <c r="I110" s="1663" t="str">
        <f t="shared" si="61"/>
        <v xml:space="preserve"> </v>
      </c>
      <c r="J110" s="1663" t="e">
        <f t="shared" si="62"/>
        <v>#N/A</v>
      </c>
      <c r="K110" s="1663" t="e">
        <f t="shared" si="63"/>
        <v>#N/A</v>
      </c>
      <c r="L110" s="1663" t="e">
        <f t="shared" si="53"/>
        <v>#N/A</v>
      </c>
      <c r="M110" s="1663">
        <f t="shared" si="64"/>
        <v>0.03</v>
      </c>
      <c r="N110" s="1663" t="str">
        <f t="shared" si="65"/>
        <v>ESL Table IP-9</v>
      </c>
      <c r="O110" s="1663" t="e">
        <f t="shared" si="66"/>
        <v>#N/A</v>
      </c>
      <c r="P110" s="1663" t="e">
        <f t="shared" si="67"/>
        <v>#N/A</v>
      </c>
      <c r="Q110" s="1663" t="e">
        <f t="shared" si="54"/>
        <v>#N/A</v>
      </c>
      <c r="R110" s="1663">
        <f t="shared" si="68"/>
        <v>50</v>
      </c>
      <c r="S110" s="1663" t="str">
        <f t="shared" si="69"/>
        <v>ESL Table IP-9</v>
      </c>
      <c r="T110" s="1663" t="e">
        <f t="shared" si="70"/>
        <v>#N/A</v>
      </c>
      <c r="U110" s="1663" t="e">
        <f t="shared" si="71"/>
        <v>#N/A</v>
      </c>
      <c r="V110" s="1663" t="e">
        <f t="shared" si="55"/>
        <v>#N/A</v>
      </c>
    </row>
    <row r="111" spans="1:22">
      <c r="A111" s="869" t="s">
        <v>723</v>
      </c>
      <c r="B111" s="1184" t="s">
        <v>115</v>
      </c>
      <c r="C111" s="1663" t="str">
        <f t="shared" si="56"/>
        <v>--</v>
      </c>
      <c r="D111" s="1663" t="str">
        <f t="shared" si="57"/>
        <v xml:space="preserve"> </v>
      </c>
      <c r="E111" s="1663" t="e">
        <f t="shared" si="58"/>
        <v>#N/A</v>
      </c>
      <c r="F111" s="1663" t="e">
        <f t="shared" si="59"/>
        <v>#N/A</v>
      </c>
      <c r="G111" s="1663" t="e">
        <f t="shared" si="52"/>
        <v>#N/A</v>
      </c>
      <c r="H111" s="1663" t="str">
        <f t="shared" si="60"/>
        <v>--</v>
      </c>
      <c r="I111" s="1663" t="str">
        <f t="shared" si="61"/>
        <v xml:space="preserve"> </v>
      </c>
      <c r="J111" s="1663" t="e">
        <f t="shared" si="62"/>
        <v>#N/A</v>
      </c>
      <c r="K111" s="1663" t="e">
        <f t="shared" si="63"/>
        <v>#N/A</v>
      </c>
      <c r="L111" s="1663" t="e">
        <f t="shared" si="53"/>
        <v>#N/A</v>
      </c>
      <c r="M111" s="1663">
        <f t="shared" si="64"/>
        <v>0.04</v>
      </c>
      <c r="N111" s="1663" t="str">
        <f t="shared" si="65"/>
        <v>ESL Table IP-9</v>
      </c>
      <c r="O111" s="1663" t="e">
        <f t="shared" si="66"/>
        <v>#N/A</v>
      </c>
      <c r="P111" s="1663" t="e">
        <f t="shared" si="67"/>
        <v>#N/A</v>
      </c>
      <c r="Q111" s="1663" t="e">
        <f t="shared" si="54"/>
        <v>#N/A</v>
      </c>
      <c r="R111" s="1663" t="str">
        <f t="shared" si="68"/>
        <v>--</v>
      </c>
      <c r="S111" s="1663" t="str">
        <f t="shared" si="69"/>
        <v xml:space="preserve"> </v>
      </c>
      <c r="T111" s="1663" t="e">
        <f t="shared" si="70"/>
        <v>#N/A</v>
      </c>
      <c r="U111" s="1663" t="e">
        <f t="shared" si="71"/>
        <v>#N/A</v>
      </c>
      <c r="V111" s="1663" t="e">
        <f t="shared" si="55"/>
        <v>#N/A</v>
      </c>
    </row>
    <row r="112" spans="1:22">
      <c r="A112" s="919" t="s">
        <v>269</v>
      </c>
      <c r="B112" s="1285" t="s">
        <v>270</v>
      </c>
      <c r="C112" s="1663" t="str">
        <f t="shared" si="56"/>
        <v>--</v>
      </c>
      <c r="D112" s="1663" t="str">
        <f t="shared" si="57"/>
        <v xml:space="preserve"> </v>
      </c>
      <c r="E112" s="1663" t="e">
        <f t="shared" si="58"/>
        <v>#N/A</v>
      </c>
      <c r="F112" s="1663" t="e">
        <f t="shared" si="59"/>
        <v>#N/A</v>
      </c>
      <c r="G112" s="1663" t="e">
        <f t="shared" si="52"/>
        <v>#N/A</v>
      </c>
      <c r="H112" s="1663" t="str">
        <f t="shared" si="60"/>
        <v>--</v>
      </c>
      <c r="I112" s="1663" t="str">
        <f t="shared" si="61"/>
        <v xml:space="preserve"> </v>
      </c>
      <c r="J112" s="1663" t="e">
        <f t="shared" si="62"/>
        <v>#N/A</v>
      </c>
      <c r="K112" s="1663" t="e">
        <f t="shared" si="63"/>
        <v>#N/A</v>
      </c>
      <c r="L112" s="1663" t="e">
        <f t="shared" si="53"/>
        <v>#N/A</v>
      </c>
      <c r="M112" s="1663">
        <f t="shared" si="64"/>
        <v>5.0000000000000001E-4</v>
      </c>
      <c r="N112" s="1663" t="str">
        <f t="shared" si="65"/>
        <v>EPA HERA ORD</v>
      </c>
      <c r="O112" s="1663" t="e">
        <f t="shared" si="66"/>
        <v>#N/A</v>
      </c>
      <c r="P112" s="1663" t="e">
        <f t="shared" si="67"/>
        <v>#N/A</v>
      </c>
      <c r="Q112" s="1663" t="e">
        <f t="shared" si="54"/>
        <v>#N/A</v>
      </c>
      <c r="R112" s="1663" t="str">
        <f t="shared" si="68"/>
        <v>--</v>
      </c>
      <c r="S112" s="1663" t="str">
        <f t="shared" si="69"/>
        <v xml:space="preserve"> </v>
      </c>
      <c r="T112" s="1663" t="e">
        <f t="shared" si="70"/>
        <v>#N/A</v>
      </c>
      <c r="U112" s="1663" t="e">
        <f t="shared" si="71"/>
        <v>#N/A</v>
      </c>
      <c r="V112" s="1663" t="e">
        <f t="shared" si="55"/>
        <v>#N/A</v>
      </c>
    </row>
    <row r="113" spans="1:22">
      <c r="A113" s="919" t="s">
        <v>271</v>
      </c>
      <c r="B113" s="1285" t="s">
        <v>272</v>
      </c>
      <c r="C113" s="1663" t="str">
        <f t="shared" si="56"/>
        <v>--</v>
      </c>
      <c r="D113" s="1663" t="str">
        <f t="shared" si="57"/>
        <v xml:space="preserve"> </v>
      </c>
      <c r="E113" s="1663" t="e">
        <f t="shared" si="58"/>
        <v>#N/A</v>
      </c>
      <c r="F113" s="1663" t="e">
        <f t="shared" si="59"/>
        <v>#N/A</v>
      </c>
      <c r="G113" s="1663" t="e">
        <f t="shared" si="52"/>
        <v>#N/A</v>
      </c>
      <c r="H113" s="1663" t="str">
        <f t="shared" si="60"/>
        <v>--</v>
      </c>
      <c r="I113" s="1663" t="str">
        <f t="shared" si="61"/>
        <v xml:space="preserve"> </v>
      </c>
      <c r="J113" s="1663" t="e">
        <f t="shared" si="62"/>
        <v>#N/A</v>
      </c>
      <c r="K113" s="1663" t="e">
        <f t="shared" si="63"/>
        <v>#N/A</v>
      </c>
      <c r="L113" s="1663" t="e">
        <f t="shared" si="53"/>
        <v>#N/A</v>
      </c>
      <c r="M113" s="1663">
        <f t="shared" si="64"/>
        <v>1E-3</v>
      </c>
      <c r="N113" s="1663" t="str">
        <f t="shared" si="65"/>
        <v>IRIS</v>
      </c>
      <c r="O113" s="1663" t="e">
        <f t="shared" si="66"/>
        <v>#N/A</v>
      </c>
      <c r="P113" s="1663" t="e">
        <f t="shared" si="67"/>
        <v>#N/A</v>
      </c>
      <c r="Q113" s="1663" t="e">
        <f t="shared" si="54"/>
        <v>#N/A</v>
      </c>
      <c r="R113" s="1663" t="str">
        <f t="shared" si="68"/>
        <v>--</v>
      </c>
      <c r="S113" s="1663" t="str">
        <f t="shared" si="69"/>
        <v xml:space="preserve"> </v>
      </c>
      <c r="T113" s="1663" t="e">
        <f t="shared" si="70"/>
        <v>#N/A</v>
      </c>
      <c r="U113" s="1663" t="e">
        <f t="shared" si="71"/>
        <v>#N/A</v>
      </c>
      <c r="V113" s="1663" t="e">
        <f t="shared" si="55"/>
        <v>#N/A</v>
      </c>
    </row>
    <row r="114" spans="1:22">
      <c r="A114" s="919" t="s">
        <v>273</v>
      </c>
      <c r="B114" s="1285" t="s">
        <v>274</v>
      </c>
      <c r="C114" s="1663" t="str">
        <f t="shared" si="56"/>
        <v>--</v>
      </c>
      <c r="D114" s="1663" t="str">
        <f t="shared" si="57"/>
        <v xml:space="preserve"> </v>
      </c>
      <c r="E114" s="1663" t="e">
        <f t="shared" si="58"/>
        <v>#N/A</v>
      </c>
      <c r="F114" s="1663" t="e">
        <f t="shared" si="59"/>
        <v>#N/A</v>
      </c>
      <c r="G114" s="1663" t="e">
        <f t="shared" si="52"/>
        <v>#N/A</v>
      </c>
      <c r="H114" s="1663" t="str">
        <f t="shared" si="60"/>
        <v>--</v>
      </c>
      <c r="I114" s="1663" t="str">
        <f t="shared" si="61"/>
        <v xml:space="preserve"> </v>
      </c>
      <c r="J114" s="1663" t="e">
        <f t="shared" si="62"/>
        <v>#N/A</v>
      </c>
      <c r="K114" s="1663" t="e">
        <f t="shared" si="63"/>
        <v>#N/A</v>
      </c>
      <c r="L114" s="1663" t="e">
        <f t="shared" si="53"/>
        <v>#N/A</v>
      </c>
      <c r="M114" s="1663" t="str">
        <f t="shared" si="64"/>
        <v>--</v>
      </c>
      <c r="N114" s="1663" t="str">
        <f t="shared" si="65"/>
        <v xml:space="preserve"> </v>
      </c>
      <c r="O114" s="1663" t="e">
        <f t="shared" si="66"/>
        <v>#N/A</v>
      </c>
      <c r="P114" s="1663" t="e">
        <f t="shared" si="67"/>
        <v>#N/A</v>
      </c>
      <c r="Q114" s="1663" t="e">
        <f t="shared" si="54"/>
        <v>#N/A</v>
      </c>
      <c r="R114" s="1663" t="str">
        <f t="shared" si="68"/>
        <v>--</v>
      </c>
      <c r="S114" s="1663" t="str">
        <f t="shared" si="69"/>
        <v xml:space="preserve"> </v>
      </c>
      <c r="T114" s="1663" t="e">
        <f t="shared" si="70"/>
        <v>#N/A</v>
      </c>
      <c r="U114" s="1663" t="e">
        <f t="shared" si="71"/>
        <v>#N/A</v>
      </c>
      <c r="V114" s="1663" t="e">
        <f t="shared" si="55"/>
        <v>#N/A</v>
      </c>
    </row>
    <row r="115" spans="1:22">
      <c r="A115" s="919" t="s">
        <v>275</v>
      </c>
      <c r="B115" s="1285" t="s">
        <v>276</v>
      </c>
      <c r="C115" s="1663" t="str">
        <f t="shared" si="56"/>
        <v>--</v>
      </c>
      <c r="D115" s="1663" t="str">
        <f t="shared" si="57"/>
        <v xml:space="preserve"> </v>
      </c>
      <c r="E115" s="1663" t="e">
        <f t="shared" si="58"/>
        <v>#N/A</v>
      </c>
      <c r="F115" s="1663" t="e">
        <f t="shared" si="59"/>
        <v>#N/A</v>
      </c>
      <c r="G115" s="1663" t="e">
        <f t="shared" si="52"/>
        <v>#N/A</v>
      </c>
      <c r="H115" s="1663" t="str">
        <f t="shared" si="60"/>
        <v>--</v>
      </c>
      <c r="I115" s="1663" t="str">
        <f t="shared" si="61"/>
        <v xml:space="preserve"> </v>
      </c>
      <c r="J115" s="1663" t="e">
        <f t="shared" si="62"/>
        <v>#N/A</v>
      </c>
      <c r="K115" s="1663" t="e">
        <f t="shared" si="63"/>
        <v>#N/A</v>
      </c>
      <c r="L115" s="1663" t="e">
        <f t="shared" si="53"/>
        <v>#N/A</v>
      </c>
      <c r="M115" s="1663">
        <f t="shared" si="64"/>
        <v>5.0000000000000001E-4</v>
      </c>
      <c r="N115" s="1663" t="str">
        <f t="shared" si="65"/>
        <v>IRIS</v>
      </c>
      <c r="O115" s="1663" t="e">
        <f t="shared" si="66"/>
        <v>#N/A</v>
      </c>
      <c r="P115" s="1663" t="e">
        <f t="shared" si="67"/>
        <v>#N/A</v>
      </c>
      <c r="Q115" s="1663" t="e">
        <f t="shared" si="54"/>
        <v>#N/A</v>
      </c>
      <c r="R115" s="1663" t="str">
        <f t="shared" si="68"/>
        <v>--</v>
      </c>
      <c r="S115" s="1663" t="str">
        <f t="shared" si="69"/>
        <v xml:space="preserve"> </v>
      </c>
      <c r="T115" s="1663" t="e">
        <f t="shared" si="70"/>
        <v>#N/A</v>
      </c>
      <c r="U115" s="1663" t="e">
        <f t="shared" si="71"/>
        <v>#N/A</v>
      </c>
      <c r="V115" s="1663" t="e">
        <f t="shared" si="55"/>
        <v>#N/A</v>
      </c>
    </row>
    <row r="116" spans="1:22">
      <c r="A116" s="919" t="s">
        <v>277</v>
      </c>
      <c r="B116" s="1285" t="s">
        <v>278</v>
      </c>
      <c r="C116" s="1663" t="str">
        <f t="shared" si="56"/>
        <v>--</v>
      </c>
      <c r="D116" s="1663" t="str">
        <f t="shared" si="57"/>
        <v xml:space="preserve"> </v>
      </c>
      <c r="E116" s="1663" t="e">
        <f t="shared" si="58"/>
        <v>#N/A</v>
      </c>
      <c r="F116" s="1663" t="e">
        <f t="shared" si="59"/>
        <v>#N/A</v>
      </c>
      <c r="G116" s="1663" t="e">
        <f t="shared" si="52"/>
        <v>#N/A</v>
      </c>
      <c r="H116" s="1663" t="str">
        <f t="shared" si="60"/>
        <v>--</v>
      </c>
      <c r="I116" s="1663" t="str">
        <f t="shared" si="61"/>
        <v xml:space="preserve"> </v>
      </c>
      <c r="J116" s="1663" t="e">
        <f t="shared" si="62"/>
        <v>#N/A</v>
      </c>
      <c r="K116" s="1663" t="e">
        <f t="shared" si="63"/>
        <v>#N/A</v>
      </c>
      <c r="L116" s="1663" t="e">
        <f t="shared" si="53"/>
        <v>#N/A</v>
      </c>
      <c r="M116" s="1663" t="str">
        <f t="shared" si="64"/>
        <v>--</v>
      </c>
      <c r="N116" s="1663" t="str">
        <f t="shared" si="65"/>
        <v xml:space="preserve"> </v>
      </c>
      <c r="O116" s="1663" t="e">
        <f t="shared" si="66"/>
        <v>#N/A</v>
      </c>
      <c r="P116" s="1663" t="e">
        <f t="shared" si="67"/>
        <v>#N/A</v>
      </c>
      <c r="Q116" s="1663" t="e">
        <f t="shared" si="54"/>
        <v>#N/A</v>
      </c>
      <c r="R116" s="1663" t="str">
        <f t="shared" si="68"/>
        <v>--</v>
      </c>
      <c r="S116" s="1663" t="str">
        <f t="shared" si="69"/>
        <v xml:space="preserve"> </v>
      </c>
      <c r="T116" s="1663" t="e">
        <f t="shared" si="70"/>
        <v>#N/A</v>
      </c>
      <c r="U116" s="1663" t="e">
        <f t="shared" si="71"/>
        <v>#N/A</v>
      </c>
      <c r="V116" s="1663" t="e">
        <f t="shared" si="55"/>
        <v>#N/A</v>
      </c>
    </row>
    <row r="117" spans="1:22">
      <c r="A117" s="919" t="s">
        <v>279</v>
      </c>
      <c r="B117" s="1285" t="s">
        <v>280</v>
      </c>
      <c r="C117" s="1663">
        <f t="shared" si="56"/>
        <v>29300</v>
      </c>
      <c r="D117" s="1663" t="str">
        <f t="shared" si="57"/>
        <v>EPA Office of Water</v>
      </c>
      <c r="E117" s="1663" t="e">
        <f t="shared" si="58"/>
        <v>#N/A</v>
      </c>
      <c r="F117" s="1663" t="e">
        <f t="shared" si="59"/>
        <v>#N/A</v>
      </c>
      <c r="G117" s="1663" t="e">
        <f t="shared" si="52"/>
        <v>#N/A</v>
      </c>
      <c r="H117" s="1663" t="str">
        <f t="shared" si="60"/>
        <v>--</v>
      </c>
      <c r="I117" s="1663" t="str">
        <f t="shared" si="61"/>
        <v xml:space="preserve"> </v>
      </c>
      <c r="J117" s="1663" t="e">
        <f t="shared" si="62"/>
        <v>#N/A</v>
      </c>
      <c r="K117" s="1663" t="e">
        <f t="shared" si="63"/>
        <v>#N/A</v>
      </c>
      <c r="L117" s="1663" t="e">
        <f t="shared" si="53"/>
        <v>#N/A</v>
      </c>
      <c r="M117" s="1663">
        <f t="shared" si="64"/>
        <v>2.9999999999999997E-8</v>
      </c>
      <c r="N117" s="1663" t="str">
        <f t="shared" si="65"/>
        <v>EPA Office of Water</v>
      </c>
      <c r="O117" s="1663" t="e">
        <f t="shared" si="66"/>
        <v>#N/A</v>
      </c>
      <c r="P117" s="1663" t="e">
        <f t="shared" si="67"/>
        <v>#N/A</v>
      </c>
      <c r="Q117" s="1663" t="e">
        <f t="shared" si="54"/>
        <v>#N/A</v>
      </c>
      <c r="R117" s="1663" t="str">
        <f t="shared" si="68"/>
        <v>--</v>
      </c>
      <c r="S117" s="1663" t="str">
        <f t="shared" si="69"/>
        <v xml:space="preserve"> </v>
      </c>
      <c r="T117" s="1663" t="e">
        <f t="shared" si="70"/>
        <v>#N/A</v>
      </c>
      <c r="U117" s="1663" t="e">
        <f t="shared" si="71"/>
        <v>#N/A</v>
      </c>
      <c r="V117" s="1663" t="e">
        <f t="shared" si="55"/>
        <v>#N/A</v>
      </c>
    </row>
    <row r="118" spans="1:22">
      <c r="A118" s="919" t="s">
        <v>281</v>
      </c>
      <c r="B118" s="1285" t="s">
        <v>282</v>
      </c>
      <c r="C118" s="1663" t="str">
        <f t="shared" si="56"/>
        <v>--</v>
      </c>
      <c r="D118" s="1663" t="str">
        <f t="shared" si="57"/>
        <v xml:space="preserve"> </v>
      </c>
      <c r="E118" s="1663" t="e">
        <f t="shared" si="58"/>
        <v>#N/A</v>
      </c>
      <c r="F118" s="1663" t="e">
        <f t="shared" si="59"/>
        <v>#N/A</v>
      </c>
      <c r="G118" s="1663" t="e">
        <f t="shared" si="52"/>
        <v>#N/A</v>
      </c>
      <c r="H118" s="1663" t="str">
        <f t="shared" si="60"/>
        <v>--</v>
      </c>
      <c r="I118" s="1663" t="str">
        <f t="shared" si="61"/>
        <v xml:space="preserve"> </v>
      </c>
      <c r="J118" s="1663" t="e">
        <f t="shared" si="62"/>
        <v>#N/A</v>
      </c>
      <c r="K118" s="1663" t="e">
        <f t="shared" si="63"/>
        <v>#N/A</v>
      </c>
      <c r="L118" s="1663" t="e">
        <f t="shared" si="53"/>
        <v>#N/A</v>
      </c>
      <c r="M118" s="1663">
        <f t="shared" si="64"/>
        <v>3.0000000000000001E-6</v>
      </c>
      <c r="N118" s="1663" t="str">
        <f t="shared" si="65"/>
        <v>ATSDR</v>
      </c>
      <c r="O118" s="1663" t="e">
        <f t="shared" si="66"/>
        <v>#N/A</v>
      </c>
      <c r="P118" s="1663" t="e">
        <f t="shared" si="67"/>
        <v>#N/A</v>
      </c>
      <c r="Q118" s="1663" t="e">
        <f t="shared" si="54"/>
        <v>#N/A</v>
      </c>
      <c r="R118" s="1663" t="str">
        <f t="shared" si="68"/>
        <v>--</v>
      </c>
      <c r="S118" s="1663" t="str">
        <f t="shared" si="69"/>
        <v xml:space="preserve"> </v>
      </c>
      <c r="T118" s="1663" t="e">
        <f t="shared" si="70"/>
        <v>#N/A</v>
      </c>
      <c r="U118" s="1663" t="e">
        <f t="shared" si="71"/>
        <v>#N/A</v>
      </c>
      <c r="V118" s="1663" t="e">
        <f t="shared" si="55"/>
        <v>#N/A</v>
      </c>
    </row>
    <row r="119" spans="1:22">
      <c r="A119" s="919" t="s">
        <v>283</v>
      </c>
      <c r="B119" s="1285" t="s">
        <v>284</v>
      </c>
      <c r="C119" s="1663" t="str">
        <f t="shared" si="56"/>
        <v>--</v>
      </c>
      <c r="D119" s="1663" t="str">
        <f t="shared" si="57"/>
        <v xml:space="preserve"> </v>
      </c>
      <c r="E119" s="1663" t="e">
        <f t="shared" si="58"/>
        <v>#N/A</v>
      </c>
      <c r="F119" s="1663" t="e">
        <f t="shared" si="59"/>
        <v>#N/A</v>
      </c>
      <c r="G119" s="1663" t="e">
        <f t="shared" si="52"/>
        <v>#N/A</v>
      </c>
      <c r="H119" s="1663" t="str">
        <f t="shared" si="60"/>
        <v>--</v>
      </c>
      <c r="I119" s="1663" t="str">
        <f t="shared" si="61"/>
        <v xml:space="preserve"> </v>
      </c>
      <c r="J119" s="1663" t="e">
        <f t="shared" si="62"/>
        <v>#N/A</v>
      </c>
      <c r="K119" s="1663" t="e">
        <f t="shared" si="63"/>
        <v>#N/A</v>
      </c>
      <c r="L119" s="1663" t="e">
        <f t="shared" si="53"/>
        <v>#N/A</v>
      </c>
      <c r="M119" s="1663">
        <f t="shared" si="64"/>
        <v>2.0000000000000001E-9</v>
      </c>
      <c r="N119" s="1663" t="str">
        <f t="shared" si="65"/>
        <v>IRIS</v>
      </c>
      <c r="O119" s="1663" t="e">
        <f t="shared" si="66"/>
        <v>#N/A</v>
      </c>
      <c r="P119" s="1663" t="e">
        <f t="shared" si="67"/>
        <v>#N/A</v>
      </c>
      <c r="Q119" s="1663" t="e">
        <f t="shared" si="54"/>
        <v>#N/A</v>
      </c>
      <c r="R119" s="1663" t="str">
        <f t="shared" si="68"/>
        <v>--</v>
      </c>
      <c r="S119" s="1663" t="str">
        <f t="shared" si="69"/>
        <v xml:space="preserve"> </v>
      </c>
      <c r="T119" s="1663" t="e">
        <f t="shared" si="70"/>
        <v>#N/A</v>
      </c>
      <c r="U119" s="1663" t="e">
        <f t="shared" si="71"/>
        <v>#N/A</v>
      </c>
      <c r="V119" s="1663" t="e">
        <f t="shared" si="55"/>
        <v>#N/A</v>
      </c>
    </row>
    <row r="120" spans="1:22">
      <c r="A120" s="919" t="s">
        <v>285</v>
      </c>
      <c r="B120" s="1285" t="s">
        <v>286</v>
      </c>
      <c r="C120" s="1663" t="str">
        <f t="shared" si="56"/>
        <v>--</v>
      </c>
      <c r="D120" s="1663" t="str">
        <f t="shared" si="57"/>
        <v xml:space="preserve"> </v>
      </c>
      <c r="E120" s="1663" t="e">
        <f t="shared" si="58"/>
        <v>#N/A</v>
      </c>
      <c r="F120" s="1663" t="e">
        <f t="shared" si="59"/>
        <v>#N/A</v>
      </c>
      <c r="G120" s="1663" t="e">
        <f t="shared" si="52"/>
        <v>#N/A</v>
      </c>
      <c r="H120" s="1663" t="str">
        <f t="shared" si="60"/>
        <v>--</v>
      </c>
      <c r="I120" s="1663" t="str">
        <f t="shared" si="61"/>
        <v xml:space="preserve"> </v>
      </c>
      <c r="J120" s="1663" t="e">
        <f t="shared" si="62"/>
        <v>#N/A</v>
      </c>
      <c r="K120" s="1663" t="e">
        <f t="shared" si="63"/>
        <v>#N/A</v>
      </c>
      <c r="L120" s="1663" t="e">
        <f t="shared" si="53"/>
        <v>#N/A</v>
      </c>
      <c r="M120" s="1663">
        <f t="shared" si="64"/>
        <v>2.9999999999999997E-4</v>
      </c>
      <c r="N120" s="1663" t="str">
        <f t="shared" si="65"/>
        <v>WI</v>
      </c>
      <c r="O120" s="1663" t="e">
        <f t="shared" si="66"/>
        <v>#N/A</v>
      </c>
      <c r="P120" s="1663" t="e">
        <f t="shared" si="67"/>
        <v>#N/A</v>
      </c>
      <c r="Q120" s="1663" t="e">
        <f t="shared" si="54"/>
        <v>#N/A</v>
      </c>
      <c r="R120" s="1663" t="str">
        <f t="shared" si="68"/>
        <v>--</v>
      </c>
      <c r="S120" s="1663" t="str">
        <f t="shared" si="69"/>
        <v xml:space="preserve"> </v>
      </c>
      <c r="T120" s="1663" t="e">
        <f t="shared" si="70"/>
        <v>#N/A</v>
      </c>
      <c r="U120" s="1663" t="e">
        <f t="shared" si="71"/>
        <v>#N/A</v>
      </c>
      <c r="V120" s="1663" t="e">
        <f t="shared" si="55"/>
        <v>#N/A</v>
      </c>
    </row>
    <row r="121" spans="1:22">
      <c r="A121" s="919" t="s">
        <v>287</v>
      </c>
      <c r="B121" s="1285" t="s">
        <v>288</v>
      </c>
      <c r="C121" s="1663" t="str">
        <f t="shared" si="56"/>
        <v>--</v>
      </c>
      <c r="D121" s="1663" t="str">
        <f t="shared" si="57"/>
        <v xml:space="preserve"> </v>
      </c>
      <c r="E121" s="1663" t="e">
        <f t="shared" si="58"/>
        <v>#N/A</v>
      </c>
      <c r="F121" s="1663" t="e">
        <f t="shared" si="59"/>
        <v>#N/A</v>
      </c>
      <c r="G121" s="1663" t="e">
        <f t="shared" si="52"/>
        <v>#N/A</v>
      </c>
      <c r="H121" s="1663" t="str">
        <f t="shared" si="60"/>
        <v>--</v>
      </c>
      <c r="I121" s="1663" t="str">
        <f t="shared" si="61"/>
        <v xml:space="preserve"> </v>
      </c>
      <c r="J121" s="1663" t="e">
        <f t="shared" si="62"/>
        <v>#N/A</v>
      </c>
      <c r="K121" s="1663" t="e">
        <f t="shared" si="63"/>
        <v>#N/A</v>
      </c>
      <c r="L121" s="1663" t="e">
        <f t="shared" si="53"/>
        <v>#N/A</v>
      </c>
      <c r="M121" s="1663">
        <f t="shared" si="64"/>
        <v>5.0000000000000002E-5</v>
      </c>
      <c r="N121" s="1663" t="str">
        <f t="shared" si="65"/>
        <v>WI</v>
      </c>
      <c r="O121" s="1663" t="e">
        <f t="shared" si="66"/>
        <v>#N/A</v>
      </c>
      <c r="P121" s="1663" t="e">
        <f t="shared" si="67"/>
        <v>#N/A</v>
      </c>
      <c r="Q121" s="1663" t="e">
        <f t="shared" si="54"/>
        <v>#N/A</v>
      </c>
      <c r="R121" s="1663" t="str">
        <f t="shared" si="68"/>
        <v>--</v>
      </c>
      <c r="S121" s="1663" t="str">
        <f t="shared" si="69"/>
        <v xml:space="preserve"> </v>
      </c>
      <c r="T121" s="1663" t="e">
        <f t="shared" si="70"/>
        <v>#N/A</v>
      </c>
      <c r="U121" s="1663" t="e">
        <f t="shared" si="71"/>
        <v>#N/A</v>
      </c>
      <c r="V121" s="1663" t="e">
        <f t="shared" si="55"/>
        <v>#N/A</v>
      </c>
    </row>
    <row r="122" spans="1:22">
      <c r="A122" s="919" t="s">
        <v>289</v>
      </c>
      <c r="B122" s="1285" t="s">
        <v>290</v>
      </c>
      <c r="C122" s="1663" t="str">
        <f t="shared" si="56"/>
        <v>--</v>
      </c>
      <c r="D122" s="1663" t="str">
        <f t="shared" si="57"/>
        <v xml:space="preserve"> </v>
      </c>
      <c r="E122" s="1663" t="e">
        <f t="shared" si="58"/>
        <v>#N/A</v>
      </c>
      <c r="F122" s="1663" t="e">
        <f t="shared" si="59"/>
        <v>#N/A</v>
      </c>
      <c r="G122" s="1663" t="e">
        <f t="shared" si="52"/>
        <v>#N/A</v>
      </c>
      <c r="H122" s="1663" t="str">
        <f t="shared" si="60"/>
        <v>--</v>
      </c>
      <c r="I122" s="1663" t="str">
        <f t="shared" si="61"/>
        <v xml:space="preserve"> </v>
      </c>
      <c r="J122" s="1663" t="e">
        <f t="shared" si="62"/>
        <v>#N/A</v>
      </c>
      <c r="K122" s="1663" t="e">
        <f t="shared" si="63"/>
        <v>#N/A</v>
      </c>
      <c r="L122" s="1663" t="e">
        <f t="shared" si="53"/>
        <v>#N/A</v>
      </c>
      <c r="M122" s="1663">
        <f t="shared" si="64"/>
        <v>1E-3</v>
      </c>
      <c r="N122" s="1663" t="str">
        <f t="shared" si="65"/>
        <v>WI</v>
      </c>
      <c r="O122" s="1663" t="e">
        <f t="shared" si="66"/>
        <v>#N/A</v>
      </c>
      <c r="P122" s="1663" t="e">
        <f t="shared" si="67"/>
        <v>#N/A</v>
      </c>
      <c r="Q122" s="1663" t="e">
        <f t="shared" si="54"/>
        <v>#N/A</v>
      </c>
      <c r="R122" s="1663" t="str">
        <f t="shared" si="68"/>
        <v>--</v>
      </c>
      <c r="S122" s="1663" t="str">
        <f t="shared" si="69"/>
        <v xml:space="preserve"> </v>
      </c>
      <c r="T122" s="1663" t="e">
        <f t="shared" si="70"/>
        <v>#N/A</v>
      </c>
      <c r="U122" s="1663" t="e">
        <f t="shared" si="71"/>
        <v>#N/A</v>
      </c>
      <c r="V122" s="1663" t="e">
        <f t="shared" si="55"/>
        <v>#N/A</v>
      </c>
    </row>
    <row r="123" spans="1:22">
      <c r="A123" s="919" t="s">
        <v>291</v>
      </c>
      <c r="B123" s="1285" t="s">
        <v>292</v>
      </c>
      <c r="C123" s="1663" t="str">
        <f t="shared" si="56"/>
        <v>--</v>
      </c>
      <c r="D123" s="1663" t="str">
        <f t="shared" si="57"/>
        <v xml:space="preserve"> </v>
      </c>
      <c r="E123" s="1663" t="e">
        <f t="shared" si="58"/>
        <v>#N/A</v>
      </c>
      <c r="F123" s="1663" t="e">
        <f t="shared" si="59"/>
        <v>#N/A</v>
      </c>
      <c r="G123" s="1663" t="e">
        <f t="shared" si="52"/>
        <v>#N/A</v>
      </c>
      <c r="H123" s="1663" t="str">
        <f t="shared" si="60"/>
        <v>--</v>
      </c>
      <c r="I123" s="1663" t="str">
        <f t="shared" si="61"/>
        <v xml:space="preserve"> </v>
      </c>
      <c r="J123" s="1663" t="e">
        <f t="shared" si="62"/>
        <v>#N/A</v>
      </c>
      <c r="K123" s="1663" t="e">
        <f t="shared" si="63"/>
        <v>#N/A</v>
      </c>
      <c r="L123" s="1663" t="e">
        <f t="shared" si="53"/>
        <v>#N/A</v>
      </c>
      <c r="M123" s="1663">
        <f t="shared" si="64"/>
        <v>0.04</v>
      </c>
      <c r="N123" s="1663" t="str">
        <f t="shared" si="65"/>
        <v>WI</v>
      </c>
      <c r="O123" s="1663" t="e">
        <f t="shared" si="66"/>
        <v>#N/A</v>
      </c>
      <c r="P123" s="1663" t="e">
        <f t="shared" si="67"/>
        <v>#N/A</v>
      </c>
      <c r="Q123" s="1663" t="e">
        <f t="shared" si="54"/>
        <v>#N/A</v>
      </c>
      <c r="R123" s="1663" t="str">
        <f t="shared" si="68"/>
        <v>--</v>
      </c>
      <c r="S123" s="1663" t="str">
        <f t="shared" si="69"/>
        <v xml:space="preserve"> </v>
      </c>
      <c r="T123" s="1663" t="e">
        <f t="shared" si="70"/>
        <v>#N/A</v>
      </c>
      <c r="U123" s="1663" t="e">
        <f t="shared" si="71"/>
        <v>#N/A</v>
      </c>
      <c r="V123" s="1663" t="e">
        <f t="shared" si="55"/>
        <v>#N/A</v>
      </c>
    </row>
    <row r="124" spans="1:22">
      <c r="A124" s="919" t="s">
        <v>293</v>
      </c>
      <c r="B124" s="1285" t="s">
        <v>294</v>
      </c>
      <c r="C124" s="1663" t="str">
        <f t="shared" si="56"/>
        <v>--</v>
      </c>
      <c r="D124" s="1663" t="str">
        <f t="shared" si="57"/>
        <v xml:space="preserve"> </v>
      </c>
      <c r="E124" s="1663" t="e">
        <f t="shared" si="58"/>
        <v>#N/A</v>
      </c>
      <c r="F124" s="1663" t="e">
        <f t="shared" si="59"/>
        <v>#N/A</v>
      </c>
      <c r="G124" s="1663" t="e">
        <f t="shared" si="52"/>
        <v>#N/A</v>
      </c>
      <c r="H124" s="1663" t="str">
        <f t="shared" si="60"/>
        <v>--</v>
      </c>
      <c r="I124" s="1663" t="str">
        <f t="shared" si="61"/>
        <v xml:space="preserve"> </v>
      </c>
      <c r="J124" s="1663" t="e">
        <f t="shared" si="62"/>
        <v>#N/A</v>
      </c>
      <c r="K124" s="1663" t="e">
        <f t="shared" si="63"/>
        <v>#N/A</v>
      </c>
      <c r="L124" s="1663" t="e">
        <f t="shared" si="53"/>
        <v>#N/A</v>
      </c>
      <c r="M124" s="1663">
        <f t="shared" si="64"/>
        <v>2.9999999999999997E-4</v>
      </c>
      <c r="N124" s="1663" t="str">
        <f t="shared" si="65"/>
        <v>EPA HERA ORD</v>
      </c>
      <c r="O124" s="1663" t="e">
        <f t="shared" si="66"/>
        <v>#N/A</v>
      </c>
      <c r="P124" s="1663" t="e">
        <f t="shared" si="67"/>
        <v>#N/A</v>
      </c>
      <c r="Q124" s="1663" t="e">
        <f t="shared" si="54"/>
        <v>#N/A</v>
      </c>
      <c r="R124" s="1663" t="str">
        <f t="shared" si="68"/>
        <v>--</v>
      </c>
      <c r="S124" s="1663" t="str">
        <f t="shared" si="69"/>
        <v xml:space="preserve"> </v>
      </c>
      <c r="T124" s="1663" t="e">
        <f t="shared" si="70"/>
        <v>#N/A</v>
      </c>
      <c r="U124" s="1663" t="e">
        <f t="shared" si="71"/>
        <v>#N/A</v>
      </c>
      <c r="V124" s="1663" t="e">
        <f t="shared" si="55"/>
        <v>#N/A</v>
      </c>
    </row>
    <row r="125" spans="1:22">
      <c r="A125" s="919" t="s">
        <v>295</v>
      </c>
      <c r="B125" s="1285" t="s">
        <v>296</v>
      </c>
      <c r="C125" s="1663" t="str">
        <f t="shared" si="56"/>
        <v>--</v>
      </c>
      <c r="D125" s="1663" t="str">
        <f t="shared" si="57"/>
        <v xml:space="preserve"> </v>
      </c>
      <c r="E125" s="1663" t="e">
        <f t="shared" si="58"/>
        <v>#N/A</v>
      </c>
      <c r="F125" s="1663" t="e">
        <f t="shared" si="59"/>
        <v>#N/A</v>
      </c>
      <c r="G125" s="1663" t="e">
        <f t="shared" si="52"/>
        <v>#N/A</v>
      </c>
      <c r="H125" s="1663" t="str">
        <f t="shared" si="60"/>
        <v>--</v>
      </c>
      <c r="I125" s="1663" t="str">
        <f t="shared" si="61"/>
        <v xml:space="preserve"> </v>
      </c>
      <c r="J125" s="1663" t="e">
        <f t="shared" si="62"/>
        <v>#N/A</v>
      </c>
      <c r="K125" s="1663" t="e">
        <f t="shared" si="63"/>
        <v>#N/A</v>
      </c>
      <c r="L125" s="1663" t="e">
        <f t="shared" si="53"/>
        <v>#N/A</v>
      </c>
      <c r="M125" s="1663">
        <f t="shared" si="64"/>
        <v>2.0000000000000002E-5</v>
      </c>
      <c r="N125" s="1663" t="str">
        <f t="shared" si="65"/>
        <v>ATSDR</v>
      </c>
      <c r="O125" s="1663" t="e">
        <f t="shared" si="66"/>
        <v>#N/A</v>
      </c>
      <c r="P125" s="1663" t="e">
        <f t="shared" si="67"/>
        <v>#N/A</v>
      </c>
      <c r="Q125" s="1663" t="e">
        <f t="shared" si="54"/>
        <v>#N/A</v>
      </c>
      <c r="R125" s="1663" t="str">
        <f t="shared" si="68"/>
        <v>--</v>
      </c>
      <c r="S125" s="1663" t="str">
        <f t="shared" si="69"/>
        <v xml:space="preserve"> </v>
      </c>
      <c r="T125" s="1663" t="e">
        <f t="shared" si="70"/>
        <v>#N/A</v>
      </c>
      <c r="U125" s="1663" t="e">
        <f t="shared" si="71"/>
        <v>#N/A</v>
      </c>
      <c r="V125" s="1663" t="e">
        <f t="shared" si="55"/>
        <v>#N/A</v>
      </c>
    </row>
    <row r="126" spans="1:22">
      <c r="A126" s="919" t="s">
        <v>297</v>
      </c>
      <c r="B126" s="1285" t="s">
        <v>298</v>
      </c>
      <c r="C126" s="1663">
        <f t="shared" si="56"/>
        <v>39.5</v>
      </c>
      <c r="D126" s="1663" t="str">
        <f t="shared" si="57"/>
        <v>EPA Office of Water</v>
      </c>
      <c r="E126" s="1663" t="e">
        <f t="shared" si="58"/>
        <v>#N/A</v>
      </c>
      <c r="F126" s="1663" t="e">
        <f t="shared" si="59"/>
        <v>#N/A</v>
      </c>
      <c r="G126" s="1663" t="e">
        <f t="shared" si="52"/>
        <v>#N/A</v>
      </c>
      <c r="H126" s="1663" t="str">
        <f t="shared" si="60"/>
        <v>--</v>
      </c>
      <c r="I126" s="1663" t="str">
        <f t="shared" si="61"/>
        <v xml:space="preserve"> </v>
      </c>
      <c r="J126" s="1663" t="e">
        <f t="shared" si="62"/>
        <v>#N/A</v>
      </c>
      <c r="K126" s="1663" t="e">
        <f t="shared" si="63"/>
        <v>#N/A</v>
      </c>
      <c r="L126" s="1663" t="e">
        <f t="shared" si="53"/>
        <v>#N/A</v>
      </c>
      <c r="M126" s="1663">
        <f t="shared" si="64"/>
        <v>9.9999999999999995E-8</v>
      </c>
      <c r="N126" s="1663" t="str">
        <f t="shared" si="65"/>
        <v>EPA Office of Water</v>
      </c>
      <c r="O126" s="1663" t="e">
        <f t="shared" si="66"/>
        <v>#N/A</v>
      </c>
      <c r="P126" s="1663" t="e">
        <f t="shared" si="67"/>
        <v>#N/A</v>
      </c>
      <c r="Q126" s="1663" t="e">
        <f t="shared" si="54"/>
        <v>#N/A</v>
      </c>
      <c r="R126" s="1663" t="str">
        <f t="shared" si="68"/>
        <v>--</v>
      </c>
      <c r="S126" s="1663" t="str">
        <f t="shared" si="69"/>
        <v xml:space="preserve"> </v>
      </c>
      <c r="T126" s="1663" t="e">
        <f t="shared" si="70"/>
        <v>#N/A</v>
      </c>
      <c r="U126" s="1663" t="e">
        <f t="shared" si="71"/>
        <v>#N/A</v>
      </c>
      <c r="V126" s="1663" t="e">
        <f t="shared" si="55"/>
        <v>#N/A</v>
      </c>
    </row>
    <row r="127" spans="1:22">
      <c r="A127" s="919" t="s">
        <v>299</v>
      </c>
      <c r="B127" s="1285" t="s">
        <v>300</v>
      </c>
      <c r="C127" s="1663" t="str">
        <f t="shared" si="56"/>
        <v>--</v>
      </c>
      <c r="D127" s="1663" t="str">
        <f t="shared" si="57"/>
        <v xml:space="preserve"> </v>
      </c>
      <c r="E127" s="1663" t="e">
        <f t="shared" si="58"/>
        <v>#N/A</v>
      </c>
      <c r="F127" s="1663" t="e">
        <f t="shared" si="59"/>
        <v>#N/A</v>
      </c>
      <c r="G127" s="1663" t="e">
        <f t="shared" si="52"/>
        <v>#N/A</v>
      </c>
      <c r="H127" s="1663" t="str">
        <f t="shared" si="60"/>
        <v>--</v>
      </c>
      <c r="I127" s="1663" t="str">
        <f t="shared" si="61"/>
        <v xml:space="preserve"> </v>
      </c>
      <c r="J127" s="1663" t="e">
        <f t="shared" si="62"/>
        <v>#N/A</v>
      </c>
      <c r="K127" s="1663" t="e">
        <f t="shared" si="63"/>
        <v>#N/A</v>
      </c>
      <c r="L127" s="1663" t="e">
        <f t="shared" si="53"/>
        <v>#N/A</v>
      </c>
      <c r="M127" s="1663">
        <f t="shared" si="64"/>
        <v>3.0000000000000001E-6</v>
      </c>
      <c r="N127" s="1663" t="str">
        <f t="shared" si="65"/>
        <v>EPA Office of Water</v>
      </c>
      <c r="O127" s="1663" t="e">
        <f t="shared" si="66"/>
        <v>#N/A</v>
      </c>
      <c r="P127" s="1663" t="e">
        <f t="shared" si="67"/>
        <v>#N/A</v>
      </c>
      <c r="Q127" s="1663" t="e">
        <f t="shared" si="54"/>
        <v>#N/A</v>
      </c>
      <c r="R127" s="1663" t="str">
        <f t="shared" si="68"/>
        <v>--</v>
      </c>
      <c r="S127" s="1663" t="str">
        <f t="shared" si="69"/>
        <v xml:space="preserve"> </v>
      </c>
      <c r="T127" s="1663" t="e">
        <f t="shared" si="70"/>
        <v>#N/A</v>
      </c>
      <c r="U127" s="1663" t="e">
        <f t="shared" si="71"/>
        <v>#N/A</v>
      </c>
      <c r="V127" s="1663" t="e">
        <f t="shared" si="55"/>
        <v>#N/A</v>
      </c>
    </row>
    <row r="128" spans="1:22">
      <c r="A128" s="309" t="s">
        <v>301</v>
      </c>
      <c r="B128" s="427" t="s">
        <v>302</v>
      </c>
      <c r="C128" s="1663" t="str">
        <f t="shared" si="56"/>
        <v>--</v>
      </c>
      <c r="D128" s="1663" t="str">
        <f t="shared" si="57"/>
        <v xml:space="preserve"> </v>
      </c>
      <c r="E128" s="1663" t="str">
        <f t="shared" si="58"/>
        <v>--</v>
      </c>
      <c r="F128" s="1663" t="str">
        <f t="shared" si="59"/>
        <v>--</v>
      </c>
      <c r="G128" s="1663" t="str">
        <f t="shared" si="52"/>
        <v/>
      </c>
      <c r="H128" s="1663" t="str">
        <f t="shared" si="60"/>
        <v>--</v>
      </c>
      <c r="I128" s="1663" t="str">
        <f t="shared" si="61"/>
        <v xml:space="preserve"> </v>
      </c>
      <c r="J128" s="1663" t="str">
        <f t="shared" si="62"/>
        <v>--</v>
      </c>
      <c r="K128" s="1663" t="str">
        <f t="shared" si="63"/>
        <v>--</v>
      </c>
      <c r="L128" s="1663" t="str">
        <f t="shared" si="53"/>
        <v/>
      </c>
      <c r="M128" s="1663">
        <f t="shared" si="64"/>
        <v>0.3</v>
      </c>
      <c r="N128" s="1663" t="str">
        <f t="shared" si="65"/>
        <v>IRIS 2002</v>
      </c>
      <c r="O128" s="1663">
        <f t="shared" si="66"/>
        <v>0.3</v>
      </c>
      <c r="P128" s="1663" t="str">
        <f t="shared" si="67"/>
        <v>IRIS</v>
      </c>
      <c r="Q128" s="1663" t="str">
        <f t="shared" si="54"/>
        <v/>
      </c>
      <c r="R128" s="1663">
        <f t="shared" si="68"/>
        <v>200</v>
      </c>
      <c r="S128" s="1663" t="str">
        <f t="shared" si="69"/>
        <v>OEHHA 2000</v>
      </c>
      <c r="T128" s="1663">
        <f t="shared" si="70"/>
        <v>200</v>
      </c>
      <c r="U128" s="1663" t="str">
        <f t="shared" si="71"/>
        <v>OEHHA</v>
      </c>
      <c r="V128" s="1663" t="str">
        <f t="shared" si="55"/>
        <v/>
      </c>
    </row>
    <row r="129" spans="1:24">
      <c r="A129" s="309" t="s">
        <v>303</v>
      </c>
      <c r="B129" s="427" t="s">
        <v>304</v>
      </c>
      <c r="C129" s="1663">
        <f t="shared" si="56"/>
        <v>2</v>
      </c>
      <c r="D129" s="1663" t="str">
        <f t="shared" si="57"/>
        <v>IRIS 1996</v>
      </c>
      <c r="E129" s="1663">
        <f t="shared" si="58"/>
        <v>2</v>
      </c>
      <c r="F129" s="1663" t="str">
        <f t="shared" si="59"/>
        <v>IRIS</v>
      </c>
      <c r="G129" s="1663" t="str">
        <f t="shared" si="52"/>
        <v/>
      </c>
      <c r="H129" s="1663">
        <f t="shared" si="60"/>
        <v>5.6999999999999998E-4</v>
      </c>
      <c r="I129" s="1663" t="str">
        <f t="shared" si="61"/>
        <v>IRIS 1996</v>
      </c>
      <c r="J129" s="1663">
        <f t="shared" si="62"/>
        <v>5.6999999999999998E-4</v>
      </c>
      <c r="K129" s="1663" t="str">
        <f t="shared" si="63"/>
        <v>IRIS</v>
      </c>
      <c r="L129" s="1663" t="str">
        <f t="shared" si="53"/>
        <v/>
      </c>
      <c r="M129" s="1663" t="str">
        <f t="shared" si="64"/>
        <v>--</v>
      </c>
      <c r="N129" s="1663" t="str">
        <f t="shared" si="65"/>
        <v xml:space="preserve"> </v>
      </c>
      <c r="O129" s="1663" t="str">
        <f t="shared" si="66"/>
        <v>--</v>
      </c>
      <c r="P129" s="1663" t="str">
        <f t="shared" si="67"/>
        <v>--</v>
      </c>
      <c r="Q129" s="1663" t="str">
        <f t="shared" si="54"/>
        <v/>
      </c>
      <c r="R129" s="1663" t="str">
        <f t="shared" si="68"/>
        <v>--</v>
      </c>
      <c r="S129" s="1663" t="str">
        <f t="shared" si="69"/>
        <v xml:space="preserve"> </v>
      </c>
      <c r="T129" s="1663" t="str">
        <f t="shared" si="70"/>
        <v>--</v>
      </c>
      <c r="U129" s="1663" t="str">
        <f t="shared" si="71"/>
        <v>--</v>
      </c>
      <c r="V129" s="1663" t="str">
        <f t="shared" si="55"/>
        <v/>
      </c>
    </row>
    <row r="130" spans="1:24">
      <c r="A130" s="309" t="s">
        <v>305</v>
      </c>
      <c r="B130" s="427" t="s">
        <v>306</v>
      </c>
      <c r="C130" s="1663" t="str">
        <f t="shared" si="56"/>
        <v>--</v>
      </c>
      <c r="D130" s="1663" t="str">
        <f t="shared" si="57"/>
        <v xml:space="preserve"> </v>
      </c>
      <c r="E130" s="1663" t="str">
        <f t="shared" si="58"/>
        <v>--</v>
      </c>
      <c r="F130" s="1663" t="str">
        <f t="shared" si="59"/>
        <v>--</v>
      </c>
      <c r="G130" s="1663" t="str">
        <f t="shared" si="52"/>
        <v/>
      </c>
      <c r="H130" s="1663" t="str">
        <f t="shared" si="60"/>
        <v>--</v>
      </c>
      <c r="I130" s="1663" t="str">
        <f t="shared" si="61"/>
        <v xml:space="preserve"> </v>
      </c>
      <c r="J130" s="1663" t="str">
        <f t="shared" si="62"/>
        <v>--</v>
      </c>
      <c r="K130" s="1663" t="str">
        <f t="shared" si="63"/>
        <v>--</v>
      </c>
      <c r="L130" s="1663" t="str">
        <f t="shared" si="53"/>
        <v/>
      </c>
      <c r="M130" s="1663">
        <f t="shared" si="64"/>
        <v>5.0000000000000001E-3</v>
      </c>
      <c r="N130" s="1663" t="str">
        <f t="shared" si="65"/>
        <v>IRIS 1991</v>
      </c>
      <c r="O130" s="1663">
        <f t="shared" si="66"/>
        <v>5.0000000000000001E-3</v>
      </c>
      <c r="P130" s="1663" t="str">
        <f t="shared" si="67"/>
        <v>IRIS</v>
      </c>
      <c r="Q130" s="1663" t="str">
        <f t="shared" si="54"/>
        <v/>
      </c>
      <c r="R130" s="1663">
        <f t="shared" si="68"/>
        <v>20</v>
      </c>
      <c r="S130" s="1663" t="str">
        <f t="shared" si="69"/>
        <v>OEHHA 2008</v>
      </c>
      <c r="T130" s="1663">
        <f t="shared" si="70"/>
        <v>20</v>
      </c>
      <c r="U130" s="1663" t="str">
        <f t="shared" si="71"/>
        <v>OEHHA</v>
      </c>
      <c r="V130" s="1663" t="str">
        <f t="shared" si="55"/>
        <v/>
      </c>
    </row>
    <row r="131" spans="1:24">
      <c r="A131" s="309" t="s">
        <v>307</v>
      </c>
      <c r="B131" s="427" t="s">
        <v>308</v>
      </c>
      <c r="C131" s="1663" t="str">
        <f t="shared" si="56"/>
        <v>--</v>
      </c>
      <c r="D131" s="1663" t="str">
        <f t="shared" si="57"/>
        <v xml:space="preserve"> </v>
      </c>
      <c r="E131" s="1663" t="str">
        <f t="shared" si="58"/>
        <v>--</v>
      </c>
      <c r="F131" s="1663" t="str">
        <f t="shared" si="59"/>
        <v>--</v>
      </c>
      <c r="G131" s="1663" t="str">
        <f t="shared" si="52"/>
        <v/>
      </c>
      <c r="H131" s="1663" t="str">
        <f t="shared" si="60"/>
        <v>--</v>
      </c>
      <c r="I131" s="1663" t="str">
        <f t="shared" si="61"/>
        <v xml:space="preserve"> </v>
      </c>
      <c r="J131" s="1663" t="str">
        <f t="shared" si="62"/>
        <v>--</v>
      </c>
      <c r="K131" s="1663" t="str">
        <f t="shared" si="63"/>
        <v>--</v>
      </c>
      <c r="L131" s="1663" t="str">
        <f t="shared" si="53"/>
        <v/>
      </c>
      <c r="M131" s="1663">
        <f t="shared" si="64"/>
        <v>5.0000000000000001E-3</v>
      </c>
      <c r="N131" s="1663" t="str">
        <f t="shared" si="65"/>
        <v>IRIS 1991</v>
      </c>
      <c r="O131" s="1663">
        <f t="shared" si="66"/>
        <v>5.0000000000000001E-3</v>
      </c>
      <c r="P131" s="1663" t="str">
        <f t="shared" si="67"/>
        <v>IRIS</v>
      </c>
      <c r="Q131" s="1663" t="str">
        <f t="shared" si="54"/>
        <v/>
      </c>
      <c r="R131" s="1663" t="str">
        <f t="shared" si="68"/>
        <v>--</v>
      </c>
      <c r="S131" s="1663" t="str">
        <f t="shared" si="69"/>
        <v xml:space="preserve"> </v>
      </c>
      <c r="T131" s="1663" t="str">
        <f t="shared" si="70"/>
        <v>--</v>
      </c>
      <c r="U131" s="1663" t="str">
        <f t="shared" si="71"/>
        <v>--</v>
      </c>
      <c r="V131" s="1663" t="str">
        <f t="shared" si="55"/>
        <v/>
      </c>
    </row>
    <row r="132" spans="1:24">
      <c r="A132" s="309" t="s">
        <v>309</v>
      </c>
      <c r="B132" s="427" t="s">
        <v>310</v>
      </c>
      <c r="C132" s="1663" t="str">
        <f t="shared" si="56"/>
        <v>--</v>
      </c>
      <c r="D132" s="1663" t="str">
        <f t="shared" si="57"/>
        <v xml:space="preserve"> </v>
      </c>
      <c r="E132" s="1663" t="str">
        <f t="shared" si="58"/>
        <v>--</v>
      </c>
      <c r="F132" s="1663" t="str">
        <f t="shared" si="59"/>
        <v>--</v>
      </c>
      <c r="G132" s="1663" t="str">
        <f t="shared" si="52"/>
        <v/>
      </c>
      <c r="H132" s="1663" t="str">
        <f t="shared" si="60"/>
        <v>--</v>
      </c>
      <c r="I132" s="1663" t="str">
        <f t="shared" si="61"/>
        <v xml:space="preserve"> </v>
      </c>
      <c r="J132" s="1663" t="str">
        <f t="shared" si="62"/>
        <v>--</v>
      </c>
      <c r="K132" s="1663" t="str">
        <f t="shared" si="63"/>
        <v>--</v>
      </c>
      <c r="L132" s="1663" t="str">
        <f t="shared" si="53"/>
        <v/>
      </c>
      <c r="M132" s="1663">
        <f t="shared" si="64"/>
        <v>0.2</v>
      </c>
      <c r="N132" s="1663" t="str">
        <f t="shared" si="65"/>
        <v>IRIS 1992</v>
      </c>
      <c r="O132" s="1663">
        <f t="shared" si="66"/>
        <v>0.2</v>
      </c>
      <c r="P132" s="1663" t="str">
        <f t="shared" si="67"/>
        <v>IRIS</v>
      </c>
      <c r="Q132" s="1663" t="str">
        <f t="shared" si="54"/>
        <v/>
      </c>
      <c r="R132" s="1663">
        <f t="shared" si="68"/>
        <v>900</v>
      </c>
      <c r="S132" s="1663" t="str">
        <f t="shared" si="69"/>
        <v>OEHHA 2008</v>
      </c>
      <c r="T132" s="1663">
        <f t="shared" si="70"/>
        <v>900</v>
      </c>
      <c r="U132" s="1663" t="str">
        <f t="shared" si="71"/>
        <v>Rule, OEHHA</v>
      </c>
      <c r="V132" s="1663" t="str">
        <f t="shared" si="55"/>
        <v/>
      </c>
    </row>
    <row r="133" spans="1:24">
      <c r="A133" s="309" t="s">
        <v>311</v>
      </c>
      <c r="B133" s="427" t="s">
        <v>312</v>
      </c>
      <c r="C133" s="1663">
        <f t="shared" si="56"/>
        <v>5.0000000000000001E-4</v>
      </c>
      <c r="D133" s="1663" t="str">
        <f t="shared" si="57"/>
        <v>IRIS</v>
      </c>
      <c r="E133" s="1663" t="e">
        <f t="shared" si="58"/>
        <v>#N/A</v>
      </c>
      <c r="F133" s="1663" t="e">
        <f t="shared" si="59"/>
        <v>#N/A</v>
      </c>
      <c r="G133" s="1663" t="e">
        <f t="shared" si="52"/>
        <v>#N/A</v>
      </c>
      <c r="H133" s="1663" t="str">
        <f t="shared" si="60"/>
        <v>--</v>
      </c>
      <c r="I133" s="1663" t="str">
        <f t="shared" si="61"/>
        <v xml:space="preserve"> </v>
      </c>
      <c r="J133" s="1663" t="e">
        <f t="shared" si="62"/>
        <v>#N/A</v>
      </c>
      <c r="K133" s="1663" t="e">
        <f t="shared" si="63"/>
        <v>#N/A</v>
      </c>
      <c r="L133" s="1663" t="e">
        <f t="shared" si="53"/>
        <v>#N/A</v>
      </c>
      <c r="M133" s="1663">
        <f t="shared" si="64"/>
        <v>0.4</v>
      </c>
      <c r="N133" s="1663" t="str">
        <f t="shared" si="65"/>
        <v>IRIS</v>
      </c>
      <c r="O133" s="1663" t="e">
        <f t="shared" si="66"/>
        <v>#N/A</v>
      </c>
      <c r="P133" s="1663" t="e">
        <f t="shared" si="67"/>
        <v>#N/A</v>
      </c>
      <c r="Q133" s="1663" t="e">
        <f t="shared" si="54"/>
        <v>#N/A</v>
      </c>
      <c r="R133" s="1663">
        <f t="shared" si="68"/>
        <v>5000</v>
      </c>
      <c r="S133" s="1663" t="str">
        <f t="shared" si="69"/>
        <v xml:space="preserve">IRIS </v>
      </c>
      <c r="T133" s="1663" t="e">
        <f t="shared" si="70"/>
        <v>#N/A</v>
      </c>
      <c r="U133" s="1663" t="e">
        <f t="shared" si="71"/>
        <v>#N/A</v>
      </c>
      <c r="V133" s="1663" t="e">
        <f t="shared" si="55"/>
        <v>#N/A</v>
      </c>
    </row>
    <row r="134" spans="1:24">
      <c r="A134" s="309" t="s">
        <v>313</v>
      </c>
      <c r="B134" s="427" t="s">
        <v>314</v>
      </c>
      <c r="C134" s="1663">
        <f t="shared" ref="C134:C162" si="72">VLOOKUP($A134,Table_IP_2, MATCH("SFo", heading_IP_2, 0), FALSE)</f>
        <v>2.5999999999999999E-2</v>
      </c>
      <c r="D134" s="1663" t="str">
        <f t="shared" ref="D134:D162" si="73">VLOOKUP($A134,Table_IP_2, MATCH("Sfo-r", heading_IP_2, 0), FALSE)</f>
        <v>IRIS 1991</v>
      </c>
      <c r="E134" s="1663">
        <f t="shared" ref="E134:E162" si="74">VLOOKUP($B134,Table_N10, MATCH("SFo", Heading_N10, 0), FALSE)</f>
        <v>2.5999999999999999E-2</v>
      </c>
      <c r="F134" s="1663" t="str">
        <f t="shared" ref="F134:F162" si="75">VLOOKUP($B134,Table_N10, MATCH("Sfo-r", Heading_N10, 0), FALSE)</f>
        <v>IRIS</v>
      </c>
      <c r="G134" s="1663" t="str">
        <f t="shared" si="52"/>
        <v/>
      </c>
      <c r="H134" s="1663">
        <f t="shared" ref="H134:H162" si="76">VLOOKUP($A134,Table_IP_2, MATCH("IUR", heading_IP_2, 0), FALSE)</f>
        <v>7.4000000000000003E-6</v>
      </c>
      <c r="I134" s="1663" t="str">
        <f t="shared" ref="I134:I162" si="77">VLOOKUP($A134,Table_IP_2, MATCH("IUR-r", heading_IP_2, 0), FALSE)</f>
        <v>IRIS 1991</v>
      </c>
      <c r="J134" s="1663">
        <f t="shared" ref="J134:J162" si="78">VLOOKUP($B134,Table_N10, MATCH("IUR", Heading_N10, 0), FALSE)</f>
        <v>7.4000000000000003E-6</v>
      </c>
      <c r="K134" s="1663" t="str">
        <f t="shared" ref="K134:K162" si="79">VLOOKUP($B134,Table_N10, MATCH("IUR-r", Heading_N10, 0), FALSE)</f>
        <v>IRIS</v>
      </c>
      <c r="L134" s="1663" t="str">
        <f t="shared" si="53"/>
        <v/>
      </c>
      <c r="M134" s="1663">
        <f t="shared" ref="M134:M162" si="80">VLOOKUP($A134,Table_IP_2, MATCH("Rfdo", heading_IP_2, 0), FALSE)</f>
        <v>0.03</v>
      </c>
      <c r="N134" s="1663" t="str">
        <f t="shared" ref="N134:N162" si="81">VLOOKUP($A134,Table_IP_2, MATCH("Rfdo-r", heading_IP_2, 0), FALSE)</f>
        <v>IRIS 1991</v>
      </c>
      <c r="O134" s="1663">
        <f t="shared" ref="O134:O162" si="82">VLOOKUP($B134,Table_N10, MATCH("Rfdo", Heading_N10, 0), FALSE)</f>
        <v>0.03</v>
      </c>
      <c r="P134" s="1663" t="str">
        <f t="shared" ref="P134:P162" si="83">VLOOKUP($B134,Table_N10, MATCH("Rfdo-r", Heading_N10, 0), FALSE)</f>
        <v>IRIS</v>
      </c>
      <c r="Q134" s="1663" t="str">
        <f t="shared" si="54"/>
        <v/>
      </c>
      <c r="R134" s="1663" t="str">
        <f t="shared" ref="R134:R162" si="84">VLOOKUP($A134,Table_IP_2, MATCH("Rfc", heading_IP_2, 0), FALSE)</f>
        <v>--</v>
      </c>
      <c r="S134" s="1663" t="str">
        <f t="shared" ref="S134:S162" si="85">VLOOKUP($A134,Table_IP_2, MATCH("Rfc-r", heading_IP_2, 0), FALSE)</f>
        <v xml:space="preserve"> </v>
      </c>
      <c r="T134" s="1663">
        <f t="shared" ref="T134:T162" si="86">VLOOKUP($B134,Table_N10, MATCH("Rfc", Heading_N10, 0), FALSE)</f>
        <v>120</v>
      </c>
      <c r="U134" s="1665" t="str">
        <f t="shared" ref="U134:U162" si="87">VLOOKUP($B134,Table_N10, MATCH("Rfc-r", Heading_N10, 0), FALSE)</f>
        <v>Route (IRIS)</v>
      </c>
      <c r="V134" s="1665">
        <f t="shared" si="55"/>
        <v>1</v>
      </c>
      <c r="X134" s="55" t="s">
        <v>4084</v>
      </c>
    </row>
    <row r="135" spans="1:24">
      <c r="A135" s="309" t="s">
        <v>315</v>
      </c>
      <c r="B135" s="427" t="s">
        <v>316</v>
      </c>
      <c r="C135" s="1663">
        <f t="shared" si="72"/>
        <v>0.2</v>
      </c>
      <c r="D135" s="1663" t="str">
        <f t="shared" si="73"/>
        <v>IRIS 2010</v>
      </c>
      <c r="E135" s="1663">
        <f t="shared" si="74"/>
        <v>0.2</v>
      </c>
      <c r="F135" s="1663" t="str">
        <f t="shared" si="75"/>
        <v>IRIS</v>
      </c>
      <c r="G135" s="1663" t="str">
        <f t="shared" ref="G135:G162" si="88">IF(C135=E135,"",1)</f>
        <v/>
      </c>
      <c r="H135" s="1663">
        <f t="shared" si="76"/>
        <v>5.8E-5</v>
      </c>
      <c r="I135" s="1663" t="str">
        <f t="shared" si="77"/>
        <v>OEHHA 2009</v>
      </c>
      <c r="J135" s="1663">
        <f t="shared" si="78"/>
        <v>5.8E-5</v>
      </c>
      <c r="K135" s="1663" t="str">
        <f t="shared" si="79"/>
        <v>OEHHA</v>
      </c>
      <c r="L135" s="1663" t="str">
        <f t="shared" ref="L135:L162" si="89">IF(H135=J135,"",1)</f>
        <v/>
      </c>
      <c r="M135" s="1663">
        <f t="shared" si="80"/>
        <v>0.02</v>
      </c>
      <c r="N135" s="1663" t="str">
        <f t="shared" si="81"/>
        <v>IRIS 2010</v>
      </c>
      <c r="O135" s="1663">
        <f t="shared" si="82"/>
        <v>0.02</v>
      </c>
      <c r="P135" s="1663" t="str">
        <f t="shared" si="83"/>
        <v>IRIS</v>
      </c>
      <c r="Q135" s="1663" t="str">
        <f t="shared" ref="Q135:Q162" si="90">IF(M135=O135,"",1)</f>
        <v/>
      </c>
      <c r="R135" s="1663" t="str">
        <f t="shared" si="84"/>
        <v>--</v>
      </c>
      <c r="S135" s="1663" t="str">
        <f t="shared" si="85"/>
        <v xml:space="preserve"> </v>
      </c>
      <c r="T135" s="1663">
        <f t="shared" si="86"/>
        <v>80</v>
      </c>
      <c r="U135" s="1665" t="str">
        <f t="shared" si="87"/>
        <v>Route (IRIS)</v>
      </c>
      <c r="V135" s="1665">
        <f t="shared" ref="V135:V162" si="91">IF(R135=T135,"",1)</f>
        <v>1</v>
      </c>
      <c r="X135" s="55" t="s">
        <v>4084</v>
      </c>
    </row>
    <row r="136" spans="1:24">
      <c r="A136" s="309" t="s">
        <v>317</v>
      </c>
      <c r="B136" s="427" t="s">
        <v>318</v>
      </c>
      <c r="C136" s="1663">
        <f t="shared" si="72"/>
        <v>0.54</v>
      </c>
      <c r="D136" s="1663" t="str">
        <f t="shared" si="73"/>
        <v>OEHHA 2013</v>
      </c>
      <c r="E136" s="1663">
        <f t="shared" si="74"/>
        <v>0.54</v>
      </c>
      <c r="F136" s="1663" t="str">
        <f t="shared" si="75"/>
        <v>Rule, OEHHA PHG</v>
      </c>
      <c r="G136" s="1663" t="str">
        <f t="shared" si="88"/>
        <v/>
      </c>
      <c r="H136" s="1663">
        <f t="shared" si="76"/>
        <v>6.1E-6</v>
      </c>
      <c r="I136" s="1663" t="str">
        <f t="shared" si="77"/>
        <v>OEHHA 2016</v>
      </c>
      <c r="J136" s="1663">
        <f t="shared" si="78"/>
        <v>6.1E-6</v>
      </c>
      <c r="K136" s="1663" t="str">
        <f t="shared" si="79"/>
        <v>Rule, OEHHA</v>
      </c>
      <c r="L136" s="1663" t="str">
        <f t="shared" si="89"/>
        <v/>
      </c>
      <c r="M136" s="1663">
        <f t="shared" si="80"/>
        <v>6.0000000000000001E-3</v>
      </c>
      <c r="N136" s="1663" t="str">
        <f t="shared" si="81"/>
        <v>IRIS 2012</v>
      </c>
      <c r="O136" s="1663">
        <f t="shared" si="82"/>
        <v>6.0000000000000001E-3</v>
      </c>
      <c r="P136" s="1663" t="str">
        <f t="shared" si="83"/>
        <v>IRIS</v>
      </c>
      <c r="Q136" s="1663" t="str">
        <f t="shared" si="90"/>
        <v/>
      </c>
      <c r="R136" s="1663">
        <f t="shared" si="84"/>
        <v>40</v>
      </c>
      <c r="S136" s="1663" t="str">
        <f t="shared" si="85"/>
        <v>IRIS 2012</v>
      </c>
      <c r="T136" s="1663">
        <f t="shared" si="86"/>
        <v>40</v>
      </c>
      <c r="U136" s="1663" t="str">
        <f t="shared" si="87"/>
        <v>IRIS</v>
      </c>
      <c r="V136" s="1663" t="str">
        <f t="shared" si="91"/>
        <v/>
      </c>
    </row>
    <row r="137" spans="1:24">
      <c r="A137" s="309" t="s">
        <v>319</v>
      </c>
      <c r="B137" s="427" t="s">
        <v>320</v>
      </c>
      <c r="C137" s="1663" t="str">
        <f t="shared" si="72"/>
        <v>--</v>
      </c>
      <c r="D137" s="1663" t="str">
        <f t="shared" si="73"/>
        <v xml:space="preserve"> </v>
      </c>
      <c r="E137" s="1663" t="str">
        <f t="shared" si="74"/>
        <v>--</v>
      </c>
      <c r="F137" s="1663" t="str">
        <f t="shared" si="75"/>
        <v>--</v>
      </c>
      <c r="G137" s="1663" t="str">
        <f t="shared" si="88"/>
        <v/>
      </c>
      <c r="H137" s="1663" t="str">
        <f t="shared" si="76"/>
        <v>--</v>
      </c>
      <c r="I137" s="1663" t="str">
        <f t="shared" si="77"/>
        <v xml:space="preserve"> </v>
      </c>
      <c r="J137" s="1663" t="str">
        <f t="shared" si="78"/>
        <v>--</v>
      </c>
      <c r="K137" s="1663" t="str">
        <f t="shared" si="79"/>
        <v>--</v>
      </c>
      <c r="L137" s="1663" t="str">
        <f t="shared" si="89"/>
        <v/>
      </c>
      <c r="M137" s="1663">
        <f t="shared" si="80"/>
        <v>1.0000000000000001E-5</v>
      </c>
      <c r="N137" s="1663" t="str">
        <f t="shared" si="81"/>
        <v>PPRTV 2012</v>
      </c>
      <c r="O137" s="1663">
        <f t="shared" si="82"/>
        <v>1.0000000000000001E-5</v>
      </c>
      <c r="P137" s="1663" t="str">
        <f t="shared" si="83"/>
        <v>sPPRTV</v>
      </c>
      <c r="Q137" s="1663" t="str">
        <f t="shared" si="90"/>
        <v/>
      </c>
      <c r="R137" s="1663" t="str">
        <f t="shared" si="84"/>
        <v>--</v>
      </c>
      <c r="S137" s="1663" t="str">
        <f t="shared" si="85"/>
        <v xml:space="preserve"> </v>
      </c>
      <c r="T137" s="1663" t="str">
        <f t="shared" si="86"/>
        <v>--</v>
      </c>
      <c r="U137" s="1663">
        <f t="shared" si="87"/>
        <v>0</v>
      </c>
      <c r="V137" s="1663" t="str">
        <f t="shared" si="91"/>
        <v/>
      </c>
    </row>
    <row r="138" spans="1:24">
      <c r="A138" s="309" t="s">
        <v>321</v>
      </c>
      <c r="B138" s="427" t="s">
        <v>322</v>
      </c>
      <c r="C138" s="1663" t="str">
        <f t="shared" si="72"/>
        <v>--</v>
      </c>
      <c r="D138" s="1663" t="str">
        <f t="shared" si="73"/>
        <v xml:space="preserve"> </v>
      </c>
      <c r="E138" s="1663" t="str">
        <f t="shared" si="74"/>
        <v>--</v>
      </c>
      <c r="F138" s="1663" t="str">
        <f t="shared" si="75"/>
        <v>--</v>
      </c>
      <c r="G138" s="1663" t="str">
        <f t="shared" si="88"/>
        <v/>
      </c>
      <c r="H138" s="1663" t="str">
        <f t="shared" si="76"/>
        <v>--</v>
      </c>
      <c r="I138" s="1663" t="str">
        <f t="shared" si="77"/>
        <v xml:space="preserve"> </v>
      </c>
      <c r="J138" s="1663" t="str">
        <f t="shared" si="78"/>
        <v>--</v>
      </c>
      <c r="K138" s="1663" t="str">
        <f t="shared" si="79"/>
        <v>--</v>
      </c>
      <c r="L138" s="1663" t="str">
        <f t="shared" si="89"/>
        <v/>
      </c>
      <c r="M138" s="1663">
        <f t="shared" si="80"/>
        <v>0.08</v>
      </c>
      <c r="N138" s="1663" t="str">
        <f t="shared" si="81"/>
        <v>IRIS 2005</v>
      </c>
      <c r="O138" s="1663">
        <f t="shared" si="82"/>
        <v>0.08</v>
      </c>
      <c r="P138" s="1663" t="str">
        <f t="shared" si="83"/>
        <v>IRIS</v>
      </c>
      <c r="Q138" s="1663" t="str">
        <f t="shared" si="90"/>
        <v/>
      </c>
      <c r="R138" s="1663">
        <f t="shared" si="84"/>
        <v>420</v>
      </c>
      <c r="S138" s="1663" t="str">
        <f t="shared" si="85"/>
        <v>OEHHA</v>
      </c>
      <c r="T138" s="1663">
        <f t="shared" si="86"/>
        <v>420</v>
      </c>
      <c r="U138" s="1663" t="str">
        <f t="shared" si="87"/>
        <v>OEHHAc</v>
      </c>
      <c r="V138" s="1663" t="str">
        <f t="shared" si="91"/>
        <v/>
      </c>
    </row>
    <row r="139" spans="1:24">
      <c r="A139" s="309" t="s">
        <v>323</v>
      </c>
      <c r="B139" s="427" t="s">
        <v>324</v>
      </c>
      <c r="C139" s="1663">
        <f t="shared" si="72"/>
        <v>1.2</v>
      </c>
      <c r="D139" s="1663" t="str">
        <f t="shared" si="73"/>
        <v>OEHHA 2003</v>
      </c>
      <c r="E139" s="1663">
        <f t="shared" si="74"/>
        <v>1.2</v>
      </c>
      <c r="F139" s="1663" t="str">
        <f t="shared" si="75"/>
        <v>Rule, OEHHA</v>
      </c>
      <c r="G139" s="1663" t="str">
        <f t="shared" si="88"/>
        <v/>
      </c>
      <c r="H139" s="1663">
        <f t="shared" si="76"/>
        <v>3.2000000000000003E-4</v>
      </c>
      <c r="I139" s="1663" t="str">
        <f t="shared" si="77"/>
        <v>IRIS 1991</v>
      </c>
      <c r="J139" s="1663">
        <f t="shared" si="78"/>
        <v>3.2000000000000003E-4</v>
      </c>
      <c r="K139" s="1663" t="str">
        <f t="shared" si="79"/>
        <v>IRIS</v>
      </c>
      <c r="L139" s="1663" t="str">
        <f t="shared" si="89"/>
        <v/>
      </c>
      <c r="M139" s="1663">
        <f t="shared" si="80"/>
        <v>9.0000000000000006E-5</v>
      </c>
      <c r="N139" s="1663" t="str">
        <f t="shared" si="81"/>
        <v xml:space="preserve"> PPRTV</v>
      </c>
      <c r="O139" s="1663">
        <f t="shared" si="82"/>
        <v>9.0000000000000006E-5</v>
      </c>
      <c r="P139" s="1663" t="str">
        <f t="shared" si="83"/>
        <v>PPRTV</v>
      </c>
      <c r="Q139" s="1663" t="str">
        <f t="shared" si="90"/>
        <v/>
      </c>
      <c r="R139" s="1663" t="str">
        <f t="shared" si="84"/>
        <v>--</v>
      </c>
      <c r="S139" s="1663" t="str">
        <f t="shared" si="85"/>
        <v xml:space="preserve"> </v>
      </c>
      <c r="T139" s="1663" t="str">
        <f t="shared" si="86"/>
        <v>--</v>
      </c>
      <c r="U139" s="1663" t="str">
        <f t="shared" si="87"/>
        <v>--</v>
      </c>
      <c r="V139" s="1663" t="str">
        <f t="shared" si="91"/>
        <v/>
      </c>
    </row>
    <row r="140" spans="1:24">
      <c r="A140" s="153" t="s">
        <v>325</v>
      </c>
      <c r="B140" s="427" t="s">
        <v>326</v>
      </c>
      <c r="C140" s="1663">
        <f t="shared" si="72"/>
        <v>2.9000000000000001E-2</v>
      </c>
      <c r="D140" s="1663" t="str">
        <f t="shared" si="73"/>
        <v>PPRTV 2009</v>
      </c>
      <c r="E140" s="1663">
        <f t="shared" si="74"/>
        <v>2.9000000000000001E-2</v>
      </c>
      <c r="F140" s="1663" t="str">
        <f t="shared" si="75"/>
        <v>PPRTV</v>
      </c>
      <c r="G140" s="1663" t="str">
        <f t="shared" si="88"/>
        <v/>
      </c>
      <c r="H140" s="1663" t="str">
        <f t="shared" si="76"/>
        <v>--</v>
      </c>
      <c r="I140" s="1663" t="str">
        <f t="shared" si="77"/>
        <v xml:space="preserve"> </v>
      </c>
      <c r="J140" s="1663">
        <f t="shared" si="78"/>
        <v>7.3000000000000004E-6</v>
      </c>
      <c r="K140" s="1665" t="str">
        <f t="shared" si="79"/>
        <v>Route (PPRTV)</v>
      </c>
      <c r="L140" s="1665">
        <f t="shared" si="89"/>
        <v>1</v>
      </c>
      <c r="M140" s="1663">
        <f t="shared" si="80"/>
        <v>0.01</v>
      </c>
      <c r="N140" s="1663" t="str">
        <f t="shared" si="81"/>
        <v>IRIS 1992</v>
      </c>
      <c r="O140" s="1663">
        <f t="shared" si="82"/>
        <v>0.01</v>
      </c>
      <c r="P140" s="1663" t="str">
        <f t="shared" si="83"/>
        <v>IRIS</v>
      </c>
      <c r="Q140" s="1663" t="str">
        <f t="shared" si="90"/>
        <v/>
      </c>
      <c r="R140" s="1663">
        <f t="shared" si="84"/>
        <v>2</v>
      </c>
      <c r="S140" s="1663" t="str">
        <f t="shared" si="85"/>
        <v>PPRTV 2009</v>
      </c>
      <c r="T140" s="1663">
        <f t="shared" si="86"/>
        <v>2</v>
      </c>
      <c r="U140" s="1663" t="str">
        <f t="shared" si="87"/>
        <v>PPRTV</v>
      </c>
      <c r="V140" s="1663" t="str">
        <f t="shared" si="91"/>
        <v/>
      </c>
      <c r="X140" t="s">
        <v>4085</v>
      </c>
    </row>
    <row r="141" spans="1:24">
      <c r="A141" s="588" t="s">
        <v>327</v>
      </c>
      <c r="B141" s="427" t="s">
        <v>328</v>
      </c>
      <c r="C141" s="1663" t="str">
        <f t="shared" si="72"/>
        <v>--</v>
      </c>
      <c r="D141" s="1663" t="str">
        <f t="shared" si="73"/>
        <v xml:space="preserve"> </v>
      </c>
      <c r="E141" s="1663" t="str">
        <f t="shared" si="74"/>
        <v>--</v>
      </c>
      <c r="F141" s="1663" t="str">
        <f t="shared" si="75"/>
        <v>--</v>
      </c>
      <c r="G141" s="1663" t="str">
        <f t="shared" si="88"/>
        <v/>
      </c>
      <c r="H141" s="1663" t="str">
        <f t="shared" si="76"/>
        <v>--</v>
      </c>
      <c r="I141" s="1663" t="str">
        <f t="shared" si="77"/>
        <v xml:space="preserve"> </v>
      </c>
      <c r="J141" s="1663" t="str">
        <f t="shared" si="78"/>
        <v>--</v>
      </c>
      <c r="K141" s="1663" t="str">
        <f t="shared" si="79"/>
        <v>--</v>
      </c>
      <c r="L141" s="1663" t="str">
        <f t="shared" si="89"/>
        <v/>
      </c>
      <c r="M141" s="1663">
        <f t="shared" si="80"/>
        <v>2</v>
      </c>
      <c r="N141" s="1663" t="str">
        <f t="shared" si="81"/>
        <v>IRIS 2007</v>
      </c>
      <c r="O141" s="1663">
        <f t="shared" si="82"/>
        <v>2</v>
      </c>
      <c r="P141" s="1663" t="str">
        <f t="shared" si="83"/>
        <v>IRIS</v>
      </c>
      <c r="Q141" s="1663" t="str">
        <f t="shared" si="90"/>
        <v/>
      </c>
      <c r="R141" s="1663">
        <f t="shared" si="84"/>
        <v>1000</v>
      </c>
      <c r="S141" s="1663" t="str">
        <f t="shared" si="85"/>
        <v>OEHHA 2000</v>
      </c>
      <c r="T141" s="1663">
        <f t="shared" si="86"/>
        <v>1000</v>
      </c>
      <c r="U141" s="1663" t="str">
        <f t="shared" si="87"/>
        <v>Rule, OEHHA</v>
      </c>
      <c r="V141" s="1663" t="str">
        <f t="shared" si="91"/>
        <v/>
      </c>
    </row>
    <row r="142" spans="1:24">
      <c r="A142" s="588" t="s">
        <v>329</v>
      </c>
      <c r="B142" s="427" t="s">
        <v>330</v>
      </c>
      <c r="C142" s="1663">
        <f t="shared" si="72"/>
        <v>5.7000000000000002E-2</v>
      </c>
      <c r="D142" s="1663" t="str">
        <f t="shared" si="73"/>
        <v>IRIS 1991</v>
      </c>
      <c r="E142" s="1663">
        <f t="shared" si="74"/>
        <v>5.7000000000000002E-2</v>
      </c>
      <c r="F142" s="1663" t="str">
        <f t="shared" si="75"/>
        <v>IRIS</v>
      </c>
      <c r="G142" s="1663" t="str">
        <f t="shared" si="88"/>
        <v/>
      </c>
      <c r="H142" s="1663">
        <f t="shared" si="76"/>
        <v>1.5999999999999999E-5</v>
      </c>
      <c r="I142" s="1663" t="str">
        <f t="shared" si="77"/>
        <v>IRIS 1991</v>
      </c>
      <c r="J142" s="1663">
        <f t="shared" si="78"/>
        <v>1.5999999999999999E-5</v>
      </c>
      <c r="K142" s="1663" t="str">
        <f t="shared" si="79"/>
        <v>IRIS</v>
      </c>
      <c r="L142" s="1663" t="str">
        <f t="shared" si="89"/>
        <v/>
      </c>
      <c r="M142" s="1663">
        <f t="shared" si="80"/>
        <v>4.0000000000000001E-3</v>
      </c>
      <c r="N142" s="1663" t="str">
        <f t="shared" si="81"/>
        <v>IRIS 1991</v>
      </c>
      <c r="O142" s="1663">
        <f t="shared" si="82"/>
        <v>4.0000000000000001E-3</v>
      </c>
      <c r="P142" s="1663" t="str">
        <f t="shared" si="83"/>
        <v>IRIS</v>
      </c>
      <c r="Q142" s="1663" t="str">
        <f t="shared" si="90"/>
        <v/>
      </c>
      <c r="R142" s="1663">
        <f t="shared" si="84"/>
        <v>0.2</v>
      </c>
      <c r="S142" s="1663" t="str">
        <f t="shared" si="85"/>
        <v>PPRTV 2011</v>
      </c>
      <c r="T142" s="1663">
        <f t="shared" si="86"/>
        <v>0.2</v>
      </c>
      <c r="U142" s="1663" t="str">
        <f t="shared" si="87"/>
        <v>sPPRTV</v>
      </c>
      <c r="V142" s="1663" t="str">
        <f t="shared" si="91"/>
        <v/>
      </c>
    </row>
    <row r="143" spans="1:24">
      <c r="A143" s="588" t="s">
        <v>331</v>
      </c>
      <c r="B143" s="427" t="s">
        <v>332</v>
      </c>
      <c r="C143" s="1663">
        <f t="shared" si="72"/>
        <v>4.5999999999999999E-2</v>
      </c>
      <c r="D143" s="1663" t="str">
        <f t="shared" si="73"/>
        <v>IRIS 2011</v>
      </c>
      <c r="E143" s="1663">
        <f t="shared" si="74"/>
        <v>4.5999999999999999E-2</v>
      </c>
      <c r="F143" s="1663" t="str">
        <f t="shared" si="75"/>
        <v>IRIS</v>
      </c>
      <c r="G143" s="1663" t="str">
        <f t="shared" si="88"/>
        <v/>
      </c>
      <c r="H143" s="1663">
        <f t="shared" si="76"/>
        <v>4.0999999999999997E-6</v>
      </c>
      <c r="I143" s="1663" t="str">
        <f t="shared" si="77"/>
        <v>IRIS 2011</v>
      </c>
      <c r="J143" s="1663">
        <f t="shared" si="78"/>
        <v>4.0999999999999997E-6</v>
      </c>
      <c r="K143" s="1663" t="str">
        <f t="shared" si="79"/>
        <v>IRIS</v>
      </c>
      <c r="L143" s="1663" t="str">
        <f t="shared" si="89"/>
        <v/>
      </c>
      <c r="M143" s="1663">
        <f t="shared" si="80"/>
        <v>5.0000000000000001E-4</v>
      </c>
      <c r="N143" s="1663" t="str">
        <f t="shared" si="81"/>
        <v>IRIS 201</v>
      </c>
      <c r="O143" s="1663">
        <f t="shared" si="82"/>
        <v>5.0000000000000001E-4</v>
      </c>
      <c r="P143" s="1663" t="str">
        <f t="shared" si="83"/>
        <v>IRIS</v>
      </c>
      <c r="Q143" s="1663" t="str">
        <f t="shared" si="90"/>
        <v/>
      </c>
      <c r="R143" s="1663">
        <f t="shared" si="84"/>
        <v>2</v>
      </c>
      <c r="S143" s="1663" t="str">
        <f t="shared" si="85"/>
        <v>IRIS 2011</v>
      </c>
      <c r="T143" s="1663">
        <f t="shared" si="86"/>
        <v>2</v>
      </c>
      <c r="U143" s="1663" t="str">
        <f t="shared" si="87"/>
        <v>IRIS</v>
      </c>
      <c r="V143" s="1663" t="str">
        <f t="shared" si="91"/>
        <v/>
      </c>
    </row>
    <row r="144" spans="1:24">
      <c r="A144" s="588" t="s">
        <v>333</v>
      </c>
      <c r="B144" s="427" t="s">
        <v>334</v>
      </c>
      <c r="C144" s="1663" t="str">
        <f t="shared" si="72"/>
        <v>--</v>
      </c>
      <c r="D144" s="1663" t="str">
        <f t="shared" si="73"/>
        <v xml:space="preserve"> </v>
      </c>
      <c r="E144" s="1663" t="str">
        <f t="shared" si="74"/>
        <v>--</v>
      </c>
      <c r="F144" s="1663" t="str">
        <f t="shared" si="75"/>
        <v>--</v>
      </c>
      <c r="G144" s="1663" t="str">
        <f t="shared" si="88"/>
        <v/>
      </c>
      <c r="H144" s="1663" t="str">
        <f t="shared" si="76"/>
        <v>--</v>
      </c>
      <c r="I144" s="1663" t="str">
        <f t="shared" si="77"/>
        <v xml:space="preserve"> </v>
      </c>
      <c r="J144" s="1663" t="str">
        <f t="shared" si="78"/>
        <v>--</v>
      </c>
      <c r="K144" s="1663" t="str">
        <f t="shared" si="79"/>
        <v>--</v>
      </c>
      <c r="L144" s="1663" t="str">
        <f t="shared" si="89"/>
        <v/>
      </c>
      <c r="M144" s="1663">
        <f t="shared" si="80"/>
        <v>0.1</v>
      </c>
      <c r="N144" s="1663" t="str">
        <f t="shared" si="81"/>
        <v>IRIS 1991</v>
      </c>
      <c r="O144" s="1663">
        <f t="shared" si="82"/>
        <v>0.1</v>
      </c>
      <c r="P144" s="1663" t="str">
        <f t="shared" si="83"/>
        <v>IRIS</v>
      </c>
      <c r="Q144" s="1663" t="str">
        <f t="shared" si="90"/>
        <v/>
      </c>
      <c r="R144" s="1663" t="str">
        <f t="shared" si="84"/>
        <v>--</v>
      </c>
      <c r="S144" s="1663" t="str">
        <f t="shared" si="85"/>
        <v xml:space="preserve"> </v>
      </c>
      <c r="T144" s="1663" t="str">
        <f t="shared" si="86"/>
        <v>--</v>
      </c>
      <c r="U144" s="1663" t="str">
        <f t="shared" si="87"/>
        <v>--</v>
      </c>
      <c r="V144" s="1663" t="str">
        <f t="shared" si="91"/>
        <v/>
      </c>
    </row>
    <row r="145" spans="1:24">
      <c r="A145" s="588" t="s">
        <v>335</v>
      </c>
      <c r="B145" s="427" t="s">
        <v>336</v>
      </c>
      <c r="C145" s="1663">
        <f t="shared" si="72"/>
        <v>7.0000000000000007E-2</v>
      </c>
      <c r="D145" s="1663" t="str">
        <f t="shared" si="73"/>
        <v>OEHHA 2009</v>
      </c>
      <c r="E145" s="1663">
        <f t="shared" si="74"/>
        <v>7.0000000000000007E-2</v>
      </c>
      <c r="F145" s="1663" t="str">
        <f t="shared" si="75"/>
        <v>Rule, OEHHA</v>
      </c>
      <c r="G145" s="1663" t="str">
        <f t="shared" si="88"/>
        <v/>
      </c>
      <c r="H145" s="1663">
        <f t="shared" si="76"/>
        <v>2.0000000000000002E-5</v>
      </c>
      <c r="I145" s="1663" t="str">
        <f t="shared" si="77"/>
        <v>OEHHA 2009</v>
      </c>
      <c r="J145" s="1663">
        <f t="shared" si="78"/>
        <v>2.0000000000000002E-5</v>
      </c>
      <c r="K145" s="1663" t="str">
        <f t="shared" si="79"/>
        <v>Rule, OEHHA</v>
      </c>
      <c r="L145" s="1663" t="str">
        <f t="shared" si="89"/>
        <v/>
      </c>
      <c r="M145" s="1663">
        <f t="shared" si="80"/>
        <v>1E-3</v>
      </c>
      <c r="N145" s="1663" t="str">
        <f t="shared" si="81"/>
        <v>PPRTV 2007</v>
      </c>
      <c r="O145" s="1663">
        <f t="shared" si="82"/>
        <v>1E-3</v>
      </c>
      <c r="P145" s="1663" t="str">
        <f t="shared" si="83"/>
        <v>PPRTV</v>
      </c>
      <c r="Q145" s="1663" t="str">
        <f t="shared" si="90"/>
        <v/>
      </c>
      <c r="R145" s="1663" t="str">
        <f t="shared" si="84"/>
        <v>--</v>
      </c>
      <c r="S145" s="1663" t="str">
        <f t="shared" si="85"/>
        <v xml:space="preserve"> </v>
      </c>
      <c r="T145" s="1663" t="str">
        <f t="shared" si="86"/>
        <v>--</v>
      </c>
      <c r="U145" s="1663" t="str">
        <f t="shared" si="87"/>
        <v>--</v>
      </c>
      <c r="V145" s="1663" t="str">
        <f t="shared" si="91"/>
        <v/>
      </c>
    </row>
    <row r="146" spans="1:24">
      <c r="A146" s="588" t="s">
        <v>337</v>
      </c>
      <c r="B146" s="427" t="s">
        <v>338</v>
      </c>
      <c r="C146" s="1663">
        <f t="shared" si="72"/>
        <v>30</v>
      </c>
      <c r="D146" s="1663" t="str">
        <f t="shared" si="73"/>
        <v>IRIS</v>
      </c>
      <c r="E146" s="1663">
        <f t="shared" si="74"/>
        <v>30</v>
      </c>
      <c r="F146" s="1663" t="str">
        <f t="shared" si="75"/>
        <v>IRIS</v>
      </c>
      <c r="G146" s="1663" t="str">
        <f t="shared" si="88"/>
        <v/>
      </c>
      <c r="H146" s="1663" t="str">
        <f t="shared" si="76"/>
        <v>--</v>
      </c>
      <c r="I146" s="1663" t="str">
        <f t="shared" si="77"/>
        <v xml:space="preserve"> </v>
      </c>
      <c r="J146" s="1663">
        <f t="shared" si="78"/>
        <v>7.4999999999999997E-3</v>
      </c>
      <c r="K146" s="1665" t="str">
        <f t="shared" si="79"/>
        <v>Route (IRIS)</v>
      </c>
      <c r="L146" s="1665">
        <f t="shared" si="89"/>
        <v>1</v>
      </c>
      <c r="M146" s="1663">
        <f t="shared" si="80"/>
        <v>4.0000000000000001E-3</v>
      </c>
      <c r="N146" s="1663" t="str">
        <f t="shared" si="81"/>
        <v>IRIS 1991</v>
      </c>
      <c r="O146" s="1663">
        <f t="shared" si="82"/>
        <v>4.0000000000000001E-3</v>
      </c>
      <c r="P146" s="1663" t="str">
        <f t="shared" si="83"/>
        <v>IRIS</v>
      </c>
      <c r="Q146" s="1663" t="str">
        <f t="shared" si="90"/>
        <v/>
      </c>
      <c r="R146" s="1663">
        <f t="shared" si="84"/>
        <v>0.3</v>
      </c>
      <c r="S146" s="1663" t="str">
        <f t="shared" si="85"/>
        <v>IRIS</v>
      </c>
      <c r="T146" s="1663">
        <f t="shared" si="86"/>
        <v>0.3</v>
      </c>
      <c r="U146" s="1663" t="str">
        <f t="shared" si="87"/>
        <v>IRIS</v>
      </c>
      <c r="V146" s="1663" t="str">
        <f t="shared" si="91"/>
        <v/>
      </c>
      <c r="X146" t="s">
        <v>4085</v>
      </c>
    </row>
    <row r="147" spans="1:24">
      <c r="A147" s="588" t="s">
        <v>339</v>
      </c>
      <c r="B147" s="427" t="s">
        <v>340</v>
      </c>
      <c r="C147" s="1663" t="str">
        <f t="shared" si="72"/>
        <v>--</v>
      </c>
      <c r="D147" s="1663" t="str">
        <f t="shared" si="73"/>
        <v xml:space="preserve"> </v>
      </c>
      <c r="E147" s="1663" t="str">
        <f t="shared" si="74"/>
        <v>--</v>
      </c>
      <c r="F147" s="1663" t="str">
        <f t="shared" si="75"/>
        <v>--</v>
      </c>
      <c r="G147" s="1663" t="str">
        <f t="shared" si="88"/>
        <v/>
      </c>
      <c r="H147" s="1663" t="str">
        <f t="shared" si="76"/>
        <v>--</v>
      </c>
      <c r="I147" s="1663" t="str">
        <f t="shared" si="77"/>
        <v xml:space="preserve"> </v>
      </c>
      <c r="J147" s="1663" t="str">
        <f t="shared" si="78"/>
        <v>--</v>
      </c>
      <c r="K147" s="1663" t="str">
        <f t="shared" si="79"/>
        <v>--</v>
      </c>
      <c r="L147" s="1663" t="str">
        <f t="shared" si="89"/>
        <v/>
      </c>
      <c r="M147" s="1663">
        <f t="shared" si="80"/>
        <v>5.0000000000000001E-3</v>
      </c>
      <c r="N147" s="1663" t="str">
        <f t="shared" si="81"/>
        <v>RSL</v>
      </c>
      <c r="O147" s="1663">
        <f t="shared" si="82"/>
        <v>5.0000000000000001E-3</v>
      </c>
      <c r="P147" s="1663" t="str">
        <f t="shared" si="83"/>
        <v>RSL</v>
      </c>
      <c r="Q147" s="1663" t="str">
        <f t="shared" si="90"/>
        <v/>
      </c>
      <c r="R147" s="1663">
        <f t="shared" si="84"/>
        <v>0.1</v>
      </c>
      <c r="S147" s="1663" t="str">
        <f t="shared" si="85"/>
        <v>ATSDR 2014</v>
      </c>
      <c r="T147" s="1663">
        <f t="shared" si="86"/>
        <v>0.1</v>
      </c>
      <c r="U147" s="1663" t="str">
        <f t="shared" si="87"/>
        <v>ATSDR</v>
      </c>
      <c r="V147" s="1663" t="str">
        <f t="shared" si="91"/>
        <v/>
      </c>
    </row>
    <row r="148" spans="1:24">
      <c r="A148" s="588" t="s">
        <v>341</v>
      </c>
      <c r="B148" s="427" t="s">
        <v>342</v>
      </c>
      <c r="C148" s="1663">
        <f t="shared" si="72"/>
        <v>0.72</v>
      </c>
      <c r="D148" s="1663" t="str">
        <f t="shared" si="73"/>
        <v>IRIS 2000</v>
      </c>
      <c r="E148" s="1663">
        <f t="shared" si="74"/>
        <v>0.72</v>
      </c>
      <c r="F148" s="1663" t="str">
        <f t="shared" si="75"/>
        <v>IRIS</v>
      </c>
      <c r="G148" s="1663" t="str">
        <f t="shared" si="88"/>
        <v/>
      </c>
      <c r="H148" s="1663">
        <f t="shared" si="76"/>
        <v>7.7999999999999999E-5</v>
      </c>
      <c r="I148" s="1663" t="str">
        <f t="shared" si="77"/>
        <v>OEHHA 2009</v>
      </c>
      <c r="J148" s="1663">
        <f t="shared" si="78"/>
        <v>7.7999999999999999E-5</v>
      </c>
      <c r="K148" s="1663" t="str">
        <f t="shared" si="79"/>
        <v>Rule, OEHHA</v>
      </c>
      <c r="L148" s="1663" t="str">
        <f t="shared" si="89"/>
        <v/>
      </c>
      <c r="M148" s="1663">
        <f t="shared" si="80"/>
        <v>3.0000000000000001E-3</v>
      </c>
      <c r="N148" s="1663" t="str">
        <f t="shared" si="81"/>
        <v>IRIS 2000</v>
      </c>
      <c r="O148" s="1663">
        <f t="shared" si="82"/>
        <v>3.0000000000000001E-3</v>
      </c>
      <c r="P148" s="1663" t="str">
        <f t="shared" si="83"/>
        <v>IRIS</v>
      </c>
      <c r="Q148" s="1663" t="str">
        <f t="shared" si="90"/>
        <v/>
      </c>
      <c r="R148" s="1663">
        <f t="shared" si="84"/>
        <v>51</v>
      </c>
      <c r="S148" s="1663" t="str">
        <f t="shared" si="85"/>
        <v>ATSDR 2024*</v>
      </c>
      <c r="T148" s="1663">
        <f t="shared" si="86"/>
        <v>51</v>
      </c>
      <c r="U148" s="1663" t="str">
        <f t="shared" si="87"/>
        <v>ATSDR</v>
      </c>
      <c r="V148" s="1663" t="str">
        <f t="shared" si="91"/>
        <v/>
      </c>
    </row>
    <row r="149" spans="1:24">
      <c r="A149" s="588" t="s">
        <v>343</v>
      </c>
      <c r="B149" s="427" t="s">
        <v>344</v>
      </c>
      <c r="C149" s="1663" t="str">
        <f t="shared" si="72"/>
        <v>--</v>
      </c>
      <c r="D149" s="1663" t="str">
        <f t="shared" si="73"/>
        <v xml:space="preserve"> </v>
      </c>
      <c r="E149" s="1663" t="str">
        <f t="shared" si="74"/>
        <v>--</v>
      </c>
      <c r="F149" s="1663" t="str">
        <f t="shared" si="75"/>
        <v>--</v>
      </c>
      <c r="G149" s="1663" t="str">
        <f t="shared" si="88"/>
        <v/>
      </c>
      <c r="H149" s="1663" t="str">
        <f t="shared" si="76"/>
        <v>--</v>
      </c>
      <c r="I149" s="1663" t="str">
        <f t="shared" si="77"/>
        <v xml:space="preserve"> </v>
      </c>
      <c r="J149" s="1663" t="str">
        <f t="shared" si="78"/>
        <v>--</v>
      </c>
      <c r="K149" s="1663" t="str">
        <f t="shared" si="79"/>
        <v>--</v>
      </c>
      <c r="L149" s="1663" t="str">
        <f t="shared" si="89"/>
        <v/>
      </c>
      <c r="M149" s="1663">
        <f t="shared" si="80"/>
        <v>0.2</v>
      </c>
      <c r="N149" s="1663" t="str">
        <f t="shared" si="81"/>
        <v>IRIS 2003</v>
      </c>
      <c r="O149" s="1663">
        <f t="shared" si="82"/>
        <v>0.2</v>
      </c>
      <c r="P149" s="1663" t="str">
        <f t="shared" si="83"/>
        <v>IRIS</v>
      </c>
      <c r="Q149" s="1663" t="str">
        <f t="shared" si="90"/>
        <v/>
      </c>
      <c r="R149" s="1663">
        <f t="shared" si="84"/>
        <v>100</v>
      </c>
      <c r="S149" s="1663" t="str">
        <f t="shared" si="85"/>
        <v>IRIS 2003</v>
      </c>
      <c r="T149" s="1663">
        <f t="shared" si="86"/>
        <v>100</v>
      </c>
      <c r="U149" s="1663" t="str">
        <f t="shared" si="87"/>
        <v>IRIS</v>
      </c>
      <c r="V149" s="1663" t="str">
        <f t="shared" si="91"/>
        <v/>
      </c>
    </row>
    <row r="150" spans="1:24" ht="13.5" thickBot="1">
      <c r="A150" s="1186" t="s">
        <v>345</v>
      </c>
      <c r="B150" s="426" t="s">
        <v>346</v>
      </c>
      <c r="C150" s="1663" t="str">
        <f t="shared" si="72"/>
        <v>--</v>
      </c>
      <c r="D150" s="1663" t="str">
        <f t="shared" si="73"/>
        <v xml:space="preserve"> </v>
      </c>
      <c r="E150" s="1663" t="str">
        <f t="shared" si="74"/>
        <v>--</v>
      </c>
      <c r="F150" s="1663" t="str">
        <f t="shared" si="75"/>
        <v>--</v>
      </c>
      <c r="G150" s="1663" t="str">
        <f t="shared" si="88"/>
        <v/>
      </c>
      <c r="H150" s="1663" t="str">
        <f t="shared" si="76"/>
        <v>--</v>
      </c>
      <c r="I150" s="1663" t="str">
        <f t="shared" si="77"/>
        <v xml:space="preserve"> </v>
      </c>
      <c r="J150" s="1663" t="str">
        <f t="shared" si="78"/>
        <v>--</v>
      </c>
      <c r="K150" s="1663" t="str">
        <f t="shared" si="79"/>
        <v>--</v>
      </c>
      <c r="L150" s="1663" t="str">
        <f t="shared" si="89"/>
        <v/>
      </c>
      <c r="M150" s="1663">
        <f t="shared" si="80"/>
        <v>0.3</v>
      </c>
      <c r="N150" s="1663" t="str">
        <f t="shared" si="81"/>
        <v>IRIS 2005</v>
      </c>
      <c r="O150" s="1663">
        <f t="shared" si="82"/>
        <v>0.3</v>
      </c>
      <c r="P150" s="1663" t="str">
        <f t="shared" si="83"/>
        <v>IRIS</v>
      </c>
      <c r="Q150" s="1663" t="str">
        <f t="shared" si="90"/>
        <v/>
      </c>
      <c r="R150" s="1663" t="str">
        <f t="shared" si="84"/>
        <v>--</v>
      </c>
      <c r="S150" s="1663" t="str">
        <f t="shared" si="85"/>
        <v xml:space="preserve"> </v>
      </c>
      <c r="T150" s="1663" t="str">
        <f t="shared" si="86"/>
        <v>--</v>
      </c>
      <c r="U150" s="1663" t="str">
        <f t="shared" si="87"/>
        <v>--</v>
      </c>
      <c r="V150" s="1663" t="str">
        <f t="shared" si="91"/>
        <v/>
      </c>
    </row>
    <row r="151" spans="1:24" ht="13.5" thickTop="1">
      <c r="A151" s="1189" t="s">
        <v>347</v>
      </c>
      <c r="B151" s="1799"/>
      <c r="C151" s="1663">
        <f t="shared" si="72"/>
        <v>0</v>
      </c>
      <c r="D151" s="1663">
        <f t="shared" si="73"/>
        <v>0</v>
      </c>
      <c r="E151" s="1663" t="e">
        <f t="shared" si="74"/>
        <v>#N/A</v>
      </c>
      <c r="F151" s="1663" t="e">
        <f t="shared" si="75"/>
        <v>#N/A</v>
      </c>
      <c r="G151" s="1663" t="e">
        <f t="shared" si="88"/>
        <v>#N/A</v>
      </c>
      <c r="H151" s="1663">
        <f t="shared" si="76"/>
        <v>0</v>
      </c>
      <c r="I151" s="1663">
        <f t="shared" si="77"/>
        <v>0</v>
      </c>
      <c r="J151" s="1663" t="e">
        <f t="shared" si="78"/>
        <v>#N/A</v>
      </c>
      <c r="K151" s="1663" t="e">
        <f t="shared" si="79"/>
        <v>#N/A</v>
      </c>
      <c r="L151" s="1663" t="e">
        <f t="shared" si="89"/>
        <v>#N/A</v>
      </c>
      <c r="M151" s="1663">
        <f t="shared" si="80"/>
        <v>0</v>
      </c>
      <c r="N151" s="1663">
        <f t="shared" si="81"/>
        <v>0</v>
      </c>
      <c r="O151" s="1663" t="e">
        <f t="shared" si="82"/>
        <v>#N/A</v>
      </c>
      <c r="P151" s="1663" t="e">
        <f t="shared" si="83"/>
        <v>#N/A</v>
      </c>
      <c r="Q151" s="1663" t="e">
        <f t="shared" si="90"/>
        <v>#N/A</v>
      </c>
      <c r="R151" s="1663">
        <f t="shared" si="84"/>
        <v>0</v>
      </c>
      <c r="S151" s="1663">
        <f t="shared" si="85"/>
        <v>0</v>
      </c>
      <c r="T151" s="1663" t="e">
        <f t="shared" si="86"/>
        <v>#N/A</v>
      </c>
      <c r="U151" s="1663" t="e">
        <f t="shared" si="87"/>
        <v>#N/A</v>
      </c>
      <c r="V151" s="1663" t="e">
        <f t="shared" si="91"/>
        <v>#N/A</v>
      </c>
    </row>
    <row r="152" spans="1:24">
      <c r="A152" s="261" t="s">
        <v>1293</v>
      </c>
      <c r="B152" s="1"/>
      <c r="C152" s="1663" t="e">
        <f t="shared" si="72"/>
        <v>#VALUE!</v>
      </c>
      <c r="D152" s="1663" t="e">
        <f t="shared" si="73"/>
        <v>#VALUE!</v>
      </c>
      <c r="E152" s="1663" t="e">
        <f t="shared" si="74"/>
        <v>#N/A</v>
      </c>
      <c r="F152" s="1663" t="e">
        <f t="shared" si="75"/>
        <v>#N/A</v>
      </c>
      <c r="G152" s="1663" t="e">
        <f t="shared" si="88"/>
        <v>#VALUE!</v>
      </c>
      <c r="H152" s="1663" t="e">
        <f t="shared" si="76"/>
        <v>#VALUE!</v>
      </c>
      <c r="I152" s="1663" t="e">
        <f t="shared" si="77"/>
        <v>#VALUE!</v>
      </c>
      <c r="J152" s="1663" t="e">
        <f t="shared" si="78"/>
        <v>#N/A</v>
      </c>
      <c r="K152" s="1663" t="e">
        <f t="shared" si="79"/>
        <v>#N/A</v>
      </c>
      <c r="L152" s="1663" t="e">
        <f t="shared" si="89"/>
        <v>#VALUE!</v>
      </c>
      <c r="M152" s="1663" t="e">
        <f t="shared" si="80"/>
        <v>#VALUE!</v>
      </c>
      <c r="N152" s="1663" t="e">
        <f t="shared" si="81"/>
        <v>#VALUE!</v>
      </c>
      <c r="O152" s="1663" t="e">
        <f t="shared" si="82"/>
        <v>#N/A</v>
      </c>
      <c r="P152" s="1663" t="e">
        <f t="shared" si="83"/>
        <v>#N/A</v>
      </c>
      <c r="Q152" s="1663" t="e">
        <f t="shared" si="90"/>
        <v>#VALUE!</v>
      </c>
      <c r="R152" s="1663" t="e">
        <f t="shared" si="84"/>
        <v>#VALUE!</v>
      </c>
      <c r="S152" s="1663" t="e">
        <f t="shared" si="85"/>
        <v>#VALUE!</v>
      </c>
      <c r="T152" s="1663" t="e">
        <f t="shared" si="86"/>
        <v>#N/A</v>
      </c>
      <c r="U152" s="1663" t="e">
        <f t="shared" si="87"/>
        <v>#N/A</v>
      </c>
      <c r="V152" s="1663" t="e">
        <f t="shared" si="91"/>
        <v>#VALUE!</v>
      </c>
    </row>
    <row r="153" spans="1:24">
      <c r="A153" s="1179" t="s">
        <v>1294</v>
      </c>
      <c r="B153" s="1"/>
      <c r="C153" s="1663">
        <f t="shared" si="72"/>
        <v>0</v>
      </c>
      <c r="D153" s="1663">
        <f t="shared" si="73"/>
        <v>0</v>
      </c>
      <c r="E153" s="1663" t="e">
        <f t="shared" si="74"/>
        <v>#N/A</v>
      </c>
      <c r="F153" s="1663" t="e">
        <f t="shared" si="75"/>
        <v>#N/A</v>
      </c>
      <c r="G153" s="1663" t="e">
        <f t="shared" si="88"/>
        <v>#N/A</v>
      </c>
      <c r="H153" s="1663">
        <f t="shared" si="76"/>
        <v>0</v>
      </c>
      <c r="I153" s="1663">
        <f t="shared" si="77"/>
        <v>0</v>
      </c>
      <c r="J153" s="1663" t="e">
        <f t="shared" si="78"/>
        <v>#N/A</v>
      </c>
      <c r="K153" s="1663" t="e">
        <f t="shared" si="79"/>
        <v>#N/A</v>
      </c>
      <c r="L153" s="1663" t="e">
        <f t="shared" si="89"/>
        <v>#N/A</v>
      </c>
      <c r="M153" s="1663">
        <f t="shared" si="80"/>
        <v>0</v>
      </c>
      <c r="N153" s="1663">
        <f t="shared" si="81"/>
        <v>0</v>
      </c>
      <c r="O153" s="1663" t="e">
        <f t="shared" si="82"/>
        <v>#N/A</v>
      </c>
      <c r="P153" s="1663" t="e">
        <f t="shared" si="83"/>
        <v>#N/A</v>
      </c>
      <c r="Q153" s="1663" t="e">
        <f t="shared" si="90"/>
        <v>#N/A</v>
      </c>
      <c r="R153" s="1663">
        <f t="shared" si="84"/>
        <v>0</v>
      </c>
      <c r="S153" s="1663">
        <f t="shared" si="85"/>
        <v>0</v>
      </c>
      <c r="T153" s="1663" t="e">
        <f t="shared" si="86"/>
        <v>#N/A</v>
      </c>
      <c r="U153" s="1663" t="e">
        <f t="shared" si="87"/>
        <v>#N/A</v>
      </c>
      <c r="V153" s="1663" t="e">
        <f t="shared" si="91"/>
        <v>#N/A</v>
      </c>
    </row>
    <row r="154" spans="1:24">
      <c r="A154" s="261" t="s">
        <v>1295</v>
      </c>
      <c r="B154" s="1"/>
      <c r="C154" s="1663">
        <f t="shared" si="72"/>
        <v>0</v>
      </c>
      <c r="D154" s="1663">
        <f t="shared" si="73"/>
        <v>0</v>
      </c>
      <c r="E154" s="1663" t="e">
        <f t="shared" si="74"/>
        <v>#N/A</v>
      </c>
      <c r="F154" s="1663" t="e">
        <f t="shared" si="75"/>
        <v>#N/A</v>
      </c>
      <c r="G154" s="1663" t="e">
        <f t="shared" si="88"/>
        <v>#N/A</v>
      </c>
      <c r="H154" s="1663">
        <f t="shared" si="76"/>
        <v>0</v>
      </c>
      <c r="I154" s="1663">
        <f t="shared" si="77"/>
        <v>0</v>
      </c>
      <c r="J154" s="1663" t="e">
        <f t="shared" si="78"/>
        <v>#N/A</v>
      </c>
      <c r="K154" s="1663" t="e">
        <f t="shared" si="79"/>
        <v>#N/A</v>
      </c>
      <c r="L154" s="1663" t="e">
        <f t="shared" si="89"/>
        <v>#N/A</v>
      </c>
      <c r="M154" s="1663">
        <f t="shared" si="80"/>
        <v>0</v>
      </c>
      <c r="N154" s="1663">
        <f t="shared" si="81"/>
        <v>0</v>
      </c>
      <c r="O154" s="1663" t="e">
        <f t="shared" si="82"/>
        <v>#N/A</v>
      </c>
      <c r="P154" s="1663" t="e">
        <f t="shared" si="83"/>
        <v>#N/A</v>
      </c>
      <c r="Q154" s="1663" t="e">
        <f t="shared" si="90"/>
        <v>#N/A</v>
      </c>
      <c r="R154" s="1663">
        <f t="shared" si="84"/>
        <v>0</v>
      </c>
      <c r="S154" s="1663">
        <f t="shared" si="85"/>
        <v>0</v>
      </c>
      <c r="T154" s="1663" t="e">
        <f t="shared" si="86"/>
        <v>#N/A</v>
      </c>
      <c r="U154" s="1663" t="e">
        <f t="shared" si="87"/>
        <v>#N/A</v>
      </c>
      <c r="V154" s="1663" t="e">
        <f t="shared" si="91"/>
        <v>#N/A</v>
      </c>
    </row>
    <row r="155" spans="1:24">
      <c r="A155" s="261" t="s">
        <v>1296</v>
      </c>
      <c r="B155" s="1"/>
      <c r="C155" s="1663">
        <f t="shared" si="72"/>
        <v>0</v>
      </c>
      <c r="D155" s="1663">
        <f t="shared" si="73"/>
        <v>0</v>
      </c>
      <c r="E155" s="1663" t="e">
        <f t="shared" si="74"/>
        <v>#N/A</v>
      </c>
      <c r="F155" s="1663" t="e">
        <f t="shared" si="75"/>
        <v>#N/A</v>
      </c>
      <c r="G155" s="1663" t="e">
        <f t="shared" si="88"/>
        <v>#N/A</v>
      </c>
      <c r="H155" s="1663">
        <f t="shared" si="76"/>
        <v>0</v>
      </c>
      <c r="I155" s="1663">
        <f t="shared" si="77"/>
        <v>0</v>
      </c>
      <c r="J155" s="1663" t="e">
        <f t="shared" si="78"/>
        <v>#N/A</v>
      </c>
      <c r="K155" s="1663" t="e">
        <f t="shared" si="79"/>
        <v>#N/A</v>
      </c>
      <c r="L155" s="1663" t="e">
        <f t="shared" si="89"/>
        <v>#N/A</v>
      </c>
      <c r="M155" s="1663">
        <f t="shared" si="80"/>
        <v>0</v>
      </c>
      <c r="N155" s="1663">
        <f t="shared" si="81"/>
        <v>0</v>
      </c>
      <c r="O155" s="1663" t="e">
        <f t="shared" si="82"/>
        <v>#N/A</v>
      </c>
      <c r="P155" s="1663" t="e">
        <f t="shared" si="83"/>
        <v>#N/A</v>
      </c>
      <c r="Q155" s="1663" t="e">
        <f t="shared" si="90"/>
        <v>#N/A</v>
      </c>
      <c r="R155" s="1663">
        <f t="shared" si="84"/>
        <v>0</v>
      </c>
      <c r="S155" s="1663">
        <f t="shared" si="85"/>
        <v>0</v>
      </c>
      <c r="T155" s="1663" t="e">
        <f t="shared" si="86"/>
        <v>#N/A</v>
      </c>
      <c r="U155" s="1663" t="e">
        <f t="shared" si="87"/>
        <v>#N/A</v>
      </c>
      <c r="V155" s="1663" t="e">
        <f t="shared" si="91"/>
        <v>#N/A</v>
      </c>
    </row>
    <row r="156" spans="1:24">
      <c r="A156" s="261" t="s">
        <v>1297</v>
      </c>
      <c r="B156" s="1"/>
      <c r="C156" s="1663">
        <f t="shared" si="72"/>
        <v>0</v>
      </c>
      <c r="D156" s="1663">
        <f t="shared" si="73"/>
        <v>0</v>
      </c>
      <c r="E156" s="1663" t="e">
        <f t="shared" si="74"/>
        <v>#N/A</v>
      </c>
      <c r="F156" s="1663" t="e">
        <f t="shared" si="75"/>
        <v>#N/A</v>
      </c>
      <c r="G156" s="1663" t="e">
        <f t="shared" si="88"/>
        <v>#N/A</v>
      </c>
      <c r="H156" s="1663">
        <f t="shared" si="76"/>
        <v>0</v>
      </c>
      <c r="I156" s="1663">
        <f t="shared" si="77"/>
        <v>0</v>
      </c>
      <c r="J156" s="1663" t="e">
        <f t="shared" si="78"/>
        <v>#N/A</v>
      </c>
      <c r="K156" s="1663" t="e">
        <f t="shared" si="79"/>
        <v>#N/A</v>
      </c>
      <c r="L156" s="1663" t="e">
        <f t="shared" si="89"/>
        <v>#N/A</v>
      </c>
      <c r="M156" s="1663">
        <f t="shared" si="80"/>
        <v>0</v>
      </c>
      <c r="N156" s="1663">
        <f t="shared" si="81"/>
        <v>0</v>
      </c>
      <c r="O156" s="1663" t="e">
        <f t="shared" si="82"/>
        <v>#N/A</v>
      </c>
      <c r="P156" s="1663" t="e">
        <f t="shared" si="83"/>
        <v>#N/A</v>
      </c>
      <c r="Q156" s="1663" t="e">
        <f t="shared" si="90"/>
        <v>#N/A</v>
      </c>
      <c r="R156" s="1663">
        <f t="shared" si="84"/>
        <v>0</v>
      </c>
      <c r="S156" s="1663">
        <f t="shared" si="85"/>
        <v>0</v>
      </c>
      <c r="T156" s="1663" t="e">
        <f t="shared" si="86"/>
        <v>#N/A</v>
      </c>
      <c r="U156" s="1663" t="e">
        <f t="shared" si="87"/>
        <v>#N/A</v>
      </c>
      <c r="V156" s="1663" t="e">
        <f t="shared" si="91"/>
        <v>#N/A</v>
      </c>
    </row>
    <row r="157" spans="1:24">
      <c r="A157" s="261" t="s">
        <v>1298</v>
      </c>
      <c r="B157" s="1"/>
      <c r="C157" s="1663">
        <f t="shared" si="72"/>
        <v>0</v>
      </c>
      <c r="D157" s="1663">
        <f t="shared" si="73"/>
        <v>0</v>
      </c>
      <c r="E157" s="1663" t="e">
        <f t="shared" si="74"/>
        <v>#N/A</v>
      </c>
      <c r="F157" s="1663" t="e">
        <f t="shared" si="75"/>
        <v>#N/A</v>
      </c>
      <c r="G157" s="1663" t="e">
        <f t="shared" si="88"/>
        <v>#N/A</v>
      </c>
      <c r="H157" s="1663">
        <f t="shared" si="76"/>
        <v>0</v>
      </c>
      <c r="I157" s="1663">
        <f t="shared" si="77"/>
        <v>0</v>
      </c>
      <c r="J157" s="1663" t="e">
        <f t="shared" si="78"/>
        <v>#N/A</v>
      </c>
      <c r="K157" s="1663" t="e">
        <f t="shared" si="79"/>
        <v>#N/A</v>
      </c>
      <c r="L157" s="1663" t="e">
        <f t="shared" si="89"/>
        <v>#N/A</v>
      </c>
      <c r="M157" s="1663">
        <f t="shared" si="80"/>
        <v>0</v>
      </c>
      <c r="N157" s="1663">
        <f t="shared" si="81"/>
        <v>0</v>
      </c>
      <c r="O157" s="1663" t="e">
        <f t="shared" si="82"/>
        <v>#N/A</v>
      </c>
      <c r="P157" s="1663" t="e">
        <f t="shared" si="83"/>
        <v>#N/A</v>
      </c>
      <c r="Q157" s="1663" t="e">
        <f t="shared" si="90"/>
        <v>#N/A</v>
      </c>
      <c r="R157" s="1663">
        <f t="shared" si="84"/>
        <v>0</v>
      </c>
      <c r="S157" s="1663">
        <f t="shared" si="85"/>
        <v>0</v>
      </c>
      <c r="T157" s="1663" t="e">
        <f t="shared" si="86"/>
        <v>#N/A</v>
      </c>
      <c r="U157" s="1663" t="e">
        <f t="shared" si="87"/>
        <v>#N/A</v>
      </c>
      <c r="V157" s="1663" t="e">
        <f t="shared" si="91"/>
        <v>#N/A</v>
      </c>
    </row>
    <row r="158" spans="1:24">
      <c r="A158" s="261" t="s">
        <v>1299</v>
      </c>
      <c r="B158" s="1"/>
      <c r="C158" s="1663">
        <f t="shared" si="72"/>
        <v>0</v>
      </c>
      <c r="D158" s="1663">
        <f t="shared" si="73"/>
        <v>0</v>
      </c>
      <c r="E158" s="1663" t="e">
        <f t="shared" si="74"/>
        <v>#N/A</v>
      </c>
      <c r="F158" s="1663" t="e">
        <f t="shared" si="75"/>
        <v>#N/A</v>
      </c>
      <c r="G158" s="1663" t="e">
        <f t="shared" si="88"/>
        <v>#N/A</v>
      </c>
      <c r="H158" s="1663">
        <f t="shared" si="76"/>
        <v>0</v>
      </c>
      <c r="I158" s="1663">
        <f t="shared" si="77"/>
        <v>0</v>
      </c>
      <c r="J158" s="1663" t="e">
        <f t="shared" si="78"/>
        <v>#N/A</v>
      </c>
      <c r="K158" s="1663" t="e">
        <f t="shared" si="79"/>
        <v>#N/A</v>
      </c>
      <c r="L158" s="1663" t="e">
        <f t="shared" si="89"/>
        <v>#N/A</v>
      </c>
      <c r="M158" s="1663">
        <f t="shared" si="80"/>
        <v>0</v>
      </c>
      <c r="N158" s="1663">
        <f t="shared" si="81"/>
        <v>0</v>
      </c>
      <c r="O158" s="1663" t="e">
        <f t="shared" si="82"/>
        <v>#N/A</v>
      </c>
      <c r="P158" s="1663" t="e">
        <f t="shared" si="83"/>
        <v>#N/A</v>
      </c>
      <c r="Q158" s="1663" t="e">
        <f t="shared" si="90"/>
        <v>#N/A</v>
      </c>
      <c r="R158" s="1663">
        <f t="shared" si="84"/>
        <v>0</v>
      </c>
      <c r="S158" s="1663">
        <f t="shared" si="85"/>
        <v>0</v>
      </c>
      <c r="T158" s="1663" t="e">
        <f t="shared" si="86"/>
        <v>#N/A</v>
      </c>
      <c r="U158" s="1663" t="e">
        <f t="shared" si="87"/>
        <v>#N/A</v>
      </c>
      <c r="V158" s="1663" t="e">
        <f t="shared" si="91"/>
        <v>#N/A</v>
      </c>
    </row>
    <row r="159" spans="1:24">
      <c r="A159" s="261" t="s">
        <v>1300</v>
      </c>
      <c r="B159" s="1"/>
      <c r="C159" s="1663">
        <f t="shared" si="72"/>
        <v>0</v>
      </c>
      <c r="D159" s="1663">
        <f t="shared" si="73"/>
        <v>0</v>
      </c>
      <c r="E159" s="1663" t="e">
        <f t="shared" si="74"/>
        <v>#N/A</v>
      </c>
      <c r="F159" s="1663" t="e">
        <f t="shared" si="75"/>
        <v>#N/A</v>
      </c>
      <c r="G159" s="1663" t="e">
        <f t="shared" si="88"/>
        <v>#N/A</v>
      </c>
      <c r="H159" s="1663">
        <f t="shared" si="76"/>
        <v>0</v>
      </c>
      <c r="I159" s="1663">
        <f t="shared" si="77"/>
        <v>0</v>
      </c>
      <c r="J159" s="1663" t="e">
        <f t="shared" si="78"/>
        <v>#N/A</v>
      </c>
      <c r="K159" s="1663" t="e">
        <f t="shared" si="79"/>
        <v>#N/A</v>
      </c>
      <c r="L159" s="1663" t="e">
        <f t="shared" si="89"/>
        <v>#N/A</v>
      </c>
      <c r="M159" s="1663">
        <f t="shared" si="80"/>
        <v>0</v>
      </c>
      <c r="N159" s="1663">
        <f t="shared" si="81"/>
        <v>0</v>
      </c>
      <c r="O159" s="1663" t="e">
        <f t="shared" si="82"/>
        <v>#N/A</v>
      </c>
      <c r="P159" s="1663" t="e">
        <f t="shared" si="83"/>
        <v>#N/A</v>
      </c>
      <c r="Q159" s="1663" t="e">
        <f t="shared" si="90"/>
        <v>#N/A</v>
      </c>
      <c r="R159" s="1663">
        <f t="shared" si="84"/>
        <v>0</v>
      </c>
      <c r="S159" s="1663">
        <f t="shared" si="85"/>
        <v>0</v>
      </c>
      <c r="T159" s="1663" t="e">
        <f t="shared" si="86"/>
        <v>#N/A</v>
      </c>
      <c r="U159" s="1663" t="e">
        <f t="shared" si="87"/>
        <v>#N/A</v>
      </c>
      <c r="V159" s="1663" t="e">
        <f t="shared" si="91"/>
        <v>#N/A</v>
      </c>
    </row>
    <row r="160" spans="1:24">
      <c r="A160" s="261" t="s">
        <v>1301</v>
      </c>
      <c r="B160" s="1"/>
      <c r="C160" s="1663">
        <f t="shared" si="72"/>
        <v>0</v>
      </c>
      <c r="D160" s="1663">
        <f t="shared" si="73"/>
        <v>0</v>
      </c>
      <c r="E160" s="1663" t="e">
        <f t="shared" si="74"/>
        <v>#N/A</v>
      </c>
      <c r="F160" s="1663" t="e">
        <f t="shared" si="75"/>
        <v>#N/A</v>
      </c>
      <c r="G160" s="1663" t="e">
        <f t="shared" si="88"/>
        <v>#N/A</v>
      </c>
      <c r="H160" s="1663">
        <f t="shared" si="76"/>
        <v>0</v>
      </c>
      <c r="I160" s="1663">
        <f t="shared" si="77"/>
        <v>0</v>
      </c>
      <c r="J160" s="1663" t="e">
        <f t="shared" si="78"/>
        <v>#N/A</v>
      </c>
      <c r="K160" s="1663" t="e">
        <f t="shared" si="79"/>
        <v>#N/A</v>
      </c>
      <c r="L160" s="1663" t="e">
        <f t="shared" si="89"/>
        <v>#N/A</v>
      </c>
      <c r="M160" s="1663">
        <f t="shared" si="80"/>
        <v>0</v>
      </c>
      <c r="N160" s="1663">
        <f t="shared" si="81"/>
        <v>0</v>
      </c>
      <c r="O160" s="1663" t="e">
        <f t="shared" si="82"/>
        <v>#N/A</v>
      </c>
      <c r="P160" s="1663" t="e">
        <f t="shared" si="83"/>
        <v>#N/A</v>
      </c>
      <c r="Q160" s="1663" t="e">
        <f t="shared" si="90"/>
        <v>#N/A</v>
      </c>
      <c r="R160" s="1663">
        <f t="shared" si="84"/>
        <v>0</v>
      </c>
      <c r="S160" s="1663">
        <f t="shared" si="85"/>
        <v>0</v>
      </c>
      <c r="T160" s="1663" t="e">
        <f t="shared" si="86"/>
        <v>#N/A</v>
      </c>
      <c r="U160" s="1663" t="e">
        <f t="shared" si="87"/>
        <v>#N/A</v>
      </c>
      <c r="V160" s="1663" t="e">
        <f t="shared" si="91"/>
        <v>#N/A</v>
      </c>
    </row>
    <row r="161" spans="1:22">
      <c r="A161" s="270" t="s">
        <v>1302</v>
      </c>
      <c r="B161" s="1"/>
      <c r="C161" s="1663">
        <f t="shared" si="72"/>
        <v>0</v>
      </c>
      <c r="D161" s="1663">
        <f t="shared" si="73"/>
        <v>0</v>
      </c>
      <c r="E161" s="1663" t="e">
        <f t="shared" si="74"/>
        <v>#N/A</v>
      </c>
      <c r="F161" s="1663" t="e">
        <f t="shared" si="75"/>
        <v>#N/A</v>
      </c>
      <c r="G161" s="1663" t="e">
        <f t="shared" si="88"/>
        <v>#N/A</v>
      </c>
      <c r="H161" s="1663">
        <f t="shared" si="76"/>
        <v>0</v>
      </c>
      <c r="I161" s="1663">
        <f t="shared" si="77"/>
        <v>0</v>
      </c>
      <c r="J161" s="1663" t="e">
        <f t="shared" si="78"/>
        <v>#N/A</v>
      </c>
      <c r="K161" s="1663" t="e">
        <f t="shared" si="79"/>
        <v>#N/A</v>
      </c>
      <c r="L161" s="1663" t="e">
        <f t="shared" si="89"/>
        <v>#N/A</v>
      </c>
      <c r="M161" s="1663">
        <f t="shared" si="80"/>
        <v>0</v>
      </c>
      <c r="N161" s="1663">
        <f t="shared" si="81"/>
        <v>0</v>
      </c>
      <c r="O161" s="1663" t="e">
        <f t="shared" si="82"/>
        <v>#N/A</v>
      </c>
      <c r="P161" s="1663" t="e">
        <f t="shared" si="83"/>
        <v>#N/A</v>
      </c>
      <c r="Q161" s="1663" t="e">
        <f t="shared" si="90"/>
        <v>#N/A</v>
      </c>
      <c r="R161" s="1663">
        <f t="shared" si="84"/>
        <v>0</v>
      </c>
      <c r="S161" s="1663">
        <f t="shared" si="85"/>
        <v>0</v>
      </c>
      <c r="T161" s="1663" t="e">
        <f t="shared" si="86"/>
        <v>#N/A</v>
      </c>
      <c r="U161" s="1663" t="e">
        <f t="shared" si="87"/>
        <v>#N/A</v>
      </c>
      <c r="V161" s="1663" t="e">
        <f t="shared" si="91"/>
        <v>#N/A</v>
      </c>
    </row>
    <row r="162" spans="1:22">
      <c r="A162" s="270" t="s">
        <v>1303</v>
      </c>
      <c r="B162" s="1"/>
      <c r="C162" s="1663">
        <f t="shared" si="72"/>
        <v>0</v>
      </c>
      <c r="D162" s="1663">
        <f t="shared" si="73"/>
        <v>0</v>
      </c>
      <c r="E162" s="1663" t="e">
        <f t="shared" si="74"/>
        <v>#N/A</v>
      </c>
      <c r="F162" s="1663" t="e">
        <f t="shared" si="75"/>
        <v>#N/A</v>
      </c>
      <c r="G162" s="1663" t="e">
        <f t="shared" si="88"/>
        <v>#N/A</v>
      </c>
      <c r="H162" s="1663">
        <f t="shared" si="76"/>
        <v>0</v>
      </c>
      <c r="I162" s="1663">
        <f t="shared" si="77"/>
        <v>0</v>
      </c>
      <c r="J162" s="1663" t="e">
        <f t="shared" si="78"/>
        <v>#N/A</v>
      </c>
      <c r="K162" s="1663" t="e">
        <f t="shared" si="79"/>
        <v>#N/A</v>
      </c>
      <c r="L162" s="1663" t="e">
        <f t="shared" si="89"/>
        <v>#N/A</v>
      </c>
      <c r="M162" s="1663">
        <f t="shared" si="80"/>
        <v>0</v>
      </c>
      <c r="N162" s="1663">
        <f t="shared" si="81"/>
        <v>0</v>
      </c>
      <c r="O162" s="1663" t="e">
        <f t="shared" si="82"/>
        <v>#N/A</v>
      </c>
      <c r="P162" s="1663" t="e">
        <f t="shared" si="83"/>
        <v>#N/A</v>
      </c>
      <c r="Q162" s="1663" t="e">
        <f t="shared" si="90"/>
        <v>#N/A</v>
      </c>
      <c r="R162" s="1663">
        <f t="shared" si="84"/>
        <v>0</v>
      </c>
      <c r="S162" s="1663">
        <f t="shared" si="85"/>
        <v>0</v>
      </c>
      <c r="T162" s="1663" t="e">
        <f t="shared" si="86"/>
        <v>#N/A</v>
      </c>
      <c r="U162" s="1663" t="e">
        <f t="shared" si="87"/>
        <v>#N/A</v>
      </c>
      <c r="V162" s="1663" t="e">
        <f t="shared" si="91"/>
        <v>#N/A</v>
      </c>
    </row>
    <row r="163" spans="1:22">
      <c r="A163"/>
      <c r="B163"/>
    </row>
    <row r="164" spans="1:22">
      <c r="A164" s="1185" t="s">
        <v>1305</v>
      </c>
      <c r="B164" s="565"/>
    </row>
    <row r="165" spans="1:22">
      <c r="A165" s="909" t="s">
        <v>1306</v>
      </c>
      <c r="B165" s="565"/>
    </row>
    <row r="166" spans="1:22">
      <c r="A166" s="909" t="s">
        <v>1307</v>
      </c>
      <c r="B166" s="565"/>
    </row>
    <row r="167" spans="1:22">
      <c r="A167" s="909" t="s">
        <v>1308</v>
      </c>
      <c r="B167" s="565"/>
    </row>
    <row r="168" spans="1:22">
      <c r="A168" s="1132" t="s">
        <v>348</v>
      </c>
      <c r="B168" s="1"/>
    </row>
    <row r="169" spans="1:22">
      <c r="A169" s="1133" t="s">
        <v>349</v>
      </c>
      <c r="B169" s="1"/>
    </row>
    <row r="170" spans="1:22">
      <c r="A170" s="1133" t="s">
        <v>350</v>
      </c>
      <c r="B170" s="1"/>
    </row>
    <row r="171" spans="1:22">
      <c r="A171" s="1133" t="s">
        <v>351</v>
      </c>
      <c r="B171" s="1"/>
    </row>
    <row r="172" spans="1:22">
      <c r="A172" s="1133" t="s">
        <v>1309</v>
      </c>
      <c r="B172" s="1"/>
    </row>
    <row r="173" spans="1:22">
      <c r="A173" s="1133" t="s">
        <v>353</v>
      </c>
      <c r="B173" s="1"/>
    </row>
    <row r="174" spans="1:22" ht="13.5" thickBot="1">
      <c r="A174" s="9" t="s">
        <v>355</v>
      </c>
      <c r="B174" s="1190"/>
    </row>
    <row r="175" spans="1:22" ht="13.5" thickTop="1">
      <c r="A175" s="1"/>
      <c r="B175" s="1"/>
    </row>
    <row r="188" spans="1:2">
      <c r="A188" s="1"/>
      <c r="B188" s="1"/>
    </row>
    <row r="202" spans="1:2">
      <c r="A202" s="1"/>
      <c r="B202" s="1"/>
    </row>
    <row r="203" spans="1:2">
      <c r="A203" s="1"/>
      <c r="B203" s="1"/>
    </row>
    <row r="217" spans="1:2">
      <c r="A217" s="91"/>
      <c r="B217" s="91"/>
    </row>
    <row r="222" spans="1:2">
      <c r="A222" s="1"/>
      <c r="B222" s="1"/>
    </row>
    <row r="223" spans="1:2">
      <c r="A223" s="1"/>
      <c r="B223" s="1"/>
    </row>
    <row r="224" spans="1:2">
      <c r="A224" s="1"/>
      <c r="B224" s="1"/>
    </row>
    <row r="234" spans="1:2">
      <c r="A234" s="90"/>
      <c r="B234" s="1"/>
    </row>
    <row r="238" spans="1:2">
      <c r="A238" s="1"/>
      <c r="B238" s="1"/>
    </row>
    <row r="239" spans="1:2">
      <c r="A239" s="1"/>
      <c r="B239" s="1"/>
    </row>
    <row r="240" spans="1:2">
      <c r="A240" s="1"/>
      <c r="B240" s="1"/>
    </row>
    <row r="241" spans="1:2">
      <c r="A241" s="1"/>
      <c r="B241" s="1"/>
    </row>
    <row r="242" spans="1:2">
      <c r="A242" s="1"/>
      <c r="B242" s="1"/>
    </row>
    <row r="243" spans="1:2">
      <c r="A243" s="92"/>
      <c r="B243" s="92"/>
    </row>
    <row r="244" spans="1:2">
      <c r="A244" s="1"/>
      <c r="B244" s="1"/>
    </row>
  </sheetData>
  <mergeCells count="1">
    <mergeCell ref="A4:B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52DCA-7900-424F-951C-02987878B7C1}">
  <dimension ref="A1:AC896"/>
  <sheetViews>
    <sheetView zoomScale="50" zoomScaleNormal="50" workbookViewId="0">
      <pane xSplit="2" ySplit="6" topLeftCell="C602" activePane="bottomRight" state="frozen"/>
      <selection activeCell="AA14" sqref="AA14"/>
      <selection pane="topRight" activeCell="AA14" sqref="AA14"/>
      <selection pane="bottomLeft" activeCell="AA14" sqref="AA14"/>
      <selection pane="bottomRight" activeCell="B610" sqref="B610"/>
    </sheetView>
  </sheetViews>
  <sheetFormatPr defaultColWidth="181" defaultRowHeight="12.75"/>
  <cols>
    <col min="1" max="1" width="13.5703125" style="1560" customWidth="1"/>
    <col min="2" max="2" width="19.42578125" style="1560" customWidth="1"/>
    <col min="3" max="3" width="15.140625" style="1560" bestFit="1" customWidth="1"/>
    <col min="4" max="4" width="14.5703125" style="1560" bestFit="1" customWidth="1"/>
    <col min="5" max="5" width="11.28515625" style="1560" bestFit="1" customWidth="1"/>
    <col min="6" max="6" width="11.140625" style="1560" bestFit="1" customWidth="1"/>
    <col min="7" max="7" width="11.28515625" style="1560" bestFit="1" customWidth="1"/>
    <col min="8" max="8" width="13.140625" style="1560" bestFit="1" customWidth="1"/>
    <col min="9" max="9" width="11.28515625" style="1560" bestFit="1" customWidth="1"/>
    <col min="10" max="10" width="15.28515625" style="1560" customWidth="1"/>
    <col min="11" max="11" width="3.42578125" style="1560" bestFit="1" customWidth="1"/>
    <col min="12" max="12" width="10.85546875" style="1560" customWidth="1"/>
    <col min="13" max="13" width="9.85546875" style="1560" bestFit="1" customWidth="1"/>
    <col min="14" max="14" width="8.140625" style="1560" bestFit="1" customWidth="1"/>
    <col min="15" max="15" width="9.5703125" style="1560" bestFit="1" customWidth="1"/>
    <col min="16" max="16" width="11.140625" style="1560" bestFit="1" customWidth="1"/>
    <col min="17" max="17" width="10" style="1560" bestFit="1" customWidth="1"/>
    <col min="18" max="18" width="11.140625" style="1560" bestFit="1" customWidth="1"/>
    <col min="19" max="19" width="12.28515625" style="1560" customWidth="1"/>
    <col min="20" max="20" width="11.28515625" style="1560" bestFit="1" customWidth="1"/>
    <col min="21" max="21" width="10" style="1560" bestFit="1" customWidth="1"/>
    <col min="22" max="22" width="11.28515625" style="1560" bestFit="1" customWidth="1"/>
    <col min="23" max="23" width="11.7109375" style="1560" bestFit="1" customWidth="1"/>
    <col min="24" max="24" width="11.28515625" style="1560" bestFit="1" customWidth="1"/>
    <col min="25" max="25" width="13" style="1560" bestFit="1" customWidth="1"/>
    <col min="26" max="26" width="14.28515625" style="1560" customWidth="1"/>
    <col min="27" max="27" width="11.28515625" style="1560" bestFit="1" customWidth="1"/>
    <col min="28" max="28" width="15.28515625" style="1560" customWidth="1"/>
    <col min="29" max="16384" width="181" style="1560"/>
  </cols>
  <sheetData>
    <row r="1" spans="1:29" s="1695" customFormat="1" ht="15">
      <c r="B1" s="1696"/>
      <c r="C1" s="1696" t="s">
        <v>1828</v>
      </c>
      <c r="D1" s="1696"/>
      <c r="E1" s="1696" t="s">
        <v>704</v>
      </c>
      <c r="F1" s="1696"/>
      <c r="G1" s="1696" t="s">
        <v>1150</v>
      </c>
      <c r="H1" s="1696"/>
      <c r="I1" s="1696" t="s">
        <v>706</v>
      </c>
      <c r="K1" s="1696" t="s">
        <v>1832</v>
      </c>
      <c r="L1" s="1696"/>
      <c r="M1" s="1696"/>
      <c r="N1" s="1696"/>
      <c r="O1" s="1696"/>
      <c r="P1" s="1697" t="s">
        <v>4093</v>
      </c>
      <c r="R1" s="1696" t="s">
        <v>4094</v>
      </c>
      <c r="S1" s="1696"/>
      <c r="T1" s="1696" t="s">
        <v>4095</v>
      </c>
      <c r="U1" s="1698"/>
      <c r="V1" s="1699" t="s">
        <v>4096</v>
      </c>
      <c r="W1" s="1700"/>
      <c r="X1" s="1697" t="s">
        <v>4097</v>
      </c>
      <c r="Y1" s="1696"/>
      <c r="Z1" s="1696" t="s">
        <v>357</v>
      </c>
      <c r="AA1" s="1696"/>
      <c r="AB1" s="1696"/>
    </row>
    <row r="2" spans="1:29" ht="15.75" customHeight="1">
      <c r="A2" s="3047" t="s">
        <v>4098</v>
      </c>
      <c r="B2" s="3048"/>
      <c r="C2" s="3048"/>
      <c r="D2" s="3048"/>
      <c r="E2" s="3048"/>
      <c r="F2" s="3048"/>
      <c r="G2" s="3048"/>
      <c r="H2" s="3048"/>
      <c r="I2" s="3048"/>
      <c r="J2" s="3048"/>
      <c r="K2" s="3048"/>
      <c r="L2" s="3048"/>
      <c r="M2" s="3048"/>
      <c r="N2" s="3048"/>
      <c r="O2" s="3048"/>
      <c r="P2" s="3048"/>
      <c r="Q2" s="3048"/>
      <c r="R2" s="3048"/>
      <c r="S2" s="3048"/>
      <c r="T2" s="3048"/>
      <c r="U2" s="3048"/>
      <c r="V2" s="3048"/>
      <c r="W2" s="3048"/>
      <c r="X2" s="3048"/>
      <c r="Y2" s="3048"/>
      <c r="Z2" s="3048"/>
      <c r="AA2" s="3048"/>
      <c r="AB2" s="3048"/>
    </row>
    <row r="3" spans="1:29" ht="55.5" customHeight="1">
      <c r="A3" s="3049" t="s">
        <v>1836</v>
      </c>
      <c r="B3" s="3050"/>
      <c r="C3" s="3051" t="s">
        <v>1845</v>
      </c>
      <c r="D3" s="3049"/>
      <c r="E3" s="3049"/>
      <c r="F3" s="3049"/>
      <c r="G3" s="3049"/>
      <c r="H3" s="3049"/>
      <c r="I3" s="3049"/>
      <c r="J3" s="3049"/>
      <c r="K3" s="3049"/>
      <c r="L3" s="3049"/>
      <c r="M3" s="3049"/>
      <c r="N3" s="3049"/>
      <c r="O3" s="3050"/>
      <c r="P3" s="3051" t="s">
        <v>4099</v>
      </c>
      <c r="Q3" s="3049"/>
      <c r="R3" s="3049"/>
      <c r="S3" s="3049"/>
      <c r="T3" s="3049"/>
      <c r="U3" s="3049"/>
      <c r="V3" s="3049"/>
      <c r="W3" s="3049"/>
      <c r="X3" s="3049"/>
      <c r="Y3" s="3049"/>
      <c r="Z3" s="3050"/>
      <c r="AA3" s="3051" t="s">
        <v>4100</v>
      </c>
      <c r="AB3" s="3049"/>
      <c r="AC3" s="3050"/>
    </row>
    <row r="4" spans="1:29" ht="32.25">
      <c r="A4" s="1701" t="s">
        <v>80</v>
      </c>
      <c r="B4" s="1701" t="s">
        <v>1846</v>
      </c>
      <c r="C4" s="2041" t="s">
        <v>4101</v>
      </c>
      <c r="D4" s="2041" t="s">
        <v>4102</v>
      </c>
      <c r="E4" s="2041" t="s">
        <v>704</v>
      </c>
      <c r="F4" s="2041" t="s">
        <v>4102</v>
      </c>
      <c r="G4" s="2041" t="s">
        <v>4103</v>
      </c>
      <c r="H4" s="2041" t="s">
        <v>4102</v>
      </c>
      <c r="I4" s="2041" t="s">
        <v>4104</v>
      </c>
      <c r="J4" s="2041" t="s">
        <v>4102</v>
      </c>
      <c r="K4" s="2041" t="s">
        <v>1832</v>
      </c>
      <c r="L4" s="3052" t="s">
        <v>1878</v>
      </c>
      <c r="M4" s="3052" t="s">
        <v>707</v>
      </c>
      <c r="N4" s="3052" t="s">
        <v>1879</v>
      </c>
      <c r="O4" s="2041" t="s">
        <v>4105</v>
      </c>
      <c r="P4" s="2035" t="s">
        <v>4106</v>
      </c>
      <c r="Q4" s="3041" t="s">
        <v>4107</v>
      </c>
      <c r="R4" s="2035" t="s">
        <v>4108</v>
      </c>
      <c r="S4" s="3041" t="s">
        <v>4107</v>
      </c>
      <c r="T4" s="2035" t="s">
        <v>1338</v>
      </c>
      <c r="U4" s="3041" t="s">
        <v>4107</v>
      </c>
      <c r="V4" s="2035" t="s">
        <v>4109</v>
      </c>
      <c r="W4" s="3041" t="s">
        <v>4107</v>
      </c>
      <c r="X4" s="2035" t="s">
        <v>4110</v>
      </c>
      <c r="Y4" s="3041" t="s">
        <v>4107</v>
      </c>
      <c r="Z4" s="2035" t="s">
        <v>357</v>
      </c>
      <c r="AA4" s="2038" t="s">
        <v>4111</v>
      </c>
      <c r="AB4" s="3044" t="s">
        <v>4107</v>
      </c>
      <c r="AC4" s="2038" t="s">
        <v>4112</v>
      </c>
    </row>
    <row r="5" spans="1:29" ht="30">
      <c r="A5" s="1702"/>
      <c r="B5" s="1702"/>
      <c r="C5" s="2042" t="s">
        <v>4113</v>
      </c>
      <c r="D5" s="2042" t="s">
        <v>4114</v>
      </c>
      <c r="E5" s="2042" t="s">
        <v>4115</v>
      </c>
      <c r="F5" s="2042" t="s">
        <v>4114</v>
      </c>
      <c r="G5" s="2042" t="s">
        <v>716</v>
      </c>
      <c r="H5" s="2042" t="s">
        <v>4114</v>
      </c>
      <c r="I5" s="2042" t="s">
        <v>4116</v>
      </c>
      <c r="J5" s="2042" t="s">
        <v>4114</v>
      </c>
      <c r="K5" s="2042" t="s">
        <v>4117</v>
      </c>
      <c r="L5" s="3053"/>
      <c r="M5" s="3053"/>
      <c r="N5" s="3053"/>
      <c r="O5" s="2042" t="s">
        <v>958</v>
      </c>
      <c r="P5" s="2036" t="s">
        <v>958</v>
      </c>
      <c r="Q5" s="3042"/>
      <c r="R5" s="2036" t="s">
        <v>958</v>
      </c>
      <c r="S5" s="3042"/>
      <c r="T5" s="2036" t="s">
        <v>4118</v>
      </c>
      <c r="U5" s="3042"/>
      <c r="V5" s="2036" t="s">
        <v>4118</v>
      </c>
      <c r="W5" s="3042"/>
      <c r="X5" s="2036" t="s">
        <v>4119</v>
      </c>
      <c r="Y5" s="3042"/>
      <c r="Z5" s="2036" t="s">
        <v>4119</v>
      </c>
      <c r="AA5" s="2039" t="s">
        <v>1959</v>
      </c>
      <c r="AB5" s="3045"/>
      <c r="AC5" s="2039" t="s">
        <v>1959</v>
      </c>
    </row>
    <row r="6" spans="1:29" ht="18">
      <c r="A6" s="1703"/>
      <c r="B6" s="1703"/>
      <c r="C6" s="2043"/>
      <c r="D6" s="2043" t="s">
        <v>4120</v>
      </c>
      <c r="E6" s="2043"/>
      <c r="F6" s="2043" t="s">
        <v>4120</v>
      </c>
      <c r="G6" s="2043"/>
      <c r="H6" s="2043" t="s">
        <v>4120</v>
      </c>
      <c r="I6" s="2043"/>
      <c r="J6" s="2043" t="s">
        <v>4120</v>
      </c>
      <c r="K6" s="2043" t="s">
        <v>3163</v>
      </c>
      <c r="L6" s="3054"/>
      <c r="M6" s="3054"/>
      <c r="N6" s="3054"/>
      <c r="O6" s="2043"/>
      <c r="P6" s="2037"/>
      <c r="Q6" s="3043"/>
      <c r="R6" s="2037"/>
      <c r="S6" s="3043"/>
      <c r="T6" s="2037" t="s">
        <v>4121</v>
      </c>
      <c r="U6" s="3043"/>
      <c r="V6" s="2037" t="s">
        <v>4121</v>
      </c>
      <c r="W6" s="3043"/>
      <c r="X6" s="2037"/>
      <c r="Y6" s="3043"/>
      <c r="Z6" s="2037"/>
      <c r="AA6" s="2040" t="s">
        <v>958</v>
      </c>
      <c r="AB6" s="3046"/>
      <c r="AC6" s="2040" t="s">
        <v>958</v>
      </c>
    </row>
    <row r="7" spans="1:29" ht="15">
      <c r="A7" s="1704" t="s">
        <v>1881</v>
      </c>
      <c r="B7" s="1705" t="s">
        <v>1882</v>
      </c>
      <c r="C7" s="1706"/>
      <c r="D7" s="1707"/>
      <c r="E7" s="1708"/>
      <c r="F7" s="1707"/>
      <c r="G7" s="1709">
        <v>2.9999999999999997E-4</v>
      </c>
      <c r="H7" s="1708" t="s">
        <v>1116</v>
      </c>
      <c r="I7" s="1708"/>
      <c r="J7" s="1707"/>
      <c r="K7" s="1707"/>
      <c r="L7" s="1707"/>
      <c r="M7" s="1708">
        <v>1</v>
      </c>
      <c r="N7" s="1708">
        <v>0.1</v>
      </c>
      <c r="O7" s="1710"/>
      <c r="P7" s="1711">
        <v>19</v>
      </c>
      <c r="Q7" s="1712" t="s">
        <v>1471</v>
      </c>
      <c r="R7" s="1711">
        <v>250</v>
      </c>
      <c r="S7" s="1712" t="s">
        <v>1471</v>
      </c>
      <c r="T7" s="1712"/>
      <c r="U7" s="1713"/>
      <c r="V7" s="1712"/>
      <c r="W7" s="1713"/>
      <c r="X7" s="1711">
        <v>6</v>
      </c>
      <c r="Y7" s="1714" t="s">
        <v>1471</v>
      </c>
      <c r="Z7" s="1713"/>
      <c r="AA7" s="1715">
        <v>1.2999999999999999E-3</v>
      </c>
      <c r="AB7" s="1716" t="s">
        <v>1471</v>
      </c>
      <c r="AC7" s="1717"/>
    </row>
    <row r="8" spans="1:29" ht="15">
      <c r="A8" s="1704" t="s">
        <v>1886</v>
      </c>
      <c r="B8" s="1705" t="s">
        <v>1887</v>
      </c>
      <c r="C8" s="1706"/>
      <c r="D8" s="1707"/>
      <c r="E8" s="1709">
        <v>2.2000000000000001E-6</v>
      </c>
      <c r="F8" s="1708" t="s">
        <v>1119</v>
      </c>
      <c r="G8" s="1708"/>
      <c r="H8" s="1707"/>
      <c r="I8" s="1709">
        <v>8.9999999999999993E-3</v>
      </c>
      <c r="J8" s="1708" t="s">
        <v>1119</v>
      </c>
      <c r="K8" s="1708" t="s">
        <v>1127</v>
      </c>
      <c r="L8" s="1707"/>
      <c r="M8" s="1708">
        <v>1</v>
      </c>
      <c r="N8" s="1708"/>
      <c r="O8" s="1718">
        <v>107000</v>
      </c>
      <c r="P8" s="1711">
        <v>11</v>
      </c>
      <c r="Q8" s="1712" t="s">
        <v>4122</v>
      </c>
      <c r="R8" s="1711">
        <v>49</v>
      </c>
      <c r="S8" s="1712" t="s">
        <v>4122</v>
      </c>
      <c r="T8" s="1711">
        <v>1.3</v>
      </c>
      <c r="U8" s="1712" t="s">
        <v>4122</v>
      </c>
      <c r="V8" s="1711">
        <v>5.6</v>
      </c>
      <c r="W8" s="1712" t="s">
        <v>4122</v>
      </c>
      <c r="X8" s="1711">
        <v>2.6</v>
      </c>
      <c r="Y8" s="1714" t="s">
        <v>4122</v>
      </c>
      <c r="Z8" s="1713"/>
      <c r="AA8" s="1715">
        <v>5.1999999999999995E-4</v>
      </c>
      <c r="AB8" s="1716" t="s">
        <v>4122</v>
      </c>
      <c r="AC8" s="1717"/>
    </row>
    <row r="9" spans="1:29" ht="15">
      <c r="A9" s="1719" t="s">
        <v>1888</v>
      </c>
      <c r="B9" s="1720" t="s">
        <v>1889</v>
      </c>
      <c r="C9" s="1721"/>
      <c r="D9" s="1722"/>
      <c r="E9" s="1723"/>
      <c r="F9" s="1722"/>
      <c r="G9" s="1724">
        <v>0.02</v>
      </c>
      <c r="H9" s="1723" t="s">
        <v>1119</v>
      </c>
      <c r="I9" s="1723"/>
      <c r="J9" s="1722"/>
      <c r="K9" s="1722"/>
      <c r="L9" s="1722"/>
      <c r="M9" s="1723">
        <v>1</v>
      </c>
      <c r="N9" s="1723">
        <v>0.1</v>
      </c>
      <c r="O9" s="1725"/>
      <c r="P9" s="1726">
        <v>1300</v>
      </c>
      <c r="Q9" s="1727" t="s">
        <v>1471</v>
      </c>
      <c r="R9" s="1726">
        <v>16000</v>
      </c>
      <c r="S9" s="1727" t="s">
        <v>1471</v>
      </c>
      <c r="T9" s="1727"/>
      <c r="U9" s="1728"/>
      <c r="V9" s="1727"/>
      <c r="W9" s="1728"/>
      <c r="X9" s="1726">
        <v>350</v>
      </c>
      <c r="Y9" s="1729" t="s">
        <v>1471</v>
      </c>
      <c r="Z9" s="1728"/>
      <c r="AA9" s="1730">
        <v>0.28000000000000003</v>
      </c>
      <c r="AB9" s="1731" t="s">
        <v>1471</v>
      </c>
      <c r="AC9" s="1732"/>
    </row>
    <row r="10" spans="1:29" ht="15">
      <c r="A10" s="1704" t="s">
        <v>392</v>
      </c>
      <c r="B10" s="1705" t="s">
        <v>391</v>
      </c>
      <c r="C10" s="1706"/>
      <c r="D10" s="1707"/>
      <c r="E10" s="1708"/>
      <c r="F10" s="1707"/>
      <c r="G10" s="1709">
        <v>0.9</v>
      </c>
      <c r="H10" s="1708" t="s">
        <v>1119</v>
      </c>
      <c r="I10" s="1708"/>
      <c r="J10" s="1707"/>
      <c r="K10" s="1708" t="s">
        <v>1127</v>
      </c>
      <c r="L10" s="1707"/>
      <c r="M10" s="1708">
        <v>1</v>
      </c>
      <c r="N10" s="1708"/>
      <c r="O10" s="1718">
        <v>114000</v>
      </c>
      <c r="P10" s="1711">
        <v>70000</v>
      </c>
      <c r="Q10" s="1712" t="s">
        <v>1471</v>
      </c>
      <c r="R10" s="1711">
        <v>1100000</v>
      </c>
      <c r="S10" s="1712" t="s">
        <v>4123</v>
      </c>
      <c r="T10" s="1712"/>
      <c r="U10" s="1713"/>
      <c r="V10" s="1712"/>
      <c r="W10" s="1713"/>
      <c r="X10" s="1711">
        <v>18000</v>
      </c>
      <c r="Y10" s="1714" t="s">
        <v>1471</v>
      </c>
      <c r="Z10" s="1713"/>
      <c r="AA10" s="1715">
        <v>3.7</v>
      </c>
      <c r="AB10" s="1716" t="s">
        <v>1471</v>
      </c>
      <c r="AC10" s="1717"/>
    </row>
    <row r="11" spans="1:29" ht="30">
      <c r="A11" s="1704" t="s">
        <v>1891</v>
      </c>
      <c r="B11" s="1705" t="s">
        <v>1892</v>
      </c>
      <c r="C11" s="1706"/>
      <c r="D11" s="1707"/>
      <c r="E11" s="1708"/>
      <c r="F11" s="1707"/>
      <c r="G11" s="1708"/>
      <c r="H11" s="1707"/>
      <c r="I11" s="1709">
        <v>2E-3</v>
      </c>
      <c r="J11" s="1708" t="s">
        <v>1893</v>
      </c>
      <c r="K11" s="1707"/>
      <c r="L11" s="1707"/>
      <c r="M11" s="1708">
        <v>1</v>
      </c>
      <c r="N11" s="1708">
        <v>0.1</v>
      </c>
      <c r="O11" s="1710"/>
      <c r="P11" s="1711">
        <v>2800000</v>
      </c>
      <c r="Q11" s="1712" t="s">
        <v>4124</v>
      </c>
      <c r="R11" s="1711">
        <v>12000000</v>
      </c>
      <c r="S11" s="1712" t="s">
        <v>4124</v>
      </c>
      <c r="T11" s="1711">
        <v>2.1</v>
      </c>
      <c r="U11" s="1712" t="s">
        <v>1471</v>
      </c>
      <c r="V11" s="1711">
        <v>8.8000000000000007</v>
      </c>
      <c r="W11" s="1712" t="s">
        <v>1471</v>
      </c>
      <c r="X11" s="1712"/>
      <c r="Y11" s="1733"/>
      <c r="Z11" s="1713"/>
      <c r="AA11" s="1716"/>
      <c r="AB11" s="1734"/>
      <c r="AC11" s="1717"/>
    </row>
    <row r="12" spans="1:29" ht="15">
      <c r="A12" s="1719" t="s">
        <v>1894</v>
      </c>
      <c r="B12" s="1720" t="s">
        <v>1895</v>
      </c>
      <c r="C12" s="1721"/>
      <c r="D12" s="1722"/>
      <c r="E12" s="1723"/>
      <c r="F12" s="1722"/>
      <c r="G12" s="1723"/>
      <c r="H12" s="1722"/>
      <c r="I12" s="1724">
        <v>0.06</v>
      </c>
      <c r="J12" s="1723" t="s">
        <v>1119</v>
      </c>
      <c r="K12" s="1723" t="s">
        <v>1127</v>
      </c>
      <c r="L12" s="1722"/>
      <c r="M12" s="1723">
        <v>1</v>
      </c>
      <c r="N12" s="1723"/>
      <c r="O12" s="1735">
        <v>128000</v>
      </c>
      <c r="P12" s="1726">
        <v>810</v>
      </c>
      <c r="Q12" s="1727" t="s">
        <v>1471</v>
      </c>
      <c r="R12" s="1726">
        <v>3400</v>
      </c>
      <c r="S12" s="1727" t="s">
        <v>1471</v>
      </c>
      <c r="T12" s="1726">
        <v>63</v>
      </c>
      <c r="U12" s="1727" t="s">
        <v>1471</v>
      </c>
      <c r="V12" s="1726">
        <v>260</v>
      </c>
      <c r="W12" s="1727" t="s">
        <v>1471</v>
      </c>
      <c r="X12" s="1726">
        <v>130</v>
      </c>
      <c r="Y12" s="1729" t="s">
        <v>1471</v>
      </c>
      <c r="Z12" s="1728"/>
      <c r="AA12" s="1730">
        <v>2.5999999999999999E-2</v>
      </c>
      <c r="AB12" s="1731" t="s">
        <v>1471</v>
      </c>
      <c r="AC12" s="1732"/>
    </row>
    <row r="13" spans="1:29" ht="15">
      <c r="A13" s="1704" t="s">
        <v>1896</v>
      </c>
      <c r="B13" s="1705" t="s">
        <v>1897</v>
      </c>
      <c r="C13" s="1706"/>
      <c r="D13" s="1707"/>
      <c r="E13" s="1708"/>
      <c r="F13" s="1707"/>
      <c r="G13" s="1709">
        <v>0.1</v>
      </c>
      <c r="H13" s="1708" t="s">
        <v>1119</v>
      </c>
      <c r="I13" s="1708"/>
      <c r="J13" s="1707"/>
      <c r="K13" s="1708" t="s">
        <v>1127</v>
      </c>
      <c r="L13" s="1707"/>
      <c r="M13" s="1708">
        <v>1</v>
      </c>
      <c r="N13" s="1708"/>
      <c r="O13" s="1718">
        <v>2520</v>
      </c>
      <c r="P13" s="1711">
        <v>7800</v>
      </c>
      <c r="Q13" s="1712" t="s">
        <v>4125</v>
      </c>
      <c r="R13" s="1711">
        <v>120000</v>
      </c>
      <c r="S13" s="1712" t="s">
        <v>4123</v>
      </c>
      <c r="T13" s="1712"/>
      <c r="U13" s="1713"/>
      <c r="V13" s="1712"/>
      <c r="W13" s="1713"/>
      <c r="X13" s="1711">
        <v>1900</v>
      </c>
      <c r="Y13" s="1714" t="s">
        <v>1471</v>
      </c>
      <c r="Z13" s="1713"/>
      <c r="AA13" s="1715">
        <v>0.57999999999999996</v>
      </c>
      <c r="AB13" s="1716" t="s">
        <v>1471</v>
      </c>
      <c r="AC13" s="1717"/>
    </row>
    <row r="14" spans="1:29" ht="30">
      <c r="A14" s="1704" t="s">
        <v>1898</v>
      </c>
      <c r="B14" s="1705" t="s">
        <v>1899</v>
      </c>
      <c r="C14" s="1736">
        <v>3.8</v>
      </c>
      <c r="D14" s="1708" t="s">
        <v>1900</v>
      </c>
      <c r="E14" s="1709">
        <v>1.2999999999999999E-3</v>
      </c>
      <c r="F14" s="1708" t="s">
        <v>1900</v>
      </c>
      <c r="G14" s="1708"/>
      <c r="H14" s="1707"/>
      <c r="I14" s="1708"/>
      <c r="J14" s="1707"/>
      <c r="K14" s="1707"/>
      <c r="L14" s="1707"/>
      <c r="M14" s="1708">
        <v>1</v>
      </c>
      <c r="N14" s="1708">
        <v>0.1</v>
      </c>
      <c r="O14" s="1710"/>
      <c r="P14" s="1711">
        <v>0.14000000000000001</v>
      </c>
      <c r="Q14" s="1712" t="s">
        <v>4126</v>
      </c>
      <c r="R14" s="1711">
        <v>0.6</v>
      </c>
      <c r="S14" s="1712" t="s">
        <v>4126</v>
      </c>
      <c r="T14" s="1711">
        <v>2.2000000000000001E-3</v>
      </c>
      <c r="U14" s="1712" t="s">
        <v>4126</v>
      </c>
      <c r="V14" s="1711">
        <v>9.4000000000000004E-3</v>
      </c>
      <c r="W14" s="1712" t="s">
        <v>4126</v>
      </c>
      <c r="X14" s="1711">
        <v>1.6E-2</v>
      </c>
      <c r="Y14" s="1714" t="s">
        <v>4126</v>
      </c>
      <c r="Z14" s="1713"/>
      <c r="AA14" s="1715">
        <v>7.4999999999999993E-5</v>
      </c>
      <c r="AB14" s="1716" t="s">
        <v>4126</v>
      </c>
      <c r="AC14" s="1717"/>
    </row>
    <row r="15" spans="1:29" ht="15">
      <c r="A15" s="1719" t="s">
        <v>1901</v>
      </c>
      <c r="B15" s="1720" t="s">
        <v>1902</v>
      </c>
      <c r="C15" s="1721"/>
      <c r="D15" s="1722"/>
      <c r="E15" s="1723"/>
      <c r="F15" s="1722"/>
      <c r="G15" s="1724">
        <v>5.0000000000000001E-4</v>
      </c>
      <c r="H15" s="1723" t="s">
        <v>1119</v>
      </c>
      <c r="I15" s="1724">
        <v>2.0000000000000002E-5</v>
      </c>
      <c r="J15" s="1723" t="s">
        <v>1119</v>
      </c>
      <c r="K15" s="1723" t="s">
        <v>1127</v>
      </c>
      <c r="L15" s="1722"/>
      <c r="M15" s="1723">
        <v>1</v>
      </c>
      <c r="N15" s="1723"/>
      <c r="O15" s="1735">
        <v>22700</v>
      </c>
      <c r="P15" s="1726">
        <v>0.14000000000000001</v>
      </c>
      <c r="Q15" s="1727" t="s">
        <v>1471</v>
      </c>
      <c r="R15" s="1726">
        <v>0.6</v>
      </c>
      <c r="S15" s="1727" t="s">
        <v>1471</v>
      </c>
      <c r="T15" s="1726">
        <v>2.1000000000000001E-2</v>
      </c>
      <c r="U15" s="1727" t="s">
        <v>1471</v>
      </c>
      <c r="V15" s="1726">
        <v>8.7999999999999995E-2</v>
      </c>
      <c r="W15" s="1727" t="s">
        <v>1471</v>
      </c>
      <c r="X15" s="1726">
        <v>4.2000000000000003E-2</v>
      </c>
      <c r="Y15" s="1729" t="s">
        <v>1471</v>
      </c>
      <c r="Z15" s="1728"/>
      <c r="AA15" s="1730">
        <v>8.3999999999999992E-6</v>
      </c>
      <c r="AB15" s="1731" t="s">
        <v>1471</v>
      </c>
      <c r="AC15" s="1732"/>
    </row>
    <row r="16" spans="1:29" ht="15">
      <c r="A16" s="1704" t="s">
        <v>1903</v>
      </c>
      <c r="B16" s="1705" t="s">
        <v>1904</v>
      </c>
      <c r="C16" s="1736">
        <v>0.5</v>
      </c>
      <c r="D16" s="1708" t="s">
        <v>1119</v>
      </c>
      <c r="E16" s="1709">
        <v>1E-4</v>
      </c>
      <c r="F16" s="1708" t="s">
        <v>1119</v>
      </c>
      <c r="G16" s="1709">
        <v>2E-3</v>
      </c>
      <c r="H16" s="1708" t="s">
        <v>1119</v>
      </c>
      <c r="I16" s="1709">
        <v>6.0000000000000001E-3</v>
      </c>
      <c r="J16" s="1708" t="s">
        <v>1119</v>
      </c>
      <c r="K16" s="1707"/>
      <c r="L16" s="1708" t="s">
        <v>1906</v>
      </c>
      <c r="M16" s="1708">
        <v>1</v>
      </c>
      <c r="N16" s="1708">
        <v>0.1</v>
      </c>
      <c r="O16" s="1710"/>
      <c r="P16" s="1711">
        <v>0.24</v>
      </c>
      <c r="Q16" s="1712" t="s">
        <v>4126</v>
      </c>
      <c r="R16" s="1711">
        <v>4.5999999999999996</v>
      </c>
      <c r="S16" s="1712" t="s">
        <v>4126</v>
      </c>
      <c r="T16" s="1711">
        <v>0.01</v>
      </c>
      <c r="U16" s="1712" t="s">
        <v>4126</v>
      </c>
      <c r="V16" s="1711">
        <v>0.12</v>
      </c>
      <c r="W16" s="1712" t="s">
        <v>4126</v>
      </c>
      <c r="X16" s="1711">
        <v>0.05</v>
      </c>
      <c r="Y16" s="1714" t="s">
        <v>4126</v>
      </c>
      <c r="Z16" s="1713"/>
      <c r="AA16" s="1715">
        <v>1.1E-5</v>
      </c>
      <c r="AB16" s="1716" t="s">
        <v>4126</v>
      </c>
      <c r="AC16" s="1717"/>
    </row>
    <row r="17" spans="1:29" ht="15">
      <c r="A17" s="1704" t="s">
        <v>1907</v>
      </c>
      <c r="B17" s="1705" t="s">
        <v>1908</v>
      </c>
      <c r="C17" s="1706"/>
      <c r="D17" s="1707"/>
      <c r="E17" s="1708"/>
      <c r="F17" s="1707"/>
      <c r="G17" s="1709">
        <v>0.5</v>
      </c>
      <c r="H17" s="1708" t="s">
        <v>1119</v>
      </c>
      <c r="I17" s="1709">
        <v>2.0000000000000001E-4</v>
      </c>
      <c r="J17" s="1708" t="s">
        <v>1909</v>
      </c>
      <c r="K17" s="1708" t="s">
        <v>1127</v>
      </c>
      <c r="L17" s="1707"/>
      <c r="M17" s="1708">
        <v>1</v>
      </c>
      <c r="N17" s="1708"/>
      <c r="O17" s="1718">
        <v>109000</v>
      </c>
      <c r="P17" s="1711">
        <v>20</v>
      </c>
      <c r="Q17" s="1712" t="s">
        <v>1471</v>
      </c>
      <c r="R17" s="1711">
        <v>83</v>
      </c>
      <c r="S17" s="1712" t="s">
        <v>1471</v>
      </c>
      <c r="T17" s="1711">
        <v>0.21</v>
      </c>
      <c r="U17" s="1712" t="s">
        <v>1471</v>
      </c>
      <c r="V17" s="1711">
        <v>0.88</v>
      </c>
      <c r="W17" s="1712" t="s">
        <v>1471</v>
      </c>
      <c r="X17" s="1711">
        <v>0.42</v>
      </c>
      <c r="Y17" s="1714" t="s">
        <v>1471</v>
      </c>
      <c r="Z17" s="1713"/>
      <c r="AA17" s="1715">
        <v>8.5000000000000006E-5</v>
      </c>
      <c r="AB17" s="1716" t="s">
        <v>1471</v>
      </c>
      <c r="AC17" s="1717"/>
    </row>
    <row r="18" spans="1:29" ht="15">
      <c r="A18" s="1719" t="s">
        <v>1910</v>
      </c>
      <c r="B18" s="1720" t="s">
        <v>1911</v>
      </c>
      <c r="C18" s="1737">
        <v>0.54</v>
      </c>
      <c r="D18" s="1723" t="s">
        <v>1119</v>
      </c>
      <c r="E18" s="1724">
        <v>6.7999999999999999E-5</v>
      </c>
      <c r="F18" s="1723" t="s">
        <v>1119</v>
      </c>
      <c r="G18" s="1724">
        <v>9.0000000000000006E-5</v>
      </c>
      <c r="H18" s="1723" t="s">
        <v>1912</v>
      </c>
      <c r="I18" s="1724">
        <v>2E-3</v>
      </c>
      <c r="J18" s="1723" t="s">
        <v>1119</v>
      </c>
      <c r="K18" s="1723" t="s">
        <v>1127</v>
      </c>
      <c r="L18" s="1722"/>
      <c r="M18" s="1723">
        <v>1</v>
      </c>
      <c r="N18" s="1723"/>
      <c r="O18" s="1735">
        <v>11300</v>
      </c>
      <c r="P18" s="1726">
        <v>0.25</v>
      </c>
      <c r="Q18" s="1727" t="s">
        <v>4127</v>
      </c>
      <c r="R18" s="1726">
        <v>1.1000000000000001</v>
      </c>
      <c r="S18" s="1727" t="s">
        <v>4127</v>
      </c>
      <c r="T18" s="1726">
        <v>4.1000000000000002E-2</v>
      </c>
      <c r="U18" s="1727" t="s">
        <v>4127</v>
      </c>
      <c r="V18" s="1726">
        <v>0.18</v>
      </c>
      <c r="W18" s="1727" t="s">
        <v>4127</v>
      </c>
      <c r="X18" s="1726">
        <v>5.1999999999999998E-2</v>
      </c>
      <c r="Y18" s="1729" t="s">
        <v>4127</v>
      </c>
      <c r="Z18" s="1728"/>
      <c r="AA18" s="1730">
        <v>1.1E-5</v>
      </c>
      <c r="AB18" s="1731" t="s">
        <v>4127</v>
      </c>
      <c r="AC18" s="1732"/>
    </row>
    <row r="19" spans="1:29" ht="15">
      <c r="A19" s="1704" t="s">
        <v>1913</v>
      </c>
      <c r="B19" s="1705" t="s">
        <v>1914</v>
      </c>
      <c r="C19" s="1706"/>
      <c r="D19" s="1707"/>
      <c r="E19" s="1708"/>
      <c r="F19" s="1707"/>
      <c r="G19" s="1708"/>
      <c r="H19" s="1707"/>
      <c r="I19" s="1709">
        <v>6.0000000000000001E-3</v>
      </c>
      <c r="J19" s="1708" t="s">
        <v>1909</v>
      </c>
      <c r="K19" s="1707"/>
      <c r="L19" s="1707"/>
      <c r="M19" s="1708">
        <v>1</v>
      </c>
      <c r="N19" s="1708">
        <v>0.1</v>
      </c>
      <c r="O19" s="1710"/>
      <c r="P19" s="1711">
        <v>8500000</v>
      </c>
      <c r="Q19" s="1712" t="s">
        <v>4124</v>
      </c>
      <c r="R19" s="1711">
        <v>36000000</v>
      </c>
      <c r="S19" s="1712" t="s">
        <v>4124</v>
      </c>
      <c r="T19" s="1711">
        <v>6.3</v>
      </c>
      <c r="U19" s="1712" t="s">
        <v>1471</v>
      </c>
      <c r="V19" s="1711">
        <v>26</v>
      </c>
      <c r="W19" s="1712" t="s">
        <v>1471</v>
      </c>
      <c r="X19" s="1712"/>
      <c r="Y19" s="1733"/>
      <c r="Z19" s="1713"/>
      <c r="AA19" s="1716"/>
      <c r="AB19" s="1734"/>
      <c r="AC19" s="1717"/>
    </row>
    <row r="20" spans="1:29" ht="15">
      <c r="A20" s="1704" t="s">
        <v>1915</v>
      </c>
      <c r="B20" s="1705" t="s">
        <v>1916</v>
      </c>
      <c r="C20" s="1736">
        <v>5.6000000000000001E-2</v>
      </c>
      <c r="D20" s="1708" t="s">
        <v>1900</v>
      </c>
      <c r="E20" s="1708"/>
      <c r="F20" s="1707"/>
      <c r="G20" s="1709">
        <v>0.01</v>
      </c>
      <c r="H20" s="1708" t="s">
        <v>1119</v>
      </c>
      <c r="I20" s="1708"/>
      <c r="J20" s="1707"/>
      <c r="K20" s="1707"/>
      <c r="L20" s="1707"/>
      <c r="M20" s="1708">
        <v>1</v>
      </c>
      <c r="N20" s="1708">
        <v>0.1</v>
      </c>
      <c r="O20" s="1710"/>
      <c r="P20" s="1711">
        <v>9.6999999999999993</v>
      </c>
      <c r="Q20" s="1712" t="s">
        <v>4127</v>
      </c>
      <c r="R20" s="1711">
        <v>41</v>
      </c>
      <c r="S20" s="1712" t="s">
        <v>4126</v>
      </c>
      <c r="T20" s="1712"/>
      <c r="U20" s="1713"/>
      <c r="V20" s="1712"/>
      <c r="W20" s="1713"/>
      <c r="X20" s="1711">
        <v>1.1000000000000001</v>
      </c>
      <c r="Y20" s="1714" t="s">
        <v>4126</v>
      </c>
      <c r="Z20" s="1711">
        <v>2</v>
      </c>
      <c r="AA20" s="1715">
        <v>8.7000000000000001E-4</v>
      </c>
      <c r="AB20" s="1716" t="s">
        <v>4126</v>
      </c>
      <c r="AC20" s="1738">
        <v>1.6000000000000001E-3</v>
      </c>
    </row>
    <row r="21" spans="1:29" ht="15">
      <c r="A21" s="1719" t="s">
        <v>1917</v>
      </c>
      <c r="B21" s="1720" t="s">
        <v>1918</v>
      </c>
      <c r="C21" s="1721"/>
      <c r="D21" s="1722"/>
      <c r="E21" s="1723"/>
      <c r="F21" s="1722"/>
      <c r="G21" s="1724">
        <v>1E-3</v>
      </c>
      <c r="H21" s="1723" t="s">
        <v>1119</v>
      </c>
      <c r="I21" s="1723"/>
      <c r="J21" s="1722"/>
      <c r="K21" s="1722"/>
      <c r="L21" s="1722"/>
      <c r="M21" s="1723">
        <v>1</v>
      </c>
      <c r="N21" s="1723">
        <v>0.1</v>
      </c>
      <c r="O21" s="1725"/>
      <c r="P21" s="1726">
        <v>63</v>
      </c>
      <c r="Q21" s="1727" t="s">
        <v>1471</v>
      </c>
      <c r="R21" s="1726">
        <v>820</v>
      </c>
      <c r="S21" s="1727" t="s">
        <v>1471</v>
      </c>
      <c r="T21" s="1727"/>
      <c r="U21" s="1728"/>
      <c r="V21" s="1727"/>
      <c r="W21" s="1728"/>
      <c r="X21" s="1726">
        <v>20</v>
      </c>
      <c r="Y21" s="1729" t="s">
        <v>1471</v>
      </c>
      <c r="Z21" s="1726">
        <v>3</v>
      </c>
      <c r="AA21" s="1730">
        <v>4.8999999999999998E-3</v>
      </c>
      <c r="AB21" s="1731" t="s">
        <v>1471</v>
      </c>
      <c r="AC21" s="1739">
        <v>7.5000000000000002E-4</v>
      </c>
    </row>
    <row r="22" spans="1:29" ht="15">
      <c r="A22" s="1704" t="s">
        <v>1919</v>
      </c>
      <c r="B22" s="1705" t="s">
        <v>1920</v>
      </c>
      <c r="C22" s="1706"/>
      <c r="D22" s="1707"/>
      <c r="E22" s="1708"/>
      <c r="F22" s="1707"/>
      <c r="G22" s="1709">
        <v>1E-3</v>
      </c>
      <c r="H22" s="1708" t="s">
        <v>1119</v>
      </c>
      <c r="I22" s="1708"/>
      <c r="J22" s="1707"/>
      <c r="K22" s="1707"/>
      <c r="L22" s="1707"/>
      <c r="M22" s="1708">
        <v>1</v>
      </c>
      <c r="N22" s="1708">
        <v>0.1</v>
      </c>
      <c r="O22" s="1710"/>
      <c r="P22" s="1711">
        <v>63</v>
      </c>
      <c r="Q22" s="1712" t="s">
        <v>1471</v>
      </c>
      <c r="R22" s="1711">
        <v>820</v>
      </c>
      <c r="S22" s="1712" t="s">
        <v>1471</v>
      </c>
      <c r="T22" s="1712"/>
      <c r="U22" s="1713"/>
      <c r="V22" s="1712"/>
      <c r="W22" s="1713"/>
      <c r="X22" s="1711">
        <v>20</v>
      </c>
      <c r="Y22" s="1714" t="s">
        <v>1471</v>
      </c>
      <c r="Z22" s="1711">
        <v>2</v>
      </c>
      <c r="AA22" s="1715">
        <v>4.4000000000000003E-3</v>
      </c>
      <c r="AB22" s="1716" t="s">
        <v>1471</v>
      </c>
      <c r="AC22" s="1738">
        <v>4.4000000000000002E-4</v>
      </c>
    </row>
    <row r="23" spans="1:29" ht="15">
      <c r="A23" s="1704" t="s">
        <v>1921</v>
      </c>
      <c r="B23" s="1705" t="s">
        <v>1922</v>
      </c>
      <c r="C23" s="1706"/>
      <c r="D23" s="1707"/>
      <c r="E23" s="1708"/>
      <c r="F23" s="1707"/>
      <c r="G23" s="1708"/>
      <c r="H23" s="1707"/>
      <c r="I23" s="1708"/>
      <c r="J23" s="1707"/>
      <c r="K23" s="1707"/>
      <c r="L23" s="1707"/>
      <c r="M23" s="1708">
        <v>1</v>
      </c>
      <c r="N23" s="1708">
        <v>0.1</v>
      </c>
      <c r="O23" s="1710"/>
      <c r="P23" s="1712"/>
      <c r="Q23" s="1713"/>
      <c r="R23" s="1712"/>
      <c r="S23" s="1713"/>
      <c r="T23" s="1712"/>
      <c r="U23" s="1713"/>
      <c r="V23" s="1712"/>
      <c r="W23" s="1713"/>
      <c r="X23" s="1712"/>
      <c r="Y23" s="1733"/>
      <c r="Z23" s="1711">
        <v>4</v>
      </c>
      <c r="AA23" s="1716"/>
      <c r="AB23" s="1734"/>
      <c r="AC23" s="1738">
        <v>8.8000000000000003E-4</v>
      </c>
    </row>
    <row r="24" spans="1:29" ht="15">
      <c r="A24" s="1719" t="s">
        <v>86</v>
      </c>
      <c r="B24" s="1720" t="s">
        <v>85</v>
      </c>
      <c r="C24" s="1737">
        <v>17</v>
      </c>
      <c r="D24" s="1723" t="s">
        <v>1119</v>
      </c>
      <c r="E24" s="1724">
        <v>4.8999999999999998E-3</v>
      </c>
      <c r="F24" s="1723" t="s">
        <v>1119</v>
      </c>
      <c r="G24" s="1724">
        <v>3.0000000000000001E-5</v>
      </c>
      <c r="H24" s="1723" t="s">
        <v>1119</v>
      </c>
      <c r="I24" s="1723"/>
      <c r="J24" s="1722"/>
      <c r="K24" s="1723" t="s">
        <v>1127</v>
      </c>
      <c r="L24" s="1722"/>
      <c r="M24" s="1723">
        <v>1</v>
      </c>
      <c r="N24" s="1723"/>
      <c r="O24" s="1725"/>
      <c r="P24" s="1726">
        <v>3.9E-2</v>
      </c>
      <c r="Q24" s="1727" t="s">
        <v>4127</v>
      </c>
      <c r="R24" s="1726">
        <v>0.18</v>
      </c>
      <c r="S24" s="1727" t="s">
        <v>4126</v>
      </c>
      <c r="T24" s="1726">
        <v>5.6999999999999998E-4</v>
      </c>
      <c r="U24" s="1727" t="s">
        <v>4126</v>
      </c>
      <c r="V24" s="1726">
        <v>2.5000000000000001E-3</v>
      </c>
      <c r="W24" s="1727" t="s">
        <v>4126</v>
      </c>
      <c r="X24" s="1726">
        <v>9.2000000000000003E-4</v>
      </c>
      <c r="Y24" s="1729" t="s">
        <v>4126</v>
      </c>
      <c r="Z24" s="1728"/>
      <c r="AA24" s="1730">
        <v>1.4999999999999999E-4</v>
      </c>
      <c r="AB24" s="1731" t="s">
        <v>4126</v>
      </c>
      <c r="AC24" s="1732"/>
    </row>
    <row r="25" spans="1:29" ht="15">
      <c r="A25" s="1704" t="s">
        <v>1923</v>
      </c>
      <c r="B25" s="1705" t="s">
        <v>1924</v>
      </c>
      <c r="C25" s="1706"/>
      <c r="D25" s="1707"/>
      <c r="E25" s="1708"/>
      <c r="F25" s="1707"/>
      <c r="G25" s="1709">
        <v>4.0000000000000001E-3</v>
      </c>
      <c r="H25" s="1708" t="s">
        <v>1909</v>
      </c>
      <c r="I25" s="1709">
        <v>1E-4</v>
      </c>
      <c r="J25" s="1708" t="s">
        <v>1893</v>
      </c>
      <c r="K25" s="1708" t="s">
        <v>1127</v>
      </c>
      <c r="L25" s="1707"/>
      <c r="M25" s="1708">
        <v>1</v>
      </c>
      <c r="N25" s="1708"/>
      <c r="O25" s="1718">
        <v>111000</v>
      </c>
      <c r="P25" s="1711">
        <v>3.5</v>
      </c>
      <c r="Q25" s="1712" t="s">
        <v>1471</v>
      </c>
      <c r="R25" s="1711">
        <v>15</v>
      </c>
      <c r="S25" s="1712" t="s">
        <v>1471</v>
      </c>
      <c r="T25" s="1711">
        <v>0.1</v>
      </c>
      <c r="U25" s="1712" t="s">
        <v>1471</v>
      </c>
      <c r="V25" s="1711">
        <v>0.44</v>
      </c>
      <c r="W25" s="1712" t="s">
        <v>1471</v>
      </c>
      <c r="X25" s="1711">
        <v>0.21</v>
      </c>
      <c r="Y25" s="1714" t="s">
        <v>1471</v>
      </c>
      <c r="Z25" s="1713"/>
      <c r="AA25" s="1715">
        <v>4.1999999999999998E-5</v>
      </c>
      <c r="AB25" s="1716" t="s">
        <v>1471</v>
      </c>
      <c r="AC25" s="1717"/>
    </row>
    <row r="26" spans="1:29" ht="15">
      <c r="A26" s="1704" t="s">
        <v>1925</v>
      </c>
      <c r="B26" s="1705" t="s">
        <v>1926</v>
      </c>
      <c r="C26" s="1736">
        <v>2.1000000000000001E-2</v>
      </c>
      <c r="D26" s="1708" t="s">
        <v>1900</v>
      </c>
      <c r="E26" s="1709">
        <v>6.0000000000000002E-6</v>
      </c>
      <c r="F26" s="1708" t="s">
        <v>1900</v>
      </c>
      <c r="G26" s="1708"/>
      <c r="H26" s="1707"/>
      <c r="I26" s="1709">
        <v>1E-3</v>
      </c>
      <c r="J26" s="1708" t="s">
        <v>1119</v>
      </c>
      <c r="K26" s="1708" t="s">
        <v>1127</v>
      </c>
      <c r="L26" s="1707"/>
      <c r="M26" s="1708">
        <v>1</v>
      </c>
      <c r="N26" s="1708"/>
      <c r="O26" s="1718">
        <v>1420</v>
      </c>
      <c r="P26" s="1711">
        <v>0.72</v>
      </c>
      <c r="Q26" s="1712" t="s">
        <v>4122</v>
      </c>
      <c r="R26" s="1711">
        <v>3.2</v>
      </c>
      <c r="S26" s="1712" t="s">
        <v>4122</v>
      </c>
      <c r="T26" s="1711">
        <v>0.47</v>
      </c>
      <c r="U26" s="1712" t="s">
        <v>4122</v>
      </c>
      <c r="V26" s="1711">
        <v>2</v>
      </c>
      <c r="W26" s="1712" t="s">
        <v>4122</v>
      </c>
      <c r="X26" s="1711">
        <v>0.73</v>
      </c>
      <c r="Y26" s="1714" t="s">
        <v>4122</v>
      </c>
      <c r="Z26" s="1713"/>
      <c r="AA26" s="1715">
        <v>2.3000000000000001E-4</v>
      </c>
      <c r="AB26" s="1716" t="s">
        <v>4122</v>
      </c>
      <c r="AC26" s="1717"/>
    </row>
    <row r="27" spans="1:29" ht="15">
      <c r="A27" s="1719" t="s">
        <v>1927</v>
      </c>
      <c r="B27" s="1720" t="s">
        <v>1928</v>
      </c>
      <c r="C27" s="1721"/>
      <c r="D27" s="1722"/>
      <c r="E27" s="1723"/>
      <c r="F27" s="1722"/>
      <c r="G27" s="1724">
        <v>1</v>
      </c>
      <c r="H27" s="1723" t="s">
        <v>1909</v>
      </c>
      <c r="I27" s="1724">
        <v>5.0000000000000001E-3</v>
      </c>
      <c r="J27" s="1723" t="s">
        <v>1909</v>
      </c>
      <c r="K27" s="1722"/>
      <c r="L27" s="1722"/>
      <c r="M27" s="1723">
        <v>1</v>
      </c>
      <c r="N27" s="1723"/>
      <c r="O27" s="1725"/>
      <c r="P27" s="1726">
        <v>77000</v>
      </c>
      <c r="Q27" s="1727" t="s">
        <v>1471</v>
      </c>
      <c r="R27" s="1726">
        <v>1100000</v>
      </c>
      <c r="S27" s="1727" t="s">
        <v>4124</v>
      </c>
      <c r="T27" s="1726">
        <v>5.2</v>
      </c>
      <c r="U27" s="1727" t="s">
        <v>1471</v>
      </c>
      <c r="V27" s="1726">
        <v>22</v>
      </c>
      <c r="W27" s="1727" t="s">
        <v>1471</v>
      </c>
      <c r="X27" s="1726">
        <v>20000</v>
      </c>
      <c r="Y27" s="1729" t="s">
        <v>1471</v>
      </c>
      <c r="Z27" s="1728"/>
      <c r="AA27" s="1730">
        <v>30000</v>
      </c>
      <c r="AB27" s="1731" t="s">
        <v>1471</v>
      </c>
      <c r="AC27" s="1732"/>
    </row>
    <row r="28" spans="1:29" ht="30">
      <c r="A28" s="1704" t="s">
        <v>1931</v>
      </c>
      <c r="B28" s="1705" t="s">
        <v>1932</v>
      </c>
      <c r="C28" s="1706"/>
      <c r="D28" s="1707"/>
      <c r="E28" s="1708"/>
      <c r="F28" s="1707"/>
      <c r="G28" s="1709">
        <v>4.0000000000000002E-4</v>
      </c>
      <c r="H28" s="1708" t="s">
        <v>1119</v>
      </c>
      <c r="I28" s="1708"/>
      <c r="J28" s="1707"/>
      <c r="K28" s="1707"/>
      <c r="L28" s="1707"/>
      <c r="M28" s="1708">
        <v>1</v>
      </c>
      <c r="N28" s="1708"/>
      <c r="O28" s="1710"/>
      <c r="P28" s="1711">
        <v>31</v>
      </c>
      <c r="Q28" s="1712" t="s">
        <v>1471</v>
      </c>
      <c r="R28" s="1711">
        <v>470</v>
      </c>
      <c r="S28" s="1712" t="s">
        <v>1471</v>
      </c>
      <c r="T28" s="1712"/>
      <c r="U28" s="1713"/>
      <c r="V28" s="1712"/>
      <c r="W28" s="1713"/>
      <c r="X28" s="1711">
        <v>8</v>
      </c>
      <c r="Y28" s="1714" t="s">
        <v>1471</v>
      </c>
      <c r="Z28" s="1713"/>
      <c r="AA28" s="1716"/>
      <c r="AB28" s="1734"/>
      <c r="AC28" s="1717"/>
    </row>
    <row r="29" spans="1:29" ht="15">
      <c r="A29" s="1704" t="s">
        <v>1933</v>
      </c>
      <c r="B29" s="1705" t="s">
        <v>1934</v>
      </c>
      <c r="C29" s="1706"/>
      <c r="D29" s="1707"/>
      <c r="E29" s="1708"/>
      <c r="F29" s="1707"/>
      <c r="G29" s="1709">
        <v>8.9999999999999993E-3</v>
      </c>
      <c r="H29" s="1708" t="s">
        <v>1119</v>
      </c>
      <c r="I29" s="1708"/>
      <c r="J29" s="1707"/>
      <c r="K29" s="1707"/>
      <c r="L29" s="1707"/>
      <c r="M29" s="1708">
        <v>1</v>
      </c>
      <c r="N29" s="1708">
        <v>0.1</v>
      </c>
      <c r="O29" s="1710"/>
      <c r="P29" s="1711">
        <v>570</v>
      </c>
      <c r="Q29" s="1712" t="s">
        <v>1471</v>
      </c>
      <c r="R29" s="1711">
        <v>7400</v>
      </c>
      <c r="S29" s="1712" t="s">
        <v>1471</v>
      </c>
      <c r="T29" s="1712"/>
      <c r="U29" s="1713"/>
      <c r="V29" s="1712"/>
      <c r="W29" s="1713"/>
      <c r="X29" s="1711">
        <v>150</v>
      </c>
      <c r="Y29" s="1714" t="s">
        <v>1471</v>
      </c>
      <c r="Z29" s="1713"/>
      <c r="AA29" s="1715">
        <v>0.16</v>
      </c>
      <c r="AB29" s="1716" t="s">
        <v>1471</v>
      </c>
      <c r="AC29" s="1717"/>
    </row>
    <row r="30" spans="1:29" ht="15">
      <c r="A30" s="1719" t="s">
        <v>1935</v>
      </c>
      <c r="B30" s="1720" t="s">
        <v>1936</v>
      </c>
      <c r="C30" s="1737">
        <v>21</v>
      </c>
      <c r="D30" s="1723" t="s">
        <v>1900</v>
      </c>
      <c r="E30" s="1724">
        <v>6.0000000000000001E-3</v>
      </c>
      <c r="F30" s="1723" t="s">
        <v>1900</v>
      </c>
      <c r="G30" s="1723"/>
      <c r="H30" s="1722"/>
      <c r="I30" s="1723"/>
      <c r="J30" s="1722"/>
      <c r="K30" s="1722"/>
      <c r="L30" s="1722"/>
      <c r="M30" s="1723">
        <v>1</v>
      </c>
      <c r="N30" s="1723">
        <v>0.1</v>
      </c>
      <c r="O30" s="1725"/>
      <c r="P30" s="1726">
        <v>2.5999999999999999E-2</v>
      </c>
      <c r="Q30" s="1727" t="s">
        <v>4126</v>
      </c>
      <c r="R30" s="1726">
        <v>0.11</v>
      </c>
      <c r="S30" s="1727" t="s">
        <v>4126</v>
      </c>
      <c r="T30" s="1726">
        <v>4.6999999999999999E-4</v>
      </c>
      <c r="U30" s="1727" t="s">
        <v>4126</v>
      </c>
      <c r="V30" s="1726">
        <v>2E-3</v>
      </c>
      <c r="W30" s="1727" t="s">
        <v>4126</v>
      </c>
      <c r="X30" s="1726">
        <v>3.0000000000000001E-3</v>
      </c>
      <c r="Y30" s="1729" t="s">
        <v>4126</v>
      </c>
      <c r="Z30" s="1728"/>
      <c r="AA30" s="1730">
        <v>1.5E-5</v>
      </c>
      <c r="AB30" s="1731" t="s">
        <v>4126</v>
      </c>
      <c r="AC30" s="1732"/>
    </row>
    <row r="31" spans="1:29" ht="15">
      <c r="A31" s="1704" t="s">
        <v>1937</v>
      </c>
      <c r="B31" s="1705" t="s">
        <v>1938</v>
      </c>
      <c r="C31" s="1706"/>
      <c r="D31" s="1707"/>
      <c r="E31" s="1708"/>
      <c r="F31" s="1707"/>
      <c r="G31" s="1709">
        <v>0.08</v>
      </c>
      <c r="H31" s="1708" t="s">
        <v>1909</v>
      </c>
      <c r="I31" s="1708"/>
      <c r="J31" s="1707"/>
      <c r="K31" s="1707"/>
      <c r="L31" s="1707"/>
      <c r="M31" s="1708">
        <v>1</v>
      </c>
      <c r="N31" s="1708">
        <v>0.1</v>
      </c>
      <c r="O31" s="1710"/>
      <c r="P31" s="1711">
        <v>5100</v>
      </c>
      <c r="Q31" s="1712" t="s">
        <v>1471</v>
      </c>
      <c r="R31" s="1711">
        <v>66000</v>
      </c>
      <c r="S31" s="1712" t="s">
        <v>1471</v>
      </c>
      <c r="T31" s="1712"/>
      <c r="U31" s="1713"/>
      <c r="V31" s="1712"/>
      <c r="W31" s="1713"/>
      <c r="X31" s="1711">
        <v>1600</v>
      </c>
      <c r="Y31" s="1714" t="s">
        <v>1471</v>
      </c>
      <c r="Z31" s="1713"/>
      <c r="AA31" s="1715">
        <v>0.61</v>
      </c>
      <c r="AB31" s="1716" t="s">
        <v>1471</v>
      </c>
      <c r="AC31" s="1717"/>
    </row>
    <row r="32" spans="1:29" ht="15">
      <c r="A32" s="1704" t="s">
        <v>1939</v>
      </c>
      <c r="B32" s="1705" t="s">
        <v>1940</v>
      </c>
      <c r="C32" s="1706"/>
      <c r="D32" s="1707"/>
      <c r="E32" s="1708"/>
      <c r="F32" s="1707"/>
      <c r="G32" s="1709">
        <v>4.0000000000000001E-3</v>
      </c>
      <c r="H32" s="1708" t="s">
        <v>1893</v>
      </c>
      <c r="I32" s="1708"/>
      <c r="J32" s="1707"/>
      <c r="K32" s="1707"/>
      <c r="L32" s="1707"/>
      <c r="M32" s="1708">
        <v>1</v>
      </c>
      <c r="N32" s="1708">
        <v>0.1</v>
      </c>
      <c r="O32" s="1710"/>
      <c r="P32" s="1711">
        <v>250</v>
      </c>
      <c r="Q32" s="1712" t="s">
        <v>1471</v>
      </c>
      <c r="R32" s="1711">
        <v>3300</v>
      </c>
      <c r="S32" s="1712" t="s">
        <v>1471</v>
      </c>
      <c r="T32" s="1712"/>
      <c r="U32" s="1713"/>
      <c r="V32" s="1712"/>
      <c r="W32" s="1713"/>
      <c r="X32" s="1711">
        <v>79</v>
      </c>
      <c r="Y32" s="1714" t="s">
        <v>1471</v>
      </c>
      <c r="Z32" s="1713"/>
      <c r="AA32" s="1715">
        <v>0.03</v>
      </c>
      <c r="AB32" s="1716" t="s">
        <v>1471</v>
      </c>
      <c r="AC32" s="1717"/>
    </row>
    <row r="33" spans="1:29" ht="15">
      <c r="A33" s="1719" t="s">
        <v>1941</v>
      </c>
      <c r="B33" s="1720" t="s">
        <v>1942</v>
      </c>
      <c r="C33" s="1721"/>
      <c r="D33" s="1722"/>
      <c r="E33" s="1723"/>
      <c r="F33" s="1722"/>
      <c r="G33" s="1724">
        <v>0.02</v>
      </c>
      <c r="H33" s="1723" t="s">
        <v>1909</v>
      </c>
      <c r="I33" s="1723"/>
      <c r="J33" s="1722"/>
      <c r="K33" s="1722"/>
      <c r="L33" s="1722"/>
      <c r="M33" s="1723">
        <v>1</v>
      </c>
      <c r="N33" s="1723">
        <v>0.1</v>
      </c>
      <c r="O33" s="1725"/>
      <c r="P33" s="1726">
        <v>1300</v>
      </c>
      <c r="Q33" s="1727" t="s">
        <v>1471</v>
      </c>
      <c r="R33" s="1726">
        <v>16000</v>
      </c>
      <c r="S33" s="1727" t="s">
        <v>1471</v>
      </c>
      <c r="T33" s="1727"/>
      <c r="U33" s="1728"/>
      <c r="V33" s="1727"/>
      <c r="W33" s="1728"/>
      <c r="X33" s="1726">
        <v>400</v>
      </c>
      <c r="Y33" s="1729" t="s">
        <v>1471</v>
      </c>
      <c r="Z33" s="1728"/>
      <c r="AA33" s="1730">
        <v>0.15</v>
      </c>
      <c r="AB33" s="1731" t="s">
        <v>1471</v>
      </c>
      <c r="AC33" s="1732"/>
    </row>
    <row r="34" spans="1:29" ht="15">
      <c r="A34" s="1704" t="s">
        <v>1943</v>
      </c>
      <c r="B34" s="1705" t="s">
        <v>1944</v>
      </c>
      <c r="C34" s="1706"/>
      <c r="D34" s="1707"/>
      <c r="E34" s="1708"/>
      <c r="F34" s="1707"/>
      <c r="G34" s="1709">
        <v>2.5000000000000001E-3</v>
      </c>
      <c r="H34" s="1708" t="s">
        <v>1119</v>
      </c>
      <c r="I34" s="1708"/>
      <c r="J34" s="1707"/>
      <c r="K34" s="1707"/>
      <c r="L34" s="1707"/>
      <c r="M34" s="1708">
        <v>1</v>
      </c>
      <c r="N34" s="1708">
        <v>0.1</v>
      </c>
      <c r="O34" s="1710"/>
      <c r="P34" s="1711">
        <v>160</v>
      </c>
      <c r="Q34" s="1712" t="s">
        <v>1471</v>
      </c>
      <c r="R34" s="1711">
        <v>2100</v>
      </c>
      <c r="S34" s="1712" t="s">
        <v>1471</v>
      </c>
      <c r="T34" s="1712"/>
      <c r="U34" s="1713"/>
      <c r="V34" s="1712"/>
      <c r="W34" s="1713"/>
      <c r="X34" s="1711">
        <v>8.1999999999999993</v>
      </c>
      <c r="Y34" s="1714" t="s">
        <v>1471</v>
      </c>
      <c r="Z34" s="1713"/>
      <c r="AA34" s="1715">
        <v>4.2</v>
      </c>
      <c r="AB34" s="1716" t="s">
        <v>1471</v>
      </c>
      <c r="AC34" s="1717"/>
    </row>
    <row r="35" spans="1:29" ht="15">
      <c r="A35" s="1704" t="s">
        <v>1945</v>
      </c>
      <c r="B35" s="1705" t="s">
        <v>1946</v>
      </c>
      <c r="C35" s="1706"/>
      <c r="D35" s="1707"/>
      <c r="E35" s="1708"/>
      <c r="F35" s="1707"/>
      <c r="G35" s="1708"/>
      <c r="H35" s="1707"/>
      <c r="I35" s="1709">
        <v>0.5</v>
      </c>
      <c r="J35" s="1708" t="s">
        <v>1119</v>
      </c>
      <c r="K35" s="1708" t="s">
        <v>1127</v>
      </c>
      <c r="L35" s="1707"/>
      <c r="M35" s="1708">
        <v>1</v>
      </c>
      <c r="N35" s="1708"/>
      <c r="O35" s="1710"/>
      <c r="P35" s="1712"/>
      <c r="Q35" s="1713"/>
      <c r="R35" s="1712"/>
      <c r="S35" s="1713"/>
      <c r="T35" s="1711">
        <v>520</v>
      </c>
      <c r="U35" s="1712" t="s">
        <v>1471</v>
      </c>
      <c r="V35" s="1711">
        <v>2200</v>
      </c>
      <c r="W35" s="1712" t="s">
        <v>1471</v>
      </c>
      <c r="X35" s="1712"/>
      <c r="Y35" s="1733"/>
      <c r="Z35" s="1713"/>
      <c r="AA35" s="1716"/>
      <c r="AB35" s="1734"/>
      <c r="AC35" s="1717"/>
    </row>
    <row r="36" spans="1:29" ht="30">
      <c r="A36" s="1719" t="s">
        <v>1947</v>
      </c>
      <c r="B36" s="1720" t="s">
        <v>1948</v>
      </c>
      <c r="C36" s="1721"/>
      <c r="D36" s="1722"/>
      <c r="E36" s="1723"/>
      <c r="F36" s="1722"/>
      <c r="G36" s="1724">
        <v>2E-3</v>
      </c>
      <c r="H36" s="1723" t="s">
        <v>1893</v>
      </c>
      <c r="I36" s="1723"/>
      <c r="J36" s="1722"/>
      <c r="K36" s="1722"/>
      <c r="L36" s="1722"/>
      <c r="M36" s="1723">
        <v>1</v>
      </c>
      <c r="N36" s="1723">
        <v>0.1</v>
      </c>
      <c r="O36" s="1725"/>
      <c r="P36" s="1726">
        <v>130</v>
      </c>
      <c r="Q36" s="1727" t="s">
        <v>1471</v>
      </c>
      <c r="R36" s="1726">
        <v>1600</v>
      </c>
      <c r="S36" s="1727" t="s">
        <v>1471</v>
      </c>
      <c r="T36" s="1727"/>
      <c r="U36" s="1728"/>
      <c r="V36" s="1727"/>
      <c r="W36" s="1728"/>
      <c r="X36" s="1726">
        <v>40</v>
      </c>
      <c r="Y36" s="1729" t="s">
        <v>1471</v>
      </c>
      <c r="Z36" s="1728"/>
      <c r="AA36" s="1730">
        <v>0.19</v>
      </c>
      <c r="AB36" s="1731" t="s">
        <v>1471</v>
      </c>
      <c r="AC36" s="1732"/>
    </row>
    <row r="37" spans="1:29" ht="30">
      <c r="A37" s="1704" t="s">
        <v>1950</v>
      </c>
      <c r="B37" s="1705" t="s">
        <v>1951</v>
      </c>
      <c r="C37" s="1706"/>
      <c r="D37" s="1707"/>
      <c r="E37" s="1708"/>
      <c r="F37" s="1707"/>
      <c r="G37" s="1709">
        <v>0.2</v>
      </c>
      <c r="H37" s="1708" t="s">
        <v>1119</v>
      </c>
      <c r="I37" s="1708"/>
      <c r="J37" s="1707"/>
      <c r="K37" s="1707"/>
      <c r="L37" s="1707"/>
      <c r="M37" s="1708">
        <v>1</v>
      </c>
      <c r="N37" s="1708"/>
      <c r="O37" s="1710"/>
      <c r="P37" s="1711">
        <v>16000</v>
      </c>
      <c r="Q37" s="1712" t="s">
        <v>1471</v>
      </c>
      <c r="R37" s="1711">
        <v>230000</v>
      </c>
      <c r="S37" s="1712" t="s">
        <v>4124</v>
      </c>
      <c r="T37" s="1712"/>
      <c r="U37" s="1713"/>
      <c r="V37" s="1712"/>
      <c r="W37" s="1713"/>
      <c r="X37" s="1711">
        <v>4000</v>
      </c>
      <c r="Y37" s="1714" t="s">
        <v>1471</v>
      </c>
      <c r="Z37" s="1713"/>
      <c r="AA37" s="1716"/>
      <c r="AB37" s="1734"/>
      <c r="AC37" s="1717"/>
    </row>
    <row r="38" spans="1:29" ht="15">
      <c r="A38" s="1704" t="s">
        <v>1952</v>
      </c>
      <c r="B38" s="1705" t="s">
        <v>1953</v>
      </c>
      <c r="C38" s="1706"/>
      <c r="D38" s="1707"/>
      <c r="E38" s="1708"/>
      <c r="F38" s="1707"/>
      <c r="G38" s="1708"/>
      <c r="H38" s="1707"/>
      <c r="I38" s="1709">
        <v>3.0000000000000001E-3</v>
      </c>
      <c r="J38" s="1708" t="s">
        <v>1893</v>
      </c>
      <c r="K38" s="1708" t="s">
        <v>1127</v>
      </c>
      <c r="L38" s="1707"/>
      <c r="M38" s="1708">
        <v>1</v>
      </c>
      <c r="N38" s="1708"/>
      <c r="O38" s="1718">
        <v>13700</v>
      </c>
      <c r="P38" s="1711">
        <v>82</v>
      </c>
      <c r="Q38" s="1712" t="s">
        <v>1471</v>
      </c>
      <c r="R38" s="1711">
        <v>340</v>
      </c>
      <c r="S38" s="1712" t="s">
        <v>1471</v>
      </c>
      <c r="T38" s="1711">
        <v>3.1</v>
      </c>
      <c r="U38" s="1712" t="s">
        <v>1471</v>
      </c>
      <c r="V38" s="1711">
        <v>13</v>
      </c>
      <c r="W38" s="1712" t="s">
        <v>1471</v>
      </c>
      <c r="X38" s="1711">
        <v>6.3</v>
      </c>
      <c r="Y38" s="1714" t="s">
        <v>1471</v>
      </c>
      <c r="Z38" s="1713"/>
      <c r="AA38" s="1715">
        <v>1.2999999999999999E-3</v>
      </c>
      <c r="AB38" s="1716" t="s">
        <v>1471</v>
      </c>
      <c r="AC38" s="1717"/>
    </row>
    <row r="39" spans="1:29" ht="15">
      <c r="A39" s="1719" t="s">
        <v>1954</v>
      </c>
      <c r="B39" s="1720" t="s">
        <v>1955</v>
      </c>
      <c r="C39" s="1737">
        <v>5.7000000000000002E-3</v>
      </c>
      <c r="D39" s="1723" t="s">
        <v>1119</v>
      </c>
      <c r="E39" s="1724">
        <v>1.5999999999999999E-6</v>
      </c>
      <c r="F39" s="1723" t="s">
        <v>1900</v>
      </c>
      <c r="G39" s="1724">
        <v>7.0000000000000001E-3</v>
      </c>
      <c r="H39" s="1723" t="s">
        <v>1909</v>
      </c>
      <c r="I39" s="1724">
        <v>1E-3</v>
      </c>
      <c r="J39" s="1723" t="s">
        <v>1119</v>
      </c>
      <c r="K39" s="1722"/>
      <c r="L39" s="1722"/>
      <c r="M39" s="1723">
        <v>1</v>
      </c>
      <c r="N39" s="1723">
        <v>0.1</v>
      </c>
      <c r="O39" s="1725"/>
      <c r="P39" s="1726">
        <v>95</v>
      </c>
      <c r="Q39" s="1727" t="s">
        <v>4122</v>
      </c>
      <c r="R39" s="1726">
        <v>400</v>
      </c>
      <c r="S39" s="1727" t="s">
        <v>4127</v>
      </c>
      <c r="T39" s="1726">
        <v>1</v>
      </c>
      <c r="U39" s="1727" t="s">
        <v>1471</v>
      </c>
      <c r="V39" s="1726">
        <v>4.4000000000000004</v>
      </c>
      <c r="W39" s="1727" t="s">
        <v>1471</v>
      </c>
      <c r="X39" s="1726">
        <v>13</v>
      </c>
      <c r="Y39" s="1729" t="s">
        <v>4127</v>
      </c>
      <c r="Z39" s="1728"/>
      <c r="AA39" s="1730">
        <v>4.5999999999999999E-3</v>
      </c>
      <c r="AB39" s="1731" t="s">
        <v>4127</v>
      </c>
      <c r="AC39" s="1732"/>
    </row>
    <row r="40" spans="1:29" ht="30">
      <c r="A40" s="1704" t="s">
        <v>1956</v>
      </c>
      <c r="B40" s="1705" t="s">
        <v>1957</v>
      </c>
      <c r="C40" s="1736">
        <v>0.04</v>
      </c>
      <c r="D40" s="1708" t="s">
        <v>1909</v>
      </c>
      <c r="E40" s="1708"/>
      <c r="F40" s="1707"/>
      <c r="G40" s="1709">
        <v>2E-3</v>
      </c>
      <c r="H40" s="1708" t="s">
        <v>1893</v>
      </c>
      <c r="I40" s="1708"/>
      <c r="J40" s="1707"/>
      <c r="K40" s="1707"/>
      <c r="L40" s="1707"/>
      <c r="M40" s="1708">
        <v>1</v>
      </c>
      <c r="N40" s="1708">
        <v>0.1</v>
      </c>
      <c r="O40" s="1710"/>
      <c r="P40" s="1711">
        <v>14</v>
      </c>
      <c r="Q40" s="1712" t="s">
        <v>4122</v>
      </c>
      <c r="R40" s="1711">
        <v>57</v>
      </c>
      <c r="S40" s="1712" t="s">
        <v>4127</v>
      </c>
      <c r="T40" s="1712"/>
      <c r="U40" s="1713"/>
      <c r="V40" s="1712"/>
      <c r="W40" s="1713"/>
      <c r="X40" s="1711">
        <v>1.4</v>
      </c>
      <c r="Y40" s="1714" t="s">
        <v>4127</v>
      </c>
      <c r="Z40" s="1713"/>
      <c r="AA40" s="1715">
        <v>1.4E-2</v>
      </c>
      <c r="AB40" s="1716" t="s">
        <v>4127</v>
      </c>
      <c r="AC40" s="1717"/>
    </row>
    <row r="41" spans="1:29" ht="30">
      <c r="A41" s="1704" t="s">
        <v>88</v>
      </c>
      <c r="B41" s="1705" t="s">
        <v>1958</v>
      </c>
      <c r="C41" s="1706"/>
      <c r="D41" s="1707"/>
      <c r="E41" s="1708"/>
      <c r="F41" s="1707"/>
      <c r="G41" s="1709">
        <v>4.0000000000000002E-4</v>
      </c>
      <c r="H41" s="1708" t="s">
        <v>1119</v>
      </c>
      <c r="I41" s="1709">
        <v>2.9999999999999997E-4</v>
      </c>
      <c r="J41" s="1708" t="s">
        <v>1960</v>
      </c>
      <c r="K41" s="1707"/>
      <c r="L41" s="1707"/>
      <c r="M41" s="1708">
        <v>0.15</v>
      </c>
      <c r="N41" s="1708"/>
      <c r="O41" s="1710"/>
      <c r="P41" s="1711">
        <v>31</v>
      </c>
      <c r="Q41" s="1712" t="s">
        <v>1471</v>
      </c>
      <c r="R41" s="1711">
        <v>470</v>
      </c>
      <c r="S41" s="1712" t="s">
        <v>1471</v>
      </c>
      <c r="T41" s="1711">
        <v>0.31</v>
      </c>
      <c r="U41" s="1712" t="s">
        <v>1471</v>
      </c>
      <c r="V41" s="1711">
        <v>1.3</v>
      </c>
      <c r="W41" s="1712" t="s">
        <v>1471</v>
      </c>
      <c r="X41" s="1711">
        <v>7.8</v>
      </c>
      <c r="Y41" s="1714" t="s">
        <v>1471</v>
      </c>
      <c r="Z41" s="1711">
        <v>6</v>
      </c>
      <c r="AA41" s="1715">
        <v>0.35</v>
      </c>
      <c r="AB41" s="1716" t="s">
        <v>1471</v>
      </c>
      <c r="AC41" s="1738">
        <v>0.27</v>
      </c>
    </row>
    <row r="42" spans="1:29" ht="30">
      <c r="A42" s="1719" t="s">
        <v>1961</v>
      </c>
      <c r="B42" s="1720" t="s">
        <v>1962</v>
      </c>
      <c r="C42" s="1721"/>
      <c r="D42" s="1722"/>
      <c r="E42" s="1723"/>
      <c r="F42" s="1722"/>
      <c r="G42" s="1724">
        <v>5.0000000000000001E-4</v>
      </c>
      <c r="H42" s="1723" t="s">
        <v>1073</v>
      </c>
      <c r="I42" s="1723"/>
      <c r="J42" s="1722"/>
      <c r="K42" s="1722"/>
      <c r="L42" s="1722"/>
      <c r="M42" s="1723">
        <v>0.15</v>
      </c>
      <c r="N42" s="1723"/>
      <c r="O42" s="1725"/>
      <c r="P42" s="1726">
        <v>39</v>
      </c>
      <c r="Q42" s="1727" t="s">
        <v>1471</v>
      </c>
      <c r="R42" s="1726">
        <v>580</v>
      </c>
      <c r="S42" s="1727" t="s">
        <v>1471</v>
      </c>
      <c r="T42" s="1727"/>
      <c r="U42" s="1728"/>
      <c r="V42" s="1727"/>
      <c r="W42" s="1728"/>
      <c r="X42" s="1726">
        <v>9.6999999999999993</v>
      </c>
      <c r="Y42" s="1729" t="s">
        <v>1471</v>
      </c>
      <c r="Z42" s="1728"/>
      <c r="AA42" s="1731"/>
      <c r="AB42" s="1740"/>
      <c r="AC42" s="1732"/>
    </row>
    <row r="43" spans="1:29" ht="30">
      <c r="A43" s="1704" t="s">
        <v>1963</v>
      </c>
      <c r="B43" s="1705" t="s">
        <v>1964</v>
      </c>
      <c r="C43" s="1706"/>
      <c r="D43" s="1707"/>
      <c r="E43" s="1708"/>
      <c r="F43" s="1707"/>
      <c r="G43" s="1709">
        <v>4.0000000000000002E-4</v>
      </c>
      <c r="H43" s="1708" t="s">
        <v>1073</v>
      </c>
      <c r="I43" s="1708"/>
      <c r="J43" s="1707"/>
      <c r="K43" s="1707"/>
      <c r="L43" s="1707"/>
      <c r="M43" s="1708">
        <v>0.15</v>
      </c>
      <c r="N43" s="1708"/>
      <c r="O43" s="1710"/>
      <c r="P43" s="1711">
        <v>31</v>
      </c>
      <c r="Q43" s="1712" t="s">
        <v>1471</v>
      </c>
      <c r="R43" s="1711">
        <v>470</v>
      </c>
      <c r="S43" s="1712" t="s">
        <v>1471</v>
      </c>
      <c r="T43" s="1712"/>
      <c r="U43" s="1713"/>
      <c r="V43" s="1712"/>
      <c r="W43" s="1713"/>
      <c r="X43" s="1711">
        <v>7.8</v>
      </c>
      <c r="Y43" s="1714" t="s">
        <v>1471</v>
      </c>
      <c r="Z43" s="1713"/>
      <c r="AA43" s="1716"/>
      <c r="AB43" s="1734"/>
      <c r="AC43" s="1717"/>
    </row>
    <row r="44" spans="1:29" ht="30">
      <c r="A44" s="1704" t="s">
        <v>1965</v>
      </c>
      <c r="B44" s="1705" t="s">
        <v>1966</v>
      </c>
      <c r="C44" s="1706"/>
      <c r="D44" s="1707"/>
      <c r="E44" s="1708"/>
      <c r="F44" s="1707"/>
      <c r="G44" s="1708"/>
      <c r="H44" s="1707"/>
      <c r="I44" s="1709">
        <v>2.0000000000000001E-4</v>
      </c>
      <c r="J44" s="1708" t="s">
        <v>1119</v>
      </c>
      <c r="K44" s="1707"/>
      <c r="L44" s="1707"/>
      <c r="M44" s="1708">
        <v>0.15</v>
      </c>
      <c r="N44" s="1708"/>
      <c r="O44" s="1710"/>
      <c r="P44" s="1711">
        <v>280000</v>
      </c>
      <c r="Q44" s="1712" t="s">
        <v>4124</v>
      </c>
      <c r="R44" s="1711">
        <v>1200000</v>
      </c>
      <c r="S44" s="1712" t="s">
        <v>4124</v>
      </c>
      <c r="T44" s="1711">
        <v>0.21</v>
      </c>
      <c r="U44" s="1712" t="s">
        <v>1471</v>
      </c>
      <c r="V44" s="1711">
        <v>0.88</v>
      </c>
      <c r="W44" s="1712" t="s">
        <v>1471</v>
      </c>
      <c r="X44" s="1712"/>
      <c r="Y44" s="1733"/>
      <c r="Z44" s="1713"/>
      <c r="AA44" s="1716"/>
      <c r="AB44" s="1734"/>
      <c r="AC44" s="1717"/>
    </row>
    <row r="45" spans="1:29" ht="30">
      <c r="A45" s="1719" t="s">
        <v>90</v>
      </c>
      <c r="B45" s="1720" t="s">
        <v>1967</v>
      </c>
      <c r="C45" s="1737">
        <v>1.5</v>
      </c>
      <c r="D45" s="1723" t="s">
        <v>1119</v>
      </c>
      <c r="E45" s="1724">
        <v>4.3E-3</v>
      </c>
      <c r="F45" s="1723" t="s">
        <v>1119</v>
      </c>
      <c r="G45" s="1724">
        <v>2.9999999999999997E-4</v>
      </c>
      <c r="H45" s="1723" t="s">
        <v>1119</v>
      </c>
      <c r="I45" s="1724">
        <v>1.5E-5</v>
      </c>
      <c r="J45" s="1723" t="s">
        <v>1900</v>
      </c>
      <c r="K45" s="1722"/>
      <c r="L45" s="1722"/>
      <c r="M45" s="1723">
        <v>1</v>
      </c>
      <c r="N45" s="1723">
        <v>0.03</v>
      </c>
      <c r="O45" s="1725"/>
      <c r="P45" s="1726">
        <v>0.68</v>
      </c>
      <c r="Q45" s="1727" t="s">
        <v>4128</v>
      </c>
      <c r="R45" s="1726">
        <v>3</v>
      </c>
      <c r="S45" s="1727" t="s">
        <v>4129</v>
      </c>
      <c r="T45" s="1726">
        <v>6.4999999999999997E-4</v>
      </c>
      <c r="U45" s="1727" t="s">
        <v>4127</v>
      </c>
      <c r="V45" s="1726">
        <v>2.8999999999999998E-3</v>
      </c>
      <c r="W45" s="1727" t="s">
        <v>4127</v>
      </c>
      <c r="X45" s="1726">
        <v>5.1999999999999998E-2</v>
      </c>
      <c r="Y45" s="1729" t="s">
        <v>4126</v>
      </c>
      <c r="Z45" s="1726">
        <v>10</v>
      </c>
      <c r="AA45" s="1730">
        <v>1.5E-3</v>
      </c>
      <c r="AB45" s="1731" t="s">
        <v>4126</v>
      </c>
      <c r="AC45" s="1739">
        <v>0.28999999999999998</v>
      </c>
    </row>
    <row r="46" spans="1:29" ht="15">
      <c r="A46" s="1704" t="s">
        <v>1968</v>
      </c>
      <c r="B46" s="1705" t="s">
        <v>1969</v>
      </c>
      <c r="C46" s="1706"/>
      <c r="D46" s="1707"/>
      <c r="E46" s="1708"/>
      <c r="F46" s="1707"/>
      <c r="G46" s="1709">
        <v>3.4999999999999999E-6</v>
      </c>
      <c r="H46" s="1708" t="s">
        <v>1900</v>
      </c>
      <c r="I46" s="1709">
        <v>5.0000000000000002E-5</v>
      </c>
      <c r="J46" s="1708" t="s">
        <v>1119</v>
      </c>
      <c r="K46" s="1707"/>
      <c r="L46" s="1707"/>
      <c r="M46" s="1708">
        <v>1</v>
      </c>
      <c r="N46" s="1708"/>
      <c r="O46" s="1710"/>
      <c r="P46" s="1711">
        <v>0.27</v>
      </c>
      <c r="Q46" s="1712" t="s">
        <v>1471</v>
      </c>
      <c r="R46" s="1711">
        <v>4.0999999999999996</v>
      </c>
      <c r="S46" s="1712" t="s">
        <v>1471</v>
      </c>
      <c r="T46" s="1711">
        <v>5.1999999999999998E-2</v>
      </c>
      <c r="U46" s="1712" t="s">
        <v>1471</v>
      </c>
      <c r="V46" s="1711">
        <v>0.22</v>
      </c>
      <c r="W46" s="1712" t="s">
        <v>1471</v>
      </c>
      <c r="X46" s="1711">
        <v>7.0000000000000007E-2</v>
      </c>
      <c r="Y46" s="1714" t="s">
        <v>1471</v>
      </c>
      <c r="Z46" s="1713"/>
      <c r="AA46" s="1716"/>
      <c r="AB46" s="1734"/>
      <c r="AC46" s="1717"/>
    </row>
    <row r="47" spans="1:29" ht="30">
      <c r="A47" s="1704" t="s">
        <v>1970</v>
      </c>
      <c r="B47" s="1705" t="s">
        <v>1971</v>
      </c>
      <c r="C47" s="1706"/>
      <c r="D47" s="1707"/>
      <c r="E47" s="1708"/>
      <c r="F47" s="1707"/>
      <c r="G47" s="1708"/>
      <c r="H47" s="1707"/>
      <c r="I47" s="1708"/>
      <c r="J47" s="1707"/>
      <c r="K47" s="1707"/>
      <c r="L47" s="1707"/>
      <c r="M47" s="1708">
        <v>1</v>
      </c>
      <c r="N47" s="1708"/>
      <c r="O47" s="1710"/>
      <c r="P47" s="1712"/>
      <c r="Q47" s="1713"/>
      <c r="R47" s="1712"/>
      <c r="S47" s="1713"/>
      <c r="T47" s="1712"/>
      <c r="U47" s="1713"/>
      <c r="V47" s="1712"/>
      <c r="W47" s="1713"/>
      <c r="X47" s="1712"/>
      <c r="Y47" s="1733"/>
      <c r="Z47" s="1712" t="s">
        <v>4130</v>
      </c>
      <c r="AA47" s="1716"/>
      <c r="AB47" s="1734"/>
      <c r="AC47" s="1717"/>
    </row>
    <row r="48" spans="1:29" ht="15">
      <c r="A48" s="1719" t="s">
        <v>1972</v>
      </c>
      <c r="B48" s="1720" t="s">
        <v>1973</v>
      </c>
      <c r="C48" s="1721"/>
      <c r="D48" s="1722"/>
      <c r="E48" s="1723"/>
      <c r="F48" s="1722"/>
      <c r="G48" s="1724">
        <v>0.36</v>
      </c>
      <c r="H48" s="1723" t="s">
        <v>1116</v>
      </c>
      <c r="I48" s="1723"/>
      <c r="J48" s="1722"/>
      <c r="K48" s="1722"/>
      <c r="L48" s="1722"/>
      <c r="M48" s="1723">
        <v>1</v>
      </c>
      <c r="N48" s="1723">
        <v>0.1</v>
      </c>
      <c r="O48" s="1725"/>
      <c r="P48" s="1726">
        <v>23000</v>
      </c>
      <c r="Q48" s="1727" t="s">
        <v>1471</v>
      </c>
      <c r="R48" s="1726">
        <v>300000</v>
      </c>
      <c r="S48" s="1727" t="s">
        <v>4124</v>
      </c>
      <c r="T48" s="1727"/>
      <c r="U48" s="1728"/>
      <c r="V48" s="1727"/>
      <c r="W48" s="1728"/>
      <c r="X48" s="1726">
        <v>7200</v>
      </c>
      <c r="Y48" s="1729" t="s">
        <v>1471</v>
      </c>
      <c r="Z48" s="1728"/>
      <c r="AA48" s="1730">
        <v>1.8</v>
      </c>
      <c r="AB48" s="1731" t="s">
        <v>1471</v>
      </c>
      <c r="AC48" s="1732"/>
    </row>
    <row r="49" spans="1:29" ht="15">
      <c r="A49" s="1704" t="s">
        <v>1974</v>
      </c>
      <c r="B49" s="1705" t="s">
        <v>1975</v>
      </c>
      <c r="C49" s="1736">
        <v>0.23</v>
      </c>
      <c r="D49" s="1708" t="s">
        <v>1900</v>
      </c>
      <c r="E49" s="1708"/>
      <c r="F49" s="1707"/>
      <c r="G49" s="1709">
        <v>3.0000000000000001E-3</v>
      </c>
      <c r="H49" s="1708" t="s">
        <v>1960</v>
      </c>
      <c r="I49" s="1708"/>
      <c r="J49" s="1707"/>
      <c r="K49" s="1707"/>
      <c r="L49" s="1707"/>
      <c r="M49" s="1708">
        <v>1</v>
      </c>
      <c r="N49" s="1708">
        <v>0.1</v>
      </c>
      <c r="O49" s="1710"/>
      <c r="P49" s="1711">
        <v>2.4</v>
      </c>
      <c r="Q49" s="1712" t="s">
        <v>4127</v>
      </c>
      <c r="R49" s="1711">
        <v>10</v>
      </c>
      <c r="S49" s="1712" t="s">
        <v>4126</v>
      </c>
      <c r="T49" s="1712"/>
      <c r="U49" s="1713"/>
      <c r="V49" s="1712"/>
      <c r="W49" s="1713"/>
      <c r="X49" s="1711">
        <v>0.3</v>
      </c>
      <c r="Y49" s="1714" t="s">
        <v>4126</v>
      </c>
      <c r="Z49" s="1711">
        <v>3</v>
      </c>
      <c r="AA49" s="1715">
        <v>2.0000000000000001E-4</v>
      </c>
      <c r="AB49" s="1716" t="s">
        <v>4126</v>
      </c>
      <c r="AC49" s="1738">
        <v>1.9E-3</v>
      </c>
    </row>
    <row r="50" spans="1:29" ht="15">
      <c r="A50" s="1704" t="s">
        <v>1976</v>
      </c>
      <c r="B50" s="1705" t="s">
        <v>1977</v>
      </c>
      <c r="C50" s="1736">
        <v>0.88</v>
      </c>
      <c r="D50" s="1708" t="s">
        <v>1900</v>
      </c>
      <c r="E50" s="1709">
        <v>2.5000000000000001E-4</v>
      </c>
      <c r="F50" s="1708" t="s">
        <v>1900</v>
      </c>
      <c r="G50" s="1708"/>
      <c r="H50" s="1707"/>
      <c r="I50" s="1708"/>
      <c r="J50" s="1707"/>
      <c r="K50" s="1707"/>
      <c r="L50" s="1707"/>
      <c r="M50" s="1708">
        <v>1</v>
      </c>
      <c r="N50" s="1708">
        <v>0.1</v>
      </c>
      <c r="O50" s="1710"/>
      <c r="P50" s="1711">
        <v>0.62</v>
      </c>
      <c r="Q50" s="1712" t="s">
        <v>4126</v>
      </c>
      <c r="R50" s="1711">
        <v>2.6</v>
      </c>
      <c r="S50" s="1712" t="s">
        <v>4126</v>
      </c>
      <c r="T50" s="1711">
        <v>1.0999999999999999E-2</v>
      </c>
      <c r="U50" s="1712" t="s">
        <v>4126</v>
      </c>
      <c r="V50" s="1711">
        <v>4.9000000000000002E-2</v>
      </c>
      <c r="W50" s="1712" t="s">
        <v>4126</v>
      </c>
      <c r="X50" s="1711">
        <v>7.8E-2</v>
      </c>
      <c r="Y50" s="1714" t="s">
        <v>4126</v>
      </c>
      <c r="Z50" s="1713"/>
      <c r="AA50" s="1715">
        <v>7.1000000000000002E-4</v>
      </c>
      <c r="AB50" s="1716" t="s">
        <v>4126</v>
      </c>
      <c r="AC50" s="1717"/>
    </row>
    <row r="51" spans="1:29" ht="15">
      <c r="A51" s="1719" t="s">
        <v>1978</v>
      </c>
      <c r="B51" s="1720" t="s">
        <v>1979</v>
      </c>
      <c r="C51" s="1721"/>
      <c r="D51" s="1722"/>
      <c r="E51" s="1723"/>
      <c r="F51" s="1722"/>
      <c r="G51" s="1724">
        <v>4.0000000000000002E-4</v>
      </c>
      <c r="H51" s="1723" t="s">
        <v>1119</v>
      </c>
      <c r="I51" s="1723"/>
      <c r="J51" s="1722"/>
      <c r="K51" s="1722"/>
      <c r="L51" s="1722"/>
      <c r="M51" s="1723">
        <v>1</v>
      </c>
      <c r="N51" s="1723">
        <v>0.1</v>
      </c>
      <c r="O51" s="1725"/>
      <c r="P51" s="1726">
        <v>25</v>
      </c>
      <c r="Q51" s="1727" t="s">
        <v>1471</v>
      </c>
      <c r="R51" s="1726">
        <v>330</v>
      </c>
      <c r="S51" s="1727" t="s">
        <v>1471</v>
      </c>
      <c r="T51" s="1727"/>
      <c r="U51" s="1728"/>
      <c r="V51" s="1727"/>
      <c r="W51" s="1728"/>
      <c r="X51" s="1726">
        <v>8</v>
      </c>
      <c r="Y51" s="1729" t="s">
        <v>1471</v>
      </c>
      <c r="Z51" s="1728"/>
      <c r="AA51" s="1730">
        <v>14</v>
      </c>
      <c r="AB51" s="1731" t="s">
        <v>1471</v>
      </c>
      <c r="AC51" s="1732"/>
    </row>
    <row r="52" spans="1:29" ht="15">
      <c r="A52" s="1704" t="s">
        <v>1980</v>
      </c>
      <c r="B52" s="1705" t="s">
        <v>1981</v>
      </c>
      <c r="C52" s="1706"/>
      <c r="D52" s="1707"/>
      <c r="E52" s="1708"/>
      <c r="F52" s="1707"/>
      <c r="G52" s="1709">
        <v>3.0000000000000001E-3</v>
      </c>
      <c r="H52" s="1708" t="s">
        <v>1960</v>
      </c>
      <c r="I52" s="1709">
        <v>0.01</v>
      </c>
      <c r="J52" s="1708" t="s">
        <v>1960</v>
      </c>
      <c r="K52" s="1707"/>
      <c r="L52" s="1707"/>
      <c r="M52" s="1708">
        <v>1</v>
      </c>
      <c r="N52" s="1708">
        <v>0.1</v>
      </c>
      <c r="O52" s="1710"/>
      <c r="P52" s="1711">
        <v>190</v>
      </c>
      <c r="Q52" s="1712" t="s">
        <v>1471</v>
      </c>
      <c r="R52" s="1711">
        <v>2500</v>
      </c>
      <c r="S52" s="1712" t="s">
        <v>1471</v>
      </c>
      <c r="T52" s="1711">
        <v>10</v>
      </c>
      <c r="U52" s="1712" t="s">
        <v>1471</v>
      </c>
      <c r="V52" s="1711">
        <v>44</v>
      </c>
      <c r="W52" s="1712" t="s">
        <v>1471</v>
      </c>
      <c r="X52" s="1711">
        <v>56</v>
      </c>
      <c r="Y52" s="1714" t="s">
        <v>1471</v>
      </c>
      <c r="Z52" s="1713"/>
      <c r="AA52" s="1715">
        <v>1.7000000000000001E-2</v>
      </c>
      <c r="AB52" s="1716" t="s">
        <v>1471</v>
      </c>
      <c r="AC52" s="1717"/>
    </row>
    <row r="53" spans="1:29" ht="15">
      <c r="A53" s="1704" t="s">
        <v>1982</v>
      </c>
      <c r="B53" s="1705" t="s">
        <v>1983</v>
      </c>
      <c r="C53" s="1736">
        <v>0.11</v>
      </c>
      <c r="D53" s="1708" t="s">
        <v>1119</v>
      </c>
      <c r="E53" s="1709">
        <v>3.1000000000000001E-5</v>
      </c>
      <c r="F53" s="1708" t="s">
        <v>1119</v>
      </c>
      <c r="G53" s="1708"/>
      <c r="H53" s="1707"/>
      <c r="I53" s="1708"/>
      <c r="J53" s="1707"/>
      <c r="K53" s="1708" t="s">
        <v>1127</v>
      </c>
      <c r="L53" s="1707"/>
      <c r="M53" s="1708">
        <v>1</v>
      </c>
      <c r="N53" s="1708"/>
      <c r="O53" s="1710"/>
      <c r="P53" s="1711">
        <v>5.6</v>
      </c>
      <c r="Q53" s="1712" t="s">
        <v>4126</v>
      </c>
      <c r="R53" s="1711">
        <v>26</v>
      </c>
      <c r="S53" s="1712" t="s">
        <v>4126</v>
      </c>
      <c r="T53" s="1711">
        <v>9.0999999999999998E-2</v>
      </c>
      <c r="U53" s="1712" t="s">
        <v>4126</v>
      </c>
      <c r="V53" s="1711">
        <v>0.4</v>
      </c>
      <c r="W53" s="1712" t="s">
        <v>4126</v>
      </c>
      <c r="X53" s="1711">
        <v>0.12</v>
      </c>
      <c r="Y53" s="1714" t="s">
        <v>4126</v>
      </c>
      <c r="Z53" s="1713"/>
      <c r="AA53" s="1715">
        <v>9.3000000000000005E-4</v>
      </c>
      <c r="AB53" s="1716" t="s">
        <v>4126</v>
      </c>
      <c r="AC53" s="1717"/>
    </row>
    <row r="54" spans="1:29" ht="30">
      <c r="A54" s="1719" t="s">
        <v>1984</v>
      </c>
      <c r="B54" s="1720" t="s">
        <v>1985</v>
      </c>
      <c r="C54" s="1721"/>
      <c r="D54" s="1722"/>
      <c r="E54" s="1723"/>
      <c r="F54" s="1722"/>
      <c r="G54" s="1724">
        <v>1</v>
      </c>
      <c r="H54" s="1723" t="s">
        <v>1909</v>
      </c>
      <c r="I54" s="1724">
        <v>6.9999999999999999E-6</v>
      </c>
      <c r="J54" s="1723" t="s">
        <v>1909</v>
      </c>
      <c r="K54" s="1722"/>
      <c r="L54" s="1722"/>
      <c r="M54" s="1723">
        <v>1</v>
      </c>
      <c r="N54" s="1723">
        <v>0.1</v>
      </c>
      <c r="O54" s="1725"/>
      <c r="P54" s="1726">
        <v>8600</v>
      </c>
      <c r="Q54" s="1727" t="s">
        <v>1471</v>
      </c>
      <c r="R54" s="1726">
        <v>40000</v>
      </c>
      <c r="S54" s="1727" t="s">
        <v>1471</v>
      </c>
      <c r="T54" s="1726">
        <v>7.3000000000000001E-3</v>
      </c>
      <c r="U54" s="1727" t="s">
        <v>1471</v>
      </c>
      <c r="V54" s="1726">
        <v>3.1E-2</v>
      </c>
      <c r="W54" s="1727" t="s">
        <v>1471</v>
      </c>
      <c r="X54" s="1726">
        <v>20000</v>
      </c>
      <c r="Y54" s="1729" t="s">
        <v>1471</v>
      </c>
      <c r="Z54" s="1728"/>
      <c r="AA54" s="1730">
        <v>6.8</v>
      </c>
      <c r="AB54" s="1731" t="s">
        <v>1471</v>
      </c>
      <c r="AC54" s="1732"/>
    </row>
    <row r="55" spans="1:29" ht="15">
      <c r="A55" s="1704" t="s">
        <v>92</v>
      </c>
      <c r="B55" s="1705" t="s">
        <v>91</v>
      </c>
      <c r="C55" s="1706"/>
      <c r="D55" s="1707"/>
      <c r="E55" s="1708"/>
      <c r="F55" s="1707"/>
      <c r="G55" s="1709">
        <v>0.2</v>
      </c>
      <c r="H55" s="1708" t="s">
        <v>1119</v>
      </c>
      <c r="I55" s="1709">
        <v>5.0000000000000001E-4</v>
      </c>
      <c r="J55" s="1708" t="s">
        <v>1073</v>
      </c>
      <c r="K55" s="1707"/>
      <c r="L55" s="1707"/>
      <c r="M55" s="1708">
        <v>7.0000000000000007E-2</v>
      </c>
      <c r="N55" s="1708"/>
      <c r="O55" s="1710"/>
      <c r="P55" s="1711">
        <v>15000</v>
      </c>
      <c r="Q55" s="1712" t="s">
        <v>1471</v>
      </c>
      <c r="R55" s="1711">
        <v>220000</v>
      </c>
      <c r="S55" s="1712" t="s">
        <v>4124</v>
      </c>
      <c r="T55" s="1711">
        <v>0.52</v>
      </c>
      <c r="U55" s="1712" t="s">
        <v>1471</v>
      </c>
      <c r="V55" s="1711">
        <v>2.2000000000000002</v>
      </c>
      <c r="W55" s="1712" t="s">
        <v>1471</v>
      </c>
      <c r="X55" s="1711">
        <v>3800</v>
      </c>
      <c r="Y55" s="1714" t="s">
        <v>1471</v>
      </c>
      <c r="Z55" s="1711">
        <v>2000</v>
      </c>
      <c r="AA55" s="1715">
        <v>160</v>
      </c>
      <c r="AB55" s="1716" t="s">
        <v>1471</v>
      </c>
      <c r="AC55" s="1738">
        <v>82</v>
      </c>
    </row>
    <row r="56" spans="1:29" ht="15">
      <c r="A56" s="1704" t="s">
        <v>1987</v>
      </c>
      <c r="B56" s="1705" t="s">
        <v>1988</v>
      </c>
      <c r="C56" s="1706"/>
      <c r="D56" s="1707"/>
      <c r="E56" s="1708"/>
      <c r="F56" s="1707"/>
      <c r="G56" s="1709">
        <v>5.0000000000000001E-3</v>
      </c>
      <c r="H56" s="1708" t="s">
        <v>1116</v>
      </c>
      <c r="I56" s="1708"/>
      <c r="J56" s="1707"/>
      <c r="K56" s="1708" t="s">
        <v>1127</v>
      </c>
      <c r="L56" s="1707"/>
      <c r="M56" s="1708">
        <v>1</v>
      </c>
      <c r="N56" s="1708"/>
      <c r="O56" s="1710"/>
      <c r="P56" s="1711">
        <v>390</v>
      </c>
      <c r="Q56" s="1712" t="s">
        <v>1471</v>
      </c>
      <c r="R56" s="1711">
        <v>5800</v>
      </c>
      <c r="S56" s="1712" t="s">
        <v>1471</v>
      </c>
      <c r="T56" s="1712"/>
      <c r="U56" s="1713"/>
      <c r="V56" s="1712"/>
      <c r="W56" s="1713"/>
      <c r="X56" s="1711">
        <v>28</v>
      </c>
      <c r="Y56" s="1714" t="s">
        <v>1471</v>
      </c>
      <c r="Z56" s="1713"/>
      <c r="AA56" s="1715">
        <v>0.94</v>
      </c>
      <c r="AB56" s="1716" t="s">
        <v>1471</v>
      </c>
      <c r="AC56" s="1717"/>
    </row>
    <row r="57" spans="1:29" ht="15">
      <c r="A57" s="1719" t="s">
        <v>1990</v>
      </c>
      <c r="B57" s="1720" t="s">
        <v>1991</v>
      </c>
      <c r="C57" s="1721"/>
      <c r="D57" s="1722"/>
      <c r="E57" s="1723"/>
      <c r="F57" s="1722"/>
      <c r="G57" s="1724">
        <v>0.05</v>
      </c>
      <c r="H57" s="1723" t="s">
        <v>1119</v>
      </c>
      <c r="I57" s="1723"/>
      <c r="J57" s="1722"/>
      <c r="K57" s="1722"/>
      <c r="L57" s="1722"/>
      <c r="M57" s="1723">
        <v>1</v>
      </c>
      <c r="N57" s="1723">
        <v>0.1</v>
      </c>
      <c r="O57" s="1725"/>
      <c r="P57" s="1726">
        <v>3200</v>
      </c>
      <c r="Q57" s="1727" t="s">
        <v>1471</v>
      </c>
      <c r="R57" s="1726">
        <v>41000</v>
      </c>
      <c r="S57" s="1727" t="s">
        <v>1471</v>
      </c>
      <c r="T57" s="1727"/>
      <c r="U57" s="1728"/>
      <c r="V57" s="1727"/>
      <c r="W57" s="1728"/>
      <c r="X57" s="1726">
        <v>970</v>
      </c>
      <c r="Y57" s="1729" t="s">
        <v>1471</v>
      </c>
      <c r="Z57" s="1728"/>
      <c r="AA57" s="1730">
        <v>0.85</v>
      </c>
      <c r="AB57" s="1731" t="s">
        <v>1471</v>
      </c>
      <c r="AC57" s="1732"/>
    </row>
    <row r="58" spans="1:29" ht="30">
      <c r="A58" s="1704" t="s">
        <v>1992</v>
      </c>
      <c r="B58" s="1705" t="s">
        <v>1993</v>
      </c>
      <c r="C58" s="1706"/>
      <c r="D58" s="1707"/>
      <c r="E58" s="1708"/>
      <c r="F58" s="1707"/>
      <c r="G58" s="1709">
        <v>0.2</v>
      </c>
      <c r="H58" s="1708" t="s">
        <v>1119</v>
      </c>
      <c r="I58" s="1708"/>
      <c r="J58" s="1707"/>
      <c r="K58" s="1707"/>
      <c r="L58" s="1707"/>
      <c r="M58" s="1708">
        <v>1</v>
      </c>
      <c r="N58" s="1708">
        <v>0.1</v>
      </c>
      <c r="O58" s="1710"/>
      <c r="P58" s="1711">
        <v>13000</v>
      </c>
      <c r="Q58" s="1712" t="s">
        <v>1471</v>
      </c>
      <c r="R58" s="1711">
        <v>160000</v>
      </c>
      <c r="S58" s="1712" t="s">
        <v>4124</v>
      </c>
      <c r="T58" s="1712"/>
      <c r="U58" s="1713"/>
      <c r="V58" s="1712"/>
      <c r="W58" s="1713"/>
      <c r="X58" s="1711">
        <v>3900</v>
      </c>
      <c r="Y58" s="1714" t="s">
        <v>1471</v>
      </c>
      <c r="Z58" s="1713"/>
      <c r="AA58" s="1715">
        <v>1</v>
      </c>
      <c r="AB58" s="1716" t="s">
        <v>1471</v>
      </c>
      <c r="AC58" s="1717"/>
    </row>
    <row r="59" spans="1:29" ht="15">
      <c r="A59" s="1704" t="s">
        <v>1994</v>
      </c>
      <c r="B59" s="1705" t="s">
        <v>1995</v>
      </c>
      <c r="C59" s="1706"/>
      <c r="D59" s="1707"/>
      <c r="E59" s="1708"/>
      <c r="F59" s="1707"/>
      <c r="G59" s="1709">
        <v>0.03</v>
      </c>
      <c r="H59" s="1708" t="s">
        <v>1119</v>
      </c>
      <c r="I59" s="1708"/>
      <c r="J59" s="1707"/>
      <c r="K59" s="1707"/>
      <c r="L59" s="1707"/>
      <c r="M59" s="1708">
        <v>1</v>
      </c>
      <c r="N59" s="1708">
        <v>0.1</v>
      </c>
      <c r="O59" s="1710"/>
      <c r="P59" s="1711">
        <v>1900</v>
      </c>
      <c r="Q59" s="1712" t="s">
        <v>1471</v>
      </c>
      <c r="R59" s="1711">
        <v>25000</v>
      </c>
      <c r="S59" s="1712" t="s">
        <v>1471</v>
      </c>
      <c r="T59" s="1712"/>
      <c r="U59" s="1713"/>
      <c r="V59" s="1712"/>
      <c r="W59" s="1713"/>
      <c r="X59" s="1711">
        <v>570</v>
      </c>
      <c r="Y59" s="1714" t="s">
        <v>1471</v>
      </c>
      <c r="Z59" s="1713"/>
      <c r="AA59" s="1715">
        <v>0.12</v>
      </c>
      <c r="AB59" s="1716" t="s">
        <v>1471</v>
      </c>
      <c r="AC59" s="1717"/>
    </row>
    <row r="60" spans="1:29" ht="15">
      <c r="A60" s="1719" t="s">
        <v>1996</v>
      </c>
      <c r="B60" s="1720" t="s">
        <v>1997</v>
      </c>
      <c r="C60" s="1737">
        <v>4.0000000000000001E-3</v>
      </c>
      <c r="D60" s="1723" t="s">
        <v>1909</v>
      </c>
      <c r="E60" s="1723"/>
      <c r="F60" s="1722"/>
      <c r="G60" s="1724">
        <v>0.1</v>
      </c>
      <c r="H60" s="1723" t="s">
        <v>1119</v>
      </c>
      <c r="I60" s="1723"/>
      <c r="J60" s="1722"/>
      <c r="K60" s="1723" t="s">
        <v>1127</v>
      </c>
      <c r="L60" s="1722"/>
      <c r="M60" s="1723">
        <v>1</v>
      </c>
      <c r="N60" s="1723"/>
      <c r="O60" s="1735">
        <v>1160</v>
      </c>
      <c r="P60" s="1726">
        <v>170</v>
      </c>
      <c r="Q60" s="1727" t="s">
        <v>4127</v>
      </c>
      <c r="R60" s="1726">
        <v>820</v>
      </c>
      <c r="S60" s="1727" t="s">
        <v>4126</v>
      </c>
      <c r="T60" s="1727"/>
      <c r="U60" s="1728"/>
      <c r="V60" s="1727"/>
      <c r="W60" s="1728"/>
      <c r="X60" s="1726">
        <v>19</v>
      </c>
      <c r="Y60" s="1729" t="s">
        <v>4126</v>
      </c>
      <c r="Z60" s="1728"/>
      <c r="AA60" s="1730">
        <v>4.1000000000000003E-3</v>
      </c>
      <c r="AB60" s="1731" t="s">
        <v>4126</v>
      </c>
      <c r="AC60" s="1732"/>
    </row>
    <row r="61" spans="1:29" ht="15">
      <c r="A61" s="1704" t="s">
        <v>94</v>
      </c>
      <c r="B61" s="1705" t="s">
        <v>93</v>
      </c>
      <c r="C61" s="1736">
        <v>5.5E-2</v>
      </c>
      <c r="D61" s="1708" t="s">
        <v>1119</v>
      </c>
      <c r="E61" s="1709">
        <v>7.7999999999999999E-6</v>
      </c>
      <c r="F61" s="1708" t="s">
        <v>1119</v>
      </c>
      <c r="G61" s="1709">
        <v>4.0000000000000001E-3</v>
      </c>
      <c r="H61" s="1708" t="s">
        <v>1119</v>
      </c>
      <c r="I61" s="1709">
        <v>0.03</v>
      </c>
      <c r="J61" s="1708" t="s">
        <v>1119</v>
      </c>
      <c r="K61" s="1708" t="s">
        <v>1127</v>
      </c>
      <c r="L61" s="1707"/>
      <c r="M61" s="1708">
        <v>1</v>
      </c>
      <c r="N61" s="1708"/>
      <c r="O61" s="1718">
        <v>1820</v>
      </c>
      <c r="P61" s="1711">
        <v>1.2</v>
      </c>
      <c r="Q61" s="1712" t="s">
        <v>4127</v>
      </c>
      <c r="R61" s="1711">
        <v>5.0999999999999996</v>
      </c>
      <c r="S61" s="1712" t="s">
        <v>4127</v>
      </c>
      <c r="T61" s="1711">
        <v>0.36</v>
      </c>
      <c r="U61" s="1712" t="s">
        <v>4127</v>
      </c>
      <c r="V61" s="1711">
        <v>1.6</v>
      </c>
      <c r="W61" s="1712" t="s">
        <v>4127</v>
      </c>
      <c r="X61" s="1711">
        <v>0.46</v>
      </c>
      <c r="Y61" s="1714" t="s">
        <v>4127</v>
      </c>
      <c r="Z61" s="1711">
        <v>5</v>
      </c>
      <c r="AA61" s="1715">
        <v>2.3000000000000001E-4</v>
      </c>
      <c r="AB61" s="1716" t="s">
        <v>4127</v>
      </c>
      <c r="AC61" s="1738">
        <v>2.5999999999999999E-3</v>
      </c>
    </row>
    <row r="62" spans="1:29" ht="30">
      <c r="A62" s="1704" t="s">
        <v>1998</v>
      </c>
      <c r="B62" s="1705" t="s">
        <v>1999</v>
      </c>
      <c r="C62" s="1706"/>
      <c r="D62" s="1707"/>
      <c r="E62" s="1708"/>
      <c r="F62" s="1707"/>
      <c r="G62" s="1708"/>
      <c r="H62" s="1707"/>
      <c r="I62" s="1709">
        <v>4.0000000000000001E-3</v>
      </c>
      <c r="J62" s="1708" t="s">
        <v>1900</v>
      </c>
      <c r="K62" s="1708" t="s">
        <v>1127</v>
      </c>
      <c r="L62" s="1707"/>
      <c r="M62" s="1708">
        <v>1</v>
      </c>
      <c r="N62" s="1708"/>
      <c r="O62" s="1718">
        <v>182</v>
      </c>
      <c r="P62" s="1711">
        <v>51</v>
      </c>
      <c r="Q62" s="1712" t="s">
        <v>1471</v>
      </c>
      <c r="R62" s="1711">
        <v>220</v>
      </c>
      <c r="S62" s="1712" t="s">
        <v>4125</v>
      </c>
      <c r="T62" s="1711">
        <v>4.2</v>
      </c>
      <c r="U62" s="1712" t="s">
        <v>1471</v>
      </c>
      <c r="V62" s="1711">
        <v>18</v>
      </c>
      <c r="W62" s="1712" t="s">
        <v>1471</v>
      </c>
      <c r="X62" s="1711">
        <v>8.3000000000000007</v>
      </c>
      <c r="Y62" s="1714" t="s">
        <v>1471</v>
      </c>
      <c r="Z62" s="1713"/>
      <c r="AA62" s="1715">
        <v>1.2E-2</v>
      </c>
      <c r="AB62" s="1716" t="s">
        <v>1471</v>
      </c>
      <c r="AC62" s="1717"/>
    </row>
    <row r="63" spans="1:29" ht="45">
      <c r="A63" s="1719" t="s">
        <v>2000</v>
      </c>
      <c r="B63" s="1720" t="s">
        <v>2001</v>
      </c>
      <c r="C63" s="1737">
        <v>0.1</v>
      </c>
      <c r="D63" s="1723" t="s">
        <v>1893</v>
      </c>
      <c r="E63" s="1723"/>
      <c r="F63" s="1722"/>
      <c r="G63" s="1724">
        <v>2.9999999999999997E-4</v>
      </c>
      <c r="H63" s="1723" t="s">
        <v>1893</v>
      </c>
      <c r="I63" s="1723"/>
      <c r="J63" s="1722"/>
      <c r="K63" s="1722"/>
      <c r="L63" s="1722"/>
      <c r="M63" s="1723">
        <v>1</v>
      </c>
      <c r="N63" s="1723">
        <v>0.1</v>
      </c>
      <c r="O63" s="1725"/>
      <c r="P63" s="1726">
        <v>5.4</v>
      </c>
      <c r="Q63" s="1727" t="s">
        <v>4122</v>
      </c>
      <c r="R63" s="1726">
        <v>23</v>
      </c>
      <c r="S63" s="1727" t="s">
        <v>4127</v>
      </c>
      <c r="T63" s="1727"/>
      <c r="U63" s="1728"/>
      <c r="V63" s="1727"/>
      <c r="W63" s="1728"/>
      <c r="X63" s="1726">
        <v>0.78</v>
      </c>
      <c r="Y63" s="1729" t="s">
        <v>4122</v>
      </c>
      <c r="Z63" s="1728"/>
      <c r="AA63" s="1730">
        <v>2.2000000000000001E-4</v>
      </c>
      <c r="AB63" s="1731" t="s">
        <v>4122</v>
      </c>
      <c r="AC63" s="1732"/>
    </row>
    <row r="64" spans="1:29" ht="15">
      <c r="A64" s="1704" t="s">
        <v>2002</v>
      </c>
      <c r="B64" s="1705" t="s">
        <v>2003</v>
      </c>
      <c r="C64" s="1706"/>
      <c r="D64" s="1707"/>
      <c r="E64" s="1708"/>
      <c r="F64" s="1707"/>
      <c r="G64" s="1709">
        <v>1E-3</v>
      </c>
      <c r="H64" s="1708" t="s">
        <v>1909</v>
      </c>
      <c r="I64" s="1708"/>
      <c r="J64" s="1707"/>
      <c r="K64" s="1708" t="s">
        <v>1127</v>
      </c>
      <c r="L64" s="1707"/>
      <c r="M64" s="1708">
        <v>1</v>
      </c>
      <c r="N64" s="1708"/>
      <c r="O64" s="1718">
        <v>1260</v>
      </c>
      <c r="P64" s="1711">
        <v>78</v>
      </c>
      <c r="Q64" s="1712" t="s">
        <v>1471</v>
      </c>
      <c r="R64" s="1711">
        <v>1200</v>
      </c>
      <c r="S64" s="1712" t="s">
        <v>1471</v>
      </c>
      <c r="T64" s="1712"/>
      <c r="U64" s="1713"/>
      <c r="V64" s="1712"/>
      <c r="W64" s="1713"/>
      <c r="X64" s="1711">
        <v>17</v>
      </c>
      <c r="Y64" s="1714" t="s">
        <v>1471</v>
      </c>
      <c r="Z64" s="1713"/>
      <c r="AA64" s="1715">
        <v>1.0999999999999999E-2</v>
      </c>
      <c r="AB64" s="1716" t="s">
        <v>1471</v>
      </c>
      <c r="AC64" s="1717"/>
    </row>
    <row r="65" spans="1:29" ht="15">
      <c r="A65" s="1704" t="s">
        <v>2004</v>
      </c>
      <c r="B65" s="1705" t="s">
        <v>2005</v>
      </c>
      <c r="C65" s="1736">
        <v>230</v>
      </c>
      <c r="D65" s="1708" t="s">
        <v>1119</v>
      </c>
      <c r="E65" s="1709">
        <v>6.7000000000000004E-2</v>
      </c>
      <c r="F65" s="1708" t="s">
        <v>1119</v>
      </c>
      <c r="G65" s="1709">
        <v>3.0000000000000001E-3</v>
      </c>
      <c r="H65" s="1708" t="s">
        <v>1119</v>
      </c>
      <c r="I65" s="1708"/>
      <c r="J65" s="1707"/>
      <c r="K65" s="1707"/>
      <c r="L65" s="1708" t="s">
        <v>1906</v>
      </c>
      <c r="M65" s="1708">
        <v>1</v>
      </c>
      <c r="N65" s="1708">
        <v>0.1</v>
      </c>
      <c r="O65" s="1710"/>
      <c r="P65" s="1711">
        <v>5.2999999999999998E-4</v>
      </c>
      <c r="Q65" s="1712" t="s">
        <v>4126</v>
      </c>
      <c r="R65" s="1711">
        <v>0.01</v>
      </c>
      <c r="S65" s="1712" t="s">
        <v>4126</v>
      </c>
      <c r="T65" s="1711">
        <v>1.5E-5</v>
      </c>
      <c r="U65" s="1712" t="s">
        <v>4126</v>
      </c>
      <c r="V65" s="1711">
        <v>1.8000000000000001E-4</v>
      </c>
      <c r="W65" s="1712" t="s">
        <v>4126</v>
      </c>
      <c r="X65" s="1711">
        <v>1.1E-4</v>
      </c>
      <c r="Y65" s="1714" t="s">
        <v>4126</v>
      </c>
      <c r="Z65" s="1713"/>
      <c r="AA65" s="1715">
        <v>2.8000000000000002E-7</v>
      </c>
      <c r="AB65" s="1716" t="s">
        <v>4126</v>
      </c>
      <c r="AC65" s="1717"/>
    </row>
    <row r="66" spans="1:29" ht="15">
      <c r="A66" s="1719" t="s">
        <v>2007</v>
      </c>
      <c r="B66" s="1720" t="s">
        <v>2008</v>
      </c>
      <c r="C66" s="1721"/>
      <c r="D66" s="1722"/>
      <c r="E66" s="1723"/>
      <c r="F66" s="1722"/>
      <c r="G66" s="1724">
        <v>4</v>
      </c>
      <c r="H66" s="1723" t="s">
        <v>1119</v>
      </c>
      <c r="I66" s="1723"/>
      <c r="J66" s="1722"/>
      <c r="K66" s="1722"/>
      <c r="L66" s="1722"/>
      <c r="M66" s="1723">
        <v>1</v>
      </c>
      <c r="N66" s="1723">
        <v>0.1</v>
      </c>
      <c r="O66" s="1725"/>
      <c r="P66" s="1726">
        <v>250000</v>
      </c>
      <c r="Q66" s="1727" t="s">
        <v>4124</v>
      </c>
      <c r="R66" s="1726">
        <v>3300000</v>
      </c>
      <c r="S66" s="1727" t="s">
        <v>4124</v>
      </c>
      <c r="T66" s="1727"/>
      <c r="U66" s="1728"/>
      <c r="V66" s="1727"/>
      <c r="W66" s="1728"/>
      <c r="X66" s="1726">
        <v>75000</v>
      </c>
      <c r="Y66" s="1729" t="s">
        <v>1471</v>
      </c>
      <c r="Z66" s="1728"/>
      <c r="AA66" s="1730">
        <v>15</v>
      </c>
      <c r="AB66" s="1731" t="s">
        <v>1471</v>
      </c>
      <c r="AC66" s="1732"/>
    </row>
    <row r="67" spans="1:29" ht="15">
      <c r="A67" s="1704" t="s">
        <v>2009</v>
      </c>
      <c r="B67" s="1705" t="s">
        <v>2010</v>
      </c>
      <c r="C67" s="1736">
        <v>13</v>
      </c>
      <c r="D67" s="1708" t="s">
        <v>1119</v>
      </c>
      <c r="E67" s="1708"/>
      <c r="F67" s="1707"/>
      <c r="G67" s="1708"/>
      <c r="H67" s="1707"/>
      <c r="I67" s="1708"/>
      <c r="J67" s="1707"/>
      <c r="K67" s="1708" t="s">
        <v>1127</v>
      </c>
      <c r="L67" s="1707"/>
      <c r="M67" s="1708">
        <v>1</v>
      </c>
      <c r="N67" s="1708"/>
      <c r="O67" s="1718">
        <v>324</v>
      </c>
      <c r="P67" s="1711">
        <v>5.2999999999999999E-2</v>
      </c>
      <c r="Q67" s="1712" t="s">
        <v>4126</v>
      </c>
      <c r="R67" s="1711">
        <v>0.25</v>
      </c>
      <c r="S67" s="1712" t="s">
        <v>4126</v>
      </c>
      <c r="T67" s="1712"/>
      <c r="U67" s="1713"/>
      <c r="V67" s="1712"/>
      <c r="W67" s="1713"/>
      <c r="X67" s="1711">
        <v>3.0000000000000001E-3</v>
      </c>
      <c r="Y67" s="1714" t="s">
        <v>4126</v>
      </c>
      <c r="Z67" s="1713"/>
      <c r="AA67" s="1715">
        <v>6.6000000000000003E-6</v>
      </c>
      <c r="AB67" s="1716" t="s">
        <v>4126</v>
      </c>
      <c r="AC67" s="1717"/>
    </row>
    <row r="68" spans="1:29" ht="15">
      <c r="A68" s="1704" t="s">
        <v>2011</v>
      </c>
      <c r="B68" s="1705" t="s">
        <v>2012</v>
      </c>
      <c r="C68" s="1706"/>
      <c r="D68" s="1707"/>
      <c r="E68" s="1708"/>
      <c r="F68" s="1707"/>
      <c r="G68" s="1709">
        <v>0.1</v>
      </c>
      <c r="H68" s="1708" t="s">
        <v>1909</v>
      </c>
      <c r="I68" s="1708"/>
      <c r="J68" s="1707"/>
      <c r="K68" s="1707"/>
      <c r="L68" s="1707"/>
      <c r="M68" s="1708">
        <v>1</v>
      </c>
      <c r="N68" s="1708">
        <v>0.1</v>
      </c>
      <c r="O68" s="1710"/>
      <c r="P68" s="1711">
        <v>6300</v>
      </c>
      <c r="Q68" s="1712" t="s">
        <v>1471</v>
      </c>
      <c r="R68" s="1711">
        <v>82000</v>
      </c>
      <c r="S68" s="1712" t="s">
        <v>1471</v>
      </c>
      <c r="T68" s="1712"/>
      <c r="U68" s="1713"/>
      <c r="V68" s="1712"/>
      <c r="W68" s="1713"/>
      <c r="X68" s="1711">
        <v>2000</v>
      </c>
      <c r="Y68" s="1714" t="s">
        <v>1471</v>
      </c>
      <c r="Z68" s="1713"/>
      <c r="AA68" s="1715">
        <v>0.48</v>
      </c>
      <c r="AB68" s="1716" t="s">
        <v>1471</v>
      </c>
      <c r="AC68" s="1717"/>
    </row>
    <row r="69" spans="1:29" ht="15">
      <c r="A69" s="1719" t="s">
        <v>2013</v>
      </c>
      <c r="B69" s="1720" t="s">
        <v>2014</v>
      </c>
      <c r="C69" s="1737">
        <v>0.17</v>
      </c>
      <c r="D69" s="1723" t="s">
        <v>1119</v>
      </c>
      <c r="E69" s="1724">
        <v>4.8999999999999998E-5</v>
      </c>
      <c r="F69" s="1723" t="s">
        <v>1900</v>
      </c>
      <c r="G69" s="1724">
        <v>2E-3</v>
      </c>
      <c r="H69" s="1723" t="s">
        <v>1909</v>
      </c>
      <c r="I69" s="1724">
        <v>1E-3</v>
      </c>
      <c r="J69" s="1723" t="s">
        <v>1909</v>
      </c>
      <c r="K69" s="1723" t="s">
        <v>1127</v>
      </c>
      <c r="L69" s="1722"/>
      <c r="M69" s="1723">
        <v>1</v>
      </c>
      <c r="N69" s="1723"/>
      <c r="O69" s="1735">
        <v>1460</v>
      </c>
      <c r="P69" s="1726">
        <v>1.1000000000000001</v>
      </c>
      <c r="Q69" s="1727" t="s">
        <v>4127</v>
      </c>
      <c r="R69" s="1726">
        <v>4.8</v>
      </c>
      <c r="S69" s="1727" t="s">
        <v>4127</v>
      </c>
      <c r="T69" s="1726">
        <v>5.7000000000000002E-2</v>
      </c>
      <c r="U69" s="1727" t="s">
        <v>4127</v>
      </c>
      <c r="V69" s="1726">
        <v>0.25</v>
      </c>
      <c r="W69" s="1727" t="s">
        <v>4127</v>
      </c>
      <c r="X69" s="1726">
        <v>8.8999999999999996E-2</v>
      </c>
      <c r="Y69" s="1729" t="s">
        <v>4127</v>
      </c>
      <c r="Z69" s="1728"/>
      <c r="AA69" s="1730">
        <v>9.7999999999999997E-5</v>
      </c>
      <c r="AB69" s="1731" t="s">
        <v>4127</v>
      </c>
      <c r="AC69" s="1732"/>
    </row>
    <row r="70" spans="1:29" ht="30">
      <c r="A70" s="1704" t="s">
        <v>96</v>
      </c>
      <c r="B70" s="1705" t="s">
        <v>2015</v>
      </c>
      <c r="C70" s="1706"/>
      <c r="D70" s="1707"/>
      <c r="E70" s="1709">
        <v>2.3999999999999998E-3</v>
      </c>
      <c r="F70" s="1708" t="s">
        <v>1119</v>
      </c>
      <c r="G70" s="1709">
        <v>2E-3</v>
      </c>
      <c r="H70" s="1708" t="s">
        <v>1119</v>
      </c>
      <c r="I70" s="1709">
        <v>2.0000000000000002E-5</v>
      </c>
      <c r="J70" s="1708" t="s">
        <v>1119</v>
      </c>
      <c r="K70" s="1707"/>
      <c r="L70" s="1707"/>
      <c r="M70" s="1708">
        <v>7.0000000000000001E-3</v>
      </c>
      <c r="N70" s="1708"/>
      <c r="O70" s="1710"/>
      <c r="P70" s="1711">
        <v>160</v>
      </c>
      <c r="Q70" s="1712" t="s">
        <v>1471</v>
      </c>
      <c r="R70" s="1711">
        <v>2300</v>
      </c>
      <c r="S70" s="1712" t="s">
        <v>1471</v>
      </c>
      <c r="T70" s="1711">
        <v>1.1999999999999999E-3</v>
      </c>
      <c r="U70" s="1712" t="s">
        <v>4127</v>
      </c>
      <c r="V70" s="1711">
        <v>5.1000000000000004E-3</v>
      </c>
      <c r="W70" s="1712" t="s">
        <v>4127</v>
      </c>
      <c r="X70" s="1711">
        <v>25</v>
      </c>
      <c r="Y70" s="1714" t="s">
        <v>1471</v>
      </c>
      <c r="Z70" s="1711">
        <v>4</v>
      </c>
      <c r="AA70" s="1715">
        <v>19</v>
      </c>
      <c r="AB70" s="1716" t="s">
        <v>1471</v>
      </c>
      <c r="AC70" s="1738">
        <v>3.2</v>
      </c>
    </row>
    <row r="71" spans="1:29" ht="15">
      <c r="A71" s="1704" t="s">
        <v>2016</v>
      </c>
      <c r="B71" s="1705" t="s">
        <v>2017</v>
      </c>
      <c r="C71" s="1706"/>
      <c r="D71" s="1707"/>
      <c r="E71" s="1708"/>
      <c r="F71" s="1707"/>
      <c r="G71" s="1709">
        <v>8.9999999999999993E-3</v>
      </c>
      <c r="H71" s="1708" t="s">
        <v>1909</v>
      </c>
      <c r="I71" s="1708"/>
      <c r="J71" s="1707"/>
      <c r="K71" s="1707"/>
      <c r="L71" s="1707"/>
      <c r="M71" s="1708">
        <v>1</v>
      </c>
      <c r="N71" s="1708">
        <v>0.1</v>
      </c>
      <c r="O71" s="1710"/>
      <c r="P71" s="1711">
        <v>570</v>
      </c>
      <c r="Q71" s="1712" t="s">
        <v>1471</v>
      </c>
      <c r="R71" s="1711">
        <v>7400</v>
      </c>
      <c r="S71" s="1712" t="s">
        <v>1471</v>
      </c>
      <c r="T71" s="1712"/>
      <c r="U71" s="1713"/>
      <c r="V71" s="1712"/>
      <c r="W71" s="1713"/>
      <c r="X71" s="1711">
        <v>100</v>
      </c>
      <c r="Y71" s="1714" t="s">
        <v>1471</v>
      </c>
      <c r="Z71" s="1713"/>
      <c r="AA71" s="1715">
        <v>0.76</v>
      </c>
      <c r="AB71" s="1716" t="s">
        <v>1471</v>
      </c>
      <c r="AC71" s="1717"/>
    </row>
    <row r="72" spans="1:29" ht="15">
      <c r="A72" s="1719" t="s">
        <v>2018</v>
      </c>
      <c r="B72" s="1720" t="s">
        <v>2019</v>
      </c>
      <c r="C72" s="1721"/>
      <c r="D72" s="1722"/>
      <c r="E72" s="1723"/>
      <c r="F72" s="1722"/>
      <c r="G72" s="1724">
        <v>1.4999999999999999E-2</v>
      </c>
      <c r="H72" s="1723" t="s">
        <v>1119</v>
      </c>
      <c r="I72" s="1723"/>
      <c r="J72" s="1722"/>
      <c r="K72" s="1722"/>
      <c r="L72" s="1722"/>
      <c r="M72" s="1723">
        <v>1</v>
      </c>
      <c r="N72" s="1723">
        <v>0.1</v>
      </c>
      <c r="O72" s="1725"/>
      <c r="P72" s="1726">
        <v>950</v>
      </c>
      <c r="Q72" s="1727" t="s">
        <v>1471</v>
      </c>
      <c r="R72" s="1726">
        <v>12000</v>
      </c>
      <c r="S72" s="1727" t="s">
        <v>1471</v>
      </c>
      <c r="T72" s="1727"/>
      <c r="U72" s="1728"/>
      <c r="V72" s="1727"/>
      <c r="W72" s="1728"/>
      <c r="X72" s="1726">
        <v>300</v>
      </c>
      <c r="Y72" s="1729" t="s">
        <v>1471</v>
      </c>
      <c r="Z72" s="1728"/>
      <c r="AA72" s="1730">
        <v>1400</v>
      </c>
      <c r="AB72" s="1731" t="s">
        <v>1471</v>
      </c>
      <c r="AC72" s="1732"/>
    </row>
    <row r="73" spans="1:29" ht="15">
      <c r="A73" s="1704" t="s">
        <v>98</v>
      </c>
      <c r="B73" s="1705" t="s">
        <v>2020</v>
      </c>
      <c r="C73" s="1736">
        <v>8.0000000000000002E-3</v>
      </c>
      <c r="D73" s="1708" t="s">
        <v>1119</v>
      </c>
      <c r="E73" s="1708"/>
      <c r="F73" s="1707"/>
      <c r="G73" s="1709">
        <v>0.5</v>
      </c>
      <c r="H73" s="1708" t="s">
        <v>1119</v>
      </c>
      <c r="I73" s="1709">
        <v>4.0000000000000002E-4</v>
      </c>
      <c r="J73" s="1708" t="s">
        <v>1893</v>
      </c>
      <c r="K73" s="1708" t="s">
        <v>1127</v>
      </c>
      <c r="L73" s="1707"/>
      <c r="M73" s="1708">
        <v>1</v>
      </c>
      <c r="N73" s="1708"/>
      <c r="O73" s="1710"/>
      <c r="P73" s="1711">
        <v>47</v>
      </c>
      <c r="Q73" s="1712" t="s">
        <v>1471</v>
      </c>
      <c r="R73" s="1711">
        <v>200</v>
      </c>
      <c r="S73" s="1712" t="s">
        <v>1471</v>
      </c>
      <c r="T73" s="1711">
        <v>0.42</v>
      </c>
      <c r="U73" s="1712" t="s">
        <v>1471</v>
      </c>
      <c r="V73" s="1711">
        <v>1.8</v>
      </c>
      <c r="W73" s="1712" t="s">
        <v>1471</v>
      </c>
      <c r="X73" s="1711">
        <v>0.83</v>
      </c>
      <c r="Y73" s="1714" t="s">
        <v>1471</v>
      </c>
      <c r="Z73" s="1713"/>
      <c r="AA73" s="1715">
        <v>8.6999999999999994E-3</v>
      </c>
      <c r="AB73" s="1716" t="s">
        <v>1471</v>
      </c>
      <c r="AC73" s="1717"/>
    </row>
    <row r="74" spans="1:29" ht="30">
      <c r="A74" s="1704" t="s">
        <v>102</v>
      </c>
      <c r="B74" s="1705" t="s">
        <v>101</v>
      </c>
      <c r="C74" s="1706"/>
      <c r="D74" s="1707"/>
      <c r="E74" s="1708"/>
      <c r="F74" s="1707"/>
      <c r="G74" s="1709">
        <v>0.04</v>
      </c>
      <c r="H74" s="1708" t="s">
        <v>1119</v>
      </c>
      <c r="I74" s="1708"/>
      <c r="J74" s="1707"/>
      <c r="K74" s="1708" t="s">
        <v>1127</v>
      </c>
      <c r="L74" s="1707"/>
      <c r="M74" s="1708">
        <v>1</v>
      </c>
      <c r="N74" s="1708"/>
      <c r="O74" s="1718">
        <v>1020</v>
      </c>
      <c r="P74" s="1711">
        <v>3100</v>
      </c>
      <c r="Q74" s="1712" t="s">
        <v>4125</v>
      </c>
      <c r="R74" s="1711">
        <v>47000</v>
      </c>
      <c r="S74" s="1712" t="s">
        <v>4125</v>
      </c>
      <c r="T74" s="1712"/>
      <c r="U74" s="1713"/>
      <c r="V74" s="1712"/>
      <c r="W74" s="1713"/>
      <c r="X74" s="1711">
        <v>710</v>
      </c>
      <c r="Y74" s="1714" t="s">
        <v>1471</v>
      </c>
      <c r="Z74" s="1713"/>
      <c r="AA74" s="1715">
        <v>0.26</v>
      </c>
      <c r="AB74" s="1716" t="s">
        <v>1471</v>
      </c>
      <c r="AC74" s="1717"/>
    </row>
    <row r="75" spans="1:29" ht="45">
      <c r="A75" s="1719" t="s">
        <v>2021</v>
      </c>
      <c r="B75" s="1720" t="s">
        <v>2022</v>
      </c>
      <c r="C75" s="1721"/>
      <c r="D75" s="1722"/>
      <c r="E75" s="1723"/>
      <c r="F75" s="1722"/>
      <c r="G75" s="1724">
        <v>3.0000000000000001E-3</v>
      </c>
      <c r="H75" s="1723" t="s">
        <v>1909</v>
      </c>
      <c r="I75" s="1723"/>
      <c r="J75" s="1722"/>
      <c r="K75" s="1722"/>
      <c r="L75" s="1722"/>
      <c r="M75" s="1723">
        <v>1</v>
      </c>
      <c r="N75" s="1723">
        <v>0.1</v>
      </c>
      <c r="O75" s="1725"/>
      <c r="P75" s="1726">
        <v>190</v>
      </c>
      <c r="Q75" s="1727" t="s">
        <v>1471</v>
      </c>
      <c r="R75" s="1726">
        <v>2500</v>
      </c>
      <c r="S75" s="1727" t="s">
        <v>1471</v>
      </c>
      <c r="T75" s="1727"/>
      <c r="U75" s="1728"/>
      <c r="V75" s="1727"/>
      <c r="W75" s="1728"/>
      <c r="X75" s="1726">
        <v>59</v>
      </c>
      <c r="Y75" s="1729" t="s">
        <v>1471</v>
      </c>
      <c r="Z75" s="1728"/>
      <c r="AA75" s="1730">
        <v>1.2999999999999999E-2</v>
      </c>
      <c r="AB75" s="1731" t="s">
        <v>1471</v>
      </c>
      <c r="AC75" s="1732"/>
    </row>
    <row r="76" spans="1:29" ht="30">
      <c r="A76" s="1704" t="s">
        <v>100</v>
      </c>
      <c r="B76" s="1705" t="s">
        <v>2023</v>
      </c>
      <c r="C76" s="1736">
        <v>1.1000000000000001</v>
      </c>
      <c r="D76" s="1708" t="s">
        <v>1119</v>
      </c>
      <c r="E76" s="1709">
        <v>3.3E-4</v>
      </c>
      <c r="F76" s="1708" t="s">
        <v>1119</v>
      </c>
      <c r="G76" s="1708"/>
      <c r="H76" s="1707"/>
      <c r="I76" s="1708"/>
      <c r="J76" s="1707"/>
      <c r="K76" s="1708" t="s">
        <v>1127</v>
      </c>
      <c r="L76" s="1707"/>
      <c r="M76" s="1708">
        <v>1</v>
      </c>
      <c r="N76" s="1708"/>
      <c r="O76" s="1718">
        <v>5050</v>
      </c>
      <c r="P76" s="1711">
        <v>0.23</v>
      </c>
      <c r="Q76" s="1712" t="s">
        <v>4126</v>
      </c>
      <c r="R76" s="1711">
        <v>1</v>
      </c>
      <c r="S76" s="1712" t="s">
        <v>4126</v>
      </c>
      <c r="T76" s="1711">
        <v>8.5000000000000006E-3</v>
      </c>
      <c r="U76" s="1712" t="s">
        <v>4126</v>
      </c>
      <c r="V76" s="1711">
        <v>3.6999999999999998E-2</v>
      </c>
      <c r="W76" s="1712" t="s">
        <v>4126</v>
      </c>
      <c r="X76" s="1711">
        <v>1.4E-2</v>
      </c>
      <c r="Y76" s="1714" t="s">
        <v>4126</v>
      </c>
      <c r="Z76" s="1713"/>
      <c r="AA76" s="1715">
        <v>3.5999999999999998E-6</v>
      </c>
      <c r="AB76" s="1716" t="s">
        <v>4126</v>
      </c>
      <c r="AC76" s="1717"/>
    </row>
    <row r="77" spans="1:29" ht="30">
      <c r="A77" s="1704" t="s">
        <v>2024</v>
      </c>
      <c r="B77" s="1705" t="s">
        <v>2025</v>
      </c>
      <c r="C77" s="1736">
        <v>220</v>
      </c>
      <c r="D77" s="1708" t="s">
        <v>1119</v>
      </c>
      <c r="E77" s="1709">
        <v>6.2E-2</v>
      </c>
      <c r="F77" s="1708" t="s">
        <v>1119</v>
      </c>
      <c r="G77" s="1708"/>
      <c r="H77" s="1707"/>
      <c r="I77" s="1708"/>
      <c r="J77" s="1707"/>
      <c r="K77" s="1708" t="s">
        <v>1127</v>
      </c>
      <c r="L77" s="1707"/>
      <c r="M77" s="1708">
        <v>1</v>
      </c>
      <c r="N77" s="1708"/>
      <c r="O77" s="1718">
        <v>4220</v>
      </c>
      <c r="P77" s="1711">
        <v>8.2999999999999998E-5</v>
      </c>
      <c r="Q77" s="1712" t="s">
        <v>4126</v>
      </c>
      <c r="R77" s="1711">
        <v>3.6000000000000002E-4</v>
      </c>
      <c r="S77" s="1712" t="s">
        <v>4126</v>
      </c>
      <c r="T77" s="1711">
        <v>4.5000000000000003E-5</v>
      </c>
      <c r="U77" s="1712" t="s">
        <v>4126</v>
      </c>
      <c r="V77" s="1711">
        <v>2.0000000000000001E-4</v>
      </c>
      <c r="W77" s="1712" t="s">
        <v>4126</v>
      </c>
      <c r="X77" s="1711">
        <v>7.2000000000000002E-5</v>
      </c>
      <c r="Y77" s="1714" t="s">
        <v>4126</v>
      </c>
      <c r="Z77" s="1713"/>
      <c r="AA77" s="1715">
        <v>1.7E-8</v>
      </c>
      <c r="AB77" s="1716" t="s">
        <v>4126</v>
      </c>
      <c r="AC77" s="1717"/>
    </row>
    <row r="78" spans="1:29" ht="15">
      <c r="A78" s="1719" t="s">
        <v>2026</v>
      </c>
      <c r="B78" s="1720" t="s">
        <v>2027</v>
      </c>
      <c r="C78" s="1721"/>
      <c r="D78" s="1722"/>
      <c r="E78" s="1723"/>
      <c r="F78" s="1722"/>
      <c r="G78" s="1724">
        <v>0.05</v>
      </c>
      <c r="H78" s="1723" t="s">
        <v>1119</v>
      </c>
      <c r="I78" s="1723"/>
      <c r="J78" s="1722"/>
      <c r="K78" s="1722"/>
      <c r="L78" s="1722"/>
      <c r="M78" s="1723">
        <v>1</v>
      </c>
      <c r="N78" s="1723">
        <v>0.1</v>
      </c>
      <c r="O78" s="1725"/>
      <c r="P78" s="1726">
        <v>3200</v>
      </c>
      <c r="Q78" s="1727" t="s">
        <v>1471</v>
      </c>
      <c r="R78" s="1726">
        <v>41000</v>
      </c>
      <c r="S78" s="1727" t="s">
        <v>1471</v>
      </c>
      <c r="T78" s="1727"/>
      <c r="U78" s="1728"/>
      <c r="V78" s="1727"/>
      <c r="W78" s="1728"/>
      <c r="X78" s="1726">
        <v>770</v>
      </c>
      <c r="Y78" s="1729" t="s">
        <v>1471</v>
      </c>
      <c r="Z78" s="1728"/>
      <c r="AA78" s="1730">
        <v>58</v>
      </c>
      <c r="AB78" s="1731" t="s">
        <v>1471</v>
      </c>
      <c r="AC78" s="1732"/>
    </row>
    <row r="79" spans="1:29" ht="30">
      <c r="A79" s="1704" t="s">
        <v>106</v>
      </c>
      <c r="B79" s="1705" t="s">
        <v>2028</v>
      </c>
      <c r="C79" s="1706"/>
      <c r="D79" s="1707"/>
      <c r="E79" s="1708"/>
      <c r="F79" s="1707"/>
      <c r="G79" s="1709">
        <v>0.2</v>
      </c>
      <c r="H79" s="1708" t="s">
        <v>1119</v>
      </c>
      <c r="I79" s="1709">
        <v>0.02</v>
      </c>
      <c r="J79" s="1708" t="s">
        <v>1073</v>
      </c>
      <c r="K79" s="1707"/>
      <c r="L79" s="1707"/>
      <c r="M79" s="1708">
        <v>1</v>
      </c>
      <c r="N79" s="1708"/>
      <c r="O79" s="1710"/>
      <c r="P79" s="1711">
        <v>16000</v>
      </c>
      <c r="Q79" s="1712" t="s">
        <v>1471</v>
      </c>
      <c r="R79" s="1711">
        <v>230000</v>
      </c>
      <c r="S79" s="1712" t="s">
        <v>4124</v>
      </c>
      <c r="T79" s="1711">
        <v>21</v>
      </c>
      <c r="U79" s="1712" t="s">
        <v>1471</v>
      </c>
      <c r="V79" s="1711">
        <v>88</v>
      </c>
      <c r="W79" s="1712" t="s">
        <v>1471</v>
      </c>
      <c r="X79" s="1711">
        <v>4000</v>
      </c>
      <c r="Y79" s="1714" t="s">
        <v>1471</v>
      </c>
      <c r="Z79" s="1713"/>
      <c r="AA79" s="1715">
        <v>13</v>
      </c>
      <c r="AB79" s="1716" t="s">
        <v>1471</v>
      </c>
      <c r="AC79" s="1717"/>
    </row>
    <row r="80" spans="1:29" ht="15">
      <c r="A80" s="1704" t="s">
        <v>2029</v>
      </c>
      <c r="B80" s="1705" t="s">
        <v>2030</v>
      </c>
      <c r="C80" s="1706"/>
      <c r="D80" s="1707"/>
      <c r="E80" s="1708"/>
      <c r="F80" s="1707"/>
      <c r="G80" s="1709">
        <v>2</v>
      </c>
      <c r="H80" s="1708" t="s">
        <v>1909</v>
      </c>
      <c r="I80" s="1709">
        <v>0.02</v>
      </c>
      <c r="J80" s="1708" t="s">
        <v>1909</v>
      </c>
      <c r="K80" s="1708" t="s">
        <v>1127</v>
      </c>
      <c r="L80" s="1707"/>
      <c r="M80" s="1708">
        <v>1</v>
      </c>
      <c r="N80" s="1708"/>
      <c r="O80" s="1710"/>
      <c r="P80" s="1711">
        <v>160000</v>
      </c>
      <c r="Q80" s="1712" t="s">
        <v>4124</v>
      </c>
      <c r="R80" s="1711">
        <v>2300000</v>
      </c>
      <c r="S80" s="1712" t="s">
        <v>4124</v>
      </c>
      <c r="T80" s="1711">
        <v>21</v>
      </c>
      <c r="U80" s="1712" t="s">
        <v>1471</v>
      </c>
      <c r="V80" s="1711">
        <v>88</v>
      </c>
      <c r="W80" s="1712" t="s">
        <v>1471</v>
      </c>
      <c r="X80" s="1711">
        <v>42</v>
      </c>
      <c r="Y80" s="1714" t="s">
        <v>1471</v>
      </c>
      <c r="Z80" s="1713"/>
      <c r="AA80" s="1716"/>
      <c r="AB80" s="1734"/>
      <c r="AC80" s="1717"/>
    </row>
    <row r="81" spans="1:29" ht="15">
      <c r="A81" s="1741">
        <v>2095581</v>
      </c>
      <c r="B81" s="1720" t="s">
        <v>2032</v>
      </c>
      <c r="C81" s="1721"/>
      <c r="D81" s="1722"/>
      <c r="E81" s="1723"/>
      <c r="F81" s="1722"/>
      <c r="G81" s="1724">
        <v>0.04</v>
      </c>
      <c r="H81" s="1723" t="s">
        <v>1900</v>
      </c>
      <c r="I81" s="1724">
        <v>1.2999999999999999E-2</v>
      </c>
      <c r="J81" s="1723" t="s">
        <v>1900</v>
      </c>
      <c r="K81" s="1723" t="s">
        <v>1127</v>
      </c>
      <c r="L81" s="1722"/>
      <c r="M81" s="1723">
        <v>1</v>
      </c>
      <c r="N81" s="1723"/>
      <c r="O81" s="1725"/>
      <c r="P81" s="1726">
        <v>3100</v>
      </c>
      <c r="Q81" s="1727" t="s">
        <v>1471</v>
      </c>
      <c r="R81" s="1726">
        <v>47000</v>
      </c>
      <c r="S81" s="1727" t="s">
        <v>1471</v>
      </c>
      <c r="T81" s="1726">
        <v>14</v>
      </c>
      <c r="U81" s="1727" t="s">
        <v>1471</v>
      </c>
      <c r="V81" s="1726">
        <v>57</v>
      </c>
      <c r="W81" s="1727" t="s">
        <v>1471</v>
      </c>
      <c r="X81" s="1726">
        <v>26</v>
      </c>
      <c r="Y81" s="1729" t="s">
        <v>1471</v>
      </c>
      <c r="Z81" s="1728"/>
      <c r="AA81" s="1731"/>
      <c r="AB81" s="1740"/>
      <c r="AC81" s="1732"/>
    </row>
    <row r="82" spans="1:29" ht="15">
      <c r="A82" s="1704" t="s">
        <v>2033</v>
      </c>
      <c r="B82" s="1705" t="s">
        <v>2034</v>
      </c>
      <c r="C82" s="1736">
        <v>0.7</v>
      </c>
      <c r="D82" s="1708" t="s">
        <v>1119</v>
      </c>
      <c r="E82" s="1709">
        <v>1.3999999999999999E-4</v>
      </c>
      <c r="F82" s="1708" t="s">
        <v>1900</v>
      </c>
      <c r="G82" s="1709">
        <v>4.0000000000000001E-3</v>
      </c>
      <c r="H82" s="1708" t="s">
        <v>1119</v>
      </c>
      <c r="I82" s="1708"/>
      <c r="J82" s="1707"/>
      <c r="K82" s="1707"/>
      <c r="L82" s="1707"/>
      <c r="M82" s="1708">
        <v>1</v>
      </c>
      <c r="N82" s="1708"/>
      <c r="O82" s="1710"/>
      <c r="P82" s="1711">
        <v>0.99</v>
      </c>
      <c r="Q82" s="1712" t="s">
        <v>4126</v>
      </c>
      <c r="R82" s="1711">
        <v>4.7</v>
      </c>
      <c r="S82" s="1712" t="s">
        <v>4126</v>
      </c>
      <c r="T82" s="1711">
        <v>0.02</v>
      </c>
      <c r="U82" s="1712" t="s">
        <v>4126</v>
      </c>
      <c r="V82" s="1711">
        <v>8.7999999999999995E-2</v>
      </c>
      <c r="W82" s="1712" t="s">
        <v>4126</v>
      </c>
      <c r="X82" s="1711">
        <v>0.11</v>
      </c>
      <c r="Y82" s="1714" t="s">
        <v>4126</v>
      </c>
      <c r="Z82" s="1711">
        <v>10</v>
      </c>
      <c r="AA82" s="1715">
        <v>8.4999999999999995E-4</v>
      </c>
      <c r="AB82" s="1716" t="s">
        <v>4126</v>
      </c>
      <c r="AC82" s="1738">
        <v>7.6999999999999999E-2</v>
      </c>
    </row>
    <row r="83" spans="1:29" ht="30">
      <c r="A83" s="1704" t="s">
        <v>2035</v>
      </c>
      <c r="B83" s="1705" t="s">
        <v>2036</v>
      </c>
      <c r="C83" s="1706"/>
      <c r="D83" s="1707"/>
      <c r="E83" s="1708"/>
      <c r="F83" s="1707"/>
      <c r="G83" s="1709">
        <v>1E-4</v>
      </c>
      <c r="H83" s="1708" t="s">
        <v>1893</v>
      </c>
      <c r="I83" s="1709">
        <v>6.0000000000000002E-5</v>
      </c>
      <c r="J83" s="1708" t="s">
        <v>1893</v>
      </c>
      <c r="K83" s="1708" t="s">
        <v>1127</v>
      </c>
      <c r="L83" s="1707"/>
      <c r="M83" s="1708">
        <v>1</v>
      </c>
      <c r="N83" s="1708"/>
      <c r="O83" s="1718">
        <v>2380</v>
      </c>
      <c r="P83" s="1711">
        <v>0.35</v>
      </c>
      <c r="Q83" s="1712" t="s">
        <v>1471</v>
      </c>
      <c r="R83" s="1711">
        <v>1.5</v>
      </c>
      <c r="S83" s="1712" t="s">
        <v>1471</v>
      </c>
      <c r="T83" s="1711">
        <v>6.3E-2</v>
      </c>
      <c r="U83" s="1712" t="s">
        <v>1471</v>
      </c>
      <c r="V83" s="1711">
        <v>0.26</v>
      </c>
      <c r="W83" s="1712" t="s">
        <v>1471</v>
      </c>
      <c r="X83" s="1711">
        <v>0.12</v>
      </c>
      <c r="Y83" s="1714" t="s">
        <v>1471</v>
      </c>
      <c r="Z83" s="1713"/>
      <c r="AA83" s="1715">
        <v>3.3000000000000003E-5</v>
      </c>
      <c r="AB83" s="1716" t="s">
        <v>1471</v>
      </c>
      <c r="AC83" s="1717"/>
    </row>
    <row r="84" spans="1:29" ht="30">
      <c r="A84" s="1719" t="s">
        <v>2037</v>
      </c>
      <c r="B84" s="1720" t="s">
        <v>2038</v>
      </c>
      <c r="C84" s="1721"/>
      <c r="D84" s="1722"/>
      <c r="E84" s="1723"/>
      <c r="F84" s="1722"/>
      <c r="G84" s="1724">
        <v>2.9999999999999997E-4</v>
      </c>
      <c r="H84" s="1723" t="s">
        <v>1893</v>
      </c>
      <c r="I84" s="1723"/>
      <c r="J84" s="1722"/>
      <c r="K84" s="1723" t="s">
        <v>1127</v>
      </c>
      <c r="L84" s="1722"/>
      <c r="M84" s="1723">
        <v>1</v>
      </c>
      <c r="N84" s="1723"/>
      <c r="O84" s="1735">
        <v>896</v>
      </c>
      <c r="P84" s="1726">
        <v>23</v>
      </c>
      <c r="Q84" s="1727" t="s">
        <v>1471</v>
      </c>
      <c r="R84" s="1726">
        <v>350</v>
      </c>
      <c r="S84" s="1727" t="s">
        <v>1471</v>
      </c>
      <c r="T84" s="1727"/>
      <c r="U84" s="1728"/>
      <c r="V84" s="1727"/>
      <c r="W84" s="1728"/>
      <c r="X84" s="1726">
        <v>4.9000000000000004</v>
      </c>
      <c r="Y84" s="1729" t="s">
        <v>1471</v>
      </c>
      <c r="Z84" s="1728"/>
      <c r="AA84" s="1730">
        <v>4.7000000000000002E-3</v>
      </c>
      <c r="AB84" s="1731" t="s">
        <v>1471</v>
      </c>
      <c r="AC84" s="1732"/>
    </row>
    <row r="85" spans="1:29" ht="30">
      <c r="A85" s="1704" t="s">
        <v>2039</v>
      </c>
      <c r="B85" s="1705" t="s">
        <v>2040</v>
      </c>
      <c r="C85" s="1706"/>
      <c r="D85" s="1707"/>
      <c r="E85" s="1708"/>
      <c r="F85" s="1707"/>
      <c r="G85" s="1709">
        <v>2.9999999999999997E-4</v>
      </c>
      <c r="H85" s="1708" t="s">
        <v>1893</v>
      </c>
      <c r="I85" s="1708"/>
      <c r="J85" s="1707"/>
      <c r="K85" s="1708" t="s">
        <v>1127</v>
      </c>
      <c r="L85" s="1707"/>
      <c r="M85" s="1708">
        <v>1</v>
      </c>
      <c r="N85" s="1708"/>
      <c r="O85" s="1718">
        <v>323</v>
      </c>
      <c r="P85" s="1711">
        <v>23</v>
      </c>
      <c r="Q85" s="1712" t="s">
        <v>1471</v>
      </c>
      <c r="R85" s="1711">
        <v>350</v>
      </c>
      <c r="S85" s="1712" t="s">
        <v>4125</v>
      </c>
      <c r="T85" s="1712"/>
      <c r="U85" s="1713"/>
      <c r="V85" s="1712"/>
      <c r="W85" s="1713"/>
      <c r="X85" s="1711">
        <v>4.5999999999999996</v>
      </c>
      <c r="Y85" s="1714" t="s">
        <v>1471</v>
      </c>
      <c r="Z85" s="1713"/>
      <c r="AA85" s="1715">
        <v>4.4000000000000003E-3</v>
      </c>
      <c r="AB85" s="1716" t="s">
        <v>1471</v>
      </c>
      <c r="AC85" s="1717"/>
    </row>
    <row r="86" spans="1:29" ht="15">
      <c r="A86" s="1704" t="s">
        <v>2041</v>
      </c>
      <c r="B86" s="1705" t="s">
        <v>2042</v>
      </c>
      <c r="C86" s="1706"/>
      <c r="D86" s="1707"/>
      <c r="E86" s="1708"/>
      <c r="F86" s="1707"/>
      <c r="G86" s="1709">
        <v>1.6999999999999999E-3</v>
      </c>
      <c r="H86" s="1708" t="s">
        <v>1900</v>
      </c>
      <c r="I86" s="1708"/>
      <c r="J86" s="1707"/>
      <c r="K86" s="1707"/>
      <c r="L86" s="1707"/>
      <c r="M86" s="1708">
        <v>1</v>
      </c>
      <c r="N86" s="1708">
        <v>0.1</v>
      </c>
      <c r="O86" s="1710"/>
      <c r="P86" s="1711">
        <v>110</v>
      </c>
      <c r="Q86" s="1712" t="s">
        <v>1471</v>
      </c>
      <c r="R86" s="1711">
        <v>1400</v>
      </c>
      <c r="S86" s="1712" t="s">
        <v>1471</v>
      </c>
      <c r="T86" s="1712"/>
      <c r="U86" s="1713"/>
      <c r="V86" s="1712"/>
      <c r="W86" s="1713"/>
      <c r="X86" s="1711">
        <v>34</v>
      </c>
      <c r="Y86" s="1714" t="s">
        <v>1471</v>
      </c>
      <c r="Z86" s="1712" t="s">
        <v>4131</v>
      </c>
      <c r="AA86" s="1715">
        <v>6.8999999999999999E-3</v>
      </c>
      <c r="AB86" s="1716" t="s">
        <v>1471</v>
      </c>
      <c r="AC86" s="1738">
        <v>1.2E-2</v>
      </c>
    </row>
    <row r="87" spans="1:29" ht="15">
      <c r="A87" s="1719" t="s">
        <v>2043</v>
      </c>
      <c r="B87" s="1720" t="s">
        <v>2044</v>
      </c>
      <c r="C87" s="1721"/>
      <c r="D87" s="1722"/>
      <c r="E87" s="1723"/>
      <c r="F87" s="1722"/>
      <c r="G87" s="1724">
        <v>8.0000000000000002E-3</v>
      </c>
      <c r="H87" s="1723" t="s">
        <v>1119</v>
      </c>
      <c r="I87" s="1724">
        <v>0.06</v>
      </c>
      <c r="J87" s="1723" t="s">
        <v>1119</v>
      </c>
      <c r="K87" s="1723" t="s">
        <v>1127</v>
      </c>
      <c r="L87" s="1722"/>
      <c r="M87" s="1723">
        <v>1</v>
      </c>
      <c r="N87" s="1723"/>
      <c r="O87" s="1735">
        <v>679</v>
      </c>
      <c r="P87" s="1726">
        <v>290</v>
      </c>
      <c r="Q87" s="1727" t="s">
        <v>1471</v>
      </c>
      <c r="R87" s="1726">
        <v>1800</v>
      </c>
      <c r="S87" s="1727" t="s">
        <v>4125</v>
      </c>
      <c r="T87" s="1726">
        <v>63</v>
      </c>
      <c r="U87" s="1727" t="s">
        <v>1471</v>
      </c>
      <c r="V87" s="1726">
        <v>260</v>
      </c>
      <c r="W87" s="1727" t="s">
        <v>1471</v>
      </c>
      <c r="X87" s="1726">
        <v>62</v>
      </c>
      <c r="Y87" s="1729" t="s">
        <v>1471</v>
      </c>
      <c r="Z87" s="1728"/>
      <c r="AA87" s="1730">
        <v>4.2000000000000003E-2</v>
      </c>
      <c r="AB87" s="1731" t="s">
        <v>1471</v>
      </c>
      <c r="AC87" s="1732"/>
    </row>
    <row r="88" spans="1:29" ht="30">
      <c r="A88" s="1704" t="s">
        <v>2045</v>
      </c>
      <c r="B88" s="1705" t="s">
        <v>2046</v>
      </c>
      <c r="C88" s="1706"/>
      <c r="D88" s="1707"/>
      <c r="E88" s="1708"/>
      <c r="F88" s="1707"/>
      <c r="G88" s="1708"/>
      <c r="H88" s="1707"/>
      <c r="I88" s="1709">
        <v>0.04</v>
      </c>
      <c r="J88" s="1708" t="s">
        <v>1893</v>
      </c>
      <c r="K88" s="1708" t="s">
        <v>1127</v>
      </c>
      <c r="L88" s="1707"/>
      <c r="M88" s="1708">
        <v>1</v>
      </c>
      <c r="N88" s="1708"/>
      <c r="O88" s="1718">
        <v>4040</v>
      </c>
      <c r="P88" s="1711">
        <v>150</v>
      </c>
      <c r="Q88" s="1712" t="s">
        <v>1471</v>
      </c>
      <c r="R88" s="1711">
        <v>630</v>
      </c>
      <c r="S88" s="1712" t="s">
        <v>1471</v>
      </c>
      <c r="T88" s="1711">
        <v>42</v>
      </c>
      <c r="U88" s="1712" t="s">
        <v>1471</v>
      </c>
      <c r="V88" s="1711">
        <v>180</v>
      </c>
      <c r="W88" s="1712" t="s">
        <v>1471</v>
      </c>
      <c r="X88" s="1711">
        <v>83</v>
      </c>
      <c r="Y88" s="1714" t="s">
        <v>1471</v>
      </c>
      <c r="Z88" s="1713"/>
      <c r="AA88" s="1715">
        <v>2.1000000000000001E-2</v>
      </c>
      <c r="AB88" s="1716" t="s">
        <v>1471</v>
      </c>
      <c r="AC88" s="1717"/>
    </row>
    <row r="89" spans="1:29" ht="30">
      <c r="A89" s="1704" t="s">
        <v>108</v>
      </c>
      <c r="B89" s="1705" t="s">
        <v>107</v>
      </c>
      <c r="C89" s="1736">
        <v>6.2E-2</v>
      </c>
      <c r="D89" s="1708" t="s">
        <v>1119</v>
      </c>
      <c r="E89" s="1709">
        <v>3.6999999999999998E-5</v>
      </c>
      <c r="F89" s="1708" t="s">
        <v>1900</v>
      </c>
      <c r="G89" s="1709">
        <v>8.0000000000000002E-3</v>
      </c>
      <c r="H89" s="1708" t="s">
        <v>1909</v>
      </c>
      <c r="I89" s="1708"/>
      <c r="J89" s="1707"/>
      <c r="K89" s="1708" t="s">
        <v>1127</v>
      </c>
      <c r="L89" s="1707"/>
      <c r="M89" s="1708">
        <v>1</v>
      </c>
      <c r="N89" s="1708"/>
      <c r="O89" s="1718">
        <v>932</v>
      </c>
      <c r="P89" s="1711">
        <v>0.28999999999999998</v>
      </c>
      <c r="Q89" s="1712" t="s">
        <v>4126</v>
      </c>
      <c r="R89" s="1711">
        <v>1.3</v>
      </c>
      <c r="S89" s="1712" t="s">
        <v>4126</v>
      </c>
      <c r="T89" s="1711">
        <v>7.5999999999999998E-2</v>
      </c>
      <c r="U89" s="1712" t="s">
        <v>4126</v>
      </c>
      <c r="V89" s="1711">
        <v>0.33</v>
      </c>
      <c r="W89" s="1712" t="s">
        <v>4126</v>
      </c>
      <c r="X89" s="1711">
        <v>0.13</v>
      </c>
      <c r="Y89" s="1714" t="s">
        <v>4126</v>
      </c>
      <c r="Z89" s="1712" t="s">
        <v>4132</v>
      </c>
      <c r="AA89" s="1715">
        <v>3.6000000000000001E-5</v>
      </c>
      <c r="AB89" s="1716" t="s">
        <v>4126</v>
      </c>
      <c r="AC89" s="1738">
        <v>2.1999999999999999E-2</v>
      </c>
    </row>
    <row r="90" spans="1:29" ht="15">
      <c r="A90" s="1719" t="s">
        <v>110</v>
      </c>
      <c r="B90" s="1720" t="s">
        <v>2047</v>
      </c>
      <c r="C90" s="1737">
        <v>7.9000000000000008E-3</v>
      </c>
      <c r="D90" s="1723" t="s">
        <v>1119</v>
      </c>
      <c r="E90" s="1724">
        <v>1.1000000000000001E-6</v>
      </c>
      <c r="F90" s="1723" t="s">
        <v>1119</v>
      </c>
      <c r="G90" s="1724">
        <v>0.02</v>
      </c>
      <c r="H90" s="1723" t="s">
        <v>1119</v>
      </c>
      <c r="I90" s="1723"/>
      <c r="J90" s="1722"/>
      <c r="K90" s="1723" t="s">
        <v>1127</v>
      </c>
      <c r="L90" s="1722"/>
      <c r="M90" s="1723">
        <v>1</v>
      </c>
      <c r="N90" s="1723"/>
      <c r="O90" s="1735">
        <v>915</v>
      </c>
      <c r="P90" s="1726">
        <v>19</v>
      </c>
      <c r="Q90" s="1727" t="s">
        <v>4127</v>
      </c>
      <c r="R90" s="1726">
        <v>86</v>
      </c>
      <c r="S90" s="1727" t="s">
        <v>4126</v>
      </c>
      <c r="T90" s="1726">
        <v>2.6</v>
      </c>
      <c r="U90" s="1727" t="s">
        <v>4126</v>
      </c>
      <c r="V90" s="1726">
        <v>11</v>
      </c>
      <c r="W90" s="1727" t="s">
        <v>4126</v>
      </c>
      <c r="X90" s="1726">
        <v>3.3</v>
      </c>
      <c r="Y90" s="1729" t="s">
        <v>4126</v>
      </c>
      <c r="Z90" s="1727" t="s">
        <v>4132</v>
      </c>
      <c r="AA90" s="1730">
        <v>8.7000000000000001E-4</v>
      </c>
      <c r="AB90" s="1731" t="s">
        <v>4126</v>
      </c>
      <c r="AC90" s="1739">
        <v>2.1000000000000001E-2</v>
      </c>
    </row>
    <row r="91" spans="1:29" ht="15">
      <c r="A91" s="1704" t="s">
        <v>112</v>
      </c>
      <c r="B91" s="1705" t="s">
        <v>111</v>
      </c>
      <c r="C91" s="1706"/>
      <c r="D91" s="1707"/>
      <c r="E91" s="1708"/>
      <c r="F91" s="1707"/>
      <c r="G91" s="1709">
        <v>1.4E-3</v>
      </c>
      <c r="H91" s="1708" t="s">
        <v>1119</v>
      </c>
      <c r="I91" s="1709">
        <v>5.0000000000000001E-3</v>
      </c>
      <c r="J91" s="1708" t="s">
        <v>1119</v>
      </c>
      <c r="K91" s="1708" t="s">
        <v>1127</v>
      </c>
      <c r="L91" s="1707"/>
      <c r="M91" s="1708">
        <v>1</v>
      </c>
      <c r="N91" s="1708"/>
      <c r="O91" s="1718">
        <v>3590</v>
      </c>
      <c r="P91" s="1711">
        <v>6.8</v>
      </c>
      <c r="Q91" s="1712" t="s">
        <v>1471</v>
      </c>
      <c r="R91" s="1711">
        <v>30</v>
      </c>
      <c r="S91" s="1712" t="s">
        <v>1471</v>
      </c>
      <c r="T91" s="1711">
        <v>5.2</v>
      </c>
      <c r="U91" s="1712" t="s">
        <v>1471</v>
      </c>
      <c r="V91" s="1711">
        <v>22</v>
      </c>
      <c r="W91" s="1712" t="s">
        <v>1471</v>
      </c>
      <c r="X91" s="1711">
        <v>7.5</v>
      </c>
      <c r="Y91" s="1714" t="s">
        <v>1471</v>
      </c>
      <c r="Z91" s="1713"/>
      <c r="AA91" s="1715">
        <v>1.9E-3</v>
      </c>
      <c r="AB91" s="1716" t="s">
        <v>1471</v>
      </c>
      <c r="AC91" s="1717"/>
    </row>
    <row r="92" spans="1:29" ht="15">
      <c r="A92" s="1704" t="s">
        <v>2048</v>
      </c>
      <c r="B92" s="1705" t="s">
        <v>2049</v>
      </c>
      <c r="C92" s="1706"/>
      <c r="D92" s="1707"/>
      <c r="E92" s="1708"/>
      <c r="F92" s="1707"/>
      <c r="G92" s="1709">
        <v>5.0000000000000001E-3</v>
      </c>
      <c r="H92" s="1708" t="s">
        <v>1073</v>
      </c>
      <c r="I92" s="1708"/>
      <c r="J92" s="1707"/>
      <c r="K92" s="1708" t="s">
        <v>1127</v>
      </c>
      <c r="L92" s="1707"/>
      <c r="M92" s="1708">
        <v>1</v>
      </c>
      <c r="N92" s="1708"/>
      <c r="O92" s="1710"/>
      <c r="P92" s="1711">
        <v>390</v>
      </c>
      <c r="Q92" s="1712" t="s">
        <v>1471</v>
      </c>
      <c r="R92" s="1711">
        <v>5800</v>
      </c>
      <c r="S92" s="1712" t="s">
        <v>1471</v>
      </c>
      <c r="T92" s="1712"/>
      <c r="U92" s="1713"/>
      <c r="V92" s="1712"/>
      <c r="W92" s="1713"/>
      <c r="X92" s="1711">
        <v>35</v>
      </c>
      <c r="Y92" s="1714" t="s">
        <v>1471</v>
      </c>
      <c r="Z92" s="1713"/>
      <c r="AA92" s="1715">
        <v>0.15</v>
      </c>
      <c r="AB92" s="1716" t="s">
        <v>1471</v>
      </c>
      <c r="AC92" s="1717"/>
    </row>
    <row r="93" spans="1:29" ht="15">
      <c r="A93" s="1719" t="s">
        <v>2051</v>
      </c>
      <c r="B93" s="1720" t="s">
        <v>2052</v>
      </c>
      <c r="C93" s="1721"/>
      <c r="D93" s="1722"/>
      <c r="E93" s="1724">
        <v>3.7000000000000002E-6</v>
      </c>
      <c r="F93" s="1723" t="s">
        <v>1900</v>
      </c>
      <c r="G93" s="1723"/>
      <c r="H93" s="1722"/>
      <c r="I93" s="1724">
        <v>0.1</v>
      </c>
      <c r="J93" s="1723" t="s">
        <v>1960</v>
      </c>
      <c r="K93" s="1723" t="s">
        <v>1127</v>
      </c>
      <c r="L93" s="1722"/>
      <c r="M93" s="1723">
        <v>1</v>
      </c>
      <c r="N93" s="1723"/>
      <c r="O93" s="1735">
        <v>966</v>
      </c>
      <c r="P93" s="1726">
        <v>1.6</v>
      </c>
      <c r="Q93" s="1727" t="s">
        <v>4126</v>
      </c>
      <c r="R93" s="1726">
        <v>7.1</v>
      </c>
      <c r="S93" s="1727" t="s">
        <v>4126</v>
      </c>
      <c r="T93" s="1726">
        <v>0.76</v>
      </c>
      <c r="U93" s="1727" t="s">
        <v>4126</v>
      </c>
      <c r="V93" s="1726">
        <v>3.3</v>
      </c>
      <c r="W93" s="1727" t="s">
        <v>4126</v>
      </c>
      <c r="X93" s="1726">
        <v>1.5</v>
      </c>
      <c r="Y93" s="1729" t="s">
        <v>4126</v>
      </c>
      <c r="Z93" s="1728"/>
      <c r="AA93" s="1730">
        <v>4.6000000000000001E-4</v>
      </c>
      <c r="AB93" s="1731" t="s">
        <v>4126</v>
      </c>
      <c r="AC93" s="1732"/>
    </row>
    <row r="94" spans="1:29" ht="15">
      <c r="A94" s="1704" t="s">
        <v>2053</v>
      </c>
      <c r="B94" s="1705" t="s">
        <v>2054</v>
      </c>
      <c r="C94" s="1736">
        <v>0.10299999999999999</v>
      </c>
      <c r="D94" s="1708" t="s">
        <v>1116</v>
      </c>
      <c r="E94" s="1708"/>
      <c r="F94" s="1707"/>
      <c r="G94" s="1709">
        <v>1.4999999999999999E-2</v>
      </c>
      <c r="H94" s="1708" t="s">
        <v>1116</v>
      </c>
      <c r="I94" s="1708"/>
      <c r="J94" s="1707"/>
      <c r="K94" s="1707"/>
      <c r="L94" s="1707"/>
      <c r="M94" s="1708">
        <v>1</v>
      </c>
      <c r="N94" s="1708">
        <v>0.1</v>
      </c>
      <c r="O94" s="1710"/>
      <c r="P94" s="1711">
        <v>5.3</v>
      </c>
      <c r="Q94" s="1712" t="s">
        <v>4126</v>
      </c>
      <c r="R94" s="1711">
        <v>22</v>
      </c>
      <c r="S94" s="1712" t="s">
        <v>4126</v>
      </c>
      <c r="T94" s="1712"/>
      <c r="U94" s="1713"/>
      <c r="V94" s="1712"/>
      <c r="W94" s="1713"/>
      <c r="X94" s="1711">
        <v>0.61</v>
      </c>
      <c r="Y94" s="1714" t="s">
        <v>4126</v>
      </c>
      <c r="Z94" s="1713"/>
      <c r="AA94" s="1715">
        <v>5.1999999999999995E-4</v>
      </c>
      <c r="AB94" s="1716" t="s">
        <v>4126</v>
      </c>
      <c r="AC94" s="1717"/>
    </row>
    <row r="95" spans="1:29" ht="30">
      <c r="A95" s="1704" t="s">
        <v>2055</v>
      </c>
      <c r="B95" s="1705" t="s">
        <v>2056</v>
      </c>
      <c r="C95" s="1736">
        <v>0.10299999999999999</v>
      </c>
      <c r="D95" s="1708" t="s">
        <v>1116</v>
      </c>
      <c r="E95" s="1708"/>
      <c r="F95" s="1707"/>
      <c r="G95" s="1709">
        <v>1.4999999999999999E-2</v>
      </c>
      <c r="H95" s="1708" t="s">
        <v>1116</v>
      </c>
      <c r="I95" s="1708"/>
      <c r="J95" s="1707"/>
      <c r="K95" s="1708" t="s">
        <v>1127</v>
      </c>
      <c r="L95" s="1707"/>
      <c r="M95" s="1708">
        <v>1</v>
      </c>
      <c r="N95" s="1708"/>
      <c r="O95" s="1710"/>
      <c r="P95" s="1711">
        <v>6.7</v>
      </c>
      <c r="Q95" s="1712" t="s">
        <v>4126</v>
      </c>
      <c r="R95" s="1711">
        <v>32</v>
      </c>
      <c r="S95" s="1712" t="s">
        <v>4126</v>
      </c>
      <c r="T95" s="1712"/>
      <c r="U95" s="1713"/>
      <c r="V95" s="1712"/>
      <c r="W95" s="1713"/>
      <c r="X95" s="1711">
        <v>0.24</v>
      </c>
      <c r="Y95" s="1714" t="s">
        <v>4126</v>
      </c>
      <c r="Z95" s="1713"/>
      <c r="AA95" s="1715">
        <v>2.0999999999999999E-3</v>
      </c>
      <c r="AB95" s="1716" t="s">
        <v>4126</v>
      </c>
      <c r="AC95" s="1717"/>
    </row>
    <row r="96" spans="1:29" ht="15">
      <c r="A96" s="1719" t="s">
        <v>2057</v>
      </c>
      <c r="B96" s="1720" t="s">
        <v>2058</v>
      </c>
      <c r="C96" s="1737">
        <v>0.6</v>
      </c>
      <c r="D96" s="1723" t="s">
        <v>1900</v>
      </c>
      <c r="E96" s="1724">
        <v>3.0000000000000001E-5</v>
      </c>
      <c r="F96" s="1723" t="s">
        <v>1119</v>
      </c>
      <c r="G96" s="1723"/>
      <c r="H96" s="1722"/>
      <c r="I96" s="1724">
        <v>2E-3</v>
      </c>
      <c r="J96" s="1723" t="s">
        <v>1119</v>
      </c>
      <c r="K96" s="1723" t="s">
        <v>1127</v>
      </c>
      <c r="L96" s="1722"/>
      <c r="M96" s="1723">
        <v>1</v>
      </c>
      <c r="N96" s="1723"/>
      <c r="O96" s="1735">
        <v>667</v>
      </c>
      <c r="P96" s="1726">
        <v>7.5999999999999998E-2</v>
      </c>
      <c r="Q96" s="1727" t="s">
        <v>4127</v>
      </c>
      <c r="R96" s="1726">
        <v>0.33</v>
      </c>
      <c r="S96" s="1727" t="s">
        <v>4127</v>
      </c>
      <c r="T96" s="1726">
        <v>9.4E-2</v>
      </c>
      <c r="U96" s="1727" t="s">
        <v>4127</v>
      </c>
      <c r="V96" s="1726">
        <v>0.41</v>
      </c>
      <c r="W96" s="1727" t="s">
        <v>4127</v>
      </c>
      <c r="X96" s="1726">
        <v>7.0999999999999994E-2</v>
      </c>
      <c r="Y96" s="1729" t="s">
        <v>4127</v>
      </c>
      <c r="Z96" s="1728"/>
      <c r="AA96" s="1730">
        <v>3.8999999999999999E-5</v>
      </c>
      <c r="AB96" s="1731" t="s">
        <v>4127</v>
      </c>
      <c r="AC96" s="1732"/>
    </row>
    <row r="97" spans="1:29" ht="15">
      <c r="A97" s="1704" t="s">
        <v>2059</v>
      </c>
      <c r="B97" s="1705" t="s">
        <v>2060</v>
      </c>
      <c r="C97" s="1706"/>
      <c r="D97" s="1707"/>
      <c r="E97" s="1708"/>
      <c r="F97" s="1707"/>
      <c r="G97" s="1709">
        <v>0.1</v>
      </c>
      <c r="H97" s="1708" t="s">
        <v>1119</v>
      </c>
      <c r="I97" s="1708"/>
      <c r="J97" s="1707"/>
      <c r="K97" s="1708" t="s">
        <v>1127</v>
      </c>
      <c r="L97" s="1707"/>
      <c r="M97" s="1708">
        <v>1</v>
      </c>
      <c r="N97" s="1708"/>
      <c r="O97" s="1718">
        <v>7640</v>
      </c>
      <c r="P97" s="1711">
        <v>7800</v>
      </c>
      <c r="Q97" s="1712" t="s">
        <v>4125</v>
      </c>
      <c r="R97" s="1711">
        <v>120000</v>
      </c>
      <c r="S97" s="1712" t="s">
        <v>4123</v>
      </c>
      <c r="T97" s="1712"/>
      <c r="U97" s="1713"/>
      <c r="V97" s="1712"/>
      <c r="W97" s="1713"/>
      <c r="X97" s="1711">
        <v>2000</v>
      </c>
      <c r="Y97" s="1714" t="s">
        <v>1471</v>
      </c>
      <c r="Z97" s="1713"/>
      <c r="AA97" s="1715">
        <v>0.41</v>
      </c>
      <c r="AB97" s="1716" t="s">
        <v>1471</v>
      </c>
      <c r="AC97" s="1717"/>
    </row>
    <row r="98" spans="1:29" ht="15">
      <c r="A98" s="1704" t="s">
        <v>312</v>
      </c>
      <c r="B98" s="1705" t="s">
        <v>2061</v>
      </c>
      <c r="C98" s="1736">
        <v>5.0000000000000001E-4</v>
      </c>
      <c r="D98" s="1708" t="s">
        <v>1119</v>
      </c>
      <c r="E98" s="1708"/>
      <c r="F98" s="1707"/>
      <c r="G98" s="1709">
        <v>0.4</v>
      </c>
      <c r="H98" s="1708" t="s">
        <v>1119</v>
      </c>
      <c r="I98" s="1709">
        <v>5</v>
      </c>
      <c r="J98" s="1708" t="s">
        <v>1119</v>
      </c>
      <c r="K98" s="1708" t="s">
        <v>1127</v>
      </c>
      <c r="L98" s="1707"/>
      <c r="M98" s="1708">
        <v>1</v>
      </c>
      <c r="N98" s="1708"/>
      <c r="O98" s="1710"/>
      <c r="P98" s="1711">
        <v>1400</v>
      </c>
      <c r="Q98" s="1712" t="s">
        <v>4127</v>
      </c>
      <c r="R98" s="1711">
        <v>6500</v>
      </c>
      <c r="S98" s="1712" t="s">
        <v>4127</v>
      </c>
      <c r="T98" s="1711">
        <v>5200</v>
      </c>
      <c r="U98" s="1712" t="s">
        <v>1471</v>
      </c>
      <c r="V98" s="1711">
        <v>22000</v>
      </c>
      <c r="W98" s="1712" t="s">
        <v>1471</v>
      </c>
      <c r="X98" s="1711">
        <v>150</v>
      </c>
      <c r="Y98" s="1714" t="s">
        <v>4127</v>
      </c>
      <c r="Z98" s="1713"/>
      <c r="AA98" s="1715">
        <v>3.2000000000000001E-2</v>
      </c>
      <c r="AB98" s="1716" t="s">
        <v>4127</v>
      </c>
      <c r="AC98" s="1717"/>
    </row>
    <row r="99" spans="1:29" ht="15">
      <c r="A99" s="1719" t="s">
        <v>2062</v>
      </c>
      <c r="B99" s="1720" t="s">
        <v>2063</v>
      </c>
      <c r="C99" s="1721"/>
      <c r="D99" s="1722"/>
      <c r="E99" s="1723"/>
      <c r="F99" s="1722"/>
      <c r="G99" s="1724">
        <v>2</v>
      </c>
      <c r="H99" s="1723" t="s">
        <v>1909</v>
      </c>
      <c r="I99" s="1724">
        <v>30</v>
      </c>
      <c r="J99" s="1723" t="s">
        <v>1909</v>
      </c>
      <c r="K99" s="1723" t="s">
        <v>1127</v>
      </c>
      <c r="L99" s="1722"/>
      <c r="M99" s="1723">
        <v>1</v>
      </c>
      <c r="N99" s="1723"/>
      <c r="O99" s="1735">
        <v>21300</v>
      </c>
      <c r="P99" s="1726">
        <v>130000</v>
      </c>
      <c r="Q99" s="1727" t="s">
        <v>4123</v>
      </c>
      <c r="R99" s="1726">
        <v>1500000</v>
      </c>
      <c r="S99" s="1727" t="s">
        <v>4123</v>
      </c>
      <c r="T99" s="1726">
        <v>31000</v>
      </c>
      <c r="U99" s="1727" t="s">
        <v>1471</v>
      </c>
      <c r="V99" s="1726">
        <v>130000</v>
      </c>
      <c r="W99" s="1727" t="s">
        <v>1471</v>
      </c>
      <c r="X99" s="1726">
        <v>24000</v>
      </c>
      <c r="Y99" s="1729" t="s">
        <v>1471</v>
      </c>
      <c r="Z99" s="1728"/>
      <c r="AA99" s="1730">
        <v>5</v>
      </c>
      <c r="AB99" s="1731" t="s">
        <v>1471</v>
      </c>
      <c r="AC99" s="1732"/>
    </row>
    <row r="100" spans="1:29" ht="15">
      <c r="A100" s="1704" t="s">
        <v>2064</v>
      </c>
      <c r="B100" s="1705" t="s">
        <v>2065</v>
      </c>
      <c r="C100" s="1706"/>
      <c r="D100" s="1707"/>
      <c r="E100" s="1708"/>
      <c r="F100" s="1707"/>
      <c r="G100" s="1709">
        <v>0.05</v>
      </c>
      <c r="H100" s="1708" t="s">
        <v>1119</v>
      </c>
      <c r="I100" s="1708"/>
      <c r="J100" s="1707"/>
      <c r="K100" s="1708" t="s">
        <v>1127</v>
      </c>
      <c r="L100" s="1707"/>
      <c r="M100" s="1708">
        <v>1</v>
      </c>
      <c r="N100" s="1708"/>
      <c r="O100" s="1710"/>
      <c r="P100" s="1711">
        <v>3900</v>
      </c>
      <c r="Q100" s="1712" t="s">
        <v>1471</v>
      </c>
      <c r="R100" s="1711">
        <v>58000</v>
      </c>
      <c r="S100" s="1712" t="s">
        <v>1471</v>
      </c>
      <c r="T100" s="1712"/>
      <c r="U100" s="1713"/>
      <c r="V100" s="1712"/>
      <c r="W100" s="1713"/>
      <c r="X100" s="1711">
        <v>460</v>
      </c>
      <c r="Y100" s="1714" t="s">
        <v>1471</v>
      </c>
      <c r="Z100" s="1713"/>
      <c r="AA100" s="1715">
        <v>0.45</v>
      </c>
      <c r="AB100" s="1716" t="s">
        <v>1471</v>
      </c>
      <c r="AC100" s="1717"/>
    </row>
    <row r="101" spans="1:29" ht="30">
      <c r="A101" s="1704" t="s">
        <v>2066</v>
      </c>
      <c r="B101" s="1705" t="s">
        <v>2067</v>
      </c>
      <c r="C101" s="1736">
        <v>2.0000000000000001E-4</v>
      </c>
      <c r="D101" s="1708" t="s">
        <v>1900</v>
      </c>
      <c r="E101" s="1709">
        <v>5.7000000000000001E-8</v>
      </c>
      <c r="F101" s="1708" t="s">
        <v>1900</v>
      </c>
      <c r="G101" s="1708"/>
      <c r="H101" s="1707"/>
      <c r="I101" s="1708"/>
      <c r="J101" s="1707"/>
      <c r="K101" s="1707"/>
      <c r="L101" s="1707"/>
      <c r="M101" s="1708">
        <v>1</v>
      </c>
      <c r="N101" s="1708">
        <v>0.1</v>
      </c>
      <c r="O101" s="1710"/>
      <c r="P101" s="1711">
        <v>2700</v>
      </c>
      <c r="Q101" s="1712" t="s">
        <v>4126</v>
      </c>
      <c r="R101" s="1711">
        <v>11000</v>
      </c>
      <c r="S101" s="1712" t="s">
        <v>4126</v>
      </c>
      <c r="T101" s="1711">
        <v>49</v>
      </c>
      <c r="U101" s="1712" t="s">
        <v>4126</v>
      </c>
      <c r="V101" s="1711">
        <v>220</v>
      </c>
      <c r="W101" s="1712" t="s">
        <v>4126</v>
      </c>
      <c r="X101" s="1711">
        <v>150</v>
      </c>
      <c r="Y101" s="1714" t="s">
        <v>4126</v>
      </c>
      <c r="Z101" s="1713"/>
      <c r="AA101" s="1715">
        <v>0.28999999999999998</v>
      </c>
      <c r="AB101" s="1716" t="s">
        <v>4126</v>
      </c>
      <c r="AC101" s="1717"/>
    </row>
    <row r="102" spans="1:29" ht="30">
      <c r="A102" s="1719" t="s">
        <v>2068</v>
      </c>
      <c r="B102" s="1720" t="s">
        <v>2069</v>
      </c>
      <c r="C102" s="1737">
        <v>3.5999999999999999E-3</v>
      </c>
      <c r="D102" s="1723" t="s">
        <v>1909</v>
      </c>
      <c r="E102" s="1723"/>
      <c r="F102" s="1722"/>
      <c r="G102" s="1724">
        <v>0.3</v>
      </c>
      <c r="H102" s="1723" t="s">
        <v>1909</v>
      </c>
      <c r="I102" s="1723"/>
      <c r="J102" s="1722"/>
      <c r="K102" s="1722"/>
      <c r="L102" s="1722"/>
      <c r="M102" s="1723">
        <v>1</v>
      </c>
      <c r="N102" s="1723">
        <v>0.1</v>
      </c>
      <c r="O102" s="1725"/>
      <c r="P102" s="1726">
        <v>150</v>
      </c>
      <c r="Q102" s="1727" t="s">
        <v>4126</v>
      </c>
      <c r="R102" s="1726">
        <v>640</v>
      </c>
      <c r="S102" s="1727" t="s">
        <v>4126</v>
      </c>
      <c r="T102" s="1727"/>
      <c r="U102" s="1728"/>
      <c r="V102" s="1727"/>
      <c r="W102" s="1728"/>
      <c r="X102" s="1726">
        <v>3.4</v>
      </c>
      <c r="Y102" s="1729" t="s">
        <v>4126</v>
      </c>
      <c r="Z102" s="1728"/>
      <c r="AA102" s="1730">
        <v>0.1</v>
      </c>
      <c r="AB102" s="1731" t="s">
        <v>4126</v>
      </c>
      <c r="AC102" s="1732"/>
    </row>
    <row r="103" spans="1:29" ht="15">
      <c r="A103" s="1704" t="s">
        <v>2070</v>
      </c>
      <c r="B103" s="1705" t="s">
        <v>2071</v>
      </c>
      <c r="C103" s="1706"/>
      <c r="D103" s="1707"/>
      <c r="E103" s="1708"/>
      <c r="F103" s="1707"/>
      <c r="G103" s="1709">
        <v>0.05</v>
      </c>
      <c r="H103" s="1708" t="s">
        <v>1909</v>
      </c>
      <c r="I103" s="1708"/>
      <c r="J103" s="1707"/>
      <c r="K103" s="1708" t="s">
        <v>1127</v>
      </c>
      <c r="L103" s="1707"/>
      <c r="M103" s="1708">
        <v>1</v>
      </c>
      <c r="N103" s="1708"/>
      <c r="O103" s="1718">
        <v>108</v>
      </c>
      <c r="P103" s="1711">
        <v>3900</v>
      </c>
      <c r="Q103" s="1712" t="s">
        <v>4125</v>
      </c>
      <c r="R103" s="1711">
        <v>58000</v>
      </c>
      <c r="S103" s="1712" t="s">
        <v>4125</v>
      </c>
      <c r="T103" s="1712"/>
      <c r="U103" s="1713"/>
      <c r="V103" s="1712"/>
      <c r="W103" s="1713"/>
      <c r="X103" s="1711">
        <v>1000</v>
      </c>
      <c r="Y103" s="1714" t="s">
        <v>1471</v>
      </c>
      <c r="Z103" s="1713"/>
      <c r="AA103" s="1715">
        <v>3.2</v>
      </c>
      <c r="AB103" s="1716" t="s">
        <v>1471</v>
      </c>
      <c r="AC103" s="1717"/>
    </row>
    <row r="104" spans="1:29" ht="30">
      <c r="A104" s="1704" t="s">
        <v>2072</v>
      </c>
      <c r="B104" s="1705" t="s">
        <v>2073</v>
      </c>
      <c r="C104" s="1706"/>
      <c r="D104" s="1707"/>
      <c r="E104" s="1708"/>
      <c r="F104" s="1707"/>
      <c r="G104" s="1709">
        <v>0.1</v>
      </c>
      <c r="H104" s="1708" t="s">
        <v>1893</v>
      </c>
      <c r="I104" s="1708"/>
      <c r="J104" s="1707"/>
      <c r="K104" s="1708" t="s">
        <v>1127</v>
      </c>
      <c r="L104" s="1707"/>
      <c r="M104" s="1708">
        <v>1</v>
      </c>
      <c r="N104" s="1708"/>
      <c r="O104" s="1718">
        <v>145</v>
      </c>
      <c r="P104" s="1711">
        <v>7800</v>
      </c>
      <c r="Q104" s="1712" t="s">
        <v>4125</v>
      </c>
      <c r="R104" s="1711">
        <v>120000</v>
      </c>
      <c r="S104" s="1712" t="s">
        <v>4123</v>
      </c>
      <c r="T104" s="1712"/>
      <c r="U104" s="1713"/>
      <c r="V104" s="1712"/>
      <c r="W104" s="1713"/>
      <c r="X104" s="1711">
        <v>2000</v>
      </c>
      <c r="Y104" s="1714" t="s">
        <v>1471</v>
      </c>
      <c r="Z104" s="1713"/>
      <c r="AA104" s="1715">
        <v>5.9</v>
      </c>
      <c r="AB104" s="1716" t="s">
        <v>1471</v>
      </c>
      <c r="AC104" s="1717"/>
    </row>
    <row r="105" spans="1:29" ht="15">
      <c r="A105" s="1719" t="s">
        <v>2074</v>
      </c>
      <c r="B105" s="1720" t="s">
        <v>2075</v>
      </c>
      <c r="C105" s="1721"/>
      <c r="D105" s="1722"/>
      <c r="E105" s="1723"/>
      <c r="F105" s="1722"/>
      <c r="G105" s="1724">
        <v>0.1</v>
      </c>
      <c r="H105" s="1723" t="s">
        <v>1893</v>
      </c>
      <c r="I105" s="1723"/>
      <c r="J105" s="1722"/>
      <c r="K105" s="1723" t="s">
        <v>1127</v>
      </c>
      <c r="L105" s="1722"/>
      <c r="M105" s="1723">
        <v>1</v>
      </c>
      <c r="N105" s="1723"/>
      <c r="O105" s="1735">
        <v>183</v>
      </c>
      <c r="P105" s="1726">
        <v>7800</v>
      </c>
      <c r="Q105" s="1727" t="s">
        <v>4125</v>
      </c>
      <c r="R105" s="1726">
        <v>120000</v>
      </c>
      <c r="S105" s="1727" t="s">
        <v>4123</v>
      </c>
      <c r="T105" s="1727"/>
      <c r="U105" s="1728"/>
      <c r="V105" s="1727"/>
      <c r="W105" s="1728"/>
      <c r="X105" s="1726">
        <v>690</v>
      </c>
      <c r="Y105" s="1729" t="s">
        <v>1471</v>
      </c>
      <c r="Z105" s="1728"/>
      <c r="AA105" s="1730">
        <v>1.6</v>
      </c>
      <c r="AB105" s="1731" t="s">
        <v>1471</v>
      </c>
      <c r="AC105" s="1732"/>
    </row>
    <row r="106" spans="1:29" ht="15">
      <c r="A106" s="1704" t="s">
        <v>2076</v>
      </c>
      <c r="B106" s="1705" t="s">
        <v>2077</v>
      </c>
      <c r="C106" s="1706"/>
      <c r="D106" s="1707"/>
      <c r="E106" s="1708"/>
      <c r="F106" s="1707"/>
      <c r="G106" s="1709">
        <v>0.02</v>
      </c>
      <c r="H106" s="1708" t="s">
        <v>1960</v>
      </c>
      <c r="I106" s="1708"/>
      <c r="J106" s="1707"/>
      <c r="K106" s="1707"/>
      <c r="L106" s="1707"/>
      <c r="M106" s="1708">
        <v>1</v>
      </c>
      <c r="N106" s="1708">
        <v>0.1</v>
      </c>
      <c r="O106" s="1710"/>
      <c r="P106" s="1711">
        <v>1300</v>
      </c>
      <c r="Q106" s="1712" t="s">
        <v>1471</v>
      </c>
      <c r="R106" s="1711">
        <v>16000</v>
      </c>
      <c r="S106" s="1712" t="s">
        <v>1471</v>
      </c>
      <c r="T106" s="1712"/>
      <c r="U106" s="1713"/>
      <c r="V106" s="1712"/>
      <c r="W106" s="1713"/>
      <c r="X106" s="1711">
        <v>400</v>
      </c>
      <c r="Y106" s="1714" t="s">
        <v>1471</v>
      </c>
      <c r="Z106" s="1713"/>
      <c r="AA106" s="1715">
        <v>0.11</v>
      </c>
      <c r="AB106" s="1716" t="s">
        <v>1471</v>
      </c>
      <c r="AC106" s="1717"/>
    </row>
    <row r="107" spans="1:29" ht="15">
      <c r="A107" s="1704" t="s">
        <v>114</v>
      </c>
      <c r="B107" s="1705" t="s">
        <v>2078</v>
      </c>
      <c r="C107" s="1706"/>
      <c r="D107" s="1707"/>
      <c r="E107" s="1709">
        <v>1.8E-3</v>
      </c>
      <c r="F107" s="1708" t="s">
        <v>1119</v>
      </c>
      <c r="G107" s="1709">
        <v>1E-4</v>
      </c>
      <c r="H107" s="1708" t="s">
        <v>1960</v>
      </c>
      <c r="I107" s="1709">
        <v>1.0000000000000001E-5</v>
      </c>
      <c r="J107" s="1708" t="s">
        <v>1960</v>
      </c>
      <c r="K107" s="1707"/>
      <c r="L107" s="1707"/>
      <c r="M107" s="1708">
        <v>2.5000000000000001E-2</v>
      </c>
      <c r="N107" s="1708">
        <v>1E-3</v>
      </c>
      <c r="O107" s="1710"/>
      <c r="P107" s="1711">
        <v>7.1</v>
      </c>
      <c r="Q107" s="1712" t="s">
        <v>1471</v>
      </c>
      <c r="R107" s="1711">
        <v>100</v>
      </c>
      <c r="S107" s="1712" t="s">
        <v>1471</v>
      </c>
      <c r="T107" s="1711">
        <v>1.6000000000000001E-3</v>
      </c>
      <c r="U107" s="1712" t="s">
        <v>4122</v>
      </c>
      <c r="V107" s="1711">
        <v>6.7999999999999996E-3</v>
      </c>
      <c r="W107" s="1712" t="s">
        <v>4122</v>
      </c>
      <c r="X107" s="1712"/>
      <c r="Y107" s="1733"/>
      <c r="Z107" s="1713"/>
      <c r="AA107" s="1716"/>
      <c r="AB107" s="1734"/>
      <c r="AC107" s="1717"/>
    </row>
    <row r="108" spans="1:29" ht="30">
      <c r="A108" s="1719" t="s">
        <v>114</v>
      </c>
      <c r="B108" s="1720" t="s">
        <v>2079</v>
      </c>
      <c r="C108" s="1721"/>
      <c r="D108" s="1722"/>
      <c r="E108" s="1724">
        <v>1.8E-3</v>
      </c>
      <c r="F108" s="1723" t="s">
        <v>1119</v>
      </c>
      <c r="G108" s="1724">
        <v>1E-4</v>
      </c>
      <c r="H108" s="1723" t="s">
        <v>1960</v>
      </c>
      <c r="I108" s="1724">
        <v>1.0000000000000001E-5</v>
      </c>
      <c r="J108" s="1723" t="s">
        <v>1960</v>
      </c>
      <c r="K108" s="1722"/>
      <c r="L108" s="1722"/>
      <c r="M108" s="1723">
        <v>0.05</v>
      </c>
      <c r="N108" s="1723">
        <v>1E-3</v>
      </c>
      <c r="O108" s="1725"/>
      <c r="P108" s="1727"/>
      <c r="Q108" s="1728"/>
      <c r="R108" s="1727"/>
      <c r="S108" s="1728"/>
      <c r="T108" s="1726">
        <v>1.6000000000000001E-3</v>
      </c>
      <c r="U108" s="1727" t="s">
        <v>4122</v>
      </c>
      <c r="V108" s="1726">
        <v>6.7999999999999996E-3</v>
      </c>
      <c r="W108" s="1727" t="s">
        <v>4122</v>
      </c>
      <c r="X108" s="1726">
        <v>1.8</v>
      </c>
      <c r="Y108" s="1729" t="s">
        <v>1471</v>
      </c>
      <c r="Z108" s="1726">
        <v>5</v>
      </c>
      <c r="AA108" s="1730">
        <v>0.14000000000000001</v>
      </c>
      <c r="AB108" s="1731" t="s">
        <v>1471</v>
      </c>
      <c r="AC108" s="1739">
        <v>0.38</v>
      </c>
    </row>
    <row r="109" spans="1:29" ht="15">
      <c r="A109" s="1704" t="s">
        <v>2080</v>
      </c>
      <c r="B109" s="1705" t="s">
        <v>2081</v>
      </c>
      <c r="C109" s="1706"/>
      <c r="D109" s="1707"/>
      <c r="E109" s="1708"/>
      <c r="F109" s="1707"/>
      <c r="G109" s="1709">
        <v>0.5</v>
      </c>
      <c r="H109" s="1708" t="s">
        <v>1119</v>
      </c>
      <c r="I109" s="1709">
        <v>2.2000000000000001E-3</v>
      </c>
      <c r="J109" s="1708" t="s">
        <v>1900</v>
      </c>
      <c r="K109" s="1707"/>
      <c r="L109" s="1707"/>
      <c r="M109" s="1708">
        <v>1</v>
      </c>
      <c r="N109" s="1708">
        <v>0.1</v>
      </c>
      <c r="O109" s="1710"/>
      <c r="P109" s="1711">
        <v>31000</v>
      </c>
      <c r="Q109" s="1712" t="s">
        <v>1471</v>
      </c>
      <c r="R109" s="1711">
        <v>400000</v>
      </c>
      <c r="S109" s="1712" t="s">
        <v>4124</v>
      </c>
      <c r="T109" s="1711">
        <v>2.2999999999999998</v>
      </c>
      <c r="U109" s="1712" t="s">
        <v>1471</v>
      </c>
      <c r="V109" s="1711">
        <v>9.6</v>
      </c>
      <c r="W109" s="1712" t="s">
        <v>1471</v>
      </c>
      <c r="X109" s="1711">
        <v>9900</v>
      </c>
      <c r="Y109" s="1714" t="s">
        <v>1471</v>
      </c>
      <c r="Z109" s="1713"/>
      <c r="AA109" s="1715">
        <v>2.5</v>
      </c>
      <c r="AB109" s="1716" t="s">
        <v>1471</v>
      </c>
      <c r="AC109" s="1717"/>
    </row>
    <row r="110" spans="1:29" ht="15">
      <c r="A110" s="1742">
        <v>191906</v>
      </c>
      <c r="B110" s="1705" t="s">
        <v>2083</v>
      </c>
      <c r="C110" s="1736">
        <v>0.15</v>
      </c>
      <c r="D110" s="1708" t="s">
        <v>1900</v>
      </c>
      <c r="E110" s="1709">
        <v>4.3000000000000002E-5</v>
      </c>
      <c r="F110" s="1708" t="s">
        <v>1900</v>
      </c>
      <c r="G110" s="1709">
        <v>2E-3</v>
      </c>
      <c r="H110" s="1708" t="s">
        <v>1119</v>
      </c>
      <c r="I110" s="1708"/>
      <c r="J110" s="1707"/>
      <c r="K110" s="1707"/>
      <c r="L110" s="1707"/>
      <c r="M110" s="1708">
        <v>1</v>
      </c>
      <c r="N110" s="1708">
        <v>0.1</v>
      </c>
      <c r="O110" s="1710"/>
      <c r="P110" s="1711">
        <v>3.6</v>
      </c>
      <c r="Q110" s="1712" t="s">
        <v>4127</v>
      </c>
      <c r="R110" s="1711">
        <v>15</v>
      </c>
      <c r="S110" s="1712" t="s">
        <v>4126</v>
      </c>
      <c r="T110" s="1711">
        <v>6.5000000000000002E-2</v>
      </c>
      <c r="U110" s="1712" t="s">
        <v>4126</v>
      </c>
      <c r="V110" s="1711">
        <v>0.28999999999999998</v>
      </c>
      <c r="W110" s="1712" t="s">
        <v>4126</v>
      </c>
      <c r="X110" s="1711">
        <v>0.4</v>
      </c>
      <c r="Y110" s="1714" t="s">
        <v>4127</v>
      </c>
      <c r="Z110" s="1713"/>
      <c r="AA110" s="1715">
        <v>7.1000000000000002E-4</v>
      </c>
      <c r="AB110" s="1716" t="s">
        <v>4127</v>
      </c>
      <c r="AC110" s="1717"/>
    </row>
    <row r="111" spans="1:29" ht="15">
      <c r="A111" s="1719" t="s">
        <v>2084</v>
      </c>
      <c r="B111" s="1720" t="s">
        <v>2085</v>
      </c>
      <c r="C111" s="1737">
        <v>2.3E-3</v>
      </c>
      <c r="D111" s="1723" t="s">
        <v>1900</v>
      </c>
      <c r="E111" s="1724">
        <v>6.6000000000000003E-7</v>
      </c>
      <c r="F111" s="1723" t="s">
        <v>1900</v>
      </c>
      <c r="G111" s="1724">
        <v>0.13</v>
      </c>
      <c r="H111" s="1723" t="s">
        <v>1119</v>
      </c>
      <c r="I111" s="1723"/>
      <c r="J111" s="1722"/>
      <c r="K111" s="1722"/>
      <c r="L111" s="1722"/>
      <c r="M111" s="1723">
        <v>1</v>
      </c>
      <c r="N111" s="1723">
        <v>0.1</v>
      </c>
      <c r="O111" s="1725"/>
      <c r="P111" s="1726">
        <v>240</v>
      </c>
      <c r="Q111" s="1727" t="s">
        <v>4127</v>
      </c>
      <c r="R111" s="1726">
        <v>1000</v>
      </c>
      <c r="S111" s="1727" t="s">
        <v>4126</v>
      </c>
      <c r="T111" s="1726">
        <v>4.3</v>
      </c>
      <c r="U111" s="1727" t="s">
        <v>4126</v>
      </c>
      <c r="V111" s="1726">
        <v>19</v>
      </c>
      <c r="W111" s="1727" t="s">
        <v>4126</v>
      </c>
      <c r="X111" s="1726">
        <v>31</v>
      </c>
      <c r="Y111" s="1729" t="s">
        <v>4127</v>
      </c>
      <c r="Z111" s="1728"/>
      <c r="AA111" s="1730">
        <v>2.1999999999999999E-2</v>
      </c>
      <c r="AB111" s="1731" t="s">
        <v>4127</v>
      </c>
      <c r="AC111" s="1732"/>
    </row>
    <row r="112" spans="1:29" ht="15">
      <c r="A112" s="1704" t="s">
        <v>2086</v>
      </c>
      <c r="B112" s="1705" t="s">
        <v>2087</v>
      </c>
      <c r="C112" s="1706"/>
      <c r="D112" s="1707"/>
      <c r="E112" s="1708"/>
      <c r="F112" s="1707"/>
      <c r="G112" s="1709">
        <v>0.1</v>
      </c>
      <c r="H112" s="1708" t="s">
        <v>1119</v>
      </c>
      <c r="I112" s="1708"/>
      <c r="J112" s="1707"/>
      <c r="K112" s="1707"/>
      <c r="L112" s="1707"/>
      <c r="M112" s="1708">
        <v>1</v>
      </c>
      <c r="N112" s="1708">
        <v>0.1</v>
      </c>
      <c r="O112" s="1710"/>
      <c r="P112" s="1711">
        <v>6300</v>
      </c>
      <c r="Q112" s="1712" t="s">
        <v>1471</v>
      </c>
      <c r="R112" s="1711">
        <v>82000</v>
      </c>
      <c r="S112" s="1712" t="s">
        <v>1471</v>
      </c>
      <c r="T112" s="1712"/>
      <c r="U112" s="1713"/>
      <c r="V112" s="1712"/>
      <c r="W112" s="1713"/>
      <c r="X112" s="1711">
        <v>1800</v>
      </c>
      <c r="Y112" s="1714" t="s">
        <v>1471</v>
      </c>
      <c r="Z112" s="1713"/>
      <c r="AA112" s="1715">
        <v>1.7</v>
      </c>
      <c r="AB112" s="1716" t="s">
        <v>1471</v>
      </c>
      <c r="AC112" s="1717"/>
    </row>
    <row r="113" spans="1:29" ht="15">
      <c r="A113" s="1704" t="s">
        <v>2088</v>
      </c>
      <c r="B113" s="1705" t="s">
        <v>2089</v>
      </c>
      <c r="C113" s="1706"/>
      <c r="D113" s="1707"/>
      <c r="E113" s="1708"/>
      <c r="F113" s="1707"/>
      <c r="G113" s="1709">
        <v>5.0000000000000001E-3</v>
      </c>
      <c r="H113" s="1708" t="s">
        <v>1119</v>
      </c>
      <c r="I113" s="1708"/>
      <c r="J113" s="1707"/>
      <c r="K113" s="1707"/>
      <c r="L113" s="1707"/>
      <c r="M113" s="1708">
        <v>1</v>
      </c>
      <c r="N113" s="1708">
        <v>0.1</v>
      </c>
      <c r="O113" s="1710"/>
      <c r="P113" s="1711">
        <v>320</v>
      </c>
      <c r="Q113" s="1712" t="s">
        <v>1471</v>
      </c>
      <c r="R113" s="1711">
        <v>4100</v>
      </c>
      <c r="S113" s="1712" t="s">
        <v>1471</v>
      </c>
      <c r="T113" s="1712"/>
      <c r="U113" s="1713"/>
      <c r="V113" s="1712"/>
      <c r="W113" s="1713"/>
      <c r="X113" s="1711">
        <v>94</v>
      </c>
      <c r="Y113" s="1714" t="s">
        <v>1471</v>
      </c>
      <c r="Z113" s="1711">
        <v>40</v>
      </c>
      <c r="AA113" s="1715">
        <v>3.6999999999999998E-2</v>
      </c>
      <c r="AB113" s="1716" t="s">
        <v>1471</v>
      </c>
      <c r="AC113" s="1738">
        <v>1.6E-2</v>
      </c>
    </row>
    <row r="114" spans="1:29" ht="15">
      <c r="A114" s="1719" t="s">
        <v>2090</v>
      </c>
      <c r="B114" s="1720" t="s">
        <v>2091</v>
      </c>
      <c r="C114" s="1721"/>
      <c r="D114" s="1722"/>
      <c r="E114" s="1723"/>
      <c r="F114" s="1722"/>
      <c r="G114" s="1724">
        <v>0.1</v>
      </c>
      <c r="H114" s="1723" t="s">
        <v>1119</v>
      </c>
      <c r="I114" s="1724">
        <v>0.7</v>
      </c>
      <c r="J114" s="1723" t="s">
        <v>1119</v>
      </c>
      <c r="K114" s="1723" t="s">
        <v>1127</v>
      </c>
      <c r="L114" s="1722"/>
      <c r="M114" s="1723">
        <v>1</v>
      </c>
      <c r="N114" s="1723"/>
      <c r="O114" s="1735">
        <v>738</v>
      </c>
      <c r="P114" s="1726">
        <v>770</v>
      </c>
      <c r="Q114" s="1727" t="s">
        <v>4125</v>
      </c>
      <c r="R114" s="1726">
        <v>3500</v>
      </c>
      <c r="S114" s="1727" t="s">
        <v>4125</v>
      </c>
      <c r="T114" s="1726">
        <v>730</v>
      </c>
      <c r="U114" s="1727" t="s">
        <v>1471</v>
      </c>
      <c r="V114" s="1726">
        <v>3100</v>
      </c>
      <c r="W114" s="1727" t="s">
        <v>1471</v>
      </c>
      <c r="X114" s="1726">
        <v>810</v>
      </c>
      <c r="Y114" s="1729" t="s">
        <v>1471</v>
      </c>
      <c r="Z114" s="1728"/>
      <c r="AA114" s="1730">
        <v>0.24</v>
      </c>
      <c r="AB114" s="1731" t="s">
        <v>1471</v>
      </c>
      <c r="AC114" s="1732"/>
    </row>
    <row r="115" spans="1:29" ht="30">
      <c r="A115" s="1704" t="s">
        <v>118</v>
      </c>
      <c r="B115" s="1705" t="s">
        <v>2092</v>
      </c>
      <c r="C115" s="1736">
        <v>7.0000000000000007E-2</v>
      </c>
      <c r="D115" s="1708" t="s">
        <v>1119</v>
      </c>
      <c r="E115" s="1709">
        <v>6.0000000000000002E-6</v>
      </c>
      <c r="F115" s="1708" t="s">
        <v>1119</v>
      </c>
      <c r="G115" s="1709">
        <v>4.0000000000000001E-3</v>
      </c>
      <c r="H115" s="1708" t="s">
        <v>1119</v>
      </c>
      <c r="I115" s="1709">
        <v>0.1</v>
      </c>
      <c r="J115" s="1708" t="s">
        <v>1119</v>
      </c>
      <c r="K115" s="1708" t="s">
        <v>1127</v>
      </c>
      <c r="L115" s="1707"/>
      <c r="M115" s="1708">
        <v>1</v>
      </c>
      <c r="N115" s="1708"/>
      <c r="O115" s="1718">
        <v>458</v>
      </c>
      <c r="P115" s="1711">
        <v>0.65</v>
      </c>
      <c r="Q115" s="1712" t="s">
        <v>4126</v>
      </c>
      <c r="R115" s="1711">
        <v>2.9</v>
      </c>
      <c r="S115" s="1712" t="s">
        <v>4126</v>
      </c>
      <c r="T115" s="1711">
        <v>0.47</v>
      </c>
      <c r="U115" s="1712" t="s">
        <v>4126</v>
      </c>
      <c r="V115" s="1711">
        <v>2</v>
      </c>
      <c r="W115" s="1712" t="s">
        <v>4126</v>
      </c>
      <c r="X115" s="1711">
        <v>0.46</v>
      </c>
      <c r="Y115" s="1714" t="s">
        <v>4126</v>
      </c>
      <c r="Z115" s="1711">
        <v>5</v>
      </c>
      <c r="AA115" s="1715">
        <v>1.8000000000000001E-4</v>
      </c>
      <c r="AB115" s="1716" t="s">
        <v>4126</v>
      </c>
      <c r="AC115" s="1738">
        <v>1.9E-3</v>
      </c>
    </row>
    <row r="116" spans="1:29" ht="15">
      <c r="A116" s="1704" t="s">
        <v>2093</v>
      </c>
      <c r="B116" s="1705" t="s">
        <v>2094</v>
      </c>
      <c r="C116" s="1706"/>
      <c r="D116" s="1707"/>
      <c r="E116" s="1708"/>
      <c r="F116" s="1707"/>
      <c r="G116" s="1708"/>
      <c r="H116" s="1707"/>
      <c r="I116" s="1709">
        <v>0.1</v>
      </c>
      <c r="J116" s="1708" t="s">
        <v>1909</v>
      </c>
      <c r="K116" s="1708" t="s">
        <v>1127</v>
      </c>
      <c r="L116" s="1707"/>
      <c r="M116" s="1708">
        <v>1</v>
      </c>
      <c r="N116" s="1708"/>
      <c r="O116" s="1718">
        <v>5890</v>
      </c>
      <c r="P116" s="1711">
        <v>67</v>
      </c>
      <c r="Q116" s="1712" t="s">
        <v>1471</v>
      </c>
      <c r="R116" s="1711">
        <v>280</v>
      </c>
      <c r="S116" s="1712" t="s">
        <v>1471</v>
      </c>
      <c r="T116" s="1711">
        <v>100</v>
      </c>
      <c r="U116" s="1712" t="s">
        <v>1471</v>
      </c>
      <c r="V116" s="1711">
        <v>440</v>
      </c>
      <c r="W116" s="1712" t="s">
        <v>1471</v>
      </c>
      <c r="X116" s="1711">
        <v>210</v>
      </c>
      <c r="Y116" s="1714" t="s">
        <v>1471</v>
      </c>
      <c r="Z116" s="1713"/>
      <c r="AA116" s="1715">
        <v>0.51</v>
      </c>
      <c r="AB116" s="1716" t="s">
        <v>1471</v>
      </c>
      <c r="AC116" s="1717"/>
    </row>
    <row r="117" spans="1:29" ht="15">
      <c r="A117" s="1719" t="s">
        <v>2095</v>
      </c>
      <c r="B117" s="1720" t="s">
        <v>2096</v>
      </c>
      <c r="C117" s="1721"/>
      <c r="D117" s="1722"/>
      <c r="E117" s="1723"/>
      <c r="F117" s="1722"/>
      <c r="G117" s="1724">
        <v>0.01</v>
      </c>
      <c r="H117" s="1723" t="s">
        <v>1119</v>
      </c>
      <c r="I117" s="1723"/>
      <c r="J117" s="1722"/>
      <c r="K117" s="1722"/>
      <c r="L117" s="1722"/>
      <c r="M117" s="1723">
        <v>1</v>
      </c>
      <c r="N117" s="1723">
        <v>0.1</v>
      </c>
      <c r="O117" s="1725"/>
      <c r="P117" s="1726">
        <v>630</v>
      </c>
      <c r="Q117" s="1727" t="s">
        <v>1471</v>
      </c>
      <c r="R117" s="1726">
        <v>8200</v>
      </c>
      <c r="S117" s="1727" t="s">
        <v>1471</v>
      </c>
      <c r="T117" s="1727"/>
      <c r="U117" s="1728"/>
      <c r="V117" s="1727"/>
      <c r="W117" s="1728"/>
      <c r="X117" s="1726">
        <v>51</v>
      </c>
      <c r="Y117" s="1729" t="s">
        <v>1471</v>
      </c>
      <c r="Z117" s="1728"/>
      <c r="AA117" s="1730">
        <v>1.2</v>
      </c>
      <c r="AB117" s="1731" t="s">
        <v>1471</v>
      </c>
      <c r="AC117" s="1732"/>
    </row>
    <row r="118" spans="1:29" ht="15">
      <c r="A118" s="1704" t="s">
        <v>2097</v>
      </c>
      <c r="B118" s="1705" t="s">
        <v>2098</v>
      </c>
      <c r="C118" s="1706"/>
      <c r="D118" s="1707"/>
      <c r="E118" s="1708"/>
      <c r="F118" s="1707"/>
      <c r="G118" s="1709">
        <v>0.1</v>
      </c>
      <c r="H118" s="1708" t="s">
        <v>1119</v>
      </c>
      <c r="I118" s="1708"/>
      <c r="J118" s="1707"/>
      <c r="K118" s="1707"/>
      <c r="L118" s="1707"/>
      <c r="M118" s="1708">
        <v>1</v>
      </c>
      <c r="N118" s="1708">
        <v>0.1</v>
      </c>
      <c r="O118" s="1710"/>
      <c r="P118" s="1711">
        <v>6300</v>
      </c>
      <c r="Q118" s="1712" t="s">
        <v>1471</v>
      </c>
      <c r="R118" s="1711">
        <v>82000</v>
      </c>
      <c r="S118" s="1712" t="s">
        <v>1471</v>
      </c>
      <c r="T118" s="1712"/>
      <c r="U118" s="1713"/>
      <c r="V118" s="1712"/>
      <c r="W118" s="1713"/>
      <c r="X118" s="1711">
        <v>1900</v>
      </c>
      <c r="Y118" s="1714" t="s">
        <v>1471</v>
      </c>
      <c r="Z118" s="1713"/>
      <c r="AA118" s="1715">
        <v>1</v>
      </c>
      <c r="AB118" s="1716" t="s">
        <v>1471</v>
      </c>
      <c r="AC118" s="1717"/>
    </row>
    <row r="119" spans="1:29" ht="15">
      <c r="A119" s="1704" t="s">
        <v>2099</v>
      </c>
      <c r="B119" s="1705" t="s">
        <v>2100</v>
      </c>
      <c r="C119" s="1706"/>
      <c r="D119" s="1707"/>
      <c r="E119" s="1708"/>
      <c r="F119" s="1707"/>
      <c r="G119" s="1708"/>
      <c r="H119" s="1707"/>
      <c r="I119" s="1709">
        <v>8.9999999999999998E-4</v>
      </c>
      <c r="J119" s="1708" t="s">
        <v>1119</v>
      </c>
      <c r="K119" s="1707"/>
      <c r="L119" s="1707"/>
      <c r="M119" s="1708">
        <v>1</v>
      </c>
      <c r="N119" s="1708"/>
      <c r="O119" s="1710"/>
      <c r="P119" s="1711">
        <v>1300000</v>
      </c>
      <c r="Q119" s="1712" t="s">
        <v>4124</v>
      </c>
      <c r="R119" s="1711">
        <v>5400000</v>
      </c>
      <c r="S119" s="1712" t="s">
        <v>4124</v>
      </c>
      <c r="T119" s="1711">
        <v>0.94</v>
      </c>
      <c r="U119" s="1712" t="s">
        <v>1471</v>
      </c>
      <c r="V119" s="1711">
        <v>3.9</v>
      </c>
      <c r="W119" s="1712" t="s">
        <v>1471</v>
      </c>
      <c r="X119" s="1712"/>
      <c r="Y119" s="1733"/>
      <c r="Z119" s="1713"/>
      <c r="AA119" s="1716"/>
      <c r="AB119" s="1734"/>
      <c r="AC119" s="1717"/>
    </row>
    <row r="120" spans="1:29" ht="15">
      <c r="A120" s="1719" t="s">
        <v>2101</v>
      </c>
      <c r="B120" s="1720" t="s">
        <v>2102</v>
      </c>
      <c r="C120" s="1721"/>
      <c r="D120" s="1722"/>
      <c r="E120" s="1723"/>
      <c r="F120" s="1722"/>
      <c r="G120" s="1724">
        <v>0.1</v>
      </c>
      <c r="H120" s="1723" t="s">
        <v>1119</v>
      </c>
      <c r="I120" s="1723"/>
      <c r="J120" s="1722"/>
      <c r="K120" s="1723" t="s">
        <v>1127</v>
      </c>
      <c r="L120" s="1722"/>
      <c r="M120" s="1723">
        <v>1</v>
      </c>
      <c r="N120" s="1723"/>
      <c r="O120" s="1725"/>
      <c r="P120" s="1726">
        <v>7800</v>
      </c>
      <c r="Q120" s="1727" t="s">
        <v>1471</v>
      </c>
      <c r="R120" s="1726">
        <v>120000</v>
      </c>
      <c r="S120" s="1727" t="s">
        <v>4124</v>
      </c>
      <c r="T120" s="1727"/>
      <c r="U120" s="1728"/>
      <c r="V120" s="1727"/>
      <c r="W120" s="1728"/>
      <c r="X120" s="1726">
        <v>2000</v>
      </c>
      <c r="Y120" s="1729" t="s">
        <v>1471</v>
      </c>
      <c r="Z120" s="1728"/>
      <c r="AA120" s="1730">
        <v>0.4</v>
      </c>
      <c r="AB120" s="1731" t="s">
        <v>1471</v>
      </c>
      <c r="AC120" s="1732"/>
    </row>
    <row r="121" spans="1:29" ht="15">
      <c r="A121" s="1704" t="s">
        <v>2103</v>
      </c>
      <c r="B121" s="1705" t="s">
        <v>2104</v>
      </c>
      <c r="C121" s="1706"/>
      <c r="D121" s="1707"/>
      <c r="E121" s="1708"/>
      <c r="F121" s="1707"/>
      <c r="G121" s="1709">
        <v>1.4999999999999999E-2</v>
      </c>
      <c r="H121" s="1708" t="s">
        <v>1119</v>
      </c>
      <c r="I121" s="1708"/>
      <c r="J121" s="1707"/>
      <c r="K121" s="1707"/>
      <c r="L121" s="1707"/>
      <c r="M121" s="1708">
        <v>1</v>
      </c>
      <c r="N121" s="1708">
        <v>0.1</v>
      </c>
      <c r="O121" s="1710"/>
      <c r="P121" s="1711">
        <v>950</v>
      </c>
      <c r="Q121" s="1712" t="s">
        <v>1471</v>
      </c>
      <c r="R121" s="1711">
        <v>12000</v>
      </c>
      <c r="S121" s="1712" t="s">
        <v>1471</v>
      </c>
      <c r="T121" s="1712"/>
      <c r="U121" s="1713"/>
      <c r="V121" s="1712"/>
      <c r="W121" s="1713"/>
      <c r="X121" s="1711">
        <v>290</v>
      </c>
      <c r="Y121" s="1714" t="s">
        <v>1471</v>
      </c>
      <c r="Z121" s="1713"/>
      <c r="AA121" s="1715">
        <v>7.0000000000000007E-2</v>
      </c>
      <c r="AB121" s="1716" t="s">
        <v>1471</v>
      </c>
      <c r="AC121" s="1717"/>
    </row>
    <row r="122" spans="1:29" ht="30">
      <c r="A122" s="1704" t="s">
        <v>2105</v>
      </c>
      <c r="B122" s="1705" t="s">
        <v>2106</v>
      </c>
      <c r="C122" s="1706"/>
      <c r="D122" s="1707"/>
      <c r="E122" s="1708"/>
      <c r="F122" s="1707"/>
      <c r="G122" s="1708"/>
      <c r="H122" s="1707"/>
      <c r="I122" s="1708"/>
      <c r="J122" s="1707"/>
      <c r="K122" s="1707"/>
      <c r="L122" s="1707"/>
      <c r="M122" s="1708">
        <v>1</v>
      </c>
      <c r="N122" s="1708">
        <v>0.1</v>
      </c>
      <c r="O122" s="1710"/>
      <c r="P122" s="1712"/>
      <c r="Q122" s="1713"/>
      <c r="R122" s="1712"/>
      <c r="S122" s="1713"/>
      <c r="T122" s="1712"/>
      <c r="U122" s="1713"/>
      <c r="V122" s="1712"/>
      <c r="W122" s="1713"/>
      <c r="X122" s="1712"/>
      <c r="Y122" s="1733"/>
      <c r="Z122" s="1712" t="s">
        <v>4133</v>
      </c>
      <c r="AA122" s="1716"/>
      <c r="AB122" s="1734"/>
      <c r="AC122" s="1717"/>
    </row>
    <row r="123" spans="1:29" ht="15">
      <c r="A123" s="1719" t="s">
        <v>2107</v>
      </c>
      <c r="B123" s="1720" t="s">
        <v>2108</v>
      </c>
      <c r="C123" s="1737">
        <v>0.40300000000000002</v>
      </c>
      <c r="D123" s="1723" t="s">
        <v>1073</v>
      </c>
      <c r="E123" s="1723"/>
      <c r="F123" s="1722"/>
      <c r="G123" s="1723"/>
      <c r="H123" s="1722"/>
      <c r="I123" s="1723"/>
      <c r="J123" s="1722"/>
      <c r="K123" s="1722"/>
      <c r="L123" s="1722"/>
      <c r="M123" s="1723">
        <v>1</v>
      </c>
      <c r="N123" s="1723">
        <v>0.1</v>
      </c>
      <c r="O123" s="1725"/>
      <c r="P123" s="1726">
        <v>1.3</v>
      </c>
      <c r="Q123" s="1727" t="s">
        <v>4126</v>
      </c>
      <c r="R123" s="1726">
        <v>5.7</v>
      </c>
      <c r="S123" s="1727" t="s">
        <v>4126</v>
      </c>
      <c r="T123" s="1727"/>
      <c r="U123" s="1728"/>
      <c r="V123" s="1727"/>
      <c r="W123" s="1728"/>
      <c r="X123" s="1726">
        <v>0.18</v>
      </c>
      <c r="Y123" s="1729" t="s">
        <v>4126</v>
      </c>
      <c r="Z123" s="1728"/>
      <c r="AA123" s="1730">
        <v>1.4999999999999999E-4</v>
      </c>
      <c r="AB123" s="1731" t="s">
        <v>4126</v>
      </c>
      <c r="AC123" s="1732"/>
    </row>
    <row r="124" spans="1:29" ht="30">
      <c r="A124" s="1704" t="s">
        <v>2109</v>
      </c>
      <c r="B124" s="1705" t="s">
        <v>2110</v>
      </c>
      <c r="C124" s="1706"/>
      <c r="D124" s="1707"/>
      <c r="E124" s="1708"/>
      <c r="F124" s="1707"/>
      <c r="G124" s="1709">
        <v>5.0000000000000001E-4</v>
      </c>
      <c r="H124" s="1708" t="s">
        <v>2111</v>
      </c>
      <c r="I124" s="1708"/>
      <c r="J124" s="1707"/>
      <c r="K124" s="1708" t="s">
        <v>1127</v>
      </c>
      <c r="L124" s="1707"/>
      <c r="M124" s="1708">
        <v>1</v>
      </c>
      <c r="N124" s="1708">
        <v>0.04</v>
      </c>
      <c r="O124" s="1710"/>
      <c r="P124" s="1711">
        <v>36</v>
      </c>
      <c r="Q124" s="1712" t="s">
        <v>1471</v>
      </c>
      <c r="R124" s="1711">
        <v>500</v>
      </c>
      <c r="S124" s="1712" t="s">
        <v>1471</v>
      </c>
      <c r="T124" s="1712"/>
      <c r="U124" s="1713"/>
      <c r="V124" s="1712"/>
      <c r="W124" s="1713"/>
      <c r="X124" s="1711">
        <v>3.6</v>
      </c>
      <c r="Y124" s="1714" t="s">
        <v>1471</v>
      </c>
      <c r="Z124" s="1713"/>
      <c r="AA124" s="1715">
        <v>0.49</v>
      </c>
      <c r="AB124" s="1716" t="s">
        <v>1471</v>
      </c>
      <c r="AC124" s="1717"/>
    </row>
    <row r="125" spans="1:29" ht="30">
      <c r="A125" s="1704" t="s">
        <v>2112</v>
      </c>
      <c r="B125" s="1705" t="s">
        <v>2113</v>
      </c>
      <c r="C125" s="1706"/>
      <c r="D125" s="1707"/>
      <c r="E125" s="1708"/>
      <c r="F125" s="1707"/>
      <c r="G125" s="1709">
        <v>5.0000000000000001E-4</v>
      </c>
      <c r="H125" s="1708" t="s">
        <v>2111</v>
      </c>
      <c r="I125" s="1708"/>
      <c r="J125" s="1707"/>
      <c r="K125" s="1708" t="s">
        <v>1127</v>
      </c>
      <c r="L125" s="1707"/>
      <c r="M125" s="1708">
        <v>1</v>
      </c>
      <c r="N125" s="1708">
        <v>0.04</v>
      </c>
      <c r="O125" s="1710"/>
      <c r="P125" s="1711">
        <v>36</v>
      </c>
      <c r="Q125" s="1712" t="s">
        <v>1471</v>
      </c>
      <c r="R125" s="1711">
        <v>500</v>
      </c>
      <c r="S125" s="1712" t="s">
        <v>1471</v>
      </c>
      <c r="T125" s="1712"/>
      <c r="U125" s="1713"/>
      <c r="V125" s="1712"/>
      <c r="W125" s="1713"/>
      <c r="X125" s="1711">
        <v>10</v>
      </c>
      <c r="Y125" s="1714" t="s">
        <v>1471</v>
      </c>
      <c r="Z125" s="1713"/>
      <c r="AA125" s="1715">
        <v>1.4</v>
      </c>
      <c r="AB125" s="1716" t="s">
        <v>1471</v>
      </c>
      <c r="AC125" s="1717"/>
    </row>
    <row r="126" spans="1:29" ht="45">
      <c r="A126" s="1719" t="s">
        <v>120</v>
      </c>
      <c r="B126" s="1720" t="s">
        <v>2114</v>
      </c>
      <c r="C126" s="1737">
        <v>0.35</v>
      </c>
      <c r="D126" s="1723" t="s">
        <v>1119</v>
      </c>
      <c r="E126" s="1724">
        <v>1E-4</v>
      </c>
      <c r="F126" s="1723" t="s">
        <v>1119</v>
      </c>
      <c r="G126" s="1724">
        <v>5.0000000000000001E-4</v>
      </c>
      <c r="H126" s="1723" t="s">
        <v>1119</v>
      </c>
      <c r="I126" s="1724">
        <v>6.9999999999999999E-4</v>
      </c>
      <c r="J126" s="1723" t="s">
        <v>1119</v>
      </c>
      <c r="K126" s="1723" t="s">
        <v>1127</v>
      </c>
      <c r="L126" s="1722"/>
      <c r="M126" s="1723">
        <v>1</v>
      </c>
      <c r="N126" s="1723">
        <v>0.04</v>
      </c>
      <c r="O126" s="1725"/>
      <c r="P126" s="1726">
        <v>1.7</v>
      </c>
      <c r="Q126" s="1727" t="s">
        <v>4127</v>
      </c>
      <c r="R126" s="1726">
        <v>7.7</v>
      </c>
      <c r="S126" s="1727" t="s">
        <v>4127</v>
      </c>
      <c r="T126" s="1726">
        <v>2.8000000000000001E-2</v>
      </c>
      <c r="U126" s="1727" t="s">
        <v>4127</v>
      </c>
      <c r="V126" s="1726">
        <v>0.12</v>
      </c>
      <c r="W126" s="1727" t="s">
        <v>4127</v>
      </c>
      <c r="X126" s="1726">
        <v>0.02</v>
      </c>
      <c r="Y126" s="1729" t="s">
        <v>4127</v>
      </c>
      <c r="Z126" s="1726">
        <v>2</v>
      </c>
      <c r="AA126" s="1730">
        <v>2.7000000000000001E-3</v>
      </c>
      <c r="AB126" s="1731" t="s">
        <v>4127</v>
      </c>
      <c r="AC126" s="1739">
        <v>0.27</v>
      </c>
    </row>
    <row r="127" spans="1:29" ht="30">
      <c r="A127" s="1704" t="s">
        <v>2115</v>
      </c>
      <c r="B127" s="1705" t="s">
        <v>2116</v>
      </c>
      <c r="C127" s="1736">
        <v>10</v>
      </c>
      <c r="D127" s="1708" t="s">
        <v>1119</v>
      </c>
      <c r="E127" s="1709">
        <v>4.5999999999999999E-3</v>
      </c>
      <c r="F127" s="1708" t="s">
        <v>1900</v>
      </c>
      <c r="G127" s="1709">
        <v>2.9999999999999997E-4</v>
      </c>
      <c r="H127" s="1708" t="s">
        <v>1119</v>
      </c>
      <c r="I127" s="1708"/>
      <c r="J127" s="1707"/>
      <c r="K127" s="1707"/>
      <c r="L127" s="1707"/>
      <c r="M127" s="1708">
        <v>1</v>
      </c>
      <c r="N127" s="1708">
        <v>0.1</v>
      </c>
      <c r="O127" s="1710"/>
      <c r="P127" s="1711">
        <v>5.3999999999999999E-2</v>
      </c>
      <c r="Q127" s="1712" t="s">
        <v>4126</v>
      </c>
      <c r="R127" s="1711">
        <v>0.23</v>
      </c>
      <c r="S127" s="1712" t="s">
        <v>4126</v>
      </c>
      <c r="T127" s="1711">
        <v>6.0999999999999997E-4</v>
      </c>
      <c r="U127" s="1712" t="s">
        <v>4126</v>
      </c>
      <c r="V127" s="1711">
        <v>2.7000000000000001E-3</v>
      </c>
      <c r="W127" s="1712" t="s">
        <v>4126</v>
      </c>
      <c r="X127" s="1711">
        <v>3.5000000000000001E-3</v>
      </c>
      <c r="Y127" s="1714" t="s">
        <v>4126</v>
      </c>
      <c r="Z127" s="1713"/>
      <c r="AA127" s="1715">
        <v>1.2E-4</v>
      </c>
      <c r="AB127" s="1716" t="s">
        <v>4126</v>
      </c>
      <c r="AC127" s="1717"/>
    </row>
    <row r="128" spans="1:29" ht="15">
      <c r="A128" s="1704" t="s">
        <v>2117</v>
      </c>
      <c r="B128" s="1705" t="s">
        <v>2118</v>
      </c>
      <c r="C128" s="1706"/>
      <c r="D128" s="1707"/>
      <c r="E128" s="1708"/>
      <c r="F128" s="1707"/>
      <c r="G128" s="1709">
        <v>6.9999999999999999E-4</v>
      </c>
      <c r="H128" s="1708" t="s">
        <v>1960</v>
      </c>
      <c r="I128" s="1708"/>
      <c r="J128" s="1707"/>
      <c r="K128" s="1707"/>
      <c r="L128" s="1707"/>
      <c r="M128" s="1708">
        <v>1</v>
      </c>
      <c r="N128" s="1708">
        <v>0.1</v>
      </c>
      <c r="O128" s="1710"/>
      <c r="P128" s="1711">
        <v>44</v>
      </c>
      <c r="Q128" s="1712" t="s">
        <v>1471</v>
      </c>
      <c r="R128" s="1711">
        <v>570</v>
      </c>
      <c r="S128" s="1712" t="s">
        <v>1471</v>
      </c>
      <c r="T128" s="1712"/>
      <c r="U128" s="1713"/>
      <c r="V128" s="1712"/>
      <c r="W128" s="1713"/>
      <c r="X128" s="1711">
        <v>11</v>
      </c>
      <c r="Y128" s="1714" t="s">
        <v>1471</v>
      </c>
      <c r="Z128" s="1713"/>
      <c r="AA128" s="1715">
        <v>3.1E-2</v>
      </c>
      <c r="AB128" s="1716" t="s">
        <v>1471</v>
      </c>
      <c r="AC128" s="1717"/>
    </row>
    <row r="129" spans="1:29" ht="30">
      <c r="A129" s="1719" t="s">
        <v>2119</v>
      </c>
      <c r="B129" s="1720" t="s">
        <v>2120</v>
      </c>
      <c r="C129" s="1721"/>
      <c r="D129" s="1722"/>
      <c r="E129" s="1723"/>
      <c r="F129" s="1722"/>
      <c r="G129" s="1724">
        <v>0.09</v>
      </c>
      <c r="H129" s="1723" t="s">
        <v>1116</v>
      </c>
      <c r="I129" s="1723"/>
      <c r="J129" s="1722"/>
      <c r="K129" s="1722"/>
      <c r="L129" s="1722"/>
      <c r="M129" s="1723">
        <v>1</v>
      </c>
      <c r="N129" s="1723">
        <v>0.1</v>
      </c>
      <c r="O129" s="1725"/>
      <c r="P129" s="1726">
        <v>5700</v>
      </c>
      <c r="Q129" s="1727" t="s">
        <v>1471</v>
      </c>
      <c r="R129" s="1726">
        <v>74000</v>
      </c>
      <c r="S129" s="1727" t="s">
        <v>1471</v>
      </c>
      <c r="T129" s="1727"/>
      <c r="U129" s="1728"/>
      <c r="V129" s="1727"/>
      <c r="W129" s="1728"/>
      <c r="X129" s="1726">
        <v>1800</v>
      </c>
      <c r="Y129" s="1729" t="s">
        <v>1471</v>
      </c>
      <c r="Z129" s="1728"/>
      <c r="AA129" s="1730">
        <v>0.6</v>
      </c>
      <c r="AB129" s="1731" t="s">
        <v>1471</v>
      </c>
      <c r="AC129" s="1732"/>
    </row>
    <row r="130" spans="1:29" ht="15">
      <c r="A130" s="1704" t="s">
        <v>2121</v>
      </c>
      <c r="B130" s="1705" t="s">
        <v>2122</v>
      </c>
      <c r="C130" s="1706"/>
      <c r="D130" s="1707"/>
      <c r="E130" s="1708"/>
      <c r="F130" s="1707"/>
      <c r="G130" s="1709">
        <v>0.1</v>
      </c>
      <c r="H130" s="1708" t="s">
        <v>1119</v>
      </c>
      <c r="I130" s="1709">
        <v>1.45E-4</v>
      </c>
      <c r="J130" s="1708" t="s">
        <v>1960</v>
      </c>
      <c r="K130" s="1708" t="s">
        <v>1127</v>
      </c>
      <c r="L130" s="1707"/>
      <c r="M130" s="1708">
        <v>1</v>
      </c>
      <c r="N130" s="1708"/>
      <c r="O130" s="1718">
        <v>2780</v>
      </c>
      <c r="P130" s="1711">
        <v>0.18</v>
      </c>
      <c r="Q130" s="1712" t="s">
        <v>1471</v>
      </c>
      <c r="R130" s="1711">
        <v>0.78</v>
      </c>
      <c r="S130" s="1712" t="s">
        <v>1471</v>
      </c>
      <c r="T130" s="1711">
        <v>0.15</v>
      </c>
      <c r="U130" s="1712" t="s">
        <v>1471</v>
      </c>
      <c r="V130" s="1711">
        <v>0.64</v>
      </c>
      <c r="W130" s="1712" t="s">
        <v>1471</v>
      </c>
      <c r="X130" s="1711">
        <v>0.3</v>
      </c>
      <c r="Y130" s="1714" t="s">
        <v>1471</v>
      </c>
      <c r="Z130" s="1712" t="s">
        <v>4133</v>
      </c>
      <c r="AA130" s="1715">
        <v>1.4999999999999999E-4</v>
      </c>
      <c r="AB130" s="1716" t="s">
        <v>1471</v>
      </c>
      <c r="AC130" s="1738">
        <v>2</v>
      </c>
    </row>
    <row r="131" spans="1:29" ht="15">
      <c r="A131" s="1704" t="s">
        <v>2123</v>
      </c>
      <c r="B131" s="1705" t="s">
        <v>2124</v>
      </c>
      <c r="C131" s="1706"/>
      <c r="D131" s="1707"/>
      <c r="E131" s="1708"/>
      <c r="F131" s="1707"/>
      <c r="G131" s="1709">
        <v>0.03</v>
      </c>
      <c r="H131" s="1708" t="s">
        <v>1119</v>
      </c>
      <c r="I131" s="1709">
        <v>2.0000000000000001E-4</v>
      </c>
      <c r="J131" s="1708" t="s">
        <v>1119</v>
      </c>
      <c r="K131" s="1708" t="s">
        <v>1127</v>
      </c>
      <c r="L131" s="1707"/>
      <c r="M131" s="1708">
        <v>1</v>
      </c>
      <c r="N131" s="1708"/>
      <c r="O131" s="1710"/>
      <c r="P131" s="1711">
        <v>2300</v>
      </c>
      <c r="Q131" s="1712" t="s">
        <v>1471</v>
      </c>
      <c r="R131" s="1711">
        <v>34000</v>
      </c>
      <c r="S131" s="1712" t="s">
        <v>1471</v>
      </c>
      <c r="T131" s="1711">
        <v>0.21</v>
      </c>
      <c r="U131" s="1712" t="s">
        <v>1471</v>
      </c>
      <c r="V131" s="1711">
        <v>0.88</v>
      </c>
      <c r="W131" s="1712" t="s">
        <v>1471</v>
      </c>
      <c r="X131" s="1711">
        <v>0.42</v>
      </c>
      <c r="Y131" s="1714" t="s">
        <v>1471</v>
      </c>
      <c r="Z131" s="1712" t="s">
        <v>4134</v>
      </c>
      <c r="AA131" s="1716"/>
      <c r="AB131" s="1734"/>
      <c r="AC131" s="1717"/>
    </row>
    <row r="132" spans="1:29" ht="30">
      <c r="A132" s="1719" t="s">
        <v>2126</v>
      </c>
      <c r="B132" s="1720" t="s">
        <v>2127</v>
      </c>
      <c r="C132" s="1721"/>
      <c r="D132" s="1722"/>
      <c r="E132" s="1723"/>
      <c r="F132" s="1722"/>
      <c r="G132" s="1724">
        <v>0.03</v>
      </c>
      <c r="H132" s="1723" t="s">
        <v>1119</v>
      </c>
      <c r="I132" s="1723"/>
      <c r="J132" s="1722"/>
      <c r="K132" s="1722"/>
      <c r="L132" s="1722"/>
      <c r="M132" s="1723">
        <v>1</v>
      </c>
      <c r="N132" s="1723"/>
      <c r="O132" s="1725"/>
      <c r="P132" s="1726">
        <v>2300</v>
      </c>
      <c r="Q132" s="1727" t="s">
        <v>1471</v>
      </c>
      <c r="R132" s="1726">
        <v>35000</v>
      </c>
      <c r="S132" s="1727" t="s">
        <v>1471</v>
      </c>
      <c r="T132" s="1727"/>
      <c r="U132" s="1728"/>
      <c r="V132" s="1727"/>
      <c r="W132" s="1728"/>
      <c r="X132" s="1726">
        <v>600</v>
      </c>
      <c r="Y132" s="1729" t="s">
        <v>1471</v>
      </c>
      <c r="Z132" s="1726">
        <v>1000</v>
      </c>
      <c r="AA132" s="1731"/>
      <c r="AB132" s="1740"/>
      <c r="AC132" s="1732"/>
    </row>
    <row r="133" spans="1:29" ht="30">
      <c r="A133" s="1704" t="s">
        <v>2128</v>
      </c>
      <c r="B133" s="1705" t="s">
        <v>2129</v>
      </c>
      <c r="C133" s="1706"/>
      <c r="D133" s="1707"/>
      <c r="E133" s="1708"/>
      <c r="F133" s="1707"/>
      <c r="G133" s="1708"/>
      <c r="H133" s="1707"/>
      <c r="I133" s="1709">
        <v>50</v>
      </c>
      <c r="J133" s="1708" t="s">
        <v>1119</v>
      </c>
      <c r="K133" s="1708" t="s">
        <v>1127</v>
      </c>
      <c r="L133" s="1707"/>
      <c r="M133" s="1708">
        <v>1</v>
      </c>
      <c r="N133" s="1708"/>
      <c r="O133" s="1718">
        <v>1150</v>
      </c>
      <c r="P133" s="1711">
        <v>54000</v>
      </c>
      <c r="Q133" s="1712" t="s">
        <v>4125</v>
      </c>
      <c r="R133" s="1711">
        <v>230000</v>
      </c>
      <c r="S133" s="1712" t="s">
        <v>4123</v>
      </c>
      <c r="T133" s="1711">
        <v>52000</v>
      </c>
      <c r="U133" s="1712" t="s">
        <v>1471</v>
      </c>
      <c r="V133" s="1711">
        <v>220000</v>
      </c>
      <c r="W133" s="1712" t="s">
        <v>1471</v>
      </c>
      <c r="X133" s="1711">
        <v>100000</v>
      </c>
      <c r="Y133" s="1714" t="s">
        <v>1471</v>
      </c>
      <c r="Z133" s="1713"/>
      <c r="AA133" s="1715">
        <v>52</v>
      </c>
      <c r="AB133" s="1716" t="s">
        <v>1471</v>
      </c>
      <c r="AC133" s="1717"/>
    </row>
    <row r="134" spans="1:29" ht="45">
      <c r="A134" s="1704" t="s">
        <v>2130</v>
      </c>
      <c r="B134" s="1705" t="s">
        <v>2131</v>
      </c>
      <c r="C134" s="1706"/>
      <c r="D134" s="1707"/>
      <c r="E134" s="1709">
        <v>2.9999999999999997E-4</v>
      </c>
      <c r="F134" s="1708" t="s">
        <v>1119</v>
      </c>
      <c r="G134" s="1709">
        <v>0.02</v>
      </c>
      <c r="H134" s="1708" t="s">
        <v>1073</v>
      </c>
      <c r="I134" s="1709">
        <v>0.02</v>
      </c>
      <c r="J134" s="1708" t="s">
        <v>1119</v>
      </c>
      <c r="K134" s="1708" t="s">
        <v>1127</v>
      </c>
      <c r="L134" s="1708" t="s">
        <v>1906</v>
      </c>
      <c r="M134" s="1708">
        <v>1</v>
      </c>
      <c r="N134" s="1708"/>
      <c r="O134" s="1718">
        <v>786</v>
      </c>
      <c r="P134" s="1711">
        <v>3.5999999999999999E-3</v>
      </c>
      <c r="Q134" s="1712" t="s">
        <v>4126</v>
      </c>
      <c r="R134" s="1711">
        <v>4.3999999999999997E-2</v>
      </c>
      <c r="S134" s="1712" t="s">
        <v>4126</v>
      </c>
      <c r="T134" s="1711">
        <v>3.3999999999999998E-3</v>
      </c>
      <c r="U134" s="1712" t="s">
        <v>4126</v>
      </c>
      <c r="V134" s="1711">
        <v>4.1000000000000002E-2</v>
      </c>
      <c r="W134" s="1712" t="s">
        <v>4126</v>
      </c>
      <c r="X134" s="1711">
        <v>6.7999999999999996E-3</v>
      </c>
      <c r="Y134" s="1714" t="s">
        <v>4126</v>
      </c>
      <c r="Z134" s="1713"/>
      <c r="AA134" s="1715">
        <v>3.5999999999999998E-6</v>
      </c>
      <c r="AB134" s="1716" t="s">
        <v>4126</v>
      </c>
      <c r="AC134" s="1717"/>
    </row>
    <row r="135" spans="1:29" ht="45">
      <c r="A135" s="1719" t="s">
        <v>2132</v>
      </c>
      <c r="B135" s="1720" t="s">
        <v>2133</v>
      </c>
      <c r="C135" s="1737">
        <v>0.46</v>
      </c>
      <c r="D135" s="1723" t="s">
        <v>1073</v>
      </c>
      <c r="E135" s="1723"/>
      <c r="F135" s="1722"/>
      <c r="G135" s="1723"/>
      <c r="H135" s="1722"/>
      <c r="I135" s="1723"/>
      <c r="J135" s="1722"/>
      <c r="K135" s="1722"/>
      <c r="L135" s="1722"/>
      <c r="M135" s="1723">
        <v>1</v>
      </c>
      <c r="N135" s="1723">
        <v>0.1</v>
      </c>
      <c r="O135" s="1725"/>
      <c r="P135" s="1726">
        <v>1.2</v>
      </c>
      <c r="Q135" s="1727" t="s">
        <v>4126</v>
      </c>
      <c r="R135" s="1726">
        <v>5</v>
      </c>
      <c r="S135" s="1727" t="s">
        <v>4126</v>
      </c>
      <c r="T135" s="1727"/>
      <c r="U135" s="1728"/>
      <c r="V135" s="1727"/>
      <c r="W135" s="1728"/>
      <c r="X135" s="1726">
        <v>0.17</v>
      </c>
      <c r="Y135" s="1729" t="s">
        <v>4126</v>
      </c>
      <c r="Z135" s="1728"/>
      <c r="AA135" s="1730">
        <v>1.4999999999999999E-4</v>
      </c>
      <c r="AB135" s="1731" t="s">
        <v>4126</v>
      </c>
      <c r="AC135" s="1732"/>
    </row>
    <row r="136" spans="1:29" ht="30">
      <c r="A136" s="1704" t="s">
        <v>2134</v>
      </c>
      <c r="B136" s="1705" t="s">
        <v>2135</v>
      </c>
      <c r="C136" s="1736">
        <v>0.1</v>
      </c>
      <c r="D136" s="1708" t="s">
        <v>1909</v>
      </c>
      <c r="E136" s="1709">
        <v>7.7000000000000001E-5</v>
      </c>
      <c r="F136" s="1708" t="s">
        <v>1900</v>
      </c>
      <c r="G136" s="1709">
        <v>3.0000000000000001E-3</v>
      </c>
      <c r="H136" s="1708" t="s">
        <v>1893</v>
      </c>
      <c r="I136" s="1708"/>
      <c r="J136" s="1707"/>
      <c r="K136" s="1707"/>
      <c r="L136" s="1707"/>
      <c r="M136" s="1708">
        <v>1</v>
      </c>
      <c r="N136" s="1708">
        <v>0.1</v>
      </c>
      <c r="O136" s="1710"/>
      <c r="P136" s="1711">
        <v>5.4</v>
      </c>
      <c r="Q136" s="1712" t="s">
        <v>4127</v>
      </c>
      <c r="R136" s="1711">
        <v>23</v>
      </c>
      <c r="S136" s="1712" t="s">
        <v>4126</v>
      </c>
      <c r="T136" s="1711">
        <v>3.5999999999999997E-2</v>
      </c>
      <c r="U136" s="1712" t="s">
        <v>4126</v>
      </c>
      <c r="V136" s="1711">
        <v>0.16</v>
      </c>
      <c r="W136" s="1712" t="s">
        <v>4126</v>
      </c>
      <c r="X136" s="1711">
        <v>0.7</v>
      </c>
      <c r="Y136" s="1714" t="s">
        <v>4127</v>
      </c>
      <c r="Z136" s="1713"/>
      <c r="AA136" s="1715">
        <v>4.0000000000000002E-4</v>
      </c>
      <c r="AB136" s="1716" t="s">
        <v>4127</v>
      </c>
      <c r="AC136" s="1717"/>
    </row>
    <row r="137" spans="1:29" ht="30">
      <c r="A137" s="1704" t="s">
        <v>2136</v>
      </c>
      <c r="B137" s="1705" t="s">
        <v>2137</v>
      </c>
      <c r="C137" s="1736">
        <v>0.27</v>
      </c>
      <c r="D137" s="1708" t="s">
        <v>1893</v>
      </c>
      <c r="E137" s="1708"/>
      <c r="F137" s="1707"/>
      <c r="G137" s="1708"/>
      <c r="H137" s="1707"/>
      <c r="I137" s="1708"/>
      <c r="J137" s="1707"/>
      <c r="K137" s="1708" t="s">
        <v>1127</v>
      </c>
      <c r="L137" s="1707"/>
      <c r="M137" s="1708">
        <v>1</v>
      </c>
      <c r="N137" s="1708"/>
      <c r="O137" s="1718">
        <v>11800</v>
      </c>
      <c r="P137" s="1711">
        <v>2.6</v>
      </c>
      <c r="Q137" s="1712" t="s">
        <v>4126</v>
      </c>
      <c r="R137" s="1711">
        <v>12</v>
      </c>
      <c r="S137" s="1712" t="s">
        <v>4126</v>
      </c>
      <c r="T137" s="1712"/>
      <c r="U137" s="1713"/>
      <c r="V137" s="1712"/>
      <c r="W137" s="1713"/>
      <c r="X137" s="1711">
        <v>0.28999999999999998</v>
      </c>
      <c r="Y137" s="1714" t="s">
        <v>4126</v>
      </c>
      <c r="Z137" s="1713"/>
      <c r="AA137" s="1715">
        <v>5.8E-5</v>
      </c>
      <c r="AB137" s="1716" t="s">
        <v>4126</v>
      </c>
      <c r="AC137" s="1717"/>
    </row>
    <row r="138" spans="1:29" ht="30">
      <c r="A138" s="1719" t="s">
        <v>2138</v>
      </c>
      <c r="B138" s="1720" t="s">
        <v>2139</v>
      </c>
      <c r="C138" s="1721"/>
      <c r="D138" s="1722"/>
      <c r="E138" s="1723"/>
      <c r="F138" s="1722"/>
      <c r="G138" s="1724">
        <v>3.5000000000000001E-3</v>
      </c>
      <c r="H138" s="1723" t="s">
        <v>1900</v>
      </c>
      <c r="I138" s="1723"/>
      <c r="J138" s="1722"/>
      <c r="K138" s="1722"/>
      <c r="L138" s="1722"/>
      <c r="M138" s="1723">
        <v>1</v>
      </c>
      <c r="N138" s="1723">
        <v>0.1</v>
      </c>
      <c r="O138" s="1725"/>
      <c r="P138" s="1726">
        <v>220</v>
      </c>
      <c r="Q138" s="1727" t="s">
        <v>1471</v>
      </c>
      <c r="R138" s="1726">
        <v>2900</v>
      </c>
      <c r="S138" s="1727" t="s">
        <v>1471</v>
      </c>
      <c r="T138" s="1727"/>
      <c r="U138" s="1728"/>
      <c r="V138" s="1727"/>
      <c r="W138" s="1728"/>
      <c r="X138" s="1726">
        <v>70</v>
      </c>
      <c r="Y138" s="1729" t="s">
        <v>1471</v>
      </c>
      <c r="Z138" s="1727" t="s">
        <v>4131</v>
      </c>
      <c r="AA138" s="1730">
        <v>1.4E-2</v>
      </c>
      <c r="AB138" s="1731" t="s">
        <v>1471</v>
      </c>
      <c r="AC138" s="1739">
        <v>1.2E-2</v>
      </c>
    </row>
    <row r="139" spans="1:29" ht="30">
      <c r="A139" s="1704" t="s">
        <v>2140</v>
      </c>
      <c r="B139" s="1705" t="s">
        <v>2141</v>
      </c>
      <c r="C139" s="1706"/>
      <c r="D139" s="1707"/>
      <c r="E139" s="1708"/>
      <c r="F139" s="1707"/>
      <c r="G139" s="1708"/>
      <c r="H139" s="1707"/>
      <c r="I139" s="1709">
        <v>3.0000000000000001E-5</v>
      </c>
      <c r="J139" s="1708" t="s">
        <v>1119</v>
      </c>
      <c r="K139" s="1707"/>
      <c r="L139" s="1707"/>
      <c r="M139" s="1708">
        <v>1</v>
      </c>
      <c r="N139" s="1708">
        <v>0.1</v>
      </c>
      <c r="O139" s="1710"/>
      <c r="P139" s="1711">
        <v>43000</v>
      </c>
      <c r="Q139" s="1712" t="s">
        <v>1471</v>
      </c>
      <c r="R139" s="1711">
        <v>180000</v>
      </c>
      <c r="S139" s="1712" t="s">
        <v>4124</v>
      </c>
      <c r="T139" s="1711">
        <v>3.1E-2</v>
      </c>
      <c r="U139" s="1712" t="s">
        <v>1471</v>
      </c>
      <c r="V139" s="1711">
        <v>0.13</v>
      </c>
      <c r="W139" s="1712" t="s">
        <v>1471</v>
      </c>
      <c r="X139" s="1712"/>
      <c r="Y139" s="1733"/>
      <c r="Z139" s="1713"/>
      <c r="AA139" s="1716"/>
      <c r="AB139" s="1734"/>
      <c r="AC139" s="1717"/>
    </row>
    <row r="140" spans="1:29" ht="15">
      <c r="A140" s="1704" t="s">
        <v>122</v>
      </c>
      <c r="B140" s="1705" t="s">
        <v>2142</v>
      </c>
      <c r="C140" s="1736">
        <v>0.2</v>
      </c>
      <c r="D140" s="1708" t="s">
        <v>1909</v>
      </c>
      <c r="E140" s="1708"/>
      <c r="F140" s="1707"/>
      <c r="G140" s="1709">
        <v>5.0000000000000001E-4</v>
      </c>
      <c r="H140" s="1708" t="s">
        <v>1909</v>
      </c>
      <c r="I140" s="1708"/>
      <c r="J140" s="1707"/>
      <c r="K140" s="1707"/>
      <c r="L140" s="1707"/>
      <c r="M140" s="1708">
        <v>1</v>
      </c>
      <c r="N140" s="1708">
        <v>0.1</v>
      </c>
      <c r="O140" s="1710"/>
      <c r="P140" s="1711">
        <v>2.7</v>
      </c>
      <c r="Q140" s="1712" t="s">
        <v>4127</v>
      </c>
      <c r="R140" s="1711">
        <v>11</v>
      </c>
      <c r="S140" s="1712" t="s">
        <v>4127</v>
      </c>
      <c r="T140" s="1712"/>
      <c r="U140" s="1713"/>
      <c r="V140" s="1712"/>
      <c r="W140" s="1713"/>
      <c r="X140" s="1711">
        <v>0.37</v>
      </c>
      <c r="Y140" s="1714" t="s">
        <v>4127</v>
      </c>
      <c r="Z140" s="1713"/>
      <c r="AA140" s="1715">
        <v>1.6000000000000001E-4</v>
      </c>
      <c r="AB140" s="1716" t="s">
        <v>4127</v>
      </c>
      <c r="AC140" s="1717"/>
    </row>
    <row r="141" spans="1:29" ht="15">
      <c r="A141" s="1719" t="s">
        <v>124</v>
      </c>
      <c r="B141" s="1720" t="s">
        <v>123</v>
      </c>
      <c r="C141" s="1721"/>
      <c r="D141" s="1722"/>
      <c r="E141" s="1723"/>
      <c r="F141" s="1722"/>
      <c r="G141" s="1724">
        <v>0.02</v>
      </c>
      <c r="H141" s="1723" t="s">
        <v>1119</v>
      </c>
      <c r="I141" s="1724">
        <v>0.05</v>
      </c>
      <c r="J141" s="1723" t="s">
        <v>1909</v>
      </c>
      <c r="K141" s="1723" t="s">
        <v>1127</v>
      </c>
      <c r="L141" s="1722"/>
      <c r="M141" s="1723">
        <v>1</v>
      </c>
      <c r="N141" s="1723"/>
      <c r="O141" s="1735">
        <v>761</v>
      </c>
      <c r="P141" s="1726">
        <v>280</v>
      </c>
      <c r="Q141" s="1727" t="s">
        <v>1471</v>
      </c>
      <c r="R141" s="1726">
        <v>1300</v>
      </c>
      <c r="S141" s="1727" t="s">
        <v>4125</v>
      </c>
      <c r="T141" s="1726">
        <v>52</v>
      </c>
      <c r="U141" s="1727" t="s">
        <v>1471</v>
      </c>
      <c r="V141" s="1726">
        <v>220</v>
      </c>
      <c r="W141" s="1727" t="s">
        <v>1471</v>
      </c>
      <c r="X141" s="1726">
        <v>78</v>
      </c>
      <c r="Y141" s="1729" t="s">
        <v>1471</v>
      </c>
      <c r="Z141" s="1726">
        <v>100</v>
      </c>
      <c r="AA141" s="1730">
        <v>5.2999999999999999E-2</v>
      </c>
      <c r="AB141" s="1731" t="s">
        <v>1471</v>
      </c>
      <c r="AC141" s="1739">
        <v>6.8000000000000005E-2</v>
      </c>
    </row>
    <row r="142" spans="1:29" ht="30">
      <c r="A142" s="1704" t="s">
        <v>2143</v>
      </c>
      <c r="B142" s="1705" t="s">
        <v>2144</v>
      </c>
      <c r="C142" s="1706"/>
      <c r="D142" s="1707"/>
      <c r="E142" s="1708"/>
      <c r="F142" s="1707"/>
      <c r="G142" s="1709">
        <v>0.1</v>
      </c>
      <c r="H142" s="1708" t="s">
        <v>1893</v>
      </c>
      <c r="I142" s="1708"/>
      <c r="J142" s="1707"/>
      <c r="K142" s="1707"/>
      <c r="L142" s="1707"/>
      <c r="M142" s="1708">
        <v>1</v>
      </c>
      <c r="N142" s="1708">
        <v>0.1</v>
      </c>
      <c r="O142" s="1710"/>
      <c r="P142" s="1711">
        <v>6300</v>
      </c>
      <c r="Q142" s="1712" t="s">
        <v>1471</v>
      </c>
      <c r="R142" s="1711">
        <v>82000</v>
      </c>
      <c r="S142" s="1712" t="s">
        <v>1471</v>
      </c>
      <c r="T142" s="1712"/>
      <c r="U142" s="1713"/>
      <c r="V142" s="1712"/>
      <c r="W142" s="1713"/>
      <c r="X142" s="1711">
        <v>2000</v>
      </c>
      <c r="Y142" s="1714" t="s">
        <v>1471</v>
      </c>
      <c r="Z142" s="1713"/>
      <c r="AA142" s="1715">
        <v>0.47</v>
      </c>
      <c r="AB142" s="1716" t="s">
        <v>1471</v>
      </c>
      <c r="AC142" s="1717"/>
    </row>
    <row r="143" spans="1:29" ht="15">
      <c r="A143" s="1704" t="s">
        <v>2145</v>
      </c>
      <c r="B143" s="1705" t="s">
        <v>2146</v>
      </c>
      <c r="C143" s="1736">
        <v>0.11</v>
      </c>
      <c r="D143" s="1708" t="s">
        <v>1900</v>
      </c>
      <c r="E143" s="1709">
        <v>3.1000000000000001E-5</v>
      </c>
      <c r="F143" s="1708" t="s">
        <v>1900</v>
      </c>
      <c r="G143" s="1709">
        <v>0.02</v>
      </c>
      <c r="H143" s="1708" t="s">
        <v>1119</v>
      </c>
      <c r="I143" s="1708"/>
      <c r="J143" s="1707"/>
      <c r="K143" s="1707"/>
      <c r="L143" s="1707"/>
      <c r="M143" s="1708">
        <v>1</v>
      </c>
      <c r="N143" s="1708">
        <v>0.1</v>
      </c>
      <c r="O143" s="1710"/>
      <c r="P143" s="1711">
        <v>4.9000000000000004</v>
      </c>
      <c r="Q143" s="1712" t="s">
        <v>4126</v>
      </c>
      <c r="R143" s="1711">
        <v>21</v>
      </c>
      <c r="S143" s="1712" t="s">
        <v>4126</v>
      </c>
      <c r="T143" s="1711">
        <v>9.0999999999999998E-2</v>
      </c>
      <c r="U143" s="1712" t="s">
        <v>4126</v>
      </c>
      <c r="V143" s="1711">
        <v>0.4</v>
      </c>
      <c r="W143" s="1712" t="s">
        <v>4126</v>
      </c>
      <c r="X143" s="1711">
        <v>0.31</v>
      </c>
      <c r="Y143" s="1714" t="s">
        <v>4126</v>
      </c>
      <c r="Z143" s="1713"/>
      <c r="AA143" s="1715">
        <v>1E-3</v>
      </c>
      <c r="AB143" s="1716" t="s">
        <v>4126</v>
      </c>
      <c r="AC143" s="1717"/>
    </row>
    <row r="144" spans="1:29" ht="30">
      <c r="A144" s="1719" t="s">
        <v>2147</v>
      </c>
      <c r="B144" s="1720" t="s">
        <v>2148</v>
      </c>
      <c r="C144" s="1721"/>
      <c r="D144" s="1722"/>
      <c r="E144" s="1723"/>
      <c r="F144" s="1722"/>
      <c r="G144" s="1724">
        <v>0.03</v>
      </c>
      <c r="H144" s="1723" t="s">
        <v>1893</v>
      </c>
      <c r="I144" s="1723"/>
      <c r="J144" s="1722"/>
      <c r="K144" s="1722"/>
      <c r="L144" s="1722"/>
      <c r="M144" s="1723">
        <v>1</v>
      </c>
      <c r="N144" s="1723">
        <v>0.1</v>
      </c>
      <c r="O144" s="1725"/>
      <c r="P144" s="1726">
        <v>1900</v>
      </c>
      <c r="Q144" s="1727" t="s">
        <v>1471</v>
      </c>
      <c r="R144" s="1726">
        <v>25000</v>
      </c>
      <c r="S144" s="1727" t="s">
        <v>1471</v>
      </c>
      <c r="T144" s="1727"/>
      <c r="U144" s="1728"/>
      <c r="V144" s="1727"/>
      <c r="W144" s="1728"/>
      <c r="X144" s="1726">
        <v>510</v>
      </c>
      <c r="Y144" s="1729" t="s">
        <v>1471</v>
      </c>
      <c r="Z144" s="1728"/>
      <c r="AA144" s="1730">
        <v>0.13</v>
      </c>
      <c r="AB144" s="1731" t="s">
        <v>1471</v>
      </c>
      <c r="AC144" s="1732"/>
    </row>
    <row r="145" spans="1:29" ht="30">
      <c r="A145" s="1704" t="s">
        <v>2149</v>
      </c>
      <c r="B145" s="1705" t="s">
        <v>2150</v>
      </c>
      <c r="C145" s="1706"/>
      <c r="D145" s="1707"/>
      <c r="E145" s="1709">
        <v>8.6000000000000007E-6</v>
      </c>
      <c r="F145" s="1708" t="s">
        <v>1900</v>
      </c>
      <c r="G145" s="1709">
        <v>3.0000000000000001E-3</v>
      </c>
      <c r="H145" s="1708" t="s">
        <v>1909</v>
      </c>
      <c r="I145" s="1709">
        <v>0.3</v>
      </c>
      <c r="J145" s="1708" t="s">
        <v>1909</v>
      </c>
      <c r="K145" s="1708" t="s">
        <v>1127</v>
      </c>
      <c r="L145" s="1707"/>
      <c r="M145" s="1708">
        <v>1</v>
      </c>
      <c r="N145" s="1708"/>
      <c r="O145" s="1718">
        <v>290</v>
      </c>
      <c r="P145" s="1711">
        <v>2.2000000000000002</v>
      </c>
      <c r="Q145" s="1712" t="s">
        <v>4127</v>
      </c>
      <c r="R145" s="1711">
        <v>9.6</v>
      </c>
      <c r="S145" s="1712" t="s">
        <v>4126</v>
      </c>
      <c r="T145" s="1711">
        <v>0.33</v>
      </c>
      <c r="U145" s="1712" t="s">
        <v>4126</v>
      </c>
      <c r="V145" s="1711">
        <v>1.4</v>
      </c>
      <c r="W145" s="1712" t="s">
        <v>4126</v>
      </c>
      <c r="X145" s="1711">
        <v>0.65</v>
      </c>
      <c r="Y145" s="1714" t="s">
        <v>4127</v>
      </c>
      <c r="Z145" s="1713"/>
      <c r="AA145" s="1715">
        <v>2.3E-3</v>
      </c>
      <c r="AB145" s="1716" t="s">
        <v>4127</v>
      </c>
      <c r="AC145" s="1717"/>
    </row>
    <row r="146" spans="1:29" ht="15">
      <c r="A146" s="1704" t="s">
        <v>2151</v>
      </c>
      <c r="B146" s="1705" t="s">
        <v>2152</v>
      </c>
      <c r="C146" s="1706"/>
      <c r="D146" s="1707"/>
      <c r="E146" s="1708"/>
      <c r="F146" s="1707"/>
      <c r="G146" s="1709">
        <v>0.04</v>
      </c>
      <c r="H146" s="1708" t="s">
        <v>1909</v>
      </c>
      <c r="I146" s="1708"/>
      <c r="J146" s="1707"/>
      <c r="K146" s="1708" t="s">
        <v>1127</v>
      </c>
      <c r="L146" s="1707"/>
      <c r="M146" s="1708">
        <v>1</v>
      </c>
      <c r="N146" s="1708"/>
      <c r="O146" s="1718">
        <v>728</v>
      </c>
      <c r="P146" s="1711">
        <v>3100</v>
      </c>
      <c r="Q146" s="1712" t="s">
        <v>4125</v>
      </c>
      <c r="R146" s="1711">
        <v>47000</v>
      </c>
      <c r="S146" s="1712" t="s">
        <v>4125</v>
      </c>
      <c r="T146" s="1712"/>
      <c r="U146" s="1713"/>
      <c r="V146" s="1712"/>
      <c r="W146" s="1713"/>
      <c r="X146" s="1711">
        <v>640</v>
      </c>
      <c r="Y146" s="1714" t="s">
        <v>1471</v>
      </c>
      <c r="Z146" s="1713"/>
      <c r="AA146" s="1715">
        <v>0.26</v>
      </c>
      <c r="AB146" s="1716" t="s">
        <v>1471</v>
      </c>
      <c r="AC146" s="1717"/>
    </row>
    <row r="147" spans="1:29" ht="30">
      <c r="A147" s="1719" t="s">
        <v>2153</v>
      </c>
      <c r="B147" s="1720" t="s">
        <v>2154</v>
      </c>
      <c r="C147" s="1721"/>
      <c r="D147" s="1722"/>
      <c r="E147" s="1723"/>
      <c r="F147" s="1722"/>
      <c r="G147" s="1723"/>
      <c r="H147" s="1722"/>
      <c r="I147" s="1724">
        <v>50</v>
      </c>
      <c r="J147" s="1723" t="s">
        <v>1119</v>
      </c>
      <c r="K147" s="1723" t="s">
        <v>1127</v>
      </c>
      <c r="L147" s="1722"/>
      <c r="M147" s="1723">
        <v>1</v>
      </c>
      <c r="N147" s="1723"/>
      <c r="O147" s="1735">
        <v>1680</v>
      </c>
      <c r="P147" s="1726">
        <v>49000</v>
      </c>
      <c r="Q147" s="1727" t="s">
        <v>4125</v>
      </c>
      <c r="R147" s="1726">
        <v>210000</v>
      </c>
      <c r="S147" s="1727" t="s">
        <v>4123</v>
      </c>
      <c r="T147" s="1726">
        <v>52000</v>
      </c>
      <c r="U147" s="1727" t="s">
        <v>1471</v>
      </c>
      <c r="V147" s="1726">
        <v>220000</v>
      </c>
      <c r="W147" s="1727" t="s">
        <v>1471</v>
      </c>
      <c r="X147" s="1726">
        <v>100000</v>
      </c>
      <c r="Y147" s="1729" t="s">
        <v>1471</v>
      </c>
      <c r="Z147" s="1728"/>
      <c r="AA147" s="1730">
        <v>43</v>
      </c>
      <c r="AB147" s="1731" t="s">
        <v>1471</v>
      </c>
      <c r="AC147" s="1732"/>
    </row>
    <row r="148" spans="1:29" ht="15">
      <c r="A148" s="1704" t="s">
        <v>2155</v>
      </c>
      <c r="B148" s="1705" t="s">
        <v>2156</v>
      </c>
      <c r="C148" s="1706"/>
      <c r="D148" s="1707"/>
      <c r="E148" s="1708"/>
      <c r="F148" s="1707"/>
      <c r="G148" s="1709">
        <v>0.02</v>
      </c>
      <c r="H148" s="1708" t="s">
        <v>1909</v>
      </c>
      <c r="I148" s="1708"/>
      <c r="J148" s="1707"/>
      <c r="K148" s="1708" t="s">
        <v>1127</v>
      </c>
      <c r="L148" s="1707"/>
      <c r="M148" s="1708">
        <v>1</v>
      </c>
      <c r="N148" s="1708"/>
      <c r="O148" s="1718">
        <v>111000</v>
      </c>
      <c r="P148" s="1711">
        <v>1600</v>
      </c>
      <c r="Q148" s="1712" t="s">
        <v>1471</v>
      </c>
      <c r="R148" s="1711">
        <v>23000</v>
      </c>
      <c r="S148" s="1712" t="s">
        <v>1471</v>
      </c>
      <c r="T148" s="1712"/>
      <c r="U148" s="1713"/>
      <c r="V148" s="1712"/>
      <c r="W148" s="1713"/>
      <c r="X148" s="1711">
        <v>400</v>
      </c>
      <c r="Y148" s="1714" t="s">
        <v>1471</v>
      </c>
      <c r="Z148" s="1713"/>
      <c r="AA148" s="1715">
        <v>8.1000000000000003E-2</v>
      </c>
      <c r="AB148" s="1716" t="s">
        <v>1471</v>
      </c>
      <c r="AC148" s="1717"/>
    </row>
    <row r="149" spans="1:29" ht="15">
      <c r="A149" s="1704" t="s">
        <v>128</v>
      </c>
      <c r="B149" s="1705" t="s">
        <v>127</v>
      </c>
      <c r="C149" s="1736">
        <v>3.1E-2</v>
      </c>
      <c r="D149" s="1708" t="s">
        <v>1900</v>
      </c>
      <c r="E149" s="1709">
        <v>2.3E-5</v>
      </c>
      <c r="F149" s="1708" t="s">
        <v>1119</v>
      </c>
      <c r="G149" s="1709">
        <v>0.01</v>
      </c>
      <c r="H149" s="1708" t="s">
        <v>1119</v>
      </c>
      <c r="I149" s="1709">
        <v>1.9499999999999999E-3</v>
      </c>
      <c r="J149" s="1708" t="s">
        <v>1912</v>
      </c>
      <c r="K149" s="1708" t="s">
        <v>1127</v>
      </c>
      <c r="L149" s="1707"/>
      <c r="M149" s="1708">
        <v>1</v>
      </c>
      <c r="N149" s="1708"/>
      <c r="O149" s="1718">
        <v>2540</v>
      </c>
      <c r="P149" s="1711">
        <v>0.32</v>
      </c>
      <c r="Q149" s="1712" t="s">
        <v>4127</v>
      </c>
      <c r="R149" s="1711">
        <v>1.4</v>
      </c>
      <c r="S149" s="1712" t="s">
        <v>4127</v>
      </c>
      <c r="T149" s="1711">
        <v>0.12</v>
      </c>
      <c r="U149" s="1712" t="s">
        <v>4127</v>
      </c>
      <c r="V149" s="1711">
        <v>0.53</v>
      </c>
      <c r="W149" s="1712" t="s">
        <v>4127</v>
      </c>
      <c r="X149" s="1711">
        <v>0.22</v>
      </c>
      <c r="Y149" s="1714" t="s">
        <v>4127</v>
      </c>
      <c r="Z149" s="1712" t="s">
        <v>4132</v>
      </c>
      <c r="AA149" s="1715">
        <v>6.0999999999999999E-5</v>
      </c>
      <c r="AB149" s="1716" t="s">
        <v>4127</v>
      </c>
      <c r="AC149" s="1738">
        <v>2.1999999999999999E-2</v>
      </c>
    </row>
    <row r="150" spans="1:29" ht="15">
      <c r="A150" s="1719" t="s">
        <v>130</v>
      </c>
      <c r="B150" s="1720" t="s">
        <v>129</v>
      </c>
      <c r="C150" s="1721"/>
      <c r="D150" s="1722"/>
      <c r="E150" s="1723"/>
      <c r="F150" s="1722"/>
      <c r="G150" s="1723"/>
      <c r="H150" s="1722"/>
      <c r="I150" s="1724">
        <v>0.09</v>
      </c>
      <c r="J150" s="1723" t="s">
        <v>1119</v>
      </c>
      <c r="K150" s="1723" t="s">
        <v>1127</v>
      </c>
      <c r="L150" s="1722"/>
      <c r="M150" s="1723">
        <v>1</v>
      </c>
      <c r="N150" s="1723"/>
      <c r="O150" s="1735">
        <v>1320</v>
      </c>
      <c r="P150" s="1726">
        <v>110</v>
      </c>
      <c r="Q150" s="1727" t="s">
        <v>1471</v>
      </c>
      <c r="R150" s="1726">
        <v>460</v>
      </c>
      <c r="S150" s="1727" t="s">
        <v>1471</v>
      </c>
      <c r="T150" s="1726">
        <v>94</v>
      </c>
      <c r="U150" s="1727" t="s">
        <v>1471</v>
      </c>
      <c r="V150" s="1726">
        <v>390</v>
      </c>
      <c r="W150" s="1727" t="s">
        <v>1471</v>
      </c>
      <c r="X150" s="1726">
        <v>190</v>
      </c>
      <c r="Y150" s="1729" t="s">
        <v>1471</v>
      </c>
      <c r="Z150" s="1728"/>
      <c r="AA150" s="1730">
        <v>4.9000000000000002E-2</v>
      </c>
      <c r="AB150" s="1731" t="s">
        <v>1471</v>
      </c>
      <c r="AC150" s="1732"/>
    </row>
    <row r="151" spans="1:29" ht="30">
      <c r="A151" s="1704" t="s">
        <v>2157</v>
      </c>
      <c r="B151" s="1705" t="s">
        <v>2158</v>
      </c>
      <c r="C151" s="1736">
        <v>2.4</v>
      </c>
      <c r="D151" s="1708" t="s">
        <v>1900</v>
      </c>
      <c r="E151" s="1709">
        <v>6.8999999999999997E-4</v>
      </c>
      <c r="F151" s="1708" t="s">
        <v>1900</v>
      </c>
      <c r="G151" s="1708"/>
      <c r="H151" s="1707"/>
      <c r="I151" s="1708"/>
      <c r="J151" s="1707"/>
      <c r="K151" s="1708" t="s">
        <v>1127</v>
      </c>
      <c r="L151" s="1707"/>
      <c r="M151" s="1708">
        <v>1</v>
      </c>
      <c r="N151" s="1708"/>
      <c r="O151" s="1718">
        <v>9320</v>
      </c>
      <c r="P151" s="1711">
        <v>0.02</v>
      </c>
      <c r="Q151" s="1712" t="s">
        <v>4126</v>
      </c>
      <c r="R151" s="1711">
        <v>8.8999999999999996E-2</v>
      </c>
      <c r="S151" s="1712" t="s">
        <v>4126</v>
      </c>
      <c r="T151" s="1711">
        <v>4.1000000000000003E-3</v>
      </c>
      <c r="U151" s="1712" t="s">
        <v>4126</v>
      </c>
      <c r="V151" s="1711">
        <v>1.7999999999999999E-2</v>
      </c>
      <c r="W151" s="1712" t="s">
        <v>4126</v>
      </c>
      <c r="X151" s="1711">
        <v>6.4999999999999997E-3</v>
      </c>
      <c r="Y151" s="1714" t="s">
        <v>4126</v>
      </c>
      <c r="Z151" s="1713"/>
      <c r="AA151" s="1715">
        <v>1.3999999999999999E-6</v>
      </c>
      <c r="AB151" s="1716" t="s">
        <v>4126</v>
      </c>
      <c r="AC151" s="1717"/>
    </row>
    <row r="152" spans="1:29" ht="30">
      <c r="A152" s="1704" t="s">
        <v>2159</v>
      </c>
      <c r="B152" s="1705" t="s">
        <v>2160</v>
      </c>
      <c r="C152" s="1736">
        <v>0.3</v>
      </c>
      <c r="D152" s="1708" t="s">
        <v>1909</v>
      </c>
      <c r="E152" s="1708"/>
      <c r="F152" s="1707"/>
      <c r="G152" s="1709">
        <v>3.0000000000000001E-3</v>
      </c>
      <c r="H152" s="1708" t="s">
        <v>1909</v>
      </c>
      <c r="I152" s="1709">
        <v>1.0000000000000001E-5</v>
      </c>
      <c r="J152" s="1708" t="s">
        <v>1893</v>
      </c>
      <c r="K152" s="1707"/>
      <c r="L152" s="1707"/>
      <c r="M152" s="1708">
        <v>1</v>
      </c>
      <c r="N152" s="1708">
        <v>0.1</v>
      </c>
      <c r="O152" s="1710"/>
      <c r="P152" s="1711">
        <v>1.8</v>
      </c>
      <c r="Q152" s="1712" t="s">
        <v>4126</v>
      </c>
      <c r="R152" s="1711">
        <v>7.7</v>
      </c>
      <c r="S152" s="1712" t="s">
        <v>4126</v>
      </c>
      <c r="T152" s="1711">
        <v>0.01</v>
      </c>
      <c r="U152" s="1712" t="s">
        <v>1471</v>
      </c>
      <c r="V152" s="1711">
        <v>4.3999999999999997E-2</v>
      </c>
      <c r="W152" s="1712" t="s">
        <v>1471</v>
      </c>
      <c r="X152" s="1711">
        <v>0.24</v>
      </c>
      <c r="Y152" s="1714" t="s">
        <v>4126</v>
      </c>
      <c r="Z152" s="1713"/>
      <c r="AA152" s="1715">
        <v>2.2000000000000001E-4</v>
      </c>
      <c r="AB152" s="1716" t="s">
        <v>4126</v>
      </c>
      <c r="AC152" s="1717"/>
    </row>
    <row r="153" spans="1:29" ht="30">
      <c r="A153" s="1719" t="s">
        <v>2161</v>
      </c>
      <c r="B153" s="1720" t="s">
        <v>2162</v>
      </c>
      <c r="C153" s="1737">
        <v>0.06</v>
      </c>
      <c r="D153" s="1723" t="s">
        <v>1909</v>
      </c>
      <c r="E153" s="1723"/>
      <c r="F153" s="1722"/>
      <c r="G153" s="1724">
        <v>6.9999999999999999E-4</v>
      </c>
      <c r="H153" s="1723" t="s">
        <v>1909</v>
      </c>
      <c r="I153" s="1724">
        <v>2E-3</v>
      </c>
      <c r="J153" s="1723" t="s">
        <v>1909</v>
      </c>
      <c r="K153" s="1722"/>
      <c r="L153" s="1722"/>
      <c r="M153" s="1723">
        <v>1</v>
      </c>
      <c r="N153" s="1723">
        <v>0.1</v>
      </c>
      <c r="O153" s="1725"/>
      <c r="P153" s="1726">
        <v>9</v>
      </c>
      <c r="Q153" s="1727" t="s">
        <v>4122</v>
      </c>
      <c r="R153" s="1726">
        <v>38</v>
      </c>
      <c r="S153" s="1727" t="s">
        <v>4127</v>
      </c>
      <c r="T153" s="1726">
        <v>2.1</v>
      </c>
      <c r="U153" s="1727" t="s">
        <v>1471</v>
      </c>
      <c r="V153" s="1726">
        <v>8.8000000000000007</v>
      </c>
      <c r="W153" s="1727" t="s">
        <v>1471</v>
      </c>
      <c r="X153" s="1726">
        <v>1.2</v>
      </c>
      <c r="Y153" s="1729" t="s">
        <v>4127</v>
      </c>
      <c r="Z153" s="1728"/>
      <c r="AA153" s="1730">
        <v>1.1000000000000001E-3</v>
      </c>
      <c r="AB153" s="1731" t="s">
        <v>4127</v>
      </c>
      <c r="AC153" s="1732"/>
    </row>
    <row r="154" spans="1:29" ht="15">
      <c r="A154" s="1704" t="s">
        <v>132</v>
      </c>
      <c r="B154" s="1705" t="s">
        <v>2163</v>
      </c>
      <c r="C154" s="1706"/>
      <c r="D154" s="1707"/>
      <c r="E154" s="1708"/>
      <c r="F154" s="1707"/>
      <c r="G154" s="1709">
        <v>5.0000000000000001E-3</v>
      </c>
      <c r="H154" s="1708" t="s">
        <v>1119</v>
      </c>
      <c r="I154" s="1708"/>
      <c r="J154" s="1707"/>
      <c r="K154" s="1708" t="s">
        <v>1127</v>
      </c>
      <c r="L154" s="1707"/>
      <c r="M154" s="1708">
        <v>1</v>
      </c>
      <c r="N154" s="1708"/>
      <c r="O154" s="1718">
        <v>27400</v>
      </c>
      <c r="P154" s="1711">
        <v>390</v>
      </c>
      <c r="Q154" s="1712" t="s">
        <v>1471</v>
      </c>
      <c r="R154" s="1711">
        <v>5800</v>
      </c>
      <c r="S154" s="1712" t="s">
        <v>1471</v>
      </c>
      <c r="T154" s="1712"/>
      <c r="U154" s="1713"/>
      <c r="V154" s="1712"/>
      <c r="W154" s="1713"/>
      <c r="X154" s="1711">
        <v>91</v>
      </c>
      <c r="Y154" s="1714" t="s">
        <v>1471</v>
      </c>
      <c r="Z154" s="1713"/>
      <c r="AA154" s="1715">
        <v>8.8999999999999996E-2</v>
      </c>
      <c r="AB154" s="1716" t="s">
        <v>1471</v>
      </c>
      <c r="AC154" s="1717"/>
    </row>
    <row r="155" spans="1:29" ht="15">
      <c r="A155" s="1704" t="s">
        <v>2164</v>
      </c>
      <c r="B155" s="1705" t="s">
        <v>2165</v>
      </c>
      <c r="C155" s="1706"/>
      <c r="D155" s="1707"/>
      <c r="E155" s="1708"/>
      <c r="F155" s="1707"/>
      <c r="G155" s="1708"/>
      <c r="H155" s="1707"/>
      <c r="I155" s="1709">
        <v>4.0000000000000002E-4</v>
      </c>
      <c r="J155" s="1708" t="s">
        <v>1900</v>
      </c>
      <c r="K155" s="1708" t="s">
        <v>1127</v>
      </c>
      <c r="L155" s="1707"/>
      <c r="M155" s="1708">
        <v>1</v>
      </c>
      <c r="N155" s="1708"/>
      <c r="O155" s="1718">
        <v>617</v>
      </c>
      <c r="P155" s="1711">
        <v>2</v>
      </c>
      <c r="Q155" s="1712" t="s">
        <v>1471</v>
      </c>
      <c r="R155" s="1711">
        <v>8.1999999999999993</v>
      </c>
      <c r="S155" s="1712" t="s">
        <v>1471</v>
      </c>
      <c r="T155" s="1711">
        <v>0.42</v>
      </c>
      <c r="U155" s="1712" t="s">
        <v>1471</v>
      </c>
      <c r="V155" s="1711">
        <v>1.8</v>
      </c>
      <c r="W155" s="1712" t="s">
        <v>1471</v>
      </c>
      <c r="X155" s="1711">
        <v>0.83</v>
      </c>
      <c r="Y155" s="1714" t="s">
        <v>1471</v>
      </c>
      <c r="Z155" s="1713"/>
      <c r="AA155" s="1715">
        <v>2.5000000000000001E-4</v>
      </c>
      <c r="AB155" s="1716" t="s">
        <v>1471</v>
      </c>
      <c r="AC155" s="1717"/>
    </row>
    <row r="156" spans="1:29" ht="15">
      <c r="A156" s="1719" t="s">
        <v>2166</v>
      </c>
      <c r="B156" s="1720" t="s">
        <v>2167</v>
      </c>
      <c r="C156" s="1737">
        <v>1.7000000000000001E-2</v>
      </c>
      <c r="D156" s="1723" t="s">
        <v>1900</v>
      </c>
      <c r="E156" s="1723"/>
      <c r="F156" s="1722"/>
      <c r="G156" s="1724">
        <v>1.4999999999999999E-2</v>
      </c>
      <c r="H156" s="1723" t="s">
        <v>1119</v>
      </c>
      <c r="I156" s="1723"/>
      <c r="J156" s="1722"/>
      <c r="K156" s="1722"/>
      <c r="L156" s="1722"/>
      <c r="M156" s="1723">
        <v>1</v>
      </c>
      <c r="N156" s="1723">
        <v>0.1</v>
      </c>
      <c r="O156" s="1725"/>
      <c r="P156" s="1726">
        <v>32</v>
      </c>
      <c r="Q156" s="1727" t="s">
        <v>4127</v>
      </c>
      <c r="R156" s="1726">
        <v>140</v>
      </c>
      <c r="S156" s="1727" t="s">
        <v>4127</v>
      </c>
      <c r="T156" s="1727"/>
      <c r="U156" s="1728"/>
      <c r="V156" s="1727"/>
      <c r="W156" s="1728"/>
      <c r="X156" s="1726">
        <v>4</v>
      </c>
      <c r="Y156" s="1729" t="s">
        <v>4127</v>
      </c>
      <c r="Z156" s="1728"/>
      <c r="AA156" s="1730">
        <v>8.9999999999999993E-3</v>
      </c>
      <c r="AB156" s="1731" t="s">
        <v>4127</v>
      </c>
      <c r="AC156" s="1732"/>
    </row>
    <row r="157" spans="1:29" ht="15">
      <c r="A157" s="1704" t="s">
        <v>2168</v>
      </c>
      <c r="B157" s="1705" t="s">
        <v>2169</v>
      </c>
      <c r="C157" s="1706"/>
      <c r="D157" s="1707"/>
      <c r="E157" s="1708"/>
      <c r="F157" s="1707"/>
      <c r="G157" s="1709">
        <v>0.02</v>
      </c>
      <c r="H157" s="1708" t="s">
        <v>1119</v>
      </c>
      <c r="I157" s="1708"/>
      <c r="J157" s="1707"/>
      <c r="K157" s="1708" t="s">
        <v>1127</v>
      </c>
      <c r="L157" s="1707"/>
      <c r="M157" s="1708">
        <v>1</v>
      </c>
      <c r="N157" s="1708"/>
      <c r="O157" s="1718">
        <v>907</v>
      </c>
      <c r="P157" s="1711">
        <v>1600</v>
      </c>
      <c r="Q157" s="1712" t="s">
        <v>4125</v>
      </c>
      <c r="R157" s="1711">
        <v>23000</v>
      </c>
      <c r="S157" s="1712" t="s">
        <v>4125</v>
      </c>
      <c r="T157" s="1712"/>
      <c r="U157" s="1713"/>
      <c r="V157" s="1712"/>
      <c r="W157" s="1713"/>
      <c r="X157" s="1711">
        <v>240</v>
      </c>
      <c r="Y157" s="1714" t="s">
        <v>1471</v>
      </c>
      <c r="Z157" s="1713"/>
      <c r="AA157" s="1715">
        <v>0.23</v>
      </c>
      <c r="AB157" s="1716" t="s">
        <v>1471</v>
      </c>
      <c r="AC157" s="1717"/>
    </row>
    <row r="158" spans="1:29" ht="15">
      <c r="A158" s="1704" t="s">
        <v>2170</v>
      </c>
      <c r="B158" s="1705" t="s">
        <v>2171</v>
      </c>
      <c r="C158" s="1706"/>
      <c r="D158" s="1707"/>
      <c r="E158" s="1708"/>
      <c r="F158" s="1707"/>
      <c r="G158" s="1709">
        <v>0.02</v>
      </c>
      <c r="H158" s="1708" t="s">
        <v>1893</v>
      </c>
      <c r="I158" s="1708"/>
      <c r="J158" s="1707"/>
      <c r="K158" s="1708" t="s">
        <v>1127</v>
      </c>
      <c r="L158" s="1707"/>
      <c r="M158" s="1708">
        <v>1</v>
      </c>
      <c r="N158" s="1708"/>
      <c r="O158" s="1718">
        <v>253</v>
      </c>
      <c r="P158" s="1711">
        <v>1600</v>
      </c>
      <c r="Q158" s="1712" t="s">
        <v>4125</v>
      </c>
      <c r="R158" s="1711">
        <v>23000</v>
      </c>
      <c r="S158" s="1712" t="s">
        <v>4125</v>
      </c>
      <c r="T158" s="1712"/>
      <c r="U158" s="1713"/>
      <c r="V158" s="1712"/>
      <c r="W158" s="1713"/>
      <c r="X158" s="1711">
        <v>250</v>
      </c>
      <c r="Y158" s="1714" t="s">
        <v>1471</v>
      </c>
      <c r="Z158" s="1713"/>
      <c r="AA158" s="1715">
        <v>0.24</v>
      </c>
      <c r="AB158" s="1716" t="s">
        <v>1471</v>
      </c>
      <c r="AC158" s="1717"/>
    </row>
    <row r="159" spans="1:29" ht="15">
      <c r="A159" s="1719" t="s">
        <v>2172</v>
      </c>
      <c r="B159" s="1720" t="s">
        <v>2173</v>
      </c>
      <c r="C159" s="1737">
        <v>240</v>
      </c>
      <c r="D159" s="1723" t="s">
        <v>1900</v>
      </c>
      <c r="E159" s="1724">
        <v>6.9000000000000006E-2</v>
      </c>
      <c r="F159" s="1723" t="s">
        <v>1900</v>
      </c>
      <c r="G159" s="1723"/>
      <c r="H159" s="1722"/>
      <c r="I159" s="1723"/>
      <c r="J159" s="1722"/>
      <c r="K159" s="1722"/>
      <c r="L159" s="1722"/>
      <c r="M159" s="1723">
        <v>1</v>
      </c>
      <c r="N159" s="1723">
        <v>0.1</v>
      </c>
      <c r="O159" s="1725"/>
      <c r="P159" s="1726">
        <v>2.3E-3</v>
      </c>
      <c r="Q159" s="1727" t="s">
        <v>4126</v>
      </c>
      <c r="R159" s="1726">
        <v>9.5999999999999992E-3</v>
      </c>
      <c r="S159" s="1727" t="s">
        <v>4126</v>
      </c>
      <c r="T159" s="1726">
        <v>4.1E-5</v>
      </c>
      <c r="U159" s="1727" t="s">
        <v>4126</v>
      </c>
      <c r="V159" s="1726">
        <v>1.8000000000000001E-4</v>
      </c>
      <c r="W159" s="1727" t="s">
        <v>4126</v>
      </c>
      <c r="X159" s="1726">
        <v>3.2000000000000003E-4</v>
      </c>
      <c r="Y159" s="1729" t="s">
        <v>4126</v>
      </c>
      <c r="Z159" s="1728"/>
      <c r="AA159" s="1730">
        <v>7.1E-8</v>
      </c>
      <c r="AB159" s="1731" t="s">
        <v>4126</v>
      </c>
      <c r="AC159" s="1732"/>
    </row>
    <row r="160" spans="1:29" ht="15">
      <c r="A160" s="1704" t="s">
        <v>2174</v>
      </c>
      <c r="B160" s="1705" t="s">
        <v>2175</v>
      </c>
      <c r="C160" s="1706"/>
      <c r="D160" s="1707"/>
      <c r="E160" s="1708"/>
      <c r="F160" s="1707"/>
      <c r="G160" s="1709">
        <v>5.0000000000000001E-3</v>
      </c>
      <c r="H160" s="1708" t="s">
        <v>1116</v>
      </c>
      <c r="I160" s="1708"/>
      <c r="J160" s="1707"/>
      <c r="K160" s="1707"/>
      <c r="L160" s="1707"/>
      <c r="M160" s="1708">
        <v>1</v>
      </c>
      <c r="N160" s="1708">
        <v>0.1</v>
      </c>
      <c r="O160" s="1710"/>
      <c r="P160" s="1711">
        <v>320</v>
      </c>
      <c r="Q160" s="1712" t="s">
        <v>1471</v>
      </c>
      <c r="R160" s="1711">
        <v>4100</v>
      </c>
      <c r="S160" s="1712" t="s">
        <v>1471</v>
      </c>
      <c r="T160" s="1712"/>
      <c r="U160" s="1713"/>
      <c r="V160" s="1712"/>
      <c r="W160" s="1713"/>
      <c r="X160" s="1711">
        <v>71</v>
      </c>
      <c r="Y160" s="1714" t="s">
        <v>1471</v>
      </c>
      <c r="Z160" s="1713"/>
      <c r="AA160" s="1715">
        <v>6.4000000000000001E-2</v>
      </c>
      <c r="AB160" s="1716" t="s">
        <v>1471</v>
      </c>
      <c r="AC160" s="1717"/>
    </row>
    <row r="161" spans="1:29" ht="15">
      <c r="A161" s="1704" t="s">
        <v>2176</v>
      </c>
      <c r="B161" s="1705" t="s">
        <v>2177</v>
      </c>
      <c r="C161" s="1706"/>
      <c r="D161" s="1707"/>
      <c r="E161" s="1708"/>
      <c r="F161" s="1707"/>
      <c r="G161" s="1709">
        <v>1E-3</v>
      </c>
      <c r="H161" s="1708" t="s">
        <v>1960</v>
      </c>
      <c r="I161" s="1708"/>
      <c r="J161" s="1707"/>
      <c r="K161" s="1707"/>
      <c r="L161" s="1707"/>
      <c r="M161" s="1708">
        <v>1</v>
      </c>
      <c r="N161" s="1708">
        <v>0.1</v>
      </c>
      <c r="O161" s="1710"/>
      <c r="P161" s="1711">
        <v>63</v>
      </c>
      <c r="Q161" s="1712" t="s">
        <v>1471</v>
      </c>
      <c r="R161" s="1711">
        <v>820</v>
      </c>
      <c r="S161" s="1712" t="s">
        <v>1471</v>
      </c>
      <c r="T161" s="1712"/>
      <c r="U161" s="1713"/>
      <c r="V161" s="1712"/>
      <c r="W161" s="1713"/>
      <c r="X161" s="1711">
        <v>8.4</v>
      </c>
      <c r="Y161" s="1714" t="s">
        <v>1471</v>
      </c>
      <c r="Z161" s="1713"/>
      <c r="AA161" s="1715">
        <v>0.12</v>
      </c>
      <c r="AB161" s="1716" t="s">
        <v>1471</v>
      </c>
      <c r="AC161" s="1717"/>
    </row>
    <row r="162" spans="1:29" ht="30">
      <c r="A162" s="1719" t="s">
        <v>2178</v>
      </c>
      <c r="B162" s="1720" t="s">
        <v>2179</v>
      </c>
      <c r="C162" s="1721"/>
      <c r="D162" s="1722"/>
      <c r="E162" s="1723"/>
      <c r="F162" s="1722"/>
      <c r="G162" s="1724">
        <v>0.01</v>
      </c>
      <c r="H162" s="1723" t="s">
        <v>1073</v>
      </c>
      <c r="I162" s="1723"/>
      <c r="J162" s="1722"/>
      <c r="K162" s="1722"/>
      <c r="L162" s="1722"/>
      <c r="M162" s="1723">
        <v>1</v>
      </c>
      <c r="N162" s="1723">
        <v>0.1</v>
      </c>
      <c r="O162" s="1725"/>
      <c r="P162" s="1726">
        <v>630</v>
      </c>
      <c r="Q162" s="1727" t="s">
        <v>1471</v>
      </c>
      <c r="R162" s="1726">
        <v>8200</v>
      </c>
      <c r="S162" s="1727" t="s">
        <v>1471</v>
      </c>
      <c r="T162" s="1727"/>
      <c r="U162" s="1728"/>
      <c r="V162" s="1727"/>
      <c r="W162" s="1728"/>
      <c r="X162" s="1726">
        <v>120</v>
      </c>
      <c r="Y162" s="1729" t="s">
        <v>1471</v>
      </c>
      <c r="Z162" s="1728"/>
      <c r="AA162" s="1730">
        <v>0.54</v>
      </c>
      <c r="AB162" s="1731" t="s">
        <v>1471</v>
      </c>
      <c r="AC162" s="1732"/>
    </row>
    <row r="163" spans="1:29" ht="15">
      <c r="A163" s="1704" t="s">
        <v>2180</v>
      </c>
      <c r="B163" s="1705" t="s">
        <v>2181</v>
      </c>
      <c r="C163" s="1706"/>
      <c r="D163" s="1707"/>
      <c r="E163" s="1708"/>
      <c r="F163" s="1707"/>
      <c r="G163" s="1709">
        <v>0.05</v>
      </c>
      <c r="H163" s="1708" t="s">
        <v>1116</v>
      </c>
      <c r="I163" s="1708"/>
      <c r="J163" s="1707"/>
      <c r="K163" s="1707"/>
      <c r="L163" s="1707"/>
      <c r="M163" s="1708">
        <v>1</v>
      </c>
      <c r="N163" s="1708">
        <v>0.1</v>
      </c>
      <c r="O163" s="1710"/>
      <c r="P163" s="1711">
        <v>3200</v>
      </c>
      <c r="Q163" s="1712" t="s">
        <v>1471</v>
      </c>
      <c r="R163" s="1711">
        <v>41000</v>
      </c>
      <c r="S163" s="1712" t="s">
        <v>1471</v>
      </c>
      <c r="T163" s="1712"/>
      <c r="U163" s="1713"/>
      <c r="V163" s="1712"/>
      <c r="W163" s="1713"/>
      <c r="X163" s="1711">
        <v>990</v>
      </c>
      <c r="Y163" s="1714" t="s">
        <v>1471</v>
      </c>
      <c r="Z163" s="1713"/>
      <c r="AA163" s="1715">
        <v>0.83</v>
      </c>
      <c r="AB163" s="1716" t="s">
        <v>1471</v>
      </c>
      <c r="AC163" s="1717"/>
    </row>
    <row r="164" spans="1:29" ht="15">
      <c r="A164" s="1704" t="s">
        <v>2182</v>
      </c>
      <c r="B164" s="1705" t="s">
        <v>2183</v>
      </c>
      <c r="C164" s="1706"/>
      <c r="D164" s="1707"/>
      <c r="E164" s="1708"/>
      <c r="F164" s="1707"/>
      <c r="G164" s="1709">
        <v>0.01</v>
      </c>
      <c r="H164" s="1708" t="s">
        <v>1119</v>
      </c>
      <c r="I164" s="1708"/>
      <c r="J164" s="1707"/>
      <c r="K164" s="1707"/>
      <c r="L164" s="1707"/>
      <c r="M164" s="1708">
        <v>1</v>
      </c>
      <c r="N164" s="1708">
        <v>0.1</v>
      </c>
      <c r="O164" s="1710"/>
      <c r="P164" s="1711">
        <v>630</v>
      </c>
      <c r="Q164" s="1712" t="s">
        <v>1471</v>
      </c>
      <c r="R164" s="1711">
        <v>8200</v>
      </c>
      <c r="S164" s="1712" t="s">
        <v>1471</v>
      </c>
      <c r="T164" s="1712"/>
      <c r="U164" s="1713"/>
      <c r="V164" s="1712"/>
      <c r="W164" s="1713"/>
      <c r="X164" s="1711">
        <v>120</v>
      </c>
      <c r="Y164" s="1714" t="s">
        <v>1471</v>
      </c>
      <c r="Z164" s="1713"/>
      <c r="AA164" s="1715">
        <v>0.15</v>
      </c>
      <c r="AB164" s="1716" t="s">
        <v>1471</v>
      </c>
      <c r="AC164" s="1717"/>
    </row>
    <row r="165" spans="1:29" ht="15">
      <c r="A165" s="1719" t="s">
        <v>2184</v>
      </c>
      <c r="B165" s="1720" t="s">
        <v>2185</v>
      </c>
      <c r="C165" s="1721"/>
      <c r="D165" s="1722"/>
      <c r="E165" s="1723"/>
      <c r="F165" s="1722"/>
      <c r="G165" s="1724">
        <v>8.0000000000000004E-4</v>
      </c>
      <c r="H165" s="1723" t="s">
        <v>1073</v>
      </c>
      <c r="I165" s="1723"/>
      <c r="J165" s="1722"/>
      <c r="K165" s="1722"/>
      <c r="L165" s="1722"/>
      <c r="M165" s="1723">
        <v>1</v>
      </c>
      <c r="N165" s="1723">
        <v>0.1</v>
      </c>
      <c r="O165" s="1725"/>
      <c r="P165" s="1726">
        <v>51</v>
      </c>
      <c r="Q165" s="1727" t="s">
        <v>1471</v>
      </c>
      <c r="R165" s="1726">
        <v>660</v>
      </c>
      <c r="S165" s="1727" t="s">
        <v>1471</v>
      </c>
      <c r="T165" s="1727"/>
      <c r="U165" s="1728"/>
      <c r="V165" s="1727"/>
      <c r="W165" s="1728"/>
      <c r="X165" s="1726">
        <v>2.8</v>
      </c>
      <c r="Y165" s="1729" t="s">
        <v>1471</v>
      </c>
      <c r="Z165" s="1728"/>
      <c r="AA165" s="1730">
        <v>7.2999999999999995E-2</v>
      </c>
      <c r="AB165" s="1731" t="s">
        <v>1471</v>
      </c>
      <c r="AC165" s="1732"/>
    </row>
    <row r="166" spans="1:29" ht="45">
      <c r="A166" s="1704" t="s">
        <v>136</v>
      </c>
      <c r="B166" s="1705" t="s">
        <v>2186</v>
      </c>
      <c r="C166" s="1706"/>
      <c r="D166" s="1707"/>
      <c r="E166" s="1708"/>
      <c r="F166" s="1707"/>
      <c r="G166" s="1708"/>
      <c r="H166" s="1707"/>
      <c r="I166" s="1709">
        <v>6.0000000000000002E-5</v>
      </c>
      <c r="J166" s="1708" t="s">
        <v>1900</v>
      </c>
      <c r="K166" s="1707"/>
      <c r="L166" s="1707"/>
      <c r="M166" s="1708">
        <v>1.2999999999999999E-2</v>
      </c>
      <c r="N166" s="1708"/>
      <c r="O166" s="1710"/>
      <c r="P166" s="1711">
        <v>85000</v>
      </c>
      <c r="Q166" s="1712" t="s">
        <v>1471</v>
      </c>
      <c r="R166" s="1711">
        <v>360000</v>
      </c>
      <c r="S166" s="1712" t="s">
        <v>4124</v>
      </c>
      <c r="T166" s="1711">
        <v>6.3E-2</v>
      </c>
      <c r="U166" s="1712" t="s">
        <v>1471</v>
      </c>
      <c r="V166" s="1711">
        <v>0.26</v>
      </c>
      <c r="W166" s="1712" t="s">
        <v>1471</v>
      </c>
      <c r="X166" s="1712"/>
      <c r="Y166" s="1733"/>
      <c r="Z166" s="1713"/>
      <c r="AA166" s="1716"/>
      <c r="AB166" s="1734"/>
      <c r="AC166" s="1717"/>
    </row>
    <row r="167" spans="1:29" ht="30">
      <c r="A167" s="1704" t="s">
        <v>136</v>
      </c>
      <c r="B167" s="1705" t="s">
        <v>2187</v>
      </c>
      <c r="C167" s="1706"/>
      <c r="D167" s="1707"/>
      <c r="E167" s="1708"/>
      <c r="F167" s="1707"/>
      <c r="G167" s="1709">
        <v>1.5</v>
      </c>
      <c r="H167" s="1708" t="s">
        <v>1119</v>
      </c>
      <c r="I167" s="1708"/>
      <c r="J167" s="1707"/>
      <c r="K167" s="1707"/>
      <c r="L167" s="1707"/>
      <c r="M167" s="1708">
        <v>1.2999999999999999E-2</v>
      </c>
      <c r="N167" s="1708"/>
      <c r="O167" s="1710"/>
      <c r="P167" s="1711">
        <v>120000</v>
      </c>
      <c r="Q167" s="1712" t="s">
        <v>4124</v>
      </c>
      <c r="R167" s="1711">
        <v>1800000</v>
      </c>
      <c r="S167" s="1712" t="s">
        <v>4124</v>
      </c>
      <c r="T167" s="1712"/>
      <c r="U167" s="1713"/>
      <c r="V167" s="1712"/>
      <c r="W167" s="1713"/>
      <c r="X167" s="1711">
        <v>22000</v>
      </c>
      <c r="Y167" s="1714" t="s">
        <v>1471</v>
      </c>
      <c r="Z167" s="1713"/>
      <c r="AA167" s="1715">
        <v>40000000</v>
      </c>
      <c r="AB167" s="1716" t="s">
        <v>1471</v>
      </c>
      <c r="AC167" s="1717"/>
    </row>
    <row r="168" spans="1:29" ht="15">
      <c r="A168" s="1719" t="s">
        <v>138</v>
      </c>
      <c r="B168" s="1720" t="s">
        <v>2188</v>
      </c>
      <c r="C168" s="1737">
        <v>0.16</v>
      </c>
      <c r="D168" s="1723" t="s">
        <v>1119</v>
      </c>
      <c r="E168" s="1724">
        <v>1.0999999999999999E-2</v>
      </c>
      <c r="F168" s="1723" t="s">
        <v>1119</v>
      </c>
      <c r="G168" s="1724">
        <v>8.9999999999999998E-4</v>
      </c>
      <c r="H168" s="1723" t="s">
        <v>1119</v>
      </c>
      <c r="I168" s="1724">
        <v>3.0000000000000001E-5</v>
      </c>
      <c r="J168" s="1723" t="s">
        <v>1119</v>
      </c>
      <c r="K168" s="1722"/>
      <c r="L168" s="1723" t="s">
        <v>1906</v>
      </c>
      <c r="M168" s="1723">
        <v>2.5000000000000001E-2</v>
      </c>
      <c r="N168" s="1723"/>
      <c r="O168" s="1725"/>
      <c r="P168" s="1726">
        <v>0.95</v>
      </c>
      <c r="Q168" s="1727" t="s">
        <v>4127</v>
      </c>
      <c r="R168" s="1726">
        <v>20</v>
      </c>
      <c r="S168" s="1727" t="s">
        <v>4127</v>
      </c>
      <c r="T168" s="1726">
        <v>9.2E-5</v>
      </c>
      <c r="U168" s="1727" t="s">
        <v>4126</v>
      </c>
      <c r="V168" s="1726">
        <v>1.1000000000000001E-3</v>
      </c>
      <c r="W168" s="1727" t="s">
        <v>4126</v>
      </c>
      <c r="X168" s="1726">
        <v>0.11</v>
      </c>
      <c r="Y168" s="1729" t="s">
        <v>4126</v>
      </c>
      <c r="Z168" s="1728"/>
      <c r="AA168" s="1730">
        <v>2.0999999999999999E-3</v>
      </c>
      <c r="AB168" s="1731" t="s">
        <v>4126</v>
      </c>
      <c r="AC168" s="1732"/>
    </row>
    <row r="169" spans="1:29" ht="15">
      <c r="A169" s="1704" t="s">
        <v>134</v>
      </c>
      <c r="B169" s="1705" t="s">
        <v>2189</v>
      </c>
      <c r="C169" s="1706"/>
      <c r="D169" s="1707"/>
      <c r="E169" s="1708"/>
      <c r="F169" s="1707"/>
      <c r="G169" s="1708"/>
      <c r="H169" s="1707"/>
      <c r="I169" s="1708"/>
      <c r="J169" s="1707"/>
      <c r="K169" s="1707"/>
      <c r="L169" s="1707"/>
      <c r="M169" s="1708">
        <v>1.2999999999999999E-2</v>
      </c>
      <c r="N169" s="1708"/>
      <c r="O169" s="1710"/>
      <c r="P169" s="1712"/>
      <c r="Q169" s="1713"/>
      <c r="R169" s="1712"/>
      <c r="S169" s="1713"/>
      <c r="T169" s="1712"/>
      <c r="U169" s="1713"/>
      <c r="V169" s="1712"/>
      <c r="W169" s="1713"/>
      <c r="X169" s="1712"/>
      <c r="Y169" s="1733"/>
      <c r="Z169" s="1711">
        <v>100</v>
      </c>
      <c r="AA169" s="1716"/>
      <c r="AB169" s="1734"/>
      <c r="AC169" s="1738">
        <v>180000</v>
      </c>
    </row>
    <row r="170" spans="1:29" ht="15">
      <c r="A170" s="1704" t="s">
        <v>2190</v>
      </c>
      <c r="B170" s="1705" t="s">
        <v>2191</v>
      </c>
      <c r="C170" s="1706"/>
      <c r="D170" s="1707"/>
      <c r="E170" s="1708"/>
      <c r="F170" s="1707"/>
      <c r="G170" s="1709">
        <v>1.2999999999999999E-2</v>
      </c>
      <c r="H170" s="1708" t="s">
        <v>1119</v>
      </c>
      <c r="I170" s="1708"/>
      <c r="J170" s="1707"/>
      <c r="K170" s="1707"/>
      <c r="L170" s="1707"/>
      <c r="M170" s="1708">
        <v>1</v>
      </c>
      <c r="N170" s="1708">
        <v>0.1</v>
      </c>
      <c r="O170" s="1710"/>
      <c r="P170" s="1711">
        <v>820</v>
      </c>
      <c r="Q170" s="1712" t="s">
        <v>1471</v>
      </c>
      <c r="R170" s="1711">
        <v>11000</v>
      </c>
      <c r="S170" s="1712" t="s">
        <v>1471</v>
      </c>
      <c r="T170" s="1712"/>
      <c r="U170" s="1713"/>
      <c r="V170" s="1712"/>
      <c r="W170" s="1713"/>
      <c r="X170" s="1711">
        <v>230</v>
      </c>
      <c r="Y170" s="1714" t="s">
        <v>1471</v>
      </c>
      <c r="Z170" s="1713"/>
      <c r="AA170" s="1715">
        <v>14</v>
      </c>
      <c r="AB170" s="1716" t="s">
        <v>1471</v>
      </c>
      <c r="AC170" s="1717"/>
    </row>
    <row r="171" spans="1:29" ht="15">
      <c r="A171" s="1719" t="s">
        <v>140</v>
      </c>
      <c r="B171" s="1720" t="s">
        <v>139</v>
      </c>
      <c r="C171" s="1721"/>
      <c r="D171" s="1722"/>
      <c r="E171" s="1724">
        <v>8.9999999999999993E-3</v>
      </c>
      <c r="F171" s="1723" t="s">
        <v>1909</v>
      </c>
      <c r="G171" s="1724">
        <v>2.9999999999999997E-4</v>
      </c>
      <c r="H171" s="1723" t="s">
        <v>1909</v>
      </c>
      <c r="I171" s="1724">
        <v>6.0000000000000002E-6</v>
      </c>
      <c r="J171" s="1723" t="s">
        <v>1909</v>
      </c>
      <c r="K171" s="1722"/>
      <c r="L171" s="1722"/>
      <c r="M171" s="1723">
        <v>1</v>
      </c>
      <c r="N171" s="1723"/>
      <c r="O171" s="1725"/>
      <c r="P171" s="1726">
        <v>23</v>
      </c>
      <c r="Q171" s="1727" t="s">
        <v>1471</v>
      </c>
      <c r="R171" s="1726">
        <v>350</v>
      </c>
      <c r="S171" s="1727" t="s">
        <v>1471</v>
      </c>
      <c r="T171" s="1726">
        <v>3.1E-4</v>
      </c>
      <c r="U171" s="1727" t="s">
        <v>4127</v>
      </c>
      <c r="V171" s="1726">
        <v>1.4E-3</v>
      </c>
      <c r="W171" s="1727" t="s">
        <v>4127</v>
      </c>
      <c r="X171" s="1726">
        <v>6</v>
      </c>
      <c r="Y171" s="1729" t="s">
        <v>1471</v>
      </c>
      <c r="Z171" s="1728"/>
      <c r="AA171" s="1730">
        <v>0.27</v>
      </c>
      <c r="AB171" s="1731" t="s">
        <v>1471</v>
      </c>
      <c r="AC171" s="1732"/>
    </row>
    <row r="172" spans="1:29" ht="30">
      <c r="A172" s="1704" t="s">
        <v>2192</v>
      </c>
      <c r="B172" s="1705" t="s">
        <v>2193</v>
      </c>
      <c r="C172" s="1706"/>
      <c r="D172" s="1707"/>
      <c r="E172" s="1709">
        <v>6.2E-4</v>
      </c>
      <c r="F172" s="1708" t="s">
        <v>1119</v>
      </c>
      <c r="G172" s="1708"/>
      <c r="H172" s="1707"/>
      <c r="I172" s="1708"/>
      <c r="J172" s="1707"/>
      <c r="K172" s="1708" t="s">
        <v>1127</v>
      </c>
      <c r="L172" s="1708" t="s">
        <v>1906</v>
      </c>
      <c r="M172" s="1708">
        <v>1</v>
      </c>
      <c r="N172" s="1708"/>
      <c r="O172" s="1710"/>
      <c r="P172" s="1712"/>
      <c r="Q172" s="1713"/>
      <c r="R172" s="1712"/>
      <c r="S172" s="1713"/>
      <c r="T172" s="1711">
        <v>1.6000000000000001E-3</v>
      </c>
      <c r="U172" s="1712" t="s">
        <v>4126</v>
      </c>
      <c r="V172" s="1711">
        <v>0.02</v>
      </c>
      <c r="W172" s="1712" t="s">
        <v>4126</v>
      </c>
      <c r="X172" s="1712"/>
      <c r="Y172" s="1733"/>
      <c r="Z172" s="1713"/>
      <c r="AA172" s="1716"/>
      <c r="AB172" s="1734"/>
      <c r="AC172" s="1717"/>
    </row>
    <row r="173" spans="1:29" ht="15">
      <c r="A173" s="1704" t="s">
        <v>142</v>
      </c>
      <c r="B173" s="1705" t="s">
        <v>141</v>
      </c>
      <c r="C173" s="1706"/>
      <c r="D173" s="1707"/>
      <c r="E173" s="1708"/>
      <c r="F173" s="1707"/>
      <c r="G173" s="1709">
        <v>0.04</v>
      </c>
      <c r="H173" s="1708" t="s">
        <v>1073</v>
      </c>
      <c r="I173" s="1708"/>
      <c r="J173" s="1707"/>
      <c r="K173" s="1707"/>
      <c r="L173" s="1707"/>
      <c r="M173" s="1708">
        <v>1</v>
      </c>
      <c r="N173" s="1708"/>
      <c r="O173" s="1710"/>
      <c r="P173" s="1711">
        <v>3100</v>
      </c>
      <c r="Q173" s="1712" t="s">
        <v>1471</v>
      </c>
      <c r="R173" s="1711">
        <v>47000</v>
      </c>
      <c r="S173" s="1712" t="s">
        <v>1471</v>
      </c>
      <c r="T173" s="1712"/>
      <c r="U173" s="1713"/>
      <c r="V173" s="1712"/>
      <c r="W173" s="1713"/>
      <c r="X173" s="1711">
        <v>800</v>
      </c>
      <c r="Y173" s="1714" t="s">
        <v>1471</v>
      </c>
      <c r="Z173" s="1711">
        <v>1300</v>
      </c>
      <c r="AA173" s="1715">
        <v>28</v>
      </c>
      <c r="AB173" s="1716" t="s">
        <v>1471</v>
      </c>
      <c r="AC173" s="1738">
        <v>46</v>
      </c>
    </row>
    <row r="174" spans="1:29" ht="15">
      <c r="A174" s="1719" t="s">
        <v>2194</v>
      </c>
      <c r="B174" s="1720" t="s">
        <v>2195</v>
      </c>
      <c r="C174" s="1721"/>
      <c r="D174" s="1722"/>
      <c r="E174" s="1723"/>
      <c r="F174" s="1722"/>
      <c r="G174" s="1724">
        <v>0.05</v>
      </c>
      <c r="H174" s="1723" t="s">
        <v>1119</v>
      </c>
      <c r="I174" s="1724">
        <v>0.6</v>
      </c>
      <c r="J174" s="1723" t="s">
        <v>1900</v>
      </c>
      <c r="K174" s="1722"/>
      <c r="L174" s="1722"/>
      <c r="M174" s="1723">
        <v>1</v>
      </c>
      <c r="N174" s="1723">
        <v>0.1</v>
      </c>
      <c r="O174" s="1725"/>
      <c r="P174" s="1726">
        <v>3200</v>
      </c>
      <c r="Q174" s="1727" t="s">
        <v>1471</v>
      </c>
      <c r="R174" s="1726">
        <v>41000</v>
      </c>
      <c r="S174" s="1727" t="s">
        <v>1471</v>
      </c>
      <c r="T174" s="1726">
        <v>630</v>
      </c>
      <c r="U174" s="1727" t="s">
        <v>1471</v>
      </c>
      <c r="V174" s="1726">
        <v>2600</v>
      </c>
      <c r="W174" s="1727" t="s">
        <v>1471</v>
      </c>
      <c r="X174" s="1726">
        <v>930</v>
      </c>
      <c r="Y174" s="1729" t="s">
        <v>1471</v>
      </c>
      <c r="Z174" s="1728"/>
      <c r="AA174" s="1730">
        <v>0.74</v>
      </c>
      <c r="AB174" s="1731" t="s">
        <v>1471</v>
      </c>
      <c r="AC174" s="1732"/>
    </row>
    <row r="175" spans="1:29" ht="15">
      <c r="A175" s="1704" t="s">
        <v>2196</v>
      </c>
      <c r="B175" s="1705" t="s">
        <v>2197</v>
      </c>
      <c r="C175" s="1706"/>
      <c r="D175" s="1707"/>
      <c r="E175" s="1708"/>
      <c r="F175" s="1707"/>
      <c r="G175" s="1709">
        <v>0.05</v>
      </c>
      <c r="H175" s="1708" t="s">
        <v>1119</v>
      </c>
      <c r="I175" s="1709">
        <v>0.6</v>
      </c>
      <c r="J175" s="1708" t="s">
        <v>1900</v>
      </c>
      <c r="K175" s="1707"/>
      <c r="L175" s="1707"/>
      <c r="M175" s="1708">
        <v>1</v>
      </c>
      <c r="N175" s="1708">
        <v>0.1</v>
      </c>
      <c r="O175" s="1710"/>
      <c r="P175" s="1711">
        <v>3200</v>
      </c>
      <c r="Q175" s="1712" t="s">
        <v>1471</v>
      </c>
      <c r="R175" s="1711">
        <v>41000</v>
      </c>
      <c r="S175" s="1712" t="s">
        <v>1471</v>
      </c>
      <c r="T175" s="1711">
        <v>630</v>
      </c>
      <c r="U175" s="1712" t="s">
        <v>1471</v>
      </c>
      <c r="V175" s="1711">
        <v>2600</v>
      </c>
      <c r="W175" s="1712" t="s">
        <v>1471</v>
      </c>
      <c r="X175" s="1711">
        <v>930</v>
      </c>
      <c r="Y175" s="1714" t="s">
        <v>1471</v>
      </c>
      <c r="Z175" s="1713"/>
      <c r="AA175" s="1715">
        <v>0.75</v>
      </c>
      <c r="AB175" s="1716" t="s">
        <v>1471</v>
      </c>
      <c r="AC175" s="1717"/>
    </row>
    <row r="176" spans="1:29" ht="15">
      <c r="A176" s="1704" t="s">
        <v>2198</v>
      </c>
      <c r="B176" s="1705" t="s">
        <v>2199</v>
      </c>
      <c r="C176" s="1706"/>
      <c r="D176" s="1707"/>
      <c r="E176" s="1708"/>
      <c r="F176" s="1707"/>
      <c r="G176" s="1709">
        <v>0.02</v>
      </c>
      <c r="H176" s="1708" t="s">
        <v>1909</v>
      </c>
      <c r="I176" s="1709">
        <v>0.6</v>
      </c>
      <c r="J176" s="1708" t="s">
        <v>1900</v>
      </c>
      <c r="K176" s="1707"/>
      <c r="L176" s="1707"/>
      <c r="M176" s="1708">
        <v>1</v>
      </c>
      <c r="N176" s="1708">
        <v>0.1</v>
      </c>
      <c r="O176" s="1710"/>
      <c r="P176" s="1711">
        <v>1300</v>
      </c>
      <c r="Q176" s="1712" t="s">
        <v>1471</v>
      </c>
      <c r="R176" s="1711">
        <v>16000</v>
      </c>
      <c r="S176" s="1712" t="s">
        <v>1471</v>
      </c>
      <c r="T176" s="1711">
        <v>630</v>
      </c>
      <c r="U176" s="1712" t="s">
        <v>1471</v>
      </c>
      <c r="V176" s="1711">
        <v>2600</v>
      </c>
      <c r="W176" s="1712" t="s">
        <v>1471</v>
      </c>
      <c r="X176" s="1711">
        <v>370</v>
      </c>
      <c r="Y176" s="1714" t="s">
        <v>1471</v>
      </c>
      <c r="Z176" s="1713"/>
      <c r="AA176" s="1715">
        <v>0.3</v>
      </c>
      <c r="AB176" s="1716" t="s">
        <v>1471</v>
      </c>
      <c r="AC176" s="1717"/>
    </row>
    <row r="177" spans="1:29" ht="30">
      <c r="A177" s="1719" t="s">
        <v>2200</v>
      </c>
      <c r="B177" s="1720" t="s">
        <v>2201</v>
      </c>
      <c r="C177" s="1721"/>
      <c r="D177" s="1722"/>
      <c r="E177" s="1723"/>
      <c r="F177" s="1722"/>
      <c r="G177" s="1724">
        <v>0.1</v>
      </c>
      <c r="H177" s="1723" t="s">
        <v>1960</v>
      </c>
      <c r="I177" s="1723"/>
      <c r="J177" s="1722"/>
      <c r="K177" s="1722"/>
      <c r="L177" s="1722"/>
      <c r="M177" s="1723">
        <v>1</v>
      </c>
      <c r="N177" s="1723">
        <v>0.1</v>
      </c>
      <c r="O177" s="1725"/>
      <c r="P177" s="1726">
        <v>6300</v>
      </c>
      <c r="Q177" s="1727" t="s">
        <v>1471</v>
      </c>
      <c r="R177" s="1726">
        <v>82000</v>
      </c>
      <c r="S177" s="1727" t="s">
        <v>1471</v>
      </c>
      <c r="T177" s="1727"/>
      <c r="U177" s="1728"/>
      <c r="V177" s="1727"/>
      <c r="W177" s="1728"/>
      <c r="X177" s="1726">
        <v>1400</v>
      </c>
      <c r="Y177" s="1729" t="s">
        <v>1471</v>
      </c>
      <c r="Z177" s="1728"/>
      <c r="AA177" s="1730">
        <v>1.7</v>
      </c>
      <c r="AB177" s="1731" t="s">
        <v>1471</v>
      </c>
      <c r="AC177" s="1732"/>
    </row>
    <row r="178" spans="1:29" ht="15">
      <c r="A178" s="1704" t="s">
        <v>2202</v>
      </c>
      <c r="B178" s="1705" t="s">
        <v>2203</v>
      </c>
      <c r="C178" s="1706"/>
      <c r="D178" s="1707"/>
      <c r="E178" s="1708"/>
      <c r="F178" s="1707"/>
      <c r="G178" s="1709">
        <v>0.1</v>
      </c>
      <c r="H178" s="1708" t="s">
        <v>1960</v>
      </c>
      <c r="I178" s="1709">
        <v>0.6</v>
      </c>
      <c r="J178" s="1708" t="s">
        <v>1900</v>
      </c>
      <c r="K178" s="1707"/>
      <c r="L178" s="1707"/>
      <c r="M178" s="1708">
        <v>1</v>
      </c>
      <c r="N178" s="1708">
        <v>0.1</v>
      </c>
      <c r="O178" s="1710"/>
      <c r="P178" s="1711">
        <v>6300</v>
      </c>
      <c r="Q178" s="1712" t="s">
        <v>1471</v>
      </c>
      <c r="R178" s="1711">
        <v>82000</v>
      </c>
      <c r="S178" s="1712" t="s">
        <v>1471</v>
      </c>
      <c r="T178" s="1711">
        <v>630</v>
      </c>
      <c r="U178" s="1712" t="s">
        <v>1471</v>
      </c>
      <c r="V178" s="1711">
        <v>2600</v>
      </c>
      <c r="W178" s="1712" t="s">
        <v>1471</v>
      </c>
      <c r="X178" s="1711">
        <v>1500</v>
      </c>
      <c r="Y178" s="1714" t="s">
        <v>1471</v>
      </c>
      <c r="Z178" s="1713"/>
      <c r="AA178" s="1715">
        <v>1.3</v>
      </c>
      <c r="AB178" s="1716" t="s">
        <v>1471</v>
      </c>
      <c r="AC178" s="1717"/>
    </row>
    <row r="179" spans="1:29" ht="30">
      <c r="A179" s="1704" t="s">
        <v>2204</v>
      </c>
      <c r="B179" s="1705" t="s">
        <v>2205</v>
      </c>
      <c r="C179" s="1736">
        <v>1.9</v>
      </c>
      <c r="D179" s="1708" t="s">
        <v>1073</v>
      </c>
      <c r="E179" s="1708"/>
      <c r="F179" s="1707"/>
      <c r="G179" s="1709">
        <v>1E-3</v>
      </c>
      <c r="H179" s="1708" t="s">
        <v>1909</v>
      </c>
      <c r="I179" s="1708"/>
      <c r="J179" s="1707"/>
      <c r="K179" s="1708" t="s">
        <v>1127</v>
      </c>
      <c r="L179" s="1707"/>
      <c r="M179" s="1708">
        <v>1</v>
      </c>
      <c r="N179" s="1708"/>
      <c r="O179" s="1718">
        <v>16600</v>
      </c>
      <c r="P179" s="1711">
        <v>0.37</v>
      </c>
      <c r="Q179" s="1712" t="s">
        <v>4126</v>
      </c>
      <c r="R179" s="1711">
        <v>1.7</v>
      </c>
      <c r="S179" s="1712" t="s">
        <v>4126</v>
      </c>
      <c r="T179" s="1712"/>
      <c r="U179" s="1713"/>
      <c r="V179" s="1712"/>
      <c r="W179" s="1713"/>
      <c r="X179" s="1711">
        <v>0.04</v>
      </c>
      <c r="Y179" s="1714" t="s">
        <v>4126</v>
      </c>
      <c r="Z179" s="1713"/>
      <c r="AA179" s="1715">
        <v>8.1999999999999994E-6</v>
      </c>
      <c r="AB179" s="1716" t="s">
        <v>4126</v>
      </c>
      <c r="AC179" s="1717"/>
    </row>
    <row r="180" spans="1:29" ht="15">
      <c r="A180" s="1719" t="s">
        <v>2206</v>
      </c>
      <c r="B180" s="1720" t="s">
        <v>2207</v>
      </c>
      <c r="C180" s="1721"/>
      <c r="D180" s="1722"/>
      <c r="E180" s="1723"/>
      <c r="F180" s="1722"/>
      <c r="G180" s="1724">
        <v>0.1</v>
      </c>
      <c r="H180" s="1723" t="s">
        <v>1119</v>
      </c>
      <c r="I180" s="1724">
        <v>0.4</v>
      </c>
      <c r="J180" s="1723" t="s">
        <v>1119</v>
      </c>
      <c r="K180" s="1723" t="s">
        <v>1127</v>
      </c>
      <c r="L180" s="1722"/>
      <c r="M180" s="1723">
        <v>1</v>
      </c>
      <c r="N180" s="1723"/>
      <c r="O180" s="1735">
        <v>268</v>
      </c>
      <c r="P180" s="1726">
        <v>1900</v>
      </c>
      <c r="Q180" s="1727" t="s">
        <v>4125</v>
      </c>
      <c r="R180" s="1726">
        <v>9900</v>
      </c>
      <c r="S180" s="1727" t="s">
        <v>4125</v>
      </c>
      <c r="T180" s="1726">
        <v>420</v>
      </c>
      <c r="U180" s="1727" t="s">
        <v>1471</v>
      </c>
      <c r="V180" s="1726">
        <v>1800</v>
      </c>
      <c r="W180" s="1727" t="s">
        <v>1471</v>
      </c>
      <c r="X180" s="1726">
        <v>450</v>
      </c>
      <c r="Y180" s="1729" t="s">
        <v>1471</v>
      </c>
      <c r="Z180" s="1728"/>
      <c r="AA180" s="1730">
        <v>0.74</v>
      </c>
      <c r="AB180" s="1731" t="s">
        <v>1471</v>
      </c>
      <c r="AC180" s="1732"/>
    </row>
    <row r="181" spans="1:29" ht="15">
      <c r="A181" s="1704" t="s">
        <v>2208</v>
      </c>
      <c r="B181" s="1705" t="s">
        <v>2209</v>
      </c>
      <c r="C181" s="1736">
        <v>0.22</v>
      </c>
      <c r="D181" s="1708" t="s">
        <v>1900</v>
      </c>
      <c r="E181" s="1709">
        <v>6.3E-5</v>
      </c>
      <c r="F181" s="1708" t="s">
        <v>1900</v>
      </c>
      <c r="G181" s="1708"/>
      <c r="H181" s="1707"/>
      <c r="I181" s="1708"/>
      <c r="J181" s="1707"/>
      <c r="K181" s="1707"/>
      <c r="L181" s="1707"/>
      <c r="M181" s="1708">
        <v>1</v>
      </c>
      <c r="N181" s="1708">
        <v>0.1</v>
      </c>
      <c r="O181" s="1710"/>
      <c r="P181" s="1711">
        <v>2.5</v>
      </c>
      <c r="Q181" s="1712" t="s">
        <v>4126</v>
      </c>
      <c r="R181" s="1711">
        <v>10</v>
      </c>
      <c r="S181" s="1712" t="s">
        <v>4126</v>
      </c>
      <c r="T181" s="1711">
        <v>4.4999999999999998E-2</v>
      </c>
      <c r="U181" s="1712" t="s">
        <v>4126</v>
      </c>
      <c r="V181" s="1711">
        <v>0.19</v>
      </c>
      <c r="W181" s="1712" t="s">
        <v>4126</v>
      </c>
      <c r="X181" s="1711">
        <v>0.35</v>
      </c>
      <c r="Y181" s="1714" t="s">
        <v>4126</v>
      </c>
      <c r="Z181" s="1713"/>
      <c r="AA181" s="1715">
        <v>6.0999999999999997E-4</v>
      </c>
      <c r="AB181" s="1716" t="s">
        <v>4126</v>
      </c>
      <c r="AC181" s="1717"/>
    </row>
    <row r="182" spans="1:29" ht="15">
      <c r="A182" s="1704" t="s">
        <v>2210</v>
      </c>
      <c r="B182" s="1705" t="s">
        <v>2211</v>
      </c>
      <c r="C182" s="1736">
        <v>0.84</v>
      </c>
      <c r="D182" s="1708" t="s">
        <v>1073</v>
      </c>
      <c r="E182" s="1708"/>
      <c r="F182" s="1707"/>
      <c r="G182" s="1709">
        <v>2E-3</v>
      </c>
      <c r="H182" s="1708" t="s">
        <v>1073</v>
      </c>
      <c r="I182" s="1708"/>
      <c r="J182" s="1707"/>
      <c r="K182" s="1707"/>
      <c r="L182" s="1707"/>
      <c r="M182" s="1708">
        <v>1</v>
      </c>
      <c r="N182" s="1708">
        <v>0.1</v>
      </c>
      <c r="O182" s="1710"/>
      <c r="P182" s="1711">
        <v>0.65</v>
      </c>
      <c r="Q182" s="1712" t="s">
        <v>4126</v>
      </c>
      <c r="R182" s="1711">
        <v>2.7</v>
      </c>
      <c r="S182" s="1712" t="s">
        <v>4126</v>
      </c>
      <c r="T182" s="1712"/>
      <c r="U182" s="1713"/>
      <c r="V182" s="1712"/>
      <c r="W182" s="1713"/>
      <c r="X182" s="1711">
        <v>8.7999999999999995E-2</v>
      </c>
      <c r="Y182" s="1714" t="s">
        <v>4126</v>
      </c>
      <c r="Z182" s="1713"/>
      <c r="AA182" s="1715">
        <v>4.1E-5</v>
      </c>
      <c r="AB182" s="1716" t="s">
        <v>4126</v>
      </c>
      <c r="AC182" s="1717"/>
    </row>
    <row r="183" spans="1:29" ht="15">
      <c r="A183" s="1719"/>
      <c r="B183" s="1720" t="s">
        <v>2212</v>
      </c>
      <c r="C183" s="1721"/>
      <c r="D183" s="1722"/>
      <c r="E183" s="1723"/>
      <c r="F183" s="1722"/>
      <c r="G183" s="1723"/>
      <c r="H183" s="1722"/>
      <c r="I183" s="1723"/>
      <c r="J183" s="1722"/>
      <c r="K183" s="1722"/>
      <c r="L183" s="1722"/>
      <c r="M183" s="1723"/>
      <c r="N183" s="1723"/>
      <c r="O183" s="1725"/>
      <c r="P183" s="1727"/>
      <c r="Q183" s="1728"/>
      <c r="R183" s="1727"/>
      <c r="S183" s="1728"/>
      <c r="T183" s="1727"/>
      <c r="U183" s="1728"/>
      <c r="V183" s="1727"/>
      <c r="W183" s="1728"/>
      <c r="X183" s="1727"/>
      <c r="Y183" s="1743"/>
      <c r="Z183" s="1728"/>
      <c r="AA183" s="1731"/>
      <c r="AB183" s="1740"/>
      <c r="AC183" s="1732"/>
    </row>
    <row r="184" spans="1:29" ht="30">
      <c r="A184" s="1704" t="s">
        <v>2213</v>
      </c>
      <c r="B184" s="1705" t="s">
        <v>2214</v>
      </c>
      <c r="C184" s="1706"/>
      <c r="D184" s="1707"/>
      <c r="E184" s="1708"/>
      <c r="F184" s="1707"/>
      <c r="G184" s="1709">
        <v>1E-3</v>
      </c>
      <c r="H184" s="1708" t="s">
        <v>1119</v>
      </c>
      <c r="I184" s="1709">
        <v>8.9999999999999993E-3</v>
      </c>
      <c r="J184" s="1708" t="s">
        <v>1900</v>
      </c>
      <c r="K184" s="1707"/>
      <c r="L184" s="1707"/>
      <c r="M184" s="1708">
        <v>1</v>
      </c>
      <c r="N184" s="1708"/>
      <c r="O184" s="1710"/>
      <c r="P184" s="1711">
        <v>78</v>
      </c>
      <c r="Q184" s="1712" t="s">
        <v>1471</v>
      </c>
      <c r="R184" s="1711">
        <v>1200</v>
      </c>
      <c r="S184" s="1712" t="s">
        <v>1471</v>
      </c>
      <c r="T184" s="1711">
        <v>9.4</v>
      </c>
      <c r="U184" s="1712" t="s">
        <v>1471</v>
      </c>
      <c r="V184" s="1711">
        <v>39</v>
      </c>
      <c r="W184" s="1712" t="s">
        <v>1471</v>
      </c>
      <c r="X184" s="1711">
        <v>20</v>
      </c>
      <c r="Y184" s="1714" t="s">
        <v>1471</v>
      </c>
      <c r="Z184" s="1713"/>
      <c r="AA184" s="1716"/>
      <c r="AB184" s="1734"/>
      <c r="AC184" s="1717"/>
    </row>
    <row r="185" spans="1:29" ht="30">
      <c r="A185" s="1704" t="s">
        <v>2215</v>
      </c>
      <c r="B185" s="1705" t="s">
        <v>2216</v>
      </c>
      <c r="C185" s="1706"/>
      <c r="D185" s="1707"/>
      <c r="E185" s="1708"/>
      <c r="F185" s="1707"/>
      <c r="G185" s="1709">
        <v>5.0000000000000001E-3</v>
      </c>
      <c r="H185" s="1708" t="s">
        <v>1119</v>
      </c>
      <c r="I185" s="1708"/>
      <c r="J185" s="1707"/>
      <c r="K185" s="1707"/>
      <c r="L185" s="1707"/>
      <c r="M185" s="1708">
        <v>1</v>
      </c>
      <c r="N185" s="1708"/>
      <c r="O185" s="1710"/>
      <c r="P185" s="1711">
        <v>390</v>
      </c>
      <c r="Q185" s="1712" t="s">
        <v>1471</v>
      </c>
      <c r="R185" s="1711">
        <v>5800</v>
      </c>
      <c r="S185" s="1712" t="s">
        <v>1471</v>
      </c>
      <c r="T185" s="1712"/>
      <c r="U185" s="1713"/>
      <c r="V185" s="1712"/>
      <c r="W185" s="1713"/>
      <c r="X185" s="1711">
        <v>100</v>
      </c>
      <c r="Y185" s="1714" t="s">
        <v>1471</v>
      </c>
      <c r="Z185" s="1713"/>
      <c r="AA185" s="1716"/>
      <c r="AB185" s="1734"/>
      <c r="AC185" s="1717"/>
    </row>
    <row r="186" spans="1:29" ht="15">
      <c r="A186" s="1719" t="s">
        <v>144</v>
      </c>
      <c r="B186" s="1720" t="s">
        <v>2217</v>
      </c>
      <c r="C186" s="1721"/>
      <c r="D186" s="1722"/>
      <c r="E186" s="1723"/>
      <c r="F186" s="1722"/>
      <c r="G186" s="1724">
        <v>5.9999999999999995E-4</v>
      </c>
      <c r="H186" s="1723" t="s">
        <v>1119</v>
      </c>
      <c r="I186" s="1724">
        <v>8.0000000000000004E-4</v>
      </c>
      <c r="J186" s="1723" t="s">
        <v>2111</v>
      </c>
      <c r="K186" s="1723" t="s">
        <v>1127</v>
      </c>
      <c r="L186" s="1722"/>
      <c r="M186" s="1723">
        <v>1</v>
      </c>
      <c r="N186" s="1723"/>
      <c r="O186" s="1735">
        <v>954000</v>
      </c>
      <c r="P186" s="1726">
        <v>24</v>
      </c>
      <c r="Q186" s="1727" t="s">
        <v>1471</v>
      </c>
      <c r="R186" s="1726">
        <v>160</v>
      </c>
      <c r="S186" s="1727" t="s">
        <v>1471</v>
      </c>
      <c r="T186" s="1726">
        <v>0.83</v>
      </c>
      <c r="U186" s="1727" t="s">
        <v>1471</v>
      </c>
      <c r="V186" s="1726">
        <v>3.5</v>
      </c>
      <c r="W186" s="1727" t="s">
        <v>1471</v>
      </c>
      <c r="X186" s="1726">
        <v>1.5</v>
      </c>
      <c r="Y186" s="1729" t="s">
        <v>1471</v>
      </c>
      <c r="Z186" s="1726">
        <v>200</v>
      </c>
      <c r="AA186" s="1730">
        <v>1.4999999999999999E-2</v>
      </c>
      <c r="AB186" s="1731" t="s">
        <v>1471</v>
      </c>
      <c r="AC186" s="1739">
        <v>2</v>
      </c>
    </row>
    <row r="187" spans="1:29" ht="15">
      <c r="A187" s="1704" t="s">
        <v>2220</v>
      </c>
      <c r="B187" s="1705" t="s">
        <v>2221</v>
      </c>
      <c r="C187" s="1706"/>
      <c r="D187" s="1707"/>
      <c r="E187" s="1708"/>
      <c r="F187" s="1707"/>
      <c r="G187" s="1709">
        <v>1E-3</v>
      </c>
      <c r="H187" s="1708" t="s">
        <v>1119</v>
      </c>
      <c r="I187" s="1708"/>
      <c r="J187" s="1707"/>
      <c r="K187" s="1708" t="s">
        <v>1127</v>
      </c>
      <c r="L187" s="1707"/>
      <c r="M187" s="1708">
        <v>1</v>
      </c>
      <c r="N187" s="1708"/>
      <c r="O187" s="1710"/>
      <c r="P187" s="1711">
        <v>78</v>
      </c>
      <c r="Q187" s="1712" t="s">
        <v>1471</v>
      </c>
      <c r="R187" s="1711">
        <v>1200</v>
      </c>
      <c r="S187" s="1712" t="s">
        <v>1471</v>
      </c>
      <c r="T187" s="1712"/>
      <c r="U187" s="1713"/>
      <c r="V187" s="1712"/>
      <c r="W187" s="1713"/>
      <c r="X187" s="1711">
        <v>20</v>
      </c>
      <c r="Y187" s="1714" t="s">
        <v>1471</v>
      </c>
      <c r="Z187" s="1713"/>
      <c r="AA187" s="1716"/>
      <c r="AB187" s="1734"/>
      <c r="AC187" s="1717"/>
    </row>
    <row r="188" spans="1:29" ht="30">
      <c r="A188" s="1704" t="s">
        <v>2222</v>
      </c>
      <c r="B188" s="1705" t="s">
        <v>2223</v>
      </c>
      <c r="C188" s="1706"/>
      <c r="D188" s="1707"/>
      <c r="E188" s="1708"/>
      <c r="F188" s="1707"/>
      <c r="G188" s="1709">
        <v>0.09</v>
      </c>
      <c r="H188" s="1708" t="s">
        <v>1119</v>
      </c>
      <c r="I188" s="1708"/>
      <c r="J188" s="1707"/>
      <c r="K188" s="1708" t="s">
        <v>1127</v>
      </c>
      <c r="L188" s="1707"/>
      <c r="M188" s="1708">
        <v>1</v>
      </c>
      <c r="N188" s="1708"/>
      <c r="O188" s="1710"/>
      <c r="P188" s="1711">
        <v>7000</v>
      </c>
      <c r="Q188" s="1712" t="s">
        <v>1471</v>
      </c>
      <c r="R188" s="1711">
        <v>110000</v>
      </c>
      <c r="S188" s="1712" t="s">
        <v>4124</v>
      </c>
      <c r="T188" s="1712"/>
      <c r="U188" s="1713"/>
      <c r="V188" s="1712"/>
      <c r="W188" s="1713"/>
      <c r="X188" s="1711">
        <v>1800</v>
      </c>
      <c r="Y188" s="1714" t="s">
        <v>1471</v>
      </c>
      <c r="Z188" s="1713"/>
      <c r="AA188" s="1716"/>
      <c r="AB188" s="1734"/>
      <c r="AC188" s="1717"/>
    </row>
    <row r="189" spans="1:29" ht="30">
      <c r="A189" s="1719" t="s">
        <v>2224</v>
      </c>
      <c r="B189" s="1720" t="s">
        <v>2225</v>
      </c>
      <c r="C189" s="1721"/>
      <c r="D189" s="1722"/>
      <c r="E189" s="1723"/>
      <c r="F189" s="1722"/>
      <c r="G189" s="1724">
        <v>0.05</v>
      </c>
      <c r="H189" s="1723" t="s">
        <v>1119</v>
      </c>
      <c r="I189" s="1723"/>
      <c r="J189" s="1722"/>
      <c r="K189" s="1723" t="s">
        <v>1127</v>
      </c>
      <c r="L189" s="1722"/>
      <c r="M189" s="1723">
        <v>1</v>
      </c>
      <c r="N189" s="1723"/>
      <c r="O189" s="1725"/>
      <c r="P189" s="1726">
        <v>3900</v>
      </c>
      <c r="Q189" s="1727" t="s">
        <v>1471</v>
      </c>
      <c r="R189" s="1726">
        <v>58000</v>
      </c>
      <c r="S189" s="1727" t="s">
        <v>1471</v>
      </c>
      <c r="T189" s="1727"/>
      <c r="U189" s="1728"/>
      <c r="V189" s="1727"/>
      <c r="W189" s="1728"/>
      <c r="X189" s="1726">
        <v>1000</v>
      </c>
      <c r="Y189" s="1729" t="s">
        <v>1471</v>
      </c>
      <c r="Z189" s="1728"/>
      <c r="AA189" s="1731"/>
      <c r="AB189" s="1740"/>
      <c r="AC189" s="1732"/>
    </row>
    <row r="190" spans="1:29" ht="30">
      <c r="A190" s="1704" t="s">
        <v>2226</v>
      </c>
      <c r="B190" s="1705" t="s">
        <v>2227</v>
      </c>
      <c r="C190" s="1706"/>
      <c r="D190" s="1707"/>
      <c r="E190" s="1708"/>
      <c r="F190" s="1707"/>
      <c r="G190" s="1709">
        <v>5.9999999999999995E-4</v>
      </c>
      <c r="H190" s="1708" t="s">
        <v>1119</v>
      </c>
      <c r="I190" s="1709">
        <v>8.0000000000000004E-4</v>
      </c>
      <c r="J190" s="1708" t="s">
        <v>1119</v>
      </c>
      <c r="K190" s="1708" t="s">
        <v>1127</v>
      </c>
      <c r="L190" s="1707"/>
      <c r="M190" s="1708">
        <v>1</v>
      </c>
      <c r="N190" s="1708"/>
      <c r="O190" s="1718">
        <v>10000000</v>
      </c>
      <c r="P190" s="1711">
        <v>23</v>
      </c>
      <c r="Q190" s="1712" t="s">
        <v>1471</v>
      </c>
      <c r="R190" s="1711">
        <v>150</v>
      </c>
      <c r="S190" s="1712" t="s">
        <v>1471</v>
      </c>
      <c r="T190" s="1711">
        <v>0.83</v>
      </c>
      <c r="U190" s="1712" t="s">
        <v>1471</v>
      </c>
      <c r="V190" s="1711">
        <v>3.5</v>
      </c>
      <c r="W190" s="1712" t="s">
        <v>1471</v>
      </c>
      <c r="X190" s="1711">
        <v>1.5</v>
      </c>
      <c r="Y190" s="1714" t="s">
        <v>1471</v>
      </c>
      <c r="Z190" s="1713"/>
      <c r="AA190" s="1715">
        <v>1.4999999999999999E-2</v>
      </c>
      <c r="AB190" s="1716" t="s">
        <v>1471</v>
      </c>
      <c r="AC190" s="1717"/>
    </row>
    <row r="191" spans="1:29" ht="30">
      <c r="A191" s="1704" t="s">
        <v>2228</v>
      </c>
      <c r="B191" s="1705" t="s">
        <v>2229</v>
      </c>
      <c r="C191" s="1706"/>
      <c r="D191" s="1707"/>
      <c r="E191" s="1708"/>
      <c r="F191" s="1707"/>
      <c r="G191" s="1709">
        <v>2E-3</v>
      </c>
      <c r="H191" s="1708" t="s">
        <v>1119</v>
      </c>
      <c r="I191" s="1709">
        <v>8.9999999999999993E-3</v>
      </c>
      <c r="J191" s="1708" t="s">
        <v>1900</v>
      </c>
      <c r="K191" s="1707"/>
      <c r="L191" s="1707"/>
      <c r="M191" s="1708">
        <v>1</v>
      </c>
      <c r="N191" s="1708"/>
      <c r="O191" s="1710"/>
      <c r="P191" s="1711">
        <v>160</v>
      </c>
      <c r="Q191" s="1712" t="s">
        <v>1471</v>
      </c>
      <c r="R191" s="1711">
        <v>2300</v>
      </c>
      <c r="S191" s="1712" t="s">
        <v>1471</v>
      </c>
      <c r="T191" s="1711">
        <v>9.4</v>
      </c>
      <c r="U191" s="1712" t="s">
        <v>1471</v>
      </c>
      <c r="V191" s="1711">
        <v>39</v>
      </c>
      <c r="W191" s="1712" t="s">
        <v>1471</v>
      </c>
      <c r="X191" s="1711">
        <v>40</v>
      </c>
      <c r="Y191" s="1714" t="s">
        <v>1471</v>
      </c>
      <c r="Z191" s="1713"/>
      <c r="AA191" s="1716"/>
      <c r="AB191" s="1734"/>
      <c r="AC191" s="1717"/>
    </row>
    <row r="192" spans="1:29" ht="30">
      <c r="A192" s="1719" t="s">
        <v>2230</v>
      </c>
      <c r="B192" s="1720" t="s">
        <v>2231</v>
      </c>
      <c r="C192" s="1721"/>
      <c r="D192" s="1722"/>
      <c r="E192" s="1723"/>
      <c r="F192" s="1722"/>
      <c r="G192" s="1724">
        <v>5.0000000000000001E-3</v>
      </c>
      <c r="H192" s="1723" t="s">
        <v>1119</v>
      </c>
      <c r="I192" s="1723"/>
      <c r="J192" s="1722"/>
      <c r="K192" s="1722"/>
      <c r="L192" s="1722"/>
      <c r="M192" s="1723">
        <v>0.04</v>
      </c>
      <c r="N192" s="1723"/>
      <c r="O192" s="1725"/>
      <c r="P192" s="1726">
        <v>390</v>
      </c>
      <c r="Q192" s="1727" t="s">
        <v>1471</v>
      </c>
      <c r="R192" s="1726">
        <v>5800</v>
      </c>
      <c r="S192" s="1727" t="s">
        <v>1471</v>
      </c>
      <c r="T192" s="1727"/>
      <c r="U192" s="1728"/>
      <c r="V192" s="1727"/>
      <c r="W192" s="1728"/>
      <c r="X192" s="1726">
        <v>82</v>
      </c>
      <c r="Y192" s="1729" t="s">
        <v>1471</v>
      </c>
      <c r="Z192" s="1728"/>
      <c r="AA192" s="1731"/>
      <c r="AB192" s="1740"/>
      <c r="AC192" s="1732"/>
    </row>
    <row r="193" spans="1:29" ht="15">
      <c r="A193" s="1704" t="s">
        <v>2232</v>
      </c>
      <c r="B193" s="1705" t="s">
        <v>2233</v>
      </c>
      <c r="C193" s="1706"/>
      <c r="D193" s="1707"/>
      <c r="E193" s="1708"/>
      <c r="F193" s="1707"/>
      <c r="G193" s="1709">
        <v>0.1</v>
      </c>
      <c r="H193" s="1708" t="s">
        <v>1119</v>
      </c>
      <c r="I193" s="1708"/>
      <c r="J193" s="1707"/>
      <c r="K193" s="1707"/>
      <c r="L193" s="1707"/>
      <c r="M193" s="1708">
        <v>0.04</v>
      </c>
      <c r="N193" s="1708"/>
      <c r="O193" s="1710"/>
      <c r="P193" s="1711">
        <v>7800</v>
      </c>
      <c r="Q193" s="1712" t="s">
        <v>1471</v>
      </c>
      <c r="R193" s="1711">
        <v>120000</v>
      </c>
      <c r="S193" s="1712" t="s">
        <v>4124</v>
      </c>
      <c r="T193" s="1712"/>
      <c r="U193" s="1713"/>
      <c r="V193" s="1712"/>
      <c r="W193" s="1713"/>
      <c r="X193" s="1711">
        <v>1800</v>
      </c>
      <c r="Y193" s="1714" t="s">
        <v>1471</v>
      </c>
      <c r="Z193" s="1713"/>
      <c r="AA193" s="1716"/>
      <c r="AB193" s="1734"/>
      <c r="AC193" s="1717"/>
    </row>
    <row r="194" spans="1:29" ht="30">
      <c r="A194" s="1704" t="s">
        <v>2234</v>
      </c>
      <c r="B194" s="1705" t="s">
        <v>2235</v>
      </c>
      <c r="C194" s="1706"/>
      <c r="D194" s="1707"/>
      <c r="E194" s="1708"/>
      <c r="F194" s="1707"/>
      <c r="G194" s="1709">
        <v>1E-3</v>
      </c>
      <c r="H194" s="1708" t="s">
        <v>1119</v>
      </c>
      <c r="I194" s="1709">
        <v>8.9999999999999993E-3</v>
      </c>
      <c r="J194" s="1708" t="s">
        <v>1900</v>
      </c>
      <c r="K194" s="1707"/>
      <c r="L194" s="1707"/>
      <c r="M194" s="1708">
        <v>1</v>
      </c>
      <c r="N194" s="1708"/>
      <c r="O194" s="1710"/>
      <c r="P194" s="1711">
        <v>78</v>
      </c>
      <c r="Q194" s="1712" t="s">
        <v>1471</v>
      </c>
      <c r="R194" s="1711">
        <v>1200</v>
      </c>
      <c r="S194" s="1712" t="s">
        <v>1471</v>
      </c>
      <c r="T194" s="1711">
        <v>9.4</v>
      </c>
      <c r="U194" s="1712" t="s">
        <v>1471</v>
      </c>
      <c r="V194" s="1711">
        <v>39</v>
      </c>
      <c r="W194" s="1712" t="s">
        <v>1471</v>
      </c>
      <c r="X194" s="1711">
        <v>20</v>
      </c>
      <c r="Y194" s="1714" t="s">
        <v>1471</v>
      </c>
      <c r="Z194" s="1711">
        <v>200</v>
      </c>
      <c r="AA194" s="1716"/>
      <c r="AB194" s="1734"/>
      <c r="AC194" s="1717"/>
    </row>
    <row r="195" spans="1:29" ht="15">
      <c r="A195" s="1719" t="s">
        <v>2236</v>
      </c>
      <c r="B195" s="1720" t="s">
        <v>2237</v>
      </c>
      <c r="C195" s="1721"/>
      <c r="D195" s="1722"/>
      <c r="E195" s="1723"/>
      <c r="F195" s="1722"/>
      <c r="G195" s="1724">
        <v>0.05</v>
      </c>
      <c r="H195" s="1723" t="s">
        <v>1119</v>
      </c>
      <c r="I195" s="1723"/>
      <c r="J195" s="1722"/>
      <c r="K195" s="1722"/>
      <c r="L195" s="1722"/>
      <c r="M195" s="1723">
        <v>1</v>
      </c>
      <c r="N195" s="1723"/>
      <c r="O195" s="1725"/>
      <c r="P195" s="1726">
        <v>3900</v>
      </c>
      <c r="Q195" s="1727" t="s">
        <v>1471</v>
      </c>
      <c r="R195" s="1726">
        <v>58000</v>
      </c>
      <c r="S195" s="1727" t="s">
        <v>1471</v>
      </c>
      <c r="T195" s="1727"/>
      <c r="U195" s="1728"/>
      <c r="V195" s="1727"/>
      <c r="W195" s="1728"/>
      <c r="X195" s="1726">
        <v>1000</v>
      </c>
      <c r="Y195" s="1729" t="s">
        <v>1471</v>
      </c>
      <c r="Z195" s="1728"/>
      <c r="AA195" s="1731"/>
      <c r="AB195" s="1740"/>
      <c r="AC195" s="1732"/>
    </row>
    <row r="196" spans="1:29" ht="15">
      <c r="A196" s="1704" t="s">
        <v>2238</v>
      </c>
      <c r="B196" s="1705" t="s">
        <v>2239</v>
      </c>
      <c r="C196" s="1706"/>
      <c r="D196" s="1707"/>
      <c r="E196" s="1708"/>
      <c r="F196" s="1707"/>
      <c r="G196" s="1708"/>
      <c r="H196" s="1707"/>
      <c r="I196" s="1709">
        <v>6</v>
      </c>
      <c r="J196" s="1708" t="s">
        <v>1119</v>
      </c>
      <c r="K196" s="1708" t="s">
        <v>1127</v>
      </c>
      <c r="L196" s="1707"/>
      <c r="M196" s="1708">
        <v>1</v>
      </c>
      <c r="N196" s="1708"/>
      <c r="O196" s="1718">
        <v>117</v>
      </c>
      <c r="P196" s="1711">
        <v>6500</v>
      </c>
      <c r="Q196" s="1712" t="s">
        <v>4125</v>
      </c>
      <c r="R196" s="1711">
        <v>27000</v>
      </c>
      <c r="S196" s="1712" t="s">
        <v>4125</v>
      </c>
      <c r="T196" s="1711">
        <v>6300</v>
      </c>
      <c r="U196" s="1712" t="s">
        <v>1471</v>
      </c>
      <c r="V196" s="1711">
        <v>26000</v>
      </c>
      <c r="W196" s="1712" t="s">
        <v>1471</v>
      </c>
      <c r="X196" s="1711">
        <v>13000</v>
      </c>
      <c r="Y196" s="1714" t="s">
        <v>1471</v>
      </c>
      <c r="Z196" s="1713"/>
      <c r="AA196" s="1715">
        <v>13</v>
      </c>
      <c r="AB196" s="1716" t="s">
        <v>1471</v>
      </c>
      <c r="AC196" s="1717"/>
    </row>
    <row r="197" spans="1:29" ht="60">
      <c r="A197" s="1704" t="s">
        <v>2240</v>
      </c>
      <c r="B197" s="1705" t="s">
        <v>2241</v>
      </c>
      <c r="C197" s="1736">
        <v>0.02</v>
      </c>
      <c r="D197" s="1708" t="s">
        <v>1893</v>
      </c>
      <c r="E197" s="1708"/>
      <c r="F197" s="1707"/>
      <c r="G197" s="1709">
        <v>0.02</v>
      </c>
      <c r="H197" s="1708" t="s">
        <v>1893</v>
      </c>
      <c r="I197" s="1708"/>
      <c r="J197" s="1707"/>
      <c r="K197" s="1707"/>
      <c r="L197" s="1707"/>
      <c r="M197" s="1708">
        <v>1</v>
      </c>
      <c r="N197" s="1708">
        <v>0.1</v>
      </c>
      <c r="O197" s="1710"/>
      <c r="P197" s="1711">
        <v>27</v>
      </c>
      <c r="Q197" s="1712" t="s">
        <v>4127</v>
      </c>
      <c r="R197" s="1711">
        <v>110</v>
      </c>
      <c r="S197" s="1712" t="s">
        <v>4126</v>
      </c>
      <c r="T197" s="1712"/>
      <c r="U197" s="1713"/>
      <c r="V197" s="1712"/>
      <c r="W197" s="1713"/>
      <c r="X197" s="1711">
        <v>2.8</v>
      </c>
      <c r="Y197" s="1714" t="s">
        <v>4126</v>
      </c>
      <c r="Z197" s="1713"/>
      <c r="AA197" s="1715">
        <v>1.6E-2</v>
      </c>
      <c r="AB197" s="1716" t="s">
        <v>4126</v>
      </c>
      <c r="AC197" s="1717"/>
    </row>
    <row r="198" spans="1:29" ht="15">
      <c r="A198" s="1719" t="s">
        <v>2242</v>
      </c>
      <c r="B198" s="1720" t="s">
        <v>2243</v>
      </c>
      <c r="C198" s="1721"/>
      <c r="D198" s="1722"/>
      <c r="E198" s="1723"/>
      <c r="F198" s="1722"/>
      <c r="G198" s="1724">
        <v>5</v>
      </c>
      <c r="H198" s="1723" t="s">
        <v>1119</v>
      </c>
      <c r="I198" s="1724">
        <v>0.7</v>
      </c>
      <c r="J198" s="1723" t="s">
        <v>1909</v>
      </c>
      <c r="K198" s="1723" t="s">
        <v>1127</v>
      </c>
      <c r="L198" s="1722"/>
      <c r="M198" s="1723">
        <v>1</v>
      </c>
      <c r="N198" s="1723"/>
      <c r="O198" s="1735">
        <v>5110</v>
      </c>
      <c r="P198" s="1726">
        <v>28000</v>
      </c>
      <c r="Q198" s="1727" t="s">
        <v>4125</v>
      </c>
      <c r="R198" s="1726">
        <v>130000</v>
      </c>
      <c r="S198" s="1727" t="s">
        <v>4123</v>
      </c>
      <c r="T198" s="1726">
        <v>730</v>
      </c>
      <c r="U198" s="1727" t="s">
        <v>1471</v>
      </c>
      <c r="V198" s="1726">
        <v>3100</v>
      </c>
      <c r="W198" s="1727" t="s">
        <v>1471</v>
      </c>
      <c r="X198" s="1726">
        <v>1400</v>
      </c>
      <c r="Y198" s="1729" t="s">
        <v>1471</v>
      </c>
      <c r="Z198" s="1728"/>
      <c r="AA198" s="1730">
        <v>0.34</v>
      </c>
      <c r="AB198" s="1731" t="s">
        <v>1471</v>
      </c>
      <c r="AC198" s="1732"/>
    </row>
    <row r="199" spans="1:29" ht="15">
      <c r="A199" s="1704" t="s">
        <v>2244</v>
      </c>
      <c r="B199" s="1705" t="s">
        <v>2245</v>
      </c>
      <c r="C199" s="1706"/>
      <c r="D199" s="1707"/>
      <c r="E199" s="1708"/>
      <c r="F199" s="1707"/>
      <c r="G199" s="1709">
        <v>5.0000000000000001E-3</v>
      </c>
      <c r="H199" s="1708" t="s">
        <v>1909</v>
      </c>
      <c r="I199" s="1709">
        <v>1</v>
      </c>
      <c r="J199" s="1708" t="s">
        <v>1893</v>
      </c>
      <c r="K199" s="1708" t="s">
        <v>1127</v>
      </c>
      <c r="L199" s="1707"/>
      <c r="M199" s="1708">
        <v>1</v>
      </c>
      <c r="N199" s="1708"/>
      <c r="O199" s="1718">
        <v>283</v>
      </c>
      <c r="P199" s="1711">
        <v>310</v>
      </c>
      <c r="Q199" s="1712" t="s">
        <v>4125</v>
      </c>
      <c r="R199" s="1711">
        <v>3100</v>
      </c>
      <c r="S199" s="1712" t="s">
        <v>4125</v>
      </c>
      <c r="T199" s="1711">
        <v>1000</v>
      </c>
      <c r="U199" s="1712" t="s">
        <v>1471</v>
      </c>
      <c r="V199" s="1711">
        <v>4400</v>
      </c>
      <c r="W199" s="1712" t="s">
        <v>1471</v>
      </c>
      <c r="X199" s="1711">
        <v>70</v>
      </c>
      <c r="Y199" s="1714" t="s">
        <v>1471</v>
      </c>
      <c r="Z199" s="1713"/>
      <c r="AA199" s="1715">
        <v>4.5999999999999999E-2</v>
      </c>
      <c r="AB199" s="1716" t="s">
        <v>1471</v>
      </c>
      <c r="AC199" s="1717"/>
    </row>
    <row r="200" spans="1:29" ht="15">
      <c r="A200" s="1704" t="s">
        <v>2246</v>
      </c>
      <c r="B200" s="1705" t="s">
        <v>2247</v>
      </c>
      <c r="C200" s="1706"/>
      <c r="D200" s="1707"/>
      <c r="E200" s="1708"/>
      <c r="F200" s="1707"/>
      <c r="G200" s="1709">
        <v>0.2</v>
      </c>
      <c r="H200" s="1708" t="s">
        <v>1119</v>
      </c>
      <c r="I200" s="1708"/>
      <c r="J200" s="1707"/>
      <c r="K200" s="1708" t="s">
        <v>1127</v>
      </c>
      <c r="L200" s="1707"/>
      <c r="M200" s="1708">
        <v>1</v>
      </c>
      <c r="N200" s="1708"/>
      <c r="O200" s="1718">
        <v>293000</v>
      </c>
      <c r="P200" s="1711">
        <v>16000</v>
      </c>
      <c r="Q200" s="1712" t="s">
        <v>1471</v>
      </c>
      <c r="R200" s="1711">
        <v>230000</v>
      </c>
      <c r="S200" s="1712" t="s">
        <v>4124</v>
      </c>
      <c r="T200" s="1712"/>
      <c r="U200" s="1713"/>
      <c r="V200" s="1712"/>
      <c r="W200" s="1713"/>
      <c r="X200" s="1711">
        <v>3800</v>
      </c>
      <c r="Y200" s="1714" t="s">
        <v>1471</v>
      </c>
      <c r="Z200" s="1713"/>
      <c r="AA200" s="1715">
        <v>1</v>
      </c>
      <c r="AB200" s="1716" t="s">
        <v>1471</v>
      </c>
      <c r="AC200" s="1717"/>
    </row>
    <row r="201" spans="1:29" ht="15">
      <c r="A201" s="1719" t="s">
        <v>2248</v>
      </c>
      <c r="B201" s="1720" t="s">
        <v>2249</v>
      </c>
      <c r="C201" s="1721"/>
      <c r="D201" s="1722"/>
      <c r="E201" s="1723"/>
      <c r="F201" s="1722"/>
      <c r="G201" s="1724">
        <v>2.5000000000000001E-2</v>
      </c>
      <c r="H201" s="1723" t="s">
        <v>1119</v>
      </c>
      <c r="I201" s="1723"/>
      <c r="J201" s="1722"/>
      <c r="K201" s="1722"/>
      <c r="L201" s="1722"/>
      <c r="M201" s="1723">
        <v>1</v>
      </c>
      <c r="N201" s="1723">
        <v>0.1</v>
      </c>
      <c r="O201" s="1725"/>
      <c r="P201" s="1726">
        <v>1600</v>
      </c>
      <c r="Q201" s="1727" t="s">
        <v>1471</v>
      </c>
      <c r="R201" s="1726">
        <v>21000</v>
      </c>
      <c r="S201" s="1727" t="s">
        <v>1471</v>
      </c>
      <c r="T201" s="1727"/>
      <c r="U201" s="1728"/>
      <c r="V201" s="1727"/>
      <c r="W201" s="1728"/>
      <c r="X201" s="1726">
        <v>120</v>
      </c>
      <c r="Y201" s="1729" t="s">
        <v>1471</v>
      </c>
      <c r="Z201" s="1728"/>
      <c r="AA201" s="1730">
        <v>31</v>
      </c>
      <c r="AB201" s="1731" t="s">
        <v>1471</v>
      </c>
      <c r="AC201" s="1732"/>
    </row>
    <row r="202" spans="1:29" ht="15">
      <c r="A202" s="1704" t="s">
        <v>2250</v>
      </c>
      <c r="B202" s="1705" t="s">
        <v>2251</v>
      </c>
      <c r="C202" s="1706"/>
      <c r="D202" s="1707"/>
      <c r="E202" s="1708"/>
      <c r="F202" s="1707"/>
      <c r="G202" s="1709">
        <v>0.5</v>
      </c>
      <c r="H202" s="1708" t="s">
        <v>1116</v>
      </c>
      <c r="I202" s="1708"/>
      <c r="J202" s="1707"/>
      <c r="K202" s="1707"/>
      <c r="L202" s="1707"/>
      <c r="M202" s="1708">
        <v>1</v>
      </c>
      <c r="N202" s="1708">
        <v>0.1</v>
      </c>
      <c r="O202" s="1710"/>
      <c r="P202" s="1711">
        <v>32000</v>
      </c>
      <c r="Q202" s="1712" t="s">
        <v>1471</v>
      </c>
      <c r="R202" s="1711">
        <v>410000</v>
      </c>
      <c r="S202" s="1712" t="s">
        <v>4124</v>
      </c>
      <c r="T202" s="1712"/>
      <c r="U202" s="1713"/>
      <c r="V202" s="1712"/>
      <c r="W202" s="1713"/>
      <c r="X202" s="1711">
        <v>9900</v>
      </c>
      <c r="Y202" s="1714" t="s">
        <v>1471</v>
      </c>
      <c r="Z202" s="1713"/>
      <c r="AA202" s="1715">
        <v>2.5</v>
      </c>
      <c r="AB202" s="1716" t="s">
        <v>1471</v>
      </c>
      <c r="AC202" s="1717"/>
    </row>
    <row r="203" spans="1:29" ht="15">
      <c r="A203" s="1704" t="s">
        <v>2252</v>
      </c>
      <c r="B203" s="1705" t="s">
        <v>2253</v>
      </c>
      <c r="C203" s="1706"/>
      <c r="D203" s="1707"/>
      <c r="E203" s="1708"/>
      <c r="F203" s="1707"/>
      <c r="G203" s="1709">
        <v>0.03</v>
      </c>
      <c r="H203" s="1708" t="s">
        <v>1119</v>
      </c>
      <c r="I203" s="1708"/>
      <c r="J203" s="1707"/>
      <c r="K203" s="1707"/>
      <c r="L203" s="1707"/>
      <c r="M203" s="1708">
        <v>1</v>
      </c>
      <c r="N203" s="1708">
        <v>0.1</v>
      </c>
      <c r="O203" s="1710"/>
      <c r="P203" s="1711">
        <v>1900</v>
      </c>
      <c r="Q203" s="1712" t="s">
        <v>1471</v>
      </c>
      <c r="R203" s="1711">
        <v>25000</v>
      </c>
      <c r="S203" s="1712" t="s">
        <v>1471</v>
      </c>
      <c r="T203" s="1712"/>
      <c r="U203" s="1713"/>
      <c r="V203" s="1712"/>
      <c r="W203" s="1713"/>
      <c r="X203" s="1711">
        <v>600</v>
      </c>
      <c r="Y203" s="1714" t="s">
        <v>1471</v>
      </c>
      <c r="Z203" s="1711">
        <v>200</v>
      </c>
      <c r="AA203" s="1715">
        <v>0.12</v>
      </c>
      <c r="AB203" s="1716" t="s">
        <v>1471</v>
      </c>
      <c r="AC203" s="1738">
        <v>4.1000000000000002E-2</v>
      </c>
    </row>
    <row r="204" spans="1:29" ht="15">
      <c r="A204" s="1719" t="s">
        <v>2254</v>
      </c>
      <c r="B204" s="1720" t="s">
        <v>2255</v>
      </c>
      <c r="C204" s="1737">
        <v>1.7999999999999999E-2</v>
      </c>
      <c r="D204" s="1723" t="s">
        <v>1900</v>
      </c>
      <c r="E204" s="1724">
        <v>5.1000000000000003E-6</v>
      </c>
      <c r="F204" s="1723" t="s">
        <v>1900</v>
      </c>
      <c r="G204" s="1724">
        <v>0.15</v>
      </c>
      <c r="H204" s="1723" t="s">
        <v>1119</v>
      </c>
      <c r="I204" s="1723"/>
      <c r="J204" s="1722"/>
      <c r="K204" s="1722"/>
      <c r="L204" s="1722"/>
      <c r="M204" s="1723">
        <v>1</v>
      </c>
      <c r="N204" s="1723">
        <v>0.1</v>
      </c>
      <c r="O204" s="1725"/>
      <c r="P204" s="1726">
        <v>30</v>
      </c>
      <c r="Q204" s="1727" t="s">
        <v>4126</v>
      </c>
      <c r="R204" s="1726">
        <v>130</v>
      </c>
      <c r="S204" s="1727" t="s">
        <v>4126</v>
      </c>
      <c r="T204" s="1726">
        <v>0.55000000000000004</v>
      </c>
      <c r="U204" s="1727" t="s">
        <v>4126</v>
      </c>
      <c r="V204" s="1726">
        <v>2.4</v>
      </c>
      <c r="W204" s="1727" t="s">
        <v>4126</v>
      </c>
      <c r="X204" s="1726">
        <v>4.3</v>
      </c>
      <c r="Y204" s="1729" t="s">
        <v>4126</v>
      </c>
      <c r="Z204" s="1728"/>
      <c r="AA204" s="1730">
        <v>9.5E-4</v>
      </c>
      <c r="AB204" s="1731" t="s">
        <v>4126</v>
      </c>
      <c r="AC204" s="1732"/>
    </row>
    <row r="205" spans="1:29" ht="60">
      <c r="A205" s="1704" t="s">
        <v>2256</v>
      </c>
      <c r="B205" s="1705" t="s">
        <v>2257</v>
      </c>
      <c r="C205" s="1736">
        <v>6.9999999999999999E-4</v>
      </c>
      <c r="D205" s="1708" t="s">
        <v>1119</v>
      </c>
      <c r="E205" s="1708"/>
      <c r="F205" s="1707"/>
      <c r="G205" s="1709">
        <v>7.0000000000000001E-3</v>
      </c>
      <c r="H205" s="1708" t="s">
        <v>1119</v>
      </c>
      <c r="I205" s="1708"/>
      <c r="J205" s="1707"/>
      <c r="K205" s="1707"/>
      <c r="L205" s="1707"/>
      <c r="M205" s="1708">
        <v>1</v>
      </c>
      <c r="N205" s="1708">
        <v>0.1</v>
      </c>
      <c r="O205" s="1710"/>
      <c r="P205" s="1711">
        <v>440</v>
      </c>
      <c r="Q205" s="1712" t="s">
        <v>1471</v>
      </c>
      <c r="R205" s="1711">
        <v>3300</v>
      </c>
      <c r="S205" s="1712" t="s">
        <v>4122</v>
      </c>
      <c r="T205" s="1712"/>
      <c r="U205" s="1713"/>
      <c r="V205" s="1712"/>
      <c r="W205" s="1713"/>
      <c r="X205" s="1711">
        <v>110</v>
      </c>
      <c r="Y205" s="1714" t="s">
        <v>4122</v>
      </c>
      <c r="Z205" s="1713"/>
      <c r="AA205" s="1715">
        <v>62</v>
      </c>
      <c r="AB205" s="1716" t="s">
        <v>4122</v>
      </c>
      <c r="AC205" s="1717"/>
    </row>
    <row r="206" spans="1:29" ht="15">
      <c r="A206" s="1704" t="s">
        <v>2259</v>
      </c>
      <c r="B206" s="1705" t="s">
        <v>2260</v>
      </c>
      <c r="C206" s="1706"/>
      <c r="D206" s="1707"/>
      <c r="E206" s="1708"/>
      <c r="F206" s="1707"/>
      <c r="G206" s="1709">
        <v>4.0000000000000003E-5</v>
      </c>
      <c r="H206" s="1708" t="s">
        <v>1119</v>
      </c>
      <c r="I206" s="1708"/>
      <c r="J206" s="1707"/>
      <c r="K206" s="1707"/>
      <c r="L206" s="1707"/>
      <c r="M206" s="1708">
        <v>1</v>
      </c>
      <c r="N206" s="1708">
        <v>0.1</v>
      </c>
      <c r="O206" s="1710"/>
      <c r="P206" s="1711">
        <v>2.5</v>
      </c>
      <c r="Q206" s="1712" t="s">
        <v>1471</v>
      </c>
      <c r="R206" s="1711">
        <v>33</v>
      </c>
      <c r="S206" s="1712" t="s">
        <v>1471</v>
      </c>
      <c r="T206" s="1712"/>
      <c r="U206" s="1713"/>
      <c r="V206" s="1712"/>
      <c r="W206" s="1713"/>
      <c r="X206" s="1711">
        <v>0.42</v>
      </c>
      <c r="Y206" s="1714" t="s">
        <v>1471</v>
      </c>
      <c r="Z206" s="1713"/>
      <c r="AA206" s="1716"/>
      <c r="AB206" s="1734"/>
      <c r="AC206" s="1717"/>
    </row>
    <row r="207" spans="1:29" ht="30">
      <c r="A207" s="1719" t="s">
        <v>2261</v>
      </c>
      <c r="B207" s="1720" t="s">
        <v>2262</v>
      </c>
      <c r="C207" s="1737">
        <v>1.1999999999999999E-3</v>
      </c>
      <c r="D207" s="1723" t="s">
        <v>1119</v>
      </c>
      <c r="E207" s="1723"/>
      <c r="F207" s="1722"/>
      <c r="G207" s="1724">
        <v>0.6</v>
      </c>
      <c r="H207" s="1723" t="s">
        <v>1119</v>
      </c>
      <c r="I207" s="1723"/>
      <c r="J207" s="1722"/>
      <c r="K207" s="1722"/>
      <c r="L207" s="1722"/>
      <c r="M207" s="1723">
        <v>1</v>
      </c>
      <c r="N207" s="1723">
        <v>0.1</v>
      </c>
      <c r="O207" s="1725"/>
      <c r="P207" s="1726">
        <v>450</v>
      </c>
      <c r="Q207" s="1727" t="s">
        <v>4127</v>
      </c>
      <c r="R207" s="1726">
        <v>1900</v>
      </c>
      <c r="S207" s="1727" t="s">
        <v>4126</v>
      </c>
      <c r="T207" s="1727"/>
      <c r="U207" s="1728"/>
      <c r="V207" s="1727"/>
      <c r="W207" s="1728"/>
      <c r="X207" s="1726">
        <v>65</v>
      </c>
      <c r="Y207" s="1729" t="s">
        <v>4126</v>
      </c>
      <c r="Z207" s="1726">
        <v>400</v>
      </c>
      <c r="AA207" s="1730">
        <v>4.7</v>
      </c>
      <c r="AB207" s="1731" t="s">
        <v>4126</v>
      </c>
      <c r="AC207" s="1739">
        <v>29</v>
      </c>
    </row>
    <row r="208" spans="1:29" ht="15">
      <c r="A208" s="1704" t="s">
        <v>2263</v>
      </c>
      <c r="B208" s="1705" t="s">
        <v>2264</v>
      </c>
      <c r="C208" s="1736">
        <v>6.0999999999999999E-2</v>
      </c>
      <c r="D208" s="1708" t="s">
        <v>1073</v>
      </c>
      <c r="E208" s="1708"/>
      <c r="F208" s="1707"/>
      <c r="G208" s="1708"/>
      <c r="H208" s="1707"/>
      <c r="I208" s="1708"/>
      <c r="J208" s="1707"/>
      <c r="K208" s="1707"/>
      <c r="L208" s="1707"/>
      <c r="M208" s="1708">
        <v>1</v>
      </c>
      <c r="N208" s="1708">
        <v>0.1</v>
      </c>
      <c r="O208" s="1710"/>
      <c r="P208" s="1711">
        <v>8.9</v>
      </c>
      <c r="Q208" s="1712" t="s">
        <v>4126</v>
      </c>
      <c r="R208" s="1711">
        <v>38</v>
      </c>
      <c r="S208" s="1712" t="s">
        <v>4126</v>
      </c>
      <c r="T208" s="1712"/>
      <c r="U208" s="1713"/>
      <c r="V208" s="1712"/>
      <c r="W208" s="1713"/>
      <c r="X208" s="1711">
        <v>0.54</v>
      </c>
      <c r="Y208" s="1714" t="s">
        <v>4126</v>
      </c>
      <c r="Z208" s="1713"/>
      <c r="AA208" s="1715">
        <v>8.0000000000000004E-4</v>
      </c>
      <c r="AB208" s="1716" t="s">
        <v>4126</v>
      </c>
      <c r="AC208" s="1717"/>
    </row>
    <row r="209" spans="1:29" ht="15">
      <c r="A209" s="1704" t="s">
        <v>2265</v>
      </c>
      <c r="B209" s="1705" t="s">
        <v>2266</v>
      </c>
      <c r="C209" s="1706"/>
      <c r="D209" s="1707"/>
      <c r="E209" s="1708"/>
      <c r="F209" s="1707"/>
      <c r="G209" s="1709">
        <v>6.9999999999999999E-4</v>
      </c>
      <c r="H209" s="1708" t="s">
        <v>1960</v>
      </c>
      <c r="I209" s="1708"/>
      <c r="J209" s="1707"/>
      <c r="K209" s="1707"/>
      <c r="L209" s="1707"/>
      <c r="M209" s="1708">
        <v>1</v>
      </c>
      <c r="N209" s="1708">
        <v>0.1</v>
      </c>
      <c r="O209" s="1710"/>
      <c r="P209" s="1711">
        <v>44</v>
      </c>
      <c r="Q209" s="1712" t="s">
        <v>1471</v>
      </c>
      <c r="R209" s="1711">
        <v>570</v>
      </c>
      <c r="S209" s="1712" t="s">
        <v>1471</v>
      </c>
      <c r="T209" s="1712"/>
      <c r="U209" s="1713"/>
      <c r="V209" s="1712"/>
      <c r="W209" s="1713"/>
      <c r="X209" s="1711">
        <v>10</v>
      </c>
      <c r="Y209" s="1714" t="s">
        <v>1471</v>
      </c>
      <c r="Z209" s="1713"/>
      <c r="AA209" s="1715">
        <v>6.5000000000000002E-2</v>
      </c>
      <c r="AB209" s="1716" t="s">
        <v>1471</v>
      </c>
      <c r="AC209" s="1717"/>
    </row>
    <row r="210" spans="1:29" ht="45">
      <c r="A210" s="1719" t="s">
        <v>148</v>
      </c>
      <c r="B210" s="1720" t="s">
        <v>2267</v>
      </c>
      <c r="C210" s="1737">
        <v>0.8</v>
      </c>
      <c r="D210" s="1723" t="s">
        <v>1909</v>
      </c>
      <c r="E210" s="1724">
        <v>6.0000000000000001E-3</v>
      </c>
      <c r="F210" s="1723" t="s">
        <v>1909</v>
      </c>
      <c r="G210" s="1724">
        <v>2.0000000000000001E-4</v>
      </c>
      <c r="H210" s="1723" t="s">
        <v>1909</v>
      </c>
      <c r="I210" s="1724">
        <v>2.0000000000000001E-4</v>
      </c>
      <c r="J210" s="1723" t="s">
        <v>1119</v>
      </c>
      <c r="K210" s="1723" t="s">
        <v>1127</v>
      </c>
      <c r="L210" s="1723" t="s">
        <v>1906</v>
      </c>
      <c r="M210" s="1723">
        <v>1</v>
      </c>
      <c r="N210" s="1723"/>
      <c r="O210" s="1735">
        <v>979</v>
      </c>
      <c r="P210" s="1726">
        <v>5.3E-3</v>
      </c>
      <c r="Q210" s="1727" t="s">
        <v>4126</v>
      </c>
      <c r="R210" s="1726">
        <v>6.4000000000000001E-2</v>
      </c>
      <c r="S210" s="1727" t="s">
        <v>4126</v>
      </c>
      <c r="T210" s="1726">
        <v>1.7000000000000001E-4</v>
      </c>
      <c r="U210" s="1727" t="s">
        <v>4126</v>
      </c>
      <c r="V210" s="1726">
        <v>2E-3</v>
      </c>
      <c r="W210" s="1727" t="s">
        <v>4126</v>
      </c>
      <c r="X210" s="1726">
        <v>3.3E-4</v>
      </c>
      <c r="Y210" s="1729" t="s">
        <v>4126</v>
      </c>
      <c r="Z210" s="1726">
        <v>0.2</v>
      </c>
      <c r="AA210" s="1730">
        <v>1.4000000000000001E-7</v>
      </c>
      <c r="AB210" s="1731" t="s">
        <v>4126</v>
      </c>
      <c r="AC210" s="1739">
        <v>8.6000000000000003E-5</v>
      </c>
    </row>
    <row r="211" spans="1:29" ht="30">
      <c r="A211" s="1704" t="s">
        <v>2268</v>
      </c>
      <c r="B211" s="1705" t="s">
        <v>2269</v>
      </c>
      <c r="C211" s="1736">
        <v>0.25</v>
      </c>
      <c r="D211" s="1708" t="s">
        <v>1900</v>
      </c>
      <c r="E211" s="1708"/>
      <c r="F211" s="1707"/>
      <c r="G211" s="1709">
        <v>2.9999999999999997E-4</v>
      </c>
      <c r="H211" s="1708" t="s">
        <v>1900</v>
      </c>
      <c r="I211" s="1708"/>
      <c r="J211" s="1707"/>
      <c r="K211" s="1707"/>
      <c r="L211" s="1707"/>
      <c r="M211" s="1708">
        <v>1</v>
      </c>
      <c r="N211" s="1708">
        <v>0.1</v>
      </c>
      <c r="O211" s="1710"/>
      <c r="P211" s="1711">
        <v>2.2000000000000002</v>
      </c>
      <c r="Q211" s="1712" t="s">
        <v>4122</v>
      </c>
      <c r="R211" s="1711">
        <v>9.1999999999999993</v>
      </c>
      <c r="S211" s="1712" t="s">
        <v>4127</v>
      </c>
      <c r="T211" s="1712"/>
      <c r="U211" s="1713"/>
      <c r="V211" s="1712"/>
      <c r="W211" s="1713"/>
      <c r="X211" s="1711">
        <v>0.31</v>
      </c>
      <c r="Y211" s="1714" t="s">
        <v>4127</v>
      </c>
      <c r="Z211" s="1712" t="s">
        <v>4131</v>
      </c>
      <c r="AA211" s="1715">
        <v>6.3E-5</v>
      </c>
      <c r="AB211" s="1716" t="s">
        <v>4127</v>
      </c>
      <c r="AC211" s="1738">
        <v>1.2E-2</v>
      </c>
    </row>
    <row r="212" spans="1:29" ht="30">
      <c r="A212" s="1704" t="s">
        <v>2270</v>
      </c>
      <c r="B212" s="1705" t="s">
        <v>2271</v>
      </c>
      <c r="C212" s="1706"/>
      <c r="D212" s="1707"/>
      <c r="E212" s="1708"/>
      <c r="F212" s="1707"/>
      <c r="G212" s="1709">
        <v>4.0000000000000002E-4</v>
      </c>
      <c r="H212" s="1708" t="s">
        <v>1893</v>
      </c>
      <c r="I212" s="1708"/>
      <c r="J212" s="1707"/>
      <c r="K212" s="1708" t="s">
        <v>1127</v>
      </c>
      <c r="L212" s="1707"/>
      <c r="M212" s="1708">
        <v>1</v>
      </c>
      <c r="N212" s="1708"/>
      <c r="O212" s="1718">
        <v>159</v>
      </c>
      <c r="P212" s="1711">
        <v>31</v>
      </c>
      <c r="Q212" s="1712" t="s">
        <v>1471</v>
      </c>
      <c r="R212" s="1711">
        <v>470</v>
      </c>
      <c r="S212" s="1712" t="s">
        <v>4125</v>
      </c>
      <c r="T212" s="1712"/>
      <c r="U212" s="1713"/>
      <c r="V212" s="1712"/>
      <c r="W212" s="1713"/>
      <c r="X212" s="1711">
        <v>5.3</v>
      </c>
      <c r="Y212" s="1714" t="s">
        <v>1471</v>
      </c>
      <c r="Z212" s="1713"/>
      <c r="AA212" s="1715">
        <v>5.1000000000000004E-3</v>
      </c>
      <c r="AB212" s="1716" t="s">
        <v>1471</v>
      </c>
      <c r="AC212" s="1717"/>
    </row>
    <row r="213" spans="1:29" ht="30">
      <c r="A213" s="1719" t="s">
        <v>2272</v>
      </c>
      <c r="B213" s="1720" t="s">
        <v>2273</v>
      </c>
      <c r="C213" s="1721"/>
      <c r="D213" s="1722"/>
      <c r="E213" s="1723"/>
      <c r="F213" s="1722"/>
      <c r="G213" s="1724">
        <v>0.01</v>
      </c>
      <c r="H213" s="1723" t="s">
        <v>1119</v>
      </c>
      <c r="I213" s="1723"/>
      <c r="J213" s="1722"/>
      <c r="K213" s="1723" t="s">
        <v>1127</v>
      </c>
      <c r="L213" s="1722"/>
      <c r="M213" s="1723">
        <v>1</v>
      </c>
      <c r="N213" s="1723"/>
      <c r="O213" s="1725"/>
      <c r="P213" s="1726">
        <v>780</v>
      </c>
      <c r="Q213" s="1727" t="s">
        <v>1471</v>
      </c>
      <c r="R213" s="1726">
        <v>12000</v>
      </c>
      <c r="S213" s="1727" t="s">
        <v>1471</v>
      </c>
      <c r="T213" s="1727"/>
      <c r="U213" s="1728"/>
      <c r="V213" s="1727"/>
      <c r="W213" s="1728"/>
      <c r="X213" s="1726">
        <v>130</v>
      </c>
      <c r="Y213" s="1729" t="s">
        <v>1471</v>
      </c>
      <c r="Z213" s="1728"/>
      <c r="AA213" s="1730">
        <v>0.12</v>
      </c>
      <c r="AB213" s="1731" t="s">
        <v>1471</v>
      </c>
      <c r="AC213" s="1732"/>
    </row>
    <row r="214" spans="1:29" ht="30">
      <c r="A214" s="1704" t="s">
        <v>146</v>
      </c>
      <c r="B214" s="1705" t="s">
        <v>145</v>
      </c>
      <c r="C214" s="1736">
        <v>8.4000000000000005E-2</v>
      </c>
      <c r="D214" s="1708" t="s">
        <v>1119</v>
      </c>
      <c r="E214" s="1708"/>
      <c r="F214" s="1707"/>
      <c r="G214" s="1709">
        <v>0.02</v>
      </c>
      <c r="H214" s="1708" t="s">
        <v>1119</v>
      </c>
      <c r="I214" s="1708"/>
      <c r="J214" s="1707"/>
      <c r="K214" s="1708" t="s">
        <v>1127</v>
      </c>
      <c r="L214" s="1707"/>
      <c r="M214" s="1708">
        <v>1</v>
      </c>
      <c r="N214" s="1708"/>
      <c r="O214" s="1718">
        <v>802</v>
      </c>
      <c r="P214" s="1711">
        <v>8.3000000000000007</v>
      </c>
      <c r="Q214" s="1712" t="s">
        <v>4126</v>
      </c>
      <c r="R214" s="1711">
        <v>39</v>
      </c>
      <c r="S214" s="1712" t="s">
        <v>4126</v>
      </c>
      <c r="T214" s="1712"/>
      <c r="U214" s="1713"/>
      <c r="V214" s="1712"/>
      <c r="W214" s="1713"/>
      <c r="X214" s="1711">
        <v>0.87</v>
      </c>
      <c r="Y214" s="1714" t="s">
        <v>4126</v>
      </c>
      <c r="Z214" s="1712" t="s">
        <v>4132</v>
      </c>
      <c r="AA214" s="1715">
        <v>2.3000000000000001E-4</v>
      </c>
      <c r="AB214" s="1716" t="s">
        <v>4126</v>
      </c>
      <c r="AC214" s="1738">
        <v>2.1000000000000001E-2</v>
      </c>
    </row>
    <row r="215" spans="1:29" ht="30">
      <c r="A215" s="1704" t="s">
        <v>150</v>
      </c>
      <c r="B215" s="1705" t="s">
        <v>2274</v>
      </c>
      <c r="C215" s="1736">
        <v>2</v>
      </c>
      <c r="D215" s="1708" t="s">
        <v>1119</v>
      </c>
      <c r="E215" s="1709">
        <v>5.9999999999999995E-4</v>
      </c>
      <c r="F215" s="1708" t="s">
        <v>1119</v>
      </c>
      <c r="G215" s="1709">
        <v>8.9999999999999993E-3</v>
      </c>
      <c r="H215" s="1708" t="s">
        <v>1119</v>
      </c>
      <c r="I215" s="1709">
        <v>8.9999999999999993E-3</v>
      </c>
      <c r="J215" s="1708" t="s">
        <v>1119</v>
      </c>
      <c r="K215" s="1708" t="s">
        <v>1127</v>
      </c>
      <c r="L215" s="1707"/>
      <c r="M215" s="1708">
        <v>1</v>
      </c>
      <c r="N215" s="1708"/>
      <c r="O215" s="1718">
        <v>1340</v>
      </c>
      <c r="P215" s="1711">
        <v>3.5999999999999997E-2</v>
      </c>
      <c r="Q215" s="1712" t="s">
        <v>4126</v>
      </c>
      <c r="R215" s="1711">
        <v>0.16</v>
      </c>
      <c r="S215" s="1712" t="s">
        <v>4126</v>
      </c>
      <c r="T215" s="1711">
        <v>4.7000000000000002E-3</v>
      </c>
      <c r="U215" s="1712" t="s">
        <v>4126</v>
      </c>
      <c r="V215" s="1711">
        <v>0.02</v>
      </c>
      <c r="W215" s="1712" t="s">
        <v>4126</v>
      </c>
      <c r="X215" s="1711">
        <v>7.4999999999999997E-3</v>
      </c>
      <c r="Y215" s="1714" t="s">
        <v>4126</v>
      </c>
      <c r="Z215" s="1711">
        <v>0.05</v>
      </c>
      <c r="AA215" s="1715">
        <v>2.0999999999999998E-6</v>
      </c>
      <c r="AB215" s="1716" t="s">
        <v>4126</v>
      </c>
      <c r="AC215" s="1738">
        <v>1.4E-5</v>
      </c>
    </row>
    <row r="216" spans="1:29" ht="45">
      <c r="A216" s="1719" t="s">
        <v>2275</v>
      </c>
      <c r="B216" s="1720" t="s">
        <v>2276</v>
      </c>
      <c r="C216" s="1721"/>
      <c r="D216" s="1722"/>
      <c r="E216" s="1723"/>
      <c r="F216" s="1722"/>
      <c r="G216" s="1723"/>
      <c r="H216" s="1722"/>
      <c r="I216" s="1724">
        <v>4.0000000000000001E-3</v>
      </c>
      <c r="J216" s="1723" t="s">
        <v>1893</v>
      </c>
      <c r="K216" s="1723" t="s">
        <v>1127</v>
      </c>
      <c r="L216" s="1722"/>
      <c r="M216" s="1723">
        <v>1</v>
      </c>
      <c r="N216" s="1723"/>
      <c r="O216" s="1735">
        <v>2820</v>
      </c>
      <c r="P216" s="1726">
        <v>24</v>
      </c>
      <c r="Q216" s="1727" t="s">
        <v>1471</v>
      </c>
      <c r="R216" s="1726">
        <v>99</v>
      </c>
      <c r="S216" s="1727" t="s">
        <v>1471</v>
      </c>
      <c r="T216" s="1726">
        <v>4.2</v>
      </c>
      <c r="U216" s="1727" t="s">
        <v>1471</v>
      </c>
      <c r="V216" s="1726">
        <v>18</v>
      </c>
      <c r="W216" s="1727" t="s">
        <v>1471</v>
      </c>
      <c r="X216" s="1726">
        <v>8.3000000000000007</v>
      </c>
      <c r="Y216" s="1729" t="s">
        <v>1471</v>
      </c>
      <c r="Z216" s="1728"/>
      <c r="AA216" s="1730">
        <v>2.0999999999999999E-3</v>
      </c>
      <c r="AB216" s="1731" t="s">
        <v>1471</v>
      </c>
      <c r="AC216" s="1732"/>
    </row>
    <row r="217" spans="1:29" ht="30">
      <c r="A217" s="1704" t="s">
        <v>2277</v>
      </c>
      <c r="B217" s="1705" t="s">
        <v>2278</v>
      </c>
      <c r="C217" s="1706"/>
      <c r="D217" s="1707"/>
      <c r="E217" s="1708"/>
      <c r="F217" s="1707"/>
      <c r="G217" s="1709">
        <v>2.9999999999999997E-4</v>
      </c>
      <c r="H217" s="1708" t="s">
        <v>1909</v>
      </c>
      <c r="I217" s="1708"/>
      <c r="J217" s="1707"/>
      <c r="K217" s="1707"/>
      <c r="L217" s="1707"/>
      <c r="M217" s="1708">
        <v>1</v>
      </c>
      <c r="N217" s="1708">
        <v>0.1</v>
      </c>
      <c r="O217" s="1710"/>
      <c r="P217" s="1711">
        <v>19</v>
      </c>
      <c r="Q217" s="1712" t="s">
        <v>1471</v>
      </c>
      <c r="R217" s="1711">
        <v>250</v>
      </c>
      <c r="S217" s="1712" t="s">
        <v>1471</v>
      </c>
      <c r="T217" s="1712"/>
      <c r="U217" s="1713"/>
      <c r="V217" s="1712"/>
      <c r="W217" s="1713"/>
      <c r="X217" s="1711">
        <v>6</v>
      </c>
      <c r="Y217" s="1714" t="s">
        <v>1471</v>
      </c>
      <c r="Z217" s="1713"/>
      <c r="AA217" s="1716"/>
      <c r="AB217" s="1734"/>
      <c r="AC217" s="1717"/>
    </row>
    <row r="218" spans="1:29" ht="15">
      <c r="A218" s="1704" t="s">
        <v>2279</v>
      </c>
      <c r="B218" s="1705" t="s">
        <v>2280</v>
      </c>
      <c r="C218" s="1706"/>
      <c r="D218" s="1707"/>
      <c r="E218" s="1708"/>
      <c r="F218" s="1707"/>
      <c r="G218" s="1709">
        <v>0.03</v>
      </c>
      <c r="H218" s="1708" t="s">
        <v>1119</v>
      </c>
      <c r="I218" s="1708"/>
      <c r="J218" s="1707"/>
      <c r="K218" s="1707"/>
      <c r="L218" s="1707"/>
      <c r="M218" s="1708">
        <v>1</v>
      </c>
      <c r="N218" s="1708">
        <v>0.1</v>
      </c>
      <c r="O218" s="1710"/>
      <c r="P218" s="1711">
        <v>1900</v>
      </c>
      <c r="Q218" s="1712" t="s">
        <v>1471</v>
      </c>
      <c r="R218" s="1711">
        <v>25000</v>
      </c>
      <c r="S218" s="1712" t="s">
        <v>1471</v>
      </c>
      <c r="T218" s="1712"/>
      <c r="U218" s="1713"/>
      <c r="V218" s="1712"/>
      <c r="W218" s="1713"/>
      <c r="X218" s="1711">
        <v>570</v>
      </c>
      <c r="Y218" s="1714" t="s">
        <v>1471</v>
      </c>
      <c r="Z218" s="1713"/>
      <c r="AA218" s="1715">
        <v>0.15</v>
      </c>
      <c r="AB218" s="1716" t="s">
        <v>1471</v>
      </c>
      <c r="AC218" s="1717"/>
    </row>
    <row r="219" spans="1:29" ht="15">
      <c r="A219" s="1741">
        <v>548115</v>
      </c>
      <c r="B219" s="1720" t="s">
        <v>2282</v>
      </c>
      <c r="C219" s="1721"/>
      <c r="D219" s="1722"/>
      <c r="E219" s="1723"/>
      <c r="F219" s="1722"/>
      <c r="G219" s="1723"/>
      <c r="H219" s="1722"/>
      <c r="I219" s="1723"/>
      <c r="J219" s="1722"/>
      <c r="K219" s="1722"/>
      <c r="L219" s="1722"/>
      <c r="M219" s="1723">
        <v>1</v>
      </c>
      <c r="N219" s="1723">
        <v>0.1</v>
      </c>
      <c r="O219" s="1725"/>
      <c r="P219" s="1727"/>
      <c r="Q219" s="1728"/>
      <c r="R219" s="1727"/>
      <c r="S219" s="1728"/>
      <c r="T219" s="1727"/>
      <c r="U219" s="1728"/>
      <c r="V219" s="1727"/>
      <c r="W219" s="1728"/>
      <c r="X219" s="1727"/>
      <c r="Y219" s="1743"/>
      <c r="Z219" s="1727" t="s">
        <v>4133</v>
      </c>
      <c r="AA219" s="1731"/>
      <c r="AB219" s="1740"/>
      <c r="AC219" s="1732"/>
    </row>
    <row r="220" spans="1:29" ht="30">
      <c r="A220" s="1704" t="s">
        <v>2283</v>
      </c>
      <c r="B220" s="1705" t="s">
        <v>2284</v>
      </c>
      <c r="C220" s="1706"/>
      <c r="D220" s="1707"/>
      <c r="E220" s="1709">
        <v>4.1999999999999997E-3</v>
      </c>
      <c r="F220" s="1708" t="s">
        <v>1909</v>
      </c>
      <c r="G220" s="1708"/>
      <c r="H220" s="1707"/>
      <c r="I220" s="1708"/>
      <c r="J220" s="1707"/>
      <c r="K220" s="1708" t="s">
        <v>1127</v>
      </c>
      <c r="L220" s="1707"/>
      <c r="M220" s="1708">
        <v>1</v>
      </c>
      <c r="N220" s="1708"/>
      <c r="O220" s="1718">
        <v>554</v>
      </c>
      <c r="P220" s="1711">
        <v>2.0999999999999999E-3</v>
      </c>
      <c r="Q220" s="1712" t="s">
        <v>4126</v>
      </c>
      <c r="R220" s="1711">
        <v>9.4000000000000004E-3</v>
      </c>
      <c r="S220" s="1712" t="s">
        <v>4126</v>
      </c>
      <c r="T220" s="1711">
        <v>6.7000000000000002E-4</v>
      </c>
      <c r="U220" s="1712" t="s">
        <v>4126</v>
      </c>
      <c r="V220" s="1711">
        <v>2.8999999999999998E-3</v>
      </c>
      <c r="W220" s="1712" t="s">
        <v>4126</v>
      </c>
      <c r="X220" s="1711">
        <v>1.2999999999999999E-3</v>
      </c>
      <c r="Y220" s="1714" t="s">
        <v>4126</v>
      </c>
      <c r="Z220" s="1713"/>
      <c r="AA220" s="1715">
        <v>6.6000000000000003E-7</v>
      </c>
      <c r="AB220" s="1716" t="s">
        <v>4126</v>
      </c>
      <c r="AC220" s="1717"/>
    </row>
    <row r="221" spans="1:29" ht="30">
      <c r="A221" s="1704" t="s">
        <v>2285</v>
      </c>
      <c r="B221" s="1705" t="s">
        <v>2286</v>
      </c>
      <c r="C221" s="1706"/>
      <c r="D221" s="1707"/>
      <c r="E221" s="1709">
        <v>4.1999999999999997E-3</v>
      </c>
      <c r="F221" s="1708" t="s">
        <v>1909</v>
      </c>
      <c r="G221" s="1708"/>
      <c r="H221" s="1707"/>
      <c r="I221" s="1708"/>
      <c r="J221" s="1707"/>
      <c r="K221" s="1708" t="s">
        <v>1127</v>
      </c>
      <c r="L221" s="1707"/>
      <c r="M221" s="1708">
        <v>1</v>
      </c>
      <c r="N221" s="1708"/>
      <c r="O221" s="1718">
        <v>519</v>
      </c>
      <c r="P221" s="1711">
        <v>7.4000000000000003E-3</v>
      </c>
      <c r="Q221" s="1712" t="s">
        <v>4126</v>
      </c>
      <c r="R221" s="1711">
        <v>3.2000000000000001E-2</v>
      </c>
      <c r="S221" s="1712" t="s">
        <v>4126</v>
      </c>
      <c r="T221" s="1711">
        <v>6.7000000000000002E-4</v>
      </c>
      <c r="U221" s="1712" t="s">
        <v>4126</v>
      </c>
      <c r="V221" s="1711">
        <v>2.8999999999999998E-3</v>
      </c>
      <c r="W221" s="1712" t="s">
        <v>4126</v>
      </c>
      <c r="X221" s="1711">
        <v>1.2999999999999999E-3</v>
      </c>
      <c r="Y221" s="1714" t="s">
        <v>4126</v>
      </c>
      <c r="Z221" s="1713"/>
      <c r="AA221" s="1715">
        <v>6.1999999999999999E-7</v>
      </c>
      <c r="AB221" s="1716" t="s">
        <v>4126</v>
      </c>
      <c r="AC221" s="1717"/>
    </row>
    <row r="222" spans="1:29" ht="30">
      <c r="A222" s="1719" t="s">
        <v>2287</v>
      </c>
      <c r="B222" s="1720" t="s">
        <v>2288</v>
      </c>
      <c r="C222" s="1721"/>
      <c r="D222" s="1722"/>
      <c r="E222" s="1724">
        <v>4.1999999999999997E-3</v>
      </c>
      <c r="F222" s="1723" t="s">
        <v>1909</v>
      </c>
      <c r="G222" s="1723"/>
      <c r="H222" s="1722"/>
      <c r="I222" s="1723"/>
      <c r="J222" s="1722"/>
      <c r="K222" s="1723" t="s">
        <v>1127</v>
      </c>
      <c r="L222" s="1722"/>
      <c r="M222" s="1723">
        <v>1</v>
      </c>
      <c r="N222" s="1723"/>
      <c r="O222" s="1735">
        <v>760</v>
      </c>
      <c r="P222" s="1726">
        <v>7.4000000000000003E-3</v>
      </c>
      <c r="Q222" s="1727" t="s">
        <v>4126</v>
      </c>
      <c r="R222" s="1726">
        <v>3.2000000000000001E-2</v>
      </c>
      <c r="S222" s="1727" t="s">
        <v>4126</v>
      </c>
      <c r="T222" s="1726">
        <v>6.7000000000000002E-4</v>
      </c>
      <c r="U222" s="1727" t="s">
        <v>4126</v>
      </c>
      <c r="V222" s="1726">
        <v>2.8999999999999998E-3</v>
      </c>
      <c r="W222" s="1727" t="s">
        <v>4126</v>
      </c>
      <c r="X222" s="1726">
        <v>1.2999999999999999E-3</v>
      </c>
      <c r="Y222" s="1729" t="s">
        <v>4126</v>
      </c>
      <c r="Z222" s="1728"/>
      <c r="AA222" s="1730">
        <v>6.1999999999999999E-7</v>
      </c>
      <c r="AB222" s="1731" t="s">
        <v>4126</v>
      </c>
      <c r="AC222" s="1732"/>
    </row>
    <row r="223" spans="1:29" ht="30">
      <c r="A223" s="1704" t="s">
        <v>2289</v>
      </c>
      <c r="B223" s="1705" t="s">
        <v>2290</v>
      </c>
      <c r="C223" s="1736">
        <v>0.05</v>
      </c>
      <c r="D223" s="1708" t="s">
        <v>1119</v>
      </c>
      <c r="E223" s="1708"/>
      <c r="F223" s="1707"/>
      <c r="G223" s="1709">
        <v>4.0000000000000001E-3</v>
      </c>
      <c r="H223" s="1708" t="s">
        <v>1119</v>
      </c>
      <c r="I223" s="1708"/>
      <c r="J223" s="1707"/>
      <c r="K223" s="1707"/>
      <c r="L223" s="1707"/>
      <c r="M223" s="1708">
        <v>1</v>
      </c>
      <c r="N223" s="1708">
        <v>0.1</v>
      </c>
      <c r="O223" s="1710"/>
      <c r="P223" s="1711">
        <v>11</v>
      </c>
      <c r="Q223" s="1712" t="s">
        <v>4127</v>
      </c>
      <c r="R223" s="1711">
        <v>46</v>
      </c>
      <c r="S223" s="1712" t="s">
        <v>4127</v>
      </c>
      <c r="T223" s="1712"/>
      <c r="U223" s="1713"/>
      <c r="V223" s="1712"/>
      <c r="W223" s="1713"/>
      <c r="X223" s="1711">
        <v>1.5</v>
      </c>
      <c r="Y223" s="1714" t="s">
        <v>4127</v>
      </c>
      <c r="Z223" s="1712" t="s">
        <v>4131</v>
      </c>
      <c r="AA223" s="1715">
        <v>3.1E-4</v>
      </c>
      <c r="AB223" s="1716" t="s">
        <v>4127</v>
      </c>
      <c r="AC223" s="1738">
        <v>1.2E-2</v>
      </c>
    </row>
    <row r="224" spans="1:29" ht="30">
      <c r="A224" s="1704" t="s">
        <v>152</v>
      </c>
      <c r="B224" s="1705" t="s">
        <v>2291</v>
      </c>
      <c r="C224" s="1706"/>
      <c r="D224" s="1707"/>
      <c r="E224" s="1708"/>
      <c r="F224" s="1707"/>
      <c r="G224" s="1709">
        <v>0.09</v>
      </c>
      <c r="H224" s="1708" t="s">
        <v>1119</v>
      </c>
      <c r="I224" s="1709">
        <v>0.2</v>
      </c>
      <c r="J224" s="1708" t="s">
        <v>1073</v>
      </c>
      <c r="K224" s="1708" t="s">
        <v>1127</v>
      </c>
      <c r="L224" s="1707"/>
      <c r="M224" s="1708">
        <v>1</v>
      </c>
      <c r="N224" s="1708"/>
      <c r="O224" s="1718">
        <v>376</v>
      </c>
      <c r="P224" s="1711">
        <v>1800</v>
      </c>
      <c r="Q224" s="1712" t="s">
        <v>4125</v>
      </c>
      <c r="R224" s="1711">
        <v>9300</v>
      </c>
      <c r="S224" s="1712" t="s">
        <v>4125</v>
      </c>
      <c r="T224" s="1711">
        <v>210</v>
      </c>
      <c r="U224" s="1712" t="s">
        <v>1471</v>
      </c>
      <c r="V224" s="1711">
        <v>880</v>
      </c>
      <c r="W224" s="1712" t="s">
        <v>1471</v>
      </c>
      <c r="X224" s="1711">
        <v>300</v>
      </c>
      <c r="Y224" s="1714" t="s">
        <v>1471</v>
      </c>
      <c r="Z224" s="1711">
        <v>600</v>
      </c>
      <c r="AA224" s="1715">
        <v>0.3</v>
      </c>
      <c r="AB224" s="1716" t="s">
        <v>1471</v>
      </c>
      <c r="AC224" s="1738">
        <v>0.57999999999999996</v>
      </c>
    </row>
    <row r="225" spans="1:29" ht="30">
      <c r="A225" s="1719" t="s">
        <v>154</v>
      </c>
      <c r="B225" s="1720" t="s">
        <v>2292</v>
      </c>
      <c r="C225" s="1737">
        <v>5.4000000000000003E-3</v>
      </c>
      <c r="D225" s="1723" t="s">
        <v>1900</v>
      </c>
      <c r="E225" s="1724">
        <v>1.1E-5</v>
      </c>
      <c r="F225" s="1723" t="s">
        <v>1900</v>
      </c>
      <c r="G225" s="1724">
        <v>7.0000000000000007E-2</v>
      </c>
      <c r="H225" s="1723" t="s">
        <v>1960</v>
      </c>
      <c r="I225" s="1724">
        <v>0.8</v>
      </c>
      <c r="J225" s="1723" t="s">
        <v>1119</v>
      </c>
      <c r="K225" s="1723" t="s">
        <v>1127</v>
      </c>
      <c r="L225" s="1722"/>
      <c r="M225" s="1723">
        <v>1</v>
      </c>
      <c r="N225" s="1723"/>
      <c r="O225" s="1725"/>
      <c r="P225" s="1726">
        <v>2.6</v>
      </c>
      <c r="Q225" s="1727" t="s">
        <v>4126</v>
      </c>
      <c r="R225" s="1726">
        <v>11</v>
      </c>
      <c r="S225" s="1727" t="s">
        <v>4126</v>
      </c>
      <c r="T225" s="1726">
        <v>0.26</v>
      </c>
      <c r="U225" s="1727" t="s">
        <v>4126</v>
      </c>
      <c r="V225" s="1726">
        <v>1.1000000000000001</v>
      </c>
      <c r="W225" s="1727" t="s">
        <v>4126</v>
      </c>
      <c r="X225" s="1726">
        <v>0.48</v>
      </c>
      <c r="Y225" s="1729" t="s">
        <v>4126</v>
      </c>
      <c r="Z225" s="1726">
        <v>75</v>
      </c>
      <c r="AA225" s="1730">
        <v>4.6000000000000001E-4</v>
      </c>
      <c r="AB225" s="1731" t="s">
        <v>4126</v>
      </c>
      <c r="AC225" s="1739">
        <v>7.1999999999999995E-2</v>
      </c>
    </row>
    <row r="226" spans="1:29" ht="30">
      <c r="A226" s="1704" t="s">
        <v>156</v>
      </c>
      <c r="B226" s="1705" t="s">
        <v>2293</v>
      </c>
      <c r="C226" s="1736">
        <v>0.45</v>
      </c>
      <c r="D226" s="1708" t="s">
        <v>1119</v>
      </c>
      <c r="E226" s="1709">
        <v>3.4000000000000002E-4</v>
      </c>
      <c r="F226" s="1708" t="s">
        <v>1900</v>
      </c>
      <c r="G226" s="1708"/>
      <c r="H226" s="1707"/>
      <c r="I226" s="1708"/>
      <c r="J226" s="1707"/>
      <c r="K226" s="1707"/>
      <c r="L226" s="1707"/>
      <c r="M226" s="1708">
        <v>1</v>
      </c>
      <c r="N226" s="1708">
        <v>0.1</v>
      </c>
      <c r="O226" s="1710"/>
      <c r="P226" s="1711">
        <v>1.2</v>
      </c>
      <c r="Q226" s="1712" t="s">
        <v>4126</v>
      </c>
      <c r="R226" s="1711">
        <v>5.0999999999999996</v>
      </c>
      <c r="S226" s="1712" t="s">
        <v>4126</v>
      </c>
      <c r="T226" s="1711">
        <v>8.3000000000000001E-3</v>
      </c>
      <c r="U226" s="1712" t="s">
        <v>4126</v>
      </c>
      <c r="V226" s="1711">
        <v>3.5999999999999997E-2</v>
      </c>
      <c r="W226" s="1712" t="s">
        <v>4126</v>
      </c>
      <c r="X226" s="1711">
        <v>0.13</v>
      </c>
      <c r="Y226" s="1714" t="s">
        <v>4126</v>
      </c>
      <c r="Z226" s="1713"/>
      <c r="AA226" s="1715">
        <v>8.1999999999999998E-4</v>
      </c>
      <c r="AB226" s="1716" t="s">
        <v>4126</v>
      </c>
      <c r="AC226" s="1717"/>
    </row>
    <row r="227" spans="1:29" ht="30">
      <c r="A227" s="1704" t="s">
        <v>2294</v>
      </c>
      <c r="B227" s="1705" t="s">
        <v>2295</v>
      </c>
      <c r="C227" s="1706"/>
      <c r="D227" s="1707"/>
      <c r="E227" s="1708"/>
      <c r="F227" s="1707"/>
      <c r="G227" s="1709">
        <v>8.9999999999999993E-3</v>
      </c>
      <c r="H227" s="1708" t="s">
        <v>1893</v>
      </c>
      <c r="I227" s="1708"/>
      <c r="J227" s="1707"/>
      <c r="K227" s="1707"/>
      <c r="L227" s="1707"/>
      <c r="M227" s="1708">
        <v>1</v>
      </c>
      <c r="N227" s="1708">
        <v>0.1</v>
      </c>
      <c r="O227" s="1710"/>
      <c r="P227" s="1711">
        <v>570</v>
      </c>
      <c r="Q227" s="1712" t="s">
        <v>1471</v>
      </c>
      <c r="R227" s="1711">
        <v>7400</v>
      </c>
      <c r="S227" s="1712" t="s">
        <v>1471</v>
      </c>
      <c r="T227" s="1712"/>
      <c r="U227" s="1713"/>
      <c r="V227" s="1712"/>
      <c r="W227" s="1713"/>
      <c r="X227" s="1711">
        <v>78</v>
      </c>
      <c r="Y227" s="1714" t="s">
        <v>1471</v>
      </c>
      <c r="Z227" s="1713"/>
      <c r="AA227" s="1715">
        <v>0.47</v>
      </c>
      <c r="AB227" s="1716" t="s">
        <v>1471</v>
      </c>
      <c r="AC227" s="1717"/>
    </row>
    <row r="228" spans="1:29" ht="30">
      <c r="A228" s="1719" t="s">
        <v>2296</v>
      </c>
      <c r="B228" s="1720" t="s">
        <v>2297</v>
      </c>
      <c r="C228" s="1721"/>
      <c r="D228" s="1722"/>
      <c r="E228" s="1723"/>
      <c r="F228" s="1722"/>
      <c r="G228" s="1724">
        <v>0.2</v>
      </c>
      <c r="H228" s="1723" t="s">
        <v>1119</v>
      </c>
      <c r="I228" s="1724">
        <v>0.1</v>
      </c>
      <c r="J228" s="1723" t="s">
        <v>1893</v>
      </c>
      <c r="K228" s="1723" t="s">
        <v>1127</v>
      </c>
      <c r="L228" s="1722"/>
      <c r="M228" s="1723">
        <v>1</v>
      </c>
      <c r="N228" s="1723"/>
      <c r="O228" s="1735">
        <v>845</v>
      </c>
      <c r="P228" s="1726">
        <v>87</v>
      </c>
      <c r="Q228" s="1727" t="s">
        <v>1471</v>
      </c>
      <c r="R228" s="1726">
        <v>370</v>
      </c>
      <c r="S228" s="1727" t="s">
        <v>1471</v>
      </c>
      <c r="T228" s="1726">
        <v>100</v>
      </c>
      <c r="U228" s="1727" t="s">
        <v>1471</v>
      </c>
      <c r="V228" s="1726">
        <v>440</v>
      </c>
      <c r="W228" s="1727" t="s">
        <v>1471</v>
      </c>
      <c r="X228" s="1726">
        <v>200</v>
      </c>
      <c r="Y228" s="1729" t="s">
        <v>1471</v>
      </c>
      <c r="Z228" s="1728"/>
      <c r="AA228" s="1730">
        <v>0.3</v>
      </c>
      <c r="AB228" s="1731" t="s">
        <v>1471</v>
      </c>
      <c r="AC228" s="1732"/>
    </row>
    <row r="229" spans="1:29" ht="45">
      <c r="A229" s="1704" t="s">
        <v>158</v>
      </c>
      <c r="B229" s="1705" t="s">
        <v>2298</v>
      </c>
      <c r="C229" s="1736">
        <v>0.24</v>
      </c>
      <c r="D229" s="1708" t="s">
        <v>1119</v>
      </c>
      <c r="E229" s="1709">
        <v>6.8999999999999997E-5</v>
      </c>
      <c r="F229" s="1708" t="s">
        <v>1900</v>
      </c>
      <c r="G229" s="1709">
        <v>5.0000000000000001E-4</v>
      </c>
      <c r="H229" s="1708" t="s">
        <v>1960</v>
      </c>
      <c r="I229" s="1708"/>
      <c r="J229" s="1707"/>
      <c r="K229" s="1707"/>
      <c r="L229" s="1707"/>
      <c r="M229" s="1708">
        <v>1</v>
      </c>
      <c r="N229" s="1708">
        <v>0.1</v>
      </c>
      <c r="O229" s="1710"/>
      <c r="P229" s="1711">
        <v>2.2999999999999998</v>
      </c>
      <c r="Q229" s="1712" t="s">
        <v>4127</v>
      </c>
      <c r="R229" s="1711">
        <v>9.6</v>
      </c>
      <c r="S229" s="1712" t="s">
        <v>4127</v>
      </c>
      <c r="T229" s="1711">
        <v>4.1000000000000002E-2</v>
      </c>
      <c r="U229" s="1712" t="s">
        <v>4126</v>
      </c>
      <c r="V229" s="1711">
        <v>0.18</v>
      </c>
      <c r="W229" s="1712" t="s">
        <v>4126</v>
      </c>
      <c r="X229" s="1711">
        <v>3.2000000000000001E-2</v>
      </c>
      <c r="Y229" s="1714" t="s">
        <v>4127</v>
      </c>
      <c r="Z229" s="1713"/>
      <c r="AA229" s="1715">
        <v>7.4999999999999997E-3</v>
      </c>
      <c r="AB229" s="1716" t="s">
        <v>4127</v>
      </c>
      <c r="AC229" s="1717"/>
    </row>
    <row r="230" spans="1:29" ht="45">
      <c r="A230" s="1704" t="s">
        <v>160</v>
      </c>
      <c r="B230" s="1705" t="s">
        <v>2299</v>
      </c>
      <c r="C230" s="1736">
        <v>0.34</v>
      </c>
      <c r="D230" s="1708" t="s">
        <v>1119</v>
      </c>
      <c r="E230" s="1709">
        <v>9.7E-5</v>
      </c>
      <c r="F230" s="1708" t="s">
        <v>1900</v>
      </c>
      <c r="G230" s="1709">
        <v>5.0000000000000001E-4</v>
      </c>
      <c r="H230" s="1708" t="s">
        <v>1960</v>
      </c>
      <c r="I230" s="1708"/>
      <c r="J230" s="1707"/>
      <c r="K230" s="1708" t="s">
        <v>1127</v>
      </c>
      <c r="L230" s="1707"/>
      <c r="M230" s="1708">
        <v>1</v>
      </c>
      <c r="N230" s="1708"/>
      <c r="O230" s="1710"/>
      <c r="P230" s="1711">
        <v>2</v>
      </c>
      <c r="Q230" s="1712" t="s">
        <v>4127</v>
      </c>
      <c r="R230" s="1711">
        <v>9.3000000000000007</v>
      </c>
      <c r="S230" s="1712" t="s">
        <v>4127</v>
      </c>
      <c r="T230" s="1711">
        <v>2.9000000000000001E-2</v>
      </c>
      <c r="U230" s="1712" t="s">
        <v>4126</v>
      </c>
      <c r="V230" s="1711">
        <v>0.13</v>
      </c>
      <c r="W230" s="1712" t="s">
        <v>4126</v>
      </c>
      <c r="X230" s="1711">
        <v>4.5999999999999999E-2</v>
      </c>
      <c r="Y230" s="1714" t="s">
        <v>4126</v>
      </c>
      <c r="Z230" s="1713"/>
      <c r="AA230" s="1715">
        <v>1.0999999999999999E-2</v>
      </c>
      <c r="AB230" s="1716" t="s">
        <v>4126</v>
      </c>
      <c r="AC230" s="1717"/>
    </row>
    <row r="231" spans="1:29" ht="45">
      <c r="A231" s="1719" t="s">
        <v>162</v>
      </c>
      <c r="B231" s="1720" t="s">
        <v>2300</v>
      </c>
      <c r="C231" s="1737">
        <v>0.34</v>
      </c>
      <c r="D231" s="1723" t="s">
        <v>1119</v>
      </c>
      <c r="E231" s="1724">
        <v>9.7E-5</v>
      </c>
      <c r="F231" s="1723" t="s">
        <v>1119</v>
      </c>
      <c r="G231" s="1724">
        <v>5.0000000000000001E-4</v>
      </c>
      <c r="H231" s="1723" t="s">
        <v>1119</v>
      </c>
      <c r="I231" s="1723"/>
      <c r="J231" s="1722"/>
      <c r="K231" s="1722"/>
      <c r="L231" s="1722"/>
      <c r="M231" s="1723">
        <v>1</v>
      </c>
      <c r="N231" s="1723">
        <v>0.03</v>
      </c>
      <c r="O231" s="1725"/>
      <c r="P231" s="1726">
        <v>1.9</v>
      </c>
      <c r="Q231" s="1727" t="s">
        <v>4127</v>
      </c>
      <c r="R231" s="1726">
        <v>8.5</v>
      </c>
      <c r="S231" s="1727" t="s">
        <v>4127</v>
      </c>
      <c r="T231" s="1726">
        <v>2.9000000000000001E-2</v>
      </c>
      <c r="U231" s="1727" t="s">
        <v>4126</v>
      </c>
      <c r="V231" s="1726">
        <v>0.13</v>
      </c>
      <c r="W231" s="1727" t="s">
        <v>4126</v>
      </c>
      <c r="X231" s="1726">
        <v>0.23</v>
      </c>
      <c r="Y231" s="1729" t="s">
        <v>4127</v>
      </c>
      <c r="Z231" s="1728"/>
      <c r="AA231" s="1730">
        <v>7.6999999999999999E-2</v>
      </c>
      <c r="AB231" s="1731" t="s">
        <v>4127</v>
      </c>
      <c r="AC231" s="1732"/>
    </row>
    <row r="232" spans="1:29" ht="30">
      <c r="A232" s="1704" t="s">
        <v>164</v>
      </c>
      <c r="B232" s="1705" t="s">
        <v>2301</v>
      </c>
      <c r="C232" s="1736">
        <v>5.7000000000000002E-3</v>
      </c>
      <c r="D232" s="1708" t="s">
        <v>1900</v>
      </c>
      <c r="E232" s="1709">
        <v>1.5999999999999999E-6</v>
      </c>
      <c r="F232" s="1708" t="s">
        <v>1900</v>
      </c>
      <c r="G232" s="1709">
        <v>0.2</v>
      </c>
      <c r="H232" s="1708" t="s">
        <v>1909</v>
      </c>
      <c r="I232" s="1708"/>
      <c r="J232" s="1707"/>
      <c r="K232" s="1708" t="s">
        <v>1127</v>
      </c>
      <c r="L232" s="1707"/>
      <c r="M232" s="1708">
        <v>1</v>
      </c>
      <c r="N232" s="1708"/>
      <c r="O232" s="1718">
        <v>1690</v>
      </c>
      <c r="P232" s="1711">
        <v>3.6</v>
      </c>
      <c r="Q232" s="1712" t="s">
        <v>4126</v>
      </c>
      <c r="R232" s="1711">
        <v>16</v>
      </c>
      <c r="S232" s="1712" t="s">
        <v>4126</v>
      </c>
      <c r="T232" s="1711">
        <v>1.8</v>
      </c>
      <c r="U232" s="1712" t="s">
        <v>4126</v>
      </c>
      <c r="V232" s="1711">
        <v>7.7</v>
      </c>
      <c r="W232" s="1712" t="s">
        <v>4126</v>
      </c>
      <c r="X232" s="1711">
        <v>2.8</v>
      </c>
      <c r="Y232" s="1714" t="s">
        <v>4126</v>
      </c>
      <c r="Z232" s="1713"/>
      <c r="AA232" s="1715">
        <v>7.7999999999999999E-4</v>
      </c>
      <c r="AB232" s="1716" t="s">
        <v>4126</v>
      </c>
      <c r="AC232" s="1717"/>
    </row>
    <row r="233" spans="1:29" ht="30">
      <c r="A233" s="1704" t="s">
        <v>166</v>
      </c>
      <c r="B233" s="1705" t="s">
        <v>2302</v>
      </c>
      <c r="C233" s="1736">
        <v>9.0999999999999998E-2</v>
      </c>
      <c r="D233" s="1708" t="s">
        <v>1119</v>
      </c>
      <c r="E233" s="1709">
        <v>2.5999999999999998E-5</v>
      </c>
      <c r="F233" s="1708" t="s">
        <v>1119</v>
      </c>
      <c r="G233" s="1709">
        <v>6.0000000000000001E-3</v>
      </c>
      <c r="H233" s="1708" t="s">
        <v>1893</v>
      </c>
      <c r="I233" s="1709">
        <v>7.0000000000000001E-3</v>
      </c>
      <c r="J233" s="1708" t="s">
        <v>1909</v>
      </c>
      <c r="K233" s="1708" t="s">
        <v>1127</v>
      </c>
      <c r="L233" s="1707"/>
      <c r="M233" s="1708">
        <v>1</v>
      </c>
      <c r="N233" s="1708"/>
      <c r="O233" s="1718">
        <v>2980</v>
      </c>
      <c r="P233" s="1711">
        <v>0.46</v>
      </c>
      <c r="Q233" s="1712" t="s">
        <v>4127</v>
      </c>
      <c r="R233" s="1711">
        <v>2</v>
      </c>
      <c r="S233" s="1712" t="s">
        <v>4127</v>
      </c>
      <c r="T233" s="1711">
        <v>0.11</v>
      </c>
      <c r="U233" s="1712" t="s">
        <v>4127</v>
      </c>
      <c r="V233" s="1711">
        <v>0.47</v>
      </c>
      <c r="W233" s="1712" t="s">
        <v>4127</v>
      </c>
      <c r="X233" s="1711">
        <v>0.17</v>
      </c>
      <c r="Y233" s="1714" t="s">
        <v>4127</v>
      </c>
      <c r="Z233" s="1711">
        <v>5</v>
      </c>
      <c r="AA233" s="1715">
        <v>4.8000000000000001E-5</v>
      </c>
      <c r="AB233" s="1716" t="s">
        <v>4127</v>
      </c>
      <c r="AC233" s="1738">
        <v>1.4E-3</v>
      </c>
    </row>
    <row r="234" spans="1:29" ht="30">
      <c r="A234" s="1719" t="s">
        <v>168</v>
      </c>
      <c r="B234" s="1720" t="s">
        <v>2303</v>
      </c>
      <c r="C234" s="1721"/>
      <c r="D234" s="1722"/>
      <c r="E234" s="1723"/>
      <c r="F234" s="1722"/>
      <c r="G234" s="1724">
        <v>0.05</v>
      </c>
      <c r="H234" s="1723" t="s">
        <v>1119</v>
      </c>
      <c r="I234" s="1724">
        <v>3.96E-3</v>
      </c>
      <c r="J234" s="1723" t="s">
        <v>1960</v>
      </c>
      <c r="K234" s="1723" t="s">
        <v>1127</v>
      </c>
      <c r="L234" s="1722"/>
      <c r="M234" s="1723">
        <v>1</v>
      </c>
      <c r="N234" s="1723"/>
      <c r="O234" s="1735">
        <v>1190</v>
      </c>
      <c r="P234" s="1726">
        <v>4.8</v>
      </c>
      <c r="Q234" s="1727" t="s">
        <v>1471</v>
      </c>
      <c r="R234" s="1726">
        <v>20</v>
      </c>
      <c r="S234" s="1727" t="s">
        <v>1471</v>
      </c>
      <c r="T234" s="1726">
        <v>4.0999999999999996</v>
      </c>
      <c r="U234" s="1727" t="s">
        <v>1471</v>
      </c>
      <c r="V234" s="1726">
        <v>17</v>
      </c>
      <c r="W234" s="1727" t="s">
        <v>1471</v>
      </c>
      <c r="X234" s="1726">
        <v>8.1999999999999993</v>
      </c>
      <c r="Y234" s="1729" t="s">
        <v>1471</v>
      </c>
      <c r="Z234" s="1726">
        <v>7</v>
      </c>
      <c r="AA234" s="1730">
        <v>2.8999999999999998E-3</v>
      </c>
      <c r="AB234" s="1731" t="s">
        <v>1471</v>
      </c>
      <c r="AC234" s="1739">
        <v>2.5000000000000001E-3</v>
      </c>
    </row>
    <row r="235" spans="1:29" ht="30">
      <c r="A235" s="1704" t="s">
        <v>170</v>
      </c>
      <c r="B235" s="1705" t="s">
        <v>2304</v>
      </c>
      <c r="C235" s="1706"/>
      <c r="D235" s="1707"/>
      <c r="E235" s="1708"/>
      <c r="F235" s="1707"/>
      <c r="G235" s="1709">
        <v>2E-3</v>
      </c>
      <c r="H235" s="1708" t="s">
        <v>1119</v>
      </c>
      <c r="I235" s="1709">
        <v>0.04</v>
      </c>
      <c r="J235" s="1708" t="s">
        <v>1893</v>
      </c>
      <c r="K235" s="1708" t="s">
        <v>1127</v>
      </c>
      <c r="L235" s="1707"/>
      <c r="M235" s="1708">
        <v>1</v>
      </c>
      <c r="N235" s="1708"/>
      <c r="O235" s="1718">
        <v>2370</v>
      </c>
      <c r="P235" s="1711">
        <v>63</v>
      </c>
      <c r="Q235" s="1712" t="s">
        <v>1471</v>
      </c>
      <c r="R235" s="1711">
        <v>370</v>
      </c>
      <c r="S235" s="1712" t="s">
        <v>1471</v>
      </c>
      <c r="T235" s="1711">
        <v>42</v>
      </c>
      <c r="U235" s="1712" t="s">
        <v>1471</v>
      </c>
      <c r="V235" s="1711">
        <v>180</v>
      </c>
      <c r="W235" s="1712" t="s">
        <v>1471</v>
      </c>
      <c r="X235" s="1711">
        <v>25</v>
      </c>
      <c r="Y235" s="1714" t="s">
        <v>1471</v>
      </c>
      <c r="Z235" s="1711">
        <v>70</v>
      </c>
      <c r="AA235" s="1715">
        <v>7.4000000000000003E-3</v>
      </c>
      <c r="AB235" s="1716" t="s">
        <v>1471</v>
      </c>
      <c r="AC235" s="1738">
        <v>2.1000000000000001E-2</v>
      </c>
    </row>
    <row r="236" spans="1:29" ht="30">
      <c r="A236" s="1704" t="s">
        <v>172</v>
      </c>
      <c r="B236" s="1705" t="s">
        <v>2305</v>
      </c>
      <c r="C236" s="1706"/>
      <c r="D236" s="1707"/>
      <c r="E236" s="1708"/>
      <c r="F236" s="1707"/>
      <c r="G236" s="1709">
        <v>0.02</v>
      </c>
      <c r="H236" s="1708" t="s">
        <v>1119</v>
      </c>
      <c r="I236" s="1709">
        <v>0.04</v>
      </c>
      <c r="J236" s="1708" t="s">
        <v>1893</v>
      </c>
      <c r="K236" s="1708" t="s">
        <v>1127</v>
      </c>
      <c r="L236" s="1707"/>
      <c r="M236" s="1708">
        <v>1</v>
      </c>
      <c r="N236" s="1708"/>
      <c r="O236" s="1718">
        <v>1850</v>
      </c>
      <c r="P236" s="1711">
        <v>70</v>
      </c>
      <c r="Q236" s="1712" t="s">
        <v>1471</v>
      </c>
      <c r="R236" s="1711">
        <v>300</v>
      </c>
      <c r="S236" s="1712" t="s">
        <v>1471</v>
      </c>
      <c r="T236" s="1711">
        <v>42</v>
      </c>
      <c r="U236" s="1712" t="s">
        <v>1471</v>
      </c>
      <c r="V236" s="1711">
        <v>180</v>
      </c>
      <c r="W236" s="1712" t="s">
        <v>1471</v>
      </c>
      <c r="X236" s="1711">
        <v>68</v>
      </c>
      <c r="Y236" s="1714" t="s">
        <v>1471</v>
      </c>
      <c r="Z236" s="1711">
        <v>100</v>
      </c>
      <c r="AA236" s="1715">
        <v>2.1000000000000001E-2</v>
      </c>
      <c r="AB236" s="1716" t="s">
        <v>1471</v>
      </c>
      <c r="AC236" s="1738">
        <v>3.1E-2</v>
      </c>
    </row>
    <row r="237" spans="1:29" ht="30">
      <c r="A237" s="1719" t="s">
        <v>174</v>
      </c>
      <c r="B237" s="1720" t="s">
        <v>2306</v>
      </c>
      <c r="C237" s="1721"/>
      <c r="D237" s="1722"/>
      <c r="E237" s="1723"/>
      <c r="F237" s="1722"/>
      <c r="G237" s="1724">
        <v>3.0000000000000001E-3</v>
      </c>
      <c r="H237" s="1723" t="s">
        <v>1119</v>
      </c>
      <c r="I237" s="1723"/>
      <c r="J237" s="1722"/>
      <c r="K237" s="1722"/>
      <c r="L237" s="1722"/>
      <c r="M237" s="1723">
        <v>1</v>
      </c>
      <c r="N237" s="1723">
        <v>0.1</v>
      </c>
      <c r="O237" s="1725"/>
      <c r="P237" s="1726">
        <v>190</v>
      </c>
      <c r="Q237" s="1727" t="s">
        <v>1471</v>
      </c>
      <c r="R237" s="1726">
        <v>2500</v>
      </c>
      <c r="S237" s="1727" t="s">
        <v>1471</v>
      </c>
      <c r="T237" s="1727"/>
      <c r="U237" s="1728"/>
      <c r="V237" s="1727"/>
      <c r="W237" s="1728"/>
      <c r="X237" s="1726">
        <v>46</v>
      </c>
      <c r="Y237" s="1729" t="s">
        <v>1471</v>
      </c>
      <c r="Z237" s="1728"/>
      <c r="AA237" s="1730">
        <v>2.3E-2</v>
      </c>
      <c r="AB237" s="1731" t="s">
        <v>1471</v>
      </c>
      <c r="AC237" s="1732"/>
    </row>
    <row r="238" spans="1:29" ht="30">
      <c r="A238" s="1704" t="s">
        <v>2307</v>
      </c>
      <c r="B238" s="1705" t="s">
        <v>2308</v>
      </c>
      <c r="C238" s="1706"/>
      <c r="D238" s="1707"/>
      <c r="E238" s="1708"/>
      <c r="F238" s="1707"/>
      <c r="G238" s="1709">
        <v>0.01</v>
      </c>
      <c r="H238" s="1708" t="s">
        <v>1119</v>
      </c>
      <c r="I238" s="1708"/>
      <c r="J238" s="1707"/>
      <c r="K238" s="1707"/>
      <c r="L238" s="1707"/>
      <c r="M238" s="1708">
        <v>1</v>
      </c>
      <c r="N238" s="1708">
        <v>0.05</v>
      </c>
      <c r="O238" s="1710"/>
      <c r="P238" s="1711">
        <v>700</v>
      </c>
      <c r="Q238" s="1712" t="s">
        <v>1471</v>
      </c>
      <c r="R238" s="1711">
        <v>9600</v>
      </c>
      <c r="S238" s="1712" t="s">
        <v>1471</v>
      </c>
      <c r="T238" s="1712"/>
      <c r="U238" s="1713"/>
      <c r="V238" s="1712"/>
      <c r="W238" s="1713"/>
      <c r="X238" s="1711">
        <v>170</v>
      </c>
      <c r="Y238" s="1714" t="s">
        <v>1471</v>
      </c>
      <c r="Z238" s="1711">
        <v>70</v>
      </c>
      <c r="AA238" s="1715">
        <v>4.4999999999999998E-2</v>
      </c>
      <c r="AB238" s="1716" t="s">
        <v>1471</v>
      </c>
      <c r="AC238" s="1738">
        <v>1.7999999999999999E-2</v>
      </c>
    </row>
    <row r="239" spans="1:29" ht="30">
      <c r="A239" s="1704" t="s">
        <v>176</v>
      </c>
      <c r="B239" s="1705" t="s">
        <v>2309</v>
      </c>
      <c r="C239" s="1736">
        <v>3.6999999999999998E-2</v>
      </c>
      <c r="D239" s="1708" t="s">
        <v>1909</v>
      </c>
      <c r="E239" s="1709">
        <v>3.7000000000000002E-6</v>
      </c>
      <c r="F239" s="1708" t="s">
        <v>1909</v>
      </c>
      <c r="G239" s="1709">
        <v>0.04</v>
      </c>
      <c r="H239" s="1708" t="s">
        <v>1909</v>
      </c>
      <c r="I239" s="1709">
        <v>4.0000000000000001E-3</v>
      </c>
      <c r="J239" s="1708" t="s">
        <v>1119</v>
      </c>
      <c r="K239" s="1708" t="s">
        <v>1127</v>
      </c>
      <c r="L239" s="1707"/>
      <c r="M239" s="1708">
        <v>1</v>
      </c>
      <c r="N239" s="1708"/>
      <c r="O239" s="1718">
        <v>1360</v>
      </c>
      <c r="P239" s="1711">
        <v>2.5</v>
      </c>
      <c r="Q239" s="1712" t="s">
        <v>4122</v>
      </c>
      <c r="R239" s="1711">
        <v>11</v>
      </c>
      <c r="S239" s="1712" t="s">
        <v>4122</v>
      </c>
      <c r="T239" s="1711">
        <v>0.76</v>
      </c>
      <c r="U239" s="1712" t="s">
        <v>4122</v>
      </c>
      <c r="V239" s="1711">
        <v>3.3</v>
      </c>
      <c r="W239" s="1712" t="s">
        <v>4122</v>
      </c>
      <c r="X239" s="1711">
        <v>0.85</v>
      </c>
      <c r="Y239" s="1714" t="s">
        <v>4122</v>
      </c>
      <c r="Z239" s="1711">
        <v>5</v>
      </c>
      <c r="AA239" s="1715">
        <v>2.7999999999999998E-4</v>
      </c>
      <c r="AB239" s="1716" t="s">
        <v>4122</v>
      </c>
      <c r="AC239" s="1738">
        <v>1.6999999999999999E-3</v>
      </c>
    </row>
    <row r="240" spans="1:29" ht="30">
      <c r="A240" s="1719" t="s">
        <v>2310</v>
      </c>
      <c r="B240" s="1720" t="s">
        <v>2311</v>
      </c>
      <c r="C240" s="1721"/>
      <c r="D240" s="1722"/>
      <c r="E240" s="1723"/>
      <c r="F240" s="1722"/>
      <c r="G240" s="1724">
        <v>0.02</v>
      </c>
      <c r="H240" s="1723" t="s">
        <v>1909</v>
      </c>
      <c r="I240" s="1723"/>
      <c r="J240" s="1722"/>
      <c r="K240" s="1723" t="s">
        <v>1127</v>
      </c>
      <c r="L240" s="1722"/>
      <c r="M240" s="1723">
        <v>1</v>
      </c>
      <c r="N240" s="1723"/>
      <c r="O240" s="1735">
        <v>1490</v>
      </c>
      <c r="P240" s="1726">
        <v>1600</v>
      </c>
      <c r="Q240" s="1727" t="s">
        <v>4125</v>
      </c>
      <c r="R240" s="1726">
        <v>23000</v>
      </c>
      <c r="S240" s="1727" t="s">
        <v>4125</v>
      </c>
      <c r="T240" s="1727"/>
      <c r="U240" s="1728"/>
      <c r="V240" s="1727"/>
      <c r="W240" s="1728"/>
      <c r="X240" s="1726">
        <v>370</v>
      </c>
      <c r="Y240" s="1729" t="s">
        <v>1471</v>
      </c>
      <c r="Z240" s="1728"/>
      <c r="AA240" s="1730">
        <v>0.13</v>
      </c>
      <c r="AB240" s="1731" t="s">
        <v>1471</v>
      </c>
      <c r="AC240" s="1732"/>
    </row>
    <row r="241" spans="1:29" ht="30">
      <c r="A241" s="1704" t="s">
        <v>2312</v>
      </c>
      <c r="B241" s="1705" t="s">
        <v>2313</v>
      </c>
      <c r="C241" s="1706"/>
      <c r="D241" s="1707"/>
      <c r="E241" s="1708"/>
      <c r="F241" s="1707"/>
      <c r="G241" s="1709">
        <v>3.0000000000000001E-3</v>
      </c>
      <c r="H241" s="1708" t="s">
        <v>1119</v>
      </c>
      <c r="I241" s="1708"/>
      <c r="J241" s="1707"/>
      <c r="K241" s="1707"/>
      <c r="L241" s="1707"/>
      <c r="M241" s="1708">
        <v>1</v>
      </c>
      <c r="N241" s="1708">
        <v>0.1</v>
      </c>
      <c r="O241" s="1710"/>
      <c r="P241" s="1711">
        <v>190</v>
      </c>
      <c r="Q241" s="1712" t="s">
        <v>1471</v>
      </c>
      <c r="R241" s="1711">
        <v>2500</v>
      </c>
      <c r="S241" s="1712" t="s">
        <v>1471</v>
      </c>
      <c r="T241" s="1712"/>
      <c r="U241" s="1713"/>
      <c r="V241" s="1712"/>
      <c r="W241" s="1713"/>
      <c r="X241" s="1711">
        <v>59</v>
      </c>
      <c r="Y241" s="1714" t="s">
        <v>1471</v>
      </c>
      <c r="Z241" s="1713"/>
      <c r="AA241" s="1715">
        <v>1.2999999999999999E-2</v>
      </c>
      <c r="AB241" s="1716" t="s">
        <v>1471</v>
      </c>
      <c r="AC241" s="1717"/>
    </row>
    <row r="242" spans="1:29" ht="30">
      <c r="A242" s="1704" t="s">
        <v>178</v>
      </c>
      <c r="B242" s="1705" t="s">
        <v>2314</v>
      </c>
      <c r="C242" s="1736">
        <v>0.1</v>
      </c>
      <c r="D242" s="1708" t="s">
        <v>1119</v>
      </c>
      <c r="E242" s="1709">
        <v>3.9999999999999998E-6</v>
      </c>
      <c r="F242" s="1708" t="s">
        <v>1119</v>
      </c>
      <c r="G242" s="1709">
        <v>0.03</v>
      </c>
      <c r="H242" s="1708" t="s">
        <v>1119</v>
      </c>
      <c r="I242" s="1709">
        <v>0.02</v>
      </c>
      <c r="J242" s="1708" t="s">
        <v>1119</v>
      </c>
      <c r="K242" s="1708" t="s">
        <v>1127</v>
      </c>
      <c r="L242" s="1707"/>
      <c r="M242" s="1708">
        <v>1</v>
      </c>
      <c r="N242" s="1708"/>
      <c r="O242" s="1718">
        <v>1570</v>
      </c>
      <c r="P242" s="1711">
        <v>1.8</v>
      </c>
      <c r="Q242" s="1712" t="s">
        <v>4127</v>
      </c>
      <c r="R242" s="1711">
        <v>8.1999999999999993</v>
      </c>
      <c r="S242" s="1712" t="s">
        <v>4127</v>
      </c>
      <c r="T242" s="1711">
        <v>0.7</v>
      </c>
      <c r="U242" s="1712" t="s">
        <v>4127</v>
      </c>
      <c r="V242" s="1711">
        <v>3.1</v>
      </c>
      <c r="W242" s="1712" t="s">
        <v>4127</v>
      </c>
      <c r="X242" s="1711">
        <v>0.47</v>
      </c>
      <c r="Y242" s="1714" t="s">
        <v>4127</v>
      </c>
      <c r="Z242" s="1713"/>
      <c r="AA242" s="1715">
        <v>1.7000000000000001E-4</v>
      </c>
      <c r="AB242" s="1716" t="s">
        <v>4127</v>
      </c>
      <c r="AC242" s="1717"/>
    </row>
    <row r="243" spans="1:29" ht="15">
      <c r="A243" s="1719" t="s">
        <v>2315</v>
      </c>
      <c r="B243" s="1720" t="s">
        <v>2316</v>
      </c>
      <c r="C243" s="1737">
        <v>0.28999999999999998</v>
      </c>
      <c r="D243" s="1723" t="s">
        <v>1119</v>
      </c>
      <c r="E243" s="1724">
        <v>8.2999999999999998E-5</v>
      </c>
      <c r="F243" s="1723" t="s">
        <v>1900</v>
      </c>
      <c r="G243" s="1724">
        <v>5.0000000000000001E-4</v>
      </c>
      <c r="H243" s="1723" t="s">
        <v>1119</v>
      </c>
      <c r="I243" s="1724">
        <v>5.0000000000000001E-4</v>
      </c>
      <c r="J243" s="1723" t="s">
        <v>1119</v>
      </c>
      <c r="K243" s="1722"/>
      <c r="L243" s="1722"/>
      <c r="M243" s="1723">
        <v>1</v>
      </c>
      <c r="N243" s="1723">
        <v>0.1</v>
      </c>
      <c r="O243" s="1725"/>
      <c r="P243" s="1726">
        <v>1.9</v>
      </c>
      <c r="Q243" s="1727" t="s">
        <v>4127</v>
      </c>
      <c r="R243" s="1726">
        <v>7.9</v>
      </c>
      <c r="S243" s="1727" t="s">
        <v>4127</v>
      </c>
      <c r="T243" s="1726">
        <v>3.4000000000000002E-2</v>
      </c>
      <c r="U243" s="1727" t="s">
        <v>4127</v>
      </c>
      <c r="V243" s="1726">
        <v>0.15</v>
      </c>
      <c r="W243" s="1727" t="s">
        <v>4127</v>
      </c>
      <c r="X243" s="1726">
        <v>0.26</v>
      </c>
      <c r="Y243" s="1729" t="s">
        <v>4127</v>
      </c>
      <c r="Z243" s="1728"/>
      <c r="AA243" s="1730">
        <v>8.1000000000000004E-5</v>
      </c>
      <c r="AB243" s="1731" t="s">
        <v>4127</v>
      </c>
      <c r="AC243" s="1732"/>
    </row>
    <row r="244" spans="1:29" ht="15">
      <c r="A244" s="1704" t="s">
        <v>2317</v>
      </c>
      <c r="B244" s="1705" t="s">
        <v>2318</v>
      </c>
      <c r="C244" s="1706"/>
      <c r="D244" s="1707"/>
      <c r="E244" s="1708"/>
      <c r="F244" s="1707"/>
      <c r="G244" s="1709">
        <v>3.0000000000000001E-5</v>
      </c>
      <c r="H244" s="1708" t="s">
        <v>1116</v>
      </c>
      <c r="I244" s="1708"/>
      <c r="J244" s="1707"/>
      <c r="K244" s="1707"/>
      <c r="L244" s="1707"/>
      <c r="M244" s="1708">
        <v>1</v>
      </c>
      <c r="N244" s="1708">
        <v>0.1</v>
      </c>
      <c r="O244" s="1710"/>
      <c r="P244" s="1711">
        <v>1.9</v>
      </c>
      <c r="Q244" s="1712" t="s">
        <v>1471</v>
      </c>
      <c r="R244" s="1711">
        <v>25</v>
      </c>
      <c r="S244" s="1712" t="s">
        <v>1471</v>
      </c>
      <c r="T244" s="1712"/>
      <c r="U244" s="1713"/>
      <c r="V244" s="1712"/>
      <c r="W244" s="1713"/>
      <c r="X244" s="1711">
        <v>0.6</v>
      </c>
      <c r="Y244" s="1714" t="s">
        <v>1471</v>
      </c>
      <c r="Z244" s="1713"/>
      <c r="AA244" s="1715">
        <v>1.3999999999999999E-4</v>
      </c>
      <c r="AB244" s="1716" t="s">
        <v>1471</v>
      </c>
      <c r="AC244" s="1717"/>
    </row>
    <row r="245" spans="1:29" ht="30">
      <c r="A245" s="1704" t="s">
        <v>2319</v>
      </c>
      <c r="B245" s="1705" t="s">
        <v>2320</v>
      </c>
      <c r="C245" s="1706"/>
      <c r="D245" s="1707"/>
      <c r="E245" s="1708"/>
      <c r="F245" s="1707"/>
      <c r="G245" s="1709">
        <v>0.08</v>
      </c>
      <c r="H245" s="1708" t="s">
        <v>1909</v>
      </c>
      <c r="I245" s="1709">
        <v>2.9999999999999997E-4</v>
      </c>
      <c r="J245" s="1708" t="s">
        <v>1893</v>
      </c>
      <c r="K245" s="1708" t="s">
        <v>1127</v>
      </c>
      <c r="L245" s="1707"/>
      <c r="M245" s="1708">
        <v>1</v>
      </c>
      <c r="N245" s="1708"/>
      <c r="O245" s="1718">
        <v>256</v>
      </c>
      <c r="P245" s="1711">
        <v>1.3</v>
      </c>
      <c r="Q245" s="1712" t="s">
        <v>1471</v>
      </c>
      <c r="R245" s="1711">
        <v>5.4</v>
      </c>
      <c r="S245" s="1712" t="s">
        <v>1471</v>
      </c>
      <c r="T245" s="1711">
        <v>0.31</v>
      </c>
      <c r="U245" s="1712" t="s">
        <v>1471</v>
      </c>
      <c r="V245" s="1711">
        <v>1.3</v>
      </c>
      <c r="W245" s="1712" t="s">
        <v>1471</v>
      </c>
      <c r="X245" s="1711">
        <v>0.63</v>
      </c>
      <c r="Y245" s="1714" t="s">
        <v>1471</v>
      </c>
      <c r="Z245" s="1713"/>
      <c r="AA245" s="1715">
        <v>2.2000000000000001E-3</v>
      </c>
      <c r="AB245" s="1716" t="s">
        <v>1471</v>
      </c>
      <c r="AC245" s="1717"/>
    </row>
    <row r="246" spans="1:29" ht="15">
      <c r="A246" s="1719" t="s">
        <v>180</v>
      </c>
      <c r="B246" s="1720" t="s">
        <v>179</v>
      </c>
      <c r="C246" s="1737">
        <v>16</v>
      </c>
      <c r="D246" s="1723" t="s">
        <v>1119</v>
      </c>
      <c r="E246" s="1724">
        <v>4.5999999999999999E-3</v>
      </c>
      <c r="F246" s="1723" t="s">
        <v>1119</v>
      </c>
      <c r="G246" s="1724">
        <v>5.0000000000000002E-5</v>
      </c>
      <c r="H246" s="1723" t="s">
        <v>1119</v>
      </c>
      <c r="I246" s="1723"/>
      <c r="J246" s="1722"/>
      <c r="K246" s="1722"/>
      <c r="L246" s="1722"/>
      <c r="M246" s="1723">
        <v>1</v>
      </c>
      <c r="N246" s="1723">
        <v>0.1</v>
      </c>
      <c r="O246" s="1725"/>
      <c r="P246" s="1726">
        <v>3.4000000000000002E-2</v>
      </c>
      <c r="Q246" s="1727" t="s">
        <v>4127</v>
      </c>
      <c r="R246" s="1726">
        <v>0.14000000000000001</v>
      </c>
      <c r="S246" s="1727" t="s">
        <v>4126</v>
      </c>
      <c r="T246" s="1726">
        <v>6.0999999999999997E-4</v>
      </c>
      <c r="U246" s="1727" t="s">
        <v>4126</v>
      </c>
      <c r="V246" s="1726">
        <v>2.7000000000000001E-3</v>
      </c>
      <c r="W246" s="1727" t="s">
        <v>4126</v>
      </c>
      <c r="X246" s="1726">
        <v>1.8E-3</v>
      </c>
      <c r="Y246" s="1729" t="s">
        <v>4126</v>
      </c>
      <c r="Z246" s="1728"/>
      <c r="AA246" s="1730">
        <v>7.1000000000000005E-5</v>
      </c>
      <c r="AB246" s="1731" t="s">
        <v>4126</v>
      </c>
      <c r="AC246" s="1732"/>
    </row>
    <row r="247" spans="1:29" ht="30">
      <c r="A247" s="1704" t="s">
        <v>2321</v>
      </c>
      <c r="B247" s="1705" t="s">
        <v>2322</v>
      </c>
      <c r="C247" s="1706"/>
      <c r="D247" s="1707"/>
      <c r="E247" s="1709">
        <v>2.9999999999999997E-4</v>
      </c>
      <c r="F247" s="1708" t="s">
        <v>1900</v>
      </c>
      <c r="G247" s="1708"/>
      <c r="H247" s="1707"/>
      <c r="I247" s="1709">
        <v>5.0000000000000001E-3</v>
      </c>
      <c r="J247" s="1708" t="s">
        <v>1119</v>
      </c>
      <c r="K247" s="1707"/>
      <c r="L247" s="1707"/>
      <c r="M247" s="1708">
        <v>1</v>
      </c>
      <c r="N247" s="1708">
        <v>0.1</v>
      </c>
      <c r="O247" s="1710"/>
      <c r="P247" s="1712"/>
      <c r="Q247" s="1713"/>
      <c r="R247" s="1712"/>
      <c r="S247" s="1713"/>
      <c r="T247" s="1711">
        <v>9.4000000000000004E-3</v>
      </c>
      <c r="U247" s="1712" t="s">
        <v>4126</v>
      </c>
      <c r="V247" s="1711">
        <v>4.1000000000000002E-2</v>
      </c>
      <c r="W247" s="1712" t="s">
        <v>4126</v>
      </c>
      <c r="X247" s="1712"/>
      <c r="Y247" s="1733"/>
      <c r="Z247" s="1713"/>
      <c r="AA247" s="1716"/>
      <c r="AB247" s="1734"/>
      <c r="AC247" s="1717"/>
    </row>
    <row r="248" spans="1:29" ht="15">
      <c r="A248" s="1704" t="s">
        <v>2323</v>
      </c>
      <c r="B248" s="1705" t="s">
        <v>2324</v>
      </c>
      <c r="C248" s="1706"/>
      <c r="D248" s="1707"/>
      <c r="E248" s="1708"/>
      <c r="F248" s="1707"/>
      <c r="G248" s="1709">
        <v>2E-3</v>
      </c>
      <c r="H248" s="1708" t="s">
        <v>1909</v>
      </c>
      <c r="I248" s="1709">
        <v>2.0000000000000001E-4</v>
      </c>
      <c r="J248" s="1708" t="s">
        <v>1909</v>
      </c>
      <c r="K248" s="1707"/>
      <c r="L248" s="1707"/>
      <c r="M248" s="1708">
        <v>1</v>
      </c>
      <c r="N248" s="1708">
        <v>0.1</v>
      </c>
      <c r="O248" s="1710"/>
      <c r="P248" s="1711">
        <v>130</v>
      </c>
      <c r="Q248" s="1712" t="s">
        <v>1471</v>
      </c>
      <c r="R248" s="1711">
        <v>1600</v>
      </c>
      <c r="S248" s="1712" t="s">
        <v>1471</v>
      </c>
      <c r="T248" s="1711">
        <v>0.21</v>
      </c>
      <c r="U248" s="1712" t="s">
        <v>1471</v>
      </c>
      <c r="V248" s="1711">
        <v>0.88</v>
      </c>
      <c r="W248" s="1712" t="s">
        <v>1471</v>
      </c>
      <c r="X248" s="1711">
        <v>40</v>
      </c>
      <c r="Y248" s="1714" t="s">
        <v>1471</v>
      </c>
      <c r="Z248" s="1713"/>
      <c r="AA248" s="1715">
        <v>8.0999999999999996E-3</v>
      </c>
      <c r="AB248" s="1716" t="s">
        <v>1471</v>
      </c>
      <c r="AC248" s="1717"/>
    </row>
    <row r="249" spans="1:29" ht="30">
      <c r="A249" s="1719" t="s">
        <v>2325</v>
      </c>
      <c r="B249" s="1720" t="s">
        <v>2326</v>
      </c>
      <c r="C249" s="1721"/>
      <c r="D249" s="1722"/>
      <c r="E249" s="1723"/>
      <c r="F249" s="1722"/>
      <c r="G249" s="1724">
        <v>0.03</v>
      </c>
      <c r="H249" s="1723" t="s">
        <v>1909</v>
      </c>
      <c r="I249" s="1724">
        <v>1E-4</v>
      </c>
      <c r="J249" s="1723" t="s">
        <v>1909</v>
      </c>
      <c r="K249" s="1722"/>
      <c r="L249" s="1722"/>
      <c r="M249" s="1723">
        <v>1</v>
      </c>
      <c r="N249" s="1723">
        <v>0.1</v>
      </c>
      <c r="O249" s="1725"/>
      <c r="P249" s="1726">
        <v>1900</v>
      </c>
      <c r="Q249" s="1727" t="s">
        <v>1471</v>
      </c>
      <c r="R249" s="1726">
        <v>24000</v>
      </c>
      <c r="S249" s="1727" t="s">
        <v>1471</v>
      </c>
      <c r="T249" s="1726">
        <v>0.1</v>
      </c>
      <c r="U249" s="1727" t="s">
        <v>1471</v>
      </c>
      <c r="V249" s="1726">
        <v>0.44</v>
      </c>
      <c r="W249" s="1727" t="s">
        <v>1471</v>
      </c>
      <c r="X249" s="1726">
        <v>600</v>
      </c>
      <c r="Y249" s="1729" t="s">
        <v>1471</v>
      </c>
      <c r="Z249" s="1728"/>
      <c r="AA249" s="1730">
        <v>0.13</v>
      </c>
      <c r="AB249" s="1731" t="s">
        <v>1471</v>
      </c>
      <c r="AC249" s="1732"/>
    </row>
    <row r="250" spans="1:29" ht="30">
      <c r="A250" s="1704" t="s">
        <v>2327</v>
      </c>
      <c r="B250" s="1705" t="s">
        <v>2328</v>
      </c>
      <c r="C250" s="1706"/>
      <c r="D250" s="1707"/>
      <c r="E250" s="1708"/>
      <c r="F250" s="1707"/>
      <c r="G250" s="1709">
        <v>0.06</v>
      </c>
      <c r="H250" s="1708" t="s">
        <v>1909</v>
      </c>
      <c r="I250" s="1709">
        <v>2.9999999999999997E-4</v>
      </c>
      <c r="J250" s="1708" t="s">
        <v>1909</v>
      </c>
      <c r="K250" s="1707"/>
      <c r="L250" s="1707"/>
      <c r="M250" s="1708">
        <v>1</v>
      </c>
      <c r="N250" s="1708">
        <v>0.1</v>
      </c>
      <c r="O250" s="1710"/>
      <c r="P250" s="1711">
        <v>3800</v>
      </c>
      <c r="Q250" s="1712" t="s">
        <v>1471</v>
      </c>
      <c r="R250" s="1711">
        <v>48000</v>
      </c>
      <c r="S250" s="1712" t="s">
        <v>1471</v>
      </c>
      <c r="T250" s="1711">
        <v>0.31</v>
      </c>
      <c r="U250" s="1712" t="s">
        <v>1471</v>
      </c>
      <c r="V250" s="1711">
        <v>1.3</v>
      </c>
      <c r="W250" s="1712" t="s">
        <v>1471</v>
      </c>
      <c r="X250" s="1711">
        <v>1200</v>
      </c>
      <c r="Y250" s="1714" t="s">
        <v>1471</v>
      </c>
      <c r="Z250" s="1713"/>
      <c r="AA250" s="1715">
        <v>0.24</v>
      </c>
      <c r="AB250" s="1716" t="s">
        <v>1471</v>
      </c>
      <c r="AC250" s="1717"/>
    </row>
    <row r="251" spans="1:29" ht="15">
      <c r="A251" s="1704" t="s">
        <v>2329</v>
      </c>
      <c r="B251" s="1705" t="s">
        <v>2330</v>
      </c>
      <c r="C251" s="1706"/>
      <c r="D251" s="1707"/>
      <c r="E251" s="1708"/>
      <c r="F251" s="1707"/>
      <c r="G251" s="1709">
        <v>1E-3</v>
      </c>
      <c r="H251" s="1708" t="s">
        <v>1909</v>
      </c>
      <c r="I251" s="1708"/>
      <c r="J251" s="1707"/>
      <c r="K251" s="1708" t="s">
        <v>1127</v>
      </c>
      <c r="L251" s="1707"/>
      <c r="M251" s="1708">
        <v>1</v>
      </c>
      <c r="N251" s="1708"/>
      <c r="O251" s="1718">
        <v>112000</v>
      </c>
      <c r="P251" s="1711">
        <v>78</v>
      </c>
      <c r="Q251" s="1712" t="s">
        <v>1471</v>
      </c>
      <c r="R251" s="1711">
        <v>1200</v>
      </c>
      <c r="S251" s="1712" t="s">
        <v>1471</v>
      </c>
      <c r="T251" s="1712"/>
      <c r="U251" s="1713"/>
      <c r="V251" s="1712"/>
      <c r="W251" s="1713"/>
      <c r="X251" s="1711">
        <v>20</v>
      </c>
      <c r="Y251" s="1714" t="s">
        <v>1471</v>
      </c>
      <c r="Z251" s="1713"/>
      <c r="AA251" s="1715">
        <v>4.1000000000000003E-3</v>
      </c>
      <c r="AB251" s="1716" t="s">
        <v>1471</v>
      </c>
      <c r="AC251" s="1717"/>
    </row>
    <row r="252" spans="1:29" ht="15">
      <c r="A252" s="1719" t="s">
        <v>2331</v>
      </c>
      <c r="B252" s="1720" t="s">
        <v>2332</v>
      </c>
      <c r="C252" s="1737">
        <v>350</v>
      </c>
      <c r="D252" s="1723" t="s">
        <v>1900</v>
      </c>
      <c r="E252" s="1724">
        <v>0.1</v>
      </c>
      <c r="F252" s="1723" t="s">
        <v>1900</v>
      </c>
      <c r="G252" s="1723"/>
      <c r="H252" s="1722"/>
      <c r="I252" s="1723"/>
      <c r="J252" s="1722"/>
      <c r="K252" s="1722"/>
      <c r="L252" s="1722"/>
      <c r="M252" s="1723">
        <v>1</v>
      </c>
      <c r="N252" s="1723">
        <v>0.1</v>
      </c>
      <c r="O252" s="1725"/>
      <c r="P252" s="1726">
        <v>1.6000000000000001E-3</v>
      </c>
      <c r="Q252" s="1727" t="s">
        <v>4126</v>
      </c>
      <c r="R252" s="1726">
        <v>6.6E-3</v>
      </c>
      <c r="S252" s="1727" t="s">
        <v>4126</v>
      </c>
      <c r="T252" s="1726">
        <v>2.8E-5</v>
      </c>
      <c r="U252" s="1727" t="s">
        <v>4126</v>
      </c>
      <c r="V252" s="1726">
        <v>1.2E-4</v>
      </c>
      <c r="W252" s="1727" t="s">
        <v>4126</v>
      </c>
      <c r="X252" s="1726">
        <v>5.1E-5</v>
      </c>
      <c r="Y252" s="1729" t="s">
        <v>4126</v>
      </c>
      <c r="Z252" s="1728"/>
      <c r="AA252" s="1730">
        <v>2.8E-5</v>
      </c>
      <c r="AB252" s="1731" t="s">
        <v>4126</v>
      </c>
      <c r="AC252" s="1732"/>
    </row>
    <row r="253" spans="1:29" ht="15">
      <c r="A253" s="1704" t="s">
        <v>2333</v>
      </c>
      <c r="B253" s="1705" t="s">
        <v>2334</v>
      </c>
      <c r="C253" s="1706"/>
      <c r="D253" s="1707"/>
      <c r="E253" s="1708"/>
      <c r="F253" s="1707"/>
      <c r="G253" s="1709">
        <v>8.3000000000000004E-2</v>
      </c>
      <c r="H253" s="1708" t="s">
        <v>1116</v>
      </c>
      <c r="I253" s="1708"/>
      <c r="J253" s="1707"/>
      <c r="K253" s="1707"/>
      <c r="L253" s="1707"/>
      <c r="M253" s="1708">
        <v>1</v>
      </c>
      <c r="N253" s="1708">
        <v>0.1</v>
      </c>
      <c r="O253" s="1710"/>
      <c r="P253" s="1711">
        <v>5200</v>
      </c>
      <c r="Q253" s="1712" t="s">
        <v>1471</v>
      </c>
      <c r="R253" s="1711">
        <v>68000</v>
      </c>
      <c r="S253" s="1712" t="s">
        <v>1471</v>
      </c>
      <c r="T253" s="1712"/>
      <c r="U253" s="1713"/>
      <c r="V253" s="1712"/>
      <c r="W253" s="1713"/>
      <c r="X253" s="1711">
        <v>1700</v>
      </c>
      <c r="Y253" s="1714" t="s">
        <v>1471</v>
      </c>
      <c r="Z253" s="1713"/>
      <c r="AA253" s="1715">
        <v>260</v>
      </c>
      <c r="AB253" s="1716" t="s">
        <v>1471</v>
      </c>
      <c r="AC253" s="1717"/>
    </row>
    <row r="254" spans="1:29" ht="15">
      <c r="A254" s="1704" t="s">
        <v>2335</v>
      </c>
      <c r="B254" s="1705" t="s">
        <v>2336</v>
      </c>
      <c r="C254" s="1706"/>
      <c r="D254" s="1707"/>
      <c r="E254" s="1708"/>
      <c r="F254" s="1707"/>
      <c r="G254" s="1709">
        <v>0.02</v>
      </c>
      <c r="H254" s="1708" t="s">
        <v>1119</v>
      </c>
      <c r="I254" s="1708"/>
      <c r="J254" s="1707"/>
      <c r="K254" s="1707"/>
      <c r="L254" s="1707"/>
      <c r="M254" s="1708">
        <v>1</v>
      </c>
      <c r="N254" s="1708">
        <v>0.1</v>
      </c>
      <c r="O254" s="1710"/>
      <c r="P254" s="1711">
        <v>1300</v>
      </c>
      <c r="Q254" s="1712" t="s">
        <v>1471</v>
      </c>
      <c r="R254" s="1711">
        <v>16000</v>
      </c>
      <c r="S254" s="1712" t="s">
        <v>1471</v>
      </c>
      <c r="T254" s="1712"/>
      <c r="U254" s="1713"/>
      <c r="V254" s="1712"/>
      <c r="W254" s="1713"/>
      <c r="X254" s="1711">
        <v>290</v>
      </c>
      <c r="Y254" s="1714" t="s">
        <v>1471</v>
      </c>
      <c r="Z254" s="1713"/>
      <c r="AA254" s="1715">
        <v>0.33</v>
      </c>
      <c r="AB254" s="1716" t="s">
        <v>1471</v>
      </c>
      <c r="AC254" s="1717"/>
    </row>
    <row r="255" spans="1:29" ht="30">
      <c r="A255" s="1719" t="s">
        <v>2337</v>
      </c>
      <c r="B255" s="1720" t="s">
        <v>2338</v>
      </c>
      <c r="C255" s="1721"/>
      <c r="D255" s="1722"/>
      <c r="E255" s="1723"/>
      <c r="F255" s="1722"/>
      <c r="G255" s="1723"/>
      <c r="H255" s="1722"/>
      <c r="I255" s="1724">
        <v>40</v>
      </c>
      <c r="J255" s="1723" t="s">
        <v>1119</v>
      </c>
      <c r="K255" s="1723" t="s">
        <v>1127</v>
      </c>
      <c r="L255" s="1722"/>
      <c r="M255" s="1723">
        <v>1</v>
      </c>
      <c r="N255" s="1723"/>
      <c r="O255" s="1735">
        <v>1430</v>
      </c>
      <c r="P255" s="1726">
        <v>48000</v>
      </c>
      <c r="Q255" s="1727" t="s">
        <v>4125</v>
      </c>
      <c r="R255" s="1726">
        <v>200000</v>
      </c>
      <c r="S255" s="1727" t="s">
        <v>4123</v>
      </c>
      <c r="T255" s="1726">
        <v>42000</v>
      </c>
      <c r="U255" s="1727" t="s">
        <v>1471</v>
      </c>
      <c r="V255" s="1726">
        <v>180000</v>
      </c>
      <c r="W255" s="1727" t="s">
        <v>1471</v>
      </c>
      <c r="X255" s="1726">
        <v>83000</v>
      </c>
      <c r="Y255" s="1729" t="s">
        <v>1471</v>
      </c>
      <c r="Z255" s="1728"/>
      <c r="AA255" s="1730">
        <v>28</v>
      </c>
      <c r="AB255" s="1731" t="s">
        <v>1471</v>
      </c>
      <c r="AC255" s="1732"/>
    </row>
    <row r="256" spans="1:29" ht="30">
      <c r="A256" s="1704" t="s">
        <v>2339</v>
      </c>
      <c r="B256" s="1705" t="s">
        <v>2340</v>
      </c>
      <c r="C256" s="1706"/>
      <c r="D256" s="1707"/>
      <c r="E256" s="1708"/>
      <c r="F256" s="1707"/>
      <c r="G256" s="1708"/>
      <c r="H256" s="1707"/>
      <c r="I256" s="1709">
        <v>30</v>
      </c>
      <c r="J256" s="1708" t="s">
        <v>1893</v>
      </c>
      <c r="K256" s="1708" t="s">
        <v>1127</v>
      </c>
      <c r="L256" s="1707"/>
      <c r="M256" s="1708">
        <v>1</v>
      </c>
      <c r="N256" s="1708"/>
      <c r="O256" s="1718">
        <v>691</v>
      </c>
      <c r="P256" s="1711">
        <v>24000</v>
      </c>
      <c r="Q256" s="1712" t="s">
        <v>4125</v>
      </c>
      <c r="R256" s="1711">
        <v>100000</v>
      </c>
      <c r="S256" s="1712" t="s">
        <v>4125</v>
      </c>
      <c r="T256" s="1711">
        <v>31000</v>
      </c>
      <c r="U256" s="1712" t="s">
        <v>1471</v>
      </c>
      <c r="V256" s="1711">
        <v>130000</v>
      </c>
      <c r="W256" s="1712" t="s">
        <v>1471</v>
      </c>
      <c r="X256" s="1711">
        <v>63000</v>
      </c>
      <c r="Y256" s="1714" t="s">
        <v>1471</v>
      </c>
      <c r="Z256" s="1713"/>
      <c r="AA256" s="1715">
        <v>140</v>
      </c>
      <c r="AB256" s="1716" t="s">
        <v>1471</v>
      </c>
      <c r="AC256" s="1717"/>
    </row>
    <row r="257" spans="1:29" ht="15">
      <c r="A257" s="1704" t="s">
        <v>2341</v>
      </c>
      <c r="B257" s="1705" t="s">
        <v>2342</v>
      </c>
      <c r="C257" s="1736">
        <v>4.3999999999999997E-2</v>
      </c>
      <c r="D257" s="1708" t="s">
        <v>1900</v>
      </c>
      <c r="E257" s="1709">
        <v>1.2999999999999999E-5</v>
      </c>
      <c r="F257" s="1708" t="s">
        <v>1900</v>
      </c>
      <c r="G257" s="1708"/>
      <c r="H257" s="1707"/>
      <c r="I257" s="1708"/>
      <c r="J257" s="1707"/>
      <c r="K257" s="1708" t="s">
        <v>1127</v>
      </c>
      <c r="L257" s="1707"/>
      <c r="M257" s="1708">
        <v>1</v>
      </c>
      <c r="N257" s="1708"/>
      <c r="O257" s="1710"/>
      <c r="P257" s="1711">
        <v>9.9</v>
      </c>
      <c r="Q257" s="1712" t="s">
        <v>4126</v>
      </c>
      <c r="R257" s="1711">
        <v>45</v>
      </c>
      <c r="S257" s="1712" t="s">
        <v>4126</v>
      </c>
      <c r="T257" s="1711">
        <v>0.22</v>
      </c>
      <c r="U257" s="1712" t="s">
        <v>4126</v>
      </c>
      <c r="V257" s="1711">
        <v>0.94</v>
      </c>
      <c r="W257" s="1712" t="s">
        <v>4126</v>
      </c>
      <c r="X257" s="1711">
        <v>0.3</v>
      </c>
      <c r="Y257" s="1714" t="s">
        <v>4126</v>
      </c>
      <c r="Z257" s="1713"/>
      <c r="AA257" s="1715">
        <v>1.9000000000000001E-4</v>
      </c>
      <c r="AB257" s="1716" t="s">
        <v>4126</v>
      </c>
      <c r="AC257" s="1717"/>
    </row>
    <row r="258" spans="1:29" ht="15">
      <c r="A258" s="1719" t="s">
        <v>2343</v>
      </c>
      <c r="B258" s="1720" t="s">
        <v>2344</v>
      </c>
      <c r="C258" s="1721"/>
      <c r="D258" s="1722"/>
      <c r="E258" s="1723"/>
      <c r="F258" s="1722"/>
      <c r="G258" s="1723"/>
      <c r="H258" s="1722"/>
      <c r="I258" s="1724">
        <v>0.7</v>
      </c>
      <c r="J258" s="1723" t="s">
        <v>1909</v>
      </c>
      <c r="K258" s="1723" t="s">
        <v>1127</v>
      </c>
      <c r="L258" s="1722"/>
      <c r="M258" s="1723">
        <v>1</v>
      </c>
      <c r="N258" s="1723"/>
      <c r="O258" s="1735">
        <v>2260</v>
      </c>
      <c r="P258" s="1726">
        <v>2200</v>
      </c>
      <c r="Q258" s="1727" t="s">
        <v>1471</v>
      </c>
      <c r="R258" s="1726">
        <v>9400</v>
      </c>
      <c r="S258" s="1727" t="s">
        <v>4125</v>
      </c>
      <c r="T258" s="1726">
        <v>730</v>
      </c>
      <c r="U258" s="1727" t="s">
        <v>1471</v>
      </c>
      <c r="V258" s="1726">
        <v>3100</v>
      </c>
      <c r="W258" s="1727" t="s">
        <v>1471</v>
      </c>
      <c r="X258" s="1726">
        <v>1500</v>
      </c>
      <c r="Y258" s="1729" t="s">
        <v>1471</v>
      </c>
      <c r="Z258" s="1728"/>
      <c r="AA258" s="1730">
        <v>0.37</v>
      </c>
      <c r="AB258" s="1731" t="s">
        <v>1471</v>
      </c>
      <c r="AC258" s="1732"/>
    </row>
    <row r="259" spans="1:29" ht="45">
      <c r="A259" s="1704" t="s">
        <v>2345</v>
      </c>
      <c r="B259" s="1705" t="s">
        <v>2346</v>
      </c>
      <c r="C259" s="1706"/>
      <c r="D259" s="1707"/>
      <c r="E259" s="1708"/>
      <c r="F259" s="1707"/>
      <c r="G259" s="1709">
        <v>0.08</v>
      </c>
      <c r="H259" s="1708" t="s">
        <v>1119</v>
      </c>
      <c r="I259" s="1708"/>
      <c r="J259" s="1707"/>
      <c r="K259" s="1708" t="s">
        <v>1127</v>
      </c>
      <c r="L259" s="1707"/>
      <c r="M259" s="1708">
        <v>1</v>
      </c>
      <c r="N259" s="1708"/>
      <c r="O259" s="1718">
        <v>530</v>
      </c>
      <c r="P259" s="1711">
        <v>6300</v>
      </c>
      <c r="Q259" s="1712" t="s">
        <v>4125</v>
      </c>
      <c r="R259" s="1711">
        <v>93000</v>
      </c>
      <c r="S259" s="1712" t="s">
        <v>4125</v>
      </c>
      <c r="T259" s="1712"/>
      <c r="U259" s="1713"/>
      <c r="V259" s="1712"/>
      <c r="W259" s="1713"/>
      <c r="X259" s="1711">
        <v>1600</v>
      </c>
      <c r="Y259" s="1714" t="s">
        <v>1471</v>
      </c>
      <c r="Z259" s="1713"/>
      <c r="AA259" s="1715">
        <v>0.45</v>
      </c>
      <c r="AB259" s="1716" t="s">
        <v>1471</v>
      </c>
      <c r="AC259" s="1717"/>
    </row>
    <row r="260" spans="1:29" ht="15">
      <c r="A260" s="1704" t="s">
        <v>2348</v>
      </c>
      <c r="B260" s="1705" t="s">
        <v>2349</v>
      </c>
      <c r="C260" s="1706"/>
      <c r="D260" s="1707"/>
      <c r="E260" s="1708"/>
      <c r="F260" s="1707"/>
      <c r="G260" s="1709">
        <v>2.18E-2</v>
      </c>
      <c r="H260" s="1708" t="s">
        <v>1116</v>
      </c>
      <c r="I260" s="1708"/>
      <c r="J260" s="1707"/>
      <c r="K260" s="1707"/>
      <c r="L260" s="1707"/>
      <c r="M260" s="1708">
        <v>1</v>
      </c>
      <c r="N260" s="1708">
        <v>0.1</v>
      </c>
      <c r="O260" s="1710"/>
      <c r="P260" s="1711">
        <v>1400</v>
      </c>
      <c r="Q260" s="1712" t="s">
        <v>1471</v>
      </c>
      <c r="R260" s="1711">
        <v>18000</v>
      </c>
      <c r="S260" s="1712" t="s">
        <v>1471</v>
      </c>
      <c r="T260" s="1712"/>
      <c r="U260" s="1713"/>
      <c r="V260" s="1712"/>
      <c r="W260" s="1713"/>
      <c r="X260" s="1711">
        <v>440</v>
      </c>
      <c r="Y260" s="1714" t="s">
        <v>1471</v>
      </c>
      <c r="Z260" s="1713"/>
      <c r="AA260" s="1715">
        <v>9.6000000000000002E-2</v>
      </c>
      <c r="AB260" s="1716" t="s">
        <v>1471</v>
      </c>
      <c r="AC260" s="1717"/>
    </row>
    <row r="261" spans="1:29" ht="15">
      <c r="A261" s="1719" t="s">
        <v>2350</v>
      </c>
      <c r="B261" s="1720" t="s">
        <v>2351</v>
      </c>
      <c r="C261" s="1721"/>
      <c r="D261" s="1722"/>
      <c r="E261" s="1723"/>
      <c r="F261" s="1722"/>
      <c r="G261" s="1724">
        <v>2.2000000000000001E-3</v>
      </c>
      <c r="H261" s="1723" t="s">
        <v>1116</v>
      </c>
      <c r="I261" s="1723"/>
      <c r="J261" s="1722"/>
      <c r="K261" s="1722"/>
      <c r="L261" s="1722"/>
      <c r="M261" s="1723">
        <v>1</v>
      </c>
      <c r="N261" s="1723">
        <v>0.1</v>
      </c>
      <c r="O261" s="1725"/>
      <c r="P261" s="1726">
        <v>140</v>
      </c>
      <c r="Q261" s="1727" t="s">
        <v>1471</v>
      </c>
      <c r="R261" s="1726">
        <v>1800</v>
      </c>
      <c r="S261" s="1727" t="s">
        <v>1471</v>
      </c>
      <c r="T261" s="1727"/>
      <c r="U261" s="1728"/>
      <c r="V261" s="1727"/>
      <c r="W261" s="1728"/>
      <c r="X261" s="1726">
        <v>44</v>
      </c>
      <c r="Y261" s="1729" t="s">
        <v>1471</v>
      </c>
      <c r="Z261" s="1728"/>
      <c r="AA261" s="1730">
        <v>9.9000000000000008E-3</v>
      </c>
      <c r="AB261" s="1731" t="s">
        <v>1471</v>
      </c>
      <c r="AC261" s="1732"/>
    </row>
    <row r="262" spans="1:29" ht="30">
      <c r="A262" s="1704" t="s">
        <v>2352</v>
      </c>
      <c r="B262" s="1705" t="s">
        <v>2353</v>
      </c>
      <c r="C262" s="1736">
        <v>1.6</v>
      </c>
      <c r="D262" s="1708" t="s">
        <v>1909</v>
      </c>
      <c r="E262" s="1708"/>
      <c r="F262" s="1707"/>
      <c r="G262" s="1708"/>
      <c r="H262" s="1707"/>
      <c r="I262" s="1708"/>
      <c r="J262" s="1707"/>
      <c r="K262" s="1707"/>
      <c r="L262" s="1708" t="s">
        <v>1906</v>
      </c>
      <c r="M262" s="1708">
        <v>1</v>
      </c>
      <c r="N262" s="1708">
        <v>0.1</v>
      </c>
      <c r="O262" s="1710"/>
      <c r="P262" s="1711">
        <v>7.5999999999999998E-2</v>
      </c>
      <c r="Q262" s="1712" t="s">
        <v>4126</v>
      </c>
      <c r="R262" s="1711">
        <v>1.4</v>
      </c>
      <c r="S262" s="1712" t="s">
        <v>4126</v>
      </c>
      <c r="T262" s="1712"/>
      <c r="U262" s="1713"/>
      <c r="V262" s="1712"/>
      <c r="W262" s="1713"/>
      <c r="X262" s="1711">
        <v>1.4999999999999999E-2</v>
      </c>
      <c r="Y262" s="1714" t="s">
        <v>4126</v>
      </c>
      <c r="Z262" s="1713"/>
      <c r="AA262" s="1715">
        <v>1.9000000000000001E-5</v>
      </c>
      <c r="AB262" s="1716" t="s">
        <v>4126</v>
      </c>
      <c r="AC262" s="1717"/>
    </row>
    <row r="263" spans="1:29" ht="15">
      <c r="A263" s="1704" t="s">
        <v>2354</v>
      </c>
      <c r="B263" s="1705" t="s">
        <v>2355</v>
      </c>
      <c r="C263" s="1706"/>
      <c r="D263" s="1707"/>
      <c r="E263" s="1708"/>
      <c r="F263" s="1707"/>
      <c r="G263" s="1709">
        <v>0.02</v>
      </c>
      <c r="H263" s="1708" t="s">
        <v>1893</v>
      </c>
      <c r="I263" s="1709">
        <v>2.0000000000000001E-4</v>
      </c>
      <c r="J263" s="1708" t="s">
        <v>1893</v>
      </c>
      <c r="K263" s="1708" t="s">
        <v>1127</v>
      </c>
      <c r="L263" s="1707"/>
      <c r="M263" s="1708">
        <v>1</v>
      </c>
      <c r="N263" s="1708"/>
      <c r="O263" s="1718">
        <v>5350</v>
      </c>
      <c r="P263" s="1711">
        <v>0.62</v>
      </c>
      <c r="Q263" s="1712" t="s">
        <v>1471</v>
      </c>
      <c r="R263" s="1711">
        <v>2.6</v>
      </c>
      <c r="S263" s="1712" t="s">
        <v>1471</v>
      </c>
      <c r="T263" s="1711">
        <v>0.21</v>
      </c>
      <c r="U263" s="1712" t="s">
        <v>1471</v>
      </c>
      <c r="V263" s="1711">
        <v>0.88</v>
      </c>
      <c r="W263" s="1712" t="s">
        <v>1471</v>
      </c>
      <c r="X263" s="1711">
        <v>0.42</v>
      </c>
      <c r="Y263" s="1714" t="s">
        <v>1471</v>
      </c>
      <c r="Z263" s="1713"/>
      <c r="AA263" s="1715">
        <v>1E-4</v>
      </c>
      <c r="AB263" s="1716" t="s">
        <v>1471</v>
      </c>
      <c r="AC263" s="1717"/>
    </row>
    <row r="264" spans="1:29" ht="45">
      <c r="A264" s="1719" t="s">
        <v>2356</v>
      </c>
      <c r="B264" s="1720" t="s">
        <v>2357</v>
      </c>
      <c r="C264" s="1737">
        <v>1.6999999999999999E-3</v>
      </c>
      <c r="D264" s="1723" t="s">
        <v>1909</v>
      </c>
      <c r="E264" s="1723"/>
      <c r="F264" s="1722"/>
      <c r="G264" s="1724">
        <v>0.06</v>
      </c>
      <c r="H264" s="1723" t="s">
        <v>1909</v>
      </c>
      <c r="I264" s="1723"/>
      <c r="J264" s="1722"/>
      <c r="K264" s="1722"/>
      <c r="L264" s="1722"/>
      <c r="M264" s="1723">
        <v>1</v>
      </c>
      <c r="N264" s="1723">
        <v>0.1</v>
      </c>
      <c r="O264" s="1725"/>
      <c r="P264" s="1726">
        <v>320</v>
      </c>
      <c r="Q264" s="1727" t="s">
        <v>4127</v>
      </c>
      <c r="R264" s="1726">
        <v>1400</v>
      </c>
      <c r="S264" s="1727" t="s">
        <v>4127</v>
      </c>
      <c r="T264" s="1727"/>
      <c r="U264" s="1728"/>
      <c r="V264" s="1727"/>
      <c r="W264" s="1728"/>
      <c r="X264" s="1726">
        <v>46</v>
      </c>
      <c r="Y264" s="1729" t="s">
        <v>4127</v>
      </c>
      <c r="Z264" s="1728"/>
      <c r="AA264" s="1730">
        <v>9.5999999999999992E-3</v>
      </c>
      <c r="AB264" s="1731" t="s">
        <v>4127</v>
      </c>
      <c r="AC264" s="1732"/>
    </row>
    <row r="265" spans="1:29" ht="30">
      <c r="A265" s="1704" t="s">
        <v>2358</v>
      </c>
      <c r="B265" s="1705" t="s">
        <v>2359</v>
      </c>
      <c r="C265" s="1736">
        <v>4.5999999999999996</v>
      </c>
      <c r="D265" s="1708" t="s">
        <v>1900</v>
      </c>
      <c r="E265" s="1709">
        <v>1.2999999999999999E-3</v>
      </c>
      <c r="F265" s="1708" t="s">
        <v>1900</v>
      </c>
      <c r="G265" s="1708"/>
      <c r="H265" s="1707"/>
      <c r="I265" s="1708"/>
      <c r="J265" s="1707"/>
      <c r="K265" s="1707"/>
      <c r="L265" s="1707"/>
      <c r="M265" s="1708">
        <v>1</v>
      </c>
      <c r="N265" s="1708">
        <v>0.1</v>
      </c>
      <c r="O265" s="1710"/>
      <c r="P265" s="1711">
        <v>0.12</v>
      </c>
      <c r="Q265" s="1712" t="s">
        <v>4126</v>
      </c>
      <c r="R265" s="1711">
        <v>0.5</v>
      </c>
      <c r="S265" s="1712" t="s">
        <v>4126</v>
      </c>
      <c r="T265" s="1711">
        <v>2.2000000000000001E-3</v>
      </c>
      <c r="U265" s="1712" t="s">
        <v>4126</v>
      </c>
      <c r="V265" s="1711">
        <v>9.4000000000000004E-3</v>
      </c>
      <c r="W265" s="1712" t="s">
        <v>4126</v>
      </c>
      <c r="X265" s="1711">
        <v>5.0000000000000001E-3</v>
      </c>
      <c r="Y265" s="1714" t="s">
        <v>4126</v>
      </c>
      <c r="Z265" s="1713"/>
      <c r="AA265" s="1715">
        <v>2.0999999999999999E-5</v>
      </c>
      <c r="AB265" s="1716" t="s">
        <v>4126</v>
      </c>
      <c r="AC265" s="1717"/>
    </row>
    <row r="266" spans="1:29" ht="30">
      <c r="A266" s="1704" t="s">
        <v>2360</v>
      </c>
      <c r="B266" s="1705" t="s">
        <v>2361</v>
      </c>
      <c r="C266" s="1736">
        <v>0.57999999999999996</v>
      </c>
      <c r="D266" s="1708" t="s">
        <v>1073</v>
      </c>
      <c r="E266" s="1708"/>
      <c r="F266" s="1707"/>
      <c r="G266" s="1708"/>
      <c r="H266" s="1707"/>
      <c r="I266" s="1708"/>
      <c r="J266" s="1707"/>
      <c r="K266" s="1707"/>
      <c r="L266" s="1707"/>
      <c r="M266" s="1708">
        <v>1</v>
      </c>
      <c r="N266" s="1708">
        <v>0.1</v>
      </c>
      <c r="O266" s="1710"/>
      <c r="P266" s="1711">
        <v>0.94</v>
      </c>
      <c r="Q266" s="1712" t="s">
        <v>4126</v>
      </c>
      <c r="R266" s="1711">
        <v>4</v>
      </c>
      <c r="S266" s="1712" t="s">
        <v>4126</v>
      </c>
      <c r="T266" s="1712"/>
      <c r="U266" s="1713"/>
      <c r="V266" s="1712"/>
      <c r="W266" s="1713"/>
      <c r="X266" s="1711">
        <v>0.13</v>
      </c>
      <c r="Y266" s="1714" t="s">
        <v>4126</v>
      </c>
      <c r="Z266" s="1713"/>
      <c r="AA266" s="1715">
        <v>1.2E-4</v>
      </c>
      <c r="AB266" s="1716" t="s">
        <v>4126</v>
      </c>
      <c r="AC266" s="1717"/>
    </row>
    <row r="267" spans="1:29" ht="30">
      <c r="A267" s="1719" t="s">
        <v>2362</v>
      </c>
      <c r="B267" s="1720" t="s">
        <v>2363</v>
      </c>
      <c r="C267" s="1737">
        <v>0.2</v>
      </c>
      <c r="D267" s="1723" t="s">
        <v>1909</v>
      </c>
      <c r="E267" s="1723"/>
      <c r="F267" s="1722"/>
      <c r="G267" s="1724">
        <v>2E-3</v>
      </c>
      <c r="H267" s="1723" t="s">
        <v>1893</v>
      </c>
      <c r="I267" s="1723"/>
      <c r="J267" s="1722"/>
      <c r="K267" s="1722"/>
      <c r="L267" s="1722"/>
      <c r="M267" s="1723">
        <v>1</v>
      </c>
      <c r="N267" s="1723">
        <v>0.1</v>
      </c>
      <c r="O267" s="1725"/>
      <c r="P267" s="1726">
        <v>2.7</v>
      </c>
      <c r="Q267" s="1727" t="s">
        <v>4127</v>
      </c>
      <c r="R267" s="1726">
        <v>11</v>
      </c>
      <c r="S267" s="1727" t="s">
        <v>4126</v>
      </c>
      <c r="T267" s="1727"/>
      <c r="U267" s="1728"/>
      <c r="V267" s="1727"/>
      <c r="W267" s="1728"/>
      <c r="X267" s="1726">
        <v>0.37</v>
      </c>
      <c r="Y267" s="1729" t="s">
        <v>4126</v>
      </c>
      <c r="Z267" s="1728"/>
      <c r="AA267" s="1730">
        <v>2.1000000000000001E-4</v>
      </c>
      <c r="AB267" s="1731" t="s">
        <v>4126</v>
      </c>
      <c r="AC267" s="1732"/>
    </row>
    <row r="268" spans="1:29" ht="30">
      <c r="A268" s="1704" t="s">
        <v>2364</v>
      </c>
      <c r="B268" s="1705" t="s">
        <v>2365</v>
      </c>
      <c r="C268" s="1736">
        <v>2.7E-2</v>
      </c>
      <c r="D268" s="1708" t="s">
        <v>1909</v>
      </c>
      <c r="E268" s="1708"/>
      <c r="F268" s="1707"/>
      <c r="G268" s="1709">
        <v>2E-3</v>
      </c>
      <c r="H268" s="1708" t="s">
        <v>1119</v>
      </c>
      <c r="I268" s="1708"/>
      <c r="J268" s="1707"/>
      <c r="K268" s="1708" t="s">
        <v>1127</v>
      </c>
      <c r="L268" s="1707"/>
      <c r="M268" s="1708">
        <v>1</v>
      </c>
      <c r="N268" s="1708"/>
      <c r="O268" s="1718">
        <v>830</v>
      </c>
      <c r="P268" s="1711">
        <v>26</v>
      </c>
      <c r="Q268" s="1712" t="s">
        <v>4122</v>
      </c>
      <c r="R268" s="1711">
        <v>120</v>
      </c>
      <c r="S268" s="1712" t="s">
        <v>4127</v>
      </c>
      <c r="T268" s="1712"/>
      <c r="U268" s="1713"/>
      <c r="V268" s="1712"/>
      <c r="W268" s="1713"/>
      <c r="X268" s="1711">
        <v>2.5</v>
      </c>
      <c r="Y268" s="1714" t="s">
        <v>4127</v>
      </c>
      <c r="Z268" s="1713"/>
      <c r="AA268" s="1715">
        <v>8.9999999999999998E-4</v>
      </c>
      <c r="AB268" s="1716" t="s">
        <v>4127</v>
      </c>
      <c r="AC268" s="1717"/>
    </row>
    <row r="269" spans="1:29" ht="30">
      <c r="A269" s="1704" t="s">
        <v>2366</v>
      </c>
      <c r="B269" s="1705" t="s">
        <v>2367</v>
      </c>
      <c r="C269" s="1736">
        <v>11</v>
      </c>
      <c r="D269" s="1708" t="s">
        <v>1909</v>
      </c>
      <c r="E269" s="1708"/>
      <c r="F269" s="1707"/>
      <c r="G269" s="1708"/>
      <c r="H269" s="1707"/>
      <c r="I269" s="1708"/>
      <c r="J269" s="1707"/>
      <c r="K269" s="1707"/>
      <c r="L269" s="1708" t="s">
        <v>1906</v>
      </c>
      <c r="M269" s="1708">
        <v>1</v>
      </c>
      <c r="N269" s="1708">
        <v>0.1</v>
      </c>
      <c r="O269" s="1710"/>
      <c r="P269" s="1711">
        <v>1.0999999999999999E-2</v>
      </c>
      <c r="Q269" s="1712" t="s">
        <v>4126</v>
      </c>
      <c r="R269" s="1711">
        <v>0.21</v>
      </c>
      <c r="S269" s="1712" t="s">
        <v>4126</v>
      </c>
      <c r="T269" s="1712"/>
      <c r="U269" s="1713"/>
      <c r="V269" s="1712"/>
      <c r="W269" s="1713"/>
      <c r="X269" s="1711">
        <v>2.0999999999999999E-3</v>
      </c>
      <c r="Y269" s="1714" t="s">
        <v>4126</v>
      </c>
      <c r="Z269" s="1713"/>
      <c r="AA269" s="1715">
        <v>1.4E-5</v>
      </c>
      <c r="AB269" s="1716" t="s">
        <v>4126</v>
      </c>
      <c r="AC269" s="1717"/>
    </row>
    <row r="270" spans="1:29" ht="30">
      <c r="A270" s="1719" t="s">
        <v>2368</v>
      </c>
      <c r="B270" s="1720" t="s">
        <v>2369</v>
      </c>
      <c r="C270" s="1721"/>
      <c r="D270" s="1722"/>
      <c r="E270" s="1723"/>
      <c r="F270" s="1722"/>
      <c r="G270" s="1724">
        <v>0.1</v>
      </c>
      <c r="H270" s="1723" t="s">
        <v>1909</v>
      </c>
      <c r="I270" s="1724">
        <v>0.03</v>
      </c>
      <c r="J270" s="1723" t="s">
        <v>1119</v>
      </c>
      <c r="K270" s="1723" t="s">
        <v>1127</v>
      </c>
      <c r="L270" s="1722"/>
      <c r="M270" s="1723">
        <v>1</v>
      </c>
      <c r="N270" s="1723"/>
      <c r="O270" s="1735">
        <v>106000</v>
      </c>
      <c r="P270" s="1726">
        <v>2600</v>
      </c>
      <c r="Q270" s="1727" t="s">
        <v>1471</v>
      </c>
      <c r="R270" s="1726">
        <v>15000</v>
      </c>
      <c r="S270" s="1727" t="s">
        <v>1471</v>
      </c>
      <c r="T270" s="1726">
        <v>31</v>
      </c>
      <c r="U270" s="1727" t="s">
        <v>1471</v>
      </c>
      <c r="V270" s="1726">
        <v>130</v>
      </c>
      <c r="W270" s="1727" t="s">
        <v>1471</v>
      </c>
      <c r="X270" s="1726">
        <v>61</v>
      </c>
      <c r="Y270" s="1729" t="s">
        <v>1471</v>
      </c>
      <c r="Z270" s="1728"/>
      <c r="AA270" s="1730">
        <v>1.2E-2</v>
      </c>
      <c r="AB270" s="1731" t="s">
        <v>1471</v>
      </c>
      <c r="AC270" s="1732"/>
    </row>
    <row r="271" spans="1:29" ht="30">
      <c r="A271" s="1704" t="s">
        <v>2370</v>
      </c>
      <c r="B271" s="1705" t="s">
        <v>2371</v>
      </c>
      <c r="C271" s="1706"/>
      <c r="D271" s="1707"/>
      <c r="E271" s="1708"/>
      <c r="F271" s="1707"/>
      <c r="G271" s="1709">
        <v>1E-4</v>
      </c>
      <c r="H271" s="1708" t="s">
        <v>1893</v>
      </c>
      <c r="I271" s="1709">
        <v>1.9999999999999999E-6</v>
      </c>
      <c r="J271" s="1708" t="s">
        <v>1893</v>
      </c>
      <c r="K271" s="1708" t="s">
        <v>1127</v>
      </c>
      <c r="L271" s="1707"/>
      <c r="M271" s="1708">
        <v>1</v>
      </c>
      <c r="N271" s="1708"/>
      <c r="O271" s="1718">
        <v>172000</v>
      </c>
      <c r="P271" s="1711">
        <v>5.7000000000000002E-2</v>
      </c>
      <c r="Q271" s="1712" t="s">
        <v>1471</v>
      </c>
      <c r="R271" s="1711">
        <v>0.24</v>
      </c>
      <c r="S271" s="1712" t="s">
        <v>1471</v>
      </c>
      <c r="T271" s="1711">
        <v>2.0999999999999999E-3</v>
      </c>
      <c r="U271" s="1712" t="s">
        <v>1471</v>
      </c>
      <c r="V271" s="1711">
        <v>8.8000000000000005E-3</v>
      </c>
      <c r="W271" s="1712" t="s">
        <v>1471</v>
      </c>
      <c r="X271" s="1711">
        <v>4.1999999999999997E-3</v>
      </c>
      <c r="Y271" s="1714" t="s">
        <v>1471</v>
      </c>
      <c r="Z271" s="1713"/>
      <c r="AA271" s="1715">
        <v>9.2999999999999999E-7</v>
      </c>
      <c r="AB271" s="1716" t="s">
        <v>1471</v>
      </c>
      <c r="AC271" s="1717"/>
    </row>
    <row r="272" spans="1:29" ht="30">
      <c r="A272" s="1704" t="s">
        <v>2372</v>
      </c>
      <c r="B272" s="1705" t="s">
        <v>2373</v>
      </c>
      <c r="C272" s="1736">
        <v>550</v>
      </c>
      <c r="D272" s="1708" t="s">
        <v>1900</v>
      </c>
      <c r="E272" s="1709">
        <v>0.16</v>
      </c>
      <c r="F272" s="1708" t="s">
        <v>1900</v>
      </c>
      <c r="G272" s="1708"/>
      <c r="H272" s="1707"/>
      <c r="I272" s="1708"/>
      <c r="J272" s="1707"/>
      <c r="K272" s="1708" t="s">
        <v>1127</v>
      </c>
      <c r="L272" s="1707"/>
      <c r="M272" s="1708">
        <v>1</v>
      </c>
      <c r="N272" s="1708"/>
      <c r="O272" s="1718">
        <v>189000</v>
      </c>
      <c r="P272" s="1711">
        <v>8.8000000000000003E-4</v>
      </c>
      <c r="Q272" s="1712" t="s">
        <v>4126</v>
      </c>
      <c r="R272" s="1711">
        <v>4.1000000000000003E-3</v>
      </c>
      <c r="S272" s="1712" t="s">
        <v>4126</v>
      </c>
      <c r="T272" s="1711">
        <v>1.8E-5</v>
      </c>
      <c r="U272" s="1712" t="s">
        <v>4126</v>
      </c>
      <c r="V272" s="1711">
        <v>7.7000000000000001E-5</v>
      </c>
      <c r="W272" s="1712" t="s">
        <v>4126</v>
      </c>
      <c r="X272" s="1711">
        <v>2.8E-5</v>
      </c>
      <c r="Y272" s="1714" t="s">
        <v>4126</v>
      </c>
      <c r="Z272" s="1713"/>
      <c r="AA272" s="1715">
        <v>6.5000000000000003E-9</v>
      </c>
      <c r="AB272" s="1716" t="s">
        <v>4126</v>
      </c>
      <c r="AC272" s="1717"/>
    </row>
    <row r="273" spans="1:29" ht="30">
      <c r="A273" s="1719" t="s">
        <v>184</v>
      </c>
      <c r="B273" s="1720" t="s">
        <v>2374</v>
      </c>
      <c r="C273" s="1721"/>
      <c r="D273" s="1722"/>
      <c r="E273" s="1723"/>
      <c r="F273" s="1722"/>
      <c r="G273" s="1724">
        <v>0.02</v>
      </c>
      <c r="H273" s="1723" t="s">
        <v>1119</v>
      </c>
      <c r="I273" s="1723"/>
      <c r="J273" s="1722"/>
      <c r="K273" s="1722"/>
      <c r="L273" s="1722"/>
      <c r="M273" s="1723">
        <v>1</v>
      </c>
      <c r="N273" s="1723">
        <v>0.1</v>
      </c>
      <c r="O273" s="1725"/>
      <c r="P273" s="1726">
        <v>1300</v>
      </c>
      <c r="Q273" s="1727" t="s">
        <v>1471</v>
      </c>
      <c r="R273" s="1726">
        <v>16000</v>
      </c>
      <c r="S273" s="1727" t="s">
        <v>1471</v>
      </c>
      <c r="T273" s="1727"/>
      <c r="U273" s="1728"/>
      <c r="V273" s="1727"/>
      <c r="W273" s="1728"/>
      <c r="X273" s="1726">
        <v>360</v>
      </c>
      <c r="Y273" s="1729" t="s">
        <v>1471</v>
      </c>
      <c r="Z273" s="1728"/>
      <c r="AA273" s="1730">
        <v>0.42</v>
      </c>
      <c r="AB273" s="1731" t="s">
        <v>1471</v>
      </c>
      <c r="AC273" s="1732"/>
    </row>
    <row r="274" spans="1:29" ht="30">
      <c r="A274" s="1704" t="s">
        <v>2375</v>
      </c>
      <c r="B274" s="1705" t="s">
        <v>2376</v>
      </c>
      <c r="C274" s="1706"/>
      <c r="D274" s="1707"/>
      <c r="E274" s="1708"/>
      <c r="F274" s="1707"/>
      <c r="G274" s="1709">
        <v>5.9999999999999995E-4</v>
      </c>
      <c r="H274" s="1708" t="s">
        <v>1119</v>
      </c>
      <c r="I274" s="1708"/>
      <c r="J274" s="1707"/>
      <c r="K274" s="1707"/>
      <c r="L274" s="1707"/>
      <c r="M274" s="1708">
        <v>1</v>
      </c>
      <c r="N274" s="1708">
        <v>0.1</v>
      </c>
      <c r="O274" s="1710"/>
      <c r="P274" s="1711">
        <v>38</v>
      </c>
      <c r="Q274" s="1712" t="s">
        <v>1471</v>
      </c>
      <c r="R274" s="1711">
        <v>490</v>
      </c>
      <c r="S274" s="1712" t="s">
        <v>1471</v>
      </c>
      <c r="T274" s="1712"/>
      <c r="U274" s="1713"/>
      <c r="V274" s="1712"/>
      <c r="W274" s="1713"/>
      <c r="X274" s="1711">
        <v>11</v>
      </c>
      <c r="Y274" s="1714" t="s">
        <v>1471</v>
      </c>
      <c r="Z274" s="1713"/>
      <c r="AA274" s="1715">
        <v>1.2999999999999999E-2</v>
      </c>
      <c r="AB274" s="1716" t="s">
        <v>1471</v>
      </c>
      <c r="AC274" s="1717"/>
    </row>
    <row r="275" spans="1:29" ht="30">
      <c r="A275" s="1704" t="s">
        <v>2377</v>
      </c>
      <c r="B275" s="1705" t="s">
        <v>2378</v>
      </c>
      <c r="C275" s="1706"/>
      <c r="D275" s="1707"/>
      <c r="E275" s="1708"/>
      <c r="F275" s="1707"/>
      <c r="G275" s="1709">
        <v>1E-3</v>
      </c>
      <c r="H275" s="1708" t="s">
        <v>1119</v>
      </c>
      <c r="I275" s="1708"/>
      <c r="J275" s="1707"/>
      <c r="K275" s="1707"/>
      <c r="L275" s="1707"/>
      <c r="M275" s="1708">
        <v>1</v>
      </c>
      <c r="N275" s="1708">
        <v>0.1</v>
      </c>
      <c r="O275" s="1710"/>
      <c r="P275" s="1711">
        <v>63</v>
      </c>
      <c r="Q275" s="1712" t="s">
        <v>1471</v>
      </c>
      <c r="R275" s="1711">
        <v>820</v>
      </c>
      <c r="S275" s="1712" t="s">
        <v>1471</v>
      </c>
      <c r="T275" s="1712"/>
      <c r="U275" s="1713"/>
      <c r="V275" s="1712"/>
      <c r="W275" s="1713"/>
      <c r="X275" s="1711">
        <v>18</v>
      </c>
      <c r="Y275" s="1714" t="s">
        <v>1471</v>
      </c>
      <c r="Z275" s="1713"/>
      <c r="AA275" s="1715">
        <v>2.1000000000000001E-2</v>
      </c>
      <c r="AB275" s="1716" t="s">
        <v>1471</v>
      </c>
      <c r="AC275" s="1717"/>
    </row>
    <row r="276" spans="1:29" ht="30">
      <c r="A276" s="1719" t="s">
        <v>2379</v>
      </c>
      <c r="B276" s="1720" t="s">
        <v>2380</v>
      </c>
      <c r="C276" s="1737">
        <v>4.4999999999999998E-2</v>
      </c>
      <c r="D276" s="1723" t="s">
        <v>1900</v>
      </c>
      <c r="E276" s="1724">
        <v>1.2999999999999999E-5</v>
      </c>
      <c r="F276" s="1723" t="s">
        <v>1900</v>
      </c>
      <c r="G276" s="1723"/>
      <c r="H276" s="1722"/>
      <c r="I276" s="1723"/>
      <c r="J276" s="1722"/>
      <c r="K276" s="1723" t="s">
        <v>1127</v>
      </c>
      <c r="L276" s="1722"/>
      <c r="M276" s="1723">
        <v>1</v>
      </c>
      <c r="N276" s="1723"/>
      <c r="O276" s="1735">
        <v>473</v>
      </c>
      <c r="P276" s="1726">
        <v>1.1000000000000001</v>
      </c>
      <c r="Q276" s="1727" t="s">
        <v>4126</v>
      </c>
      <c r="R276" s="1726">
        <v>4.8</v>
      </c>
      <c r="S276" s="1727" t="s">
        <v>4126</v>
      </c>
      <c r="T276" s="1726">
        <v>0.22</v>
      </c>
      <c r="U276" s="1727" t="s">
        <v>4126</v>
      </c>
      <c r="V276" s="1726">
        <v>0.94</v>
      </c>
      <c r="W276" s="1727" t="s">
        <v>4126</v>
      </c>
      <c r="X276" s="1726">
        <v>0.33</v>
      </c>
      <c r="Y276" s="1729" t="s">
        <v>4126</v>
      </c>
      <c r="Z276" s="1728"/>
      <c r="AA276" s="1730">
        <v>1.1E-4</v>
      </c>
      <c r="AB276" s="1731" t="s">
        <v>4126</v>
      </c>
      <c r="AC276" s="1732"/>
    </row>
    <row r="277" spans="1:29" ht="30">
      <c r="A277" s="1704" t="s">
        <v>2381</v>
      </c>
      <c r="B277" s="1705" t="s">
        <v>2382</v>
      </c>
      <c r="C277" s="1706"/>
      <c r="D277" s="1707"/>
      <c r="E277" s="1708"/>
      <c r="F277" s="1707"/>
      <c r="G277" s="1709">
        <v>8.0000000000000007E-5</v>
      </c>
      <c r="H277" s="1708" t="s">
        <v>1893</v>
      </c>
      <c r="I277" s="1708"/>
      <c r="J277" s="1707"/>
      <c r="K277" s="1707"/>
      <c r="L277" s="1707"/>
      <c r="M277" s="1708">
        <v>1</v>
      </c>
      <c r="N277" s="1708">
        <v>0.1</v>
      </c>
      <c r="O277" s="1710"/>
      <c r="P277" s="1711">
        <v>5.0999999999999996</v>
      </c>
      <c r="Q277" s="1712" t="s">
        <v>1471</v>
      </c>
      <c r="R277" s="1711">
        <v>66</v>
      </c>
      <c r="S277" s="1712" t="s">
        <v>1471</v>
      </c>
      <c r="T277" s="1712"/>
      <c r="U277" s="1713"/>
      <c r="V277" s="1712"/>
      <c r="W277" s="1713"/>
      <c r="X277" s="1711">
        <v>1.5</v>
      </c>
      <c r="Y277" s="1714" t="s">
        <v>1471</v>
      </c>
      <c r="Z277" s="1713"/>
      <c r="AA277" s="1715">
        <v>2.5999999999999999E-3</v>
      </c>
      <c r="AB277" s="1716" t="s">
        <v>1471</v>
      </c>
      <c r="AC277" s="1717"/>
    </row>
    <row r="278" spans="1:29" ht="45">
      <c r="A278" s="1704" t="s">
        <v>2383</v>
      </c>
      <c r="B278" s="1705" t="s">
        <v>2384</v>
      </c>
      <c r="C278" s="1706"/>
      <c r="D278" s="1707"/>
      <c r="E278" s="1708"/>
      <c r="F278" s="1707"/>
      <c r="G278" s="1709">
        <v>2E-3</v>
      </c>
      <c r="H278" s="1708" t="s">
        <v>1119</v>
      </c>
      <c r="I278" s="1708"/>
      <c r="J278" s="1707"/>
      <c r="K278" s="1707"/>
      <c r="L278" s="1707"/>
      <c r="M278" s="1708">
        <v>1</v>
      </c>
      <c r="N278" s="1708">
        <v>0.1</v>
      </c>
      <c r="O278" s="1710"/>
      <c r="P278" s="1711">
        <v>130</v>
      </c>
      <c r="Q278" s="1712" t="s">
        <v>1471</v>
      </c>
      <c r="R278" s="1711">
        <v>1600</v>
      </c>
      <c r="S278" s="1712" t="s">
        <v>1471</v>
      </c>
      <c r="T278" s="1712"/>
      <c r="U278" s="1713"/>
      <c r="V278" s="1712"/>
      <c r="W278" s="1713"/>
      <c r="X278" s="1711">
        <v>23</v>
      </c>
      <c r="Y278" s="1714" t="s">
        <v>1471</v>
      </c>
      <c r="Z278" s="1713"/>
      <c r="AA278" s="1715">
        <v>0.77</v>
      </c>
      <c r="AB278" s="1716" t="s">
        <v>1471</v>
      </c>
      <c r="AC278" s="1717"/>
    </row>
    <row r="279" spans="1:29" ht="15">
      <c r="A279" s="1719" t="s">
        <v>2385</v>
      </c>
      <c r="B279" s="1720" t="s">
        <v>2386</v>
      </c>
      <c r="C279" s="1721"/>
      <c r="D279" s="1722"/>
      <c r="E279" s="1723"/>
      <c r="F279" s="1722"/>
      <c r="G279" s="1724">
        <v>4.0000000000000002E-4</v>
      </c>
      <c r="H279" s="1723" t="s">
        <v>1893</v>
      </c>
      <c r="I279" s="1724">
        <v>2E-3</v>
      </c>
      <c r="J279" s="1723" t="s">
        <v>1893</v>
      </c>
      <c r="K279" s="1722"/>
      <c r="L279" s="1722"/>
      <c r="M279" s="1723">
        <v>1</v>
      </c>
      <c r="N279" s="1723">
        <v>0.1</v>
      </c>
      <c r="O279" s="1725"/>
      <c r="P279" s="1726">
        <v>25</v>
      </c>
      <c r="Q279" s="1727" t="s">
        <v>1471</v>
      </c>
      <c r="R279" s="1726">
        <v>330</v>
      </c>
      <c r="S279" s="1727" t="s">
        <v>1471</v>
      </c>
      <c r="T279" s="1726">
        <v>2.1</v>
      </c>
      <c r="U279" s="1727" t="s">
        <v>1471</v>
      </c>
      <c r="V279" s="1726">
        <v>8.8000000000000007</v>
      </c>
      <c r="W279" s="1727" t="s">
        <v>1471</v>
      </c>
      <c r="X279" s="1726">
        <v>7.7</v>
      </c>
      <c r="Y279" s="1729" t="s">
        <v>1471</v>
      </c>
      <c r="Z279" s="1728"/>
      <c r="AA279" s="1730">
        <v>4.1000000000000003E-3</v>
      </c>
      <c r="AB279" s="1731" t="s">
        <v>1471</v>
      </c>
      <c r="AC279" s="1732"/>
    </row>
    <row r="280" spans="1:29" ht="30">
      <c r="A280" s="1704" t="s">
        <v>2387</v>
      </c>
      <c r="B280" s="1705" t="s">
        <v>2388</v>
      </c>
      <c r="C280" s="1706"/>
      <c r="D280" s="1707"/>
      <c r="E280" s="1708"/>
      <c r="F280" s="1707"/>
      <c r="G280" s="1709">
        <v>1E-4</v>
      </c>
      <c r="H280" s="1708" t="s">
        <v>1909</v>
      </c>
      <c r="I280" s="1708"/>
      <c r="J280" s="1707"/>
      <c r="K280" s="1707"/>
      <c r="L280" s="1707"/>
      <c r="M280" s="1708">
        <v>1</v>
      </c>
      <c r="N280" s="1708">
        <v>0.1</v>
      </c>
      <c r="O280" s="1710"/>
      <c r="P280" s="1711">
        <v>6.3</v>
      </c>
      <c r="Q280" s="1712" t="s">
        <v>1471</v>
      </c>
      <c r="R280" s="1711">
        <v>82</v>
      </c>
      <c r="S280" s="1712" t="s">
        <v>1471</v>
      </c>
      <c r="T280" s="1712"/>
      <c r="U280" s="1713"/>
      <c r="V280" s="1712"/>
      <c r="W280" s="1713"/>
      <c r="X280" s="1711">
        <v>1.9</v>
      </c>
      <c r="Y280" s="1714" t="s">
        <v>1471</v>
      </c>
      <c r="Z280" s="1713"/>
      <c r="AA280" s="1715">
        <v>1.8E-3</v>
      </c>
      <c r="AB280" s="1716" t="s">
        <v>1471</v>
      </c>
      <c r="AC280" s="1717"/>
    </row>
    <row r="281" spans="1:29" ht="30">
      <c r="A281" s="1704" t="s">
        <v>2389</v>
      </c>
      <c r="B281" s="1705" t="s">
        <v>2390</v>
      </c>
      <c r="C281" s="1706"/>
      <c r="D281" s="1707"/>
      <c r="E281" s="1708"/>
      <c r="F281" s="1707"/>
      <c r="G281" s="1709">
        <v>1E-4</v>
      </c>
      <c r="H281" s="1708" t="s">
        <v>1119</v>
      </c>
      <c r="I281" s="1708"/>
      <c r="J281" s="1707"/>
      <c r="K281" s="1707"/>
      <c r="L281" s="1707"/>
      <c r="M281" s="1708">
        <v>1</v>
      </c>
      <c r="N281" s="1708">
        <v>0.1</v>
      </c>
      <c r="O281" s="1710"/>
      <c r="P281" s="1711">
        <v>6.3</v>
      </c>
      <c r="Q281" s="1712" t="s">
        <v>1471</v>
      </c>
      <c r="R281" s="1711">
        <v>82</v>
      </c>
      <c r="S281" s="1712" t="s">
        <v>1471</v>
      </c>
      <c r="T281" s="1712"/>
      <c r="U281" s="1713"/>
      <c r="V281" s="1712"/>
      <c r="W281" s="1713"/>
      <c r="X281" s="1711">
        <v>2</v>
      </c>
      <c r="Y281" s="1714" t="s">
        <v>1471</v>
      </c>
      <c r="Z281" s="1713"/>
      <c r="AA281" s="1715">
        <v>1.8E-3</v>
      </c>
      <c r="AB281" s="1716" t="s">
        <v>1471</v>
      </c>
      <c r="AC281" s="1717"/>
    </row>
    <row r="282" spans="1:29" ht="30">
      <c r="A282" s="1719" t="s">
        <v>2391</v>
      </c>
      <c r="B282" s="1720" t="s">
        <v>2392</v>
      </c>
      <c r="C282" s="1721"/>
      <c r="D282" s="1722"/>
      <c r="E282" s="1723"/>
      <c r="F282" s="1722"/>
      <c r="G282" s="1724">
        <v>1E-4</v>
      </c>
      <c r="H282" s="1723" t="s">
        <v>1909</v>
      </c>
      <c r="I282" s="1723"/>
      <c r="J282" s="1722"/>
      <c r="K282" s="1722"/>
      <c r="L282" s="1722"/>
      <c r="M282" s="1723">
        <v>1</v>
      </c>
      <c r="N282" s="1723">
        <v>0.1</v>
      </c>
      <c r="O282" s="1725"/>
      <c r="P282" s="1726">
        <v>6.3</v>
      </c>
      <c r="Q282" s="1727" t="s">
        <v>1471</v>
      </c>
      <c r="R282" s="1726">
        <v>82</v>
      </c>
      <c r="S282" s="1727" t="s">
        <v>1471</v>
      </c>
      <c r="T282" s="1727"/>
      <c r="U282" s="1728"/>
      <c r="V282" s="1727"/>
      <c r="W282" s="1728"/>
      <c r="X282" s="1726">
        <v>2</v>
      </c>
      <c r="Y282" s="1729" t="s">
        <v>1471</v>
      </c>
      <c r="Z282" s="1728"/>
      <c r="AA282" s="1730">
        <v>1.8E-3</v>
      </c>
      <c r="AB282" s="1731" t="s">
        <v>1471</v>
      </c>
      <c r="AC282" s="1732"/>
    </row>
    <row r="283" spans="1:29" ht="15">
      <c r="A283" s="1704" t="s">
        <v>186</v>
      </c>
      <c r="B283" s="1705" t="s">
        <v>2393</v>
      </c>
      <c r="C283" s="1706"/>
      <c r="D283" s="1707"/>
      <c r="E283" s="1708"/>
      <c r="F283" s="1707"/>
      <c r="G283" s="1709">
        <v>2E-3</v>
      </c>
      <c r="H283" s="1708" t="s">
        <v>1119</v>
      </c>
      <c r="I283" s="1708"/>
      <c r="J283" s="1707"/>
      <c r="K283" s="1707"/>
      <c r="L283" s="1707"/>
      <c r="M283" s="1708">
        <v>1</v>
      </c>
      <c r="N283" s="1708">
        <v>0.1</v>
      </c>
      <c r="O283" s="1710"/>
      <c r="P283" s="1711">
        <v>130</v>
      </c>
      <c r="Q283" s="1712" t="s">
        <v>1471</v>
      </c>
      <c r="R283" s="1711">
        <v>1600</v>
      </c>
      <c r="S283" s="1712" t="s">
        <v>1471</v>
      </c>
      <c r="T283" s="1712"/>
      <c r="U283" s="1713"/>
      <c r="V283" s="1712"/>
      <c r="W283" s="1713"/>
      <c r="X283" s="1711">
        <v>39</v>
      </c>
      <c r="Y283" s="1714" t="s">
        <v>1471</v>
      </c>
      <c r="Z283" s="1713"/>
      <c r="AA283" s="1715">
        <v>4.3999999999999997E-2</v>
      </c>
      <c r="AB283" s="1716" t="s">
        <v>1471</v>
      </c>
      <c r="AC283" s="1717"/>
    </row>
    <row r="284" spans="1:29" ht="30">
      <c r="A284" s="1704" t="s">
        <v>2394</v>
      </c>
      <c r="B284" s="1705" t="s">
        <v>2395</v>
      </c>
      <c r="C284" s="1736">
        <v>0.68</v>
      </c>
      <c r="D284" s="1708" t="s">
        <v>1119</v>
      </c>
      <c r="E284" s="1708"/>
      <c r="F284" s="1707"/>
      <c r="G284" s="1708"/>
      <c r="H284" s="1707"/>
      <c r="I284" s="1708"/>
      <c r="J284" s="1707"/>
      <c r="K284" s="1707"/>
      <c r="L284" s="1707"/>
      <c r="M284" s="1708">
        <v>1</v>
      </c>
      <c r="N284" s="1708">
        <v>0.1</v>
      </c>
      <c r="O284" s="1710"/>
      <c r="P284" s="1711">
        <v>0.8</v>
      </c>
      <c r="Q284" s="1712" t="s">
        <v>4126</v>
      </c>
      <c r="R284" s="1711">
        <v>3.4</v>
      </c>
      <c r="S284" s="1712" t="s">
        <v>4126</v>
      </c>
      <c r="T284" s="1712"/>
      <c r="U284" s="1713"/>
      <c r="V284" s="1712"/>
      <c r="W284" s="1713"/>
      <c r="X284" s="1711">
        <v>0.11</v>
      </c>
      <c r="Y284" s="1714" t="s">
        <v>4126</v>
      </c>
      <c r="Z284" s="1713"/>
      <c r="AA284" s="1715">
        <v>1.4999999999999999E-4</v>
      </c>
      <c r="AB284" s="1716" t="s">
        <v>4126</v>
      </c>
      <c r="AC284" s="1717"/>
    </row>
    <row r="285" spans="1:29" ht="30">
      <c r="A285" s="1719" t="s">
        <v>188</v>
      </c>
      <c r="B285" s="1720" t="s">
        <v>2396</v>
      </c>
      <c r="C285" s="1737">
        <v>0.31</v>
      </c>
      <c r="D285" s="1723" t="s">
        <v>1900</v>
      </c>
      <c r="E285" s="1724">
        <v>8.8999999999999995E-5</v>
      </c>
      <c r="F285" s="1723" t="s">
        <v>1900</v>
      </c>
      <c r="G285" s="1724">
        <v>2E-3</v>
      </c>
      <c r="H285" s="1723" t="s">
        <v>1119</v>
      </c>
      <c r="I285" s="1723"/>
      <c r="J285" s="1722"/>
      <c r="K285" s="1722"/>
      <c r="L285" s="1722"/>
      <c r="M285" s="1723">
        <v>1</v>
      </c>
      <c r="N285" s="1723">
        <v>0.10199999999999999</v>
      </c>
      <c r="O285" s="1725"/>
      <c r="P285" s="1726">
        <v>1.7</v>
      </c>
      <c r="Q285" s="1727" t="s">
        <v>4127</v>
      </c>
      <c r="R285" s="1726">
        <v>7.4</v>
      </c>
      <c r="S285" s="1727" t="s">
        <v>4126</v>
      </c>
      <c r="T285" s="1726">
        <v>3.2000000000000001E-2</v>
      </c>
      <c r="U285" s="1727" t="s">
        <v>4126</v>
      </c>
      <c r="V285" s="1726">
        <v>0.14000000000000001</v>
      </c>
      <c r="W285" s="1727" t="s">
        <v>4126</v>
      </c>
      <c r="X285" s="1726">
        <v>0.24</v>
      </c>
      <c r="Y285" s="1729" t="s">
        <v>4126</v>
      </c>
      <c r="Z285" s="1728"/>
      <c r="AA285" s="1730">
        <v>3.2000000000000003E-4</v>
      </c>
      <c r="AB285" s="1731" t="s">
        <v>4126</v>
      </c>
      <c r="AC285" s="1732"/>
    </row>
    <row r="286" spans="1:29" ht="30">
      <c r="A286" s="1704" t="s">
        <v>2397</v>
      </c>
      <c r="B286" s="1705" t="s">
        <v>2398</v>
      </c>
      <c r="C286" s="1736">
        <v>1.5</v>
      </c>
      <c r="D286" s="1708" t="s">
        <v>1909</v>
      </c>
      <c r="E286" s="1708"/>
      <c r="F286" s="1707"/>
      <c r="G286" s="1709">
        <v>2.9999999999999997E-4</v>
      </c>
      <c r="H286" s="1708" t="s">
        <v>1893</v>
      </c>
      <c r="I286" s="1708"/>
      <c r="J286" s="1707"/>
      <c r="K286" s="1707"/>
      <c r="L286" s="1707"/>
      <c r="M286" s="1708">
        <v>1</v>
      </c>
      <c r="N286" s="1708">
        <v>9.9000000000000005E-2</v>
      </c>
      <c r="O286" s="1710"/>
      <c r="P286" s="1711">
        <v>0.36</v>
      </c>
      <c r="Q286" s="1712" t="s">
        <v>4127</v>
      </c>
      <c r="R286" s="1711">
        <v>1.5</v>
      </c>
      <c r="S286" s="1712" t="s">
        <v>4126</v>
      </c>
      <c r="T286" s="1712"/>
      <c r="U286" s="1713"/>
      <c r="V286" s="1712"/>
      <c r="W286" s="1713"/>
      <c r="X286" s="1711">
        <v>4.9000000000000002E-2</v>
      </c>
      <c r="Y286" s="1714" t="s">
        <v>4126</v>
      </c>
      <c r="Z286" s="1713"/>
      <c r="AA286" s="1715">
        <v>6.7000000000000002E-5</v>
      </c>
      <c r="AB286" s="1716" t="s">
        <v>4126</v>
      </c>
      <c r="AC286" s="1717"/>
    </row>
    <row r="287" spans="1:29" ht="30">
      <c r="A287" s="1704" t="s">
        <v>2399</v>
      </c>
      <c r="B287" s="1705" t="s">
        <v>2400</v>
      </c>
      <c r="C287" s="1706"/>
      <c r="D287" s="1707"/>
      <c r="E287" s="1708"/>
      <c r="F287" s="1707"/>
      <c r="G287" s="1709">
        <v>1E-4</v>
      </c>
      <c r="H287" s="1708" t="s">
        <v>1893</v>
      </c>
      <c r="I287" s="1708"/>
      <c r="J287" s="1707"/>
      <c r="K287" s="1707"/>
      <c r="L287" s="1707"/>
      <c r="M287" s="1708">
        <v>1</v>
      </c>
      <c r="N287" s="1708">
        <v>6.0000000000000001E-3</v>
      </c>
      <c r="O287" s="1710"/>
      <c r="P287" s="1711">
        <v>7.7</v>
      </c>
      <c r="Q287" s="1712" t="s">
        <v>1471</v>
      </c>
      <c r="R287" s="1711">
        <v>110</v>
      </c>
      <c r="S287" s="1712" t="s">
        <v>1471</v>
      </c>
      <c r="T287" s="1712"/>
      <c r="U287" s="1713"/>
      <c r="V287" s="1712"/>
      <c r="W287" s="1713"/>
      <c r="X287" s="1711">
        <v>1.9</v>
      </c>
      <c r="Y287" s="1714" t="s">
        <v>1471</v>
      </c>
      <c r="Z287" s="1713"/>
      <c r="AA287" s="1715">
        <v>1.5E-3</v>
      </c>
      <c r="AB287" s="1716" t="s">
        <v>1471</v>
      </c>
      <c r="AC287" s="1717"/>
    </row>
    <row r="288" spans="1:29" ht="30">
      <c r="A288" s="1719" t="s">
        <v>2401</v>
      </c>
      <c r="B288" s="1720" t="s">
        <v>2402</v>
      </c>
      <c r="C288" s="1721"/>
      <c r="D288" s="1722"/>
      <c r="E288" s="1723"/>
      <c r="F288" s="1722"/>
      <c r="G288" s="1724">
        <v>1E-4</v>
      </c>
      <c r="H288" s="1723" t="s">
        <v>1893</v>
      </c>
      <c r="I288" s="1723"/>
      <c r="J288" s="1722"/>
      <c r="K288" s="1722"/>
      <c r="L288" s="1722"/>
      <c r="M288" s="1723">
        <v>1</v>
      </c>
      <c r="N288" s="1723">
        <v>8.9999999999999993E-3</v>
      </c>
      <c r="O288" s="1725"/>
      <c r="P288" s="1726">
        <v>7.7</v>
      </c>
      <c r="Q288" s="1727" t="s">
        <v>1471</v>
      </c>
      <c r="R288" s="1726">
        <v>110</v>
      </c>
      <c r="S288" s="1727" t="s">
        <v>1471</v>
      </c>
      <c r="T288" s="1727"/>
      <c r="U288" s="1728"/>
      <c r="V288" s="1727"/>
      <c r="W288" s="1728"/>
      <c r="X288" s="1726">
        <v>1.9</v>
      </c>
      <c r="Y288" s="1729" t="s">
        <v>1471</v>
      </c>
      <c r="Z288" s="1728"/>
      <c r="AA288" s="1730">
        <v>1.5E-3</v>
      </c>
      <c r="AB288" s="1731" t="s">
        <v>1471</v>
      </c>
      <c r="AC288" s="1732"/>
    </row>
    <row r="289" spans="1:29" ht="30">
      <c r="A289" s="1704" t="s">
        <v>2403</v>
      </c>
      <c r="B289" s="1705" t="s">
        <v>2404</v>
      </c>
      <c r="C289" s="1736">
        <v>0.45</v>
      </c>
      <c r="D289" s="1708" t="s">
        <v>1893</v>
      </c>
      <c r="E289" s="1708"/>
      <c r="F289" s="1707"/>
      <c r="G289" s="1709">
        <v>8.9999999999999998E-4</v>
      </c>
      <c r="H289" s="1708" t="s">
        <v>1893</v>
      </c>
      <c r="I289" s="1708"/>
      <c r="J289" s="1707"/>
      <c r="K289" s="1707"/>
      <c r="L289" s="1707"/>
      <c r="M289" s="1708">
        <v>1</v>
      </c>
      <c r="N289" s="1708">
        <v>0.1</v>
      </c>
      <c r="O289" s="1710"/>
      <c r="P289" s="1711">
        <v>1.2</v>
      </c>
      <c r="Q289" s="1712" t="s">
        <v>4127</v>
      </c>
      <c r="R289" s="1711">
        <v>5.0999999999999996</v>
      </c>
      <c r="S289" s="1712" t="s">
        <v>4126</v>
      </c>
      <c r="T289" s="1712"/>
      <c r="U289" s="1713"/>
      <c r="V289" s="1712"/>
      <c r="W289" s="1713"/>
      <c r="X289" s="1711">
        <v>0.1</v>
      </c>
      <c r="Y289" s="1714" t="s">
        <v>4126</v>
      </c>
      <c r="Z289" s="1713"/>
      <c r="AA289" s="1715">
        <v>1.3999999999999999E-4</v>
      </c>
      <c r="AB289" s="1716" t="s">
        <v>4126</v>
      </c>
      <c r="AC289" s="1717"/>
    </row>
    <row r="290" spans="1:29" ht="15">
      <c r="A290" s="1704" t="s">
        <v>2405</v>
      </c>
      <c r="B290" s="1705" t="s">
        <v>2406</v>
      </c>
      <c r="C290" s="1706"/>
      <c r="D290" s="1707"/>
      <c r="E290" s="1708"/>
      <c r="F290" s="1707"/>
      <c r="G290" s="1709">
        <v>1E-3</v>
      </c>
      <c r="H290" s="1708" t="s">
        <v>1119</v>
      </c>
      <c r="I290" s="1708"/>
      <c r="J290" s="1707"/>
      <c r="K290" s="1707"/>
      <c r="L290" s="1707"/>
      <c r="M290" s="1708">
        <v>1</v>
      </c>
      <c r="N290" s="1708">
        <v>0.1</v>
      </c>
      <c r="O290" s="1710"/>
      <c r="P290" s="1711">
        <v>63</v>
      </c>
      <c r="Q290" s="1712" t="s">
        <v>1471</v>
      </c>
      <c r="R290" s="1711">
        <v>820</v>
      </c>
      <c r="S290" s="1712" t="s">
        <v>1471</v>
      </c>
      <c r="T290" s="1712"/>
      <c r="U290" s="1713"/>
      <c r="V290" s="1712"/>
      <c r="W290" s="1713"/>
      <c r="X290" s="1711">
        <v>15</v>
      </c>
      <c r="Y290" s="1714" t="s">
        <v>1471</v>
      </c>
      <c r="Z290" s="1711">
        <v>7</v>
      </c>
      <c r="AA290" s="1715">
        <v>0.13</v>
      </c>
      <c r="AB290" s="1716" t="s">
        <v>1471</v>
      </c>
      <c r="AC290" s="1738">
        <v>6.2E-2</v>
      </c>
    </row>
    <row r="291" spans="1:29" ht="15">
      <c r="A291" s="1719" t="s">
        <v>190</v>
      </c>
      <c r="B291" s="1720" t="s">
        <v>2407</v>
      </c>
      <c r="C291" s="1737">
        <v>0.1</v>
      </c>
      <c r="D291" s="1723" t="s">
        <v>1119</v>
      </c>
      <c r="E291" s="1724">
        <v>5.0000000000000004E-6</v>
      </c>
      <c r="F291" s="1723" t="s">
        <v>1119</v>
      </c>
      <c r="G291" s="1724">
        <v>0.03</v>
      </c>
      <c r="H291" s="1723" t="s">
        <v>1119</v>
      </c>
      <c r="I291" s="1724">
        <v>0.03</v>
      </c>
      <c r="J291" s="1723" t="s">
        <v>1119</v>
      </c>
      <c r="K291" s="1723" t="s">
        <v>1127</v>
      </c>
      <c r="L291" s="1722"/>
      <c r="M291" s="1723">
        <v>1</v>
      </c>
      <c r="N291" s="1723"/>
      <c r="O291" s="1735">
        <v>116000</v>
      </c>
      <c r="P291" s="1726">
        <v>5.3</v>
      </c>
      <c r="Q291" s="1727" t="s">
        <v>4126</v>
      </c>
      <c r="R291" s="1726">
        <v>24</v>
      </c>
      <c r="S291" s="1727" t="s">
        <v>4126</v>
      </c>
      <c r="T291" s="1726">
        <v>0.56000000000000005</v>
      </c>
      <c r="U291" s="1727" t="s">
        <v>4127</v>
      </c>
      <c r="V291" s="1726">
        <v>2.5</v>
      </c>
      <c r="W291" s="1727" t="s">
        <v>4127</v>
      </c>
      <c r="X291" s="1726">
        <v>0.46</v>
      </c>
      <c r="Y291" s="1729" t="s">
        <v>4126</v>
      </c>
      <c r="Z291" s="1728"/>
      <c r="AA291" s="1730">
        <v>9.3999999999999994E-5</v>
      </c>
      <c r="AB291" s="1731" t="s">
        <v>4126</v>
      </c>
      <c r="AC291" s="1732"/>
    </row>
    <row r="292" spans="1:29" ht="15">
      <c r="A292" s="1704"/>
      <c r="B292" s="1705" t="s">
        <v>2408</v>
      </c>
      <c r="C292" s="1706"/>
      <c r="D292" s="1707"/>
      <c r="E292" s="1708"/>
      <c r="F292" s="1707"/>
      <c r="G292" s="1708"/>
      <c r="H292" s="1707"/>
      <c r="I292" s="1708"/>
      <c r="J292" s="1707"/>
      <c r="K292" s="1707"/>
      <c r="L292" s="1707"/>
      <c r="M292" s="1708"/>
      <c r="N292" s="1708"/>
      <c r="O292" s="1710"/>
      <c r="P292" s="1712"/>
      <c r="Q292" s="1713"/>
      <c r="R292" s="1712"/>
      <c r="S292" s="1713"/>
      <c r="T292" s="1712"/>
      <c r="U292" s="1713"/>
      <c r="V292" s="1712"/>
      <c r="W292" s="1713"/>
      <c r="X292" s="1712"/>
      <c r="Y292" s="1733"/>
      <c r="Z292" s="1713"/>
      <c r="AA292" s="1716"/>
      <c r="AB292" s="1734"/>
      <c r="AC292" s="1717"/>
    </row>
    <row r="293" spans="1:29" ht="45">
      <c r="A293" s="1704" t="s">
        <v>2409</v>
      </c>
      <c r="B293" s="1705" t="s">
        <v>2410</v>
      </c>
      <c r="C293" s="1736">
        <v>6200</v>
      </c>
      <c r="D293" s="1708" t="s">
        <v>1119</v>
      </c>
      <c r="E293" s="1709">
        <v>1.3</v>
      </c>
      <c r="F293" s="1708" t="s">
        <v>1119</v>
      </c>
      <c r="G293" s="1708"/>
      <c r="H293" s="1707"/>
      <c r="I293" s="1708"/>
      <c r="J293" s="1707"/>
      <c r="K293" s="1707"/>
      <c r="L293" s="1707"/>
      <c r="M293" s="1708">
        <v>1</v>
      </c>
      <c r="N293" s="1708">
        <v>0.03</v>
      </c>
      <c r="O293" s="1710"/>
      <c r="P293" s="1711">
        <v>1E-4</v>
      </c>
      <c r="Q293" s="1712" t="s">
        <v>4126</v>
      </c>
      <c r="R293" s="1711">
        <v>4.6999999999999999E-4</v>
      </c>
      <c r="S293" s="1712" t="s">
        <v>4126</v>
      </c>
      <c r="T293" s="1711">
        <v>2.2000000000000001E-6</v>
      </c>
      <c r="U293" s="1712" t="s">
        <v>4126</v>
      </c>
      <c r="V293" s="1711">
        <v>9.3999999999999998E-6</v>
      </c>
      <c r="W293" s="1712" t="s">
        <v>4126</v>
      </c>
      <c r="X293" s="1711">
        <v>1.2999999999999999E-5</v>
      </c>
      <c r="Y293" s="1714" t="s">
        <v>4126</v>
      </c>
      <c r="Z293" s="1713"/>
      <c r="AA293" s="1715">
        <v>1.7E-5</v>
      </c>
      <c r="AB293" s="1716" t="s">
        <v>4126</v>
      </c>
      <c r="AC293" s="1717"/>
    </row>
    <row r="294" spans="1:29" ht="15">
      <c r="A294" s="1719" t="s">
        <v>192</v>
      </c>
      <c r="B294" s="1720" t="s">
        <v>2411</v>
      </c>
      <c r="C294" s="1737">
        <v>130000</v>
      </c>
      <c r="D294" s="1723" t="s">
        <v>1900</v>
      </c>
      <c r="E294" s="1724">
        <v>38</v>
      </c>
      <c r="F294" s="1723" t="s">
        <v>1900</v>
      </c>
      <c r="G294" s="1724">
        <v>6.9999999999999996E-10</v>
      </c>
      <c r="H294" s="1723" t="s">
        <v>1119</v>
      </c>
      <c r="I294" s="1724">
        <v>4.0000000000000001E-8</v>
      </c>
      <c r="J294" s="1723" t="s">
        <v>1900</v>
      </c>
      <c r="K294" s="1723" t="s">
        <v>1127</v>
      </c>
      <c r="L294" s="1722"/>
      <c r="M294" s="1723">
        <v>1</v>
      </c>
      <c r="N294" s="1723">
        <v>0.03</v>
      </c>
      <c r="O294" s="1725"/>
      <c r="P294" s="1726">
        <v>4.7999999999999998E-6</v>
      </c>
      <c r="Q294" s="1727" t="s">
        <v>4127</v>
      </c>
      <c r="R294" s="1726">
        <v>2.1999999999999999E-5</v>
      </c>
      <c r="S294" s="1727" t="s">
        <v>4127</v>
      </c>
      <c r="T294" s="1726">
        <v>7.4000000000000001E-8</v>
      </c>
      <c r="U294" s="1727" t="s">
        <v>4126</v>
      </c>
      <c r="V294" s="1726">
        <v>3.2000000000000001E-7</v>
      </c>
      <c r="W294" s="1727" t="s">
        <v>4126</v>
      </c>
      <c r="X294" s="1726">
        <v>1.1999999999999999E-7</v>
      </c>
      <c r="Y294" s="1729" t="s">
        <v>4126</v>
      </c>
      <c r="Z294" s="1726">
        <v>3.0000000000000001E-5</v>
      </c>
      <c r="AA294" s="1730">
        <v>5.8999999999999999E-8</v>
      </c>
      <c r="AB294" s="1731" t="s">
        <v>4126</v>
      </c>
      <c r="AC294" s="1739">
        <v>1.5E-5</v>
      </c>
    </row>
    <row r="295" spans="1:29" ht="15">
      <c r="A295" s="1704" t="s">
        <v>2412</v>
      </c>
      <c r="B295" s="1705" t="s">
        <v>2413</v>
      </c>
      <c r="C295" s="1706"/>
      <c r="D295" s="1707"/>
      <c r="E295" s="1708"/>
      <c r="F295" s="1707"/>
      <c r="G295" s="1709">
        <v>0.03</v>
      </c>
      <c r="H295" s="1708" t="s">
        <v>1119</v>
      </c>
      <c r="I295" s="1708"/>
      <c r="J295" s="1707"/>
      <c r="K295" s="1707"/>
      <c r="L295" s="1707"/>
      <c r="M295" s="1708">
        <v>1</v>
      </c>
      <c r="N295" s="1708">
        <v>0.1</v>
      </c>
      <c r="O295" s="1710"/>
      <c r="P295" s="1711">
        <v>1900</v>
      </c>
      <c r="Q295" s="1712" t="s">
        <v>1471</v>
      </c>
      <c r="R295" s="1711">
        <v>25000</v>
      </c>
      <c r="S295" s="1712" t="s">
        <v>1471</v>
      </c>
      <c r="T295" s="1712"/>
      <c r="U295" s="1713"/>
      <c r="V295" s="1712"/>
      <c r="W295" s="1713"/>
      <c r="X295" s="1711">
        <v>530</v>
      </c>
      <c r="Y295" s="1714" t="s">
        <v>1471</v>
      </c>
      <c r="Z295" s="1713"/>
      <c r="AA295" s="1715">
        <v>5.2</v>
      </c>
      <c r="AB295" s="1716" t="s">
        <v>1471</v>
      </c>
      <c r="AC295" s="1717"/>
    </row>
    <row r="296" spans="1:29" ht="15">
      <c r="A296" s="1704" t="s">
        <v>2414</v>
      </c>
      <c r="B296" s="1705" t="s">
        <v>2415</v>
      </c>
      <c r="C296" s="1706"/>
      <c r="D296" s="1707"/>
      <c r="E296" s="1708"/>
      <c r="F296" s="1707"/>
      <c r="G296" s="1708"/>
      <c r="H296" s="1707"/>
      <c r="I296" s="1709">
        <v>4.0000000000000002E-4</v>
      </c>
      <c r="J296" s="1708" t="s">
        <v>1893</v>
      </c>
      <c r="K296" s="1708" t="s">
        <v>1127</v>
      </c>
      <c r="L296" s="1707"/>
      <c r="M296" s="1708">
        <v>1</v>
      </c>
      <c r="N296" s="1708"/>
      <c r="O296" s="1710"/>
      <c r="P296" s="1711">
        <v>34</v>
      </c>
      <c r="Q296" s="1712" t="s">
        <v>1471</v>
      </c>
      <c r="R296" s="1711">
        <v>140</v>
      </c>
      <c r="S296" s="1712" t="s">
        <v>1471</v>
      </c>
      <c r="T296" s="1711">
        <v>0.42</v>
      </c>
      <c r="U296" s="1712" t="s">
        <v>1471</v>
      </c>
      <c r="V296" s="1711">
        <v>1.8</v>
      </c>
      <c r="W296" s="1712" t="s">
        <v>1471</v>
      </c>
      <c r="X296" s="1711">
        <v>0.83</v>
      </c>
      <c r="Y296" s="1714" t="s">
        <v>1471</v>
      </c>
      <c r="Z296" s="1713"/>
      <c r="AA296" s="1715">
        <v>3.3999999999999998E-3</v>
      </c>
      <c r="AB296" s="1716" t="s">
        <v>1471</v>
      </c>
      <c r="AC296" s="1717"/>
    </row>
    <row r="297" spans="1:29" ht="15">
      <c r="A297" s="1719" t="s">
        <v>2416</v>
      </c>
      <c r="B297" s="1720" t="s">
        <v>2417</v>
      </c>
      <c r="C297" s="1721"/>
      <c r="D297" s="1722"/>
      <c r="E297" s="1723"/>
      <c r="F297" s="1722"/>
      <c r="G297" s="1724">
        <v>8.0000000000000004E-4</v>
      </c>
      <c r="H297" s="1723" t="s">
        <v>1893</v>
      </c>
      <c r="I297" s="1723"/>
      <c r="J297" s="1722"/>
      <c r="K297" s="1722"/>
      <c r="L297" s="1722"/>
      <c r="M297" s="1723">
        <v>1</v>
      </c>
      <c r="N297" s="1723">
        <v>0.1</v>
      </c>
      <c r="O297" s="1725"/>
      <c r="P297" s="1726">
        <v>51</v>
      </c>
      <c r="Q297" s="1727" t="s">
        <v>1471</v>
      </c>
      <c r="R297" s="1726">
        <v>660</v>
      </c>
      <c r="S297" s="1727" t="s">
        <v>1471</v>
      </c>
      <c r="T297" s="1727"/>
      <c r="U297" s="1728"/>
      <c r="V297" s="1727"/>
      <c r="W297" s="1728"/>
      <c r="X297" s="1726">
        <v>15</v>
      </c>
      <c r="Y297" s="1729" t="s">
        <v>1471</v>
      </c>
      <c r="Z297" s="1728"/>
      <c r="AA297" s="1730">
        <v>3.5999999999999997E-2</v>
      </c>
      <c r="AB297" s="1731" t="s">
        <v>1471</v>
      </c>
      <c r="AC297" s="1732"/>
    </row>
    <row r="298" spans="1:29" ht="15">
      <c r="A298" s="1704" t="s">
        <v>2418</v>
      </c>
      <c r="B298" s="1705" t="s">
        <v>2419</v>
      </c>
      <c r="C298" s="1706"/>
      <c r="D298" s="1707"/>
      <c r="E298" s="1708"/>
      <c r="F298" s="1707"/>
      <c r="G298" s="1709">
        <v>0.1</v>
      </c>
      <c r="H298" s="1708" t="s">
        <v>1116</v>
      </c>
      <c r="I298" s="1708"/>
      <c r="J298" s="1707"/>
      <c r="K298" s="1707"/>
      <c r="L298" s="1707"/>
      <c r="M298" s="1708">
        <v>1</v>
      </c>
      <c r="N298" s="1708">
        <v>0.1</v>
      </c>
      <c r="O298" s="1710"/>
      <c r="P298" s="1711">
        <v>6300</v>
      </c>
      <c r="Q298" s="1712" t="s">
        <v>1471</v>
      </c>
      <c r="R298" s="1711">
        <v>82000</v>
      </c>
      <c r="S298" s="1712" t="s">
        <v>1471</v>
      </c>
      <c r="T298" s="1712"/>
      <c r="U298" s="1713"/>
      <c r="V298" s="1712"/>
      <c r="W298" s="1713"/>
      <c r="X298" s="1711">
        <v>1300</v>
      </c>
      <c r="Y298" s="1714" t="s">
        <v>1471</v>
      </c>
      <c r="Z298" s="1713"/>
      <c r="AA298" s="1715">
        <v>2.2999999999999998</v>
      </c>
      <c r="AB298" s="1716" t="s">
        <v>1471</v>
      </c>
      <c r="AC298" s="1717"/>
    </row>
    <row r="299" spans="1:29" ht="30">
      <c r="A299" s="1704" t="s">
        <v>2420</v>
      </c>
      <c r="B299" s="1705" t="s">
        <v>2421</v>
      </c>
      <c r="C299" s="1736">
        <v>0.8</v>
      </c>
      <c r="D299" s="1708" t="s">
        <v>1119</v>
      </c>
      <c r="E299" s="1709">
        <v>2.2000000000000001E-4</v>
      </c>
      <c r="F299" s="1708" t="s">
        <v>1119</v>
      </c>
      <c r="G299" s="1708"/>
      <c r="H299" s="1707"/>
      <c r="I299" s="1708"/>
      <c r="J299" s="1707"/>
      <c r="K299" s="1707"/>
      <c r="L299" s="1707"/>
      <c r="M299" s="1708">
        <v>1</v>
      </c>
      <c r="N299" s="1708">
        <v>0.1</v>
      </c>
      <c r="O299" s="1710"/>
      <c r="P299" s="1711">
        <v>0.68</v>
      </c>
      <c r="Q299" s="1712" t="s">
        <v>4126</v>
      </c>
      <c r="R299" s="1711">
        <v>2.9</v>
      </c>
      <c r="S299" s="1712" t="s">
        <v>4126</v>
      </c>
      <c r="T299" s="1711">
        <v>1.2999999999999999E-2</v>
      </c>
      <c r="U299" s="1712" t="s">
        <v>4126</v>
      </c>
      <c r="V299" s="1711">
        <v>5.6000000000000001E-2</v>
      </c>
      <c r="W299" s="1712" t="s">
        <v>4126</v>
      </c>
      <c r="X299" s="1711">
        <v>7.8E-2</v>
      </c>
      <c r="Y299" s="1714" t="s">
        <v>4126</v>
      </c>
      <c r="Z299" s="1713"/>
      <c r="AA299" s="1715">
        <v>2.5000000000000001E-4</v>
      </c>
      <c r="AB299" s="1716" t="s">
        <v>4126</v>
      </c>
      <c r="AC299" s="1717"/>
    </row>
    <row r="300" spans="1:29" ht="15">
      <c r="A300" s="1719" t="s">
        <v>2422</v>
      </c>
      <c r="B300" s="1720" t="s">
        <v>2423</v>
      </c>
      <c r="C300" s="1721"/>
      <c r="D300" s="1722"/>
      <c r="E300" s="1723"/>
      <c r="F300" s="1722"/>
      <c r="G300" s="1724">
        <v>2.2000000000000001E-3</v>
      </c>
      <c r="H300" s="1723" t="s">
        <v>1119</v>
      </c>
      <c r="I300" s="1723"/>
      <c r="J300" s="1722"/>
      <c r="K300" s="1722"/>
      <c r="L300" s="1722"/>
      <c r="M300" s="1723">
        <v>1</v>
      </c>
      <c r="N300" s="1723">
        <v>0.1</v>
      </c>
      <c r="O300" s="1725"/>
      <c r="P300" s="1726">
        <v>140</v>
      </c>
      <c r="Q300" s="1727" t="s">
        <v>1471</v>
      </c>
      <c r="R300" s="1726">
        <v>1800</v>
      </c>
      <c r="S300" s="1727" t="s">
        <v>1471</v>
      </c>
      <c r="T300" s="1727"/>
      <c r="U300" s="1728"/>
      <c r="V300" s="1727"/>
      <c r="W300" s="1728"/>
      <c r="X300" s="1726">
        <v>40</v>
      </c>
      <c r="Y300" s="1729" t="s">
        <v>1471</v>
      </c>
      <c r="Z300" s="1726">
        <v>20</v>
      </c>
      <c r="AA300" s="1730">
        <v>0.33</v>
      </c>
      <c r="AB300" s="1731" t="s">
        <v>1471</v>
      </c>
      <c r="AC300" s="1739">
        <v>0.17</v>
      </c>
    </row>
    <row r="301" spans="1:29" ht="15">
      <c r="A301" s="1704" t="s">
        <v>2424</v>
      </c>
      <c r="B301" s="1705" t="s">
        <v>2425</v>
      </c>
      <c r="C301" s="1736">
        <v>7.4</v>
      </c>
      <c r="D301" s="1708" t="s">
        <v>1900</v>
      </c>
      <c r="E301" s="1709">
        <v>2.0999999999999999E-3</v>
      </c>
      <c r="F301" s="1708" t="s">
        <v>1900</v>
      </c>
      <c r="G301" s="1708"/>
      <c r="H301" s="1707"/>
      <c r="I301" s="1708"/>
      <c r="J301" s="1707"/>
      <c r="K301" s="1707"/>
      <c r="L301" s="1707"/>
      <c r="M301" s="1708">
        <v>1</v>
      </c>
      <c r="N301" s="1708">
        <v>0.1</v>
      </c>
      <c r="O301" s="1710"/>
      <c r="P301" s="1711">
        <v>7.2999999999999995E-2</v>
      </c>
      <c r="Q301" s="1712" t="s">
        <v>4126</v>
      </c>
      <c r="R301" s="1711">
        <v>0.31</v>
      </c>
      <c r="S301" s="1712" t="s">
        <v>4126</v>
      </c>
      <c r="T301" s="1711">
        <v>1.2999999999999999E-3</v>
      </c>
      <c r="U301" s="1712" t="s">
        <v>4126</v>
      </c>
      <c r="V301" s="1711">
        <v>5.7999999999999996E-3</v>
      </c>
      <c r="W301" s="1712" t="s">
        <v>4126</v>
      </c>
      <c r="X301" s="1711">
        <v>1.0999999999999999E-2</v>
      </c>
      <c r="Y301" s="1714" t="s">
        <v>4126</v>
      </c>
      <c r="Z301" s="1713"/>
      <c r="AA301" s="1715">
        <v>5.0999999999999996</v>
      </c>
      <c r="AB301" s="1716" t="s">
        <v>4126</v>
      </c>
      <c r="AC301" s="1717"/>
    </row>
    <row r="302" spans="1:29" ht="15">
      <c r="A302" s="1704" t="s">
        <v>2426</v>
      </c>
      <c r="B302" s="1705" t="s">
        <v>2427</v>
      </c>
      <c r="C302" s="1736">
        <v>7.4</v>
      </c>
      <c r="D302" s="1708" t="s">
        <v>1900</v>
      </c>
      <c r="E302" s="1709">
        <v>2.0999999999999999E-3</v>
      </c>
      <c r="F302" s="1708" t="s">
        <v>1900</v>
      </c>
      <c r="G302" s="1708"/>
      <c r="H302" s="1707"/>
      <c r="I302" s="1708"/>
      <c r="J302" s="1707"/>
      <c r="K302" s="1707"/>
      <c r="L302" s="1707"/>
      <c r="M302" s="1708">
        <v>1</v>
      </c>
      <c r="N302" s="1708">
        <v>0.1</v>
      </c>
      <c r="O302" s="1710"/>
      <c r="P302" s="1711">
        <v>7.2999999999999995E-2</v>
      </c>
      <c r="Q302" s="1712" t="s">
        <v>4126</v>
      </c>
      <c r="R302" s="1711">
        <v>0.31</v>
      </c>
      <c r="S302" s="1712" t="s">
        <v>4126</v>
      </c>
      <c r="T302" s="1711">
        <v>1.2999999999999999E-3</v>
      </c>
      <c r="U302" s="1712" t="s">
        <v>4126</v>
      </c>
      <c r="V302" s="1711">
        <v>5.7999999999999996E-3</v>
      </c>
      <c r="W302" s="1712" t="s">
        <v>4126</v>
      </c>
      <c r="X302" s="1711">
        <v>1.0999999999999999E-2</v>
      </c>
      <c r="Y302" s="1714" t="s">
        <v>4126</v>
      </c>
      <c r="Z302" s="1713"/>
      <c r="AA302" s="1715">
        <v>17</v>
      </c>
      <c r="AB302" s="1716" t="s">
        <v>4126</v>
      </c>
      <c r="AC302" s="1717"/>
    </row>
    <row r="303" spans="1:29" ht="15">
      <c r="A303" s="1719" t="s">
        <v>2428</v>
      </c>
      <c r="B303" s="1720" t="s">
        <v>2429</v>
      </c>
      <c r="C303" s="1737">
        <v>6.7</v>
      </c>
      <c r="D303" s="1723" t="s">
        <v>1900</v>
      </c>
      <c r="E303" s="1724">
        <v>1.9E-3</v>
      </c>
      <c r="F303" s="1723" t="s">
        <v>1900</v>
      </c>
      <c r="G303" s="1723"/>
      <c r="H303" s="1722"/>
      <c r="I303" s="1723"/>
      <c r="J303" s="1722"/>
      <c r="K303" s="1722"/>
      <c r="L303" s="1722"/>
      <c r="M303" s="1723">
        <v>1</v>
      </c>
      <c r="N303" s="1723">
        <v>0.1</v>
      </c>
      <c r="O303" s="1725"/>
      <c r="P303" s="1726">
        <v>8.1000000000000003E-2</v>
      </c>
      <c r="Q303" s="1727" t="s">
        <v>4126</v>
      </c>
      <c r="R303" s="1726">
        <v>0.34</v>
      </c>
      <c r="S303" s="1727" t="s">
        <v>4126</v>
      </c>
      <c r="T303" s="1726">
        <v>1.5E-3</v>
      </c>
      <c r="U303" s="1727" t="s">
        <v>4126</v>
      </c>
      <c r="V303" s="1726">
        <v>6.4999999999999997E-3</v>
      </c>
      <c r="W303" s="1727" t="s">
        <v>4126</v>
      </c>
      <c r="X303" s="1726">
        <v>1.2E-2</v>
      </c>
      <c r="Y303" s="1729" t="s">
        <v>4126</v>
      </c>
      <c r="Z303" s="1728"/>
      <c r="AA303" s="1730">
        <v>0.16</v>
      </c>
      <c r="AB303" s="1731" t="s">
        <v>4126</v>
      </c>
      <c r="AC303" s="1732"/>
    </row>
    <row r="304" spans="1:29" ht="15">
      <c r="A304" s="1704" t="s">
        <v>2430</v>
      </c>
      <c r="B304" s="1705" t="s">
        <v>2431</v>
      </c>
      <c r="C304" s="1706"/>
      <c r="D304" s="1707"/>
      <c r="E304" s="1708"/>
      <c r="F304" s="1707"/>
      <c r="G304" s="1709">
        <v>4.0000000000000003E-5</v>
      </c>
      <c r="H304" s="1708" t="s">
        <v>1119</v>
      </c>
      <c r="I304" s="1708"/>
      <c r="J304" s="1707"/>
      <c r="K304" s="1707"/>
      <c r="L304" s="1707"/>
      <c r="M304" s="1708">
        <v>1</v>
      </c>
      <c r="N304" s="1708">
        <v>0.1</v>
      </c>
      <c r="O304" s="1710"/>
      <c r="P304" s="1711">
        <v>2.5</v>
      </c>
      <c r="Q304" s="1712" t="s">
        <v>1471</v>
      </c>
      <c r="R304" s="1711">
        <v>33</v>
      </c>
      <c r="S304" s="1712" t="s">
        <v>1471</v>
      </c>
      <c r="T304" s="1712"/>
      <c r="U304" s="1713"/>
      <c r="V304" s="1712"/>
      <c r="W304" s="1713"/>
      <c r="X304" s="1711">
        <v>0.5</v>
      </c>
      <c r="Y304" s="1714" t="s">
        <v>1471</v>
      </c>
      <c r="Z304" s="1713"/>
      <c r="AA304" s="1715">
        <v>9.3999999999999997E-4</v>
      </c>
      <c r="AB304" s="1716" t="s">
        <v>1471</v>
      </c>
      <c r="AC304" s="1717"/>
    </row>
    <row r="305" spans="1:29" ht="15">
      <c r="A305" s="1704" t="s">
        <v>2432</v>
      </c>
      <c r="B305" s="1705" t="s">
        <v>2433</v>
      </c>
      <c r="C305" s="1706"/>
      <c r="D305" s="1707"/>
      <c r="E305" s="1708"/>
      <c r="F305" s="1707"/>
      <c r="G305" s="1709">
        <v>0.01</v>
      </c>
      <c r="H305" s="1708" t="s">
        <v>1119</v>
      </c>
      <c r="I305" s="1708"/>
      <c r="J305" s="1707"/>
      <c r="K305" s="1708" t="s">
        <v>1127</v>
      </c>
      <c r="L305" s="1707"/>
      <c r="M305" s="1708">
        <v>1</v>
      </c>
      <c r="N305" s="1708"/>
      <c r="O305" s="1710"/>
      <c r="P305" s="1711">
        <v>780</v>
      </c>
      <c r="Q305" s="1712" t="s">
        <v>1471</v>
      </c>
      <c r="R305" s="1711">
        <v>12000</v>
      </c>
      <c r="S305" s="1712" t="s">
        <v>1471</v>
      </c>
      <c r="T305" s="1712"/>
      <c r="U305" s="1713"/>
      <c r="V305" s="1712"/>
      <c r="W305" s="1713"/>
      <c r="X305" s="1711">
        <v>200</v>
      </c>
      <c r="Y305" s="1714" t="s">
        <v>1471</v>
      </c>
      <c r="Z305" s="1713"/>
      <c r="AA305" s="1715">
        <v>9.7000000000000003E-2</v>
      </c>
      <c r="AB305" s="1716" t="s">
        <v>1471</v>
      </c>
      <c r="AC305" s="1717"/>
    </row>
    <row r="306" spans="1:29" ht="15">
      <c r="A306" s="1719" t="s">
        <v>2434</v>
      </c>
      <c r="B306" s="1720" t="s">
        <v>2435</v>
      </c>
      <c r="C306" s="1721"/>
      <c r="D306" s="1722"/>
      <c r="E306" s="1723"/>
      <c r="F306" s="1722"/>
      <c r="G306" s="1724">
        <v>2E-3</v>
      </c>
      <c r="H306" s="1723" t="s">
        <v>1119</v>
      </c>
      <c r="I306" s="1723"/>
      <c r="J306" s="1722"/>
      <c r="K306" s="1722"/>
      <c r="L306" s="1722"/>
      <c r="M306" s="1723">
        <v>1</v>
      </c>
      <c r="N306" s="1723">
        <v>0.1</v>
      </c>
      <c r="O306" s="1725"/>
      <c r="P306" s="1726">
        <v>130</v>
      </c>
      <c r="Q306" s="1727" t="s">
        <v>1471</v>
      </c>
      <c r="R306" s="1726">
        <v>1600</v>
      </c>
      <c r="S306" s="1727" t="s">
        <v>1471</v>
      </c>
      <c r="T306" s="1727"/>
      <c r="U306" s="1728"/>
      <c r="V306" s="1727"/>
      <c r="W306" s="1728"/>
      <c r="X306" s="1726">
        <v>36</v>
      </c>
      <c r="Y306" s="1729" t="s">
        <v>1471</v>
      </c>
      <c r="Z306" s="1728"/>
      <c r="AA306" s="1730">
        <v>1.4999999999999999E-2</v>
      </c>
      <c r="AB306" s="1731" t="s">
        <v>1471</v>
      </c>
      <c r="AC306" s="1732"/>
    </row>
    <row r="307" spans="1:29" ht="15">
      <c r="A307" s="1742">
        <v>197143</v>
      </c>
      <c r="B307" s="1705" t="s">
        <v>2437</v>
      </c>
      <c r="C307" s="1706"/>
      <c r="D307" s="1707"/>
      <c r="E307" s="1708"/>
      <c r="F307" s="1707"/>
      <c r="G307" s="1709">
        <v>0.02</v>
      </c>
      <c r="H307" s="1708" t="s">
        <v>1116</v>
      </c>
      <c r="I307" s="1708"/>
      <c r="J307" s="1707"/>
      <c r="K307" s="1707"/>
      <c r="L307" s="1707"/>
      <c r="M307" s="1708">
        <v>1</v>
      </c>
      <c r="N307" s="1708">
        <v>0.1</v>
      </c>
      <c r="O307" s="1710"/>
      <c r="P307" s="1711">
        <v>1300</v>
      </c>
      <c r="Q307" s="1712" t="s">
        <v>1471</v>
      </c>
      <c r="R307" s="1711">
        <v>16000</v>
      </c>
      <c r="S307" s="1712" t="s">
        <v>1471</v>
      </c>
      <c r="T307" s="1712"/>
      <c r="U307" s="1713"/>
      <c r="V307" s="1712"/>
      <c r="W307" s="1713"/>
      <c r="X307" s="1711">
        <v>400</v>
      </c>
      <c r="Y307" s="1714" t="s">
        <v>1471</v>
      </c>
      <c r="Z307" s="1713"/>
      <c r="AA307" s="1715">
        <v>2.1</v>
      </c>
      <c r="AB307" s="1716" t="s">
        <v>1471</v>
      </c>
      <c r="AC307" s="1717"/>
    </row>
    <row r="308" spans="1:29" ht="15">
      <c r="A308" s="1704" t="s">
        <v>2438</v>
      </c>
      <c r="B308" s="1705" t="s">
        <v>2439</v>
      </c>
      <c r="C308" s="1706"/>
      <c r="D308" s="1707"/>
      <c r="E308" s="1708"/>
      <c r="F308" s="1707"/>
      <c r="G308" s="1709">
        <v>0.05</v>
      </c>
      <c r="H308" s="1708" t="s">
        <v>1116</v>
      </c>
      <c r="I308" s="1708"/>
      <c r="J308" s="1707"/>
      <c r="K308" s="1708" t="s">
        <v>1127</v>
      </c>
      <c r="L308" s="1707"/>
      <c r="M308" s="1708">
        <v>1</v>
      </c>
      <c r="N308" s="1708"/>
      <c r="O308" s="1710"/>
      <c r="P308" s="1711">
        <v>3900</v>
      </c>
      <c r="Q308" s="1712" t="s">
        <v>1471</v>
      </c>
      <c r="R308" s="1711">
        <v>58000</v>
      </c>
      <c r="S308" s="1712" t="s">
        <v>1471</v>
      </c>
      <c r="T308" s="1712"/>
      <c r="U308" s="1713"/>
      <c r="V308" s="1712"/>
      <c r="W308" s="1713"/>
      <c r="X308" s="1711">
        <v>750</v>
      </c>
      <c r="Y308" s="1714" t="s">
        <v>1471</v>
      </c>
      <c r="Z308" s="1713"/>
      <c r="AA308" s="1715">
        <v>0.4</v>
      </c>
      <c r="AB308" s="1716" t="s">
        <v>1471</v>
      </c>
      <c r="AC308" s="1717"/>
    </row>
    <row r="309" spans="1:29" ht="15">
      <c r="A309" s="1719" t="s">
        <v>194</v>
      </c>
      <c r="B309" s="1720" t="s">
        <v>193</v>
      </c>
      <c r="C309" s="1721"/>
      <c r="D309" s="1722"/>
      <c r="E309" s="1723"/>
      <c r="F309" s="1722"/>
      <c r="G309" s="1724">
        <v>6.0000000000000001E-3</v>
      </c>
      <c r="H309" s="1723" t="s">
        <v>1119</v>
      </c>
      <c r="I309" s="1723"/>
      <c r="J309" s="1722"/>
      <c r="K309" s="1723" t="s">
        <v>1127</v>
      </c>
      <c r="L309" s="1722"/>
      <c r="M309" s="1723">
        <v>1</v>
      </c>
      <c r="N309" s="1723"/>
      <c r="O309" s="1725"/>
      <c r="P309" s="1726">
        <v>470</v>
      </c>
      <c r="Q309" s="1727" t="s">
        <v>1471</v>
      </c>
      <c r="R309" s="1726">
        <v>7000</v>
      </c>
      <c r="S309" s="1727" t="s">
        <v>1471</v>
      </c>
      <c r="T309" s="1727"/>
      <c r="U309" s="1728"/>
      <c r="V309" s="1727"/>
      <c r="W309" s="1728"/>
      <c r="X309" s="1726">
        <v>100</v>
      </c>
      <c r="Y309" s="1729" t="s">
        <v>1471</v>
      </c>
      <c r="Z309" s="1728"/>
      <c r="AA309" s="1730">
        <v>1.4</v>
      </c>
      <c r="AB309" s="1731" t="s">
        <v>1471</v>
      </c>
      <c r="AC309" s="1732"/>
    </row>
    <row r="310" spans="1:29" ht="30">
      <c r="A310" s="1704" t="s">
        <v>2440</v>
      </c>
      <c r="B310" s="1705" t="s">
        <v>2441</v>
      </c>
      <c r="C310" s="1706"/>
      <c r="D310" s="1707"/>
      <c r="E310" s="1708"/>
      <c r="F310" s="1707"/>
      <c r="G310" s="1709">
        <v>6.0000000000000001E-3</v>
      </c>
      <c r="H310" s="1708" t="s">
        <v>1909</v>
      </c>
      <c r="I310" s="1708"/>
      <c r="J310" s="1707"/>
      <c r="K310" s="1707"/>
      <c r="L310" s="1707"/>
      <c r="M310" s="1708">
        <v>1</v>
      </c>
      <c r="N310" s="1708">
        <v>0.1</v>
      </c>
      <c r="O310" s="1710"/>
      <c r="P310" s="1711">
        <v>380</v>
      </c>
      <c r="Q310" s="1712" t="s">
        <v>1471</v>
      </c>
      <c r="R310" s="1711">
        <v>4900</v>
      </c>
      <c r="S310" s="1712" t="s">
        <v>1471</v>
      </c>
      <c r="T310" s="1712"/>
      <c r="U310" s="1713"/>
      <c r="V310" s="1712"/>
      <c r="W310" s="1713"/>
      <c r="X310" s="1711">
        <v>110</v>
      </c>
      <c r="Y310" s="1714" t="s">
        <v>1471</v>
      </c>
      <c r="Z310" s="1713"/>
      <c r="AA310" s="1715">
        <v>2.1</v>
      </c>
      <c r="AB310" s="1716" t="s">
        <v>1471</v>
      </c>
      <c r="AC310" s="1717"/>
    </row>
    <row r="311" spans="1:29" ht="15">
      <c r="A311" s="1704" t="s">
        <v>2442</v>
      </c>
      <c r="B311" s="1705" t="s">
        <v>2443</v>
      </c>
      <c r="C311" s="1706"/>
      <c r="D311" s="1707"/>
      <c r="E311" s="1708"/>
      <c r="F311" s="1707"/>
      <c r="G311" s="1709">
        <v>0.02</v>
      </c>
      <c r="H311" s="1708" t="s">
        <v>1119</v>
      </c>
      <c r="I311" s="1708"/>
      <c r="J311" s="1707"/>
      <c r="K311" s="1707"/>
      <c r="L311" s="1707"/>
      <c r="M311" s="1708">
        <v>1</v>
      </c>
      <c r="N311" s="1708">
        <v>0.1</v>
      </c>
      <c r="O311" s="1710"/>
      <c r="P311" s="1711">
        <v>1300</v>
      </c>
      <c r="Q311" s="1712" t="s">
        <v>1471</v>
      </c>
      <c r="R311" s="1711">
        <v>16000</v>
      </c>
      <c r="S311" s="1712" t="s">
        <v>1471</v>
      </c>
      <c r="T311" s="1712"/>
      <c r="U311" s="1713"/>
      <c r="V311" s="1712"/>
      <c r="W311" s="1713"/>
      <c r="X311" s="1711">
        <v>380</v>
      </c>
      <c r="Y311" s="1714" t="s">
        <v>1471</v>
      </c>
      <c r="Z311" s="1711">
        <v>100</v>
      </c>
      <c r="AA311" s="1715">
        <v>9.0999999999999998E-2</v>
      </c>
      <c r="AB311" s="1716" t="s">
        <v>1471</v>
      </c>
      <c r="AC311" s="1738">
        <v>2.4E-2</v>
      </c>
    </row>
    <row r="312" spans="1:29" ht="15">
      <c r="A312" s="1719" t="s">
        <v>196</v>
      </c>
      <c r="B312" s="1720" t="s">
        <v>195</v>
      </c>
      <c r="C312" s="1721"/>
      <c r="D312" s="1722"/>
      <c r="E312" s="1723"/>
      <c r="F312" s="1722"/>
      <c r="G312" s="1724">
        <v>2.9999999999999997E-4</v>
      </c>
      <c r="H312" s="1723" t="s">
        <v>1119</v>
      </c>
      <c r="I312" s="1723"/>
      <c r="J312" s="1722"/>
      <c r="K312" s="1722"/>
      <c r="L312" s="1722"/>
      <c r="M312" s="1723">
        <v>1</v>
      </c>
      <c r="N312" s="1723">
        <v>0.1</v>
      </c>
      <c r="O312" s="1725"/>
      <c r="P312" s="1726">
        <v>19</v>
      </c>
      <c r="Q312" s="1727" t="s">
        <v>1471</v>
      </c>
      <c r="R312" s="1726">
        <v>250</v>
      </c>
      <c r="S312" s="1727" t="s">
        <v>1471</v>
      </c>
      <c r="T312" s="1727"/>
      <c r="U312" s="1728"/>
      <c r="V312" s="1727"/>
      <c r="W312" s="1728"/>
      <c r="X312" s="1726">
        <v>2.2999999999999998</v>
      </c>
      <c r="Y312" s="1729" t="s">
        <v>1471</v>
      </c>
      <c r="Z312" s="1726">
        <v>2</v>
      </c>
      <c r="AA312" s="1730">
        <v>9.1999999999999998E-2</v>
      </c>
      <c r="AB312" s="1731" t="s">
        <v>1471</v>
      </c>
      <c r="AC312" s="1739">
        <v>8.1000000000000003E-2</v>
      </c>
    </row>
    <row r="313" spans="1:29" ht="15">
      <c r="A313" s="1704" t="s">
        <v>2444</v>
      </c>
      <c r="B313" s="1705" t="s">
        <v>2445</v>
      </c>
      <c r="C313" s="1736">
        <v>9.9000000000000008E-3</v>
      </c>
      <c r="D313" s="1708" t="s">
        <v>1119</v>
      </c>
      <c r="E313" s="1709">
        <v>1.1999999999999999E-6</v>
      </c>
      <c r="F313" s="1708" t="s">
        <v>1119</v>
      </c>
      <c r="G313" s="1709">
        <v>6.0000000000000001E-3</v>
      </c>
      <c r="H313" s="1708" t="s">
        <v>1909</v>
      </c>
      <c r="I313" s="1709">
        <v>1E-3</v>
      </c>
      <c r="J313" s="1708" t="s">
        <v>1119</v>
      </c>
      <c r="K313" s="1708" t="s">
        <v>1127</v>
      </c>
      <c r="L313" s="1707"/>
      <c r="M313" s="1708">
        <v>1</v>
      </c>
      <c r="N313" s="1708"/>
      <c r="O313" s="1718">
        <v>10500</v>
      </c>
      <c r="P313" s="1711">
        <v>19</v>
      </c>
      <c r="Q313" s="1712" t="s">
        <v>1471</v>
      </c>
      <c r="R313" s="1711">
        <v>82</v>
      </c>
      <c r="S313" s="1712" t="s">
        <v>1471</v>
      </c>
      <c r="T313" s="1711">
        <v>1</v>
      </c>
      <c r="U313" s="1712" t="s">
        <v>1471</v>
      </c>
      <c r="V313" s="1711">
        <v>4.4000000000000004</v>
      </c>
      <c r="W313" s="1712" t="s">
        <v>1471</v>
      </c>
      <c r="X313" s="1711">
        <v>2</v>
      </c>
      <c r="Y313" s="1714" t="s">
        <v>1471</v>
      </c>
      <c r="Z313" s="1713"/>
      <c r="AA313" s="1715">
        <v>4.4999999999999999E-4</v>
      </c>
      <c r="AB313" s="1716" t="s">
        <v>1471</v>
      </c>
      <c r="AC313" s="1717"/>
    </row>
    <row r="314" spans="1:29" ht="15">
      <c r="A314" s="1704" t="s">
        <v>2446</v>
      </c>
      <c r="B314" s="1705" t="s">
        <v>2447</v>
      </c>
      <c r="C314" s="1706"/>
      <c r="D314" s="1707"/>
      <c r="E314" s="1708"/>
      <c r="F314" s="1707"/>
      <c r="G314" s="1708"/>
      <c r="H314" s="1707"/>
      <c r="I314" s="1709">
        <v>0.02</v>
      </c>
      <c r="J314" s="1708" t="s">
        <v>1119</v>
      </c>
      <c r="K314" s="1708" t="s">
        <v>1127</v>
      </c>
      <c r="L314" s="1707"/>
      <c r="M314" s="1708">
        <v>1</v>
      </c>
      <c r="N314" s="1708"/>
      <c r="O314" s="1718">
        <v>15300</v>
      </c>
      <c r="P314" s="1711">
        <v>160</v>
      </c>
      <c r="Q314" s="1712" t="s">
        <v>1471</v>
      </c>
      <c r="R314" s="1711">
        <v>670</v>
      </c>
      <c r="S314" s="1712" t="s">
        <v>1471</v>
      </c>
      <c r="T314" s="1711">
        <v>21</v>
      </c>
      <c r="U314" s="1712" t="s">
        <v>1471</v>
      </c>
      <c r="V314" s="1711">
        <v>88</v>
      </c>
      <c r="W314" s="1712" t="s">
        <v>1471</v>
      </c>
      <c r="X314" s="1711">
        <v>42</v>
      </c>
      <c r="Y314" s="1714" t="s">
        <v>1471</v>
      </c>
      <c r="Z314" s="1713"/>
      <c r="AA314" s="1715">
        <v>9.1999999999999998E-3</v>
      </c>
      <c r="AB314" s="1716" t="s">
        <v>1471</v>
      </c>
      <c r="AC314" s="1717"/>
    </row>
    <row r="315" spans="1:29" ht="30">
      <c r="A315" s="1719" t="s">
        <v>2448</v>
      </c>
      <c r="B315" s="1720" t="s">
        <v>2449</v>
      </c>
      <c r="C315" s="1721"/>
      <c r="D315" s="1722"/>
      <c r="E315" s="1723"/>
      <c r="F315" s="1722"/>
      <c r="G315" s="1724">
        <v>0.04</v>
      </c>
      <c r="H315" s="1723" t="s">
        <v>1909</v>
      </c>
      <c r="I315" s="1723"/>
      <c r="J315" s="1722"/>
      <c r="K315" s="1722"/>
      <c r="L315" s="1722"/>
      <c r="M315" s="1723">
        <v>1</v>
      </c>
      <c r="N315" s="1723">
        <v>0.1</v>
      </c>
      <c r="O315" s="1725"/>
      <c r="P315" s="1726">
        <v>2500</v>
      </c>
      <c r="Q315" s="1727" t="s">
        <v>1471</v>
      </c>
      <c r="R315" s="1726">
        <v>33000</v>
      </c>
      <c r="S315" s="1727" t="s">
        <v>1471</v>
      </c>
      <c r="T315" s="1727"/>
      <c r="U315" s="1728"/>
      <c r="V315" s="1727"/>
      <c r="W315" s="1728"/>
      <c r="X315" s="1726">
        <v>800</v>
      </c>
      <c r="Y315" s="1729" t="s">
        <v>1471</v>
      </c>
      <c r="Z315" s="1728"/>
      <c r="AA315" s="1730">
        <v>0.16</v>
      </c>
      <c r="AB315" s="1731" t="s">
        <v>1471</v>
      </c>
      <c r="AC315" s="1732"/>
    </row>
    <row r="316" spans="1:29" ht="15">
      <c r="A316" s="1704" t="s">
        <v>2450</v>
      </c>
      <c r="B316" s="1705" t="s">
        <v>2451</v>
      </c>
      <c r="C316" s="1706"/>
      <c r="D316" s="1707"/>
      <c r="E316" s="1708"/>
      <c r="F316" s="1707"/>
      <c r="G316" s="1709">
        <v>5.0000000000000001E-3</v>
      </c>
      <c r="H316" s="1708" t="s">
        <v>1119</v>
      </c>
      <c r="I316" s="1708"/>
      <c r="J316" s="1707"/>
      <c r="K316" s="1707"/>
      <c r="L316" s="1707"/>
      <c r="M316" s="1708">
        <v>1</v>
      </c>
      <c r="N316" s="1708">
        <v>0.1</v>
      </c>
      <c r="O316" s="1710"/>
      <c r="P316" s="1711">
        <v>320</v>
      </c>
      <c r="Q316" s="1712" t="s">
        <v>1471</v>
      </c>
      <c r="R316" s="1711">
        <v>4100</v>
      </c>
      <c r="S316" s="1712" t="s">
        <v>1471</v>
      </c>
      <c r="T316" s="1712"/>
      <c r="U316" s="1713"/>
      <c r="V316" s="1712"/>
      <c r="W316" s="1713"/>
      <c r="X316" s="1711">
        <v>100</v>
      </c>
      <c r="Y316" s="1714" t="s">
        <v>1471</v>
      </c>
      <c r="Z316" s="1713"/>
      <c r="AA316" s="1715">
        <v>2.1000000000000001E-2</v>
      </c>
      <c r="AB316" s="1716" t="s">
        <v>1471</v>
      </c>
      <c r="AC316" s="1717"/>
    </row>
    <row r="317" spans="1:29" ht="15">
      <c r="A317" s="1704" t="s">
        <v>2452</v>
      </c>
      <c r="B317" s="1705" t="s">
        <v>2453</v>
      </c>
      <c r="C317" s="1706"/>
      <c r="D317" s="1707"/>
      <c r="E317" s="1708"/>
      <c r="F317" s="1707"/>
      <c r="G317" s="1709">
        <v>5.0000000000000001E-4</v>
      </c>
      <c r="H317" s="1708" t="s">
        <v>1119</v>
      </c>
      <c r="I317" s="1708"/>
      <c r="J317" s="1707"/>
      <c r="K317" s="1707"/>
      <c r="L317" s="1707"/>
      <c r="M317" s="1708">
        <v>1</v>
      </c>
      <c r="N317" s="1708">
        <v>0.1</v>
      </c>
      <c r="O317" s="1710"/>
      <c r="P317" s="1711">
        <v>32</v>
      </c>
      <c r="Q317" s="1712" t="s">
        <v>1471</v>
      </c>
      <c r="R317" s="1711">
        <v>410</v>
      </c>
      <c r="S317" s="1712" t="s">
        <v>1471</v>
      </c>
      <c r="T317" s="1712"/>
      <c r="U317" s="1713"/>
      <c r="V317" s="1712"/>
      <c r="W317" s="1713"/>
      <c r="X317" s="1711">
        <v>4.3</v>
      </c>
      <c r="Y317" s="1714" t="s">
        <v>1471</v>
      </c>
      <c r="Z317" s="1713"/>
      <c r="AA317" s="1715">
        <v>8.5000000000000006E-3</v>
      </c>
      <c r="AB317" s="1716" t="s">
        <v>1471</v>
      </c>
      <c r="AC317" s="1717"/>
    </row>
    <row r="318" spans="1:29" ht="30">
      <c r="A318" s="1719" t="s">
        <v>2454</v>
      </c>
      <c r="B318" s="1720" t="s">
        <v>2455</v>
      </c>
      <c r="C318" s="1721"/>
      <c r="D318" s="1722"/>
      <c r="E318" s="1723"/>
      <c r="F318" s="1722"/>
      <c r="G318" s="1724">
        <v>0.1</v>
      </c>
      <c r="H318" s="1723" t="s">
        <v>1909</v>
      </c>
      <c r="I318" s="1724">
        <v>0.06</v>
      </c>
      <c r="J318" s="1723" t="s">
        <v>1909</v>
      </c>
      <c r="K318" s="1723" t="s">
        <v>1127</v>
      </c>
      <c r="L318" s="1722"/>
      <c r="M318" s="1723">
        <v>1</v>
      </c>
      <c r="N318" s="1723"/>
      <c r="O318" s="1735">
        <v>23800</v>
      </c>
      <c r="P318" s="1726">
        <v>2600</v>
      </c>
      <c r="Q318" s="1727" t="s">
        <v>1471</v>
      </c>
      <c r="R318" s="1726">
        <v>14000</v>
      </c>
      <c r="S318" s="1727" t="s">
        <v>1471</v>
      </c>
      <c r="T318" s="1726">
        <v>63</v>
      </c>
      <c r="U318" s="1727" t="s">
        <v>1471</v>
      </c>
      <c r="V318" s="1726">
        <v>260</v>
      </c>
      <c r="W318" s="1727" t="s">
        <v>1471</v>
      </c>
      <c r="X318" s="1726">
        <v>120</v>
      </c>
      <c r="Y318" s="1729" t="s">
        <v>1471</v>
      </c>
      <c r="Z318" s="1728"/>
      <c r="AA318" s="1730">
        <v>2.5000000000000001E-2</v>
      </c>
      <c r="AB318" s="1731" t="s">
        <v>1471</v>
      </c>
      <c r="AC318" s="1732"/>
    </row>
    <row r="319" spans="1:29" ht="15">
      <c r="A319" s="1704" t="s">
        <v>2456</v>
      </c>
      <c r="B319" s="1705" t="s">
        <v>2457</v>
      </c>
      <c r="C319" s="1706"/>
      <c r="D319" s="1707"/>
      <c r="E319" s="1708"/>
      <c r="F319" s="1707"/>
      <c r="G319" s="1709">
        <v>0.09</v>
      </c>
      <c r="H319" s="1708" t="s">
        <v>1909</v>
      </c>
      <c r="I319" s="1709">
        <v>0.04</v>
      </c>
      <c r="J319" s="1708" t="s">
        <v>1909</v>
      </c>
      <c r="K319" s="1708" t="s">
        <v>1127</v>
      </c>
      <c r="L319" s="1707"/>
      <c r="M319" s="1708">
        <v>1</v>
      </c>
      <c r="N319" s="1708"/>
      <c r="O319" s="1718">
        <v>106000</v>
      </c>
      <c r="P319" s="1711">
        <v>2600</v>
      </c>
      <c r="Q319" s="1712" t="s">
        <v>1471</v>
      </c>
      <c r="R319" s="1711">
        <v>15000</v>
      </c>
      <c r="S319" s="1712" t="s">
        <v>1471</v>
      </c>
      <c r="T319" s="1711">
        <v>42</v>
      </c>
      <c r="U319" s="1712" t="s">
        <v>1471</v>
      </c>
      <c r="V319" s="1711">
        <v>180</v>
      </c>
      <c r="W319" s="1712" t="s">
        <v>1471</v>
      </c>
      <c r="X319" s="1711">
        <v>80</v>
      </c>
      <c r="Y319" s="1714" t="s">
        <v>1471</v>
      </c>
      <c r="Z319" s="1713"/>
      <c r="AA319" s="1715">
        <v>1.6E-2</v>
      </c>
      <c r="AB319" s="1716" t="s">
        <v>1471</v>
      </c>
      <c r="AC319" s="1717"/>
    </row>
    <row r="320" spans="1:29" ht="15">
      <c r="A320" s="1704" t="s">
        <v>2458</v>
      </c>
      <c r="B320" s="1705" t="s">
        <v>2459</v>
      </c>
      <c r="C320" s="1706"/>
      <c r="D320" s="1707"/>
      <c r="E320" s="1708"/>
      <c r="F320" s="1707"/>
      <c r="G320" s="1709">
        <v>0.7</v>
      </c>
      <c r="H320" s="1708" t="s">
        <v>1909</v>
      </c>
      <c r="I320" s="1709">
        <v>7.0000000000000007E-2</v>
      </c>
      <c r="J320" s="1708" t="s">
        <v>1909</v>
      </c>
      <c r="K320" s="1708" t="s">
        <v>1127</v>
      </c>
      <c r="L320" s="1707"/>
      <c r="M320" s="1708">
        <v>1</v>
      </c>
      <c r="N320" s="1708"/>
      <c r="O320" s="1718">
        <v>10800</v>
      </c>
      <c r="P320" s="1711">
        <v>620</v>
      </c>
      <c r="Q320" s="1712" t="s">
        <v>1471</v>
      </c>
      <c r="R320" s="1711">
        <v>2600</v>
      </c>
      <c r="S320" s="1712" t="s">
        <v>1471</v>
      </c>
      <c r="T320" s="1711">
        <v>73</v>
      </c>
      <c r="U320" s="1712" t="s">
        <v>1471</v>
      </c>
      <c r="V320" s="1711">
        <v>310</v>
      </c>
      <c r="W320" s="1712" t="s">
        <v>1471</v>
      </c>
      <c r="X320" s="1711">
        <v>140</v>
      </c>
      <c r="Y320" s="1714" t="s">
        <v>1471</v>
      </c>
      <c r="Z320" s="1713"/>
      <c r="AA320" s="1715">
        <v>3.1E-2</v>
      </c>
      <c r="AB320" s="1716" t="s">
        <v>1471</v>
      </c>
      <c r="AC320" s="1717"/>
    </row>
    <row r="321" spans="1:29" ht="15">
      <c r="A321" s="1719" t="s">
        <v>2460</v>
      </c>
      <c r="B321" s="1720" t="s">
        <v>2461</v>
      </c>
      <c r="C321" s="1721"/>
      <c r="D321" s="1722"/>
      <c r="E321" s="1723"/>
      <c r="F321" s="1722"/>
      <c r="G321" s="1724">
        <v>5.0000000000000001E-3</v>
      </c>
      <c r="H321" s="1723" t="s">
        <v>1909</v>
      </c>
      <c r="I321" s="1724">
        <v>8.0000000000000002E-3</v>
      </c>
      <c r="J321" s="1723" t="s">
        <v>1909</v>
      </c>
      <c r="K321" s="1723" t="s">
        <v>1127</v>
      </c>
      <c r="L321" s="1722"/>
      <c r="M321" s="1723">
        <v>1</v>
      </c>
      <c r="N321" s="1723"/>
      <c r="O321" s="1735">
        <v>2500</v>
      </c>
      <c r="P321" s="1726">
        <v>47</v>
      </c>
      <c r="Q321" s="1727" t="s">
        <v>1471</v>
      </c>
      <c r="R321" s="1726">
        <v>210</v>
      </c>
      <c r="S321" s="1727" t="s">
        <v>1471</v>
      </c>
      <c r="T321" s="1726">
        <v>8.3000000000000007</v>
      </c>
      <c r="U321" s="1727" t="s">
        <v>1471</v>
      </c>
      <c r="V321" s="1726">
        <v>35</v>
      </c>
      <c r="W321" s="1727" t="s">
        <v>1471</v>
      </c>
      <c r="X321" s="1726">
        <v>14</v>
      </c>
      <c r="Y321" s="1729" t="s">
        <v>1471</v>
      </c>
      <c r="Z321" s="1728"/>
      <c r="AA321" s="1730">
        <v>3.2000000000000002E-3</v>
      </c>
      <c r="AB321" s="1731" t="s">
        <v>1471</v>
      </c>
      <c r="AC321" s="1732"/>
    </row>
    <row r="322" spans="1:29" ht="30">
      <c r="A322" s="1704" t="s">
        <v>126</v>
      </c>
      <c r="B322" s="1705" t="s">
        <v>2462</v>
      </c>
      <c r="C322" s="1706"/>
      <c r="D322" s="1707"/>
      <c r="E322" s="1708"/>
      <c r="F322" s="1707"/>
      <c r="G322" s="1708"/>
      <c r="H322" s="1707"/>
      <c r="I322" s="1709">
        <v>4</v>
      </c>
      <c r="J322" s="1708" t="s">
        <v>1909</v>
      </c>
      <c r="K322" s="1708" t="s">
        <v>1127</v>
      </c>
      <c r="L322" s="1707"/>
      <c r="M322" s="1708">
        <v>1</v>
      </c>
      <c r="N322" s="1708"/>
      <c r="O322" s="1718">
        <v>2120</v>
      </c>
      <c r="P322" s="1711">
        <v>5400</v>
      </c>
      <c r="Q322" s="1712" t="s">
        <v>4125</v>
      </c>
      <c r="R322" s="1711">
        <v>23000</v>
      </c>
      <c r="S322" s="1712" t="s">
        <v>4125</v>
      </c>
      <c r="T322" s="1711">
        <v>4200</v>
      </c>
      <c r="U322" s="1712" t="s">
        <v>1471</v>
      </c>
      <c r="V322" s="1711">
        <v>18000</v>
      </c>
      <c r="W322" s="1712" t="s">
        <v>1471</v>
      </c>
      <c r="X322" s="1711">
        <v>8300</v>
      </c>
      <c r="Y322" s="1714" t="s">
        <v>1471</v>
      </c>
      <c r="Z322" s="1713"/>
      <c r="AA322" s="1715">
        <v>2.4</v>
      </c>
      <c r="AB322" s="1716" t="s">
        <v>1471</v>
      </c>
      <c r="AC322" s="1717"/>
    </row>
    <row r="323" spans="1:29" ht="15">
      <c r="A323" s="1704" t="s">
        <v>2463</v>
      </c>
      <c r="B323" s="1705" t="s">
        <v>2464</v>
      </c>
      <c r="C323" s="1706"/>
      <c r="D323" s="1707"/>
      <c r="E323" s="1708"/>
      <c r="F323" s="1707"/>
      <c r="G323" s="1709">
        <v>0.2</v>
      </c>
      <c r="H323" s="1708" t="s">
        <v>1119</v>
      </c>
      <c r="I323" s="1708"/>
      <c r="J323" s="1707"/>
      <c r="K323" s="1708" t="s">
        <v>1127</v>
      </c>
      <c r="L323" s="1707"/>
      <c r="M323" s="1708">
        <v>1</v>
      </c>
      <c r="N323" s="1708"/>
      <c r="O323" s="1718">
        <v>10100</v>
      </c>
      <c r="P323" s="1711">
        <v>16000</v>
      </c>
      <c r="Q323" s="1712" t="s">
        <v>4125</v>
      </c>
      <c r="R323" s="1711">
        <v>230000</v>
      </c>
      <c r="S323" s="1712" t="s">
        <v>4123</v>
      </c>
      <c r="T323" s="1712"/>
      <c r="U323" s="1713"/>
      <c r="V323" s="1712"/>
      <c r="W323" s="1713"/>
      <c r="X323" s="1711">
        <v>3900</v>
      </c>
      <c r="Y323" s="1714" t="s">
        <v>1471</v>
      </c>
      <c r="Z323" s="1713"/>
      <c r="AA323" s="1715">
        <v>0.88</v>
      </c>
      <c r="AB323" s="1716" t="s">
        <v>1471</v>
      </c>
      <c r="AC323" s="1717"/>
    </row>
    <row r="324" spans="1:29" ht="30">
      <c r="A324" s="1719" t="s">
        <v>2465</v>
      </c>
      <c r="B324" s="1720" t="s">
        <v>2466</v>
      </c>
      <c r="C324" s="1721"/>
      <c r="D324" s="1722"/>
      <c r="E324" s="1723"/>
      <c r="F324" s="1722"/>
      <c r="G324" s="1723"/>
      <c r="H324" s="1722"/>
      <c r="I324" s="1724">
        <v>0.3</v>
      </c>
      <c r="J324" s="1723" t="s">
        <v>1909</v>
      </c>
      <c r="K324" s="1723" t="s">
        <v>1127</v>
      </c>
      <c r="L324" s="1722"/>
      <c r="M324" s="1723">
        <v>1</v>
      </c>
      <c r="N324" s="1723"/>
      <c r="O324" s="1735">
        <v>1100</v>
      </c>
      <c r="P324" s="1726">
        <v>1800</v>
      </c>
      <c r="Q324" s="1727" t="s">
        <v>4125</v>
      </c>
      <c r="R324" s="1726">
        <v>7600</v>
      </c>
      <c r="S324" s="1727" t="s">
        <v>4125</v>
      </c>
      <c r="T324" s="1726">
        <v>310</v>
      </c>
      <c r="U324" s="1727" t="s">
        <v>1471</v>
      </c>
      <c r="V324" s="1726">
        <v>1300</v>
      </c>
      <c r="W324" s="1727" t="s">
        <v>1471</v>
      </c>
      <c r="X324" s="1726">
        <v>630</v>
      </c>
      <c r="Y324" s="1729" t="s">
        <v>1471</v>
      </c>
      <c r="Z324" s="1728"/>
      <c r="AA324" s="1730">
        <v>0.15</v>
      </c>
      <c r="AB324" s="1731" t="s">
        <v>1471</v>
      </c>
      <c r="AC324" s="1732"/>
    </row>
    <row r="325" spans="1:29" ht="45">
      <c r="A325" s="1704" t="s">
        <v>2467</v>
      </c>
      <c r="B325" s="1705" t="s">
        <v>2468</v>
      </c>
      <c r="C325" s="1706"/>
      <c r="D325" s="1707"/>
      <c r="E325" s="1709">
        <v>8.0000000000000002E-8</v>
      </c>
      <c r="F325" s="1708" t="s">
        <v>1119</v>
      </c>
      <c r="G325" s="1709">
        <v>1</v>
      </c>
      <c r="H325" s="1708" t="s">
        <v>1119</v>
      </c>
      <c r="I325" s="1709">
        <v>40</v>
      </c>
      <c r="J325" s="1708" t="s">
        <v>1119</v>
      </c>
      <c r="K325" s="1708" t="s">
        <v>1127</v>
      </c>
      <c r="L325" s="1707"/>
      <c r="M325" s="1708">
        <v>1</v>
      </c>
      <c r="N325" s="1708"/>
      <c r="O325" s="1718">
        <v>2870</v>
      </c>
      <c r="P325" s="1711">
        <v>130</v>
      </c>
      <c r="Q325" s="1712" t="s">
        <v>4126</v>
      </c>
      <c r="R325" s="1711">
        <v>560</v>
      </c>
      <c r="S325" s="1712" t="s">
        <v>4126</v>
      </c>
      <c r="T325" s="1711">
        <v>35</v>
      </c>
      <c r="U325" s="1712" t="s">
        <v>4126</v>
      </c>
      <c r="V325" s="1711">
        <v>150</v>
      </c>
      <c r="W325" s="1712" t="s">
        <v>4126</v>
      </c>
      <c r="X325" s="1711">
        <v>70</v>
      </c>
      <c r="Y325" s="1714" t="s">
        <v>4126</v>
      </c>
      <c r="Z325" s="1713"/>
      <c r="AA325" s="1715">
        <v>1.7000000000000001E-2</v>
      </c>
      <c r="AB325" s="1716" t="s">
        <v>4126</v>
      </c>
      <c r="AC325" s="1717"/>
    </row>
    <row r="326" spans="1:29" ht="45">
      <c r="A326" s="1704" t="s">
        <v>2469</v>
      </c>
      <c r="B326" s="1705" t="s">
        <v>2470</v>
      </c>
      <c r="C326" s="1706"/>
      <c r="D326" s="1707"/>
      <c r="E326" s="1708"/>
      <c r="F326" s="1707"/>
      <c r="G326" s="1709">
        <v>1.0000000000000001E-5</v>
      </c>
      <c r="H326" s="1708" t="s">
        <v>1119</v>
      </c>
      <c r="I326" s="1708"/>
      <c r="J326" s="1707"/>
      <c r="K326" s="1707"/>
      <c r="L326" s="1707"/>
      <c r="M326" s="1708">
        <v>1</v>
      </c>
      <c r="N326" s="1708">
        <v>0.1</v>
      </c>
      <c r="O326" s="1710"/>
      <c r="P326" s="1711">
        <v>0.63</v>
      </c>
      <c r="Q326" s="1712" t="s">
        <v>1471</v>
      </c>
      <c r="R326" s="1711">
        <v>8.1999999999999993</v>
      </c>
      <c r="S326" s="1712" t="s">
        <v>1471</v>
      </c>
      <c r="T326" s="1712"/>
      <c r="U326" s="1713"/>
      <c r="V326" s="1712"/>
      <c r="W326" s="1713"/>
      <c r="X326" s="1711">
        <v>8.8999999999999996E-2</v>
      </c>
      <c r="Y326" s="1714" t="s">
        <v>1471</v>
      </c>
      <c r="Z326" s="1713"/>
      <c r="AA326" s="1715">
        <v>2.8E-3</v>
      </c>
      <c r="AB326" s="1716" t="s">
        <v>1471</v>
      </c>
      <c r="AC326" s="1717"/>
    </row>
    <row r="327" spans="1:29" ht="15">
      <c r="A327" s="1719" t="s">
        <v>198</v>
      </c>
      <c r="B327" s="1720" t="s">
        <v>197</v>
      </c>
      <c r="C327" s="1737">
        <v>1.0999999999999999E-2</v>
      </c>
      <c r="D327" s="1723" t="s">
        <v>1900</v>
      </c>
      <c r="E327" s="1724">
        <v>2.5000000000000002E-6</v>
      </c>
      <c r="F327" s="1723" t="s">
        <v>1900</v>
      </c>
      <c r="G327" s="1724">
        <v>0.05</v>
      </c>
      <c r="H327" s="1723" t="s">
        <v>1909</v>
      </c>
      <c r="I327" s="1724">
        <v>1</v>
      </c>
      <c r="J327" s="1723" t="s">
        <v>1119</v>
      </c>
      <c r="K327" s="1723" t="s">
        <v>1127</v>
      </c>
      <c r="L327" s="1722"/>
      <c r="M327" s="1723">
        <v>1</v>
      </c>
      <c r="N327" s="1723"/>
      <c r="O327" s="1735">
        <v>480</v>
      </c>
      <c r="P327" s="1726">
        <v>5.8</v>
      </c>
      <c r="Q327" s="1727" t="s">
        <v>4126</v>
      </c>
      <c r="R327" s="1726">
        <v>25</v>
      </c>
      <c r="S327" s="1727" t="s">
        <v>4126</v>
      </c>
      <c r="T327" s="1726">
        <v>1.1000000000000001</v>
      </c>
      <c r="U327" s="1727" t="s">
        <v>4126</v>
      </c>
      <c r="V327" s="1726">
        <v>4.9000000000000004</v>
      </c>
      <c r="W327" s="1727" t="s">
        <v>4126</v>
      </c>
      <c r="X327" s="1726">
        <v>1.5</v>
      </c>
      <c r="Y327" s="1729" t="s">
        <v>4126</v>
      </c>
      <c r="Z327" s="1726">
        <v>700</v>
      </c>
      <c r="AA327" s="1730">
        <v>1.6999999999999999E-3</v>
      </c>
      <c r="AB327" s="1731" t="s">
        <v>4126</v>
      </c>
      <c r="AC327" s="1739">
        <v>0.78</v>
      </c>
    </row>
    <row r="328" spans="1:29" ht="30">
      <c r="A328" s="1704" t="s">
        <v>2471</v>
      </c>
      <c r="B328" s="1705" t="s">
        <v>2472</v>
      </c>
      <c r="C328" s="1706"/>
      <c r="D328" s="1707"/>
      <c r="E328" s="1708"/>
      <c r="F328" s="1707"/>
      <c r="G328" s="1709">
        <v>7.0000000000000007E-2</v>
      </c>
      <c r="H328" s="1708" t="s">
        <v>1909</v>
      </c>
      <c r="I328" s="1708"/>
      <c r="J328" s="1707"/>
      <c r="K328" s="1707"/>
      <c r="L328" s="1707"/>
      <c r="M328" s="1708">
        <v>1</v>
      </c>
      <c r="N328" s="1708">
        <v>0.1</v>
      </c>
      <c r="O328" s="1710"/>
      <c r="P328" s="1711">
        <v>4400</v>
      </c>
      <c r="Q328" s="1712" t="s">
        <v>1471</v>
      </c>
      <c r="R328" s="1711">
        <v>57000</v>
      </c>
      <c r="S328" s="1712" t="s">
        <v>1471</v>
      </c>
      <c r="T328" s="1712"/>
      <c r="U328" s="1713"/>
      <c r="V328" s="1712"/>
      <c r="W328" s="1713"/>
      <c r="X328" s="1711">
        <v>1400</v>
      </c>
      <c r="Y328" s="1714" t="s">
        <v>1471</v>
      </c>
      <c r="Z328" s="1713"/>
      <c r="AA328" s="1715">
        <v>0.28000000000000003</v>
      </c>
      <c r="AB328" s="1716" t="s">
        <v>1471</v>
      </c>
      <c r="AC328" s="1717"/>
    </row>
    <row r="329" spans="1:29" ht="15">
      <c r="A329" s="1704" t="s">
        <v>2473</v>
      </c>
      <c r="B329" s="1705" t="s">
        <v>2474</v>
      </c>
      <c r="C329" s="1706"/>
      <c r="D329" s="1707"/>
      <c r="E329" s="1708"/>
      <c r="F329" s="1707"/>
      <c r="G329" s="1709">
        <v>0.09</v>
      </c>
      <c r="H329" s="1708" t="s">
        <v>1909</v>
      </c>
      <c r="I329" s="1708"/>
      <c r="J329" s="1707"/>
      <c r="K329" s="1708" t="s">
        <v>1127</v>
      </c>
      <c r="L329" s="1707"/>
      <c r="M329" s="1708">
        <v>1</v>
      </c>
      <c r="N329" s="1708"/>
      <c r="O329" s="1718">
        <v>189000</v>
      </c>
      <c r="P329" s="1711">
        <v>7000</v>
      </c>
      <c r="Q329" s="1712" t="s">
        <v>1471</v>
      </c>
      <c r="R329" s="1711">
        <v>110000</v>
      </c>
      <c r="S329" s="1712" t="s">
        <v>4124</v>
      </c>
      <c r="T329" s="1712"/>
      <c r="U329" s="1713"/>
      <c r="V329" s="1712"/>
      <c r="W329" s="1713"/>
      <c r="X329" s="1711">
        <v>1800</v>
      </c>
      <c r="Y329" s="1714" t="s">
        <v>1471</v>
      </c>
      <c r="Z329" s="1713"/>
      <c r="AA329" s="1715">
        <v>0.41</v>
      </c>
      <c r="AB329" s="1716" t="s">
        <v>1471</v>
      </c>
      <c r="AC329" s="1717"/>
    </row>
    <row r="330" spans="1:29" ht="15">
      <c r="A330" s="1719" t="s">
        <v>2475</v>
      </c>
      <c r="B330" s="1720" t="s">
        <v>2476</v>
      </c>
      <c r="C330" s="1721"/>
      <c r="D330" s="1722"/>
      <c r="E330" s="1723"/>
      <c r="F330" s="1722"/>
      <c r="G330" s="1724">
        <v>0.8</v>
      </c>
      <c r="H330" s="1723" t="s">
        <v>1960</v>
      </c>
      <c r="I330" s="1724">
        <v>0.4</v>
      </c>
      <c r="J330" s="1723" t="s">
        <v>1900</v>
      </c>
      <c r="K330" s="1722"/>
      <c r="L330" s="1722"/>
      <c r="M330" s="1723">
        <v>1</v>
      </c>
      <c r="N330" s="1723">
        <v>0.1</v>
      </c>
      <c r="O330" s="1725"/>
      <c r="P330" s="1726">
        <v>51000</v>
      </c>
      <c r="Q330" s="1727" t="s">
        <v>1471</v>
      </c>
      <c r="R330" s="1726">
        <v>660000</v>
      </c>
      <c r="S330" s="1727" t="s">
        <v>4124</v>
      </c>
      <c r="T330" s="1726">
        <v>420</v>
      </c>
      <c r="U330" s="1727" t="s">
        <v>1471</v>
      </c>
      <c r="V330" s="1726">
        <v>1800</v>
      </c>
      <c r="W330" s="1727" t="s">
        <v>1471</v>
      </c>
      <c r="X330" s="1726">
        <v>16000</v>
      </c>
      <c r="Y330" s="1729" t="s">
        <v>1471</v>
      </c>
      <c r="Z330" s="1728"/>
      <c r="AA330" s="1730">
        <v>3.2</v>
      </c>
      <c r="AB330" s="1731" t="s">
        <v>1471</v>
      </c>
      <c r="AC330" s="1732"/>
    </row>
    <row r="331" spans="1:29" ht="30">
      <c r="A331" s="1704" t="s">
        <v>2477</v>
      </c>
      <c r="B331" s="1705" t="s">
        <v>2478</v>
      </c>
      <c r="C331" s="1706"/>
      <c r="D331" s="1707"/>
      <c r="E331" s="1708"/>
      <c r="F331" s="1707"/>
      <c r="G331" s="1709">
        <v>0.1</v>
      </c>
      <c r="H331" s="1708" t="s">
        <v>1119</v>
      </c>
      <c r="I331" s="1709">
        <v>1.6</v>
      </c>
      <c r="J331" s="1708" t="s">
        <v>1119</v>
      </c>
      <c r="K331" s="1707"/>
      <c r="L331" s="1707"/>
      <c r="M331" s="1708">
        <v>1</v>
      </c>
      <c r="N331" s="1708">
        <v>0.1</v>
      </c>
      <c r="O331" s="1710"/>
      <c r="P331" s="1711">
        <v>6300</v>
      </c>
      <c r="Q331" s="1712" t="s">
        <v>1471</v>
      </c>
      <c r="R331" s="1711">
        <v>82000</v>
      </c>
      <c r="S331" s="1712" t="s">
        <v>1471</v>
      </c>
      <c r="T331" s="1711">
        <v>1700</v>
      </c>
      <c r="U331" s="1712" t="s">
        <v>1471</v>
      </c>
      <c r="V331" s="1711">
        <v>7000</v>
      </c>
      <c r="W331" s="1712" t="s">
        <v>1471</v>
      </c>
      <c r="X331" s="1711">
        <v>2000</v>
      </c>
      <c r="Y331" s="1714" t="s">
        <v>1471</v>
      </c>
      <c r="Z331" s="1713"/>
      <c r="AA331" s="1715">
        <v>0.41</v>
      </c>
      <c r="AB331" s="1716" t="s">
        <v>1471</v>
      </c>
      <c r="AC331" s="1717"/>
    </row>
    <row r="332" spans="1:29" ht="15">
      <c r="A332" s="1704" t="s">
        <v>2479</v>
      </c>
      <c r="B332" s="1705" t="s">
        <v>2480</v>
      </c>
      <c r="C332" s="1736">
        <v>0.31</v>
      </c>
      <c r="D332" s="1708" t="s">
        <v>1900</v>
      </c>
      <c r="E332" s="1709">
        <v>3.0000000000000001E-3</v>
      </c>
      <c r="F332" s="1708" t="s">
        <v>1119</v>
      </c>
      <c r="G332" s="1708"/>
      <c r="H332" s="1707"/>
      <c r="I332" s="1709">
        <v>0.03</v>
      </c>
      <c r="J332" s="1708" t="s">
        <v>1900</v>
      </c>
      <c r="K332" s="1708" t="s">
        <v>1127</v>
      </c>
      <c r="L332" s="1708" t="s">
        <v>1906</v>
      </c>
      <c r="M332" s="1708">
        <v>1</v>
      </c>
      <c r="N332" s="1708"/>
      <c r="O332" s="1718">
        <v>121000</v>
      </c>
      <c r="P332" s="1711">
        <v>2E-3</v>
      </c>
      <c r="Q332" s="1712" t="s">
        <v>4126</v>
      </c>
      <c r="R332" s="1711">
        <v>2.5000000000000001E-2</v>
      </c>
      <c r="S332" s="1712" t="s">
        <v>4126</v>
      </c>
      <c r="T332" s="1711">
        <v>3.4000000000000002E-4</v>
      </c>
      <c r="U332" s="1712" t="s">
        <v>4126</v>
      </c>
      <c r="V332" s="1711">
        <v>4.1000000000000003E-3</v>
      </c>
      <c r="W332" s="1712" t="s">
        <v>4126</v>
      </c>
      <c r="X332" s="1711">
        <v>6.7000000000000002E-4</v>
      </c>
      <c r="Y332" s="1714" t="s">
        <v>4126</v>
      </c>
      <c r="Z332" s="1713"/>
      <c r="AA332" s="1715">
        <v>1.4000000000000001E-7</v>
      </c>
      <c r="AB332" s="1716" t="s">
        <v>4126</v>
      </c>
      <c r="AC332" s="1717"/>
    </row>
    <row r="333" spans="1:29" ht="30">
      <c r="A333" s="1719" t="s">
        <v>2481</v>
      </c>
      <c r="B333" s="1720" t="s">
        <v>2482</v>
      </c>
      <c r="C333" s="1737">
        <v>4.4999999999999998E-2</v>
      </c>
      <c r="D333" s="1723" t="s">
        <v>1900</v>
      </c>
      <c r="E333" s="1724">
        <v>1.2999999999999999E-5</v>
      </c>
      <c r="F333" s="1723" t="s">
        <v>1900</v>
      </c>
      <c r="G333" s="1724">
        <v>8.0000000000000007E-5</v>
      </c>
      <c r="H333" s="1723" t="s">
        <v>1119</v>
      </c>
      <c r="I333" s="1723"/>
      <c r="J333" s="1722"/>
      <c r="K333" s="1722"/>
      <c r="L333" s="1722"/>
      <c r="M333" s="1723">
        <v>1</v>
      </c>
      <c r="N333" s="1723">
        <v>0.1</v>
      </c>
      <c r="O333" s="1725"/>
      <c r="P333" s="1726">
        <v>5.0999999999999996</v>
      </c>
      <c r="Q333" s="1727" t="s">
        <v>1471</v>
      </c>
      <c r="R333" s="1726">
        <v>51</v>
      </c>
      <c r="S333" s="1727" t="s">
        <v>4122</v>
      </c>
      <c r="T333" s="1726">
        <v>0.22</v>
      </c>
      <c r="U333" s="1727" t="s">
        <v>4126</v>
      </c>
      <c r="V333" s="1726">
        <v>0.94</v>
      </c>
      <c r="W333" s="1727" t="s">
        <v>4126</v>
      </c>
      <c r="X333" s="1726">
        <v>1.6</v>
      </c>
      <c r="Y333" s="1729" t="s">
        <v>1471</v>
      </c>
      <c r="Z333" s="1728"/>
      <c r="AA333" s="1730">
        <v>3.6000000000000002E-4</v>
      </c>
      <c r="AB333" s="1731" t="s">
        <v>1471</v>
      </c>
      <c r="AC333" s="1732"/>
    </row>
    <row r="334" spans="1:29" ht="15">
      <c r="A334" s="1704" t="s">
        <v>2483</v>
      </c>
      <c r="B334" s="1705" t="s">
        <v>2484</v>
      </c>
      <c r="C334" s="1736">
        <v>65</v>
      </c>
      <c r="D334" s="1708" t="s">
        <v>1900</v>
      </c>
      <c r="E334" s="1709">
        <v>1.9E-2</v>
      </c>
      <c r="F334" s="1708" t="s">
        <v>1900</v>
      </c>
      <c r="G334" s="1708"/>
      <c r="H334" s="1707"/>
      <c r="I334" s="1708"/>
      <c r="J334" s="1707"/>
      <c r="K334" s="1708" t="s">
        <v>1127</v>
      </c>
      <c r="L334" s="1707"/>
      <c r="M334" s="1708">
        <v>1</v>
      </c>
      <c r="N334" s="1708"/>
      <c r="O334" s="1718">
        <v>154000</v>
      </c>
      <c r="P334" s="1711">
        <v>2.7000000000000001E-3</v>
      </c>
      <c r="Q334" s="1712" t="s">
        <v>4126</v>
      </c>
      <c r="R334" s="1711">
        <v>1.2E-2</v>
      </c>
      <c r="S334" s="1712" t="s">
        <v>4126</v>
      </c>
      <c r="T334" s="1711">
        <v>1.4999999999999999E-4</v>
      </c>
      <c r="U334" s="1712" t="s">
        <v>4126</v>
      </c>
      <c r="V334" s="1711">
        <v>6.4999999999999997E-4</v>
      </c>
      <c r="W334" s="1712" t="s">
        <v>4126</v>
      </c>
      <c r="X334" s="1711">
        <v>2.4000000000000001E-4</v>
      </c>
      <c r="Y334" s="1714" t="s">
        <v>4126</v>
      </c>
      <c r="Z334" s="1713"/>
      <c r="AA334" s="1715">
        <v>5.2000000000000002E-8</v>
      </c>
      <c r="AB334" s="1716" t="s">
        <v>4126</v>
      </c>
      <c r="AC334" s="1717"/>
    </row>
    <row r="335" spans="1:29" ht="30">
      <c r="A335" s="1704" t="s">
        <v>2485</v>
      </c>
      <c r="B335" s="1705" t="s">
        <v>2486</v>
      </c>
      <c r="C335" s="1706"/>
      <c r="D335" s="1707"/>
      <c r="E335" s="1708"/>
      <c r="F335" s="1707"/>
      <c r="G335" s="1709">
        <v>3</v>
      </c>
      <c r="H335" s="1708" t="s">
        <v>1119</v>
      </c>
      <c r="I335" s="1708"/>
      <c r="J335" s="1707"/>
      <c r="K335" s="1707"/>
      <c r="L335" s="1707"/>
      <c r="M335" s="1708">
        <v>1</v>
      </c>
      <c r="N335" s="1708">
        <v>0.1</v>
      </c>
      <c r="O335" s="1710"/>
      <c r="P335" s="1711">
        <v>190000</v>
      </c>
      <c r="Q335" s="1712" t="s">
        <v>4124</v>
      </c>
      <c r="R335" s="1711">
        <v>2500000</v>
      </c>
      <c r="S335" s="1712" t="s">
        <v>4124</v>
      </c>
      <c r="T335" s="1712"/>
      <c r="U335" s="1713"/>
      <c r="V335" s="1712"/>
      <c r="W335" s="1713"/>
      <c r="X335" s="1711">
        <v>58000</v>
      </c>
      <c r="Y335" s="1714" t="s">
        <v>1471</v>
      </c>
      <c r="Z335" s="1713"/>
      <c r="AA335" s="1715">
        <v>130</v>
      </c>
      <c r="AB335" s="1716" t="s">
        <v>1471</v>
      </c>
      <c r="AC335" s="1717"/>
    </row>
    <row r="336" spans="1:29" ht="15">
      <c r="A336" s="1719" t="s">
        <v>2487</v>
      </c>
      <c r="B336" s="1720" t="s">
        <v>2488</v>
      </c>
      <c r="C336" s="1721"/>
      <c r="D336" s="1722"/>
      <c r="E336" s="1723"/>
      <c r="F336" s="1722"/>
      <c r="G336" s="1724">
        <v>2.5000000000000001E-4</v>
      </c>
      <c r="H336" s="1723" t="s">
        <v>1119</v>
      </c>
      <c r="I336" s="1723"/>
      <c r="J336" s="1722"/>
      <c r="K336" s="1722"/>
      <c r="L336" s="1722"/>
      <c r="M336" s="1723">
        <v>1</v>
      </c>
      <c r="N336" s="1723">
        <v>0.1</v>
      </c>
      <c r="O336" s="1725"/>
      <c r="P336" s="1726">
        <v>16</v>
      </c>
      <c r="Q336" s="1727" t="s">
        <v>1471</v>
      </c>
      <c r="R336" s="1726">
        <v>210</v>
      </c>
      <c r="S336" s="1727" t="s">
        <v>1471</v>
      </c>
      <c r="T336" s="1727"/>
      <c r="U336" s="1728"/>
      <c r="V336" s="1727"/>
      <c r="W336" s="1728"/>
      <c r="X336" s="1726">
        <v>4.4000000000000004</v>
      </c>
      <c r="Y336" s="1729" t="s">
        <v>1471</v>
      </c>
      <c r="Z336" s="1728"/>
      <c r="AA336" s="1730">
        <v>4.3E-3</v>
      </c>
      <c r="AB336" s="1731" t="s">
        <v>1471</v>
      </c>
      <c r="AC336" s="1732"/>
    </row>
    <row r="337" spans="1:29" ht="15">
      <c r="A337" s="1704" t="s">
        <v>2489</v>
      </c>
      <c r="B337" s="1705" t="s">
        <v>2490</v>
      </c>
      <c r="C337" s="1706"/>
      <c r="D337" s="1707"/>
      <c r="E337" s="1708"/>
      <c r="F337" s="1707"/>
      <c r="G337" s="1709">
        <v>2.5000000000000001E-2</v>
      </c>
      <c r="H337" s="1708" t="s">
        <v>1119</v>
      </c>
      <c r="I337" s="1708"/>
      <c r="J337" s="1707"/>
      <c r="K337" s="1707"/>
      <c r="L337" s="1707"/>
      <c r="M337" s="1708">
        <v>1</v>
      </c>
      <c r="N337" s="1708">
        <v>0.1</v>
      </c>
      <c r="O337" s="1710"/>
      <c r="P337" s="1711">
        <v>1600</v>
      </c>
      <c r="Q337" s="1712" t="s">
        <v>1471</v>
      </c>
      <c r="R337" s="1711">
        <v>21000</v>
      </c>
      <c r="S337" s="1712" t="s">
        <v>1471</v>
      </c>
      <c r="T337" s="1712"/>
      <c r="U337" s="1713"/>
      <c r="V337" s="1712"/>
      <c r="W337" s="1713"/>
      <c r="X337" s="1711">
        <v>64</v>
      </c>
      <c r="Y337" s="1714" t="s">
        <v>1471</v>
      </c>
      <c r="Z337" s="1713"/>
      <c r="AA337" s="1715">
        <v>2.9</v>
      </c>
      <c r="AB337" s="1716" t="s">
        <v>1471</v>
      </c>
      <c r="AC337" s="1717"/>
    </row>
    <row r="338" spans="1:29" ht="15">
      <c r="A338" s="1704" t="s">
        <v>2491</v>
      </c>
      <c r="B338" s="1705" t="s">
        <v>2492</v>
      </c>
      <c r="C338" s="1706"/>
      <c r="D338" s="1707"/>
      <c r="E338" s="1708"/>
      <c r="F338" s="1707"/>
      <c r="G338" s="1709">
        <v>2.5000000000000001E-2</v>
      </c>
      <c r="H338" s="1708" t="s">
        <v>1119</v>
      </c>
      <c r="I338" s="1708"/>
      <c r="J338" s="1707"/>
      <c r="K338" s="1707"/>
      <c r="L338" s="1707"/>
      <c r="M338" s="1708">
        <v>1</v>
      </c>
      <c r="N338" s="1708">
        <v>0.1</v>
      </c>
      <c r="O338" s="1710"/>
      <c r="P338" s="1711">
        <v>1600</v>
      </c>
      <c r="Q338" s="1712" t="s">
        <v>1471</v>
      </c>
      <c r="R338" s="1711">
        <v>21000</v>
      </c>
      <c r="S338" s="1712" t="s">
        <v>1471</v>
      </c>
      <c r="T338" s="1712"/>
      <c r="U338" s="1713"/>
      <c r="V338" s="1712"/>
      <c r="W338" s="1713"/>
      <c r="X338" s="1711">
        <v>500</v>
      </c>
      <c r="Y338" s="1714" t="s">
        <v>1471</v>
      </c>
      <c r="Z338" s="1713"/>
      <c r="AA338" s="1715">
        <v>320</v>
      </c>
      <c r="AB338" s="1716" t="s">
        <v>1471</v>
      </c>
      <c r="AC338" s="1717"/>
    </row>
    <row r="339" spans="1:29" ht="15">
      <c r="A339" s="1719" t="s">
        <v>2493</v>
      </c>
      <c r="B339" s="1720" t="s">
        <v>2494</v>
      </c>
      <c r="C339" s="1721"/>
      <c r="D339" s="1722"/>
      <c r="E339" s="1723"/>
      <c r="F339" s="1722"/>
      <c r="G339" s="1724">
        <v>1.2999999999999999E-2</v>
      </c>
      <c r="H339" s="1723" t="s">
        <v>1119</v>
      </c>
      <c r="I339" s="1723"/>
      <c r="J339" s="1722"/>
      <c r="K339" s="1722"/>
      <c r="L339" s="1722"/>
      <c r="M339" s="1723">
        <v>1</v>
      </c>
      <c r="N339" s="1723">
        <v>0.1</v>
      </c>
      <c r="O339" s="1725"/>
      <c r="P339" s="1726">
        <v>820</v>
      </c>
      <c r="Q339" s="1727" t="s">
        <v>1471</v>
      </c>
      <c r="R339" s="1726">
        <v>11000</v>
      </c>
      <c r="S339" s="1727" t="s">
        <v>1471</v>
      </c>
      <c r="T339" s="1727"/>
      <c r="U339" s="1728"/>
      <c r="V339" s="1727"/>
      <c r="W339" s="1728"/>
      <c r="X339" s="1726">
        <v>240</v>
      </c>
      <c r="Y339" s="1729" t="s">
        <v>1471</v>
      </c>
      <c r="Z339" s="1728"/>
      <c r="AA339" s="1730">
        <v>0.19</v>
      </c>
      <c r="AB339" s="1731" t="s">
        <v>1471</v>
      </c>
      <c r="AC339" s="1732"/>
    </row>
    <row r="340" spans="1:29" ht="15">
      <c r="A340" s="1704" t="s">
        <v>2495</v>
      </c>
      <c r="B340" s="1705" t="s">
        <v>2496</v>
      </c>
      <c r="C340" s="1706"/>
      <c r="D340" s="1707"/>
      <c r="E340" s="1708"/>
      <c r="F340" s="1707"/>
      <c r="G340" s="1709">
        <v>0.04</v>
      </c>
      <c r="H340" s="1708" t="s">
        <v>1900</v>
      </c>
      <c r="I340" s="1709">
        <v>1.2999999999999999E-2</v>
      </c>
      <c r="J340" s="1708" t="s">
        <v>1900</v>
      </c>
      <c r="K340" s="1707"/>
      <c r="L340" s="1707"/>
      <c r="M340" s="1708">
        <v>1</v>
      </c>
      <c r="N340" s="1708"/>
      <c r="O340" s="1710"/>
      <c r="P340" s="1711">
        <v>3100</v>
      </c>
      <c r="Q340" s="1712" t="s">
        <v>1471</v>
      </c>
      <c r="R340" s="1711">
        <v>47000</v>
      </c>
      <c r="S340" s="1712" t="s">
        <v>1471</v>
      </c>
      <c r="T340" s="1711">
        <v>14</v>
      </c>
      <c r="U340" s="1712" t="s">
        <v>1471</v>
      </c>
      <c r="V340" s="1711">
        <v>57</v>
      </c>
      <c r="W340" s="1712" t="s">
        <v>1471</v>
      </c>
      <c r="X340" s="1711">
        <v>800</v>
      </c>
      <c r="Y340" s="1714" t="s">
        <v>1471</v>
      </c>
      <c r="Z340" s="1711">
        <v>4000</v>
      </c>
      <c r="AA340" s="1715">
        <v>120</v>
      </c>
      <c r="AB340" s="1716" t="s">
        <v>1471</v>
      </c>
      <c r="AC340" s="1738">
        <v>600</v>
      </c>
    </row>
    <row r="341" spans="1:29" ht="30">
      <c r="A341" s="1704" t="s">
        <v>2497</v>
      </c>
      <c r="B341" s="1705" t="s">
        <v>2498</v>
      </c>
      <c r="C341" s="1706"/>
      <c r="D341" s="1707"/>
      <c r="E341" s="1708"/>
      <c r="F341" s="1707"/>
      <c r="G341" s="1709">
        <v>0.06</v>
      </c>
      <c r="H341" s="1708" t="s">
        <v>1119</v>
      </c>
      <c r="I341" s="1709">
        <v>1.2999999999999999E-2</v>
      </c>
      <c r="J341" s="1708" t="s">
        <v>1900</v>
      </c>
      <c r="K341" s="1707"/>
      <c r="L341" s="1707"/>
      <c r="M341" s="1708">
        <v>1</v>
      </c>
      <c r="N341" s="1708"/>
      <c r="O341" s="1710"/>
      <c r="P341" s="1711">
        <v>4700</v>
      </c>
      <c r="Q341" s="1712" t="s">
        <v>1471</v>
      </c>
      <c r="R341" s="1711">
        <v>70000</v>
      </c>
      <c r="S341" s="1712" t="s">
        <v>1471</v>
      </c>
      <c r="T341" s="1711">
        <v>14</v>
      </c>
      <c r="U341" s="1712" t="s">
        <v>1471</v>
      </c>
      <c r="V341" s="1711">
        <v>57</v>
      </c>
      <c r="W341" s="1712" t="s">
        <v>1471</v>
      </c>
      <c r="X341" s="1711">
        <v>1200</v>
      </c>
      <c r="Y341" s="1714" t="s">
        <v>1471</v>
      </c>
      <c r="Z341" s="1711">
        <v>4000</v>
      </c>
      <c r="AA341" s="1715">
        <v>180</v>
      </c>
      <c r="AB341" s="1716" t="s">
        <v>1471</v>
      </c>
      <c r="AC341" s="1738">
        <v>600</v>
      </c>
    </row>
    <row r="342" spans="1:29" ht="15">
      <c r="A342" s="1719" t="s">
        <v>2499</v>
      </c>
      <c r="B342" s="1720" t="s">
        <v>2500</v>
      </c>
      <c r="C342" s="1721"/>
      <c r="D342" s="1722"/>
      <c r="E342" s="1723"/>
      <c r="F342" s="1722"/>
      <c r="G342" s="1724">
        <v>0.08</v>
      </c>
      <c r="H342" s="1723" t="s">
        <v>1119</v>
      </c>
      <c r="I342" s="1723"/>
      <c r="J342" s="1722"/>
      <c r="K342" s="1722"/>
      <c r="L342" s="1722"/>
      <c r="M342" s="1723">
        <v>1</v>
      </c>
      <c r="N342" s="1723">
        <v>0.1</v>
      </c>
      <c r="O342" s="1725"/>
      <c r="P342" s="1726">
        <v>5100</v>
      </c>
      <c r="Q342" s="1727" t="s">
        <v>1471</v>
      </c>
      <c r="R342" s="1726">
        <v>66000</v>
      </c>
      <c r="S342" s="1727" t="s">
        <v>1471</v>
      </c>
      <c r="T342" s="1727"/>
      <c r="U342" s="1728"/>
      <c r="V342" s="1727"/>
      <c r="W342" s="1728"/>
      <c r="X342" s="1726">
        <v>1400</v>
      </c>
      <c r="Y342" s="1729" t="s">
        <v>1471</v>
      </c>
      <c r="Z342" s="1728"/>
      <c r="AA342" s="1730">
        <v>160</v>
      </c>
      <c r="AB342" s="1731" t="s">
        <v>1471</v>
      </c>
      <c r="AC342" s="1732"/>
    </row>
    <row r="343" spans="1:29" ht="15">
      <c r="A343" s="1704" t="s">
        <v>2501</v>
      </c>
      <c r="B343" s="1705" t="s">
        <v>2502</v>
      </c>
      <c r="C343" s="1706"/>
      <c r="D343" s="1707"/>
      <c r="E343" s="1708"/>
      <c r="F343" s="1707"/>
      <c r="G343" s="1709">
        <v>0.04</v>
      </c>
      <c r="H343" s="1708" t="s">
        <v>1116</v>
      </c>
      <c r="I343" s="1708"/>
      <c r="J343" s="1707"/>
      <c r="K343" s="1707"/>
      <c r="L343" s="1707"/>
      <c r="M343" s="1708">
        <v>1</v>
      </c>
      <c r="N343" s="1708">
        <v>0.1</v>
      </c>
      <c r="O343" s="1710"/>
      <c r="P343" s="1711">
        <v>2500</v>
      </c>
      <c r="Q343" s="1712" t="s">
        <v>1471</v>
      </c>
      <c r="R343" s="1711">
        <v>33000</v>
      </c>
      <c r="S343" s="1712" t="s">
        <v>1471</v>
      </c>
      <c r="T343" s="1712"/>
      <c r="U343" s="1713"/>
      <c r="V343" s="1712"/>
      <c r="W343" s="1713"/>
      <c r="X343" s="1711">
        <v>690</v>
      </c>
      <c r="Y343" s="1714" t="s">
        <v>1471</v>
      </c>
      <c r="Z343" s="1713"/>
      <c r="AA343" s="1715">
        <v>3.1</v>
      </c>
      <c r="AB343" s="1716" t="s">
        <v>1471</v>
      </c>
      <c r="AC343" s="1717"/>
    </row>
    <row r="344" spans="1:29" ht="15">
      <c r="A344" s="1704" t="s">
        <v>2503</v>
      </c>
      <c r="B344" s="1705" t="s">
        <v>2504</v>
      </c>
      <c r="C344" s="1706"/>
      <c r="D344" s="1707"/>
      <c r="E344" s="1708"/>
      <c r="F344" s="1707"/>
      <c r="G344" s="1709">
        <v>2E-3</v>
      </c>
      <c r="H344" s="1708" t="s">
        <v>1116</v>
      </c>
      <c r="I344" s="1708"/>
      <c r="J344" s="1707"/>
      <c r="K344" s="1707"/>
      <c r="L344" s="1707"/>
      <c r="M344" s="1708">
        <v>1</v>
      </c>
      <c r="N344" s="1708">
        <v>0.1</v>
      </c>
      <c r="O344" s="1710"/>
      <c r="P344" s="1711">
        <v>130</v>
      </c>
      <c r="Q344" s="1712" t="s">
        <v>1471</v>
      </c>
      <c r="R344" s="1711">
        <v>1600</v>
      </c>
      <c r="S344" s="1712" t="s">
        <v>1471</v>
      </c>
      <c r="T344" s="1712"/>
      <c r="U344" s="1713"/>
      <c r="V344" s="1712"/>
      <c r="W344" s="1713"/>
      <c r="X344" s="1711">
        <v>31</v>
      </c>
      <c r="Y344" s="1714" t="s">
        <v>1471</v>
      </c>
      <c r="Z344" s="1713"/>
      <c r="AA344" s="1715">
        <v>5.0999999999999996</v>
      </c>
      <c r="AB344" s="1716" t="s">
        <v>1471</v>
      </c>
      <c r="AC344" s="1717"/>
    </row>
    <row r="345" spans="1:29" ht="15">
      <c r="A345" s="1719" t="s">
        <v>2505</v>
      </c>
      <c r="B345" s="1720" t="s">
        <v>2506</v>
      </c>
      <c r="C345" s="1721"/>
      <c r="D345" s="1722"/>
      <c r="E345" s="1723"/>
      <c r="F345" s="1722"/>
      <c r="G345" s="1724">
        <v>0.5</v>
      </c>
      <c r="H345" s="1723" t="s">
        <v>1116</v>
      </c>
      <c r="I345" s="1723"/>
      <c r="J345" s="1722"/>
      <c r="K345" s="1722"/>
      <c r="L345" s="1722"/>
      <c r="M345" s="1723">
        <v>1</v>
      </c>
      <c r="N345" s="1723">
        <v>0.1</v>
      </c>
      <c r="O345" s="1725"/>
      <c r="P345" s="1726">
        <v>32000</v>
      </c>
      <c r="Q345" s="1727" t="s">
        <v>1471</v>
      </c>
      <c r="R345" s="1726">
        <v>410000</v>
      </c>
      <c r="S345" s="1727" t="s">
        <v>4124</v>
      </c>
      <c r="T345" s="1727"/>
      <c r="U345" s="1728"/>
      <c r="V345" s="1727"/>
      <c r="W345" s="1728"/>
      <c r="X345" s="1726">
        <v>7900</v>
      </c>
      <c r="Y345" s="1729" t="s">
        <v>1471</v>
      </c>
      <c r="Z345" s="1728"/>
      <c r="AA345" s="1730">
        <v>42</v>
      </c>
      <c r="AB345" s="1731" t="s">
        <v>1471</v>
      </c>
      <c r="AC345" s="1732"/>
    </row>
    <row r="346" spans="1:29" ht="15">
      <c r="A346" s="1704" t="s">
        <v>2507</v>
      </c>
      <c r="B346" s="1705" t="s">
        <v>2508</v>
      </c>
      <c r="C346" s="1706"/>
      <c r="D346" s="1707"/>
      <c r="E346" s="1708"/>
      <c r="F346" s="1707"/>
      <c r="G346" s="1709">
        <v>0.01</v>
      </c>
      <c r="H346" s="1708" t="s">
        <v>1119</v>
      </c>
      <c r="I346" s="1708"/>
      <c r="J346" s="1707"/>
      <c r="K346" s="1707"/>
      <c r="L346" s="1707"/>
      <c r="M346" s="1708">
        <v>1</v>
      </c>
      <c r="N346" s="1708">
        <v>0.1</v>
      </c>
      <c r="O346" s="1710"/>
      <c r="P346" s="1711">
        <v>630</v>
      </c>
      <c r="Q346" s="1712" t="s">
        <v>1471</v>
      </c>
      <c r="R346" s="1711">
        <v>8200</v>
      </c>
      <c r="S346" s="1712" t="s">
        <v>1471</v>
      </c>
      <c r="T346" s="1712"/>
      <c r="U346" s="1713"/>
      <c r="V346" s="1712"/>
      <c r="W346" s="1713"/>
      <c r="X346" s="1711">
        <v>200</v>
      </c>
      <c r="Y346" s="1714" t="s">
        <v>1471</v>
      </c>
      <c r="Z346" s="1713"/>
      <c r="AA346" s="1715">
        <v>290</v>
      </c>
      <c r="AB346" s="1716" t="s">
        <v>1471</v>
      </c>
      <c r="AC346" s="1717"/>
    </row>
    <row r="347" spans="1:29" ht="15">
      <c r="A347" s="1704" t="s">
        <v>2509</v>
      </c>
      <c r="B347" s="1705" t="s">
        <v>2510</v>
      </c>
      <c r="C347" s="1706"/>
      <c r="D347" s="1707"/>
      <c r="E347" s="1708"/>
      <c r="F347" s="1707"/>
      <c r="G347" s="1709">
        <v>0.09</v>
      </c>
      <c r="H347" s="1708" t="s">
        <v>1116</v>
      </c>
      <c r="I347" s="1708"/>
      <c r="J347" s="1707"/>
      <c r="K347" s="1707"/>
      <c r="L347" s="1707"/>
      <c r="M347" s="1708">
        <v>1</v>
      </c>
      <c r="N347" s="1708">
        <v>0.1</v>
      </c>
      <c r="O347" s="1710"/>
      <c r="P347" s="1711">
        <v>5700</v>
      </c>
      <c r="Q347" s="1712" t="s">
        <v>1471</v>
      </c>
      <c r="R347" s="1711">
        <v>74000</v>
      </c>
      <c r="S347" s="1712" t="s">
        <v>1471</v>
      </c>
      <c r="T347" s="1712"/>
      <c r="U347" s="1713"/>
      <c r="V347" s="1712"/>
      <c r="W347" s="1713"/>
      <c r="X347" s="1711">
        <v>1600</v>
      </c>
      <c r="Y347" s="1714" t="s">
        <v>1471</v>
      </c>
      <c r="Z347" s="1713"/>
      <c r="AA347" s="1715">
        <v>0.39</v>
      </c>
      <c r="AB347" s="1716" t="s">
        <v>1471</v>
      </c>
      <c r="AC347" s="1717"/>
    </row>
    <row r="348" spans="1:29" ht="15">
      <c r="A348" s="1719" t="s">
        <v>2511</v>
      </c>
      <c r="B348" s="1720" t="s">
        <v>2512</v>
      </c>
      <c r="C348" s="1721"/>
      <c r="D348" s="1722"/>
      <c r="E348" s="1723"/>
      <c r="F348" s="1722"/>
      <c r="G348" s="1724">
        <v>0.01</v>
      </c>
      <c r="H348" s="1723" t="s">
        <v>1116</v>
      </c>
      <c r="I348" s="1723"/>
      <c r="J348" s="1722"/>
      <c r="K348" s="1722"/>
      <c r="L348" s="1722"/>
      <c r="M348" s="1723">
        <v>1</v>
      </c>
      <c r="N348" s="1723">
        <v>0.1</v>
      </c>
      <c r="O348" s="1725"/>
      <c r="P348" s="1726">
        <v>630</v>
      </c>
      <c r="Q348" s="1727" t="s">
        <v>1471</v>
      </c>
      <c r="R348" s="1726">
        <v>8200</v>
      </c>
      <c r="S348" s="1727" t="s">
        <v>1471</v>
      </c>
      <c r="T348" s="1727"/>
      <c r="U348" s="1728"/>
      <c r="V348" s="1727"/>
      <c r="W348" s="1728"/>
      <c r="X348" s="1726">
        <v>190</v>
      </c>
      <c r="Y348" s="1729" t="s">
        <v>1471</v>
      </c>
      <c r="Z348" s="1728"/>
      <c r="AA348" s="1730">
        <v>0.63</v>
      </c>
      <c r="AB348" s="1731" t="s">
        <v>1471</v>
      </c>
      <c r="AC348" s="1732"/>
    </row>
    <row r="349" spans="1:29" ht="15">
      <c r="A349" s="1704" t="s">
        <v>2513</v>
      </c>
      <c r="B349" s="1705" t="s">
        <v>2514</v>
      </c>
      <c r="C349" s="1706"/>
      <c r="D349" s="1707"/>
      <c r="E349" s="1708"/>
      <c r="F349" s="1707"/>
      <c r="G349" s="1709">
        <v>2E-3</v>
      </c>
      <c r="H349" s="1708" t="s">
        <v>1119</v>
      </c>
      <c r="I349" s="1708"/>
      <c r="J349" s="1707"/>
      <c r="K349" s="1707"/>
      <c r="L349" s="1707"/>
      <c r="M349" s="1708">
        <v>1</v>
      </c>
      <c r="N349" s="1708">
        <v>0.1</v>
      </c>
      <c r="O349" s="1710"/>
      <c r="P349" s="1711">
        <v>130</v>
      </c>
      <c r="Q349" s="1712" t="s">
        <v>1471</v>
      </c>
      <c r="R349" s="1711">
        <v>1600</v>
      </c>
      <c r="S349" s="1712" t="s">
        <v>1471</v>
      </c>
      <c r="T349" s="1712"/>
      <c r="U349" s="1713"/>
      <c r="V349" s="1712"/>
      <c r="W349" s="1713"/>
      <c r="X349" s="1711">
        <v>24</v>
      </c>
      <c r="Y349" s="1714" t="s">
        <v>1471</v>
      </c>
      <c r="Z349" s="1713"/>
      <c r="AA349" s="1715">
        <v>4.7E-2</v>
      </c>
      <c r="AB349" s="1716" t="s">
        <v>1471</v>
      </c>
      <c r="AC349" s="1717"/>
    </row>
    <row r="350" spans="1:29" ht="15">
      <c r="A350" s="1704" t="s">
        <v>2515</v>
      </c>
      <c r="B350" s="1705" t="s">
        <v>2516</v>
      </c>
      <c r="C350" s="1736">
        <v>2.1000000000000001E-2</v>
      </c>
      <c r="D350" s="1708" t="s">
        <v>1900</v>
      </c>
      <c r="E350" s="1709">
        <v>7.4000000000000003E-6</v>
      </c>
      <c r="F350" s="1708" t="s">
        <v>1119</v>
      </c>
      <c r="G350" s="1709">
        <v>0.2</v>
      </c>
      <c r="H350" s="1708" t="s">
        <v>1119</v>
      </c>
      <c r="I350" s="1709">
        <v>7.0000000000000001E-3</v>
      </c>
      <c r="J350" s="1708" t="s">
        <v>1119</v>
      </c>
      <c r="K350" s="1708" t="s">
        <v>1127</v>
      </c>
      <c r="L350" s="1708" t="s">
        <v>1906</v>
      </c>
      <c r="M350" s="1708">
        <v>1</v>
      </c>
      <c r="N350" s="1708"/>
      <c r="O350" s="1718">
        <v>42400</v>
      </c>
      <c r="P350" s="1711">
        <v>4.3</v>
      </c>
      <c r="Q350" s="1712" t="s">
        <v>4126</v>
      </c>
      <c r="R350" s="1711">
        <v>70</v>
      </c>
      <c r="S350" s="1712" t="s">
        <v>4127</v>
      </c>
      <c r="T350" s="1711">
        <v>0.14000000000000001</v>
      </c>
      <c r="U350" s="1712" t="s">
        <v>4127</v>
      </c>
      <c r="V350" s="1711">
        <v>1.7</v>
      </c>
      <c r="W350" s="1712" t="s">
        <v>4127</v>
      </c>
      <c r="X350" s="1711">
        <v>0.22</v>
      </c>
      <c r="Y350" s="1714" t="s">
        <v>4127</v>
      </c>
      <c r="Z350" s="1713"/>
      <c r="AA350" s="1715">
        <v>4.5000000000000003E-5</v>
      </c>
      <c r="AB350" s="1716" t="s">
        <v>4127</v>
      </c>
      <c r="AC350" s="1717"/>
    </row>
    <row r="351" spans="1:29" ht="15">
      <c r="A351" s="1719" t="s">
        <v>2517</v>
      </c>
      <c r="B351" s="1720" t="s">
        <v>2518</v>
      </c>
      <c r="C351" s="1721"/>
      <c r="D351" s="1722"/>
      <c r="E351" s="1723"/>
      <c r="F351" s="1722"/>
      <c r="G351" s="1724">
        <v>0.9</v>
      </c>
      <c r="H351" s="1723" t="s">
        <v>1909</v>
      </c>
      <c r="I351" s="1724">
        <v>2.9999999999999997E-4</v>
      </c>
      <c r="J351" s="1723" t="s">
        <v>1893</v>
      </c>
      <c r="K351" s="1723" t="s">
        <v>1127</v>
      </c>
      <c r="L351" s="1722"/>
      <c r="M351" s="1723">
        <v>1</v>
      </c>
      <c r="N351" s="1723"/>
      <c r="O351" s="1735">
        <v>106000</v>
      </c>
      <c r="P351" s="1726">
        <v>29</v>
      </c>
      <c r="Q351" s="1727" t="s">
        <v>1471</v>
      </c>
      <c r="R351" s="1726">
        <v>120</v>
      </c>
      <c r="S351" s="1727" t="s">
        <v>1471</v>
      </c>
      <c r="T351" s="1726">
        <v>0.31</v>
      </c>
      <c r="U351" s="1727" t="s">
        <v>1471</v>
      </c>
      <c r="V351" s="1726">
        <v>1.3</v>
      </c>
      <c r="W351" s="1727" t="s">
        <v>1471</v>
      </c>
      <c r="X351" s="1726">
        <v>0.63</v>
      </c>
      <c r="Y351" s="1729" t="s">
        <v>1471</v>
      </c>
      <c r="Z351" s="1728"/>
      <c r="AA351" s="1730">
        <v>1.2999999999999999E-4</v>
      </c>
      <c r="AB351" s="1731" t="s">
        <v>1471</v>
      </c>
      <c r="AC351" s="1732"/>
    </row>
    <row r="352" spans="1:29" ht="15">
      <c r="A352" s="1704" t="s">
        <v>2519</v>
      </c>
      <c r="B352" s="1705" t="s">
        <v>2520</v>
      </c>
      <c r="C352" s="1706"/>
      <c r="D352" s="1707"/>
      <c r="E352" s="1708"/>
      <c r="F352" s="1707"/>
      <c r="G352" s="1709">
        <v>2.5</v>
      </c>
      <c r="H352" s="1708" t="s">
        <v>1116</v>
      </c>
      <c r="I352" s="1708"/>
      <c r="J352" s="1707"/>
      <c r="K352" s="1707"/>
      <c r="L352" s="1707"/>
      <c r="M352" s="1708">
        <v>1</v>
      </c>
      <c r="N352" s="1708">
        <v>0.1</v>
      </c>
      <c r="O352" s="1710"/>
      <c r="P352" s="1711">
        <v>160000</v>
      </c>
      <c r="Q352" s="1712" t="s">
        <v>4124</v>
      </c>
      <c r="R352" s="1711">
        <v>2100000</v>
      </c>
      <c r="S352" s="1712" t="s">
        <v>4124</v>
      </c>
      <c r="T352" s="1712"/>
      <c r="U352" s="1713"/>
      <c r="V352" s="1712"/>
      <c r="W352" s="1713"/>
      <c r="X352" s="1711">
        <v>50000</v>
      </c>
      <c r="Y352" s="1714" t="s">
        <v>1471</v>
      </c>
      <c r="Z352" s="1713"/>
      <c r="AA352" s="1715">
        <v>660</v>
      </c>
      <c r="AB352" s="1716" t="s">
        <v>1471</v>
      </c>
      <c r="AC352" s="1717"/>
    </row>
    <row r="353" spans="1:29" ht="15">
      <c r="A353" s="1704"/>
      <c r="B353" s="1705" t="s">
        <v>2521</v>
      </c>
      <c r="C353" s="1706"/>
      <c r="D353" s="1707"/>
      <c r="E353" s="1708"/>
      <c r="F353" s="1707"/>
      <c r="G353" s="1708"/>
      <c r="H353" s="1707"/>
      <c r="I353" s="1708"/>
      <c r="J353" s="1707"/>
      <c r="K353" s="1707"/>
      <c r="L353" s="1707"/>
      <c r="M353" s="1708"/>
      <c r="N353" s="1708"/>
      <c r="O353" s="1710"/>
      <c r="P353" s="1712"/>
      <c r="Q353" s="1713"/>
      <c r="R353" s="1712"/>
      <c r="S353" s="1713"/>
      <c r="T353" s="1712"/>
      <c r="U353" s="1713"/>
      <c r="V353" s="1712"/>
      <c r="W353" s="1713"/>
      <c r="X353" s="1712"/>
      <c r="Y353" s="1733"/>
      <c r="Z353" s="1713"/>
      <c r="AA353" s="1716"/>
      <c r="AB353" s="1734"/>
      <c r="AC353" s="1717"/>
    </row>
    <row r="354" spans="1:29" ht="15">
      <c r="A354" s="1719" t="s">
        <v>2522</v>
      </c>
      <c r="B354" s="1720" t="s">
        <v>2523</v>
      </c>
      <c r="C354" s="1721"/>
      <c r="D354" s="1722"/>
      <c r="E354" s="1723"/>
      <c r="F354" s="1722"/>
      <c r="G354" s="1724">
        <v>1E-3</v>
      </c>
      <c r="H354" s="1723" t="s">
        <v>1893</v>
      </c>
      <c r="I354" s="1723"/>
      <c r="J354" s="1722"/>
      <c r="K354" s="1723" t="s">
        <v>1127</v>
      </c>
      <c r="L354" s="1722"/>
      <c r="M354" s="1723">
        <v>1</v>
      </c>
      <c r="N354" s="1723"/>
      <c r="O354" s="1725"/>
      <c r="P354" s="1726">
        <v>78</v>
      </c>
      <c r="Q354" s="1727" t="s">
        <v>1471</v>
      </c>
      <c r="R354" s="1726">
        <v>1200</v>
      </c>
      <c r="S354" s="1727" t="s">
        <v>1471</v>
      </c>
      <c r="T354" s="1727"/>
      <c r="U354" s="1728"/>
      <c r="V354" s="1727"/>
      <c r="W354" s="1728"/>
      <c r="X354" s="1726">
        <v>7.9</v>
      </c>
      <c r="Y354" s="1729" t="s">
        <v>1471</v>
      </c>
      <c r="Z354" s="1728"/>
      <c r="AA354" s="1730">
        <v>0.15</v>
      </c>
      <c r="AB354" s="1731" t="s">
        <v>1471</v>
      </c>
      <c r="AC354" s="1732"/>
    </row>
    <row r="355" spans="1:29" ht="15">
      <c r="A355" s="1704" t="s">
        <v>2524</v>
      </c>
      <c r="B355" s="1705" t="s">
        <v>2525</v>
      </c>
      <c r="C355" s="1706"/>
      <c r="D355" s="1707"/>
      <c r="E355" s="1708"/>
      <c r="F355" s="1707"/>
      <c r="G355" s="1709">
        <v>1E-3</v>
      </c>
      <c r="H355" s="1708" t="s">
        <v>1119</v>
      </c>
      <c r="I355" s="1708"/>
      <c r="J355" s="1707"/>
      <c r="K355" s="1708" t="s">
        <v>1127</v>
      </c>
      <c r="L355" s="1707"/>
      <c r="M355" s="1708">
        <v>1</v>
      </c>
      <c r="N355" s="1708"/>
      <c r="O355" s="1718">
        <v>6220</v>
      </c>
      <c r="P355" s="1711">
        <v>78</v>
      </c>
      <c r="Q355" s="1712" t="s">
        <v>1471</v>
      </c>
      <c r="R355" s="1711">
        <v>1200</v>
      </c>
      <c r="S355" s="1712" t="s">
        <v>1471</v>
      </c>
      <c r="T355" s="1712"/>
      <c r="U355" s="1713"/>
      <c r="V355" s="1712"/>
      <c r="W355" s="1713"/>
      <c r="X355" s="1711">
        <v>19</v>
      </c>
      <c r="Y355" s="1714" t="s">
        <v>1471</v>
      </c>
      <c r="Z355" s="1713"/>
      <c r="AA355" s="1715">
        <v>7.3000000000000001E-3</v>
      </c>
      <c r="AB355" s="1716" t="s">
        <v>1471</v>
      </c>
      <c r="AC355" s="1717"/>
    </row>
    <row r="356" spans="1:29" ht="15">
      <c r="A356" s="1704" t="s">
        <v>2526</v>
      </c>
      <c r="B356" s="1705" t="s">
        <v>2527</v>
      </c>
      <c r="C356" s="1706"/>
      <c r="D356" s="1707"/>
      <c r="E356" s="1708"/>
      <c r="F356" s="1707"/>
      <c r="G356" s="1709">
        <v>0.9</v>
      </c>
      <c r="H356" s="1708" t="s">
        <v>1119</v>
      </c>
      <c r="I356" s="1709">
        <v>2</v>
      </c>
      <c r="J356" s="1708" t="s">
        <v>1119</v>
      </c>
      <c r="K356" s="1708" t="s">
        <v>1127</v>
      </c>
      <c r="L356" s="1707"/>
      <c r="M356" s="1708">
        <v>1</v>
      </c>
      <c r="N356" s="1708"/>
      <c r="O356" s="1718">
        <v>165000</v>
      </c>
      <c r="P356" s="1711">
        <v>18000</v>
      </c>
      <c r="Q356" s="1712" t="s">
        <v>1471</v>
      </c>
      <c r="R356" s="1711">
        <v>95000</v>
      </c>
      <c r="S356" s="1712" t="s">
        <v>1471</v>
      </c>
      <c r="T356" s="1711">
        <v>2100</v>
      </c>
      <c r="U356" s="1712" t="s">
        <v>1471</v>
      </c>
      <c r="V356" s="1711">
        <v>8800</v>
      </c>
      <c r="W356" s="1712" t="s">
        <v>1471</v>
      </c>
      <c r="X356" s="1711">
        <v>3400</v>
      </c>
      <c r="Y356" s="1714" t="s">
        <v>1471</v>
      </c>
      <c r="Z356" s="1713"/>
      <c r="AA356" s="1715">
        <v>0.75</v>
      </c>
      <c r="AB356" s="1716" t="s">
        <v>1471</v>
      </c>
      <c r="AC356" s="1717"/>
    </row>
    <row r="357" spans="1:29" ht="15">
      <c r="A357" s="1719" t="s">
        <v>2528</v>
      </c>
      <c r="B357" s="1720" t="s">
        <v>2529</v>
      </c>
      <c r="C357" s="1737">
        <v>3.8</v>
      </c>
      <c r="D357" s="1723" t="s">
        <v>1073</v>
      </c>
      <c r="E357" s="1723"/>
      <c r="F357" s="1722"/>
      <c r="G357" s="1723"/>
      <c r="H357" s="1722"/>
      <c r="I357" s="1723"/>
      <c r="J357" s="1722"/>
      <c r="K357" s="1722"/>
      <c r="L357" s="1722"/>
      <c r="M357" s="1723">
        <v>1</v>
      </c>
      <c r="N357" s="1723">
        <v>0.1</v>
      </c>
      <c r="O357" s="1725"/>
      <c r="P357" s="1726">
        <v>0.14000000000000001</v>
      </c>
      <c r="Q357" s="1727" t="s">
        <v>4126</v>
      </c>
      <c r="R357" s="1726">
        <v>0.6</v>
      </c>
      <c r="S357" s="1727" t="s">
        <v>4126</v>
      </c>
      <c r="T357" s="1727"/>
      <c r="U357" s="1728"/>
      <c r="V357" s="1727"/>
      <c r="W357" s="1728"/>
      <c r="X357" s="1726">
        <v>0.02</v>
      </c>
      <c r="Y357" s="1729" t="s">
        <v>4126</v>
      </c>
      <c r="Z357" s="1728"/>
      <c r="AA357" s="1730">
        <v>3.8999999999999999E-5</v>
      </c>
      <c r="AB357" s="1731" t="s">
        <v>4126</v>
      </c>
      <c r="AC357" s="1732"/>
    </row>
    <row r="358" spans="1:29" ht="15">
      <c r="A358" s="1704" t="s">
        <v>2530</v>
      </c>
      <c r="B358" s="1705" t="s">
        <v>2531</v>
      </c>
      <c r="C358" s="1706"/>
      <c r="D358" s="1707"/>
      <c r="E358" s="1708"/>
      <c r="F358" s="1707"/>
      <c r="G358" s="1709">
        <v>3.0000000000000001E-3</v>
      </c>
      <c r="H358" s="1708" t="s">
        <v>1119</v>
      </c>
      <c r="I358" s="1709">
        <v>0.05</v>
      </c>
      <c r="J358" s="1708" t="s">
        <v>1073</v>
      </c>
      <c r="K358" s="1708" t="s">
        <v>1127</v>
      </c>
      <c r="L358" s="1707"/>
      <c r="M358" s="1708">
        <v>1</v>
      </c>
      <c r="N358" s="1708"/>
      <c r="O358" s="1718">
        <v>10100</v>
      </c>
      <c r="P358" s="1711">
        <v>210</v>
      </c>
      <c r="Q358" s="1712" t="s">
        <v>1471</v>
      </c>
      <c r="R358" s="1711">
        <v>2600</v>
      </c>
      <c r="S358" s="1712" t="s">
        <v>1471</v>
      </c>
      <c r="T358" s="1711">
        <v>52</v>
      </c>
      <c r="U358" s="1712" t="s">
        <v>1471</v>
      </c>
      <c r="V358" s="1711">
        <v>220</v>
      </c>
      <c r="W358" s="1712" t="s">
        <v>1471</v>
      </c>
      <c r="X358" s="1711">
        <v>38</v>
      </c>
      <c r="Y358" s="1714" t="s">
        <v>1471</v>
      </c>
      <c r="Z358" s="1713"/>
      <c r="AA358" s="1715">
        <v>8.0999999999999996E-3</v>
      </c>
      <c r="AB358" s="1716" t="s">
        <v>1471</v>
      </c>
      <c r="AC358" s="1717"/>
    </row>
    <row r="359" spans="1:29" ht="15">
      <c r="A359" s="1704" t="s">
        <v>2532</v>
      </c>
      <c r="B359" s="1705" t="s">
        <v>2533</v>
      </c>
      <c r="C359" s="1736">
        <v>1.5</v>
      </c>
      <c r="D359" s="1708" t="s">
        <v>1900</v>
      </c>
      <c r="E359" s="1709">
        <v>4.2999999999999999E-4</v>
      </c>
      <c r="F359" s="1708" t="s">
        <v>1900</v>
      </c>
      <c r="G359" s="1708"/>
      <c r="H359" s="1707"/>
      <c r="I359" s="1708"/>
      <c r="J359" s="1707"/>
      <c r="K359" s="1707"/>
      <c r="L359" s="1707"/>
      <c r="M359" s="1708">
        <v>1</v>
      </c>
      <c r="N359" s="1708">
        <v>0.1</v>
      </c>
      <c r="O359" s="1710"/>
      <c r="P359" s="1711">
        <v>0.36</v>
      </c>
      <c r="Q359" s="1712" t="s">
        <v>4126</v>
      </c>
      <c r="R359" s="1711">
        <v>1.5</v>
      </c>
      <c r="S359" s="1712" t="s">
        <v>4126</v>
      </c>
      <c r="T359" s="1711">
        <v>6.4999999999999997E-3</v>
      </c>
      <c r="U359" s="1712" t="s">
        <v>4126</v>
      </c>
      <c r="V359" s="1711">
        <v>2.9000000000000001E-2</v>
      </c>
      <c r="W359" s="1712" t="s">
        <v>4126</v>
      </c>
      <c r="X359" s="1711">
        <v>5.0999999999999997E-2</v>
      </c>
      <c r="Y359" s="1714" t="s">
        <v>4126</v>
      </c>
      <c r="Z359" s="1713"/>
      <c r="AA359" s="1715">
        <v>6.7999999999999999E-5</v>
      </c>
      <c r="AB359" s="1716" t="s">
        <v>4126</v>
      </c>
      <c r="AC359" s="1717"/>
    </row>
    <row r="360" spans="1:29" ht="15">
      <c r="A360" s="1719" t="s">
        <v>2534</v>
      </c>
      <c r="B360" s="1720" t="s">
        <v>2535</v>
      </c>
      <c r="C360" s="1737">
        <v>0.03</v>
      </c>
      <c r="D360" s="1723" t="s">
        <v>1119</v>
      </c>
      <c r="E360" s="1724">
        <v>8.6000000000000007E-6</v>
      </c>
      <c r="F360" s="1723" t="s">
        <v>1900</v>
      </c>
      <c r="G360" s="1723"/>
      <c r="H360" s="1722"/>
      <c r="I360" s="1723"/>
      <c r="J360" s="1722"/>
      <c r="K360" s="1722"/>
      <c r="L360" s="1722"/>
      <c r="M360" s="1723">
        <v>1</v>
      </c>
      <c r="N360" s="1723">
        <v>0.1</v>
      </c>
      <c r="O360" s="1725"/>
      <c r="P360" s="1726">
        <v>18</v>
      </c>
      <c r="Q360" s="1727" t="s">
        <v>4126</v>
      </c>
      <c r="R360" s="1726">
        <v>77</v>
      </c>
      <c r="S360" s="1727" t="s">
        <v>4126</v>
      </c>
      <c r="T360" s="1726">
        <v>0.33</v>
      </c>
      <c r="U360" s="1727" t="s">
        <v>4126</v>
      </c>
      <c r="V360" s="1726">
        <v>1.4</v>
      </c>
      <c r="W360" s="1727" t="s">
        <v>4126</v>
      </c>
      <c r="X360" s="1726">
        <v>1.1000000000000001</v>
      </c>
      <c r="Y360" s="1729" t="s">
        <v>4126</v>
      </c>
      <c r="Z360" s="1728"/>
      <c r="AA360" s="1730">
        <v>1.1999999999999999E-3</v>
      </c>
      <c r="AB360" s="1731" t="s">
        <v>4126</v>
      </c>
      <c r="AC360" s="1732"/>
    </row>
    <row r="361" spans="1:29" ht="30">
      <c r="A361" s="1704" t="s">
        <v>2536</v>
      </c>
      <c r="B361" s="1705" t="s">
        <v>2537</v>
      </c>
      <c r="C361" s="1706"/>
      <c r="D361" s="1707"/>
      <c r="E361" s="1708"/>
      <c r="F361" s="1707"/>
      <c r="G361" s="1709">
        <v>6.0000000000000001E-3</v>
      </c>
      <c r="H361" s="1708" t="s">
        <v>1116</v>
      </c>
      <c r="I361" s="1708"/>
      <c r="J361" s="1707"/>
      <c r="K361" s="1707"/>
      <c r="L361" s="1707"/>
      <c r="M361" s="1708">
        <v>1</v>
      </c>
      <c r="N361" s="1708">
        <v>0.1</v>
      </c>
      <c r="O361" s="1710"/>
      <c r="P361" s="1711">
        <v>380</v>
      </c>
      <c r="Q361" s="1712" t="s">
        <v>1471</v>
      </c>
      <c r="R361" s="1711">
        <v>4900</v>
      </c>
      <c r="S361" s="1712" t="s">
        <v>1471</v>
      </c>
      <c r="T361" s="1712"/>
      <c r="U361" s="1713"/>
      <c r="V361" s="1712"/>
      <c r="W361" s="1713"/>
      <c r="X361" s="1711">
        <v>120</v>
      </c>
      <c r="Y361" s="1714" t="s">
        <v>1471</v>
      </c>
      <c r="Z361" s="1713"/>
      <c r="AA361" s="1715">
        <v>2.5999999999999999E-2</v>
      </c>
      <c r="AB361" s="1716" t="s">
        <v>1471</v>
      </c>
      <c r="AC361" s="1717"/>
    </row>
    <row r="362" spans="1:29" ht="15">
      <c r="A362" s="1704" t="s">
        <v>2538</v>
      </c>
      <c r="B362" s="1705" t="s">
        <v>2539</v>
      </c>
      <c r="C362" s="1706"/>
      <c r="D362" s="1707"/>
      <c r="E362" s="1708"/>
      <c r="F362" s="1707"/>
      <c r="G362" s="1709">
        <v>0.1</v>
      </c>
      <c r="H362" s="1708" t="s">
        <v>1960</v>
      </c>
      <c r="I362" s="1709">
        <v>8.0000000000000007E-5</v>
      </c>
      <c r="J362" s="1708" t="s">
        <v>1900</v>
      </c>
      <c r="K362" s="1707"/>
      <c r="L362" s="1707"/>
      <c r="M362" s="1708">
        <v>1</v>
      </c>
      <c r="N362" s="1708">
        <v>0.1</v>
      </c>
      <c r="O362" s="1710"/>
      <c r="P362" s="1711">
        <v>6000</v>
      </c>
      <c r="Q362" s="1712" t="s">
        <v>1471</v>
      </c>
      <c r="R362" s="1711">
        <v>70000</v>
      </c>
      <c r="S362" s="1712" t="s">
        <v>1471</v>
      </c>
      <c r="T362" s="1711">
        <v>8.3000000000000004E-2</v>
      </c>
      <c r="U362" s="1712" t="s">
        <v>1471</v>
      </c>
      <c r="V362" s="1711">
        <v>0.35</v>
      </c>
      <c r="W362" s="1712" t="s">
        <v>1471</v>
      </c>
      <c r="X362" s="1711">
        <v>2000</v>
      </c>
      <c r="Y362" s="1714" t="s">
        <v>1471</v>
      </c>
      <c r="Z362" s="1713"/>
      <c r="AA362" s="1715">
        <v>0.4</v>
      </c>
      <c r="AB362" s="1716" t="s">
        <v>1471</v>
      </c>
      <c r="AC362" s="1717"/>
    </row>
    <row r="363" spans="1:29" ht="15">
      <c r="A363" s="1719" t="s">
        <v>2540</v>
      </c>
      <c r="B363" s="1720" t="s">
        <v>2541</v>
      </c>
      <c r="C363" s="1721"/>
      <c r="D363" s="1722"/>
      <c r="E363" s="1723"/>
      <c r="F363" s="1722"/>
      <c r="G363" s="1724">
        <v>4.0000000000000002E-4</v>
      </c>
      <c r="H363" s="1723" t="s">
        <v>1119</v>
      </c>
      <c r="I363" s="1724">
        <v>1E-3</v>
      </c>
      <c r="J363" s="1723" t="s">
        <v>1893</v>
      </c>
      <c r="K363" s="1723" t="s">
        <v>1127</v>
      </c>
      <c r="L363" s="1722"/>
      <c r="M363" s="1723">
        <v>1</v>
      </c>
      <c r="N363" s="1723"/>
      <c r="O363" s="1735">
        <v>106000</v>
      </c>
      <c r="P363" s="1726">
        <v>23</v>
      </c>
      <c r="Q363" s="1727" t="s">
        <v>1471</v>
      </c>
      <c r="R363" s="1726">
        <v>210</v>
      </c>
      <c r="S363" s="1727" t="s">
        <v>1471</v>
      </c>
      <c r="T363" s="1726">
        <v>1</v>
      </c>
      <c r="U363" s="1727" t="s">
        <v>1471</v>
      </c>
      <c r="V363" s="1726">
        <v>4.4000000000000004</v>
      </c>
      <c r="W363" s="1727" t="s">
        <v>1471</v>
      </c>
      <c r="X363" s="1726">
        <v>1.7</v>
      </c>
      <c r="Y363" s="1729" t="s">
        <v>1471</v>
      </c>
      <c r="Z363" s="1728"/>
      <c r="AA363" s="1730">
        <v>3.3E-4</v>
      </c>
      <c r="AB363" s="1731" t="s">
        <v>1471</v>
      </c>
      <c r="AC363" s="1732"/>
    </row>
    <row r="364" spans="1:29" ht="15">
      <c r="A364" s="1704" t="s">
        <v>2542</v>
      </c>
      <c r="B364" s="1705" t="s">
        <v>2543</v>
      </c>
      <c r="C364" s="1706"/>
      <c r="D364" s="1707"/>
      <c r="E364" s="1708"/>
      <c r="F364" s="1707"/>
      <c r="G364" s="1709">
        <v>0.1</v>
      </c>
      <c r="H364" s="1708" t="s">
        <v>1119</v>
      </c>
      <c r="I364" s="1708"/>
      <c r="J364" s="1707"/>
      <c r="K364" s="1707"/>
      <c r="L364" s="1707"/>
      <c r="M364" s="1708">
        <v>1</v>
      </c>
      <c r="N364" s="1708">
        <v>0.1</v>
      </c>
      <c r="O364" s="1710"/>
      <c r="P364" s="1711">
        <v>6300</v>
      </c>
      <c r="Q364" s="1712" t="s">
        <v>1471</v>
      </c>
      <c r="R364" s="1711">
        <v>82000</v>
      </c>
      <c r="S364" s="1712" t="s">
        <v>1471</v>
      </c>
      <c r="T364" s="1712"/>
      <c r="U364" s="1713"/>
      <c r="V364" s="1712"/>
      <c r="W364" s="1713"/>
      <c r="X364" s="1711">
        <v>2000</v>
      </c>
      <c r="Y364" s="1714" t="s">
        <v>1471</v>
      </c>
      <c r="Z364" s="1711">
        <v>700</v>
      </c>
      <c r="AA364" s="1715">
        <v>8.8000000000000007</v>
      </c>
      <c r="AB364" s="1716" t="s">
        <v>1471</v>
      </c>
      <c r="AC364" s="1738">
        <v>3.1</v>
      </c>
    </row>
    <row r="365" spans="1:29" ht="15">
      <c r="A365" s="1704" t="s">
        <v>2545</v>
      </c>
      <c r="B365" s="1705" t="s">
        <v>2546</v>
      </c>
      <c r="C365" s="1706"/>
      <c r="D365" s="1707"/>
      <c r="E365" s="1708"/>
      <c r="F365" s="1707"/>
      <c r="G365" s="1709">
        <v>0.01</v>
      </c>
      <c r="H365" s="1708" t="s">
        <v>1893</v>
      </c>
      <c r="I365" s="1708"/>
      <c r="J365" s="1707"/>
      <c r="K365" s="1708" t="s">
        <v>1127</v>
      </c>
      <c r="L365" s="1707"/>
      <c r="M365" s="1708">
        <v>1</v>
      </c>
      <c r="N365" s="1708"/>
      <c r="O365" s="1710"/>
      <c r="P365" s="1711">
        <v>780</v>
      </c>
      <c r="Q365" s="1712" t="s">
        <v>1471</v>
      </c>
      <c r="R365" s="1711">
        <v>12000</v>
      </c>
      <c r="S365" s="1712" t="s">
        <v>1471</v>
      </c>
      <c r="T365" s="1712"/>
      <c r="U365" s="1713"/>
      <c r="V365" s="1712"/>
      <c r="W365" s="1713"/>
      <c r="X365" s="1711">
        <v>200</v>
      </c>
      <c r="Y365" s="1714" t="s">
        <v>1471</v>
      </c>
      <c r="Z365" s="1713"/>
      <c r="AA365" s="1715">
        <v>4.4999999999999998E-2</v>
      </c>
      <c r="AB365" s="1716" t="s">
        <v>1471</v>
      </c>
      <c r="AC365" s="1717"/>
    </row>
    <row r="366" spans="1:29" ht="30">
      <c r="A366" s="1719" t="s">
        <v>2547</v>
      </c>
      <c r="B366" s="1720" t="s">
        <v>2548</v>
      </c>
      <c r="C366" s="1721"/>
      <c r="D366" s="1722"/>
      <c r="E366" s="1723"/>
      <c r="F366" s="1722"/>
      <c r="G366" s="1724">
        <v>0.02</v>
      </c>
      <c r="H366" s="1723" t="s">
        <v>1909</v>
      </c>
      <c r="I366" s="1723"/>
      <c r="J366" s="1722"/>
      <c r="K366" s="1722"/>
      <c r="L366" s="1722"/>
      <c r="M366" s="1723">
        <v>1</v>
      </c>
      <c r="N366" s="1723">
        <v>0.1</v>
      </c>
      <c r="O366" s="1725"/>
      <c r="P366" s="1726">
        <v>1300</v>
      </c>
      <c r="Q366" s="1727" t="s">
        <v>1471</v>
      </c>
      <c r="R366" s="1726">
        <v>16000</v>
      </c>
      <c r="S366" s="1727" t="s">
        <v>1471</v>
      </c>
      <c r="T366" s="1727"/>
      <c r="U366" s="1728"/>
      <c r="V366" s="1727"/>
      <c r="W366" s="1728"/>
      <c r="X366" s="1726">
        <v>400</v>
      </c>
      <c r="Y366" s="1729" t="s">
        <v>1471</v>
      </c>
      <c r="Z366" s="1728"/>
      <c r="AA366" s="1731"/>
      <c r="AB366" s="1740"/>
      <c r="AC366" s="1732"/>
    </row>
    <row r="367" spans="1:29" ht="15">
      <c r="A367" s="1704" t="s">
        <v>2549</v>
      </c>
      <c r="B367" s="1705" t="s">
        <v>2550</v>
      </c>
      <c r="C367" s="1706"/>
      <c r="D367" s="1707"/>
      <c r="E367" s="1708"/>
      <c r="F367" s="1707"/>
      <c r="G367" s="1709">
        <v>0.03</v>
      </c>
      <c r="H367" s="1708" t="s">
        <v>1893</v>
      </c>
      <c r="I367" s="1708"/>
      <c r="J367" s="1707"/>
      <c r="K367" s="1707"/>
      <c r="L367" s="1707"/>
      <c r="M367" s="1708">
        <v>1</v>
      </c>
      <c r="N367" s="1708">
        <v>0.1</v>
      </c>
      <c r="O367" s="1710"/>
      <c r="P367" s="1711">
        <v>1900</v>
      </c>
      <c r="Q367" s="1712" t="s">
        <v>1471</v>
      </c>
      <c r="R367" s="1711">
        <v>25000</v>
      </c>
      <c r="S367" s="1712" t="s">
        <v>1471</v>
      </c>
      <c r="T367" s="1712"/>
      <c r="U367" s="1713"/>
      <c r="V367" s="1712"/>
      <c r="W367" s="1713"/>
      <c r="X367" s="1711">
        <v>600</v>
      </c>
      <c r="Y367" s="1714" t="s">
        <v>1471</v>
      </c>
      <c r="Z367" s="1713"/>
      <c r="AA367" s="1715">
        <v>0.15</v>
      </c>
      <c r="AB367" s="1716" t="s">
        <v>1471</v>
      </c>
      <c r="AC367" s="1717"/>
    </row>
    <row r="368" spans="1:29" ht="15">
      <c r="A368" s="1704" t="s">
        <v>2551</v>
      </c>
      <c r="B368" s="1705" t="s">
        <v>2552</v>
      </c>
      <c r="C368" s="1706"/>
      <c r="D368" s="1707"/>
      <c r="E368" s="1708"/>
      <c r="F368" s="1707"/>
      <c r="G368" s="1709">
        <v>5.0000000000000002E-5</v>
      </c>
      <c r="H368" s="1708" t="s">
        <v>1119</v>
      </c>
      <c r="I368" s="1708"/>
      <c r="J368" s="1707"/>
      <c r="K368" s="1707"/>
      <c r="L368" s="1707"/>
      <c r="M368" s="1708">
        <v>1</v>
      </c>
      <c r="N368" s="1708">
        <v>0.1</v>
      </c>
      <c r="O368" s="1710"/>
      <c r="P368" s="1711">
        <v>3.2</v>
      </c>
      <c r="Q368" s="1712" t="s">
        <v>1471</v>
      </c>
      <c r="R368" s="1711">
        <v>41</v>
      </c>
      <c r="S368" s="1712" t="s">
        <v>1471</v>
      </c>
      <c r="T368" s="1712"/>
      <c r="U368" s="1713"/>
      <c r="V368" s="1712"/>
      <c r="W368" s="1713"/>
      <c r="X368" s="1711">
        <v>0.76</v>
      </c>
      <c r="Y368" s="1714" t="s">
        <v>1471</v>
      </c>
      <c r="Z368" s="1713"/>
      <c r="AA368" s="1715">
        <v>8.3999999999999995E-3</v>
      </c>
      <c r="AB368" s="1716" t="s">
        <v>1471</v>
      </c>
      <c r="AC368" s="1717"/>
    </row>
    <row r="369" spans="1:29" ht="15">
      <c r="A369" s="1719" t="s">
        <v>200</v>
      </c>
      <c r="B369" s="1720" t="s">
        <v>199</v>
      </c>
      <c r="C369" s="1737">
        <v>4.5</v>
      </c>
      <c r="D369" s="1723" t="s">
        <v>1119</v>
      </c>
      <c r="E369" s="1724">
        <v>1.2999999999999999E-3</v>
      </c>
      <c r="F369" s="1723" t="s">
        <v>1119</v>
      </c>
      <c r="G369" s="1724">
        <v>1E-4</v>
      </c>
      <c r="H369" s="1723" t="s">
        <v>1960</v>
      </c>
      <c r="I369" s="1723"/>
      <c r="J369" s="1722"/>
      <c r="K369" s="1723" t="s">
        <v>1127</v>
      </c>
      <c r="L369" s="1722"/>
      <c r="M369" s="1723">
        <v>1</v>
      </c>
      <c r="N369" s="1723"/>
      <c r="O369" s="1725"/>
      <c r="P369" s="1726">
        <v>0.13</v>
      </c>
      <c r="Q369" s="1727" t="s">
        <v>4127</v>
      </c>
      <c r="R369" s="1726">
        <v>0.63</v>
      </c>
      <c r="S369" s="1727" t="s">
        <v>4126</v>
      </c>
      <c r="T369" s="1726">
        <v>2.2000000000000001E-3</v>
      </c>
      <c r="U369" s="1727" t="s">
        <v>4126</v>
      </c>
      <c r="V369" s="1726">
        <v>9.4000000000000004E-3</v>
      </c>
      <c r="W369" s="1727" t="s">
        <v>4126</v>
      </c>
      <c r="X369" s="1726">
        <v>1.4E-3</v>
      </c>
      <c r="Y369" s="1729" t="s">
        <v>4126</v>
      </c>
      <c r="Z369" s="1726">
        <v>0.4</v>
      </c>
      <c r="AA369" s="1730">
        <v>1.2E-4</v>
      </c>
      <c r="AB369" s="1731" t="s">
        <v>4126</v>
      </c>
      <c r="AC369" s="1739">
        <v>3.3000000000000002E-2</v>
      </c>
    </row>
    <row r="370" spans="1:29" ht="30">
      <c r="A370" s="1704" t="s">
        <v>202</v>
      </c>
      <c r="B370" s="1705" t="s">
        <v>2553</v>
      </c>
      <c r="C370" s="1736">
        <v>9.1</v>
      </c>
      <c r="D370" s="1708" t="s">
        <v>1119</v>
      </c>
      <c r="E370" s="1709">
        <v>2.5999999999999999E-3</v>
      </c>
      <c r="F370" s="1708" t="s">
        <v>1119</v>
      </c>
      <c r="G370" s="1709">
        <v>1.2999999999999999E-5</v>
      </c>
      <c r="H370" s="1708" t="s">
        <v>1119</v>
      </c>
      <c r="I370" s="1708"/>
      <c r="J370" s="1707"/>
      <c r="K370" s="1708" t="s">
        <v>1127</v>
      </c>
      <c r="L370" s="1707"/>
      <c r="M370" s="1708">
        <v>1</v>
      </c>
      <c r="N370" s="1708"/>
      <c r="O370" s="1710"/>
      <c r="P370" s="1711">
        <v>7.0000000000000007E-2</v>
      </c>
      <c r="Q370" s="1712" t="s">
        <v>4127</v>
      </c>
      <c r="R370" s="1711">
        <v>0.33</v>
      </c>
      <c r="S370" s="1712" t="s">
        <v>4127</v>
      </c>
      <c r="T370" s="1711">
        <v>1.1000000000000001E-3</v>
      </c>
      <c r="U370" s="1712" t="s">
        <v>4126</v>
      </c>
      <c r="V370" s="1711">
        <v>4.7000000000000002E-3</v>
      </c>
      <c r="W370" s="1712" t="s">
        <v>4126</v>
      </c>
      <c r="X370" s="1711">
        <v>1.4E-3</v>
      </c>
      <c r="Y370" s="1714" t="s">
        <v>4127</v>
      </c>
      <c r="Z370" s="1711">
        <v>0.2</v>
      </c>
      <c r="AA370" s="1715">
        <v>2.8E-5</v>
      </c>
      <c r="AB370" s="1716" t="s">
        <v>4127</v>
      </c>
      <c r="AC370" s="1738">
        <v>4.1000000000000003E-3</v>
      </c>
    </row>
    <row r="371" spans="1:29" ht="15">
      <c r="A371" s="1704" t="s">
        <v>2554</v>
      </c>
      <c r="B371" s="1705" t="s">
        <v>2555</v>
      </c>
      <c r="C371" s="1706"/>
      <c r="D371" s="1707"/>
      <c r="E371" s="1708"/>
      <c r="F371" s="1707"/>
      <c r="G371" s="1708"/>
      <c r="H371" s="1707"/>
      <c r="I371" s="1709">
        <v>3.0000000000000001E-3</v>
      </c>
      <c r="J371" s="1708" t="s">
        <v>1893</v>
      </c>
      <c r="K371" s="1708" t="s">
        <v>1127</v>
      </c>
      <c r="L371" s="1707"/>
      <c r="M371" s="1708">
        <v>1</v>
      </c>
      <c r="N371" s="1708"/>
      <c r="O371" s="1718">
        <v>209</v>
      </c>
      <c r="P371" s="1711">
        <v>24</v>
      </c>
      <c r="Q371" s="1712" t="s">
        <v>1471</v>
      </c>
      <c r="R371" s="1711">
        <v>100</v>
      </c>
      <c r="S371" s="1712" t="s">
        <v>1471</v>
      </c>
      <c r="T371" s="1711">
        <v>3.1</v>
      </c>
      <c r="U371" s="1712" t="s">
        <v>1471</v>
      </c>
      <c r="V371" s="1711">
        <v>13</v>
      </c>
      <c r="W371" s="1712" t="s">
        <v>1471</v>
      </c>
      <c r="X371" s="1711">
        <v>6.3</v>
      </c>
      <c r="Y371" s="1714" t="s">
        <v>1471</v>
      </c>
      <c r="Z371" s="1713"/>
      <c r="AA371" s="1715">
        <v>1.4E-3</v>
      </c>
      <c r="AB371" s="1716" t="s">
        <v>1471</v>
      </c>
      <c r="AC371" s="1717"/>
    </row>
    <row r="372" spans="1:29" ht="15">
      <c r="A372" s="1719" t="s">
        <v>2556</v>
      </c>
      <c r="B372" s="1720" t="s">
        <v>2557</v>
      </c>
      <c r="C372" s="1721"/>
      <c r="D372" s="1722"/>
      <c r="E372" s="1723"/>
      <c r="F372" s="1722"/>
      <c r="G372" s="1724">
        <v>2.9999999999999997E-4</v>
      </c>
      <c r="H372" s="1723" t="s">
        <v>1893</v>
      </c>
      <c r="I372" s="1724">
        <v>0.4</v>
      </c>
      <c r="J372" s="1723" t="s">
        <v>1909</v>
      </c>
      <c r="K372" s="1723" t="s">
        <v>1127</v>
      </c>
      <c r="L372" s="1722"/>
      <c r="M372" s="1723">
        <v>1</v>
      </c>
      <c r="N372" s="1723"/>
      <c r="O372" s="1735">
        <v>57.9</v>
      </c>
      <c r="P372" s="1726">
        <v>22</v>
      </c>
      <c r="Q372" s="1727" t="s">
        <v>1471</v>
      </c>
      <c r="R372" s="1726">
        <v>290</v>
      </c>
      <c r="S372" s="1727" t="s">
        <v>4125</v>
      </c>
      <c r="T372" s="1726">
        <v>420</v>
      </c>
      <c r="U372" s="1727" t="s">
        <v>1471</v>
      </c>
      <c r="V372" s="1726">
        <v>1800</v>
      </c>
      <c r="W372" s="1727" t="s">
        <v>1471</v>
      </c>
      <c r="X372" s="1726">
        <v>6</v>
      </c>
      <c r="Y372" s="1729" t="s">
        <v>1471</v>
      </c>
      <c r="Z372" s="1728"/>
      <c r="AA372" s="1730">
        <v>4.8000000000000001E-2</v>
      </c>
      <c r="AB372" s="1731" t="s">
        <v>1471</v>
      </c>
      <c r="AC372" s="1732"/>
    </row>
    <row r="373" spans="1:29" ht="30">
      <c r="A373" s="1704" t="s">
        <v>2558</v>
      </c>
      <c r="B373" s="1705" t="s">
        <v>2559</v>
      </c>
      <c r="C373" s="1706"/>
      <c r="D373" s="1707"/>
      <c r="E373" s="1708"/>
      <c r="F373" s="1707"/>
      <c r="G373" s="1709">
        <v>2E-3</v>
      </c>
      <c r="H373" s="1708" t="s">
        <v>1119</v>
      </c>
      <c r="I373" s="1708"/>
      <c r="J373" s="1707"/>
      <c r="K373" s="1708" t="s">
        <v>1127</v>
      </c>
      <c r="L373" s="1707"/>
      <c r="M373" s="1708">
        <v>1</v>
      </c>
      <c r="N373" s="1708"/>
      <c r="O373" s="1710"/>
      <c r="P373" s="1711">
        <v>160</v>
      </c>
      <c r="Q373" s="1712" t="s">
        <v>1471</v>
      </c>
      <c r="R373" s="1711">
        <v>2300</v>
      </c>
      <c r="S373" s="1712" t="s">
        <v>1471</v>
      </c>
      <c r="T373" s="1712"/>
      <c r="U373" s="1713"/>
      <c r="V373" s="1712"/>
      <c r="W373" s="1713"/>
      <c r="X373" s="1711">
        <v>40</v>
      </c>
      <c r="Y373" s="1714" t="s">
        <v>1471</v>
      </c>
      <c r="Z373" s="1713"/>
      <c r="AA373" s="1715">
        <v>0.23</v>
      </c>
      <c r="AB373" s="1716" t="s">
        <v>1471</v>
      </c>
      <c r="AC373" s="1717"/>
    </row>
    <row r="374" spans="1:29" ht="60">
      <c r="A374" s="1704" t="s">
        <v>2560</v>
      </c>
      <c r="B374" s="1705" t="s">
        <v>2561</v>
      </c>
      <c r="C374" s="1706"/>
      <c r="D374" s="1707"/>
      <c r="E374" s="1708"/>
      <c r="F374" s="1707"/>
      <c r="G374" s="1709">
        <v>2.0000000000000001E-4</v>
      </c>
      <c r="H374" s="1708" t="s">
        <v>1119</v>
      </c>
      <c r="I374" s="1708"/>
      <c r="J374" s="1707"/>
      <c r="K374" s="1707"/>
      <c r="L374" s="1707"/>
      <c r="M374" s="1708">
        <v>1</v>
      </c>
      <c r="N374" s="1708">
        <v>0.1</v>
      </c>
      <c r="O374" s="1710"/>
      <c r="P374" s="1711">
        <v>13</v>
      </c>
      <c r="Q374" s="1712" t="s">
        <v>1471</v>
      </c>
      <c r="R374" s="1711">
        <v>160</v>
      </c>
      <c r="S374" s="1712" t="s">
        <v>1471</v>
      </c>
      <c r="T374" s="1712"/>
      <c r="U374" s="1713"/>
      <c r="V374" s="1712"/>
      <c r="W374" s="1713"/>
      <c r="X374" s="1711">
        <v>4</v>
      </c>
      <c r="Y374" s="1714" t="s">
        <v>1471</v>
      </c>
      <c r="Z374" s="1713"/>
      <c r="AA374" s="1716"/>
      <c r="AB374" s="1734"/>
      <c r="AC374" s="1717"/>
    </row>
    <row r="375" spans="1:29" ht="30">
      <c r="A375" s="1719" t="s">
        <v>204</v>
      </c>
      <c r="B375" s="1720" t="s">
        <v>203</v>
      </c>
      <c r="C375" s="1737">
        <v>1.6</v>
      </c>
      <c r="D375" s="1723" t="s">
        <v>1119</v>
      </c>
      <c r="E375" s="1724">
        <v>4.6000000000000001E-4</v>
      </c>
      <c r="F375" s="1723" t="s">
        <v>1119</v>
      </c>
      <c r="G375" s="1724">
        <v>1.0000000000000001E-5</v>
      </c>
      <c r="H375" s="1723" t="s">
        <v>1909</v>
      </c>
      <c r="I375" s="1723"/>
      <c r="J375" s="1722"/>
      <c r="K375" s="1723" t="s">
        <v>1127</v>
      </c>
      <c r="L375" s="1722"/>
      <c r="M375" s="1723">
        <v>1</v>
      </c>
      <c r="N375" s="1723"/>
      <c r="O375" s="1725"/>
      <c r="P375" s="1726">
        <v>0.21</v>
      </c>
      <c r="Q375" s="1727" t="s">
        <v>4122</v>
      </c>
      <c r="R375" s="1726">
        <v>0.96</v>
      </c>
      <c r="S375" s="1727" t="s">
        <v>4127</v>
      </c>
      <c r="T375" s="1726">
        <v>6.1000000000000004E-3</v>
      </c>
      <c r="U375" s="1727" t="s">
        <v>4126</v>
      </c>
      <c r="V375" s="1726">
        <v>2.7E-2</v>
      </c>
      <c r="W375" s="1727" t="s">
        <v>4126</v>
      </c>
      <c r="X375" s="1726">
        <v>9.7999999999999997E-3</v>
      </c>
      <c r="Y375" s="1729" t="s">
        <v>4127</v>
      </c>
      <c r="Z375" s="1726">
        <v>1</v>
      </c>
      <c r="AA375" s="1730">
        <v>1.2E-4</v>
      </c>
      <c r="AB375" s="1731" t="s">
        <v>4127</v>
      </c>
      <c r="AC375" s="1739">
        <v>1.2999999999999999E-2</v>
      </c>
    </row>
    <row r="376" spans="1:29" ht="30">
      <c r="A376" s="1704" t="s">
        <v>206</v>
      </c>
      <c r="B376" s="1705" t="s">
        <v>205</v>
      </c>
      <c r="C376" s="1736">
        <v>7.8E-2</v>
      </c>
      <c r="D376" s="1708" t="s">
        <v>1119</v>
      </c>
      <c r="E376" s="1709">
        <v>2.1999999999999999E-5</v>
      </c>
      <c r="F376" s="1708" t="s">
        <v>1119</v>
      </c>
      <c r="G376" s="1709">
        <v>1E-3</v>
      </c>
      <c r="H376" s="1708" t="s">
        <v>1909</v>
      </c>
      <c r="I376" s="1708"/>
      <c r="J376" s="1707"/>
      <c r="K376" s="1708" t="s">
        <v>1127</v>
      </c>
      <c r="L376" s="1707"/>
      <c r="M376" s="1708">
        <v>1</v>
      </c>
      <c r="N376" s="1708"/>
      <c r="O376" s="1718">
        <v>16.8</v>
      </c>
      <c r="P376" s="1711">
        <v>1.2</v>
      </c>
      <c r="Q376" s="1712" t="s">
        <v>4127</v>
      </c>
      <c r="R376" s="1711">
        <v>5.3</v>
      </c>
      <c r="S376" s="1712" t="s">
        <v>4126</v>
      </c>
      <c r="T376" s="1711">
        <v>0.13</v>
      </c>
      <c r="U376" s="1712" t="s">
        <v>4126</v>
      </c>
      <c r="V376" s="1711">
        <v>0.56000000000000005</v>
      </c>
      <c r="W376" s="1712" t="s">
        <v>4126</v>
      </c>
      <c r="X376" s="1711">
        <v>0.14000000000000001</v>
      </c>
      <c r="Y376" s="1714" t="s">
        <v>4127</v>
      </c>
      <c r="Z376" s="1713"/>
      <c r="AA376" s="1715">
        <v>2.7E-4</v>
      </c>
      <c r="AB376" s="1716" t="s">
        <v>4127</v>
      </c>
      <c r="AC376" s="1717"/>
    </row>
    <row r="377" spans="1:29" ht="30">
      <c r="A377" s="1704" t="s">
        <v>2562</v>
      </c>
      <c r="B377" s="1705" t="s">
        <v>2563</v>
      </c>
      <c r="C377" s="1736">
        <v>6.3</v>
      </c>
      <c r="D377" s="1708" t="s">
        <v>1119</v>
      </c>
      <c r="E377" s="1709">
        <v>1.8E-3</v>
      </c>
      <c r="F377" s="1708" t="s">
        <v>1119</v>
      </c>
      <c r="G377" s="1709">
        <v>8.9999999999999998E-4</v>
      </c>
      <c r="H377" s="1708" t="s">
        <v>1960</v>
      </c>
      <c r="I377" s="1708"/>
      <c r="J377" s="1707"/>
      <c r="K377" s="1707"/>
      <c r="L377" s="1707"/>
      <c r="M377" s="1708">
        <v>1</v>
      </c>
      <c r="N377" s="1708">
        <v>0.1</v>
      </c>
      <c r="O377" s="1710"/>
      <c r="P377" s="1711">
        <v>8.5999999999999993E-2</v>
      </c>
      <c r="Q377" s="1712" t="s">
        <v>4126</v>
      </c>
      <c r="R377" s="1711">
        <v>0.36</v>
      </c>
      <c r="S377" s="1712" t="s">
        <v>4126</v>
      </c>
      <c r="T377" s="1711">
        <v>1.6000000000000001E-3</v>
      </c>
      <c r="U377" s="1712" t="s">
        <v>4126</v>
      </c>
      <c r="V377" s="1711">
        <v>6.7999999999999996E-3</v>
      </c>
      <c r="W377" s="1712" t="s">
        <v>4126</v>
      </c>
      <c r="X377" s="1711">
        <v>7.1999999999999998E-3</v>
      </c>
      <c r="Y377" s="1714" t="s">
        <v>4126</v>
      </c>
      <c r="Z377" s="1713"/>
      <c r="AA377" s="1715">
        <v>4.1999999999999998E-5</v>
      </c>
      <c r="AB377" s="1716" t="s">
        <v>4126</v>
      </c>
      <c r="AC377" s="1717"/>
    </row>
    <row r="378" spans="1:29" ht="30">
      <c r="A378" s="1719" t="s">
        <v>2564</v>
      </c>
      <c r="B378" s="1720" t="s">
        <v>2565</v>
      </c>
      <c r="C378" s="1737">
        <v>1.8</v>
      </c>
      <c r="D378" s="1723" t="s">
        <v>1119</v>
      </c>
      <c r="E378" s="1724">
        <v>5.2999999999999998E-4</v>
      </c>
      <c r="F378" s="1723" t="s">
        <v>1119</v>
      </c>
      <c r="G378" s="1723"/>
      <c r="H378" s="1722"/>
      <c r="I378" s="1723"/>
      <c r="J378" s="1722"/>
      <c r="K378" s="1722"/>
      <c r="L378" s="1722"/>
      <c r="M378" s="1723">
        <v>1</v>
      </c>
      <c r="N378" s="1723">
        <v>0.1</v>
      </c>
      <c r="O378" s="1725"/>
      <c r="P378" s="1726">
        <v>0.3</v>
      </c>
      <c r="Q378" s="1727" t="s">
        <v>4126</v>
      </c>
      <c r="R378" s="1726">
        <v>1.3</v>
      </c>
      <c r="S378" s="1727" t="s">
        <v>4126</v>
      </c>
      <c r="T378" s="1726">
        <v>5.3E-3</v>
      </c>
      <c r="U378" s="1727" t="s">
        <v>4126</v>
      </c>
      <c r="V378" s="1726">
        <v>2.3E-2</v>
      </c>
      <c r="W378" s="1727" t="s">
        <v>4126</v>
      </c>
      <c r="X378" s="1726">
        <v>2.5000000000000001E-2</v>
      </c>
      <c r="Y378" s="1729" t="s">
        <v>4126</v>
      </c>
      <c r="Z378" s="1728"/>
      <c r="AA378" s="1730">
        <v>1.4999999999999999E-4</v>
      </c>
      <c r="AB378" s="1731" t="s">
        <v>4126</v>
      </c>
      <c r="AC378" s="1732"/>
    </row>
    <row r="379" spans="1:29" ht="30">
      <c r="A379" s="1704" t="s">
        <v>2566</v>
      </c>
      <c r="B379" s="1705" t="s">
        <v>2567</v>
      </c>
      <c r="C379" s="1706"/>
      <c r="D379" s="1707"/>
      <c r="E379" s="1708"/>
      <c r="F379" s="1707"/>
      <c r="G379" s="1709">
        <v>5.9999999999999995E-8</v>
      </c>
      <c r="H379" s="1708" t="s">
        <v>1893</v>
      </c>
      <c r="I379" s="1708"/>
      <c r="J379" s="1707"/>
      <c r="K379" s="1707"/>
      <c r="L379" s="1707"/>
      <c r="M379" s="1708">
        <v>1</v>
      </c>
      <c r="N379" s="1708">
        <v>0.1</v>
      </c>
      <c r="O379" s="1710"/>
      <c r="P379" s="1711">
        <v>3.8E-3</v>
      </c>
      <c r="Q379" s="1712" t="s">
        <v>1471</v>
      </c>
      <c r="R379" s="1711">
        <v>4.9000000000000002E-2</v>
      </c>
      <c r="S379" s="1712" t="s">
        <v>1471</v>
      </c>
      <c r="T379" s="1712"/>
      <c r="U379" s="1713"/>
      <c r="V379" s="1712"/>
      <c r="W379" s="1713"/>
      <c r="X379" s="1711">
        <v>7.2999999999999996E-4</v>
      </c>
      <c r="Y379" s="1714" t="s">
        <v>1471</v>
      </c>
      <c r="Z379" s="1713"/>
      <c r="AA379" s="1715">
        <v>4.1999999999999996E-6</v>
      </c>
      <c r="AB379" s="1716" t="s">
        <v>1471</v>
      </c>
      <c r="AC379" s="1717"/>
    </row>
    <row r="380" spans="1:29" ht="45">
      <c r="A380" s="1704" t="s">
        <v>208</v>
      </c>
      <c r="B380" s="1705" t="s">
        <v>2568</v>
      </c>
      <c r="C380" s="1736">
        <v>1.1000000000000001</v>
      </c>
      <c r="D380" s="1708" t="s">
        <v>1900</v>
      </c>
      <c r="E380" s="1709">
        <v>3.1E-4</v>
      </c>
      <c r="F380" s="1708" t="s">
        <v>1900</v>
      </c>
      <c r="G380" s="1709">
        <v>7.9999999999999996E-7</v>
      </c>
      <c r="H380" s="1708" t="s">
        <v>1960</v>
      </c>
      <c r="I380" s="1708"/>
      <c r="J380" s="1707"/>
      <c r="K380" s="1707"/>
      <c r="L380" s="1707"/>
      <c r="M380" s="1708">
        <v>1</v>
      </c>
      <c r="N380" s="1708">
        <v>0.04</v>
      </c>
      <c r="O380" s="1710"/>
      <c r="P380" s="1711">
        <v>5.7000000000000002E-2</v>
      </c>
      <c r="Q380" s="1712" t="s">
        <v>1471</v>
      </c>
      <c r="R380" s="1711">
        <v>0.8</v>
      </c>
      <c r="S380" s="1712" t="s">
        <v>1471</v>
      </c>
      <c r="T380" s="1711">
        <v>9.1000000000000004E-3</v>
      </c>
      <c r="U380" s="1712" t="s">
        <v>4126</v>
      </c>
      <c r="V380" s="1711">
        <v>0.04</v>
      </c>
      <c r="W380" s="1712" t="s">
        <v>4126</v>
      </c>
      <c r="X380" s="1711">
        <v>9.7000000000000003E-3</v>
      </c>
      <c r="Y380" s="1714" t="s">
        <v>1471</v>
      </c>
      <c r="Z380" s="1711">
        <v>0.2</v>
      </c>
      <c r="AA380" s="1715">
        <v>5.7000000000000003E-5</v>
      </c>
      <c r="AB380" s="1716" t="s">
        <v>1471</v>
      </c>
      <c r="AC380" s="1738">
        <v>1.1999999999999999E-3</v>
      </c>
    </row>
    <row r="381" spans="1:29" ht="30">
      <c r="A381" s="1719" t="s">
        <v>2569</v>
      </c>
      <c r="B381" s="1720" t="s">
        <v>2570</v>
      </c>
      <c r="C381" s="1737">
        <v>1.8</v>
      </c>
      <c r="D381" s="1723" t="s">
        <v>1119</v>
      </c>
      <c r="E381" s="1724">
        <v>5.1000000000000004E-4</v>
      </c>
      <c r="F381" s="1723" t="s">
        <v>1119</v>
      </c>
      <c r="G381" s="1723"/>
      <c r="H381" s="1722"/>
      <c r="I381" s="1723"/>
      <c r="J381" s="1722"/>
      <c r="K381" s="1722"/>
      <c r="L381" s="1722"/>
      <c r="M381" s="1723">
        <v>1</v>
      </c>
      <c r="N381" s="1723">
        <v>0.1</v>
      </c>
      <c r="O381" s="1725"/>
      <c r="P381" s="1726">
        <v>0.3</v>
      </c>
      <c r="Q381" s="1727" t="s">
        <v>4126</v>
      </c>
      <c r="R381" s="1726">
        <v>1.3</v>
      </c>
      <c r="S381" s="1727" t="s">
        <v>4126</v>
      </c>
      <c r="T381" s="1726">
        <v>5.4999999999999997E-3</v>
      </c>
      <c r="U381" s="1727" t="s">
        <v>4126</v>
      </c>
      <c r="V381" s="1726">
        <v>2.4E-2</v>
      </c>
      <c r="W381" s="1727" t="s">
        <v>4126</v>
      </c>
      <c r="X381" s="1726">
        <v>2.5000000000000001E-2</v>
      </c>
      <c r="Y381" s="1729" t="s">
        <v>4126</v>
      </c>
      <c r="Z381" s="1728"/>
      <c r="AA381" s="1730">
        <v>1.4999999999999999E-4</v>
      </c>
      <c r="AB381" s="1731" t="s">
        <v>4126</v>
      </c>
      <c r="AC381" s="1732"/>
    </row>
    <row r="382" spans="1:29" ht="30">
      <c r="A382" s="1704" t="s">
        <v>2571</v>
      </c>
      <c r="B382" s="1705" t="s">
        <v>2572</v>
      </c>
      <c r="C382" s="1706"/>
      <c r="D382" s="1707"/>
      <c r="E382" s="1708"/>
      <c r="F382" s="1707"/>
      <c r="G382" s="1709">
        <v>6.0000000000000001E-3</v>
      </c>
      <c r="H382" s="1708" t="s">
        <v>1119</v>
      </c>
      <c r="I382" s="1709">
        <v>2.0000000000000001E-4</v>
      </c>
      <c r="J382" s="1708" t="s">
        <v>1119</v>
      </c>
      <c r="K382" s="1708" t="s">
        <v>1127</v>
      </c>
      <c r="L382" s="1707"/>
      <c r="M382" s="1708">
        <v>1</v>
      </c>
      <c r="N382" s="1708"/>
      <c r="O382" s="1718">
        <v>15.7</v>
      </c>
      <c r="P382" s="1711">
        <v>1.8</v>
      </c>
      <c r="Q382" s="1712" t="s">
        <v>1471</v>
      </c>
      <c r="R382" s="1711">
        <v>7.5</v>
      </c>
      <c r="S382" s="1712" t="s">
        <v>1471</v>
      </c>
      <c r="T382" s="1711">
        <v>0.21</v>
      </c>
      <c r="U382" s="1712" t="s">
        <v>1471</v>
      </c>
      <c r="V382" s="1711">
        <v>0.88</v>
      </c>
      <c r="W382" s="1712" t="s">
        <v>1471</v>
      </c>
      <c r="X382" s="1711">
        <v>0.41</v>
      </c>
      <c r="Y382" s="1714" t="s">
        <v>1471</v>
      </c>
      <c r="Z382" s="1711">
        <v>50</v>
      </c>
      <c r="AA382" s="1715">
        <v>1.2999999999999999E-3</v>
      </c>
      <c r="AB382" s="1716" t="s">
        <v>1471</v>
      </c>
      <c r="AC382" s="1738">
        <v>0.16</v>
      </c>
    </row>
    <row r="383" spans="1:29" ht="30">
      <c r="A383" s="1704" t="s">
        <v>210</v>
      </c>
      <c r="B383" s="1705" t="s">
        <v>209</v>
      </c>
      <c r="C383" s="1736">
        <v>0.04</v>
      </c>
      <c r="D383" s="1708" t="s">
        <v>1119</v>
      </c>
      <c r="E383" s="1709">
        <v>1.1E-5</v>
      </c>
      <c r="F383" s="1708" t="s">
        <v>1900</v>
      </c>
      <c r="G383" s="1709">
        <v>6.9999999999999999E-4</v>
      </c>
      <c r="H383" s="1708" t="s">
        <v>1119</v>
      </c>
      <c r="I383" s="1709">
        <v>0.03</v>
      </c>
      <c r="J383" s="1708" t="s">
        <v>1119</v>
      </c>
      <c r="K383" s="1708" t="s">
        <v>1127</v>
      </c>
      <c r="L383" s="1707"/>
      <c r="M383" s="1708">
        <v>1</v>
      </c>
      <c r="N383" s="1708"/>
      <c r="O383" s="1710"/>
      <c r="P383" s="1711">
        <v>1.8</v>
      </c>
      <c r="Q383" s="1712" t="s">
        <v>4127</v>
      </c>
      <c r="R383" s="1711">
        <v>8</v>
      </c>
      <c r="S383" s="1712" t="s">
        <v>4127</v>
      </c>
      <c r="T383" s="1711">
        <v>0.26</v>
      </c>
      <c r="U383" s="1712" t="s">
        <v>4126</v>
      </c>
      <c r="V383" s="1711">
        <v>1.1000000000000001</v>
      </c>
      <c r="W383" s="1712" t="s">
        <v>4126</v>
      </c>
      <c r="X383" s="1711">
        <v>0.33</v>
      </c>
      <c r="Y383" s="1714" t="s">
        <v>4127</v>
      </c>
      <c r="Z383" s="1713"/>
      <c r="AA383" s="1715">
        <v>2.0000000000000001E-4</v>
      </c>
      <c r="AB383" s="1716" t="s">
        <v>4127</v>
      </c>
      <c r="AC383" s="1717"/>
    </row>
    <row r="384" spans="1:29" ht="15">
      <c r="A384" s="1719" t="s">
        <v>2573</v>
      </c>
      <c r="B384" s="1720" t="s">
        <v>2574</v>
      </c>
      <c r="C384" s="1721"/>
      <c r="D384" s="1722"/>
      <c r="E384" s="1723"/>
      <c r="F384" s="1722"/>
      <c r="G384" s="1724">
        <v>2.9999999999999997E-4</v>
      </c>
      <c r="H384" s="1723" t="s">
        <v>1119</v>
      </c>
      <c r="I384" s="1723"/>
      <c r="J384" s="1722"/>
      <c r="K384" s="1722"/>
      <c r="L384" s="1722"/>
      <c r="M384" s="1723">
        <v>1</v>
      </c>
      <c r="N384" s="1723">
        <v>0.1</v>
      </c>
      <c r="O384" s="1725"/>
      <c r="P384" s="1726">
        <v>19</v>
      </c>
      <c r="Q384" s="1727" t="s">
        <v>1471</v>
      </c>
      <c r="R384" s="1726">
        <v>250</v>
      </c>
      <c r="S384" s="1727" t="s">
        <v>1471</v>
      </c>
      <c r="T384" s="1727"/>
      <c r="U384" s="1728"/>
      <c r="V384" s="1727"/>
      <c r="W384" s="1728"/>
      <c r="X384" s="1726">
        <v>6</v>
      </c>
      <c r="Y384" s="1729" t="s">
        <v>1471</v>
      </c>
      <c r="Z384" s="1728"/>
      <c r="AA384" s="1730">
        <v>8</v>
      </c>
      <c r="AB384" s="1731" t="s">
        <v>1471</v>
      </c>
      <c r="AC384" s="1732"/>
    </row>
    <row r="385" spans="1:29" ht="45">
      <c r="A385" s="1704" t="s">
        <v>2575</v>
      </c>
      <c r="B385" s="1705" t="s">
        <v>2576</v>
      </c>
      <c r="C385" s="1736">
        <v>0.08</v>
      </c>
      <c r="D385" s="1708" t="s">
        <v>1119</v>
      </c>
      <c r="E385" s="1708"/>
      <c r="F385" s="1707"/>
      <c r="G385" s="1709">
        <v>4.0000000000000001E-3</v>
      </c>
      <c r="H385" s="1708" t="s">
        <v>1119</v>
      </c>
      <c r="I385" s="1708"/>
      <c r="J385" s="1707"/>
      <c r="K385" s="1707"/>
      <c r="L385" s="1707"/>
      <c r="M385" s="1708">
        <v>1</v>
      </c>
      <c r="N385" s="1708">
        <v>1.4999999999999999E-2</v>
      </c>
      <c r="O385" s="1710"/>
      <c r="P385" s="1711">
        <v>8.3000000000000007</v>
      </c>
      <c r="Q385" s="1712" t="s">
        <v>4127</v>
      </c>
      <c r="R385" s="1711">
        <v>38</v>
      </c>
      <c r="S385" s="1712" t="s">
        <v>4126</v>
      </c>
      <c r="T385" s="1712"/>
      <c r="U385" s="1713"/>
      <c r="V385" s="1712"/>
      <c r="W385" s="1713"/>
      <c r="X385" s="1711">
        <v>0.97</v>
      </c>
      <c r="Y385" s="1714" t="s">
        <v>4127</v>
      </c>
      <c r="Z385" s="1713"/>
      <c r="AA385" s="1715">
        <v>3.6999999999999999E-4</v>
      </c>
      <c r="AB385" s="1716" t="s">
        <v>4127</v>
      </c>
      <c r="AC385" s="1717"/>
    </row>
    <row r="386" spans="1:29" ht="30">
      <c r="A386" s="1704" t="s">
        <v>2577</v>
      </c>
      <c r="B386" s="1705" t="s">
        <v>2578</v>
      </c>
      <c r="C386" s="1706"/>
      <c r="D386" s="1707"/>
      <c r="E386" s="1708"/>
      <c r="F386" s="1707"/>
      <c r="G386" s="1708"/>
      <c r="H386" s="1707"/>
      <c r="I386" s="1709">
        <v>1.0000000000000001E-5</v>
      </c>
      <c r="J386" s="1708" t="s">
        <v>1119</v>
      </c>
      <c r="K386" s="1708" t="s">
        <v>1127</v>
      </c>
      <c r="L386" s="1707"/>
      <c r="M386" s="1708">
        <v>1</v>
      </c>
      <c r="N386" s="1708"/>
      <c r="O386" s="1718">
        <v>3390</v>
      </c>
      <c r="P386" s="1711">
        <v>3.1</v>
      </c>
      <c r="Q386" s="1712" t="s">
        <v>1471</v>
      </c>
      <c r="R386" s="1711">
        <v>13</v>
      </c>
      <c r="S386" s="1712" t="s">
        <v>1471</v>
      </c>
      <c r="T386" s="1711">
        <v>0.01</v>
      </c>
      <c r="U386" s="1712" t="s">
        <v>1471</v>
      </c>
      <c r="V386" s="1711">
        <v>4.3999999999999997E-2</v>
      </c>
      <c r="W386" s="1712" t="s">
        <v>1471</v>
      </c>
      <c r="X386" s="1711">
        <v>2.1000000000000001E-2</v>
      </c>
      <c r="Y386" s="1714" t="s">
        <v>1471</v>
      </c>
      <c r="Z386" s="1713"/>
      <c r="AA386" s="1715">
        <v>2.1000000000000001E-4</v>
      </c>
      <c r="AB386" s="1716" t="s">
        <v>1471</v>
      </c>
      <c r="AC386" s="1717"/>
    </row>
    <row r="387" spans="1:29" ht="45">
      <c r="A387" s="1719" t="s">
        <v>2579</v>
      </c>
      <c r="B387" s="1720" t="s">
        <v>2580</v>
      </c>
      <c r="C387" s="1721"/>
      <c r="D387" s="1722"/>
      <c r="E387" s="1723"/>
      <c r="F387" s="1722"/>
      <c r="G387" s="1723"/>
      <c r="H387" s="1722"/>
      <c r="I387" s="1724">
        <v>4.0000000000000002E-4</v>
      </c>
      <c r="J387" s="1723" t="s">
        <v>1900</v>
      </c>
      <c r="K387" s="1722"/>
      <c r="L387" s="1722"/>
      <c r="M387" s="1723">
        <v>1</v>
      </c>
      <c r="N387" s="1723">
        <v>0.1</v>
      </c>
      <c r="O387" s="1725"/>
      <c r="P387" s="1726">
        <v>570000</v>
      </c>
      <c r="Q387" s="1727" t="s">
        <v>4124</v>
      </c>
      <c r="R387" s="1726">
        <v>2400000</v>
      </c>
      <c r="S387" s="1727" t="s">
        <v>4124</v>
      </c>
      <c r="T387" s="1726">
        <v>0.42</v>
      </c>
      <c r="U387" s="1727" t="s">
        <v>1471</v>
      </c>
      <c r="V387" s="1726">
        <v>1.8</v>
      </c>
      <c r="W387" s="1727" t="s">
        <v>1471</v>
      </c>
      <c r="X387" s="1727"/>
      <c r="Y387" s="1743"/>
      <c r="Z387" s="1728"/>
      <c r="AA387" s="1731"/>
      <c r="AB387" s="1740"/>
      <c r="AC387" s="1732"/>
    </row>
    <row r="388" spans="1:29" ht="45">
      <c r="A388" s="1704" t="s">
        <v>2581</v>
      </c>
      <c r="B388" s="1705" t="s">
        <v>2582</v>
      </c>
      <c r="C388" s="1706"/>
      <c r="D388" s="1707"/>
      <c r="E388" s="1708"/>
      <c r="F388" s="1707"/>
      <c r="G388" s="1708"/>
      <c r="H388" s="1707"/>
      <c r="I388" s="1709">
        <v>4.0000000000000002E-4</v>
      </c>
      <c r="J388" s="1708" t="s">
        <v>1900</v>
      </c>
      <c r="K388" s="1707"/>
      <c r="L388" s="1707"/>
      <c r="M388" s="1708">
        <v>1</v>
      </c>
      <c r="N388" s="1708">
        <v>0.1</v>
      </c>
      <c r="O388" s="1710"/>
      <c r="P388" s="1711">
        <v>570000</v>
      </c>
      <c r="Q388" s="1712" t="s">
        <v>4124</v>
      </c>
      <c r="R388" s="1711">
        <v>2400000</v>
      </c>
      <c r="S388" s="1712" t="s">
        <v>4124</v>
      </c>
      <c r="T388" s="1711">
        <v>0.42</v>
      </c>
      <c r="U388" s="1712" t="s">
        <v>1471</v>
      </c>
      <c r="V388" s="1711">
        <v>1.8</v>
      </c>
      <c r="W388" s="1712" t="s">
        <v>1471</v>
      </c>
      <c r="X388" s="1712"/>
      <c r="Y388" s="1733"/>
      <c r="Z388" s="1713"/>
      <c r="AA388" s="1716"/>
      <c r="AB388" s="1734"/>
      <c r="AC388" s="1717"/>
    </row>
    <row r="389" spans="1:29" ht="30">
      <c r="A389" s="1704" t="s">
        <v>2583</v>
      </c>
      <c r="B389" s="1705" t="s">
        <v>2584</v>
      </c>
      <c r="C389" s="1706"/>
      <c r="D389" s="1707"/>
      <c r="E389" s="1708"/>
      <c r="F389" s="1707"/>
      <c r="G389" s="1709">
        <v>4.0000000000000002E-4</v>
      </c>
      <c r="H389" s="1708" t="s">
        <v>1909</v>
      </c>
      <c r="I389" s="1708"/>
      <c r="J389" s="1707"/>
      <c r="K389" s="1707"/>
      <c r="L389" s="1707"/>
      <c r="M389" s="1708">
        <v>1</v>
      </c>
      <c r="N389" s="1708">
        <v>0.1</v>
      </c>
      <c r="O389" s="1710"/>
      <c r="P389" s="1711">
        <v>25</v>
      </c>
      <c r="Q389" s="1712" t="s">
        <v>1471</v>
      </c>
      <c r="R389" s="1711">
        <v>330</v>
      </c>
      <c r="S389" s="1712" t="s">
        <v>1471</v>
      </c>
      <c r="T389" s="1712"/>
      <c r="U389" s="1713"/>
      <c r="V389" s="1712"/>
      <c r="W389" s="1713"/>
      <c r="X389" s="1711">
        <v>8</v>
      </c>
      <c r="Y389" s="1714" t="s">
        <v>1471</v>
      </c>
      <c r="Z389" s="1713"/>
      <c r="AA389" s="1715">
        <v>1.8E-3</v>
      </c>
      <c r="AB389" s="1716" t="s">
        <v>1471</v>
      </c>
      <c r="AC389" s="1717"/>
    </row>
    <row r="390" spans="1:29" ht="30">
      <c r="A390" s="1719" t="s">
        <v>2585</v>
      </c>
      <c r="B390" s="1720" t="s">
        <v>2586</v>
      </c>
      <c r="C390" s="1721"/>
      <c r="D390" s="1722"/>
      <c r="E390" s="1724">
        <v>1.9999999999999999E-7</v>
      </c>
      <c r="F390" s="1723" t="s">
        <v>1893</v>
      </c>
      <c r="G390" s="1723"/>
      <c r="H390" s="1722"/>
      <c r="I390" s="1724">
        <v>0.6</v>
      </c>
      <c r="J390" s="1723" t="s">
        <v>1909</v>
      </c>
      <c r="K390" s="1723" t="s">
        <v>1127</v>
      </c>
      <c r="L390" s="1722"/>
      <c r="M390" s="1723">
        <v>1</v>
      </c>
      <c r="N390" s="1723"/>
      <c r="O390" s="1735">
        <v>141</v>
      </c>
      <c r="P390" s="1726">
        <v>12</v>
      </c>
      <c r="Q390" s="1727" t="s">
        <v>4127</v>
      </c>
      <c r="R390" s="1726">
        <v>51</v>
      </c>
      <c r="S390" s="1727" t="s">
        <v>4127</v>
      </c>
      <c r="T390" s="1726">
        <v>14</v>
      </c>
      <c r="U390" s="1727" t="s">
        <v>4127</v>
      </c>
      <c r="V390" s="1726">
        <v>61</v>
      </c>
      <c r="W390" s="1727" t="s">
        <v>4127</v>
      </c>
      <c r="X390" s="1726">
        <v>28</v>
      </c>
      <c r="Y390" s="1729" t="s">
        <v>4127</v>
      </c>
      <c r="Z390" s="1728"/>
      <c r="AA390" s="1730">
        <v>0.2</v>
      </c>
      <c r="AB390" s="1731" t="s">
        <v>4127</v>
      </c>
      <c r="AC390" s="1732"/>
    </row>
    <row r="391" spans="1:29" ht="15">
      <c r="A391" s="1704" t="s">
        <v>2587</v>
      </c>
      <c r="B391" s="1705" t="s">
        <v>2588</v>
      </c>
      <c r="C391" s="1706"/>
      <c r="D391" s="1707"/>
      <c r="E391" s="1708"/>
      <c r="F391" s="1707"/>
      <c r="G391" s="1708"/>
      <c r="H391" s="1707"/>
      <c r="I391" s="1709">
        <v>0.7</v>
      </c>
      <c r="J391" s="1708" t="s">
        <v>1119</v>
      </c>
      <c r="K391" s="1708" t="s">
        <v>1127</v>
      </c>
      <c r="L391" s="1707"/>
      <c r="M391" s="1708">
        <v>1</v>
      </c>
      <c r="N391" s="1708"/>
      <c r="O391" s="1718">
        <v>141</v>
      </c>
      <c r="P391" s="1711">
        <v>610</v>
      </c>
      <c r="Q391" s="1712" t="s">
        <v>4125</v>
      </c>
      <c r="R391" s="1711">
        <v>2500</v>
      </c>
      <c r="S391" s="1712" t="s">
        <v>4125</v>
      </c>
      <c r="T391" s="1711">
        <v>730</v>
      </c>
      <c r="U391" s="1712" t="s">
        <v>1471</v>
      </c>
      <c r="V391" s="1711">
        <v>3100</v>
      </c>
      <c r="W391" s="1712" t="s">
        <v>1471</v>
      </c>
      <c r="X391" s="1711">
        <v>1500</v>
      </c>
      <c r="Y391" s="1714" t="s">
        <v>1471</v>
      </c>
      <c r="Z391" s="1713"/>
      <c r="AA391" s="1715">
        <v>10</v>
      </c>
      <c r="AB391" s="1716" t="s">
        <v>1471</v>
      </c>
      <c r="AC391" s="1717"/>
    </row>
    <row r="392" spans="1:29" ht="15">
      <c r="A392" s="1704" t="s">
        <v>2589</v>
      </c>
      <c r="B392" s="1705" t="s">
        <v>2590</v>
      </c>
      <c r="C392" s="1706"/>
      <c r="D392" s="1707"/>
      <c r="E392" s="1708"/>
      <c r="F392" s="1707"/>
      <c r="G392" s="1709">
        <v>2</v>
      </c>
      <c r="H392" s="1708" t="s">
        <v>1909</v>
      </c>
      <c r="I392" s="1708"/>
      <c r="J392" s="1707"/>
      <c r="K392" s="1707"/>
      <c r="L392" s="1707"/>
      <c r="M392" s="1708">
        <v>1</v>
      </c>
      <c r="N392" s="1708">
        <v>0.1</v>
      </c>
      <c r="O392" s="1710"/>
      <c r="P392" s="1711">
        <v>130000</v>
      </c>
      <c r="Q392" s="1712" t="s">
        <v>4124</v>
      </c>
      <c r="R392" s="1711">
        <v>1600000</v>
      </c>
      <c r="S392" s="1712" t="s">
        <v>4124</v>
      </c>
      <c r="T392" s="1712"/>
      <c r="U392" s="1713"/>
      <c r="V392" s="1712"/>
      <c r="W392" s="1713"/>
      <c r="X392" s="1711">
        <v>40000</v>
      </c>
      <c r="Y392" s="1714" t="s">
        <v>1471</v>
      </c>
      <c r="Z392" s="1713"/>
      <c r="AA392" s="1715">
        <v>9.9</v>
      </c>
      <c r="AB392" s="1716" t="s">
        <v>1471</v>
      </c>
      <c r="AC392" s="1717"/>
    </row>
    <row r="393" spans="1:29" ht="45">
      <c r="A393" s="1719" t="s">
        <v>2591</v>
      </c>
      <c r="B393" s="1720" t="s">
        <v>2592</v>
      </c>
      <c r="C393" s="1737">
        <v>9.4999999999999998E-3</v>
      </c>
      <c r="D393" s="1723" t="s">
        <v>1909</v>
      </c>
      <c r="E393" s="1723"/>
      <c r="F393" s="1722"/>
      <c r="G393" s="1724">
        <v>7.0000000000000007E-2</v>
      </c>
      <c r="H393" s="1723" t="s">
        <v>1909</v>
      </c>
      <c r="I393" s="1724">
        <v>4.0000000000000002E-4</v>
      </c>
      <c r="J393" s="1723" t="s">
        <v>1909</v>
      </c>
      <c r="K393" s="1723" t="s">
        <v>1127</v>
      </c>
      <c r="L393" s="1722"/>
      <c r="M393" s="1723">
        <v>1</v>
      </c>
      <c r="N393" s="1723"/>
      <c r="O393" s="1735">
        <v>274</v>
      </c>
      <c r="P393" s="1726">
        <v>15</v>
      </c>
      <c r="Q393" s="1727" t="s">
        <v>1471</v>
      </c>
      <c r="R393" s="1726">
        <v>63</v>
      </c>
      <c r="S393" s="1727" t="s">
        <v>1471</v>
      </c>
      <c r="T393" s="1726">
        <v>0.42</v>
      </c>
      <c r="U393" s="1727" t="s">
        <v>1471</v>
      </c>
      <c r="V393" s="1726">
        <v>1.8</v>
      </c>
      <c r="W393" s="1727" t="s">
        <v>1471</v>
      </c>
      <c r="X393" s="1726">
        <v>0.83</v>
      </c>
      <c r="Y393" s="1729" t="s">
        <v>1471</v>
      </c>
      <c r="Z393" s="1728"/>
      <c r="AA393" s="1730">
        <v>2.3000000000000001E-4</v>
      </c>
      <c r="AB393" s="1731" t="s">
        <v>1471</v>
      </c>
      <c r="AC393" s="1732"/>
    </row>
    <row r="394" spans="1:29" ht="15">
      <c r="A394" s="1704" t="s">
        <v>2593</v>
      </c>
      <c r="B394" s="1705" t="s">
        <v>2594</v>
      </c>
      <c r="C394" s="1706"/>
      <c r="D394" s="1707"/>
      <c r="E394" s="1708"/>
      <c r="F394" s="1707"/>
      <c r="G394" s="1709">
        <v>5.0000000000000001E-3</v>
      </c>
      <c r="H394" s="1708" t="s">
        <v>1119</v>
      </c>
      <c r="I394" s="1709">
        <v>0.03</v>
      </c>
      <c r="J394" s="1708" t="s">
        <v>1119</v>
      </c>
      <c r="K394" s="1708" t="s">
        <v>1127</v>
      </c>
      <c r="L394" s="1707"/>
      <c r="M394" s="1708">
        <v>1</v>
      </c>
      <c r="N394" s="1708"/>
      <c r="O394" s="1718">
        <v>3280</v>
      </c>
      <c r="P394" s="1711">
        <v>200</v>
      </c>
      <c r="Q394" s="1712" t="s">
        <v>1471</v>
      </c>
      <c r="R394" s="1711">
        <v>1300</v>
      </c>
      <c r="S394" s="1712" t="s">
        <v>1471</v>
      </c>
      <c r="T394" s="1711">
        <v>31</v>
      </c>
      <c r="U394" s="1712" t="s">
        <v>1471</v>
      </c>
      <c r="V394" s="1711">
        <v>130</v>
      </c>
      <c r="W394" s="1712" t="s">
        <v>1471</v>
      </c>
      <c r="X394" s="1711">
        <v>38</v>
      </c>
      <c r="Y394" s="1714" t="s">
        <v>1471</v>
      </c>
      <c r="Z394" s="1713"/>
      <c r="AA394" s="1715">
        <v>8.8000000000000005E-3</v>
      </c>
      <c r="AB394" s="1716" t="s">
        <v>1471</v>
      </c>
      <c r="AC394" s="1717"/>
    </row>
    <row r="395" spans="1:29" ht="15">
      <c r="A395" s="1704" t="s">
        <v>2595</v>
      </c>
      <c r="B395" s="1705" t="s">
        <v>2596</v>
      </c>
      <c r="C395" s="1706"/>
      <c r="D395" s="1707"/>
      <c r="E395" s="1708"/>
      <c r="F395" s="1707"/>
      <c r="G395" s="1709">
        <v>3.3000000000000002E-2</v>
      </c>
      <c r="H395" s="1708" t="s">
        <v>1119</v>
      </c>
      <c r="I395" s="1708"/>
      <c r="J395" s="1707"/>
      <c r="K395" s="1707"/>
      <c r="L395" s="1707"/>
      <c r="M395" s="1708">
        <v>1</v>
      </c>
      <c r="N395" s="1708">
        <v>0.1</v>
      </c>
      <c r="O395" s="1710"/>
      <c r="P395" s="1711">
        <v>2100</v>
      </c>
      <c r="Q395" s="1712" t="s">
        <v>1471</v>
      </c>
      <c r="R395" s="1711">
        <v>27000</v>
      </c>
      <c r="S395" s="1712" t="s">
        <v>1471</v>
      </c>
      <c r="T395" s="1712"/>
      <c r="U395" s="1713"/>
      <c r="V395" s="1712"/>
      <c r="W395" s="1713"/>
      <c r="X395" s="1711">
        <v>640</v>
      </c>
      <c r="Y395" s="1714" t="s">
        <v>1471</v>
      </c>
      <c r="Z395" s="1713"/>
      <c r="AA395" s="1715">
        <v>0.3</v>
      </c>
      <c r="AB395" s="1716" t="s">
        <v>1471</v>
      </c>
      <c r="AC395" s="1717"/>
    </row>
    <row r="396" spans="1:29" ht="15">
      <c r="A396" s="1719" t="s">
        <v>2597</v>
      </c>
      <c r="B396" s="1720" t="s">
        <v>2598</v>
      </c>
      <c r="C396" s="1721"/>
      <c r="D396" s="1722"/>
      <c r="E396" s="1723"/>
      <c r="F396" s="1722"/>
      <c r="G396" s="1724">
        <v>2.5000000000000001E-2</v>
      </c>
      <c r="H396" s="1723" t="s">
        <v>1119</v>
      </c>
      <c r="I396" s="1723"/>
      <c r="J396" s="1722"/>
      <c r="K396" s="1722"/>
      <c r="L396" s="1722"/>
      <c r="M396" s="1723">
        <v>1</v>
      </c>
      <c r="N396" s="1723">
        <v>0.1</v>
      </c>
      <c r="O396" s="1725"/>
      <c r="P396" s="1726">
        <v>1600</v>
      </c>
      <c r="Q396" s="1727" t="s">
        <v>1471</v>
      </c>
      <c r="R396" s="1726">
        <v>21000</v>
      </c>
      <c r="S396" s="1727" t="s">
        <v>1471</v>
      </c>
      <c r="T396" s="1727"/>
      <c r="U396" s="1728"/>
      <c r="V396" s="1727"/>
      <c r="W396" s="1728"/>
      <c r="X396" s="1726">
        <v>110</v>
      </c>
      <c r="Y396" s="1729" t="s">
        <v>1471</v>
      </c>
      <c r="Z396" s="1728"/>
      <c r="AA396" s="1730">
        <v>0.5</v>
      </c>
      <c r="AB396" s="1731" t="s">
        <v>1471</v>
      </c>
      <c r="AC396" s="1732"/>
    </row>
    <row r="397" spans="1:29" ht="15">
      <c r="A397" s="1704" t="s">
        <v>2599</v>
      </c>
      <c r="B397" s="1705" t="s">
        <v>2600</v>
      </c>
      <c r="C397" s="1706"/>
      <c r="D397" s="1707"/>
      <c r="E397" s="1708"/>
      <c r="F397" s="1707"/>
      <c r="G397" s="1709">
        <v>1.7000000000000001E-2</v>
      </c>
      <c r="H397" s="1708" t="s">
        <v>1116</v>
      </c>
      <c r="I397" s="1708"/>
      <c r="J397" s="1707"/>
      <c r="K397" s="1707"/>
      <c r="L397" s="1707"/>
      <c r="M397" s="1708">
        <v>1</v>
      </c>
      <c r="N397" s="1708">
        <v>0.1</v>
      </c>
      <c r="O397" s="1710"/>
      <c r="P397" s="1711">
        <v>1100</v>
      </c>
      <c r="Q397" s="1712" t="s">
        <v>1471</v>
      </c>
      <c r="R397" s="1711">
        <v>14000</v>
      </c>
      <c r="S397" s="1712" t="s">
        <v>1471</v>
      </c>
      <c r="T397" s="1712"/>
      <c r="U397" s="1713"/>
      <c r="V397" s="1712"/>
      <c r="W397" s="1713"/>
      <c r="X397" s="1711">
        <v>340</v>
      </c>
      <c r="Y397" s="1714" t="s">
        <v>1471</v>
      </c>
      <c r="Z397" s="1713"/>
      <c r="AA397" s="1715">
        <v>120000</v>
      </c>
      <c r="AB397" s="1716" t="s">
        <v>1471</v>
      </c>
      <c r="AC397" s="1717"/>
    </row>
    <row r="398" spans="1:29" ht="15">
      <c r="A398" s="1704" t="s">
        <v>2601</v>
      </c>
      <c r="B398" s="1705" t="s">
        <v>2602</v>
      </c>
      <c r="C398" s="1736">
        <v>3</v>
      </c>
      <c r="D398" s="1708" t="s">
        <v>1119</v>
      </c>
      <c r="E398" s="1709">
        <v>4.8999999999999998E-3</v>
      </c>
      <c r="F398" s="1708" t="s">
        <v>1119</v>
      </c>
      <c r="G398" s="1708"/>
      <c r="H398" s="1707"/>
      <c r="I398" s="1709">
        <v>3.0000000000000001E-5</v>
      </c>
      <c r="J398" s="1708" t="s">
        <v>1909</v>
      </c>
      <c r="K398" s="1708" t="s">
        <v>1127</v>
      </c>
      <c r="L398" s="1707"/>
      <c r="M398" s="1708">
        <v>1</v>
      </c>
      <c r="N398" s="1708"/>
      <c r="O398" s="1718">
        <v>112000</v>
      </c>
      <c r="P398" s="1711">
        <v>3.2000000000000001E-2</v>
      </c>
      <c r="Q398" s="1712" t="s">
        <v>4127</v>
      </c>
      <c r="R398" s="1711">
        <v>0.14000000000000001</v>
      </c>
      <c r="S398" s="1712" t="s">
        <v>4127</v>
      </c>
      <c r="T398" s="1711">
        <v>5.6999999999999998E-4</v>
      </c>
      <c r="U398" s="1712" t="s">
        <v>4127</v>
      </c>
      <c r="V398" s="1711">
        <v>2.5000000000000001E-3</v>
      </c>
      <c r="W398" s="1712" t="s">
        <v>4127</v>
      </c>
      <c r="X398" s="1711">
        <v>1.1000000000000001E-3</v>
      </c>
      <c r="Y398" s="1714" t="s">
        <v>4127</v>
      </c>
      <c r="Z398" s="1713"/>
      <c r="AA398" s="1715">
        <v>2.2000000000000001E-7</v>
      </c>
      <c r="AB398" s="1716" t="s">
        <v>4127</v>
      </c>
      <c r="AC398" s="1717"/>
    </row>
    <row r="399" spans="1:29" ht="15">
      <c r="A399" s="1719" t="s">
        <v>2603</v>
      </c>
      <c r="B399" s="1720" t="s">
        <v>2604</v>
      </c>
      <c r="C399" s="1737">
        <v>3</v>
      </c>
      <c r="D399" s="1723" t="s">
        <v>1119</v>
      </c>
      <c r="E399" s="1724">
        <v>4.8999999999999998E-3</v>
      </c>
      <c r="F399" s="1723" t="s">
        <v>1119</v>
      </c>
      <c r="G399" s="1723"/>
      <c r="H399" s="1722"/>
      <c r="I399" s="1723"/>
      <c r="J399" s="1722"/>
      <c r="K399" s="1722"/>
      <c r="L399" s="1722"/>
      <c r="M399" s="1723">
        <v>1</v>
      </c>
      <c r="N399" s="1723"/>
      <c r="O399" s="1725"/>
      <c r="P399" s="1726">
        <v>0.23</v>
      </c>
      <c r="Q399" s="1727" t="s">
        <v>4126</v>
      </c>
      <c r="R399" s="1726">
        <v>1.1000000000000001</v>
      </c>
      <c r="S399" s="1727" t="s">
        <v>4126</v>
      </c>
      <c r="T399" s="1726">
        <v>5.6999999999999998E-4</v>
      </c>
      <c r="U399" s="1727" t="s">
        <v>4126</v>
      </c>
      <c r="V399" s="1726">
        <v>2.5000000000000001E-3</v>
      </c>
      <c r="W399" s="1727" t="s">
        <v>4126</v>
      </c>
      <c r="X399" s="1726">
        <v>2.5999999999999999E-2</v>
      </c>
      <c r="Y399" s="1729" t="s">
        <v>4126</v>
      </c>
      <c r="Z399" s="1728"/>
      <c r="AA399" s="1731"/>
      <c r="AB399" s="1740"/>
      <c r="AC399" s="1732"/>
    </row>
    <row r="400" spans="1:29" ht="30">
      <c r="A400" s="1704" t="s">
        <v>2605</v>
      </c>
      <c r="B400" s="1705" t="s">
        <v>2606</v>
      </c>
      <c r="C400" s="1706"/>
      <c r="D400" s="1707"/>
      <c r="E400" s="1708"/>
      <c r="F400" s="1707"/>
      <c r="G400" s="1708"/>
      <c r="H400" s="1707"/>
      <c r="I400" s="1709">
        <v>0.02</v>
      </c>
      <c r="J400" s="1708" t="s">
        <v>1119</v>
      </c>
      <c r="K400" s="1708" t="s">
        <v>1127</v>
      </c>
      <c r="L400" s="1707"/>
      <c r="M400" s="1708">
        <v>1</v>
      </c>
      <c r="N400" s="1708"/>
      <c r="O400" s="1710"/>
      <c r="P400" s="1711">
        <v>28000000</v>
      </c>
      <c r="Q400" s="1712" t="s">
        <v>4124</v>
      </c>
      <c r="R400" s="1711">
        <v>120000000</v>
      </c>
      <c r="S400" s="1712" t="s">
        <v>4124</v>
      </c>
      <c r="T400" s="1711">
        <v>21</v>
      </c>
      <c r="U400" s="1712" t="s">
        <v>1471</v>
      </c>
      <c r="V400" s="1711">
        <v>88</v>
      </c>
      <c r="W400" s="1712" t="s">
        <v>1471</v>
      </c>
      <c r="X400" s="1711">
        <v>42</v>
      </c>
      <c r="Y400" s="1714" t="s">
        <v>1471</v>
      </c>
      <c r="Z400" s="1713"/>
      <c r="AA400" s="1716"/>
      <c r="AB400" s="1734"/>
      <c r="AC400" s="1717"/>
    </row>
    <row r="401" spans="1:29" ht="30">
      <c r="A401" s="1704" t="s">
        <v>2608</v>
      </c>
      <c r="B401" s="1705" t="s">
        <v>2609</v>
      </c>
      <c r="C401" s="1706"/>
      <c r="D401" s="1707"/>
      <c r="E401" s="1708"/>
      <c r="F401" s="1707"/>
      <c r="G401" s="1709">
        <v>0.04</v>
      </c>
      <c r="H401" s="1708" t="s">
        <v>1900</v>
      </c>
      <c r="I401" s="1709">
        <v>1.4E-2</v>
      </c>
      <c r="J401" s="1708" t="s">
        <v>1900</v>
      </c>
      <c r="K401" s="1708" t="s">
        <v>1127</v>
      </c>
      <c r="L401" s="1707"/>
      <c r="M401" s="1708">
        <v>1</v>
      </c>
      <c r="N401" s="1708"/>
      <c r="O401" s="1710"/>
      <c r="P401" s="1711">
        <v>3100</v>
      </c>
      <c r="Q401" s="1712" t="s">
        <v>1471</v>
      </c>
      <c r="R401" s="1711">
        <v>47000</v>
      </c>
      <c r="S401" s="1712" t="s">
        <v>1471</v>
      </c>
      <c r="T401" s="1711">
        <v>15</v>
      </c>
      <c r="U401" s="1712" t="s">
        <v>1471</v>
      </c>
      <c r="V401" s="1711">
        <v>61</v>
      </c>
      <c r="W401" s="1712" t="s">
        <v>1471</v>
      </c>
      <c r="X401" s="1711">
        <v>28</v>
      </c>
      <c r="Y401" s="1714" t="s">
        <v>1471</v>
      </c>
      <c r="Z401" s="1713"/>
      <c r="AA401" s="1716"/>
      <c r="AB401" s="1734"/>
      <c r="AC401" s="1717"/>
    </row>
    <row r="402" spans="1:29" ht="15">
      <c r="A402" s="1741">
        <v>2148878</v>
      </c>
      <c r="B402" s="1720" t="s">
        <v>2611</v>
      </c>
      <c r="C402" s="1721"/>
      <c r="D402" s="1722"/>
      <c r="E402" s="1723"/>
      <c r="F402" s="1722"/>
      <c r="G402" s="1723"/>
      <c r="H402" s="1722"/>
      <c r="I402" s="1724">
        <v>2E-3</v>
      </c>
      <c r="J402" s="1723" t="s">
        <v>1119</v>
      </c>
      <c r="K402" s="1723" t="s">
        <v>1127</v>
      </c>
      <c r="L402" s="1722"/>
      <c r="M402" s="1723">
        <v>1</v>
      </c>
      <c r="N402" s="1723"/>
      <c r="O402" s="1725"/>
      <c r="P402" s="1726">
        <v>2800000</v>
      </c>
      <c r="Q402" s="1727" t="s">
        <v>4124</v>
      </c>
      <c r="R402" s="1726">
        <v>12000000</v>
      </c>
      <c r="S402" s="1727" t="s">
        <v>4124</v>
      </c>
      <c r="T402" s="1726">
        <v>2.1</v>
      </c>
      <c r="U402" s="1727" t="s">
        <v>1471</v>
      </c>
      <c r="V402" s="1726">
        <v>8.8000000000000007</v>
      </c>
      <c r="W402" s="1727" t="s">
        <v>1471</v>
      </c>
      <c r="X402" s="1726">
        <v>4.2</v>
      </c>
      <c r="Y402" s="1729" t="s">
        <v>1471</v>
      </c>
      <c r="Z402" s="1728"/>
      <c r="AA402" s="1731"/>
      <c r="AB402" s="1740"/>
      <c r="AC402" s="1732"/>
    </row>
    <row r="403" spans="1:29" ht="15">
      <c r="A403" s="1704" t="s">
        <v>2613</v>
      </c>
      <c r="B403" s="1705" t="s">
        <v>2614</v>
      </c>
      <c r="C403" s="1736">
        <v>0.06</v>
      </c>
      <c r="D403" s="1708" t="s">
        <v>1909</v>
      </c>
      <c r="E403" s="1708"/>
      <c r="F403" s="1707"/>
      <c r="G403" s="1709">
        <v>0.04</v>
      </c>
      <c r="H403" s="1708" t="s">
        <v>1909</v>
      </c>
      <c r="I403" s="1708"/>
      <c r="J403" s="1707"/>
      <c r="K403" s="1707"/>
      <c r="L403" s="1707"/>
      <c r="M403" s="1708">
        <v>1</v>
      </c>
      <c r="N403" s="1708">
        <v>0.1</v>
      </c>
      <c r="O403" s="1710"/>
      <c r="P403" s="1711">
        <v>9</v>
      </c>
      <c r="Q403" s="1712" t="s">
        <v>4126</v>
      </c>
      <c r="R403" s="1711">
        <v>38</v>
      </c>
      <c r="S403" s="1712" t="s">
        <v>4126</v>
      </c>
      <c r="T403" s="1712"/>
      <c r="U403" s="1713"/>
      <c r="V403" s="1712"/>
      <c r="W403" s="1713"/>
      <c r="X403" s="1711">
        <v>1.3</v>
      </c>
      <c r="Y403" s="1714" t="s">
        <v>4126</v>
      </c>
      <c r="Z403" s="1713"/>
      <c r="AA403" s="1715">
        <v>8.7000000000000001E-4</v>
      </c>
      <c r="AB403" s="1716" t="s">
        <v>4126</v>
      </c>
      <c r="AC403" s="1717"/>
    </row>
    <row r="404" spans="1:29" ht="15">
      <c r="A404" s="1704" t="s">
        <v>2615</v>
      </c>
      <c r="B404" s="1705" t="s">
        <v>2616</v>
      </c>
      <c r="C404" s="1736">
        <v>6.1100000000000002E-2</v>
      </c>
      <c r="D404" s="1708" t="s">
        <v>1116</v>
      </c>
      <c r="E404" s="1708"/>
      <c r="F404" s="1707"/>
      <c r="G404" s="1709">
        <v>0.108</v>
      </c>
      <c r="H404" s="1708" t="s">
        <v>1116</v>
      </c>
      <c r="I404" s="1708"/>
      <c r="J404" s="1707"/>
      <c r="K404" s="1707"/>
      <c r="L404" s="1707"/>
      <c r="M404" s="1708">
        <v>1</v>
      </c>
      <c r="N404" s="1708">
        <v>0.1</v>
      </c>
      <c r="O404" s="1710"/>
      <c r="P404" s="1711">
        <v>8.9</v>
      </c>
      <c r="Q404" s="1712" t="s">
        <v>4126</v>
      </c>
      <c r="R404" s="1711">
        <v>38</v>
      </c>
      <c r="S404" s="1712" t="s">
        <v>4126</v>
      </c>
      <c r="T404" s="1712"/>
      <c r="U404" s="1713"/>
      <c r="V404" s="1712"/>
      <c r="W404" s="1713"/>
      <c r="X404" s="1711">
        <v>0.9</v>
      </c>
      <c r="Y404" s="1714" t="s">
        <v>4126</v>
      </c>
      <c r="Z404" s="1713"/>
      <c r="AA404" s="1715">
        <v>1.4999999999999999E-2</v>
      </c>
      <c r="AB404" s="1716" t="s">
        <v>4126</v>
      </c>
      <c r="AC404" s="1717"/>
    </row>
    <row r="405" spans="1:29" ht="15">
      <c r="A405" s="1719" t="s">
        <v>2617</v>
      </c>
      <c r="B405" s="1720" t="s">
        <v>2618</v>
      </c>
      <c r="C405" s="1721"/>
      <c r="D405" s="1722"/>
      <c r="E405" s="1723"/>
      <c r="F405" s="1722"/>
      <c r="G405" s="1724">
        <v>0.25</v>
      </c>
      <c r="H405" s="1723" t="s">
        <v>1119</v>
      </c>
      <c r="I405" s="1723"/>
      <c r="J405" s="1722"/>
      <c r="K405" s="1722"/>
      <c r="L405" s="1722"/>
      <c r="M405" s="1723">
        <v>1</v>
      </c>
      <c r="N405" s="1723">
        <v>0.1</v>
      </c>
      <c r="O405" s="1725"/>
      <c r="P405" s="1726">
        <v>16000</v>
      </c>
      <c r="Q405" s="1727" t="s">
        <v>1471</v>
      </c>
      <c r="R405" s="1726">
        <v>210000</v>
      </c>
      <c r="S405" s="1727" t="s">
        <v>4124</v>
      </c>
      <c r="T405" s="1727"/>
      <c r="U405" s="1728"/>
      <c r="V405" s="1727"/>
      <c r="W405" s="1728"/>
      <c r="X405" s="1726">
        <v>4900</v>
      </c>
      <c r="Y405" s="1729" t="s">
        <v>1471</v>
      </c>
      <c r="Z405" s="1728"/>
      <c r="AA405" s="1730">
        <v>24</v>
      </c>
      <c r="AB405" s="1731" t="s">
        <v>1471</v>
      </c>
      <c r="AC405" s="1732"/>
    </row>
    <row r="406" spans="1:29" ht="15">
      <c r="A406" s="1704" t="s">
        <v>2619</v>
      </c>
      <c r="B406" s="1705" t="s">
        <v>2620</v>
      </c>
      <c r="C406" s="1706"/>
      <c r="D406" s="1707"/>
      <c r="E406" s="1708"/>
      <c r="F406" s="1707"/>
      <c r="G406" s="1709">
        <v>2.5</v>
      </c>
      <c r="H406" s="1708" t="s">
        <v>1116</v>
      </c>
      <c r="I406" s="1708"/>
      <c r="J406" s="1707"/>
      <c r="K406" s="1707"/>
      <c r="L406" s="1707"/>
      <c r="M406" s="1708">
        <v>1</v>
      </c>
      <c r="N406" s="1708">
        <v>0.1</v>
      </c>
      <c r="O406" s="1710"/>
      <c r="P406" s="1711">
        <v>160000</v>
      </c>
      <c r="Q406" s="1712" t="s">
        <v>4124</v>
      </c>
      <c r="R406" s="1711">
        <v>2100000</v>
      </c>
      <c r="S406" s="1712" t="s">
        <v>4124</v>
      </c>
      <c r="T406" s="1712"/>
      <c r="U406" s="1713"/>
      <c r="V406" s="1712"/>
      <c r="W406" s="1713"/>
      <c r="X406" s="1711">
        <v>47000</v>
      </c>
      <c r="Y406" s="1714" t="s">
        <v>1471</v>
      </c>
      <c r="Z406" s="1713"/>
      <c r="AA406" s="1715">
        <v>41</v>
      </c>
      <c r="AB406" s="1716" t="s">
        <v>1471</v>
      </c>
      <c r="AC406" s="1717"/>
    </row>
    <row r="407" spans="1:29" ht="15">
      <c r="A407" s="1704" t="s">
        <v>2621</v>
      </c>
      <c r="B407" s="1705" t="s">
        <v>2622</v>
      </c>
      <c r="C407" s="1706"/>
      <c r="D407" s="1707"/>
      <c r="E407" s="1708"/>
      <c r="F407" s="1707"/>
      <c r="G407" s="1709">
        <v>0.01</v>
      </c>
      <c r="H407" s="1708" t="s">
        <v>1960</v>
      </c>
      <c r="I407" s="1708"/>
      <c r="J407" s="1707"/>
      <c r="K407" s="1707"/>
      <c r="L407" s="1707"/>
      <c r="M407" s="1708">
        <v>1</v>
      </c>
      <c r="N407" s="1708"/>
      <c r="O407" s="1710"/>
      <c r="P407" s="1711">
        <v>780</v>
      </c>
      <c r="Q407" s="1712" t="s">
        <v>1471</v>
      </c>
      <c r="R407" s="1711">
        <v>12000</v>
      </c>
      <c r="S407" s="1712" t="s">
        <v>1471</v>
      </c>
      <c r="T407" s="1712"/>
      <c r="U407" s="1713"/>
      <c r="V407" s="1712"/>
      <c r="W407" s="1713"/>
      <c r="X407" s="1711">
        <v>200</v>
      </c>
      <c r="Y407" s="1714" t="s">
        <v>1471</v>
      </c>
      <c r="Z407" s="1713"/>
      <c r="AA407" s="1715">
        <v>12</v>
      </c>
      <c r="AB407" s="1716" t="s">
        <v>1471</v>
      </c>
      <c r="AC407" s="1717"/>
    </row>
    <row r="408" spans="1:29" ht="15">
      <c r="A408" s="1719" t="s">
        <v>2623</v>
      </c>
      <c r="B408" s="1720" t="s">
        <v>2624</v>
      </c>
      <c r="C408" s="1721"/>
      <c r="D408" s="1722"/>
      <c r="E408" s="1723"/>
      <c r="F408" s="1722"/>
      <c r="G408" s="1724">
        <v>0.04</v>
      </c>
      <c r="H408" s="1723" t="s">
        <v>1119</v>
      </c>
      <c r="I408" s="1723"/>
      <c r="J408" s="1722"/>
      <c r="K408" s="1722"/>
      <c r="L408" s="1722"/>
      <c r="M408" s="1723">
        <v>1</v>
      </c>
      <c r="N408" s="1723">
        <v>0.1</v>
      </c>
      <c r="O408" s="1725"/>
      <c r="P408" s="1726">
        <v>2500</v>
      </c>
      <c r="Q408" s="1727" t="s">
        <v>1471</v>
      </c>
      <c r="R408" s="1726">
        <v>33000</v>
      </c>
      <c r="S408" s="1727" t="s">
        <v>1471</v>
      </c>
      <c r="T408" s="1727"/>
      <c r="U408" s="1728"/>
      <c r="V408" s="1727"/>
      <c r="W408" s="1728"/>
      <c r="X408" s="1726">
        <v>740</v>
      </c>
      <c r="Y408" s="1729" t="s">
        <v>1471</v>
      </c>
      <c r="Z408" s="1728"/>
      <c r="AA408" s="1730">
        <v>0.22</v>
      </c>
      <c r="AB408" s="1731" t="s">
        <v>1471</v>
      </c>
      <c r="AC408" s="1732"/>
    </row>
    <row r="409" spans="1:29" ht="15">
      <c r="A409" s="1704" t="s">
        <v>2625</v>
      </c>
      <c r="B409" s="1705" t="s">
        <v>2626</v>
      </c>
      <c r="C409" s="1706"/>
      <c r="D409" s="1707"/>
      <c r="E409" s="1708"/>
      <c r="F409" s="1707"/>
      <c r="G409" s="1709">
        <v>0.7</v>
      </c>
      <c r="H409" s="1708" t="s">
        <v>1909</v>
      </c>
      <c r="I409" s="1708"/>
      <c r="J409" s="1707"/>
      <c r="K409" s="1707"/>
      <c r="L409" s="1707"/>
      <c r="M409" s="1708">
        <v>1</v>
      </c>
      <c r="N409" s="1708"/>
      <c r="O409" s="1710"/>
      <c r="P409" s="1711">
        <v>55000</v>
      </c>
      <c r="Q409" s="1712" t="s">
        <v>1471</v>
      </c>
      <c r="R409" s="1711">
        <v>820000</v>
      </c>
      <c r="S409" s="1712" t="s">
        <v>4124</v>
      </c>
      <c r="T409" s="1712"/>
      <c r="U409" s="1713"/>
      <c r="V409" s="1712"/>
      <c r="W409" s="1713"/>
      <c r="X409" s="1711">
        <v>14000</v>
      </c>
      <c r="Y409" s="1714" t="s">
        <v>1471</v>
      </c>
      <c r="Z409" s="1713"/>
      <c r="AA409" s="1715">
        <v>350</v>
      </c>
      <c r="AB409" s="1716" t="s">
        <v>1471</v>
      </c>
      <c r="AC409" s="1717"/>
    </row>
    <row r="410" spans="1:29" ht="15">
      <c r="A410" s="1704" t="s">
        <v>2627</v>
      </c>
      <c r="B410" s="1705" t="s">
        <v>2628</v>
      </c>
      <c r="C410" s="1706"/>
      <c r="D410" s="1707"/>
      <c r="E410" s="1708"/>
      <c r="F410" s="1707"/>
      <c r="G410" s="1709">
        <v>0.3</v>
      </c>
      <c r="H410" s="1708" t="s">
        <v>1119</v>
      </c>
      <c r="I410" s="1709">
        <v>0.4</v>
      </c>
      <c r="J410" s="1708" t="s">
        <v>1893</v>
      </c>
      <c r="K410" s="1708" t="s">
        <v>1127</v>
      </c>
      <c r="L410" s="1707"/>
      <c r="M410" s="1708">
        <v>1</v>
      </c>
      <c r="N410" s="1708"/>
      <c r="O410" s="1718">
        <v>10000</v>
      </c>
      <c r="P410" s="1711">
        <v>7800</v>
      </c>
      <c r="Q410" s="1712" t="s">
        <v>1471</v>
      </c>
      <c r="R410" s="1711">
        <v>43000</v>
      </c>
      <c r="S410" s="1712" t="s">
        <v>4125</v>
      </c>
      <c r="T410" s="1711">
        <v>420</v>
      </c>
      <c r="U410" s="1712" t="s">
        <v>1471</v>
      </c>
      <c r="V410" s="1711">
        <v>1800</v>
      </c>
      <c r="W410" s="1712" t="s">
        <v>1471</v>
      </c>
      <c r="X410" s="1711">
        <v>730</v>
      </c>
      <c r="Y410" s="1714" t="s">
        <v>1471</v>
      </c>
      <c r="Z410" s="1713"/>
      <c r="AA410" s="1715">
        <v>0.15</v>
      </c>
      <c r="AB410" s="1716" t="s">
        <v>1471</v>
      </c>
      <c r="AC410" s="1717"/>
    </row>
    <row r="411" spans="1:29" ht="15">
      <c r="A411" s="1719" t="s">
        <v>2629</v>
      </c>
      <c r="B411" s="1720" t="s">
        <v>2630</v>
      </c>
      <c r="C411" s="1737">
        <v>9.5E-4</v>
      </c>
      <c r="D411" s="1723" t="s">
        <v>1119</v>
      </c>
      <c r="E411" s="1723"/>
      <c r="F411" s="1722"/>
      <c r="G411" s="1724">
        <v>0.2</v>
      </c>
      <c r="H411" s="1723" t="s">
        <v>1119</v>
      </c>
      <c r="I411" s="1724">
        <v>2</v>
      </c>
      <c r="J411" s="1723" t="s">
        <v>1900</v>
      </c>
      <c r="K411" s="1722"/>
      <c r="L411" s="1722"/>
      <c r="M411" s="1723">
        <v>1</v>
      </c>
      <c r="N411" s="1723">
        <v>0.1</v>
      </c>
      <c r="O411" s="1725"/>
      <c r="P411" s="1726">
        <v>570</v>
      </c>
      <c r="Q411" s="1727" t="s">
        <v>4127</v>
      </c>
      <c r="R411" s="1726">
        <v>2400</v>
      </c>
      <c r="S411" s="1727" t="s">
        <v>4127</v>
      </c>
      <c r="T411" s="1726">
        <v>2100</v>
      </c>
      <c r="U411" s="1727" t="s">
        <v>1471</v>
      </c>
      <c r="V411" s="1726">
        <v>8800</v>
      </c>
      <c r="W411" s="1727" t="s">
        <v>1471</v>
      </c>
      <c r="X411" s="1726">
        <v>78</v>
      </c>
      <c r="Y411" s="1729" t="s">
        <v>4127</v>
      </c>
      <c r="Z411" s="1728"/>
      <c r="AA411" s="1730">
        <v>2.5999999999999999E-2</v>
      </c>
      <c r="AB411" s="1731" t="s">
        <v>4127</v>
      </c>
      <c r="AC411" s="1732"/>
    </row>
    <row r="412" spans="1:29" ht="15">
      <c r="A412" s="1704" t="s">
        <v>2631</v>
      </c>
      <c r="B412" s="1705" t="s">
        <v>2632</v>
      </c>
      <c r="C412" s="1706"/>
      <c r="D412" s="1707"/>
      <c r="E412" s="1708"/>
      <c r="F412" s="1707"/>
      <c r="G412" s="1709">
        <v>1.4999999999999999E-2</v>
      </c>
      <c r="H412" s="1708" t="s">
        <v>1119</v>
      </c>
      <c r="I412" s="1708"/>
      <c r="J412" s="1707"/>
      <c r="K412" s="1708" t="s">
        <v>1127</v>
      </c>
      <c r="L412" s="1707"/>
      <c r="M412" s="1708">
        <v>1</v>
      </c>
      <c r="N412" s="1708"/>
      <c r="O412" s="1710"/>
      <c r="P412" s="1711">
        <v>1200</v>
      </c>
      <c r="Q412" s="1712" t="s">
        <v>1471</v>
      </c>
      <c r="R412" s="1711">
        <v>18000</v>
      </c>
      <c r="S412" s="1712" t="s">
        <v>1471</v>
      </c>
      <c r="T412" s="1712"/>
      <c r="U412" s="1713"/>
      <c r="V412" s="1712"/>
      <c r="W412" s="1713"/>
      <c r="X412" s="1711">
        <v>40</v>
      </c>
      <c r="Y412" s="1714" t="s">
        <v>1471</v>
      </c>
      <c r="Z412" s="1713"/>
      <c r="AA412" s="1715">
        <v>0.92</v>
      </c>
      <c r="AB412" s="1716" t="s">
        <v>1471</v>
      </c>
      <c r="AC412" s="1717"/>
    </row>
    <row r="413" spans="1:29" ht="15">
      <c r="A413" s="1704" t="s">
        <v>2633</v>
      </c>
      <c r="B413" s="1705" t="s">
        <v>2634</v>
      </c>
      <c r="C413" s="1706"/>
      <c r="D413" s="1707"/>
      <c r="E413" s="1708"/>
      <c r="F413" s="1707"/>
      <c r="G413" s="1709">
        <v>2</v>
      </c>
      <c r="H413" s="1708" t="s">
        <v>1909</v>
      </c>
      <c r="I413" s="1709">
        <v>0.2</v>
      </c>
      <c r="J413" s="1708" t="s">
        <v>1909</v>
      </c>
      <c r="K413" s="1708" t="s">
        <v>1127</v>
      </c>
      <c r="L413" s="1707"/>
      <c r="M413" s="1708">
        <v>1</v>
      </c>
      <c r="N413" s="1708"/>
      <c r="O413" s="1718">
        <v>109000</v>
      </c>
      <c r="P413" s="1711">
        <v>5600</v>
      </c>
      <c r="Q413" s="1712" t="s">
        <v>1471</v>
      </c>
      <c r="R413" s="1711">
        <v>24000</v>
      </c>
      <c r="S413" s="1712" t="s">
        <v>1471</v>
      </c>
      <c r="T413" s="1711">
        <v>210</v>
      </c>
      <c r="U413" s="1712" t="s">
        <v>1471</v>
      </c>
      <c r="V413" s="1711">
        <v>880</v>
      </c>
      <c r="W413" s="1712" t="s">
        <v>1471</v>
      </c>
      <c r="X413" s="1711">
        <v>410</v>
      </c>
      <c r="Y413" s="1714" t="s">
        <v>1471</v>
      </c>
      <c r="Z413" s="1713"/>
      <c r="AA413" s="1715">
        <v>8.4000000000000005E-2</v>
      </c>
      <c r="AB413" s="1716" t="s">
        <v>1471</v>
      </c>
      <c r="AC413" s="1717"/>
    </row>
    <row r="414" spans="1:29" ht="30">
      <c r="A414" s="1719" t="s">
        <v>2635</v>
      </c>
      <c r="B414" s="1720" t="s">
        <v>2636</v>
      </c>
      <c r="C414" s="1721"/>
      <c r="D414" s="1722"/>
      <c r="E414" s="1723"/>
      <c r="F414" s="1722"/>
      <c r="G414" s="1724">
        <v>0.1</v>
      </c>
      <c r="H414" s="1723" t="s">
        <v>1119</v>
      </c>
      <c r="I414" s="1723"/>
      <c r="J414" s="1722"/>
      <c r="K414" s="1722"/>
      <c r="L414" s="1722"/>
      <c r="M414" s="1723">
        <v>1</v>
      </c>
      <c r="N414" s="1723">
        <v>0.1</v>
      </c>
      <c r="O414" s="1725"/>
      <c r="P414" s="1726">
        <v>6300</v>
      </c>
      <c r="Q414" s="1727" t="s">
        <v>1471</v>
      </c>
      <c r="R414" s="1726">
        <v>82000</v>
      </c>
      <c r="S414" s="1727" t="s">
        <v>1471</v>
      </c>
      <c r="T414" s="1727"/>
      <c r="U414" s="1728"/>
      <c r="V414" s="1727"/>
      <c r="W414" s="1728"/>
      <c r="X414" s="1726">
        <v>2000</v>
      </c>
      <c r="Y414" s="1729" t="s">
        <v>1471</v>
      </c>
      <c r="Z414" s="1728"/>
      <c r="AA414" s="1730">
        <v>0.43</v>
      </c>
      <c r="AB414" s="1731" t="s">
        <v>1471</v>
      </c>
      <c r="AC414" s="1732"/>
    </row>
    <row r="415" spans="1:29" ht="30">
      <c r="A415" s="1704" t="s">
        <v>2637</v>
      </c>
      <c r="B415" s="1705" t="s">
        <v>2638</v>
      </c>
      <c r="C415" s="1706"/>
      <c r="D415" s="1707"/>
      <c r="E415" s="1708"/>
      <c r="F415" s="1707"/>
      <c r="G415" s="1709">
        <v>4.0000000000000001E-3</v>
      </c>
      <c r="H415" s="1708" t="s">
        <v>1893</v>
      </c>
      <c r="I415" s="1709">
        <v>0.04</v>
      </c>
      <c r="J415" s="1708" t="s">
        <v>1893</v>
      </c>
      <c r="K415" s="1708" t="s">
        <v>1127</v>
      </c>
      <c r="L415" s="1707"/>
      <c r="M415" s="1708">
        <v>1</v>
      </c>
      <c r="N415" s="1708"/>
      <c r="O415" s="1718">
        <v>162</v>
      </c>
      <c r="P415" s="1711">
        <v>170</v>
      </c>
      <c r="Q415" s="1712" t="s">
        <v>4125</v>
      </c>
      <c r="R415" s="1711">
        <v>1100</v>
      </c>
      <c r="S415" s="1712" t="s">
        <v>4125</v>
      </c>
      <c r="T415" s="1711">
        <v>42</v>
      </c>
      <c r="U415" s="1712" t="s">
        <v>1471</v>
      </c>
      <c r="V415" s="1711">
        <v>180</v>
      </c>
      <c r="W415" s="1712" t="s">
        <v>1471</v>
      </c>
      <c r="X415" s="1711">
        <v>21</v>
      </c>
      <c r="Y415" s="1714" t="s">
        <v>1471</v>
      </c>
      <c r="Z415" s="1713"/>
      <c r="AA415" s="1715">
        <v>5.1999999999999998E-2</v>
      </c>
      <c r="AB415" s="1716" t="s">
        <v>1471</v>
      </c>
      <c r="AC415" s="1717"/>
    </row>
    <row r="416" spans="1:29" ht="15">
      <c r="A416" s="1704" t="s">
        <v>2639</v>
      </c>
      <c r="B416" s="1705" t="s">
        <v>2640</v>
      </c>
      <c r="C416" s="1706"/>
      <c r="D416" s="1707"/>
      <c r="E416" s="1708"/>
      <c r="F416" s="1707"/>
      <c r="G416" s="1709">
        <v>0.05</v>
      </c>
      <c r="H416" s="1708" t="s">
        <v>1119</v>
      </c>
      <c r="I416" s="1708"/>
      <c r="J416" s="1707"/>
      <c r="K416" s="1707"/>
      <c r="L416" s="1707"/>
      <c r="M416" s="1708">
        <v>1</v>
      </c>
      <c r="N416" s="1708">
        <v>0.1</v>
      </c>
      <c r="O416" s="1710"/>
      <c r="P416" s="1711">
        <v>3200</v>
      </c>
      <c r="Q416" s="1712" t="s">
        <v>1471</v>
      </c>
      <c r="R416" s="1711">
        <v>41000</v>
      </c>
      <c r="S416" s="1712" t="s">
        <v>1471</v>
      </c>
      <c r="T416" s="1712"/>
      <c r="U416" s="1713"/>
      <c r="V416" s="1712"/>
      <c r="W416" s="1713"/>
      <c r="X416" s="1711">
        <v>730</v>
      </c>
      <c r="Y416" s="1714" t="s">
        <v>1471</v>
      </c>
      <c r="Z416" s="1713"/>
      <c r="AA416" s="1715">
        <v>2</v>
      </c>
      <c r="AB416" s="1716" t="s">
        <v>1471</v>
      </c>
      <c r="AC416" s="1717"/>
    </row>
    <row r="417" spans="1:29" ht="30">
      <c r="A417" s="1719" t="s">
        <v>2641</v>
      </c>
      <c r="B417" s="1720" t="s">
        <v>2642</v>
      </c>
      <c r="C417" s="1721"/>
      <c r="D417" s="1722"/>
      <c r="E417" s="1723"/>
      <c r="F417" s="1722"/>
      <c r="G417" s="1723"/>
      <c r="H417" s="1722"/>
      <c r="I417" s="1724">
        <v>0.3</v>
      </c>
      <c r="J417" s="1723" t="s">
        <v>1960</v>
      </c>
      <c r="K417" s="1723" t="s">
        <v>1127</v>
      </c>
      <c r="L417" s="1722"/>
      <c r="M417" s="1723">
        <v>1</v>
      </c>
      <c r="N417" s="1723"/>
      <c r="O417" s="1725"/>
      <c r="P417" s="1726">
        <v>430000000</v>
      </c>
      <c r="Q417" s="1727" t="s">
        <v>4124</v>
      </c>
      <c r="R417" s="1726">
        <v>1800000000</v>
      </c>
      <c r="S417" s="1727" t="s">
        <v>4124</v>
      </c>
      <c r="T417" s="1726">
        <v>310</v>
      </c>
      <c r="U417" s="1727" t="s">
        <v>1471</v>
      </c>
      <c r="V417" s="1726">
        <v>1300</v>
      </c>
      <c r="W417" s="1727" t="s">
        <v>1471</v>
      </c>
      <c r="X417" s="1726">
        <v>630</v>
      </c>
      <c r="Y417" s="1729" t="s">
        <v>1471</v>
      </c>
      <c r="Z417" s="1728"/>
      <c r="AA417" s="1731"/>
      <c r="AB417" s="1740"/>
      <c r="AC417" s="1732"/>
    </row>
    <row r="418" spans="1:29" ht="15">
      <c r="A418" s="1704" t="s">
        <v>2644</v>
      </c>
      <c r="B418" s="1705" t="s">
        <v>2645</v>
      </c>
      <c r="C418" s="1706"/>
      <c r="D418" s="1707"/>
      <c r="E418" s="1708"/>
      <c r="F418" s="1707"/>
      <c r="G418" s="1709">
        <v>8.0000000000000002E-3</v>
      </c>
      <c r="H418" s="1708" t="s">
        <v>1116</v>
      </c>
      <c r="I418" s="1708"/>
      <c r="J418" s="1707"/>
      <c r="K418" s="1707"/>
      <c r="L418" s="1707"/>
      <c r="M418" s="1708">
        <v>1</v>
      </c>
      <c r="N418" s="1708">
        <v>0.1</v>
      </c>
      <c r="O418" s="1710"/>
      <c r="P418" s="1711">
        <v>510</v>
      </c>
      <c r="Q418" s="1712" t="s">
        <v>1471</v>
      </c>
      <c r="R418" s="1711">
        <v>6600</v>
      </c>
      <c r="S418" s="1712" t="s">
        <v>1471</v>
      </c>
      <c r="T418" s="1712"/>
      <c r="U418" s="1713"/>
      <c r="V418" s="1712"/>
      <c r="W418" s="1713"/>
      <c r="X418" s="1711">
        <v>100</v>
      </c>
      <c r="Y418" s="1714" t="s">
        <v>1471</v>
      </c>
      <c r="Z418" s="1713"/>
      <c r="AA418" s="1715">
        <v>4.5999999999999996</v>
      </c>
      <c r="AB418" s="1716" t="s">
        <v>1471</v>
      </c>
      <c r="AC418" s="1717"/>
    </row>
    <row r="419" spans="1:29" ht="15">
      <c r="A419" s="1704" t="s">
        <v>2646</v>
      </c>
      <c r="B419" s="1705" t="s">
        <v>2647</v>
      </c>
      <c r="C419" s="1706"/>
      <c r="D419" s="1707"/>
      <c r="E419" s="1708"/>
      <c r="F419" s="1707"/>
      <c r="G419" s="1709">
        <v>2.0000000000000001E-4</v>
      </c>
      <c r="H419" s="1708" t="s">
        <v>1893</v>
      </c>
      <c r="I419" s="1708"/>
      <c r="J419" s="1707"/>
      <c r="K419" s="1707"/>
      <c r="L419" s="1707"/>
      <c r="M419" s="1708">
        <v>1</v>
      </c>
      <c r="N419" s="1708">
        <v>0.1</v>
      </c>
      <c r="O419" s="1710"/>
      <c r="P419" s="1711">
        <v>13</v>
      </c>
      <c r="Q419" s="1712" t="s">
        <v>1471</v>
      </c>
      <c r="R419" s="1711">
        <v>160</v>
      </c>
      <c r="S419" s="1712" t="s">
        <v>1471</v>
      </c>
      <c r="T419" s="1712"/>
      <c r="U419" s="1713"/>
      <c r="V419" s="1712"/>
      <c r="W419" s="1713"/>
      <c r="X419" s="1711">
        <v>4</v>
      </c>
      <c r="Y419" s="1714" t="s">
        <v>1471</v>
      </c>
      <c r="Z419" s="1713"/>
      <c r="AA419" s="1715">
        <v>8.0999999999999996E-4</v>
      </c>
      <c r="AB419" s="1716" t="s">
        <v>1471</v>
      </c>
      <c r="AC419" s="1717"/>
    </row>
    <row r="420" spans="1:29" ht="15">
      <c r="A420" s="1719" t="s">
        <v>2648</v>
      </c>
      <c r="B420" s="1720" t="s">
        <v>2649</v>
      </c>
      <c r="C420" s="1721"/>
      <c r="D420" s="1722"/>
      <c r="E420" s="1723"/>
      <c r="F420" s="1722"/>
      <c r="G420" s="1724">
        <v>5.0000000000000002E-5</v>
      </c>
      <c r="H420" s="1723" t="s">
        <v>1909</v>
      </c>
      <c r="I420" s="1723"/>
      <c r="J420" s="1722"/>
      <c r="K420" s="1722"/>
      <c r="L420" s="1722"/>
      <c r="M420" s="1723">
        <v>1</v>
      </c>
      <c r="N420" s="1723"/>
      <c r="O420" s="1725"/>
      <c r="P420" s="1726">
        <v>3.9</v>
      </c>
      <c r="Q420" s="1727" t="s">
        <v>1471</v>
      </c>
      <c r="R420" s="1726">
        <v>58</v>
      </c>
      <c r="S420" s="1727" t="s">
        <v>1471</v>
      </c>
      <c r="T420" s="1727"/>
      <c r="U420" s="1728"/>
      <c r="V420" s="1727"/>
      <c r="W420" s="1728"/>
      <c r="X420" s="1726">
        <v>1</v>
      </c>
      <c r="Y420" s="1729" t="s">
        <v>1471</v>
      </c>
      <c r="Z420" s="1728"/>
      <c r="AA420" s="1731"/>
      <c r="AB420" s="1740"/>
      <c r="AC420" s="1732"/>
    </row>
    <row r="421" spans="1:29" ht="30">
      <c r="A421" s="1704" t="s">
        <v>2650</v>
      </c>
      <c r="B421" s="1705" t="s">
        <v>2651</v>
      </c>
      <c r="C421" s="1706"/>
      <c r="D421" s="1707"/>
      <c r="E421" s="1708"/>
      <c r="F421" s="1707"/>
      <c r="G421" s="1709">
        <v>2.0800000000000001E-5</v>
      </c>
      <c r="H421" s="1708" t="s">
        <v>1909</v>
      </c>
      <c r="I421" s="1708"/>
      <c r="J421" s="1707"/>
      <c r="K421" s="1707"/>
      <c r="L421" s="1707"/>
      <c r="M421" s="1708">
        <v>1</v>
      </c>
      <c r="N421" s="1708">
        <v>0.1</v>
      </c>
      <c r="O421" s="1710"/>
      <c r="P421" s="1711">
        <v>1.3</v>
      </c>
      <c r="Q421" s="1712" t="s">
        <v>1471</v>
      </c>
      <c r="R421" s="1711">
        <v>17</v>
      </c>
      <c r="S421" s="1712" t="s">
        <v>1471</v>
      </c>
      <c r="T421" s="1712"/>
      <c r="U421" s="1713"/>
      <c r="V421" s="1712"/>
      <c r="W421" s="1713"/>
      <c r="X421" s="1711">
        <v>0.42</v>
      </c>
      <c r="Y421" s="1714" t="s">
        <v>1471</v>
      </c>
      <c r="Z421" s="1713"/>
      <c r="AA421" s="1716"/>
      <c r="AB421" s="1734"/>
      <c r="AC421" s="1717"/>
    </row>
    <row r="422" spans="1:29" ht="45">
      <c r="A422" s="1704" t="s">
        <v>2652</v>
      </c>
      <c r="B422" s="1705" t="s">
        <v>2653</v>
      </c>
      <c r="C422" s="1706"/>
      <c r="D422" s="1707"/>
      <c r="E422" s="1708"/>
      <c r="F422" s="1707"/>
      <c r="G422" s="1709">
        <v>1.8700000000000001E-5</v>
      </c>
      <c r="H422" s="1708" t="s">
        <v>1909</v>
      </c>
      <c r="I422" s="1708"/>
      <c r="J422" s="1707"/>
      <c r="K422" s="1707"/>
      <c r="L422" s="1707"/>
      <c r="M422" s="1708">
        <v>1</v>
      </c>
      <c r="N422" s="1708"/>
      <c r="O422" s="1710"/>
      <c r="P422" s="1711">
        <v>1.5</v>
      </c>
      <c r="Q422" s="1712" t="s">
        <v>1471</v>
      </c>
      <c r="R422" s="1711">
        <v>22</v>
      </c>
      <c r="S422" s="1712" t="s">
        <v>1471</v>
      </c>
      <c r="T422" s="1712"/>
      <c r="U422" s="1713"/>
      <c r="V422" s="1712"/>
      <c r="W422" s="1713"/>
      <c r="X422" s="1711">
        <v>0.37</v>
      </c>
      <c r="Y422" s="1714" t="s">
        <v>1471</v>
      </c>
      <c r="Z422" s="1713"/>
      <c r="AA422" s="1716"/>
      <c r="AB422" s="1734"/>
      <c r="AC422" s="1717"/>
    </row>
    <row r="423" spans="1:29" ht="45">
      <c r="A423" s="1719" t="s">
        <v>2654</v>
      </c>
      <c r="B423" s="1720" t="s">
        <v>2655</v>
      </c>
      <c r="C423" s="1721"/>
      <c r="D423" s="1722"/>
      <c r="E423" s="1723"/>
      <c r="F423" s="1722"/>
      <c r="G423" s="1724">
        <v>2.83E-5</v>
      </c>
      <c r="H423" s="1723" t="s">
        <v>1909</v>
      </c>
      <c r="I423" s="1723"/>
      <c r="J423" s="1722"/>
      <c r="K423" s="1722"/>
      <c r="L423" s="1722"/>
      <c r="M423" s="1723">
        <v>1</v>
      </c>
      <c r="N423" s="1723"/>
      <c r="O423" s="1725"/>
      <c r="P423" s="1726">
        <v>2.2000000000000002</v>
      </c>
      <c r="Q423" s="1727" t="s">
        <v>1471</v>
      </c>
      <c r="R423" s="1726">
        <v>33</v>
      </c>
      <c r="S423" s="1727" t="s">
        <v>1471</v>
      </c>
      <c r="T423" s="1727"/>
      <c r="U423" s="1728"/>
      <c r="V423" s="1727"/>
      <c r="W423" s="1728"/>
      <c r="X423" s="1726">
        <v>0.56999999999999995</v>
      </c>
      <c r="Y423" s="1729" t="s">
        <v>1471</v>
      </c>
      <c r="Z423" s="1728"/>
      <c r="AA423" s="1731"/>
      <c r="AB423" s="1740"/>
      <c r="AC423" s="1732"/>
    </row>
    <row r="424" spans="1:29" ht="45">
      <c r="A424" s="1704" t="s">
        <v>2656</v>
      </c>
      <c r="B424" s="1705" t="s">
        <v>2657</v>
      </c>
      <c r="C424" s="1706"/>
      <c r="D424" s="1707"/>
      <c r="E424" s="1708"/>
      <c r="F424" s="1707"/>
      <c r="G424" s="1709">
        <v>1.5999999999999999E-5</v>
      </c>
      <c r="H424" s="1708" t="s">
        <v>1909</v>
      </c>
      <c r="I424" s="1708"/>
      <c r="J424" s="1707"/>
      <c r="K424" s="1707"/>
      <c r="L424" s="1707"/>
      <c r="M424" s="1708">
        <v>1</v>
      </c>
      <c r="N424" s="1708"/>
      <c r="O424" s="1710"/>
      <c r="P424" s="1711">
        <v>1.3</v>
      </c>
      <c r="Q424" s="1712" t="s">
        <v>1471</v>
      </c>
      <c r="R424" s="1711">
        <v>19</v>
      </c>
      <c r="S424" s="1712" t="s">
        <v>1471</v>
      </c>
      <c r="T424" s="1712"/>
      <c r="U424" s="1713"/>
      <c r="V424" s="1712"/>
      <c r="W424" s="1713"/>
      <c r="X424" s="1711">
        <v>0.32</v>
      </c>
      <c r="Y424" s="1714" t="s">
        <v>1471</v>
      </c>
      <c r="Z424" s="1713"/>
      <c r="AA424" s="1716"/>
      <c r="AB424" s="1734"/>
      <c r="AC424" s="1717"/>
    </row>
    <row r="425" spans="1:29" ht="30">
      <c r="A425" s="1704"/>
      <c r="B425" s="1705" t="s">
        <v>2658</v>
      </c>
      <c r="C425" s="1706"/>
      <c r="D425" s="1707"/>
      <c r="E425" s="1708"/>
      <c r="F425" s="1707"/>
      <c r="G425" s="1708"/>
      <c r="H425" s="1707"/>
      <c r="I425" s="1708"/>
      <c r="J425" s="1707"/>
      <c r="K425" s="1707"/>
      <c r="L425" s="1707"/>
      <c r="M425" s="1708"/>
      <c r="N425" s="1708"/>
      <c r="O425" s="1710"/>
      <c r="P425" s="1712"/>
      <c r="Q425" s="1713"/>
      <c r="R425" s="1712"/>
      <c r="S425" s="1713"/>
      <c r="T425" s="1712"/>
      <c r="U425" s="1713"/>
      <c r="V425" s="1712"/>
      <c r="W425" s="1713"/>
      <c r="X425" s="1712"/>
      <c r="Y425" s="1733"/>
      <c r="Z425" s="1713"/>
      <c r="AA425" s="1716"/>
      <c r="AB425" s="1734"/>
      <c r="AC425" s="1717"/>
    </row>
    <row r="426" spans="1:29" ht="30">
      <c r="A426" s="1719" t="s">
        <v>2659</v>
      </c>
      <c r="B426" s="1720" t="s">
        <v>2660</v>
      </c>
      <c r="C426" s="1737">
        <v>8.5000000000000006E-3</v>
      </c>
      <c r="D426" s="1723" t="s">
        <v>1900</v>
      </c>
      <c r="E426" s="1724">
        <v>1.2E-5</v>
      </c>
      <c r="F426" s="1723" t="s">
        <v>1900</v>
      </c>
      <c r="G426" s="1723"/>
      <c r="H426" s="1722"/>
      <c r="I426" s="1723"/>
      <c r="J426" s="1722"/>
      <c r="K426" s="1722"/>
      <c r="L426" s="1722"/>
      <c r="M426" s="1723">
        <v>1</v>
      </c>
      <c r="N426" s="1723"/>
      <c r="O426" s="1725"/>
      <c r="P426" s="1726">
        <v>82</v>
      </c>
      <c r="Q426" s="1727" t="s">
        <v>4126</v>
      </c>
      <c r="R426" s="1726">
        <v>380</v>
      </c>
      <c r="S426" s="1727" t="s">
        <v>4126</v>
      </c>
      <c r="T426" s="1726">
        <v>0.23</v>
      </c>
      <c r="U426" s="1727" t="s">
        <v>4126</v>
      </c>
      <c r="V426" s="1726">
        <v>1</v>
      </c>
      <c r="W426" s="1727" t="s">
        <v>4126</v>
      </c>
      <c r="X426" s="1726">
        <v>9.1</v>
      </c>
      <c r="Y426" s="1729" t="s">
        <v>4126</v>
      </c>
      <c r="Z426" s="1728"/>
      <c r="AA426" s="1731"/>
      <c r="AB426" s="1740"/>
      <c r="AC426" s="1732"/>
    </row>
    <row r="427" spans="1:29" ht="15">
      <c r="A427" s="1704" t="s">
        <v>2661</v>
      </c>
      <c r="B427" s="1705" t="s">
        <v>2662</v>
      </c>
      <c r="C427" s="1736">
        <v>0.21</v>
      </c>
      <c r="D427" s="1708" t="s">
        <v>1900</v>
      </c>
      <c r="E427" s="1709">
        <v>8.0000000000000007E-5</v>
      </c>
      <c r="F427" s="1708" t="s">
        <v>1900</v>
      </c>
      <c r="G427" s="1708"/>
      <c r="H427" s="1707"/>
      <c r="I427" s="1708"/>
      <c r="J427" s="1707"/>
      <c r="K427" s="1707"/>
      <c r="L427" s="1707"/>
      <c r="M427" s="1708">
        <v>1</v>
      </c>
      <c r="N427" s="1708">
        <v>0.1</v>
      </c>
      <c r="O427" s="1710"/>
      <c r="P427" s="1711">
        <v>2.6</v>
      </c>
      <c r="Q427" s="1712" t="s">
        <v>4126</v>
      </c>
      <c r="R427" s="1711">
        <v>11</v>
      </c>
      <c r="S427" s="1712" t="s">
        <v>4126</v>
      </c>
      <c r="T427" s="1711">
        <v>3.5000000000000003E-2</v>
      </c>
      <c r="U427" s="1712" t="s">
        <v>4126</v>
      </c>
      <c r="V427" s="1711">
        <v>0.15</v>
      </c>
      <c r="W427" s="1712" t="s">
        <v>4126</v>
      </c>
      <c r="X427" s="1711">
        <v>0.37</v>
      </c>
      <c r="Y427" s="1714" t="s">
        <v>4126</v>
      </c>
      <c r="Z427" s="1713"/>
      <c r="AA427" s="1715">
        <v>7.4999999999999993E-5</v>
      </c>
      <c r="AB427" s="1716" t="s">
        <v>4126</v>
      </c>
      <c r="AC427" s="1717"/>
    </row>
    <row r="428" spans="1:29" ht="30">
      <c r="A428" s="1704" t="s">
        <v>212</v>
      </c>
      <c r="B428" s="1705" t="s">
        <v>2663</v>
      </c>
      <c r="C428" s="1706"/>
      <c r="D428" s="1707"/>
      <c r="E428" s="1708"/>
      <c r="F428" s="1707"/>
      <c r="G428" s="1708"/>
      <c r="H428" s="1707"/>
      <c r="I428" s="1708"/>
      <c r="J428" s="1707"/>
      <c r="K428" s="1707"/>
      <c r="L428" s="1707"/>
      <c r="M428" s="1708">
        <v>1</v>
      </c>
      <c r="N428" s="1708"/>
      <c r="O428" s="1710"/>
      <c r="P428" s="1711">
        <v>200</v>
      </c>
      <c r="Q428" s="1712" t="s">
        <v>2111</v>
      </c>
      <c r="R428" s="1711">
        <v>800</v>
      </c>
      <c r="S428" s="1712" t="s">
        <v>2111</v>
      </c>
      <c r="T428" s="1711">
        <v>0.15</v>
      </c>
      <c r="U428" s="1712" t="s">
        <v>2111</v>
      </c>
      <c r="V428" s="1712"/>
      <c r="W428" s="1713"/>
      <c r="X428" s="1711">
        <v>10</v>
      </c>
      <c r="Y428" s="1714" t="s">
        <v>2111</v>
      </c>
      <c r="Z428" s="1711">
        <v>10</v>
      </c>
      <c r="AA428" s="1716"/>
      <c r="AB428" s="1734"/>
      <c r="AC428" s="1738">
        <v>9</v>
      </c>
    </row>
    <row r="429" spans="1:29" ht="75">
      <c r="A429" s="1719" t="s">
        <v>212</v>
      </c>
      <c r="B429" s="1720" t="s">
        <v>2664</v>
      </c>
      <c r="C429" s="1721"/>
      <c r="D429" s="1722"/>
      <c r="E429" s="1723"/>
      <c r="F429" s="1722"/>
      <c r="G429" s="1723"/>
      <c r="H429" s="1722"/>
      <c r="I429" s="1723"/>
      <c r="J429" s="1722"/>
      <c r="K429" s="1722"/>
      <c r="L429" s="1722"/>
      <c r="M429" s="1723">
        <v>1</v>
      </c>
      <c r="N429" s="1723"/>
      <c r="O429" s="1725"/>
      <c r="P429" s="1726">
        <v>100</v>
      </c>
      <c r="Q429" s="1727" t="s">
        <v>2111</v>
      </c>
      <c r="R429" s="1727"/>
      <c r="S429" s="1728"/>
      <c r="T429" s="1727"/>
      <c r="U429" s="1728"/>
      <c r="V429" s="1727"/>
      <c r="W429" s="1728"/>
      <c r="X429" s="1727"/>
      <c r="Y429" s="1743"/>
      <c r="Z429" s="1728"/>
      <c r="AA429" s="1731"/>
      <c r="AB429" s="1740"/>
      <c r="AC429" s="1732"/>
    </row>
    <row r="430" spans="1:29" ht="30">
      <c r="A430" s="1704" t="s">
        <v>2665</v>
      </c>
      <c r="B430" s="1705" t="s">
        <v>2666</v>
      </c>
      <c r="C430" s="1736">
        <v>3.7999999999999999E-2</v>
      </c>
      <c r="D430" s="1708" t="s">
        <v>1900</v>
      </c>
      <c r="E430" s="1709">
        <v>1.1E-5</v>
      </c>
      <c r="F430" s="1708" t="s">
        <v>1900</v>
      </c>
      <c r="G430" s="1708"/>
      <c r="H430" s="1707"/>
      <c r="I430" s="1708"/>
      <c r="J430" s="1707"/>
      <c r="K430" s="1707"/>
      <c r="L430" s="1707"/>
      <c r="M430" s="1708">
        <v>1</v>
      </c>
      <c r="N430" s="1708">
        <v>0.1</v>
      </c>
      <c r="O430" s="1710"/>
      <c r="P430" s="1711">
        <v>14</v>
      </c>
      <c r="Q430" s="1712" t="s">
        <v>4126</v>
      </c>
      <c r="R430" s="1711">
        <v>60</v>
      </c>
      <c r="S430" s="1712" t="s">
        <v>4126</v>
      </c>
      <c r="T430" s="1711">
        <v>0.26</v>
      </c>
      <c r="U430" s="1712" t="s">
        <v>4126</v>
      </c>
      <c r="V430" s="1711">
        <v>1.1000000000000001</v>
      </c>
      <c r="W430" s="1712" t="s">
        <v>4126</v>
      </c>
      <c r="X430" s="1711">
        <v>2.1</v>
      </c>
      <c r="Y430" s="1714" t="s">
        <v>4126</v>
      </c>
      <c r="Z430" s="1713"/>
      <c r="AA430" s="1715">
        <v>4.4999999999999999E-4</v>
      </c>
      <c r="AB430" s="1716" t="s">
        <v>4126</v>
      </c>
      <c r="AC430" s="1717"/>
    </row>
    <row r="431" spans="1:29" ht="15">
      <c r="A431" s="1704" t="s">
        <v>2667</v>
      </c>
      <c r="B431" s="1705" t="s">
        <v>2668</v>
      </c>
      <c r="C431" s="1706"/>
      <c r="D431" s="1707"/>
      <c r="E431" s="1708"/>
      <c r="F431" s="1707"/>
      <c r="G431" s="1709">
        <v>9.9999999999999995E-8</v>
      </c>
      <c r="H431" s="1708" t="s">
        <v>1119</v>
      </c>
      <c r="I431" s="1708"/>
      <c r="J431" s="1707"/>
      <c r="K431" s="1708" t="s">
        <v>1127</v>
      </c>
      <c r="L431" s="1707"/>
      <c r="M431" s="1708">
        <v>1</v>
      </c>
      <c r="N431" s="1708"/>
      <c r="O431" s="1718">
        <v>2.4300000000000002</v>
      </c>
      <c r="P431" s="1711">
        <v>7.7999999999999996E-3</v>
      </c>
      <c r="Q431" s="1712" t="s">
        <v>1471</v>
      </c>
      <c r="R431" s="1711">
        <v>0.12</v>
      </c>
      <c r="S431" s="1712" t="s">
        <v>1471</v>
      </c>
      <c r="T431" s="1712"/>
      <c r="U431" s="1713"/>
      <c r="V431" s="1712"/>
      <c r="W431" s="1713"/>
      <c r="X431" s="1711">
        <v>1.2999999999999999E-3</v>
      </c>
      <c r="Y431" s="1714" t="s">
        <v>1471</v>
      </c>
      <c r="Z431" s="1713"/>
      <c r="AA431" s="1715">
        <v>4.6999999999999999E-6</v>
      </c>
      <c r="AB431" s="1716" t="s">
        <v>1471</v>
      </c>
      <c r="AC431" s="1717"/>
    </row>
    <row r="432" spans="1:29" ht="15">
      <c r="A432" s="1719" t="s">
        <v>2669</v>
      </c>
      <c r="B432" s="1720" t="s">
        <v>2670</v>
      </c>
      <c r="C432" s="1721"/>
      <c r="D432" s="1722"/>
      <c r="E432" s="1723"/>
      <c r="F432" s="1722"/>
      <c r="G432" s="1724">
        <v>5.0000000000000004E-6</v>
      </c>
      <c r="H432" s="1723" t="s">
        <v>1909</v>
      </c>
      <c r="I432" s="1723"/>
      <c r="J432" s="1722"/>
      <c r="K432" s="1723" t="s">
        <v>1127</v>
      </c>
      <c r="L432" s="1722"/>
      <c r="M432" s="1723">
        <v>1</v>
      </c>
      <c r="N432" s="1723"/>
      <c r="O432" s="1735">
        <v>383</v>
      </c>
      <c r="P432" s="1726">
        <v>0.39</v>
      </c>
      <c r="Q432" s="1727" t="s">
        <v>1471</v>
      </c>
      <c r="R432" s="1726">
        <v>5.8</v>
      </c>
      <c r="S432" s="1727" t="s">
        <v>1471</v>
      </c>
      <c r="T432" s="1727"/>
      <c r="U432" s="1728"/>
      <c r="V432" s="1727"/>
      <c r="W432" s="1728"/>
      <c r="X432" s="1726">
        <v>0.09</v>
      </c>
      <c r="Y432" s="1729" t="s">
        <v>1471</v>
      </c>
      <c r="Z432" s="1728"/>
      <c r="AA432" s="1730">
        <v>3.8000000000000002E-5</v>
      </c>
      <c r="AB432" s="1731" t="s">
        <v>1471</v>
      </c>
      <c r="AC432" s="1732"/>
    </row>
    <row r="433" spans="1:29" ht="15">
      <c r="A433" s="1704" t="s">
        <v>2671</v>
      </c>
      <c r="B433" s="1705" t="s">
        <v>2672</v>
      </c>
      <c r="C433" s="1706"/>
      <c r="D433" s="1707"/>
      <c r="E433" s="1708"/>
      <c r="F433" s="1707"/>
      <c r="G433" s="1709">
        <v>7.7000000000000002E-3</v>
      </c>
      <c r="H433" s="1708" t="s">
        <v>1116</v>
      </c>
      <c r="I433" s="1708"/>
      <c r="J433" s="1707"/>
      <c r="K433" s="1707"/>
      <c r="L433" s="1707"/>
      <c r="M433" s="1708">
        <v>1</v>
      </c>
      <c r="N433" s="1708">
        <v>0.1</v>
      </c>
      <c r="O433" s="1710"/>
      <c r="P433" s="1711">
        <v>490</v>
      </c>
      <c r="Q433" s="1712" t="s">
        <v>1471</v>
      </c>
      <c r="R433" s="1711">
        <v>6300</v>
      </c>
      <c r="S433" s="1712" t="s">
        <v>1471</v>
      </c>
      <c r="T433" s="1712"/>
      <c r="U433" s="1713"/>
      <c r="V433" s="1712"/>
      <c r="W433" s="1713"/>
      <c r="X433" s="1711">
        <v>130</v>
      </c>
      <c r="Y433" s="1714" t="s">
        <v>1471</v>
      </c>
      <c r="Z433" s="1713"/>
      <c r="AA433" s="1715">
        <v>0.11</v>
      </c>
      <c r="AB433" s="1716" t="s">
        <v>1471</v>
      </c>
      <c r="AC433" s="1717"/>
    </row>
    <row r="434" spans="1:29" ht="15">
      <c r="A434" s="1704" t="s">
        <v>2673</v>
      </c>
      <c r="B434" s="1705" t="s">
        <v>2674</v>
      </c>
      <c r="C434" s="1706"/>
      <c r="D434" s="1707"/>
      <c r="E434" s="1708"/>
      <c r="F434" s="1707"/>
      <c r="G434" s="1709">
        <v>2E-3</v>
      </c>
      <c r="H434" s="1708" t="s">
        <v>1909</v>
      </c>
      <c r="I434" s="1708"/>
      <c r="J434" s="1707"/>
      <c r="K434" s="1707"/>
      <c r="L434" s="1707"/>
      <c r="M434" s="1708">
        <v>1</v>
      </c>
      <c r="N434" s="1708"/>
      <c r="O434" s="1710"/>
      <c r="P434" s="1711">
        <v>160</v>
      </c>
      <c r="Q434" s="1712" t="s">
        <v>1471</v>
      </c>
      <c r="R434" s="1711">
        <v>2300</v>
      </c>
      <c r="S434" s="1712" t="s">
        <v>1471</v>
      </c>
      <c r="T434" s="1712"/>
      <c r="U434" s="1713"/>
      <c r="V434" s="1712"/>
      <c r="W434" s="1713"/>
      <c r="X434" s="1711">
        <v>40</v>
      </c>
      <c r="Y434" s="1714" t="s">
        <v>1471</v>
      </c>
      <c r="Z434" s="1713"/>
      <c r="AA434" s="1715">
        <v>12</v>
      </c>
      <c r="AB434" s="1716" t="s">
        <v>1471</v>
      </c>
      <c r="AC434" s="1717"/>
    </row>
    <row r="435" spans="1:29" ht="15">
      <c r="A435" s="1719" t="s">
        <v>2675</v>
      </c>
      <c r="B435" s="1720" t="s">
        <v>2676</v>
      </c>
      <c r="C435" s="1721"/>
      <c r="D435" s="1722"/>
      <c r="E435" s="1723"/>
      <c r="F435" s="1722"/>
      <c r="G435" s="1724">
        <v>5.0000000000000001E-4</v>
      </c>
      <c r="H435" s="1723" t="s">
        <v>1119</v>
      </c>
      <c r="I435" s="1723"/>
      <c r="J435" s="1722"/>
      <c r="K435" s="1722"/>
      <c r="L435" s="1722"/>
      <c r="M435" s="1723">
        <v>1</v>
      </c>
      <c r="N435" s="1723">
        <v>0.1</v>
      </c>
      <c r="O435" s="1725"/>
      <c r="P435" s="1726">
        <v>32</v>
      </c>
      <c r="Q435" s="1727" t="s">
        <v>1471</v>
      </c>
      <c r="R435" s="1726">
        <v>410</v>
      </c>
      <c r="S435" s="1727" t="s">
        <v>1471</v>
      </c>
      <c r="T435" s="1727"/>
      <c r="U435" s="1728"/>
      <c r="V435" s="1727"/>
      <c r="W435" s="1728"/>
      <c r="X435" s="1726">
        <v>7.5</v>
      </c>
      <c r="Y435" s="1729" t="s">
        <v>1471</v>
      </c>
      <c r="Z435" s="1728"/>
      <c r="AA435" s="1730">
        <v>2E-3</v>
      </c>
      <c r="AB435" s="1731" t="s">
        <v>1471</v>
      </c>
      <c r="AC435" s="1732"/>
    </row>
    <row r="436" spans="1:29" ht="15">
      <c r="A436" s="1704" t="s">
        <v>2677</v>
      </c>
      <c r="B436" s="1705" t="s">
        <v>2678</v>
      </c>
      <c r="C436" s="1706"/>
      <c r="D436" s="1707"/>
      <c r="E436" s="1708"/>
      <c r="F436" s="1707"/>
      <c r="G436" s="1709">
        <v>4.3999999999999997E-2</v>
      </c>
      <c r="H436" s="1708" t="s">
        <v>1116</v>
      </c>
      <c r="I436" s="1708"/>
      <c r="J436" s="1707"/>
      <c r="K436" s="1707"/>
      <c r="L436" s="1707"/>
      <c r="M436" s="1708">
        <v>1</v>
      </c>
      <c r="N436" s="1708">
        <v>0.1</v>
      </c>
      <c r="O436" s="1710"/>
      <c r="P436" s="1711">
        <v>2800</v>
      </c>
      <c r="Q436" s="1712" t="s">
        <v>1471</v>
      </c>
      <c r="R436" s="1711">
        <v>36000</v>
      </c>
      <c r="S436" s="1712" t="s">
        <v>1471</v>
      </c>
      <c r="T436" s="1712"/>
      <c r="U436" s="1713"/>
      <c r="V436" s="1712"/>
      <c r="W436" s="1713"/>
      <c r="X436" s="1711">
        <v>650</v>
      </c>
      <c r="Y436" s="1714" t="s">
        <v>1471</v>
      </c>
      <c r="Z436" s="1713"/>
      <c r="AA436" s="1715">
        <v>0.26</v>
      </c>
      <c r="AB436" s="1716" t="s">
        <v>1471</v>
      </c>
      <c r="AC436" s="1717"/>
    </row>
    <row r="437" spans="1:29" ht="15">
      <c r="A437" s="1704" t="s">
        <v>2679</v>
      </c>
      <c r="B437" s="1705" t="s">
        <v>2680</v>
      </c>
      <c r="C437" s="1706"/>
      <c r="D437" s="1707"/>
      <c r="E437" s="1708"/>
      <c r="F437" s="1707"/>
      <c r="G437" s="1709">
        <v>1E-3</v>
      </c>
      <c r="H437" s="1708" t="s">
        <v>1119</v>
      </c>
      <c r="I437" s="1708"/>
      <c r="J437" s="1707"/>
      <c r="K437" s="1707"/>
      <c r="L437" s="1707"/>
      <c r="M437" s="1708">
        <v>1</v>
      </c>
      <c r="N437" s="1708">
        <v>0.1</v>
      </c>
      <c r="O437" s="1710"/>
      <c r="P437" s="1711">
        <v>63</v>
      </c>
      <c r="Q437" s="1712" t="s">
        <v>1471</v>
      </c>
      <c r="R437" s="1711">
        <v>820</v>
      </c>
      <c r="S437" s="1712" t="s">
        <v>1471</v>
      </c>
      <c r="T437" s="1712"/>
      <c r="U437" s="1713"/>
      <c r="V437" s="1712"/>
      <c r="W437" s="1713"/>
      <c r="X437" s="1711">
        <v>16</v>
      </c>
      <c r="Y437" s="1714" t="s">
        <v>1471</v>
      </c>
      <c r="Z437" s="1713"/>
      <c r="AA437" s="1715">
        <v>4.7000000000000002E-3</v>
      </c>
      <c r="AB437" s="1716" t="s">
        <v>1471</v>
      </c>
      <c r="AC437" s="1717"/>
    </row>
    <row r="438" spans="1:29" ht="15">
      <c r="A438" s="1719" t="s">
        <v>2681</v>
      </c>
      <c r="B438" s="1720" t="s">
        <v>2682</v>
      </c>
      <c r="C438" s="1721"/>
      <c r="D438" s="1722"/>
      <c r="E438" s="1723"/>
      <c r="F438" s="1722"/>
      <c r="G438" s="1724">
        <v>0.02</v>
      </c>
      <c r="H438" s="1723" t="s">
        <v>1119</v>
      </c>
      <c r="I438" s="1723"/>
      <c r="J438" s="1722"/>
      <c r="K438" s="1722"/>
      <c r="L438" s="1722"/>
      <c r="M438" s="1723">
        <v>1</v>
      </c>
      <c r="N438" s="1723">
        <v>0.1</v>
      </c>
      <c r="O438" s="1725"/>
      <c r="P438" s="1726">
        <v>1300</v>
      </c>
      <c r="Q438" s="1727" t="s">
        <v>1471</v>
      </c>
      <c r="R438" s="1726">
        <v>16000</v>
      </c>
      <c r="S438" s="1727" t="s">
        <v>1471</v>
      </c>
      <c r="T438" s="1727"/>
      <c r="U438" s="1728"/>
      <c r="V438" s="1727"/>
      <c r="W438" s="1728"/>
      <c r="X438" s="1726">
        <v>390</v>
      </c>
      <c r="Y438" s="1729" t="s">
        <v>1471</v>
      </c>
      <c r="Z438" s="1728"/>
      <c r="AA438" s="1730">
        <v>0.1</v>
      </c>
      <c r="AB438" s="1731" t="s">
        <v>1471</v>
      </c>
      <c r="AC438" s="1732"/>
    </row>
    <row r="439" spans="1:29" ht="15">
      <c r="A439" s="1704" t="s">
        <v>2683</v>
      </c>
      <c r="B439" s="1705" t="s">
        <v>2684</v>
      </c>
      <c r="C439" s="1706"/>
      <c r="D439" s="1707"/>
      <c r="E439" s="1708"/>
      <c r="F439" s="1707"/>
      <c r="G439" s="1709">
        <v>0.1</v>
      </c>
      <c r="H439" s="1708" t="s">
        <v>1119</v>
      </c>
      <c r="I439" s="1709">
        <v>6.9999999999999999E-4</v>
      </c>
      <c r="J439" s="1708" t="s">
        <v>1900</v>
      </c>
      <c r="K439" s="1707"/>
      <c r="L439" s="1707"/>
      <c r="M439" s="1708">
        <v>1</v>
      </c>
      <c r="N439" s="1708">
        <v>0.1</v>
      </c>
      <c r="O439" s="1710"/>
      <c r="P439" s="1711">
        <v>6300</v>
      </c>
      <c r="Q439" s="1712" t="s">
        <v>1471</v>
      </c>
      <c r="R439" s="1711">
        <v>80000</v>
      </c>
      <c r="S439" s="1712" t="s">
        <v>1471</v>
      </c>
      <c r="T439" s="1711">
        <v>0.73</v>
      </c>
      <c r="U439" s="1712" t="s">
        <v>1471</v>
      </c>
      <c r="V439" s="1711">
        <v>3.1</v>
      </c>
      <c r="W439" s="1712" t="s">
        <v>1471</v>
      </c>
      <c r="X439" s="1711">
        <v>1900</v>
      </c>
      <c r="Y439" s="1714" t="s">
        <v>1471</v>
      </c>
      <c r="Z439" s="1713"/>
      <c r="AA439" s="1715">
        <v>0.38</v>
      </c>
      <c r="AB439" s="1716" t="s">
        <v>1471</v>
      </c>
      <c r="AC439" s="1717"/>
    </row>
    <row r="440" spans="1:29" ht="15">
      <c r="A440" s="1704" t="s">
        <v>2685</v>
      </c>
      <c r="B440" s="1705" t="s">
        <v>2686</v>
      </c>
      <c r="C440" s="1706"/>
      <c r="D440" s="1707"/>
      <c r="E440" s="1708"/>
      <c r="F440" s="1707"/>
      <c r="G440" s="1709">
        <v>0.5</v>
      </c>
      <c r="H440" s="1708" t="s">
        <v>1119</v>
      </c>
      <c r="I440" s="1708"/>
      <c r="J440" s="1707"/>
      <c r="K440" s="1707"/>
      <c r="L440" s="1707"/>
      <c r="M440" s="1708">
        <v>1</v>
      </c>
      <c r="N440" s="1708">
        <v>0.1</v>
      </c>
      <c r="O440" s="1710"/>
      <c r="P440" s="1711">
        <v>32000</v>
      </c>
      <c r="Q440" s="1712" t="s">
        <v>1471</v>
      </c>
      <c r="R440" s="1711">
        <v>410000</v>
      </c>
      <c r="S440" s="1712" t="s">
        <v>4124</v>
      </c>
      <c r="T440" s="1712"/>
      <c r="U440" s="1713"/>
      <c r="V440" s="1712"/>
      <c r="W440" s="1713"/>
      <c r="X440" s="1711">
        <v>10000</v>
      </c>
      <c r="Y440" s="1714" t="s">
        <v>1471</v>
      </c>
      <c r="Z440" s="1713"/>
      <c r="AA440" s="1715">
        <v>2.1</v>
      </c>
      <c r="AB440" s="1716" t="s">
        <v>1471</v>
      </c>
      <c r="AC440" s="1717"/>
    </row>
    <row r="441" spans="1:29" ht="15">
      <c r="A441" s="1719" t="s">
        <v>2687</v>
      </c>
      <c r="B441" s="1720" t="s">
        <v>2688</v>
      </c>
      <c r="C441" s="1721"/>
      <c r="D441" s="1722"/>
      <c r="E441" s="1723"/>
      <c r="F441" s="1722"/>
      <c r="G441" s="1724">
        <v>1E-4</v>
      </c>
      <c r="H441" s="1723" t="s">
        <v>1909</v>
      </c>
      <c r="I441" s="1723"/>
      <c r="J441" s="1722"/>
      <c r="K441" s="1722"/>
      <c r="L441" s="1722"/>
      <c r="M441" s="1723">
        <v>1</v>
      </c>
      <c r="N441" s="1723">
        <v>0.1</v>
      </c>
      <c r="O441" s="1725"/>
      <c r="P441" s="1726">
        <v>6.3</v>
      </c>
      <c r="Q441" s="1727" t="s">
        <v>1471</v>
      </c>
      <c r="R441" s="1726">
        <v>82</v>
      </c>
      <c r="S441" s="1727" t="s">
        <v>1471</v>
      </c>
      <c r="T441" s="1727"/>
      <c r="U441" s="1728"/>
      <c r="V441" s="1727"/>
      <c r="W441" s="1728"/>
      <c r="X441" s="1726">
        <v>2</v>
      </c>
      <c r="Y441" s="1729" t="s">
        <v>1471</v>
      </c>
      <c r="Z441" s="1728"/>
      <c r="AA441" s="1730">
        <v>4.0999999999999999E-4</v>
      </c>
      <c r="AB441" s="1731" t="s">
        <v>1471</v>
      </c>
      <c r="AC441" s="1732"/>
    </row>
    <row r="442" spans="1:29" ht="15">
      <c r="A442" s="1742">
        <v>2234562</v>
      </c>
      <c r="B442" s="1705" t="s">
        <v>2690</v>
      </c>
      <c r="C442" s="1706"/>
      <c r="D442" s="1707"/>
      <c r="E442" s="1708"/>
      <c r="F442" s="1707"/>
      <c r="G442" s="1709">
        <v>0.03</v>
      </c>
      <c r="H442" s="1708" t="s">
        <v>1073</v>
      </c>
      <c r="I442" s="1708"/>
      <c r="J442" s="1707"/>
      <c r="K442" s="1707"/>
      <c r="L442" s="1707"/>
      <c r="M442" s="1708">
        <v>1</v>
      </c>
      <c r="N442" s="1708">
        <v>0.1</v>
      </c>
      <c r="O442" s="1710"/>
      <c r="P442" s="1711">
        <v>1900</v>
      </c>
      <c r="Q442" s="1712" t="s">
        <v>1471</v>
      </c>
      <c r="R442" s="1711">
        <v>25000</v>
      </c>
      <c r="S442" s="1712" t="s">
        <v>1471</v>
      </c>
      <c r="T442" s="1712"/>
      <c r="U442" s="1713"/>
      <c r="V442" s="1712"/>
      <c r="W442" s="1713"/>
      <c r="X442" s="1711">
        <v>540</v>
      </c>
      <c r="Y442" s="1714" t="s">
        <v>1471</v>
      </c>
      <c r="Z442" s="1713"/>
      <c r="AA442" s="1715">
        <v>0.76</v>
      </c>
      <c r="AB442" s="1716" t="s">
        <v>1471</v>
      </c>
      <c r="AC442" s="1717"/>
    </row>
    <row r="443" spans="1:29" ht="15">
      <c r="A443" s="1704" t="s">
        <v>2691</v>
      </c>
      <c r="B443" s="1705" t="s">
        <v>2692</v>
      </c>
      <c r="C443" s="1706"/>
      <c r="D443" s="1707"/>
      <c r="E443" s="1708"/>
      <c r="F443" s="1707"/>
      <c r="G443" s="1709">
        <v>5.0000000000000001E-3</v>
      </c>
      <c r="H443" s="1708" t="s">
        <v>1119</v>
      </c>
      <c r="I443" s="1708"/>
      <c r="J443" s="1707"/>
      <c r="K443" s="1707"/>
      <c r="L443" s="1707"/>
      <c r="M443" s="1708">
        <v>1</v>
      </c>
      <c r="N443" s="1708">
        <v>0.1</v>
      </c>
      <c r="O443" s="1710"/>
      <c r="P443" s="1711">
        <v>320</v>
      </c>
      <c r="Q443" s="1712" t="s">
        <v>1471</v>
      </c>
      <c r="R443" s="1711">
        <v>4100</v>
      </c>
      <c r="S443" s="1712" t="s">
        <v>1471</v>
      </c>
      <c r="T443" s="1712"/>
      <c r="U443" s="1713"/>
      <c r="V443" s="1712"/>
      <c r="W443" s="1713"/>
      <c r="X443" s="1711">
        <v>98</v>
      </c>
      <c r="Y443" s="1714" t="s">
        <v>1471</v>
      </c>
      <c r="Z443" s="1713"/>
      <c r="AA443" s="1715">
        <v>0.14000000000000001</v>
      </c>
      <c r="AB443" s="1716" t="s">
        <v>1471</v>
      </c>
      <c r="AC443" s="1717"/>
    </row>
    <row r="444" spans="1:29" ht="30">
      <c r="A444" s="1719" t="s">
        <v>2693</v>
      </c>
      <c r="B444" s="1720" t="s">
        <v>2694</v>
      </c>
      <c r="C444" s="1721"/>
      <c r="D444" s="1722"/>
      <c r="E444" s="1723"/>
      <c r="F444" s="1722"/>
      <c r="G444" s="1724">
        <v>0.14000000000000001</v>
      </c>
      <c r="H444" s="1723" t="s">
        <v>1119</v>
      </c>
      <c r="I444" s="1724">
        <v>5.0000000000000002E-5</v>
      </c>
      <c r="J444" s="1723" t="s">
        <v>1119</v>
      </c>
      <c r="K444" s="1722"/>
      <c r="L444" s="1722"/>
      <c r="M444" s="1723">
        <v>1</v>
      </c>
      <c r="N444" s="1723"/>
      <c r="O444" s="1725"/>
      <c r="P444" s="1727"/>
      <c r="Q444" s="1728"/>
      <c r="R444" s="1727"/>
      <c r="S444" s="1728"/>
      <c r="T444" s="1726">
        <v>5.1999999999999998E-2</v>
      </c>
      <c r="U444" s="1727" t="s">
        <v>1471</v>
      </c>
      <c r="V444" s="1726">
        <v>0.22</v>
      </c>
      <c r="W444" s="1727" t="s">
        <v>1471</v>
      </c>
      <c r="X444" s="1727"/>
      <c r="Y444" s="1743"/>
      <c r="Z444" s="1728"/>
      <c r="AA444" s="1731"/>
      <c r="AB444" s="1740"/>
      <c r="AC444" s="1732"/>
    </row>
    <row r="445" spans="1:29" ht="30">
      <c r="A445" s="1704" t="s">
        <v>2693</v>
      </c>
      <c r="B445" s="1705" t="s">
        <v>2695</v>
      </c>
      <c r="C445" s="1706"/>
      <c r="D445" s="1707"/>
      <c r="E445" s="1708"/>
      <c r="F445" s="1707"/>
      <c r="G445" s="1709">
        <v>2.4E-2</v>
      </c>
      <c r="H445" s="1708" t="s">
        <v>2111</v>
      </c>
      <c r="I445" s="1709">
        <v>5.0000000000000002E-5</v>
      </c>
      <c r="J445" s="1708" t="s">
        <v>1119</v>
      </c>
      <c r="K445" s="1707"/>
      <c r="L445" s="1707"/>
      <c r="M445" s="1708">
        <v>0.04</v>
      </c>
      <c r="N445" s="1708"/>
      <c r="O445" s="1710"/>
      <c r="P445" s="1711">
        <v>1800</v>
      </c>
      <c r="Q445" s="1712" t="s">
        <v>1471</v>
      </c>
      <c r="R445" s="1711">
        <v>26000</v>
      </c>
      <c r="S445" s="1712" t="s">
        <v>1471</v>
      </c>
      <c r="T445" s="1711">
        <v>5.1999999999999998E-2</v>
      </c>
      <c r="U445" s="1712" t="s">
        <v>1471</v>
      </c>
      <c r="V445" s="1711">
        <v>0.22</v>
      </c>
      <c r="W445" s="1712" t="s">
        <v>1471</v>
      </c>
      <c r="X445" s="1711">
        <v>430</v>
      </c>
      <c r="Y445" s="1714" t="s">
        <v>1471</v>
      </c>
      <c r="Z445" s="1713"/>
      <c r="AA445" s="1715">
        <v>28</v>
      </c>
      <c r="AB445" s="1716" t="s">
        <v>1471</v>
      </c>
      <c r="AC445" s="1717"/>
    </row>
    <row r="446" spans="1:29" ht="15">
      <c r="A446" s="1704" t="s">
        <v>2696</v>
      </c>
      <c r="B446" s="1705" t="s">
        <v>2697</v>
      </c>
      <c r="C446" s="1706"/>
      <c r="D446" s="1707"/>
      <c r="E446" s="1708"/>
      <c r="F446" s="1707"/>
      <c r="G446" s="1709">
        <v>9.0000000000000006E-5</v>
      </c>
      <c r="H446" s="1708" t="s">
        <v>1073</v>
      </c>
      <c r="I446" s="1708"/>
      <c r="J446" s="1707"/>
      <c r="K446" s="1707"/>
      <c r="L446" s="1707"/>
      <c r="M446" s="1708">
        <v>1</v>
      </c>
      <c r="N446" s="1708">
        <v>0.1</v>
      </c>
      <c r="O446" s="1710"/>
      <c r="P446" s="1711">
        <v>5.7</v>
      </c>
      <c r="Q446" s="1712" t="s">
        <v>1471</v>
      </c>
      <c r="R446" s="1711">
        <v>74</v>
      </c>
      <c r="S446" s="1712" t="s">
        <v>1471</v>
      </c>
      <c r="T446" s="1712"/>
      <c r="U446" s="1713"/>
      <c r="V446" s="1712"/>
      <c r="W446" s="1713"/>
      <c r="X446" s="1711">
        <v>1.8</v>
      </c>
      <c r="Y446" s="1714" t="s">
        <v>1471</v>
      </c>
      <c r="Z446" s="1713"/>
      <c r="AA446" s="1715">
        <v>2.5999999999999999E-3</v>
      </c>
      <c r="AB446" s="1716" t="s">
        <v>1471</v>
      </c>
      <c r="AC446" s="1717"/>
    </row>
    <row r="447" spans="1:29" ht="30">
      <c r="A447" s="1719" t="s">
        <v>2698</v>
      </c>
      <c r="B447" s="1720" t="s">
        <v>2699</v>
      </c>
      <c r="C447" s="1721"/>
      <c r="D447" s="1722"/>
      <c r="E447" s="1723"/>
      <c r="F447" s="1722"/>
      <c r="G447" s="1724">
        <v>0.03</v>
      </c>
      <c r="H447" s="1723" t="s">
        <v>1119</v>
      </c>
      <c r="I447" s="1723"/>
      <c r="J447" s="1722"/>
      <c r="K447" s="1722"/>
      <c r="L447" s="1722"/>
      <c r="M447" s="1723">
        <v>1</v>
      </c>
      <c r="N447" s="1723">
        <v>0.1</v>
      </c>
      <c r="O447" s="1725"/>
      <c r="P447" s="1726">
        <v>1900</v>
      </c>
      <c r="Q447" s="1727" t="s">
        <v>1471</v>
      </c>
      <c r="R447" s="1726">
        <v>25000</v>
      </c>
      <c r="S447" s="1727" t="s">
        <v>1471</v>
      </c>
      <c r="T447" s="1727"/>
      <c r="U447" s="1728"/>
      <c r="V447" s="1727"/>
      <c r="W447" s="1728"/>
      <c r="X447" s="1726">
        <v>600</v>
      </c>
      <c r="Y447" s="1729" t="s">
        <v>1471</v>
      </c>
      <c r="Z447" s="1728"/>
      <c r="AA447" s="1730">
        <v>0.2</v>
      </c>
      <c r="AB447" s="1731" t="s">
        <v>1471</v>
      </c>
      <c r="AC447" s="1732"/>
    </row>
    <row r="448" spans="1:29" ht="30">
      <c r="A448" s="1704" t="s">
        <v>2700</v>
      </c>
      <c r="B448" s="1705" t="s">
        <v>2701</v>
      </c>
      <c r="C448" s="1736">
        <v>1.0999999999999999E-2</v>
      </c>
      <c r="D448" s="1708" t="s">
        <v>1909</v>
      </c>
      <c r="E448" s="1708"/>
      <c r="F448" s="1707"/>
      <c r="G448" s="1709">
        <v>4.0000000000000001E-3</v>
      </c>
      <c r="H448" s="1708" t="s">
        <v>1909</v>
      </c>
      <c r="I448" s="1708"/>
      <c r="J448" s="1707"/>
      <c r="K448" s="1707"/>
      <c r="L448" s="1707"/>
      <c r="M448" s="1708">
        <v>1</v>
      </c>
      <c r="N448" s="1708">
        <v>0.1</v>
      </c>
      <c r="O448" s="1710"/>
      <c r="P448" s="1711">
        <v>49</v>
      </c>
      <c r="Q448" s="1712" t="s">
        <v>4122</v>
      </c>
      <c r="R448" s="1711">
        <v>210</v>
      </c>
      <c r="S448" s="1712" t="s">
        <v>4127</v>
      </c>
      <c r="T448" s="1712"/>
      <c r="U448" s="1713"/>
      <c r="V448" s="1712"/>
      <c r="W448" s="1713"/>
      <c r="X448" s="1711">
        <v>6.3</v>
      </c>
      <c r="Y448" s="1714" t="s">
        <v>4127</v>
      </c>
      <c r="Z448" s="1713"/>
      <c r="AA448" s="1715">
        <v>1.7999999999999999E-2</v>
      </c>
      <c r="AB448" s="1716" t="s">
        <v>4127</v>
      </c>
      <c r="AC448" s="1717"/>
    </row>
    <row r="449" spans="1:29" ht="30">
      <c r="A449" s="1704"/>
      <c r="B449" s="1705" t="s">
        <v>2702</v>
      </c>
      <c r="C449" s="1706"/>
      <c r="D449" s="1707"/>
      <c r="E449" s="1708"/>
      <c r="F449" s="1707"/>
      <c r="G449" s="1708"/>
      <c r="H449" s="1707"/>
      <c r="I449" s="1708"/>
      <c r="J449" s="1707"/>
      <c r="K449" s="1707"/>
      <c r="L449" s="1707"/>
      <c r="M449" s="1708"/>
      <c r="N449" s="1708"/>
      <c r="O449" s="1710"/>
      <c r="P449" s="1712"/>
      <c r="Q449" s="1713"/>
      <c r="R449" s="1712"/>
      <c r="S449" s="1713"/>
      <c r="T449" s="1712"/>
      <c r="U449" s="1713"/>
      <c r="V449" s="1712"/>
      <c r="W449" s="1713"/>
      <c r="X449" s="1712"/>
      <c r="Y449" s="1733"/>
      <c r="Z449" s="1713"/>
      <c r="AA449" s="1716"/>
      <c r="AB449" s="1734"/>
      <c r="AC449" s="1717"/>
    </row>
    <row r="450" spans="1:29" ht="60">
      <c r="A450" s="1719" t="s">
        <v>2703</v>
      </c>
      <c r="B450" s="1720" t="s">
        <v>2704</v>
      </c>
      <c r="C450" s="1721"/>
      <c r="D450" s="1722"/>
      <c r="E450" s="1723"/>
      <c r="F450" s="1722"/>
      <c r="G450" s="1724">
        <v>2.9999999999999997E-4</v>
      </c>
      <c r="H450" s="1723" t="s">
        <v>1119</v>
      </c>
      <c r="I450" s="1724">
        <v>2.9999999999999997E-4</v>
      </c>
      <c r="J450" s="1723" t="s">
        <v>2111</v>
      </c>
      <c r="K450" s="1722"/>
      <c r="L450" s="1722"/>
      <c r="M450" s="1723">
        <v>7.0000000000000007E-2</v>
      </c>
      <c r="N450" s="1723"/>
      <c r="O450" s="1725"/>
      <c r="P450" s="1726">
        <v>23</v>
      </c>
      <c r="Q450" s="1727" t="s">
        <v>1471</v>
      </c>
      <c r="R450" s="1726">
        <v>350</v>
      </c>
      <c r="S450" s="1727" t="s">
        <v>1471</v>
      </c>
      <c r="T450" s="1726">
        <v>0.31</v>
      </c>
      <c r="U450" s="1727" t="s">
        <v>1471</v>
      </c>
      <c r="V450" s="1726">
        <v>1.3</v>
      </c>
      <c r="W450" s="1727" t="s">
        <v>1471</v>
      </c>
      <c r="X450" s="1726">
        <v>5.7</v>
      </c>
      <c r="Y450" s="1729" t="s">
        <v>1471</v>
      </c>
      <c r="Z450" s="1726">
        <v>2</v>
      </c>
      <c r="AA450" s="1731"/>
      <c r="AB450" s="1740"/>
      <c r="AC450" s="1732"/>
    </row>
    <row r="451" spans="1:29" ht="30">
      <c r="A451" s="1704" t="s">
        <v>214</v>
      </c>
      <c r="B451" s="1705" t="s">
        <v>2705</v>
      </c>
      <c r="C451" s="1706"/>
      <c r="D451" s="1707"/>
      <c r="E451" s="1708"/>
      <c r="F451" s="1707"/>
      <c r="G451" s="1708"/>
      <c r="H451" s="1707"/>
      <c r="I451" s="1709">
        <v>2.9999999999999997E-4</v>
      </c>
      <c r="J451" s="1708" t="s">
        <v>1119</v>
      </c>
      <c r="K451" s="1708" t="s">
        <v>1127</v>
      </c>
      <c r="L451" s="1707"/>
      <c r="M451" s="1708">
        <v>1</v>
      </c>
      <c r="N451" s="1708"/>
      <c r="O451" s="1718">
        <v>3.13</v>
      </c>
      <c r="P451" s="1711">
        <v>7.1</v>
      </c>
      <c r="Q451" s="1712" t="s">
        <v>4125</v>
      </c>
      <c r="R451" s="1711">
        <v>30</v>
      </c>
      <c r="S451" s="1712" t="s">
        <v>4125</v>
      </c>
      <c r="T451" s="1711">
        <v>0.31</v>
      </c>
      <c r="U451" s="1712" t="s">
        <v>1471</v>
      </c>
      <c r="V451" s="1711">
        <v>1.3</v>
      </c>
      <c r="W451" s="1712" t="s">
        <v>1471</v>
      </c>
      <c r="X451" s="1711">
        <v>0.63</v>
      </c>
      <c r="Y451" s="1714" t="s">
        <v>1471</v>
      </c>
      <c r="Z451" s="1711">
        <v>2</v>
      </c>
      <c r="AA451" s="1715">
        <v>3.3000000000000002E-2</v>
      </c>
      <c r="AB451" s="1716" t="s">
        <v>1471</v>
      </c>
      <c r="AC451" s="1738">
        <v>0.1</v>
      </c>
    </row>
    <row r="452" spans="1:29" ht="15">
      <c r="A452" s="1704" t="s">
        <v>224</v>
      </c>
      <c r="B452" s="1705" t="s">
        <v>2707</v>
      </c>
      <c r="C452" s="1706"/>
      <c r="D452" s="1707"/>
      <c r="E452" s="1708"/>
      <c r="F452" s="1707"/>
      <c r="G452" s="1709">
        <v>1E-4</v>
      </c>
      <c r="H452" s="1708" t="s">
        <v>1119</v>
      </c>
      <c r="I452" s="1708"/>
      <c r="J452" s="1707"/>
      <c r="K452" s="1707"/>
      <c r="L452" s="1707"/>
      <c r="M452" s="1708">
        <v>1</v>
      </c>
      <c r="N452" s="1708"/>
      <c r="O452" s="1710"/>
      <c r="P452" s="1711">
        <v>7.8</v>
      </c>
      <c r="Q452" s="1712" t="s">
        <v>1471</v>
      </c>
      <c r="R452" s="1711">
        <v>120</v>
      </c>
      <c r="S452" s="1712" t="s">
        <v>1471</v>
      </c>
      <c r="T452" s="1712"/>
      <c r="U452" s="1713"/>
      <c r="V452" s="1712"/>
      <c r="W452" s="1713"/>
      <c r="X452" s="1711">
        <v>2</v>
      </c>
      <c r="Y452" s="1714" t="s">
        <v>1471</v>
      </c>
      <c r="Z452" s="1713"/>
      <c r="AA452" s="1715">
        <v>14</v>
      </c>
      <c r="AB452" s="1716" t="s">
        <v>1471</v>
      </c>
      <c r="AC452" s="1717"/>
    </row>
    <row r="453" spans="1:29" ht="30">
      <c r="A453" s="1719" t="s">
        <v>2710</v>
      </c>
      <c r="B453" s="1720" t="s">
        <v>2711</v>
      </c>
      <c r="C453" s="1721"/>
      <c r="D453" s="1722"/>
      <c r="E453" s="1723"/>
      <c r="F453" s="1722"/>
      <c r="G453" s="1724">
        <v>8.0000000000000007E-5</v>
      </c>
      <c r="H453" s="1723" t="s">
        <v>1119</v>
      </c>
      <c r="I453" s="1723"/>
      <c r="J453" s="1722"/>
      <c r="K453" s="1722"/>
      <c r="L453" s="1722"/>
      <c r="M453" s="1723">
        <v>1</v>
      </c>
      <c r="N453" s="1723">
        <v>0.1</v>
      </c>
      <c r="O453" s="1725"/>
      <c r="P453" s="1726">
        <v>5.0999999999999996</v>
      </c>
      <c r="Q453" s="1727" t="s">
        <v>1471</v>
      </c>
      <c r="R453" s="1726">
        <v>66</v>
      </c>
      <c r="S453" s="1727" t="s">
        <v>1471</v>
      </c>
      <c r="T453" s="1727"/>
      <c r="U453" s="1728"/>
      <c r="V453" s="1727"/>
      <c r="W453" s="1728"/>
      <c r="X453" s="1726">
        <v>1.6</v>
      </c>
      <c r="Y453" s="1729" t="s">
        <v>1471</v>
      </c>
      <c r="Z453" s="1728"/>
      <c r="AA453" s="1730">
        <v>5.0000000000000001E-4</v>
      </c>
      <c r="AB453" s="1731" t="s">
        <v>1471</v>
      </c>
      <c r="AC453" s="1732"/>
    </row>
    <row r="454" spans="1:29" ht="15">
      <c r="A454" s="1704" t="s">
        <v>2712</v>
      </c>
      <c r="B454" s="1705" t="s">
        <v>2713</v>
      </c>
      <c r="C454" s="1706"/>
      <c r="D454" s="1707"/>
      <c r="E454" s="1708"/>
      <c r="F454" s="1707"/>
      <c r="G454" s="1709">
        <v>3.0000000000000001E-5</v>
      </c>
      <c r="H454" s="1708" t="s">
        <v>1119</v>
      </c>
      <c r="I454" s="1708"/>
      <c r="J454" s="1707"/>
      <c r="K454" s="1708" t="s">
        <v>1127</v>
      </c>
      <c r="L454" s="1707"/>
      <c r="M454" s="1708">
        <v>1</v>
      </c>
      <c r="N454" s="1708"/>
      <c r="O454" s="1710"/>
      <c r="P454" s="1711">
        <v>2.2999999999999998</v>
      </c>
      <c r="Q454" s="1712" t="s">
        <v>1471</v>
      </c>
      <c r="R454" s="1711">
        <v>35</v>
      </c>
      <c r="S454" s="1712" t="s">
        <v>1471</v>
      </c>
      <c r="T454" s="1712"/>
      <c r="U454" s="1713"/>
      <c r="V454" s="1712"/>
      <c r="W454" s="1713"/>
      <c r="X454" s="1711">
        <v>0.6</v>
      </c>
      <c r="Y454" s="1714" t="s">
        <v>1471</v>
      </c>
      <c r="Z454" s="1713"/>
      <c r="AA454" s="1715">
        <v>5.8999999999999997E-2</v>
      </c>
      <c r="AB454" s="1716" t="s">
        <v>1471</v>
      </c>
      <c r="AC454" s="1717"/>
    </row>
    <row r="455" spans="1:29" ht="15">
      <c r="A455" s="1704" t="s">
        <v>2714</v>
      </c>
      <c r="B455" s="1705" t="s">
        <v>2715</v>
      </c>
      <c r="C455" s="1706"/>
      <c r="D455" s="1707"/>
      <c r="E455" s="1708"/>
      <c r="F455" s="1707"/>
      <c r="G455" s="1709">
        <v>0.06</v>
      </c>
      <c r="H455" s="1708" t="s">
        <v>1119</v>
      </c>
      <c r="I455" s="1708"/>
      <c r="J455" s="1707"/>
      <c r="K455" s="1707"/>
      <c r="L455" s="1707"/>
      <c r="M455" s="1708">
        <v>1</v>
      </c>
      <c r="N455" s="1708">
        <v>0.1</v>
      </c>
      <c r="O455" s="1710"/>
      <c r="P455" s="1711">
        <v>3800</v>
      </c>
      <c r="Q455" s="1712" t="s">
        <v>1471</v>
      </c>
      <c r="R455" s="1711">
        <v>49000</v>
      </c>
      <c r="S455" s="1712" t="s">
        <v>1471</v>
      </c>
      <c r="T455" s="1712"/>
      <c r="U455" s="1713"/>
      <c r="V455" s="1712"/>
      <c r="W455" s="1713"/>
      <c r="X455" s="1711">
        <v>1200</v>
      </c>
      <c r="Y455" s="1714" t="s">
        <v>1471</v>
      </c>
      <c r="Z455" s="1713"/>
      <c r="AA455" s="1715">
        <v>0.33</v>
      </c>
      <c r="AB455" s="1716" t="s">
        <v>1471</v>
      </c>
      <c r="AC455" s="1717"/>
    </row>
    <row r="456" spans="1:29" ht="15">
      <c r="A456" s="1719" t="s">
        <v>2716</v>
      </c>
      <c r="B456" s="1720" t="s">
        <v>2717</v>
      </c>
      <c r="C456" s="1721"/>
      <c r="D456" s="1722"/>
      <c r="E456" s="1723"/>
      <c r="F456" s="1722"/>
      <c r="G456" s="1724">
        <v>1E-4</v>
      </c>
      <c r="H456" s="1723" t="s">
        <v>1119</v>
      </c>
      <c r="I456" s="1724">
        <v>0.03</v>
      </c>
      <c r="J456" s="1723" t="s">
        <v>1909</v>
      </c>
      <c r="K456" s="1723" t="s">
        <v>1127</v>
      </c>
      <c r="L456" s="1722"/>
      <c r="M456" s="1723">
        <v>1</v>
      </c>
      <c r="N456" s="1723"/>
      <c r="O456" s="1735">
        <v>4580</v>
      </c>
      <c r="P456" s="1726">
        <v>7.5</v>
      </c>
      <c r="Q456" s="1727" t="s">
        <v>1471</v>
      </c>
      <c r="R456" s="1726">
        <v>100</v>
      </c>
      <c r="S456" s="1727" t="s">
        <v>1471</v>
      </c>
      <c r="T456" s="1726">
        <v>31</v>
      </c>
      <c r="U456" s="1727" t="s">
        <v>1471</v>
      </c>
      <c r="V456" s="1726">
        <v>130</v>
      </c>
      <c r="W456" s="1727" t="s">
        <v>1471</v>
      </c>
      <c r="X456" s="1726">
        <v>1.9</v>
      </c>
      <c r="Y456" s="1729" t="s">
        <v>1471</v>
      </c>
      <c r="Z456" s="1728"/>
      <c r="AA456" s="1730">
        <v>4.2999999999999999E-4</v>
      </c>
      <c r="AB456" s="1731" t="s">
        <v>1471</v>
      </c>
      <c r="AC456" s="1732"/>
    </row>
    <row r="457" spans="1:29" ht="15">
      <c r="A457" s="1704" t="s">
        <v>2718</v>
      </c>
      <c r="B457" s="1705" t="s">
        <v>2719</v>
      </c>
      <c r="C457" s="1706"/>
      <c r="D457" s="1707"/>
      <c r="E457" s="1708"/>
      <c r="F457" s="1707"/>
      <c r="G457" s="1709">
        <v>5.0000000000000002E-5</v>
      </c>
      <c r="H457" s="1708" t="s">
        <v>1119</v>
      </c>
      <c r="I457" s="1708"/>
      <c r="J457" s="1707"/>
      <c r="K457" s="1707"/>
      <c r="L457" s="1707"/>
      <c r="M457" s="1708">
        <v>1</v>
      </c>
      <c r="N457" s="1708">
        <v>0.1</v>
      </c>
      <c r="O457" s="1710"/>
      <c r="P457" s="1711">
        <v>3.2</v>
      </c>
      <c r="Q457" s="1712" t="s">
        <v>1471</v>
      </c>
      <c r="R457" s="1711">
        <v>41</v>
      </c>
      <c r="S457" s="1712" t="s">
        <v>1471</v>
      </c>
      <c r="T457" s="1712"/>
      <c r="U457" s="1713"/>
      <c r="V457" s="1712"/>
      <c r="W457" s="1713"/>
      <c r="X457" s="1711">
        <v>1</v>
      </c>
      <c r="Y457" s="1714" t="s">
        <v>1471</v>
      </c>
      <c r="Z457" s="1713"/>
      <c r="AA457" s="1715">
        <v>2.1000000000000001E-4</v>
      </c>
      <c r="AB457" s="1716" t="s">
        <v>1471</v>
      </c>
      <c r="AC457" s="1717"/>
    </row>
    <row r="458" spans="1:29" ht="15">
      <c r="A458" s="1704" t="s">
        <v>2720</v>
      </c>
      <c r="B458" s="1705" t="s">
        <v>2721</v>
      </c>
      <c r="C458" s="1706"/>
      <c r="D458" s="1707"/>
      <c r="E458" s="1708"/>
      <c r="F458" s="1707"/>
      <c r="G458" s="1709">
        <v>2</v>
      </c>
      <c r="H458" s="1708" t="s">
        <v>1119</v>
      </c>
      <c r="I458" s="1709">
        <v>20</v>
      </c>
      <c r="J458" s="1708" t="s">
        <v>1119</v>
      </c>
      <c r="K458" s="1708" t="s">
        <v>1127</v>
      </c>
      <c r="L458" s="1707"/>
      <c r="M458" s="1708">
        <v>1</v>
      </c>
      <c r="N458" s="1708"/>
      <c r="O458" s="1718">
        <v>106000</v>
      </c>
      <c r="P458" s="1711">
        <v>120000</v>
      </c>
      <c r="Q458" s="1712" t="s">
        <v>4123</v>
      </c>
      <c r="R458" s="1711">
        <v>1200000</v>
      </c>
      <c r="S458" s="1712" t="s">
        <v>4123</v>
      </c>
      <c r="T458" s="1711">
        <v>21000</v>
      </c>
      <c r="U458" s="1712" t="s">
        <v>1471</v>
      </c>
      <c r="V458" s="1711">
        <v>88000</v>
      </c>
      <c r="W458" s="1712" t="s">
        <v>1471</v>
      </c>
      <c r="X458" s="1711">
        <v>20000</v>
      </c>
      <c r="Y458" s="1714" t="s">
        <v>1471</v>
      </c>
      <c r="Z458" s="1713"/>
      <c r="AA458" s="1715">
        <v>4.0999999999999996</v>
      </c>
      <c r="AB458" s="1716" t="s">
        <v>1471</v>
      </c>
      <c r="AC458" s="1717"/>
    </row>
    <row r="459" spans="1:29" ht="15">
      <c r="A459" s="1719" t="s">
        <v>2722</v>
      </c>
      <c r="B459" s="1720" t="s">
        <v>2723</v>
      </c>
      <c r="C459" s="1721"/>
      <c r="D459" s="1722"/>
      <c r="E459" s="1723"/>
      <c r="F459" s="1722"/>
      <c r="G459" s="1724">
        <v>1.5E-3</v>
      </c>
      <c r="H459" s="1723" t="s">
        <v>1116</v>
      </c>
      <c r="I459" s="1723"/>
      <c r="J459" s="1722"/>
      <c r="K459" s="1722"/>
      <c r="L459" s="1722"/>
      <c r="M459" s="1723">
        <v>1</v>
      </c>
      <c r="N459" s="1723">
        <v>0.1</v>
      </c>
      <c r="O459" s="1725"/>
      <c r="P459" s="1726">
        <v>95</v>
      </c>
      <c r="Q459" s="1727" t="s">
        <v>1471</v>
      </c>
      <c r="R459" s="1726">
        <v>1200</v>
      </c>
      <c r="S459" s="1727" t="s">
        <v>1471</v>
      </c>
      <c r="T459" s="1727"/>
      <c r="U459" s="1728"/>
      <c r="V459" s="1727"/>
      <c r="W459" s="1728"/>
      <c r="X459" s="1726">
        <v>29</v>
      </c>
      <c r="Y459" s="1729" t="s">
        <v>1471</v>
      </c>
      <c r="Z459" s="1728"/>
      <c r="AA459" s="1730">
        <v>7.1000000000000004E-3</v>
      </c>
      <c r="AB459" s="1731" t="s">
        <v>1471</v>
      </c>
      <c r="AC459" s="1732"/>
    </row>
    <row r="460" spans="1:29" ht="15">
      <c r="A460" s="1704" t="s">
        <v>2724</v>
      </c>
      <c r="B460" s="1705" t="s">
        <v>2725</v>
      </c>
      <c r="C460" s="1706"/>
      <c r="D460" s="1707"/>
      <c r="E460" s="1708"/>
      <c r="F460" s="1707"/>
      <c r="G460" s="1709">
        <v>2.5000000000000001E-2</v>
      </c>
      <c r="H460" s="1708" t="s">
        <v>1119</v>
      </c>
      <c r="I460" s="1708"/>
      <c r="J460" s="1707"/>
      <c r="K460" s="1707"/>
      <c r="L460" s="1707"/>
      <c r="M460" s="1708">
        <v>1</v>
      </c>
      <c r="N460" s="1708">
        <v>0.1</v>
      </c>
      <c r="O460" s="1710"/>
      <c r="P460" s="1711">
        <v>1600</v>
      </c>
      <c r="Q460" s="1712" t="s">
        <v>1471</v>
      </c>
      <c r="R460" s="1711">
        <v>21000</v>
      </c>
      <c r="S460" s="1712" t="s">
        <v>1471</v>
      </c>
      <c r="T460" s="1712"/>
      <c r="U460" s="1713"/>
      <c r="V460" s="1712"/>
      <c r="W460" s="1713"/>
      <c r="X460" s="1711">
        <v>500</v>
      </c>
      <c r="Y460" s="1714" t="s">
        <v>1471</v>
      </c>
      <c r="Z460" s="1713"/>
      <c r="AA460" s="1715">
        <v>0.11</v>
      </c>
      <c r="AB460" s="1716" t="s">
        <v>1471</v>
      </c>
      <c r="AC460" s="1717"/>
    </row>
    <row r="461" spans="1:29" ht="30">
      <c r="A461" s="1704" t="s">
        <v>2726</v>
      </c>
      <c r="B461" s="1705" t="s">
        <v>2727</v>
      </c>
      <c r="C461" s="1736">
        <v>4.9000000000000002E-2</v>
      </c>
      <c r="D461" s="1708" t="s">
        <v>1900</v>
      </c>
      <c r="E461" s="1708"/>
      <c r="F461" s="1707"/>
      <c r="G461" s="1708"/>
      <c r="H461" s="1707"/>
      <c r="I461" s="1708"/>
      <c r="J461" s="1707"/>
      <c r="K461" s="1707"/>
      <c r="L461" s="1707"/>
      <c r="M461" s="1708">
        <v>1</v>
      </c>
      <c r="N461" s="1708">
        <v>0.1</v>
      </c>
      <c r="O461" s="1710"/>
      <c r="P461" s="1711">
        <v>11</v>
      </c>
      <c r="Q461" s="1712" t="s">
        <v>4126</v>
      </c>
      <c r="R461" s="1711">
        <v>47</v>
      </c>
      <c r="S461" s="1712" t="s">
        <v>4126</v>
      </c>
      <c r="T461" s="1712"/>
      <c r="U461" s="1713"/>
      <c r="V461" s="1712"/>
      <c r="W461" s="1713"/>
      <c r="X461" s="1711">
        <v>1.5</v>
      </c>
      <c r="Y461" s="1714" t="s">
        <v>4126</v>
      </c>
      <c r="Z461" s="1713"/>
      <c r="AA461" s="1715">
        <v>5.2999999999999998E-4</v>
      </c>
      <c r="AB461" s="1716" t="s">
        <v>4126</v>
      </c>
      <c r="AC461" s="1717"/>
    </row>
    <row r="462" spans="1:29" ht="15">
      <c r="A462" s="1719" t="s">
        <v>216</v>
      </c>
      <c r="B462" s="1720" t="s">
        <v>215</v>
      </c>
      <c r="C462" s="1721"/>
      <c r="D462" s="1722"/>
      <c r="E462" s="1723"/>
      <c r="F462" s="1722"/>
      <c r="G462" s="1724">
        <v>5.0000000000000001E-3</v>
      </c>
      <c r="H462" s="1723" t="s">
        <v>1119</v>
      </c>
      <c r="I462" s="1723"/>
      <c r="J462" s="1722"/>
      <c r="K462" s="1722"/>
      <c r="L462" s="1722"/>
      <c r="M462" s="1723">
        <v>1</v>
      </c>
      <c r="N462" s="1723">
        <v>0.1</v>
      </c>
      <c r="O462" s="1725"/>
      <c r="P462" s="1726">
        <v>320</v>
      </c>
      <c r="Q462" s="1727" t="s">
        <v>1471</v>
      </c>
      <c r="R462" s="1726">
        <v>4100</v>
      </c>
      <c r="S462" s="1727" t="s">
        <v>1471</v>
      </c>
      <c r="T462" s="1727"/>
      <c r="U462" s="1728"/>
      <c r="V462" s="1727"/>
      <c r="W462" s="1728"/>
      <c r="X462" s="1726">
        <v>37</v>
      </c>
      <c r="Y462" s="1729" t="s">
        <v>1471</v>
      </c>
      <c r="Z462" s="1726">
        <v>40</v>
      </c>
      <c r="AA462" s="1730">
        <v>2</v>
      </c>
      <c r="AB462" s="1731" t="s">
        <v>1471</v>
      </c>
      <c r="AC462" s="1739">
        <v>2.2000000000000002</v>
      </c>
    </row>
    <row r="463" spans="1:29" ht="30">
      <c r="A463" s="1704" t="s">
        <v>2728</v>
      </c>
      <c r="B463" s="1705" t="s">
        <v>2729</v>
      </c>
      <c r="C463" s="1706"/>
      <c r="D463" s="1707"/>
      <c r="E463" s="1708"/>
      <c r="F463" s="1707"/>
      <c r="G463" s="1709">
        <v>8.0000000000000002E-3</v>
      </c>
      <c r="H463" s="1708" t="s">
        <v>1909</v>
      </c>
      <c r="I463" s="1709">
        <v>1E-3</v>
      </c>
      <c r="J463" s="1708" t="s">
        <v>1909</v>
      </c>
      <c r="K463" s="1708" t="s">
        <v>1127</v>
      </c>
      <c r="L463" s="1707"/>
      <c r="M463" s="1708">
        <v>1</v>
      </c>
      <c r="N463" s="1708"/>
      <c r="O463" s="1718">
        <v>115000</v>
      </c>
      <c r="P463" s="1711">
        <v>110</v>
      </c>
      <c r="Q463" s="1712" t="s">
        <v>1471</v>
      </c>
      <c r="R463" s="1711">
        <v>510</v>
      </c>
      <c r="S463" s="1712" t="s">
        <v>1471</v>
      </c>
      <c r="T463" s="1711">
        <v>1</v>
      </c>
      <c r="U463" s="1712" t="s">
        <v>1471</v>
      </c>
      <c r="V463" s="1711">
        <v>4.4000000000000004</v>
      </c>
      <c r="W463" s="1712" t="s">
        <v>1471</v>
      </c>
      <c r="X463" s="1711">
        <v>2.1</v>
      </c>
      <c r="Y463" s="1714" t="s">
        <v>1471</v>
      </c>
      <c r="Z463" s="1713"/>
      <c r="AA463" s="1715">
        <v>4.2000000000000002E-4</v>
      </c>
      <c r="AB463" s="1716" t="s">
        <v>1471</v>
      </c>
      <c r="AC463" s="1717"/>
    </row>
    <row r="464" spans="1:29" ht="30">
      <c r="A464" s="1704" t="s">
        <v>2730</v>
      </c>
      <c r="B464" s="1705" t="s">
        <v>2731</v>
      </c>
      <c r="C464" s="1706"/>
      <c r="D464" s="1707"/>
      <c r="E464" s="1708"/>
      <c r="F464" s="1707"/>
      <c r="G464" s="1709">
        <v>5.0000000000000001E-3</v>
      </c>
      <c r="H464" s="1708" t="s">
        <v>1909</v>
      </c>
      <c r="I464" s="1709">
        <v>7.0000000000000001E-3</v>
      </c>
      <c r="J464" s="1708" t="s">
        <v>1909</v>
      </c>
      <c r="K464" s="1708" t="s">
        <v>1127</v>
      </c>
      <c r="L464" s="1707"/>
      <c r="M464" s="1708">
        <v>1</v>
      </c>
      <c r="N464" s="1708"/>
      <c r="O464" s="1718">
        <v>106000</v>
      </c>
      <c r="P464" s="1711">
        <v>260</v>
      </c>
      <c r="Q464" s="1712" t="s">
        <v>1471</v>
      </c>
      <c r="R464" s="1711">
        <v>2000</v>
      </c>
      <c r="S464" s="1712" t="s">
        <v>1471</v>
      </c>
      <c r="T464" s="1711">
        <v>7.3</v>
      </c>
      <c r="U464" s="1712" t="s">
        <v>1471</v>
      </c>
      <c r="V464" s="1711">
        <v>31</v>
      </c>
      <c r="W464" s="1712" t="s">
        <v>1471</v>
      </c>
      <c r="X464" s="1711">
        <v>13</v>
      </c>
      <c r="Y464" s="1714" t="s">
        <v>1471</v>
      </c>
      <c r="Z464" s="1713"/>
      <c r="AA464" s="1715">
        <v>2.5999999999999999E-3</v>
      </c>
      <c r="AB464" s="1716" t="s">
        <v>1471</v>
      </c>
      <c r="AC464" s="1717"/>
    </row>
    <row r="465" spans="1:29" ht="15">
      <c r="A465" s="1719" t="s">
        <v>2732</v>
      </c>
      <c r="B465" s="1720" t="s">
        <v>2733</v>
      </c>
      <c r="C465" s="1721"/>
      <c r="D465" s="1722"/>
      <c r="E465" s="1723"/>
      <c r="F465" s="1722"/>
      <c r="G465" s="1724">
        <v>1</v>
      </c>
      <c r="H465" s="1723" t="s">
        <v>1893</v>
      </c>
      <c r="I465" s="1723"/>
      <c r="J465" s="1722"/>
      <c r="K465" s="1723" t="s">
        <v>1127</v>
      </c>
      <c r="L465" s="1722"/>
      <c r="M465" s="1723">
        <v>1</v>
      </c>
      <c r="N465" s="1723"/>
      <c r="O465" s="1735">
        <v>29000</v>
      </c>
      <c r="P465" s="1726">
        <v>78000</v>
      </c>
      <c r="Q465" s="1727" t="s">
        <v>4125</v>
      </c>
      <c r="R465" s="1726">
        <v>1200000</v>
      </c>
      <c r="S465" s="1727" t="s">
        <v>4123</v>
      </c>
      <c r="T465" s="1727"/>
      <c r="U465" s="1728"/>
      <c r="V465" s="1727"/>
      <c r="W465" s="1728"/>
      <c r="X465" s="1726">
        <v>20000</v>
      </c>
      <c r="Y465" s="1729" t="s">
        <v>1471</v>
      </c>
      <c r="Z465" s="1728"/>
      <c r="AA465" s="1730">
        <v>4.0999999999999996</v>
      </c>
      <c r="AB465" s="1731" t="s">
        <v>1471</v>
      </c>
      <c r="AC465" s="1732"/>
    </row>
    <row r="466" spans="1:29" ht="15">
      <c r="A466" s="1704" t="s">
        <v>2734</v>
      </c>
      <c r="B466" s="1705" t="s">
        <v>2735</v>
      </c>
      <c r="C466" s="1706"/>
      <c r="D466" s="1707"/>
      <c r="E466" s="1708"/>
      <c r="F466" s="1707"/>
      <c r="G466" s="1708"/>
      <c r="H466" s="1707"/>
      <c r="I466" s="1709">
        <v>0.02</v>
      </c>
      <c r="J466" s="1708" t="s">
        <v>1909</v>
      </c>
      <c r="K466" s="1708" t="s">
        <v>1127</v>
      </c>
      <c r="L466" s="1707"/>
      <c r="M466" s="1708">
        <v>1</v>
      </c>
      <c r="N466" s="1708"/>
      <c r="O466" s="1718">
        <v>6750</v>
      </c>
      <c r="P466" s="1711">
        <v>150</v>
      </c>
      <c r="Q466" s="1712" t="s">
        <v>1471</v>
      </c>
      <c r="R466" s="1711">
        <v>610</v>
      </c>
      <c r="S466" s="1712" t="s">
        <v>1471</v>
      </c>
      <c r="T466" s="1711">
        <v>21</v>
      </c>
      <c r="U466" s="1712" t="s">
        <v>1471</v>
      </c>
      <c r="V466" s="1711">
        <v>88</v>
      </c>
      <c r="W466" s="1712" t="s">
        <v>1471</v>
      </c>
      <c r="X466" s="1711">
        <v>42</v>
      </c>
      <c r="Y466" s="1714" t="s">
        <v>1471</v>
      </c>
      <c r="Z466" s="1713"/>
      <c r="AA466" s="1715">
        <v>8.8999999999999999E-3</v>
      </c>
      <c r="AB466" s="1716" t="s">
        <v>1471</v>
      </c>
      <c r="AC466" s="1717"/>
    </row>
    <row r="467" spans="1:29" ht="45">
      <c r="A467" s="1704" t="s">
        <v>220</v>
      </c>
      <c r="B467" s="1705" t="s">
        <v>2736</v>
      </c>
      <c r="C467" s="1706"/>
      <c r="D467" s="1707"/>
      <c r="E467" s="1708"/>
      <c r="F467" s="1707"/>
      <c r="G467" s="1709">
        <v>0.6</v>
      </c>
      <c r="H467" s="1708" t="s">
        <v>1119</v>
      </c>
      <c r="I467" s="1709">
        <v>5</v>
      </c>
      <c r="J467" s="1708" t="s">
        <v>1119</v>
      </c>
      <c r="K467" s="1708" t="s">
        <v>1127</v>
      </c>
      <c r="L467" s="1707"/>
      <c r="M467" s="1708">
        <v>1</v>
      </c>
      <c r="N467" s="1708"/>
      <c r="O467" s="1718">
        <v>28400</v>
      </c>
      <c r="P467" s="1711">
        <v>27000</v>
      </c>
      <c r="Q467" s="1712" t="s">
        <v>1471</v>
      </c>
      <c r="R467" s="1711">
        <v>190000</v>
      </c>
      <c r="S467" s="1712" t="s">
        <v>4123</v>
      </c>
      <c r="T467" s="1711">
        <v>5200</v>
      </c>
      <c r="U467" s="1712" t="s">
        <v>1471</v>
      </c>
      <c r="V467" s="1711">
        <v>22000</v>
      </c>
      <c r="W467" s="1712" t="s">
        <v>1471</v>
      </c>
      <c r="X467" s="1711">
        <v>5600</v>
      </c>
      <c r="Y467" s="1714" t="s">
        <v>1471</v>
      </c>
      <c r="Z467" s="1713"/>
      <c r="AA467" s="1715">
        <v>1.2</v>
      </c>
      <c r="AB467" s="1716" t="s">
        <v>1471</v>
      </c>
      <c r="AC467" s="1717"/>
    </row>
    <row r="468" spans="1:29" ht="15">
      <c r="A468" s="1719" t="s">
        <v>2737</v>
      </c>
      <c r="B468" s="1720" t="s">
        <v>2738</v>
      </c>
      <c r="C468" s="1721"/>
      <c r="D468" s="1722"/>
      <c r="E468" s="1724">
        <v>1E-3</v>
      </c>
      <c r="F468" s="1723" t="s">
        <v>1893</v>
      </c>
      <c r="G468" s="1724">
        <v>1E-3</v>
      </c>
      <c r="H468" s="1723" t="s">
        <v>1909</v>
      </c>
      <c r="I468" s="1724">
        <v>2.0000000000000002E-5</v>
      </c>
      <c r="J468" s="1723" t="s">
        <v>1893</v>
      </c>
      <c r="K468" s="1723" t="s">
        <v>1127</v>
      </c>
      <c r="L468" s="1722"/>
      <c r="M468" s="1723">
        <v>1</v>
      </c>
      <c r="N468" s="1723"/>
      <c r="O468" s="1735">
        <v>180000</v>
      </c>
      <c r="P468" s="1726">
        <v>0.14000000000000001</v>
      </c>
      <c r="Q468" s="1727" t="s">
        <v>4122</v>
      </c>
      <c r="R468" s="1726">
        <v>0.62</v>
      </c>
      <c r="S468" s="1727" t="s">
        <v>4122</v>
      </c>
      <c r="T468" s="1726">
        <v>2.8E-3</v>
      </c>
      <c r="U468" s="1727" t="s">
        <v>4122</v>
      </c>
      <c r="V468" s="1726">
        <v>1.2E-2</v>
      </c>
      <c r="W468" s="1727" t="s">
        <v>4122</v>
      </c>
      <c r="X468" s="1726">
        <v>5.5999999999999999E-3</v>
      </c>
      <c r="Y468" s="1729" t="s">
        <v>4122</v>
      </c>
      <c r="Z468" s="1728"/>
      <c r="AA468" s="1730">
        <v>1.3E-6</v>
      </c>
      <c r="AB468" s="1731" t="s">
        <v>4122</v>
      </c>
      <c r="AC468" s="1732"/>
    </row>
    <row r="469" spans="1:29" ht="45">
      <c r="A469" s="1704" t="s">
        <v>222</v>
      </c>
      <c r="B469" s="1705" t="s">
        <v>2739</v>
      </c>
      <c r="C469" s="1706"/>
      <c r="D469" s="1707"/>
      <c r="E469" s="1708"/>
      <c r="F469" s="1707"/>
      <c r="G469" s="1708"/>
      <c r="H469" s="1707"/>
      <c r="I469" s="1709">
        <v>3</v>
      </c>
      <c r="J469" s="1708" t="s">
        <v>1119</v>
      </c>
      <c r="K469" s="1708" t="s">
        <v>1127</v>
      </c>
      <c r="L469" s="1707"/>
      <c r="M469" s="1708">
        <v>1</v>
      </c>
      <c r="N469" s="1708"/>
      <c r="O469" s="1718">
        <v>3360</v>
      </c>
      <c r="P469" s="1711">
        <v>33000</v>
      </c>
      <c r="Q469" s="1712" t="s">
        <v>4125</v>
      </c>
      <c r="R469" s="1711">
        <v>140000</v>
      </c>
      <c r="S469" s="1712" t="s">
        <v>4123</v>
      </c>
      <c r="T469" s="1711">
        <v>3100</v>
      </c>
      <c r="U469" s="1712" t="s">
        <v>1471</v>
      </c>
      <c r="V469" s="1711">
        <v>13000</v>
      </c>
      <c r="W469" s="1712" t="s">
        <v>1471</v>
      </c>
      <c r="X469" s="1711">
        <v>6300</v>
      </c>
      <c r="Y469" s="1714" t="s">
        <v>1471</v>
      </c>
      <c r="Z469" s="1713"/>
      <c r="AA469" s="1715">
        <v>1.4</v>
      </c>
      <c r="AB469" s="1716" t="s">
        <v>1471</v>
      </c>
      <c r="AC469" s="1717"/>
    </row>
    <row r="470" spans="1:29" ht="15">
      <c r="A470" s="1704" t="s">
        <v>2740</v>
      </c>
      <c r="B470" s="1705" t="s">
        <v>2741</v>
      </c>
      <c r="C470" s="1706"/>
      <c r="D470" s="1707"/>
      <c r="E470" s="1708"/>
      <c r="F470" s="1707"/>
      <c r="G470" s="1708"/>
      <c r="H470" s="1707"/>
      <c r="I470" s="1709">
        <v>1E-3</v>
      </c>
      <c r="J470" s="1708" t="s">
        <v>1900</v>
      </c>
      <c r="K470" s="1708" t="s">
        <v>1127</v>
      </c>
      <c r="L470" s="1707"/>
      <c r="M470" s="1708">
        <v>1</v>
      </c>
      <c r="N470" s="1708"/>
      <c r="O470" s="1718">
        <v>10100</v>
      </c>
      <c r="P470" s="1711">
        <v>4.5999999999999996</v>
      </c>
      <c r="Q470" s="1712" t="s">
        <v>1471</v>
      </c>
      <c r="R470" s="1711">
        <v>19</v>
      </c>
      <c r="S470" s="1712" t="s">
        <v>1471</v>
      </c>
      <c r="T470" s="1711">
        <v>1</v>
      </c>
      <c r="U470" s="1712" t="s">
        <v>1471</v>
      </c>
      <c r="V470" s="1711">
        <v>4.4000000000000004</v>
      </c>
      <c r="W470" s="1712" t="s">
        <v>1471</v>
      </c>
      <c r="X470" s="1711">
        <v>2.1</v>
      </c>
      <c r="Y470" s="1714" t="s">
        <v>1471</v>
      </c>
      <c r="Z470" s="1713"/>
      <c r="AA470" s="1715">
        <v>5.9000000000000003E-4</v>
      </c>
      <c r="AB470" s="1716" t="s">
        <v>1471</v>
      </c>
      <c r="AC470" s="1717"/>
    </row>
    <row r="471" spans="1:29" ht="30">
      <c r="A471" s="1719" t="s">
        <v>2742</v>
      </c>
      <c r="B471" s="1720" t="s">
        <v>2743</v>
      </c>
      <c r="C471" s="1721"/>
      <c r="D471" s="1722"/>
      <c r="E471" s="1723"/>
      <c r="F471" s="1722"/>
      <c r="G471" s="1724">
        <v>1.4</v>
      </c>
      <c r="H471" s="1723" t="s">
        <v>1119</v>
      </c>
      <c r="I471" s="1724">
        <v>0.7</v>
      </c>
      <c r="J471" s="1723" t="s">
        <v>1119</v>
      </c>
      <c r="K471" s="1723" t="s">
        <v>1127</v>
      </c>
      <c r="L471" s="1722"/>
      <c r="M471" s="1723">
        <v>1</v>
      </c>
      <c r="N471" s="1723"/>
      <c r="O471" s="1735">
        <v>2360</v>
      </c>
      <c r="P471" s="1726">
        <v>4400</v>
      </c>
      <c r="Q471" s="1727" t="s">
        <v>4125</v>
      </c>
      <c r="R471" s="1726">
        <v>19000</v>
      </c>
      <c r="S471" s="1727" t="s">
        <v>4125</v>
      </c>
      <c r="T471" s="1726">
        <v>730</v>
      </c>
      <c r="U471" s="1727" t="s">
        <v>1471</v>
      </c>
      <c r="V471" s="1726">
        <v>3100</v>
      </c>
      <c r="W471" s="1727" t="s">
        <v>1471</v>
      </c>
      <c r="X471" s="1726">
        <v>1400</v>
      </c>
      <c r="Y471" s="1729" t="s">
        <v>1471</v>
      </c>
      <c r="Z471" s="1728"/>
      <c r="AA471" s="1730">
        <v>0.3</v>
      </c>
      <c r="AB471" s="1731" t="s">
        <v>1471</v>
      </c>
      <c r="AC471" s="1732"/>
    </row>
    <row r="472" spans="1:29" ht="15">
      <c r="A472" s="1704" t="s">
        <v>2744</v>
      </c>
      <c r="B472" s="1705" t="s">
        <v>2745</v>
      </c>
      <c r="C472" s="1706"/>
      <c r="D472" s="1707"/>
      <c r="E472" s="1708"/>
      <c r="F472" s="1707"/>
      <c r="G472" s="1709">
        <v>2.5000000000000001E-4</v>
      </c>
      <c r="H472" s="1708" t="s">
        <v>1119</v>
      </c>
      <c r="I472" s="1708"/>
      <c r="J472" s="1707"/>
      <c r="K472" s="1707"/>
      <c r="L472" s="1707"/>
      <c r="M472" s="1708">
        <v>1</v>
      </c>
      <c r="N472" s="1708">
        <v>0.1</v>
      </c>
      <c r="O472" s="1710"/>
      <c r="P472" s="1711">
        <v>16</v>
      </c>
      <c r="Q472" s="1712" t="s">
        <v>1471</v>
      </c>
      <c r="R472" s="1711">
        <v>210</v>
      </c>
      <c r="S472" s="1712" t="s">
        <v>1471</v>
      </c>
      <c r="T472" s="1712"/>
      <c r="U472" s="1713"/>
      <c r="V472" s="1712"/>
      <c r="W472" s="1713"/>
      <c r="X472" s="1711">
        <v>4.5</v>
      </c>
      <c r="Y472" s="1714" t="s">
        <v>1471</v>
      </c>
      <c r="Z472" s="1713"/>
      <c r="AA472" s="1715">
        <v>7.4000000000000003E-3</v>
      </c>
      <c r="AB472" s="1716" t="s">
        <v>1471</v>
      </c>
      <c r="AC472" s="1717"/>
    </row>
    <row r="473" spans="1:29" ht="30">
      <c r="A473" s="1704" t="s">
        <v>2746</v>
      </c>
      <c r="B473" s="1705" t="s">
        <v>2747</v>
      </c>
      <c r="C473" s="1706"/>
      <c r="D473" s="1707"/>
      <c r="E473" s="1708"/>
      <c r="F473" s="1707"/>
      <c r="G473" s="1709">
        <v>0.06</v>
      </c>
      <c r="H473" s="1708" t="s">
        <v>1893</v>
      </c>
      <c r="I473" s="1708"/>
      <c r="J473" s="1707"/>
      <c r="K473" s="1707"/>
      <c r="L473" s="1707"/>
      <c r="M473" s="1708">
        <v>1</v>
      </c>
      <c r="N473" s="1708">
        <v>0.1</v>
      </c>
      <c r="O473" s="1710"/>
      <c r="P473" s="1711">
        <v>3800</v>
      </c>
      <c r="Q473" s="1712" t="s">
        <v>1471</v>
      </c>
      <c r="R473" s="1711">
        <v>49000</v>
      </c>
      <c r="S473" s="1712" t="s">
        <v>1471</v>
      </c>
      <c r="T473" s="1712"/>
      <c r="U473" s="1713"/>
      <c r="V473" s="1712"/>
      <c r="W473" s="1713"/>
      <c r="X473" s="1711">
        <v>1200</v>
      </c>
      <c r="Y473" s="1714" t="s">
        <v>1471</v>
      </c>
      <c r="Z473" s="1713"/>
      <c r="AA473" s="1715">
        <v>0.24</v>
      </c>
      <c r="AB473" s="1716" t="s">
        <v>1471</v>
      </c>
      <c r="AC473" s="1717"/>
    </row>
    <row r="474" spans="1:29" ht="30">
      <c r="A474" s="1719" t="s">
        <v>2748</v>
      </c>
      <c r="B474" s="1720" t="s">
        <v>2749</v>
      </c>
      <c r="C474" s="1721"/>
      <c r="D474" s="1722"/>
      <c r="E474" s="1723"/>
      <c r="F474" s="1722"/>
      <c r="G474" s="1724">
        <v>6.0000000000000001E-3</v>
      </c>
      <c r="H474" s="1723" t="s">
        <v>1073</v>
      </c>
      <c r="I474" s="1724">
        <v>0.04</v>
      </c>
      <c r="J474" s="1723" t="s">
        <v>1073</v>
      </c>
      <c r="K474" s="1723" t="s">
        <v>1127</v>
      </c>
      <c r="L474" s="1722"/>
      <c r="M474" s="1723">
        <v>1</v>
      </c>
      <c r="N474" s="1723"/>
      <c r="O474" s="1735">
        <v>393</v>
      </c>
      <c r="P474" s="1726">
        <v>320</v>
      </c>
      <c r="Q474" s="1727" t="s">
        <v>1471</v>
      </c>
      <c r="R474" s="1726">
        <v>2600</v>
      </c>
      <c r="S474" s="1727" t="s">
        <v>4125</v>
      </c>
      <c r="T474" s="1726">
        <v>42</v>
      </c>
      <c r="U474" s="1727" t="s">
        <v>1471</v>
      </c>
      <c r="V474" s="1726">
        <v>180</v>
      </c>
      <c r="W474" s="1727" t="s">
        <v>1471</v>
      </c>
      <c r="X474" s="1726">
        <v>23</v>
      </c>
      <c r="Y474" s="1729" t="s">
        <v>1471</v>
      </c>
      <c r="Z474" s="1728"/>
      <c r="AA474" s="1730">
        <v>3.7999999999999999E-2</v>
      </c>
      <c r="AB474" s="1731" t="s">
        <v>1471</v>
      </c>
      <c r="AC474" s="1732"/>
    </row>
    <row r="475" spans="1:29" ht="30">
      <c r="A475" s="1704" t="s">
        <v>2750</v>
      </c>
      <c r="B475" s="1705" t="s">
        <v>2751</v>
      </c>
      <c r="C475" s="1736">
        <v>9.9000000000000005E-2</v>
      </c>
      <c r="D475" s="1708" t="s">
        <v>1900</v>
      </c>
      <c r="E475" s="1709">
        <v>2.8E-5</v>
      </c>
      <c r="F475" s="1708" t="s">
        <v>1900</v>
      </c>
      <c r="G475" s="1708"/>
      <c r="H475" s="1707"/>
      <c r="I475" s="1708"/>
      <c r="J475" s="1707"/>
      <c r="K475" s="1707"/>
      <c r="L475" s="1707"/>
      <c r="M475" s="1708">
        <v>1</v>
      </c>
      <c r="N475" s="1708">
        <v>0.1</v>
      </c>
      <c r="O475" s="1710"/>
      <c r="P475" s="1711">
        <v>5.5</v>
      </c>
      <c r="Q475" s="1712" t="s">
        <v>4126</v>
      </c>
      <c r="R475" s="1711">
        <v>23</v>
      </c>
      <c r="S475" s="1712" t="s">
        <v>4126</v>
      </c>
      <c r="T475" s="1711">
        <v>0.1</v>
      </c>
      <c r="U475" s="1712" t="s">
        <v>4126</v>
      </c>
      <c r="V475" s="1711">
        <v>0.44</v>
      </c>
      <c r="W475" s="1712" t="s">
        <v>4126</v>
      </c>
      <c r="X475" s="1711">
        <v>0.79</v>
      </c>
      <c r="Y475" s="1714" t="s">
        <v>4126</v>
      </c>
      <c r="Z475" s="1713"/>
      <c r="AA475" s="1715">
        <v>1.6000000000000001E-4</v>
      </c>
      <c r="AB475" s="1716" t="s">
        <v>4126</v>
      </c>
      <c r="AC475" s="1717"/>
    </row>
    <row r="476" spans="1:29" ht="30">
      <c r="A476" s="1704" t="s">
        <v>228</v>
      </c>
      <c r="B476" s="1705" t="s">
        <v>2752</v>
      </c>
      <c r="C476" s="1736">
        <v>1.8E-3</v>
      </c>
      <c r="D476" s="1708" t="s">
        <v>1900</v>
      </c>
      <c r="E476" s="1709">
        <v>2.6E-7</v>
      </c>
      <c r="F476" s="1708" t="s">
        <v>1900</v>
      </c>
      <c r="G476" s="1708"/>
      <c r="H476" s="1707"/>
      <c r="I476" s="1709">
        <v>3</v>
      </c>
      <c r="J476" s="1708" t="s">
        <v>1119</v>
      </c>
      <c r="K476" s="1708" t="s">
        <v>1127</v>
      </c>
      <c r="L476" s="1707"/>
      <c r="M476" s="1708">
        <v>1</v>
      </c>
      <c r="N476" s="1708"/>
      <c r="O476" s="1718">
        <v>8870</v>
      </c>
      <c r="P476" s="1711">
        <v>47</v>
      </c>
      <c r="Q476" s="1712" t="s">
        <v>4126</v>
      </c>
      <c r="R476" s="1711">
        <v>210</v>
      </c>
      <c r="S476" s="1712" t="s">
        <v>4126</v>
      </c>
      <c r="T476" s="1711">
        <v>11</v>
      </c>
      <c r="U476" s="1712" t="s">
        <v>4126</v>
      </c>
      <c r="V476" s="1711">
        <v>47</v>
      </c>
      <c r="W476" s="1712" t="s">
        <v>4126</v>
      </c>
      <c r="X476" s="1711">
        <v>14</v>
      </c>
      <c r="Y476" s="1714" t="s">
        <v>4126</v>
      </c>
      <c r="Z476" s="1713"/>
      <c r="AA476" s="1715">
        <v>3.2000000000000002E-3</v>
      </c>
      <c r="AB476" s="1716" t="s">
        <v>4126</v>
      </c>
      <c r="AC476" s="1717"/>
    </row>
    <row r="477" spans="1:29" ht="45">
      <c r="A477" s="1719" t="s">
        <v>2753</v>
      </c>
      <c r="B477" s="1720" t="s">
        <v>2754</v>
      </c>
      <c r="C477" s="1721"/>
      <c r="D477" s="1722"/>
      <c r="E477" s="1723"/>
      <c r="F477" s="1722"/>
      <c r="G477" s="1724">
        <v>2.9999999999999997E-4</v>
      </c>
      <c r="H477" s="1723" t="s">
        <v>1893</v>
      </c>
      <c r="I477" s="1723"/>
      <c r="J477" s="1722"/>
      <c r="K477" s="1722"/>
      <c r="L477" s="1722"/>
      <c r="M477" s="1723">
        <v>1</v>
      </c>
      <c r="N477" s="1723">
        <v>0.1</v>
      </c>
      <c r="O477" s="1725"/>
      <c r="P477" s="1726">
        <v>19</v>
      </c>
      <c r="Q477" s="1727" t="s">
        <v>1471</v>
      </c>
      <c r="R477" s="1726">
        <v>250</v>
      </c>
      <c r="S477" s="1727" t="s">
        <v>1471</v>
      </c>
      <c r="T477" s="1727"/>
      <c r="U477" s="1728"/>
      <c r="V477" s="1727"/>
      <c r="W477" s="1728"/>
      <c r="X477" s="1726">
        <v>6</v>
      </c>
      <c r="Y477" s="1729" t="s">
        <v>1471</v>
      </c>
      <c r="Z477" s="1728"/>
      <c r="AA477" s="1730">
        <v>3.5999999999999999E-3</v>
      </c>
      <c r="AB477" s="1731" t="s">
        <v>1471</v>
      </c>
      <c r="AC477" s="1732"/>
    </row>
    <row r="478" spans="1:29" ht="30">
      <c r="A478" s="1704" t="s">
        <v>2755</v>
      </c>
      <c r="B478" s="1705" t="s">
        <v>2756</v>
      </c>
      <c r="C478" s="1706"/>
      <c r="D478" s="1707"/>
      <c r="E478" s="1708"/>
      <c r="F478" s="1707"/>
      <c r="G478" s="1708"/>
      <c r="H478" s="1707"/>
      <c r="I478" s="1709">
        <v>3</v>
      </c>
      <c r="J478" s="1708" t="s">
        <v>1893</v>
      </c>
      <c r="K478" s="1708" t="s">
        <v>1127</v>
      </c>
      <c r="L478" s="1707"/>
      <c r="M478" s="1708">
        <v>1</v>
      </c>
      <c r="N478" s="1708"/>
      <c r="O478" s="1718">
        <v>2450</v>
      </c>
      <c r="P478" s="1711">
        <v>54000</v>
      </c>
      <c r="Q478" s="1712" t="s">
        <v>4125</v>
      </c>
      <c r="R478" s="1711">
        <v>230000</v>
      </c>
      <c r="S478" s="1712" t="s">
        <v>4123</v>
      </c>
      <c r="T478" s="1711">
        <v>3100</v>
      </c>
      <c r="U478" s="1712" t="s">
        <v>1471</v>
      </c>
      <c r="V478" s="1711">
        <v>13000</v>
      </c>
      <c r="W478" s="1712" t="s">
        <v>1471</v>
      </c>
      <c r="X478" s="1711">
        <v>6300</v>
      </c>
      <c r="Y478" s="1714" t="s">
        <v>1471</v>
      </c>
      <c r="Z478" s="1713"/>
      <c r="AA478" s="1715">
        <v>1.4</v>
      </c>
      <c r="AB478" s="1716" t="s">
        <v>1471</v>
      </c>
      <c r="AC478" s="1717"/>
    </row>
    <row r="479" spans="1:29" ht="30">
      <c r="A479" s="1704" t="s">
        <v>2757</v>
      </c>
      <c r="B479" s="1705" t="s">
        <v>2758</v>
      </c>
      <c r="C479" s="1736">
        <v>8.9999999999999993E-3</v>
      </c>
      <c r="D479" s="1708" t="s">
        <v>1909</v>
      </c>
      <c r="E479" s="1708"/>
      <c r="F479" s="1707"/>
      <c r="G479" s="1709">
        <v>0.02</v>
      </c>
      <c r="H479" s="1708" t="s">
        <v>1893</v>
      </c>
      <c r="I479" s="1708"/>
      <c r="J479" s="1707"/>
      <c r="K479" s="1707"/>
      <c r="L479" s="1707"/>
      <c r="M479" s="1708">
        <v>1</v>
      </c>
      <c r="N479" s="1708">
        <v>0.1</v>
      </c>
      <c r="O479" s="1710"/>
      <c r="P479" s="1711">
        <v>60</v>
      </c>
      <c r="Q479" s="1712" t="s">
        <v>4127</v>
      </c>
      <c r="R479" s="1711">
        <v>260</v>
      </c>
      <c r="S479" s="1712" t="s">
        <v>4127</v>
      </c>
      <c r="T479" s="1712"/>
      <c r="U479" s="1713"/>
      <c r="V479" s="1712"/>
      <c r="W479" s="1713"/>
      <c r="X479" s="1711">
        <v>8.1999999999999993</v>
      </c>
      <c r="Y479" s="1714" t="s">
        <v>4127</v>
      </c>
      <c r="Z479" s="1713"/>
      <c r="AA479" s="1715">
        <v>4.5999999999999999E-3</v>
      </c>
      <c r="AB479" s="1716" t="s">
        <v>4127</v>
      </c>
      <c r="AC479" s="1717"/>
    </row>
    <row r="480" spans="1:29" ht="45">
      <c r="A480" s="1719" t="s">
        <v>2759</v>
      </c>
      <c r="B480" s="1720" t="s">
        <v>2760</v>
      </c>
      <c r="C480" s="1737">
        <v>8.3000000000000007</v>
      </c>
      <c r="D480" s="1723" t="s">
        <v>1900</v>
      </c>
      <c r="E480" s="1724">
        <v>2.3999999999999998E-3</v>
      </c>
      <c r="F480" s="1723" t="s">
        <v>1900</v>
      </c>
      <c r="G480" s="1723"/>
      <c r="H480" s="1722"/>
      <c r="I480" s="1723"/>
      <c r="J480" s="1722"/>
      <c r="K480" s="1722"/>
      <c r="L480" s="1722"/>
      <c r="M480" s="1723">
        <v>1</v>
      </c>
      <c r="N480" s="1723">
        <v>0.1</v>
      </c>
      <c r="O480" s="1725"/>
      <c r="P480" s="1726">
        <v>6.5000000000000002E-2</v>
      </c>
      <c r="Q480" s="1727" t="s">
        <v>4126</v>
      </c>
      <c r="R480" s="1726">
        <v>0.28000000000000003</v>
      </c>
      <c r="S480" s="1727" t="s">
        <v>4126</v>
      </c>
      <c r="T480" s="1726">
        <v>1.1999999999999999E-3</v>
      </c>
      <c r="U480" s="1727" t="s">
        <v>4126</v>
      </c>
      <c r="V480" s="1726">
        <v>5.1000000000000004E-3</v>
      </c>
      <c r="W480" s="1727" t="s">
        <v>4126</v>
      </c>
      <c r="X480" s="1726">
        <v>9.4000000000000004E-3</v>
      </c>
      <c r="Y480" s="1729" t="s">
        <v>4126</v>
      </c>
      <c r="Z480" s="1728"/>
      <c r="AA480" s="1730">
        <v>3.1999999999999999E-6</v>
      </c>
      <c r="AB480" s="1731" t="s">
        <v>4126</v>
      </c>
      <c r="AC480" s="1732"/>
    </row>
    <row r="481" spans="1:29" ht="30">
      <c r="A481" s="1704" t="s">
        <v>2761</v>
      </c>
      <c r="B481" s="1705" t="s">
        <v>2762</v>
      </c>
      <c r="C481" s="1736">
        <v>0.13</v>
      </c>
      <c r="D481" s="1708" t="s">
        <v>1900</v>
      </c>
      <c r="E481" s="1709">
        <v>3.6999999999999998E-5</v>
      </c>
      <c r="F481" s="1708" t="s">
        <v>1900</v>
      </c>
      <c r="G481" s="1708"/>
      <c r="H481" s="1707"/>
      <c r="I481" s="1708"/>
      <c r="J481" s="1707"/>
      <c r="K481" s="1707"/>
      <c r="L481" s="1707"/>
      <c r="M481" s="1708">
        <v>1</v>
      </c>
      <c r="N481" s="1708">
        <v>0.1</v>
      </c>
      <c r="O481" s="1710"/>
      <c r="P481" s="1711">
        <v>4.2</v>
      </c>
      <c r="Q481" s="1712" t="s">
        <v>4126</v>
      </c>
      <c r="R481" s="1711">
        <v>18</v>
      </c>
      <c r="S481" s="1712" t="s">
        <v>4126</v>
      </c>
      <c r="T481" s="1711">
        <v>7.5999999999999998E-2</v>
      </c>
      <c r="U481" s="1712" t="s">
        <v>4126</v>
      </c>
      <c r="V481" s="1711">
        <v>0.33</v>
      </c>
      <c r="W481" s="1712" t="s">
        <v>4126</v>
      </c>
      <c r="X481" s="1711">
        <v>0.6</v>
      </c>
      <c r="Y481" s="1714" t="s">
        <v>4126</v>
      </c>
      <c r="Z481" s="1713"/>
      <c r="AA481" s="1715">
        <v>2.5999999999999998E-4</v>
      </c>
      <c r="AB481" s="1716" t="s">
        <v>4126</v>
      </c>
      <c r="AC481" s="1717"/>
    </row>
    <row r="482" spans="1:29" ht="30">
      <c r="A482" s="1704" t="s">
        <v>2763</v>
      </c>
      <c r="B482" s="1705" t="s">
        <v>2764</v>
      </c>
      <c r="C482" s="1706"/>
      <c r="D482" s="1707"/>
      <c r="E482" s="1708"/>
      <c r="F482" s="1707"/>
      <c r="G482" s="1709">
        <v>0.01</v>
      </c>
      <c r="H482" s="1708" t="s">
        <v>1960</v>
      </c>
      <c r="I482" s="1708"/>
      <c r="J482" s="1707"/>
      <c r="K482" s="1707"/>
      <c r="L482" s="1707"/>
      <c r="M482" s="1708">
        <v>1</v>
      </c>
      <c r="N482" s="1708">
        <v>0.1</v>
      </c>
      <c r="O482" s="1710"/>
      <c r="P482" s="1711">
        <v>630</v>
      </c>
      <c r="Q482" s="1712" t="s">
        <v>1471</v>
      </c>
      <c r="R482" s="1711">
        <v>8200</v>
      </c>
      <c r="S482" s="1712" t="s">
        <v>1471</v>
      </c>
      <c r="T482" s="1712"/>
      <c r="U482" s="1713"/>
      <c r="V482" s="1712"/>
      <c r="W482" s="1713"/>
      <c r="X482" s="1711">
        <v>200</v>
      </c>
      <c r="Y482" s="1714" t="s">
        <v>1471</v>
      </c>
      <c r="Z482" s="1713"/>
      <c r="AA482" s="1715">
        <v>5.8000000000000003E-2</v>
      </c>
      <c r="AB482" s="1716" t="s">
        <v>1471</v>
      </c>
      <c r="AC482" s="1717"/>
    </row>
    <row r="483" spans="1:29" ht="60">
      <c r="A483" s="1719" t="s">
        <v>2765</v>
      </c>
      <c r="B483" s="1720" t="s">
        <v>2766</v>
      </c>
      <c r="C483" s="1721"/>
      <c r="D483" s="1722"/>
      <c r="E483" s="1723"/>
      <c r="F483" s="1722"/>
      <c r="G483" s="1724">
        <v>2.0000000000000001E-4</v>
      </c>
      <c r="H483" s="1723" t="s">
        <v>1893</v>
      </c>
      <c r="I483" s="1723"/>
      <c r="J483" s="1722"/>
      <c r="K483" s="1722"/>
      <c r="L483" s="1722"/>
      <c r="M483" s="1723">
        <v>1</v>
      </c>
      <c r="N483" s="1723">
        <v>0.1</v>
      </c>
      <c r="O483" s="1725"/>
      <c r="P483" s="1726">
        <v>13</v>
      </c>
      <c r="Q483" s="1727" t="s">
        <v>1471</v>
      </c>
      <c r="R483" s="1726">
        <v>160</v>
      </c>
      <c r="S483" s="1727" t="s">
        <v>1471</v>
      </c>
      <c r="T483" s="1727"/>
      <c r="U483" s="1728"/>
      <c r="V483" s="1727"/>
      <c r="W483" s="1728"/>
      <c r="X483" s="1726">
        <v>4</v>
      </c>
      <c r="Y483" s="1729" t="s">
        <v>1471</v>
      </c>
      <c r="Z483" s="1728"/>
      <c r="AA483" s="1731"/>
      <c r="AB483" s="1740"/>
      <c r="AC483" s="1732"/>
    </row>
    <row r="484" spans="1:29" ht="45">
      <c r="A484" s="1704" t="s">
        <v>2767</v>
      </c>
      <c r="B484" s="1705" t="s">
        <v>2768</v>
      </c>
      <c r="C484" s="1736">
        <v>0.1</v>
      </c>
      <c r="D484" s="1708" t="s">
        <v>1893</v>
      </c>
      <c r="E484" s="1708"/>
      <c r="F484" s="1707"/>
      <c r="G484" s="1709">
        <v>2.9999999999999997E-4</v>
      </c>
      <c r="H484" s="1708" t="s">
        <v>1893</v>
      </c>
      <c r="I484" s="1708"/>
      <c r="J484" s="1707"/>
      <c r="K484" s="1707"/>
      <c r="L484" s="1707"/>
      <c r="M484" s="1708">
        <v>1</v>
      </c>
      <c r="N484" s="1708">
        <v>0.1</v>
      </c>
      <c r="O484" s="1710"/>
      <c r="P484" s="1711">
        <v>5.4</v>
      </c>
      <c r="Q484" s="1712" t="s">
        <v>4122</v>
      </c>
      <c r="R484" s="1711">
        <v>23</v>
      </c>
      <c r="S484" s="1712" t="s">
        <v>4127</v>
      </c>
      <c r="T484" s="1712"/>
      <c r="U484" s="1713"/>
      <c r="V484" s="1712"/>
      <c r="W484" s="1713"/>
      <c r="X484" s="1711">
        <v>0.78</v>
      </c>
      <c r="Y484" s="1714" t="s">
        <v>4122</v>
      </c>
      <c r="Z484" s="1713"/>
      <c r="AA484" s="1716"/>
      <c r="AB484" s="1734"/>
      <c r="AC484" s="1717"/>
    </row>
    <row r="485" spans="1:29" ht="30">
      <c r="A485" s="1704" t="s">
        <v>2770</v>
      </c>
      <c r="B485" s="1705" t="s">
        <v>2771</v>
      </c>
      <c r="C485" s="1736">
        <v>22</v>
      </c>
      <c r="D485" s="1708" t="s">
        <v>1900</v>
      </c>
      <c r="E485" s="1709">
        <v>6.3E-3</v>
      </c>
      <c r="F485" s="1708" t="s">
        <v>1900</v>
      </c>
      <c r="G485" s="1708"/>
      <c r="H485" s="1707"/>
      <c r="I485" s="1708"/>
      <c r="J485" s="1707"/>
      <c r="K485" s="1707"/>
      <c r="L485" s="1708" t="s">
        <v>1906</v>
      </c>
      <c r="M485" s="1708">
        <v>1</v>
      </c>
      <c r="N485" s="1708">
        <v>0.1</v>
      </c>
      <c r="O485" s="1710"/>
      <c r="P485" s="1711">
        <v>5.4999999999999997E-3</v>
      </c>
      <c r="Q485" s="1712" t="s">
        <v>4126</v>
      </c>
      <c r="R485" s="1711">
        <v>0.1</v>
      </c>
      <c r="S485" s="1712" t="s">
        <v>4126</v>
      </c>
      <c r="T485" s="1711">
        <v>1.6000000000000001E-4</v>
      </c>
      <c r="U485" s="1712" t="s">
        <v>4126</v>
      </c>
      <c r="V485" s="1711">
        <v>1.9E-3</v>
      </c>
      <c r="W485" s="1712" t="s">
        <v>4126</v>
      </c>
      <c r="X485" s="1711">
        <v>1.1000000000000001E-3</v>
      </c>
      <c r="Y485" s="1714" t="s">
        <v>4126</v>
      </c>
      <c r="Z485" s="1713"/>
      <c r="AA485" s="1715">
        <v>2.2000000000000001E-3</v>
      </c>
      <c r="AB485" s="1716" t="s">
        <v>4126</v>
      </c>
      <c r="AC485" s="1717"/>
    </row>
    <row r="486" spans="1:29" ht="30">
      <c r="A486" s="1719" t="s">
        <v>2772</v>
      </c>
      <c r="B486" s="1720" t="s">
        <v>2773</v>
      </c>
      <c r="C486" s="1721"/>
      <c r="D486" s="1722"/>
      <c r="E486" s="1723"/>
      <c r="F486" s="1722"/>
      <c r="G486" s="1723"/>
      <c r="H486" s="1722"/>
      <c r="I486" s="1724">
        <v>9.5000000000000001E-2</v>
      </c>
      <c r="J486" s="1723" t="s">
        <v>1893</v>
      </c>
      <c r="K486" s="1723" t="s">
        <v>1127</v>
      </c>
      <c r="L486" s="1722"/>
      <c r="M486" s="1723">
        <v>1</v>
      </c>
      <c r="N486" s="1723"/>
      <c r="O486" s="1735">
        <v>67.599999999999994</v>
      </c>
      <c r="P486" s="1726">
        <v>98</v>
      </c>
      <c r="Q486" s="1727" t="s">
        <v>4125</v>
      </c>
      <c r="R486" s="1726">
        <v>410</v>
      </c>
      <c r="S486" s="1727" t="s">
        <v>4125</v>
      </c>
      <c r="T486" s="1726">
        <v>99</v>
      </c>
      <c r="U486" s="1727" t="s">
        <v>1471</v>
      </c>
      <c r="V486" s="1726">
        <v>420</v>
      </c>
      <c r="W486" s="1727" t="s">
        <v>1471</v>
      </c>
      <c r="X486" s="1726">
        <v>200</v>
      </c>
      <c r="Y486" s="1729" t="s">
        <v>1471</v>
      </c>
      <c r="Z486" s="1728"/>
      <c r="AA486" s="1730">
        <v>0.44</v>
      </c>
      <c r="AB486" s="1731" t="s">
        <v>1471</v>
      </c>
      <c r="AC486" s="1732"/>
    </row>
    <row r="487" spans="1:29" ht="30">
      <c r="A487" s="1704" t="s">
        <v>218</v>
      </c>
      <c r="B487" s="1705" t="s">
        <v>2774</v>
      </c>
      <c r="C487" s="1736">
        <v>2E-3</v>
      </c>
      <c r="D487" s="1708" t="s">
        <v>1119</v>
      </c>
      <c r="E487" s="1709">
        <v>1E-8</v>
      </c>
      <c r="F487" s="1708" t="s">
        <v>1119</v>
      </c>
      <c r="G487" s="1709">
        <v>6.0000000000000001E-3</v>
      </c>
      <c r="H487" s="1708" t="s">
        <v>1119</v>
      </c>
      <c r="I487" s="1709">
        <v>0.6</v>
      </c>
      <c r="J487" s="1708" t="s">
        <v>1119</v>
      </c>
      <c r="K487" s="1708" t="s">
        <v>1127</v>
      </c>
      <c r="L487" s="1708" t="s">
        <v>1906</v>
      </c>
      <c r="M487" s="1708">
        <v>1</v>
      </c>
      <c r="N487" s="1708"/>
      <c r="O487" s="1718">
        <v>3320</v>
      </c>
      <c r="P487" s="1711">
        <v>57</v>
      </c>
      <c r="Q487" s="1712" t="s">
        <v>4122</v>
      </c>
      <c r="R487" s="1711">
        <v>1000</v>
      </c>
      <c r="S487" s="1712" t="s">
        <v>4122</v>
      </c>
      <c r="T487" s="1711">
        <v>100</v>
      </c>
      <c r="U487" s="1712" t="s">
        <v>4122</v>
      </c>
      <c r="V487" s="1711">
        <v>1200</v>
      </c>
      <c r="W487" s="1712" t="s">
        <v>4122</v>
      </c>
      <c r="X487" s="1711">
        <v>11</v>
      </c>
      <c r="Y487" s="1714" t="s">
        <v>4122</v>
      </c>
      <c r="Z487" s="1711">
        <v>5</v>
      </c>
      <c r="AA487" s="1715">
        <v>2.8999999999999998E-3</v>
      </c>
      <c r="AB487" s="1716" t="s">
        <v>4122</v>
      </c>
      <c r="AC487" s="1738">
        <v>1.2999999999999999E-3</v>
      </c>
    </row>
    <row r="488" spans="1:29" ht="45">
      <c r="A488" s="1704" t="s">
        <v>2775</v>
      </c>
      <c r="B488" s="1705" t="s">
        <v>2776</v>
      </c>
      <c r="C488" s="1736">
        <v>0.1</v>
      </c>
      <c r="D488" s="1708" t="s">
        <v>1909</v>
      </c>
      <c r="E488" s="1709">
        <v>4.2999999999999999E-4</v>
      </c>
      <c r="F488" s="1708" t="s">
        <v>1900</v>
      </c>
      <c r="G488" s="1709">
        <v>2E-3</v>
      </c>
      <c r="H488" s="1708" t="s">
        <v>1909</v>
      </c>
      <c r="I488" s="1708"/>
      <c r="J488" s="1707"/>
      <c r="K488" s="1707"/>
      <c r="L488" s="1708" t="s">
        <v>1906</v>
      </c>
      <c r="M488" s="1708">
        <v>1</v>
      </c>
      <c r="N488" s="1708">
        <v>0.1</v>
      </c>
      <c r="O488" s="1710"/>
      <c r="P488" s="1711">
        <v>1.2</v>
      </c>
      <c r="Q488" s="1712" t="s">
        <v>4126</v>
      </c>
      <c r="R488" s="1711">
        <v>23</v>
      </c>
      <c r="S488" s="1712" t="s">
        <v>4127</v>
      </c>
      <c r="T488" s="1711">
        <v>2.3999999999999998E-3</v>
      </c>
      <c r="U488" s="1712" t="s">
        <v>4126</v>
      </c>
      <c r="V488" s="1711">
        <v>2.9000000000000001E-2</v>
      </c>
      <c r="W488" s="1712" t="s">
        <v>4126</v>
      </c>
      <c r="X488" s="1711">
        <v>0.16</v>
      </c>
      <c r="Y488" s="1714" t="s">
        <v>4126</v>
      </c>
      <c r="Z488" s="1713"/>
      <c r="AA488" s="1715">
        <v>1.8E-3</v>
      </c>
      <c r="AB488" s="1716" t="s">
        <v>4126</v>
      </c>
      <c r="AC488" s="1717"/>
    </row>
    <row r="489" spans="1:29" ht="45">
      <c r="A489" s="1719" t="s">
        <v>2777</v>
      </c>
      <c r="B489" s="1720" t="s">
        <v>2778</v>
      </c>
      <c r="C489" s="1737">
        <v>4.5999999999999999E-2</v>
      </c>
      <c r="D489" s="1723" t="s">
        <v>1119</v>
      </c>
      <c r="E489" s="1724">
        <v>1.2999999999999999E-5</v>
      </c>
      <c r="F489" s="1723" t="s">
        <v>1900</v>
      </c>
      <c r="G489" s="1723"/>
      <c r="H489" s="1722"/>
      <c r="I489" s="1723"/>
      <c r="J489" s="1722"/>
      <c r="K489" s="1722"/>
      <c r="L489" s="1722"/>
      <c r="M489" s="1723">
        <v>1</v>
      </c>
      <c r="N489" s="1723">
        <v>0.1</v>
      </c>
      <c r="O489" s="1725"/>
      <c r="P489" s="1726">
        <v>12</v>
      </c>
      <c r="Q489" s="1727" t="s">
        <v>4126</v>
      </c>
      <c r="R489" s="1726">
        <v>50</v>
      </c>
      <c r="S489" s="1727" t="s">
        <v>4126</v>
      </c>
      <c r="T489" s="1726">
        <v>0.22</v>
      </c>
      <c r="U489" s="1727" t="s">
        <v>4126</v>
      </c>
      <c r="V489" s="1726">
        <v>0.94</v>
      </c>
      <c r="W489" s="1727" t="s">
        <v>4126</v>
      </c>
      <c r="X489" s="1726">
        <v>0.7</v>
      </c>
      <c r="Y489" s="1729" t="s">
        <v>4126</v>
      </c>
      <c r="Z489" s="1728"/>
      <c r="AA489" s="1730">
        <v>3.8999999999999998E-3</v>
      </c>
      <c r="AB489" s="1731" t="s">
        <v>4126</v>
      </c>
      <c r="AC489" s="1732"/>
    </row>
    <row r="490" spans="1:29" ht="30">
      <c r="A490" s="1704" t="s">
        <v>2779</v>
      </c>
      <c r="B490" s="1705" t="s">
        <v>2780</v>
      </c>
      <c r="C490" s="1736">
        <v>1.6</v>
      </c>
      <c r="D490" s="1708" t="s">
        <v>1900</v>
      </c>
      <c r="E490" s="1709">
        <v>4.6000000000000001E-4</v>
      </c>
      <c r="F490" s="1708" t="s">
        <v>1900</v>
      </c>
      <c r="G490" s="1708"/>
      <c r="H490" s="1707"/>
      <c r="I490" s="1709">
        <v>0.02</v>
      </c>
      <c r="J490" s="1708" t="s">
        <v>1900</v>
      </c>
      <c r="K490" s="1707"/>
      <c r="L490" s="1707"/>
      <c r="M490" s="1708">
        <v>1</v>
      </c>
      <c r="N490" s="1708">
        <v>0.1</v>
      </c>
      <c r="O490" s="1710"/>
      <c r="P490" s="1711">
        <v>0.34</v>
      </c>
      <c r="Q490" s="1712" t="s">
        <v>4126</v>
      </c>
      <c r="R490" s="1711">
        <v>1.4</v>
      </c>
      <c r="S490" s="1712" t="s">
        <v>4126</v>
      </c>
      <c r="T490" s="1711">
        <v>6.1000000000000004E-3</v>
      </c>
      <c r="U490" s="1712" t="s">
        <v>4126</v>
      </c>
      <c r="V490" s="1711">
        <v>2.7E-2</v>
      </c>
      <c r="W490" s="1712" t="s">
        <v>4126</v>
      </c>
      <c r="X490" s="1711">
        <v>4.7E-2</v>
      </c>
      <c r="Y490" s="1714" t="s">
        <v>4126</v>
      </c>
      <c r="Z490" s="1713"/>
      <c r="AA490" s="1715">
        <v>2.1000000000000001E-4</v>
      </c>
      <c r="AB490" s="1716" t="s">
        <v>4126</v>
      </c>
      <c r="AC490" s="1717"/>
    </row>
    <row r="491" spans="1:29" ht="30">
      <c r="A491" s="1704" t="s">
        <v>2781</v>
      </c>
      <c r="B491" s="1705" t="s">
        <v>2782</v>
      </c>
      <c r="C491" s="1706"/>
      <c r="D491" s="1707"/>
      <c r="E491" s="1708"/>
      <c r="F491" s="1707"/>
      <c r="G491" s="1708"/>
      <c r="H491" s="1707"/>
      <c r="I491" s="1709">
        <v>5.9999999999999995E-4</v>
      </c>
      <c r="J491" s="1708" t="s">
        <v>1119</v>
      </c>
      <c r="K491" s="1707"/>
      <c r="L491" s="1707"/>
      <c r="M491" s="1708">
        <v>1</v>
      </c>
      <c r="N491" s="1708">
        <v>0.1</v>
      </c>
      <c r="O491" s="1710"/>
      <c r="P491" s="1711">
        <v>850000</v>
      </c>
      <c r="Q491" s="1712" t="s">
        <v>4124</v>
      </c>
      <c r="R491" s="1711">
        <v>3600000</v>
      </c>
      <c r="S491" s="1712" t="s">
        <v>4124</v>
      </c>
      <c r="T491" s="1711">
        <v>0.63</v>
      </c>
      <c r="U491" s="1712" t="s">
        <v>1471</v>
      </c>
      <c r="V491" s="1711">
        <v>2.6</v>
      </c>
      <c r="W491" s="1712" t="s">
        <v>1471</v>
      </c>
      <c r="X491" s="1712"/>
      <c r="Y491" s="1733"/>
      <c r="Z491" s="1713"/>
      <c r="AA491" s="1716"/>
      <c r="AB491" s="1734"/>
      <c r="AC491" s="1717"/>
    </row>
    <row r="492" spans="1:29" ht="30">
      <c r="A492" s="1719" t="s">
        <v>2783</v>
      </c>
      <c r="B492" s="1720" t="s">
        <v>2784</v>
      </c>
      <c r="C492" s="1721"/>
      <c r="D492" s="1722"/>
      <c r="E492" s="1723"/>
      <c r="F492" s="1722"/>
      <c r="G492" s="1724">
        <v>7.0000000000000007E-2</v>
      </c>
      <c r="H492" s="1723" t="s">
        <v>1073</v>
      </c>
      <c r="I492" s="1723"/>
      <c r="J492" s="1722"/>
      <c r="K492" s="1723" t="s">
        <v>1127</v>
      </c>
      <c r="L492" s="1722"/>
      <c r="M492" s="1723">
        <v>1</v>
      </c>
      <c r="N492" s="1723"/>
      <c r="O492" s="1735">
        <v>500</v>
      </c>
      <c r="P492" s="1726">
        <v>5500</v>
      </c>
      <c r="Q492" s="1727" t="s">
        <v>4125</v>
      </c>
      <c r="R492" s="1726">
        <v>82000</v>
      </c>
      <c r="S492" s="1727" t="s">
        <v>4125</v>
      </c>
      <c r="T492" s="1727"/>
      <c r="U492" s="1728"/>
      <c r="V492" s="1727"/>
      <c r="W492" s="1728"/>
      <c r="X492" s="1726">
        <v>780</v>
      </c>
      <c r="Y492" s="1729" t="s">
        <v>1471</v>
      </c>
      <c r="Z492" s="1728"/>
      <c r="AA492" s="1730">
        <v>1.2</v>
      </c>
      <c r="AB492" s="1731" t="s">
        <v>1471</v>
      </c>
      <c r="AC492" s="1732"/>
    </row>
    <row r="493" spans="1:29" ht="15">
      <c r="A493" s="1704" t="s">
        <v>2785</v>
      </c>
      <c r="B493" s="1705" t="s">
        <v>2786</v>
      </c>
      <c r="C493" s="1706"/>
      <c r="D493" s="1707"/>
      <c r="E493" s="1708"/>
      <c r="F493" s="1707"/>
      <c r="G493" s="1709">
        <v>0.15</v>
      </c>
      <c r="H493" s="1708" t="s">
        <v>1119</v>
      </c>
      <c r="I493" s="1708"/>
      <c r="J493" s="1707"/>
      <c r="K493" s="1707"/>
      <c r="L493" s="1707"/>
      <c r="M493" s="1708">
        <v>1</v>
      </c>
      <c r="N493" s="1708">
        <v>0.1</v>
      </c>
      <c r="O493" s="1710"/>
      <c r="P493" s="1711">
        <v>9500</v>
      </c>
      <c r="Q493" s="1712" t="s">
        <v>1471</v>
      </c>
      <c r="R493" s="1711">
        <v>120000</v>
      </c>
      <c r="S493" s="1712" t="s">
        <v>4124</v>
      </c>
      <c r="T493" s="1712"/>
      <c r="U493" s="1713"/>
      <c r="V493" s="1712"/>
      <c r="W493" s="1713"/>
      <c r="X493" s="1711">
        <v>2700</v>
      </c>
      <c r="Y493" s="1714" t="s">
        <v>1471</v>
      </c>
      <c r="Z493" s="1713"/>
      <c r="AA493" s="1715">
        <v>3.2</v>
      </c>
      <c r="AB493" s="1716" t="s">
        <v>1471</v>
      </c>
      <c r="AC493" s="1717"/>
    </row>
    <row r="494" spans="1:29" ht="15">
      <c r="A494" s="1704" t="s">
        <v>2787</v>
      </c>
      <c r="B494" s="1705" t="s">
        <v>2788</v>
      </c>
      <c r="C494" s="1706"/>
      <c r="D494" s="1707"/>
      <c r="E494" s="1708"/>
      <c r="F494" s="1707"/>
      <c r="G494" s="1709">
        <v>2.5000000000000001E-2</v>
      </c>
      <c r="H494" s="1708" t="s">
        <v>1119</v>
      </c>
      <c r="I494" s="1708"/>
      <c r="J494" s="1707"/>
      <c r="K494" s="1707"/>
      <c r="L494" s="1707"/>
      <c r="M494" s="1708">
        <v>1</v>
      </c>
      <c r="N494" s="1708">
        <v>0.1</v>
      </c>
      <c r="O494" s="1710"/>
      <c r="P494" s="1711">
        <v>1600</v>
      </c>
      <c r="Q494" s="1712" t="s">
        <v>1471</v>
      </c>
      <c r="R494" s="1711">
        <v>21000</v>
      </c>
      <c r="S494" s="1712" t="s">
        <v>1471</v>
      </c>
      <c r="T494" s="1712"/>
      <c r="U494" s="1713"/>
      <c r="V494" s="1712"/>
      <c r="W494" s="1713"/>
      <c r="X494" s="1711">
        <v>490</v>
      </c>
      <c r="Y494" s="1714" t="s">
        <v>1471</v>
      </c>
      <c r="Z494" s="1713"/>
      <c r="AA494" s="1715">
        <v>0.15</v>
      </c>
      <c r="AB494" s="1716" t="s">
        <v>1471</v>
      </c>
      <c r="AC494" s="1717"/>
    </row>
    <row r="495" spans="1:29" ht="30">
      <c r="A495" s="1719" t="s">
        <v>2789</v>
      </c>
      <c r="B495" s="1720" t="s">
        <v>2790</v>
      </c>
      <c r="C495" s="1721"/>
      <c r="D495" s="1722"/>
      <c r="E495" s="1723"/>
      <c r="F495" s="1722"/>
      <c r="G495" s="1724">
        <v>0.25</v>
      </c>
      <c r="H495" s="1723" t="s">
        <v>1119</v>
      </c>
      <c r="I495" s="1723"/>
      <c r="J495" s="1722"/>
      <c r="K495" s="1722"/>
      <c r="L495" s="1722"/>
      <c r="M495" s="1723">
        <v>1</v>
      </c>
      <c r="N495" s="1723">
        <v>0.1</v>
      </c>
      <c r="O495" s="1725"/>
      <c r="P495" s="1726">
        <v>16000</v>
      </c>
      <c r="Q495" s="1727" t="s">
        <v>1471</v>
      </c>
      <c r="R495" s="1726">
        <v>210000</v>
      </c>
      <c r="S495" s="1727" t="s">
        <v>4124</v>
      </c>
      <c r="T495" s="1727"/>
      <c r="U495" s="1728"/>
      <c r="V495" s="1727"/>
      <c r="W495" s="1728"/>
      <c r="X495" s="1726">
        <v>4900</v>
      </c>
      <c r="Y495" s="1729" t="s">
        <v>1471</v>
      </c>
      <c r="Z495" s="1728"/>
      <c r="AA495" s="1730">
        <v>1.9</v>
      </c>
      <c r="AB495" s="1731" t="s">
        <v>1471</v>
      </c>
      <c r="AC495" s="1732"/>
    </row>
    <row r="496" spans="1:29" ht="60">
      <c r="A496" s="1704" t="s">
        <v>2791</v>
      </c>
      <c r="B496" s="1705" t="s">
        <v>2792</v>
      </c>
      <c r="C496" s="1706"/>
      <c r="D496" s="1707"/>
      <c r="E496" s="1709">
        <v>4.5000000000000001E-6</v>
      </c>
      <c r="F496" s="1708" t="s">
        <v>1893</v>
      </c>
      <c r="G496" s="1709">
        <v>0.01</v>
      </c>
      <c r="H496" s="1708" t="s">
        <v>1893</v>
      </c>
      <c r="I496" s="1709">
        <v>0.1</v>
      </c>
      <c r="J496" s="1708" t="s">
        <v>1909</v>
      </c>
      <c r="K496" s="1708" t="s">
        <v>1127</v>
      </c>
      <c r="L496" s="1707"/>
      <c r="M496" s="1708">
        <v>1</v>
      </c>
      <c r="N496" s="1708"/>
      <c r="O496" s="1718">
        <v>6.86</v>
      </c>
      <c r="P496" s="1711">
        <v>0.65</v>
      </c>
      <c r="Q496" s="1712" t="s">
        <v>4126</v>
      </c>
      <c r="R496" s="1711">
        <v>2.8</v>
      </c>
      <c r="S496" s="1712" t="s">
        <v>4126</v>
      </c>
      <c r="T496" s="1711">
        <v>0.62</v>
      </c>
      <c r="U496" s="1712" t="s">
        <v>4126</v>
      </c>
      <c r="V496" s="1711">
        <v>2.7</v>
      </c>
      <c r="W496" s="1712" t="s">
        <v>4126</v>
      </c>
      <c r="X496" s="1711">
        <v>1.2</v>
      </c>
      <c r="Y496" s="1714" t="s">
        <v>4127</v>
      </c>
      <c r="Z496" s="1713"/>
      <c r="AA496" s="1715">
        <v>1.7999999999999999E-2</v>
      </c>
      <c r="AB496" s="1716" t="s">
        <v>4127</v>
      </c>
      <c r="AC496" s="1717"/>
    </row>
    <row r="497" spans="1:29" ht="15">
      <c r="A497" s="1704" t="s">
        <v>2793</v>
      </c>
      <c r="B497" s="1705" t="s">
        <v>2794</v>
      </c>
      <c r="C497" s="1706"/>
      <c r="D497" s="1707"/>
      <c r="E497" s="1708"/>
      <c r="F497" s="1707"/>
      <c r="G497" s="1709">
        <v>3</v>
      </c>
      <c r="H497" s="1708" t="s">
        <v>1909</v>
      </c>
      <c r="I497" s="1708"/>
      <c r="J497" s="1707"/>
      <c r="K497" s="1708" t="s">
        <v>1127</v>
      </c>
      <c r="L497" s="1707"/>
      <c r="M497" s="1708">
        <v>1</v>
      </c>
      <c r="N497" s="1708"/>
      <c r="O497" s="1718">
        <v>0.34200000000000003</v>
      </c>
      <c r="P497" s="1711">
        <v>230000</v>
      </c>
      <c r="Q497" s="1712" t="s">
        <v>4123</v>
      </c>
      <c r="R497" s="1711">
        <v>3500000</v>
      </c>
      <c r="S497" s="1712" t="s">
        <v>4123</v>
      </c>
      <c r="T497" s="1712"/>
      <c r="U497" s="1713"/>
      <c r="V497" s="1712"/>
      <c r="W497" s="1713"/>
      <c r="X497" s="1711">
        <v>60000</v>
      </c>
      <c r="Y497" s="1714" t="s">
        <v>1471</v>
      </c>
      <c r="Z497" s="1713"/>
      <c r="AA497" s="1715">
        <v>2400</v>
      </c>
      <c r="AB497" s="1716" t="s">
        <v>1471</v>
      </c>
      <c r="AC497" s="1717"/>
    </row>
    <row r="498" spans="1:29" ht="15">
      <c r="A498" s="1719" t="s">
        <v>2795</v>
      </c>
      <c r="B498" s="1720" t="s">
        <v>2796</v>
      </c>
      <c r="C498" s="1737">
        <v>18</v>
      </c>
      <c r="D498" s="1723" t="s">
        <v>1900</v>
      </c>
      <c r="E498" s="1724">
        <v>5.1000000000000004E-3</v>
      </c>
      <c r="F498" s="1723" t="s">
        <v>1900</v>
      </c>
      <c r="G498" s="1724">
        <v>2.0000000000000001E-4</v>
      </c>
      <c r="H498" s="1723" t="s">
        <v>1119</v>
      </c>
      <c r="I498" s="1723"/>
      <c r="J498" s="1722"/>
      <c r="K498" s="1723" t="s">
        <v>1127</v>
      </c>
      <c r="L498" s="1722"/>
      <c r="M498" s="1723">
        <v>1</v>
      </c>
      <c r="N498" s="1723"/>
      <c r="O498" s="1725"/>
      <c r="P498" s="1726">
        <v>3.5999999999999997E-2</v>
      </c>
      <c r="Q498" s="1727" t="s">
        <v>4126</v>
      </c>
      <c r="R498" s="1726">
        <v>0.17</v>
      </c>
      <c r="S498" s="1727" t="s">
        <v>4126</v>
      </c>
      <c r="T498" s="1726">
        <v>5.5000000000000003E-4</v>
      </c>
      <c r="U498" s="1727" t="s">
        <v>4126</v>
      </c>
      <c r="V498" s="1726">
        <v>2.3999999999999998E-3</v>
      </c>
      <c r="W498" s="1727" t="s">
        <v>4126</v>
      </c>
      <c r="X498" s="1726">
        <v>8.8000000000000003E-4</v>
      </c>
      <c r="Y498" s="1729" t="s">
        <v>4126</v>
      </c>
      <c r="Z498" s="1728"/>
      <c r="AA498" s="1730">
        <v>6.3000000000000003E-4</v>
      </c>
      <c r="AB498" s="1731" t="s">
        <v>4126</v>
      </c>
      <c r="AC498" s="1732"/>
    </row>
    <row r="499" spans="1:29" ht="15">
      <c r="A499" s="1704" t="s">
        <v>2797</v>
      </c>
      <c r="B499" s="1705" t="s">
        <v>2798</v>
      </c>
      <c r="C499" s="1706"/>
      <c r="D499" s="1707"/>
      <c r="E499" s="1708"/>
      <c r="F499" s="1707"/>
      <c r="G499" s="1709">
        <v>2E-3</v>
      </c>
      <c r="H499" s="1708" t="s">
        <v>1119</v>
      </c>
      <c r="I499" s="1708"/>
      <c r="J499" s="1707"/>
      <c r="K499" s="1707"/>
      <c r="L499" s="1707"/>
      <c r="M499" s="1708">
        <v>1</v>
      </c>
      <c r="N499" s="1708">
        <v>0.1</v>
      </c>
      <c r="O499" s="1710"/>
      <c r="P499" s="1711">
        <v>130</v>
      </c>
      <c r="Q499" s="1712" t="s">
        <v>1471</v>
      </c>
      <c r="R499" s="1711">
        <v>1600</v>
      </c>
      <c r="S499" s="1712" t="s">
        <v>1471</v>
      </c>
      <c r="T499" s="1712"/>
      <c r="U499" s="1713"/>
      <c r="V499" s="1712"/>
      <c r="W499" s="1713"/>
      <c r="X499" s="1711">
        <v>30</v>
      </c>
      <c r="Y499" s="1714" t="s">
        <v>1471</v>
      </c>
      <c r="Z499" s="1713"/>
      <c r="AA499" s="1715">
        <v>1.7000000000000001E-2</v>
      </c>
      <c r="AB499" s="1716" t="s">
        <v>1471</v>
      </c>
      <c r="AC499" s="1717"/>
    </row>
    <row r="500" spans="1:29" ht="15">
      <c r="A500" s="1704" t="s">
        <v>230</v>
      </c>
      <c r="B500" s="1705" t="s">
        <v>229</v>
      </c>
      <c r="C500" s="1706"/>
      <c r="D500" s="1707"/>
      <c r="E500" s="1708"/>
      <c r="F500" s="1707"/>
      <c r="G500" s="1709">
        <v>5.0000000000000001E-3</v>
      </c>
      <c r="H500" s="1708" t="s">
        <v>1119</v>
      </c>
      <c r="I500" s="1709">
        <v>2E-3</v>
      </c>
      <c r="J500" s="1708" t="s">
        <v>1960</v>
      </c>
      <c r="K500" s="1707"/>
      <c r="L500" s="1707"/>
      <c r="M500" s="1708">
        <v>1</v>
      </c>
      <c r="N500" s="1708"/>
      <c r="O500" s="1710"/>
      <c r="P500" s="1711">
        <v>390</v>
      </c>
      <c r="Q500" s="1712" t="s">
        <v>1471</v>
      </c>
      <c r="R500" s="1711">
        <v>5800</v>
      </c>
      <c r="S500" s="1712" t="s">
        <v>1471</v>
      </c>
      <c r="T500" s="1711">
        <v>2.1</v>
      </c>
      <c r="U500" s="1712" t="s">
        <v>1471</v>
      </c>
      <c r="V500" s="1711">
        <v>8.8000000000000007</v>
      </c>
      <c r="W500" s="1712" t="s">
        <v>1471</v>
      </c>
      <c r="X500" s="1711">
        <v>100</v>
      </c>
      <c r="Y500" s="1714" t="s">
        <v>1471</v>
      </c>
      <c r="Z500" s="1713"/>
      <c r="AA500" s="1715">
        <v>2</v>
      </c>
      <c r="AB500" s="1716" t="s">
        <v>1471</v>
      </c>
      <c r="AC500" s="1717"/>
    </row>
    <row r="501" spans="1:29" ht="15">
      <c r="A501" s="1719" t="s">
        <v>2799</v>
      </c>
      <c r="B501" s="1720" t="s">
        <v>2800</v>
      </c>
      <c r="C501" s="1721"/>
      <c r="D501" s="1722"/>
      <c r="E501" s="1723"/>
      <c r="F501" s="1722"/>
      <c r="G501" s="1724">
        <v>0.1</v>
      </c>
      <c r="H501" s="1723" t="s">
        <v>1119</v>
      </c>
      <c r="I501" s="1723"/>
      <c r="J501" s="1722"/>
      <c r="K501" s="1722"/>
      <c r="L501" s="1722"/>
      <c r="M501" s="1723">
        <v>1</v>
      </c>
      <c r="N501" s="1723"/>
      <c r="O501" s="1725"/>
      <c r="P501" s="1726">
        <v>7800</v>
      </c>
      <c r="Q501" s="1727" t="s">
        <v>1471</v>
      </c>
      <c r="R501" s="1726">
        <v>120000</v>
      </c>
      <c r="S501" s="1727" t="s">
        <v>4124</v>
      </c>
      <c r="T501" s="1727"/>
      <c r="U501" s="1728"/>
      <c r="V501" s="1727"/>
      <c r="W501" s="1728"/>
      <c r="X501" s="1726">
        <v>2000</v>
      </c>
      <c r="Y501" s="1729" t="s">
        <v>1471</v>
      </c>
      <c r="Z501" s="1727" t="s">
        <v>4133</v>
      </c>
      <c r="AA501" s="1731"/>
      <c r="AB501" s="1740"/>
      <c r="AC501" s="1732"/>
    </row>
    <row r="502" spans="1:29" ht="30">
      <c r="A502" s="1704" t="s">
        <v>2801</v>
      </c>
      <c r="B502" s="1705" t="s">
        <v>2802</v>
      </c>
      <c r="C502" s="1706"/>
      <c r="D502" s="1707"/>
      <c r="E502" s="1708"/>
      <c r="F502" s="1707"/>
      <c r="G502" s="1709">
        <v>2E-3</v>
      </c>
      <c r="H502" s="1708" t="s">
        <v>1909</v>
      </c>
      <c r="I502" s="1708"/>
      <c r="J502" s="1707"/>
      <c r="K502" s="1707"/>
      <c r="L502" s="1707"/>
      <c r="M502" s="1708">
        <v>1</v>
      </c>
      <c r="N502" s="1708">
        <v>0.1</v>
      </c>
      <c r="O502" s="1710"/>
      <c r="P502" s="1711">
        <v>130</v>
      </c>
      <c r="Q502" s="1712" t="s">
        <v>1471</v>
      </c>
      <c r="R502" s="1711">
        <v>1600</v>
      </c>
      <c r="S502" s="1712" t="s">
        <v>1471</v>
      </c>
      <c r="T502" s="1712"/>
      <c r="U502" s="1713"/>
      <c r="V502" s="1712"/>
      <c r="W502" s="1713"/>
      <c r="X502" s="1711">
        <v>38</v>
      </c>
      <c r="Y502" s="1714" t="s">
        <v>1471</v>
      </c>
      <c r="Z502" s="1713"/>
      <c r="AA502" s="1715">
        <v>1.4E-2</v>
      </c>
      <c r="AB502" s="1716" t="s">
        <v>1471</v>
      </c>
      <c r="AC502" s="1717"/>
    </row>
    <row r="503" spans="1:29" ht="15">
      <c r="A503" s="1704" t="s">
        <v>2803</v>
      </c>
      <c r="B503" s="1705" t="s">
        <v>2804</v>
      </c>
      <c r="C503" s="1706"/>
      <c r="D503" s="1707"/>
      <c r="E503" s="1708"/>
      <c r="F503" s="1707"/>
      <c r="G503" s="1709">
        <v>2.5000000000000001E-2</v>
      </c>
      <c r="H503" s="1708" t="s">
        <v>1119</v>
      </c>
      <c r="I503" s="1708"/>
      <c r="J503" s="1707"/>
      <c r="K503" s="1707"/>
      <c r="L503" s="1707"/>
      <c r="M503" s="1708">
        <v>1</v>
      </c>
      <c r="N503" s="1708">
        <v>0.1</v>
      </c>
      <c r="O503" s="1710"/>
      <c r="P503" s="1711">
        <v>1600</v>
      </c>
      <c r="Q503" s="1712" t="s">
        <v>1471</v>
      </c>
      <c r="R503" s="1711">
        <v>21000</v>
      </c>
      <c r="S503" s="1712" t="s">
        <v>1471</v>
      </c>
      <c r="T503" s="1712"/>
      <c r="U503" s="1713"/>
      <c r="V503" s="1712"/>
      <c r="W503" s="1713"/>
      <c r="X503" s="1711">
        <v>450</v>
      </c>
      <c r="Y503" s="1714" t="s">
        <v>1471</v>
      </c>
      <c r="Z503" s="1713"/>
      <c r="AA503" s="1715">
        <v>5.6</v>
      </c>
      <c r="AB503" s="1716" t="s">
        <v>1471</v>
      </c>
      <c r="AC503" s="1717"/>
    </row>
    <row r="504" spans="1:29" ht="30">
      <c r="A504" s="1719" t="s">
        <v>2805</v>
      </c>
      <c r="B504" s="1720" t="s">
        <v>2806</v>
      </c>
      <c r="C504" s="1721"/>
      <c r="D504" s="1722"/>
      <c r="E504" s="1723"/>
      <c r="F504" s="1722"/>
      <c r="G504" s="1724">
        <v>2.9999999999999997E-4</v>
      </c>
      <c r="H504" s="1723" t="s">
        <v>1893</v>
      </c>
      <c r="I504" s="1723"/>
      <c r="J504" s="1722"/>
      <c r="K504" s="1722"/>
      <c r="L504" s="1722"/>
      <c r="M504" s="1723">
        <v>1</v>
      </c>
      <c r="N504" s="1723">
        <v>0.1</v>
      </c>
      <c r="O504" s="1725"/>
      <c r="P504" s="1726">
        <v>19</v>
      </c>
      <c r="Q504" s="1727" t="s">
        <v>1471</v>
      </c>
      <c r="R504" s="1726">
        <v>250</v>
      </c>
      <c r="S504" s="1727" t="s">
        <v>1471</v>
      </c>
      <c r="T504" s="1727"/>
      <c r="U504" s="1728"/>
      <c r="V504" s="1727"/>
      <c r="W504" s="1728"/>
      <c r="X504" s="1726">
        <v>3.6</v>
      </c>
      <c r="Y504" s="1729" t="s">
        <v>1471</v>
      </c>
      <c r="Z504" s="1728"/>
      <c r="AA504" s="1730">
        <v>0.37</v>
      </c>
      <c r="AB504" s="1731" t="s">
        <v>1471</v>
      </c>
      <c r="AC504" s="1732"/>
    </row>
    <row r="505" spans="1:29" ht="15">
      <c r="A505" s="1704" t="s">
        <v>2807</v>
      </c>
      <c r="B505" s="1705" t="s">
        <v>2808</v>
      </c>
      <c r="C505" s="1706"/>
      <c r="D505" s="1707"/>
      <c r="E505" s="1708"/>
      <c r="F505" s="1707"/>
      <c r="G505" s="1709">
        <v>2E-3</v>
      </c>
      <c r="H505" s="1708" t="s">
        <v>1119</v>
      </c>
      <c r="I505" s="1708"/>
      <c r="J505" s="1707"/>
      <c r="K505" s="1708" t="s">
        <v>1127</v>
      </c>
      <c r="L505" s="1707"/>
      <c r="M505" s="1708">
        <v>1</v>
      </c>
      <c r="N505" s="1708"/>
      <c r="O505" s="1710"/>
      <c r="P505" s="1711">
        <v>160</v>
      </c>
      <c r="Q505" s="1712" t="s">
        <v>1471</v>
      </c>
      <c r="R505" s="1711">
        <v>2300</v>
      </c>
      <c r="S505" s="1712" t="s">
        <v>1471</v>
      </c>
      <c r="T505" s="1712"/>
      <c r="U505" s="1713"/>
      <c r="V505" s="1712"/>
      <c r="W505" s="1713"/>
      <c r="X505" s="1711">
        <v>40</v>
      </c>
      <c r="Y505" s="1714" t="s">
        <v>1471</v>
      </c>
      <c r="Z505" s="1713"/>
      <c r="AA505" s="1715">
        <v>1.7999999999999999E-2</v>
      </c>
      <c r="AB505" s="1716" t="s">
        <v>1471</v>
      </c>
      <c r="AC505" s="1717"/>
    </row>
    <row r="506" spans="1:29" ht="45">
      <c r="A506" s="1704" t="s">
        <v>2809</v>
      </c>
      <c r="B506" s="1705" t="s">
        <v>2810</v>
      </c>
      <c r="C506" s="1706"/>
      <c r="D506" s="1707"/>
      <c r="E506" s="1708"/>
      <c r="F506" s="1707"/>
      <c r="G506" s="1709">
        <v>0.03</v>
      </c>
      <c r="H506" s="1708" t="s">
        <v>1893</v>
      </c>
      <c r="I506" s="1709">
        <v>0.1</v>
      </c>
      <c r="J506" s="1708" t="s">
        <v>1909</v>
      </c>
      <c r="K506" s="1708" t="s">
        <v>1127</v>
      </c>
      <c r="L506" s="1707"/>
      <c r="M506" s="1708">
        <v>1</v>
      </c>
      <c r="N506" s="1708"/>
      <c r="O506" s="1710"/>
      <c r="P506" s="1711">
        <v>2300</v>
      </c>
      <c r="Q506" s="1712" t="s">
        <v>1471</v>
      </c>
      <c r="R506" s="1711">
        <v>35000</v>
      </c>
      <c r="S506" s="1712" t="s">
        <v>1471</v>
      </c>
      <c r="T506" s="1711">
        <v>100</v>
      </c>
      <c r="U506" s="1712" t="s">
        <v>1471</v>
      </c>
      <c r="V506" s="1711">
        <v>440</v>
      </c>
      <c r="W506" s="1712" t="s">
        <v>1471</v>
      </c>
      <c r="X506" s="1711">
        <v>150</v>
      </c>
      <c r="Y506" s="1714" t="s">
        <v>1471</v>
      </c>
      <c r="Z506" s="1713"/>
      <c r="AA506" s="1716"/>
      <c r="AB506" s="1734"/>
      <c r="AC506" s="1717"/>
    </row>
    <row r="507" spans="1:29" ht="15">
      <c r="A507" s="1719" t="s">
        <v>2811</v>
      </c>
      <c r="B507" s="1720" t="s">
        <v>2812</v>
      </c>
      <c r="C507" s="1737">
        <v>1.8</v>
      </c>
      <c r="D507" s="1723" t="s">
        <v>1900</v>
      </c>
      <c r="E507" s="1724">
        <v>0</v>
      </c>
      <c r="F507" s="1723" t="s">
        <v>1900</v>
      </c>
      <c r="G507" s="1723"/>
      <c r="H507" s="1722"/>
      <c r="I507" s="1723"/>
      <c r="J507" s="1722"/>
      <c r="K507" s="1722"/>
      <c r="L507" s="1722"/>
      <c r="M507" s="1723">
        <v>1</v>
      </c>
      <c r="N507" s="1723">
        <v>0.1</v>
      </c>
      <c r="O507" s="1725"/>
      <c r="P507" s="1726">
        <v>0.3</v>
      </c>
      <c r="Q507" s="1727" t="s">
        <v>4126</v>
      </c>
      <c r="R507" s="1726">
        <v>1.3</v>
      </c>
      <c r="S507" s="1727" t="s">
        <v>4126</v>
      </c>
      <c r="T507" s="1727"/>
      <c r="U507" s="1728"/>
      <c r="V507" s="1727"/>
      <c r="W507" s="1728"/>
      <c r="X507" s="1726">
        <v>3.9E-2</v>
      </c>
      <c r="Y507" s="1729" t="s">
        <v>4126</v>
      </c>
      <c r="Z507" s="1728"/>
      <c r="AA507" s="1730">
        <v>2.0000000000000001E-4</v>
      </c>
      <c r="AB507" s="1731" t="s">
        <v>4126</v>
      </c>
      <c r="AC507" s="1732"/>
    </row>
    <row r="508" spans="1:29" ht="15">
      <c r="A508" s="1704" t="s">
        <v>2813</v>
      </c>
      <c r="B508" s="1705" t="s">
        <v>2814</v>
      </c>
      <c r="C508" s="1706"/>
      <c r="D508" s="1707"/>
      <c r="E508" s="1708"/>
      <c r="F508" s="1707"/>
      <c r="G508" s="1709">
        <v>0.12</v>
      </c>
      <c r="H508" s="1708" t="s">
        <v>1116</v>
      </c>
      <c r="I508" s="1708"/>
      <c r="J508" s="1707"/>
      <c r="K508" s="1707"/>
      <c r="L508" s="1707"/>
      <c r="M508" s="1708">
        <v>1</v>
      </c>
      <c r="N508" s="1708">
        <v>0.1</v>
      </c>
      <c r="O508" s="1710"/>
      <c r="P508" s="1711">
        <v>7600</v>
      </c>
      <c r="Q508" s="1712" t="s">
        <v>1471</v>
      </c>
      <c r="R508" s="1711">
        <v>98000</v>
      </c>
      <c r="S508" s="1712" t="s">
        <v>1471</v>
      </c>
      <c r="T508" s="1712"/>
      <c r="U508" s="1713"/>
      <c r="V508" s="1712"/>
      <c r="W508" s="1713"/>
      <c r="X508" s="1711">
        <v>2000</v>
      </c>
      <c r="Y508" s="1714" t="s">
        <v>1471</v>
      </c>
      <c r="Z508" s="1713"/>
      <c r="AA508" s="1715">
        <v>13</v>
      </c>
      <c r="AB508" s="1716" t="s">
        <v>1471</v>
      </c>
      <c r="AC508" s="1717"/>
    </row>
    <row r="509" spans="1:29" ht="15">
      <c r="A509" s="1704" t="s">
        <v>2815</v>
      </c>
      <c r="B509" s="1705" t="s">
        <v>2816</v>
      </c>
      <c r="C509" s="1706"/>
      <c r="D509" s="1707"/>
      <c r="E509" s="1709">
        <v>2.5999999999999998E-4</v>
      </c>
      <c r="F509" s="1708" t="s">
        <v>1900</v>
      </c>
      <c r="G509" s="1709">
        <v>1.0999999999999999E-2</v>
      </c>
      <c r="H509" s="1708" t="s">
        <v>1900</v>
      </c>
      <c r="I509" s="1709">
        <v>1.4E-5</v>
      </c>
      <c r="J509" s="1708" t="s">
        <v>1900</v>
      </c>
      <c r="K509" s="1707"/>
      <c r="L509" s="1707"/>
      <c r="M509" s="1708">
        <v>1</v>
      </c>
      <c r="N509" s="1708">
        <v>0.1</v>
      </c>
      <c r="O509" s="1710"/>
      <c r="P509" s="1711">
        <v>670</v>
      </c>
      <c r="Q509" s="1712" t="s">
        <v>1471</v>
      </c>
      <c r="R509" s="1711">
        <v>8100</v>
      </c>
      <c r="S509" s="1712" t="s">
        <v>1471</v>
      </c>
      <c r="T509" s="1711">
        <v>1.0999999999999999E-2</v>
      </c>
      <c r="U509" s="1712" t="s">
        <v>4122</v>
      </c>
      <c r="V509" s="1711">
        <v>4.7E-2</v>
      </c>
      <c r="W509" s="1712" t="s">
        <v>4122</v>
      </c>
      <c r="X509" s="1711">
        <v>220</v>
      </c>
      <c r="Y509" s="1714" t="s">
        <v>1471</v>
      </c>
      <c r="Z509" s="1713"/>
      <c r="AA509" s="1715">
        <v>4.4999999999999998E-2</v>
      </c>
      <c r="AB509" s="1716" t="s">
        <v>1471</v>
      </c>
      <c r="AC509" s="1717"/>
    </row>
    <row r="510" spans="1:29" ht="15">
      <c r="A510" s="1719" t="s">
        <v>2817</v>
      </c>
      <c r="B510" s="1720" t="s">
        <v>2818</v>
      </c>
      <c r="C510" s="1721"/>
      <c r="D510" s="1722"/>
      <c r="E510" s="1724">
        <v>2.5999999999999998E-4</v>
      </c>
      <c r="F510" s="1723" t="s">
        <v>1900</v>
      </c>
      <c r="G510" s="1724">
        <v>1.0999999999999999E-2</v>
      </c>
      <c r="H510" s="1723" t="s">
        <v>1900</v>
      </c>
      <c r="I510" s="1724">
        <v>1.4E-5</v>
      </c>
      <c r="J510" s="1723" t="s">
        <v>1900</v>
      </c>
      <c r="K510" s="1722"/>
      <c r="L510" s="1722"/>
      <c r="M510" s="1723">
        <v>1</v>
      </c>
      <c r="N510" s="1723">
        <v>0.1</v>
      </c>
      <c r="O510" s="1725"/>
      <c r="P510" s="1726">
        <v>670</v>
      </c>
      <c r="Q510" s="1727" t="s">
        <v>1471</v>
      </c>
      <c r="R510" s="1726">
        <v>8100</v>
      </c>
      <c r="S510" s="1727" t="s">
        <v>1471</v>
      </c>
      <c r="T510" s="1726">
        <v>1.0999999999999999E-2</v>
      </c>
      <c r="U510" s="1727" t="s">
        <v>4122</v>
      </c>
      <c r="V510" s="1726">
        <v>4.7E-2</v>
      </c>
      <c r="W510" s="1727" t="s">
        <v>4122</v>
      </c>
      <c r="X510" s="1726">
        <v>220</v>
      </c>
      <c r="Y510" s="1729" t="s">
        <v>1471</v>
      </c>
      <c r="Z510" s="1728"/>
      <c r="AA510" s="1731"/>
      <c r="AB510" s="1740"/>
      <c r="AC510" s="1732"/>
    </row>
    <row r="511" spans="1:29" ht="15">
      <c r="A511" s="1704" t="s">
        <v>2819</v>
      </c>
      <c r="B511" s="1705" t="s">
        <v>2820</v>
      </c>
      <c r="C511" s="1706"/>
      <c r="D511" s="1707"/>
      <c r="E511" s="1709">
        <v>2.5999999999999998E-4</v>
      </c>
      <c r="F511" s="1708" t="s">
        <v>1900</v>
      </c>
      <c r="G511" s="1709">
        <v>1.0999999999999999E-2</v>
      </c>
      <c r="H511" s="1708" t="s">
        <v>1900</v>
      </c>
      <c r="I511" s="1709">
        <v>1.4E-5</v>
      </c>
      <c r="J511" s="1708" t="s">
        <v>1900</v>
      </c>
      <c r="K511" s="1708" t="s">
        <v>1127</v>
      </c>
      <c r="L511" s="1707"/>
      <c r="M511" s="1708">
        <v>1</v>
      </c>
      <c r="N511" s="1708"/>
      <c r="O511" s="1710"/>
      <c r="P511" s="1711">
        <v>820</v>
      </c>
      <c r="Q511" s="1712" t="s">
        <v>1471</v>
      </c>
      <c r="R511" s="1711">
        <v>11000</v>
      </c>
      <c r="S511" s="1712" t="s">
        <v>1471</v>
      </c>
      <c r="T511" s="1711">
        <v>1.0999999999999999E-2</v>
      </c>
      <c r="U511" s="1712" t="s">
        <v>4122</v>
      </c>
      <c r="V511" s="1711">
        <v>4.7E-2</v>
      </c>
      <c r="W511" s="1712" t="s">
        <v>4122</v>
      </c>
      <c r="X511" s="1711">
        <v>2.1999999999999999E-2</v>
      </c>
      <c r="Y511" s="1714" t="s">
        <v>4122</v>
      </c>
      <c r="Z511" s="1713"/>
      <c r="AA511" s="1716"/>
      <c r="AB511" s="1734"/>
      <c r="AC511" s="1717"/>
    </row>
    <row r="512" spans="1:29" ht="15">
      <c r="A512" s="1704" t="s">
        <v>2822</v>
      </c>
      <c r="B512" s="1705" t="s">
        <v>2823</v>
      </c>
      <c r="C512" s="1706"/>
      <c r="D512" s="1707"/>
      <c r="E512" s="1709">
        <v>2.5999999999999998E-4</v>
      </c>
      <c r="F512" s="1708" t="s">
        <v>1900</v>
      </c>
      <c r="G512" s="1709">
        <v>1.0999999999999999E-2</v>
      </c>
      <c r="H512" s="1708" t="s">
        <v>1900</v>
      </c>
      <c r="I512" s="1709">
        <v>1.4E-5</v>
      </c>
      <c r="J512" s="1708" t="s">
        <v>1900</v>
      </c>
      <c r="K512" s="1707"/>
      <c r="L512" s="1707"/>
      <c r="M512" s="1708">
        <v>0.04</v>
      </c>
      <c r="N512" s="1708"/>
      <c r="O512" s="1710"/>
      <c r="P512" s="1711">
        <v>820</v>
      </c>
      <c r="Q512" s="1712" t="s">
        <v>1471</v>
      </c>
      <c r="R512" s="1711">
        <v>11000</v>
      </c>
      <c r="S512" s="1712" t="s">
        <v>1471</v>
      </c>
      <c r="T512" s="1711">
        <v>1.0999999999999999E-2</v>
      </c>
      <c r="U512" s="1712" t="s">
        <v>4122</v>
      </c>
      <c r="V512" s="1711">
        <v>4.7E-2</v>
      </c>
      <c r="W512" s="1712" t="s">
        <v>4122</v>
      </c>
      <c r="X512" s="1711">
        <v>200</v>
      </c>
      <c r="Y512" s="1714" t="s">
        <v>1471</v>
      </c>
      <c r="Z512" s="1713"/>
      <c r="AA512" s="1716"/>
      <c r="AB512" s="1734"/>
      <c r="AC512" s="1717"/>
    </row>
    <row r="513" spans="1:29" ht="15">
      <c r="A513" s="1719" t="s">
        <v>2825</v>
      </c>
      <c r="B513" s="1720" t="s">
        <v>2826</v>
      </c>
      <c r="C513" s="1721"/>
      <c r="D513" s="1722"/>
      <c r="E513" s="1724">
        <v>2.5999999999999998E-4</v>
      </c>
      <c r="F513" s="1723" t="s">
        <v>1900</v>
      </c>
      <c r="G513" s="1724">
        <v>1.0999999999999999E-2</v>
      </c>
      <c r="H513" s="1723" t="s">
        <v>1900</v>
      </c>
      <c r="I513" s="1724">
        <v>2.0000000000000002E-5</v>
      </c>
      <c r="J513" s="1723" t="s">
        <v>1900</v>
      </c>
      <c r="K513" s="1722"/>
      <c r="L513" s="1722"/>
      <c r="M513" s="1723">
        <v>0.04</v>
      </c>
      <c r="N513" s="1723"/>
      <c r="O513" s="1725"/>
      <c r="P513" s="1726">
        <v>840</v>
      </c>
      <c r="Q513" s="1727" t="s">
        <v>1471</v>
      </c>
      <c r="R513" s="1726">
        <v>12000</v>
      </c>
      <c r="S513" s="1727" t="s">
        <v>1471</v>
      </c>
      <c r="T513" s="1726">
        <v>1.0999999999999999E-2</v>
      </c>
      <c r="U513" s="1727" t="s">
        <v>4122</v>
      </c>
      <c r="V513" s="1726">
        <v>4.7E-2</v>
      </c>
      <c r="W513" s="1727" t="s">
        <v>4122</v>
      </c>
      <c r="X513" s="1726">
        <v>200</v>
      </c>
      <c r="Y513" s="1729" t="s">
        <v>1471</v>
      </c>
      <c r="Z513" s="1728"/>
      <c r="AA513" s="1731"/>
      <c r="AB513" s="1740"/>
      <c r="AC513" s="1732"/>
    </row>
    <row r="514" spans="1:29" ht="30">
      <c r="A514" s="1704" t="s">
        <v>2827</v>
      </c>
      <c r="B514" s="1705" t="s">
        <v>2828</v>
      </c>
      <c r="C514" s="1706"/>
      <c r="D514" s="1707"/>
      <c r="E514" s="1709">
        <v>2.4000000000000001E-4</v>
      </c>
      <c r="F514" s="1708" t="s">
        <v>1119</v>
      </c>
      <c r="G514" s="1709">
        <v>1.0999999999999999E-2</v>
      </c>
      <c r="H514" s="1708" t="s">
        <v>1900</v>
      </c>
      <c r="I514" s="1709">
        <v>1.4E-5</v>
      </c>
      <c r="J514" s="1708" t="s">
        <v>1900</v>
      </c>
      <c r="K514" s="1707"/>
      <c r="L514" s="1707"/>
      <c r="M514" s="1708">
        <v>0.04</v>
      </c>
      <c r="N514" s="1708"/>
      <c r="O514" s="1710"/>
      <c r="P514" s="1711">
        <v>820</v>
      </c>
      <c r="Q514" s="1712" t="s">
        <v>1471</v>
      </c>
      <c r="R514" s="1711">
        <v>11000</v>
      </c>
      <c r="S514" s="1712" t="s">
        <v>1471</v>
      </c>
      <c r="T514" s="1711">
        <v>1.2E-2</v>
      </c>
      <c r="U514" s="1712" t="s">
        <v>4122</v>
      </c>
      <c r="V514" s="1711">
        <v>5.0999999999999997E-2</v>
      </c>
      <c r="W514" s="1712" t="s">
        <v>4122</v>
      </c>
      <c r="X514" s="1711">
        <v>220</v>
      </c>
      <c r="Y514" s="1714" t="s">
        <v>1471</v>
      </c>
      <c r="Z514" s="1713"/>
      <c r="AA514" s="1715">
        <v>32</v>
      </c>
      <c r="AB514" s="1716" t="s">
        <v>1471</v>
      </c>
      <c r="AC514" s="1717"/>
    </row>
    <row r="515" spans="1:29" ht="30">
      <c r="A515" s="1704" t="s">
        <v>232</v>
      </c>
      <c r="B515" s="1705" t="s">
        <v>2829</v>
      </c>
      <c r="C515" s="1706"/>
      <c r="D515" s="1707"/>
      <c r="E515" s="1709">
        <v>2.5999999999999998E-4</v>
      </c>
      <c r="F515" s="1708" t="s">
        <v>1900</v>
      </c>
      <c r="G515" s="1709">
        <v>0.02</v>
      </c>
      <c r="H515" s="1708" t="s">
        <v>1119</v>
      </c>
      <c r="I515" s="1709">
        <v>1.0000000000000001E-5</v>
      </c>
      <c r="J515" s="1708" t="s">
        <v>1912</v>
      </c>
      <c r="K515" s="1707"/>
      <c r="L515" s="1707"/>
      <c r="M515" s="1708">
        <v>0.04</v>
      </c>
      <c r="N515" s="1708"/>
      <c r="O515" s="1710"/>
      <c r="P515" s="1711">
        <v>1400</v>
      </c>
      <c r="Q515" s="1712" t="s">
        <v>1471</v>
      </c>
      <c r="R515" s="1711">
        <v>17000</v>
      </c>
      <c r="S515" s="1712" t="s">
        <v>1471</v>
      </c>
      <c r="T515" s="1711">
        <v>0.01</v>
      </c>
      <c r="U515" s="1712" t="s">
        <v>1471</v>
      </c>
      <c r="V515" s="1711">
        <v>4.3999999999999997E-2</v>
      </c>
      <c r="W515" s="1712" t="s">
        <v>1471</v>
      </c>
      <c r="X515" s="1711">
        <v>390</v>
      </c>
      <c r="Y515" s="1714" t="s">
        <v>1471</v>
      </c>
      <c r="Z515" s="1713"/>
      <c r="AA515" s="1715">
        <v>26</v>
      </c>
      <c r="AB515" s="1716" t="s">
        <v>1471</v>
      </c>
      <c r="AC515" s="1717"/>
    </row>
    <row r="516" spans="1:29" ht="15">
      <c r="A516" s="1719" t="s">
        <v>2830</v>
      </c>
      <c r="B516" s="1720" t="s">
        <v>2831</v>
      </c>
      <c r="C516" s="1737">
        <v>1.7</v>
      </c>
      <c r="D516" s="1723" t="s">
        <v>1900</v>
      </c>
      <c r="E516" s="1724">
        <v>4.8000000000000001E-4</v>
      </c>
      <c r="F516" s="1723" t="s">
        <v>1119</v>
      </c>
      <c r="G516" s="1724">
        <v>1.0999999999999999E-2</v>
      </c>
      <c r="H516" s="1723" t="s">
        <v>1900</v>
      </c>
      <c r="I516" s="1724">
        <v>1.4E-5</v>
      </c>
      <c r="J516" s="1723" t="s">
        <v>1900</v>
      </c>
      <c r="K516" s="1722"/>
      <c r="L516" s="1722"/>
      <c r="M516" s="1723">
        <v>0.04</v>
      </c>
      <c r="N516" s="1723"/>
      <c r="O516" s="1725"/>
      <c r="P516" s="1726">
        <v>0.41</v>
      </c>
      <c r="Q516" s="1727" t="s">
        <v>4126</v>
      </c>
      <c r="R516" s="1726">
        <v>1.9</v>
      </c>
      <c r="S516" s="1727" t="s">
        <v>4126</v>
      </c>
      <c r="T516" s="1726">
        <v>5.7999999999999996E-3</v>
      </c>
      <c r="U516" s="1727" t="s">
        <v>4122</v>
      </c>
      <c r="V516" s="1726">
        <v>2.5999999999999999E-2</v>
      </c>
      <c r="W516" s="1727" t="s">
        <v>4122</v>
      </c>
      <c r="X516" s="1726">
        <v>4.4999999999999998E-2</v>
      </c>
      <c r="Y516" s="1729" t="s">
        <v>4126</v>
      </c>
      <c r="Z516" s="1728"/>
      <c r="AA516" s="1731"/>
      <c r="AB516" s="1740"/>
      <c r="AC516" s="1732"/>
    </row>
    <row r="517" spans="1:29" ht="15">
      <c r="A517" s="1704" t="s">
        <v>2832</v>
      </c>
      <c r="B517" s="1705" t="s">
        <v>2833</v>
      </c>
      <c r="C517" s="1736">
        <v>0.91</v>
      </c>
      <c r="D517" s="1708" t="s">
        <v>1900</v>
      </c>
      <c r="E517" s="1709">
        <v>2.5999999999999998E-4</v>
      </c>
      <c r="F517" s="1708" t="s">
        <v>1900</v>
      </c>
      <c r="G517" s="1709">
        <v>1.0999999999999999E-2</v>
      </c>
      <c r="H517" s="1708" t="s">
        <v>1900</v>
      </c>
      <c r="I517" s="1709">
        <v>1.4E-5</v>
      </c>
      <c r="J517" s="1708" t="s">
        <v>1900</v>
      </c>
      <c r="K517" s="1707"/>
      <c r="L517" s="1707"/>
      <c r="M517" s="1708">
        <v>1</v>
      </c>
      <c r="N517" s="1708">
        <v>0.1</v>
      </c>
      <c r="O517" s="1710"/>
      <c r="P517" s="1711">
        <v>0.6</v>
      </c>
      <c r="Q517" s="1712" t="s">
        <v>4126</v>
      </c>
      <c r="R517" s="1711">
        <v>2.5</v>
      </c>
      <c r="S517" s="1712" t="s">
        <v>4126</v>
      </c>
      <c r="T517" s="1711">
        <v>1.0999999999999999E-2</v>
      </c>
      <c r="U517" s="1712" t="s">
        <v>4122</v>
      </c>
      <c r="V517" s="1711">
        <v>4.7E-2</v>
      </c>
      <c r="W517" s="1712" t="s">
        <v>4122</v>
      </c>
      <c r="X517" s="1711">
        <v>8.5999999999999993E-2</v>
      </c>
      <c r="Y517" s="1714" t="s">
        <v>4126</v>
      </c>
      <c r="Z517" s="1713"/>
      <c r="AA517" s="1716"/>
      <c r="AB517" s="1734"/>
      <c r="AC517" s="1717"/>
    </row>
    <row r="518" spans="1:29" ht="45">
      <c r="A518" s="1704" t="s">
        <v>2834</v>
      </c>
      <c r="B518" s="1705" t="s">
        <v>2835</v>
      </c>
      <c r="C518" s="1706"/>
      <c r="D518" s="1707"/>
      <c r="E518" s="1708"/>
      <c r="F518" s="1707"/>
      <c r="G518" s="1709">
        <v>1.6</v>
      </c>
      <c r="H518" s="1708" t="s">
        <v>1119</v>
      </c>
      <c r="I518" s="1708"/>
      <c r="J518" s="1707"/>
      <c r="K518" s="1707"/>
      <c r="L518" s="1707"/>
      <c r="M518" s="1708">
        <v>1</v>
      </c>
      <c r="N518" s="1708"/>
      <c r="O518" s="1710"/>
      <c r="P518" s="1711">
        <v>130000</v>
      </c>
      <c r="Q518" s="1712" t="s">
        <v>4124</v>
      </c>
      <c r="R518" s="1711">
        <v>1900000</v>
      </c>
      <c r="S518" s="1712" t="s">
        <v>4124</v>
      </c>
      <c r="T518" s="1712"/>
      <c r="U518" s="1713"/>
      <c r="V518" s="1712"/>
      <c r="W518" s="1713"/>
      <c r="X518" s="1711">
        <v>32000</v>
      </c>
      <c r="Y518" s="1714" t="s">
        <v>1471</v>
      </c>
      <c r="Z518" s="1711">
        <v>10000</v>
      </c>
      <c r="AA518" s="1716"/>
      <c r="AB518" s="1734"/>
      <c r="AC518" s="1717"/>
    </row>
    <row r="519" spans="1:29" ht="45">
      <c r="A519" s="1719" t="s">
        <v>2836</v>
      </c>
      <c r="B519" s="1720" t="s">
        <v>2837</v>
      </c>
      <c r="C519" s="1721"/>
      <c r="D519" s="1722"/>
      <c r="E519" s="1723"/>
      <c r="F519" s="1722"/>
      <c r="G519" s="1723"/>
      <c r="H519" s="1722"/>
      <c r="I519" s="1723"/>
      <c r="J519" s="1722"/>
      <c r="K519" s="1722"/>
      <c r="L519" s="1722"/>
      <c r="M519" s="1723">
        <v>1</v>
      </c>
      <c r="N519" s="1723"/>
      <c r="O519" s="1725"/>
      <c r="P519" s="1727"/>
      <c r="Q519" s="1728"/>
      <c r="R519" s="1727"/>
      <c r="S519" s="1728"/>
      <c r="T519" s="1727"/>
      <c r="U519" s="1728"/>
      <c r="V519" s="1727"/>
      <c r="W519" s="1728"/>
      <c r="X519" s="1727"/>
      <c r="Y519" s="1743"/>
      <c r="Z519" s="1726">
        <v>10000</v>
      </c>
      <c r="AA519" s="1731"/>
      <c r="AB519" s="1740"/>
      <c r="AC519" s="1732"/>
    </row>
    <row r="520" spans="1:29" ht="30">
      <c r="A520" s="1704" t="s">
        <v>2838</v>
      </c>
      <c r="B520" s="1705" t="s">
        <v>2839</v>
      </c>
      <c r="C520" s="1706"/>
      <c r="D520" s="1707"/>
      <c r="E520" s="1708"/>
      <c r="F520" s="1707"/>
      <c r="G520" s="1709">
        <v>0.1</v>
      </c>
      <c r="H520" s="1708" t="s">
        <v>1119</v>
      </c>
      <c r="I520" s="1708"/>
      <c r="J520" s="1707"/>
      <c r="K520" s="1707"/>
      <c r="L520" s="1707"/>
      <c r="M520" s="1708">
        <v>1</v>
      </c>
      <c r="N520" s="1708"/>
      <c r="O520" s="1710"/>
      <c r="P520" s="1711">
        <v>7800</v>
      </c>
      <c r="Q520" s="1712" t="s">
        <v>1471</v>
      </c>
      <c r="R520" s="1711">
        <v>120000</v>
      </c>
      <c r="S520" s="1712" t="s">
        <v>4124</v>
      </c>
      <c r="T520" s="1712"/>
      <c r="U520" s="1713"/>
      <c r="V520" s="1712"/>
      <c r="W520" s="1713"/>
      <c r="X520" s="1711">
        <v>2000</v>
      </c>
      <c r="Y520" s="1714" t="s">
        <v>1471</v>
      </c>
      <c r="Z520" s="1711">
        <v>1000</v>
      </c>
      <c r="AA520" s="1716"/>
      <c r="AB520" s="1734"/>
      <c r="AC520" s="1717"/>
    </row>
    <row r="521" spans="1:29" ht="15">
      <c r="A521" s="1704" t="s">
        <v>2840</v>
      </c>
      <c r="B521" s="1705" t="s">
        <v>2841</v>
      </c>
      <c r="C521" s="1706"/>
      <c r="D521" s="1707"/>
      <c r="E521" s="1708"/>
      <c r="F521" s="1707"/>
      <c r="G521" s="1709">
        <v>0.01</v>
      </c>
      <c r="H521" s="1708" t="s">
        <v>1893</v>
      </c>
      <c r="I521" s="1709">
        <v>5.0000000000000002E-5</v>
      </c>
      <c r="J521" s="1708" t="s">
        <v>1893</v>
      </c>
      <c r="K521" s="1707"/>
      <c r="L521" s="1707"/>
      <c r="M521" s="1708">
        <v>1</v>
      </c>
      <c r="N521" s="1708">
        <v>0.1</v>
      </c>
      <c r="O521" s="1710"/>
      <c r="P521" s="1711">
        <v>630</v>
      </c>
      <c r="Q521" s="1712" t="s">
        <v>1471</v>
      </c>
      <c r="R521" s="1711">
        <v>8000</v>
      </c>
      <c r="S521" s="1712" t="s">
        <v>1471</v>
      </c>
      <c r="T521" s="1711">
        <v>5.1999999999999998E-2</v>
      </c>
      <c r="U521" s="1712" t="s">
        <v>1471</v>
      </c>
      <c r="V521" s="1711">
        <v>0.22</v>
      </c>
      <c r="W521" s="1712" t="s">
        <v>1471</v>
      </c>
      <c r="X521" s="1711">
        <v>190</v>
      </c>
      <c r="Y521" s="1714" t="s">
        <v>1471</v>
      </c>
      <c r="Z521" s="1713"/>
      <c r="AA521" s="1715">
        <v>0.08</v>
      </c>
      <c r="AB521" s="1716" t="s">
        <v>1471</v>
      </c>
      <c r="AC521" s="1717"/>
    </row>
    <row r="522" spans="1:29" ht="15">
      <c r="A522" s="1719" t="s">
        <v>2842</v>
      </c>
      <c r="B522" s="1720" t="s">
        <v>2843</v>
      </c>
      <c r="C522" s="1737">
        <v>0.02</v>
      </c>
      <c r="D522" s="1723" t="s">
        <v>1909</v>
      </c>
      <c r="E522" s="1723"/>
      <c r="F522" s="1722"/>
      <c r="G522" s="1724">
        <v>4.0000000000000001E-3</v>
      </c>
      <c r="H522" s="1723" t="s">
        <v>1909</v>
      </c>
      <c r="I522" s="1724">
        <v>6.0000000000000001E-3</v>
      </c>
      <c r="J522" s="1723" t="s">
        <v>1909</v>
      </c>
      <c r="K522" s="1722"/>
      <c r="L522" s="1722"/>
      <c r="M522" s="1723">
        <v>1</v>
      </c>
      <c r="N522" s="1723">
        <v>0.1</v>
      </c>
      <c r="O522" s="1725"/>
      <c r="P522" s="1726">
        <v>27</v>
      </c>
      <c r="Q522" s="1727" t="s">
        <v>4122</v>
      </c>
      <c r="R522" s="1726">
        <v>110</v>
      </c>
      <c r="S522" s="1727" t="s">
        <v>4127</v>
      </c>
      <c r="T522" s="1726">
        <v>6.3</v>
      </c>
      <c r="U522" s="1727" t="s">
        <v>1471</v>
      </c>
      <c r="V522" s="1726">
        <v>26</v>
      </c>
      <c r="W522" s="1727" t="s">
        <v>1471</v>
      </c>
      <c r="X522" s="1726">
        <v>3.8</v>
      </c>
      <c r="Y522" s="1729" t="s">
        <v>4127</v>
      </c>
      <c r="Z522" s="1728"/>
      <c r="AA522" s="1730">
        <v>1.6000000000000001E-3</v>
      </c>
      <c r="AB522" s="1731" t="s">
        <v>4127</v>
      </c>
      <c r="AC522" s="1732"/>
    </row>
    <row r="523" spans="1:29" ht="15">
      <c r="A523" s="1704" t="s">
        <v>2844</v>
      </c>
      <c r="B523" s="1705" t="s">
        <v>2845</v>
      </c>
      <c r="C523" s="1706"/>
      <c r="D523" s="1707"/>
      <c r="E523" s="1709">
        <v>4.0000000000000003E-5</v>
      </c>
      <c r="F523" s="1708" t="s">
        <v>1119</v>
      </c>
      <c r="G523" s="1709">
        <v>2E-3</v>
      </c>
      <c r="H523" s="1708" t="s">
        <v>1119</v>
      </c>
      <c r="I523" s="1709">
        <v>8.9999999999999993E-3</v>
      </c>
      <c r="J523" s="1708" t="s">
        <v>1119</v>
      </c>
      <c r="K523" s="1708" t="s">
        <v>1127</v>
      </c>
      <c r="L523" s="1707"/>
      <c r="M523" s="1708">
        <v>1</v>
      </c>
      <c r="N523" s="1708"/>
      <c r="O523" s="1718">
        <v>3050</v>
      </c>
      <c r="P523" s="1711">
        <v>5.0999999999999996</v>
      </c>
      <c r="Q523" s="1712" t="s">
        <v>4127</v>
      </c>
      <c r="R523" s="1711">
        <v>22</v>
      </c>
      <c r="S523" s="1712" t="s">
        <v>4127</v>
      </c>
      <c r="T523" s="1711">
        <v>7.0000000000000007E-2</v>
      </c>
      <c r="U523" s="1712" t="s">
        <v>4126</v>
      </c>
      <c r="V523" s="1711">
        <v>0.31</v>
      </c>
      <c r="W523" s="1712" t="s">
        <v>4126</v>
      </c>
      <c r="X523" s="1711">
        <v>0.14000000000000001</v>
      </c>
      <c r="Y523" s="1714" t="s">
        <v>4127</v>
      </c>
      <c r="Z523" s="1713"/>
      <c r="AA523" s="1715">
        <v>9.2E-5</v>
      </c>
      <c r="AB523" s="1716" t="s">
        <v>4127</v>
      </c>
      <c r="AC523" s="1717"/>
    </row>
    <row r="524" spans="1:29" ht="15">
      <c r="A524" s="1704" t="s">
        <v>2846</v>
      </c>
      <c r="B524" s="1705" t="s">
        <v>2847</v>
      </c>
      <c r="C524" s="1706"/>
      <c r="D524" s="1707"/>
      <c r="E524" s="1708"/>
      <c r="F524" s="1707"/>
      <c r="G524" s="1709">
        <v>3000</v>
      </c>
      <c r="H524" s="1708" t="s">
        <v>1909</v>
      </c>
      <c r="I524" s="1708"/>
      <c r="J524" s="1707"/>
      <c r="K524" s="1707"/>
      <c r="L524" s="1707"/>
      <c r="M524" s="1708">
        <v>1</v>
      </c>
      <c r="N524" s="1708">
        <v>0.1</v>
      </c>
      <c r="O524" s="1710"/>
      <c r="P524" s="1711">
        <v>190000000</v>
      </c>
      <c r="Q524" s="1712" t="s">
        <v>4124</v>
      </c>
      <c r="R524" s="1711">
        <v>2500000000</v>
      </c>
      <c r="S524" s="1712" t="s">
        <v>4124</v>
      </c>
      <c r="T524" s="1712"/>
      <c r="U524" s="1713"/>
      <c r="V524" s="1712"/>
      <c r="W524" s="1713"/>
      <c r="X524" s="1711">
        <v>60000000</v>
      </c>
      <c r="Y524" s="1714" t="s">
        <v>1471</v>
      </c>
      <c r="Z524" s="1713"/>
      <c r="AA524" s="1715">
        <v>13000</v>
      </c>
      <c r="AB524" s="1716" t="s">
        <v>1471</v>
      </c>
      <c r="AC524" s="1717"/>
    </row>
    <row r="525" spans="1:29" ht="15">
      <c r="A525" s="1719" t="s">
        <v>2848</v>
      </c>
      <c r="B525" s="1720" t="s">
        <v>2849</v>
      </c>
      <c r="C525" s="1721"/>
      <c r="D525" s="1722"/>
      <c r="E525" s="1723"/>
      <c r="F525" s="1722"/>
      <c r="G525" s="1724">
        <v>7.0000000000000007E-2</v>
      </c>
      <c r="H525" s="1723" t="s">
        <v>1073</v>
      </c>
      <c r="I525" s="1723"/>
      <c r="J525" s="1722"/>
      <c r="K525" s="1722"/>
      <c r="L525" s="1722"/>
      <c r="M525" s="1723">
        <v>1</v>
      </c>
      <c r="N525" s="1723">
        <v>0.1</v>
      </c>
      <c r="O525" s="1725"/>
      <c r="P525" s="1726">
        <v>4400</v>
      </c>
      <c r="Q525" s="1727" t="s">
        <v>1471</v>
      </c>
      <c r="R525" s="1726">
        <v>57000</v>
      </c>
      <c r="S525" s="1727" t="s">
        <v>1471</v>
      </c>
      <c r="T525" s="1727"/>
      <c r="U525" s="1728"/>
      <c r="V525" s="1727"/>
      <c r="W525" s="1728"/>
      <c r="X525" s="1726">
        <v>1400</v>
      </c>
      <c r="Y525" s="1729" t="s">
        <v>1471</v>
      </c>
      <c r="Z525" s="1728"/>
      <c r="AA525" s="1730">
        <v>0.61</v>
      </c>
      <c r="AB525" s="1731" t="s">
        <v>1471</v>
      </c>
      <c r="AC525" s="1732"/>
    </row>
    <row r="526" spans="1:29" ht="15">
      <c r="A526" s="1704" t="s">
        <v>2850</v>
      </c>
      <c r="B526" s="1705" t="s">
        <v>2851</v>
      </c>
      <c r="C526" s="1736">
        <v>1.3</v>
      </c>
      <c r="D526" s="1708" t="s">
        <v>1900</v>
      </c>
      <c r="E526" s="1709">
        <v>3.6999999999999999E-4</v>
      </c>
      <c r="F526" s="1708" t="s">
        <v>1900</v>
      </c>
      <c r="G526" s="1708"/>
      <c r="H526" s="1707"/>
      <c r="I526" s="1708"/>
      <c r="J526" s="1707"/>
      <c r="K526" s="1707"/>
      <c r="L526" s="1707"/>
      <c r="M526" s="1708">
        <v>1</v>
      </c>
      <c r="N526" s="1708">
        <v>0.1</v>
      </c>
      <c r="O526" s="1710"/>
      <c r="P526" s="1711">
        <v>0.42</v>
      </c>
      <c r="Q526" s="1712" t="s">
        <v>4126</v>
      </c>
      <c r="R526" s="1711">
        <v>1.8</v>
      </c>
      <c r="S526" s="1712" t="s">
        <v>4126</v>
      </c>
      <c r="T526" s="1711">
        <v>7.6E-3</v>
      </c>
      <c r="U526" s="1712" t="s">
        <v>4126</v>
      </c>
      <c r="V526" s="1711">
        <v>3.3000000000000002E-2</v>
      </c>
      <c r="W526" s="1712" t="s">
        <v>4126</v>
      </c>
      <c r="X526" s="1711">
        <v>0.06</v>
      </c>
      <c r="Y526" s="1714" t="s">
        <v>4126</v>
      </c>
      <c r="Z526" s="1713"/>
      <c r="AA526" s="1715">
        <v>5.3999999999999998E-5</v>
      </c>
      <c r="AB526" s="1716" t="s">
        <v>4126</v>
      </c>
      <c r="AC526" s="1717"/>
    </row>
    <row r="527" spans="1:29" ht="15">
      <c r="A527" s="1704" t="s">
        <v>2852</v>
      </c>
      <c r="B527" s="1705" t="s">
        <v>2853</v>
      </c>
      <c r="C527" s="1736">
        <v>1.7000000000000001E-2</v>
      </c>
      <c r="D527" s="1708" t="s">
        <v>1909</v>
      </c>
      <c r="E527" s="1708"/>
      <c r="F527" s="1707"/>
      <c r="G527" s="1709">
        <v>1E-4</v>
      </c>
      <c r="H527" s="1708" t="s">
        <v>1909</v>
      </c>
      <c r="I527" s="1708"/>
      <c r="J527" s="1707"/>
      <c r="K527" s="1707"/>
      <c r="L527" s="1707"/>
      <c r="M527" s="1708">
        <v>1</v>
      </c>
      <c r="N527" s="1708">
        <v>0.1</v>
      </c>
      <c r="O527" s="1710"/>
      <c r="P527" s="1711">
        <v>6.3</v>
      </c>
      <c r="Q527" s="1712" t="s">
        <v>1471</v>
      </c>
      <c r="R527" s="1711">
        <v>82</v>
      </c>
      <c r="S527" s="1712" t="s">
        <v>1471</v>
      </c>
      <c r="T527" s="1712"/>
      <c r="U527" s="1713"/>
      <c r="V527" s="1712"/>
      <c r="W527" s="1713"/>
      <c r="X527" s="1711">
        <v>2</v>
      </c>
      <c r="Y527" s="1714" t="s">
        <v>1471</v>
      </c>
      <c r="Z527" s="1713"/>
      <c r="AA527" s="1715">
        <v>8.4999999999999995E-4</v>
      </c>
      <c r="AB527" s="1716" t="s">
        <v>1471</v>
      </c>
      <c r="AC527" s="1717"/>
    </row>
    <row r="528" spans="1:29" ht="15">
      <c r="A528" s="1719" t="s">
        <v>2854</v>
      </c>
      <c r="B528" s="1720" t="s">
        <v>2855</v>
      </c>
      <c r="C528" s="1721"/>
      <c r="D528" s="1722"/>
      <c r="E528" s="1723"/>
      <c r="F528" s="1722"/>
      <c r="G528" s="1724">
        <v>0.1</v>
      </c>
      <c r="H528" s="1723" t="s">
        <v>1119</v>
      </c>
      <c r="I528" s="1723"/>
      <c r="J528" s="1722"/>
      <c r="K528" s="1722"/>
      <c r="L528" s="1722"/>
      <c r="M528" s="1723">
        <v>1</v>
      </c>
      <c r="N528" s="1723">
        <v>0.1</v>
      </c>
      <c r="O528" s="1725"/>
      <c r="P528" s="1726">
        <v>6300</v>
      </c>
      <c r="Q528" s="1727" t="s">
        <v>1471</v>
      </c>
      <c r="R528" s="1726">
        <v>82000</v>
      </c>
      <c r="S528" s="1727" t="s">
        <v>1471</v>
      </c>
      <c r="T528" s="1727"/>
      <c r="U528" s="1728"/>
      <c r="V528" s="1727"/>
      <c r="W528" s="1728"/>
      <c r="X528" s="1726">
        <v>2000</v>
      </c>
      <c r="Y528" s="1729" t="s">
        <v>1471</v>
      </c>
      <c r="Z528" s="1728"/>
      <c r="AA528" s="1730">
        <v>0.48</v>
      </c>
      <c r="AB528" s="1731" t="s">
        <v>1471</v>
      </c>
      <c r="AC528" s="1732"/>
    </row>
    <row r="529" spans="1:29" ht="15">
      <c r="A529" s="1704" t="s">
        <v>2856</v>
      </c>
      <c r="B529" s="1705" t="s">
        <v>2857</v>
      </c>
      <c r="C529" s="1706"/>
      <c r="D529" s="1707"/>
      <c r="E529" s="1709">
        <v>8.8000000000000004E-6</v>
      </c>
      <c r="F529" s="1708" t="s">
        <v>1909</v>
      </c>
      <c r="G529" s="1708"/>
      <c r="H529" s="1707"/>
      <c r="I529" s="1709">
        <v>5.0000000000000001E-3</v>
      </c>
      <c r="J529" s="1708" t="s">
        <v>1909</v>
      </c>
      <c r="K529" s="1708" t="s">
        <v>1127</v>
      </c>
      <c r="L529" s="1707"/>
      <c r="M529" s="1708">
        <v>1</v>
      </c>
      <c r="N529" s="1708"/>
      <c r="O529" s="1718">
        <v>18000</v>
      </c>
      <c r="P529" s="1711">
        <v>5.4</v>
      </c>
      <c r="Q529" s="1712" t="s">
        <v>4127</v>
      </c>
      <c r="R529" s="1711">
        <v>24</v>
      </c>
      <c r="S529" s="1712" t="s">
        <v>4127</v>
      </c>
      <c r="T529" s="1711">
        <v>0.32</v>
      </c>
      <c r="U529" s="1712" t="s">
        <v>4127</v>
      </c>
      <c r="V529" s="1711">
        <v>1.4</v>
      </c>
      <c r="W529" s="1712" t="s">
        <v>4127</v>
      </c>
      <c r="X529" s="1711">
        <v>0.64</v>
      </c>
      <c r="Y529" s="1714" t="s">
        <v>4127</v>
      </c>
      <c r="Z529" s="1713"/>
      <c r="AA529" s="1715">
        <v>1.3999999999999999E-4</v>
      </c>
      <c r="AB529" s="1716" t="s">
        <v>4127</v>
      </c>
      <c r="AC529" s="1717"/>
    </row>
    <row r="530" spans="1:29" ht="15">
      <c r="A530" s="1704" t="s">
        <v>2858</v>
      </c>
      <c r="B530" s="1705" t="s">
        <v>2859</v>
      </c>
      <c r="C530" s="1706"/>
      <c r="D530" s="1707"/>
      <c r="E530" s="1709">
        <v>5.8E-4</v>
      </c>
      <c r="F530" s="1708" t="s">
        <v>1893</v>
      </c>
      <c r="G530" s="1708"/>
      <c r="H530" s="1707"/>
      <c r="I530" s="1709">
        <v>0.02</v>
      </c>
      <c r="J530" s="1708" t="s">
        <v>1119</v>
      </c>
      <c r="K530" s="1708" t="s">
        <v>1127</v>
      </c>
      <c r="L530" s="1707"/>
      <c r="M530" s="1708">
        <v>1</v>
      </c>
      <c r="N530" s="1708"/>
      <c r="O530" s="1718">
        <v>4860</v>
      </c>
      <c r="P530" s="1711">
        <v>6.4000000000000001E-2</v>
      </c>
      <c r="Q530" s="1712" t="s">
        <v>4126</v>
      </c>
      <c r="R530" s="1711">
        <v>0.28000000000000003</v>
      </c>
      <c r="S530" s="1712" t="s">
        <v>4126</v>
      </c>
      <c r="T530" s="1711">
        <v>4.7999999999999996E-3</v>
      </c>
      <c r="U530" s="1712" t="s">
        <v>4126</v>
      </c>
      <c r="V530" s="1711">
        <v>2.1000000000000001E-2</v>
      </c>
      <c r="W530" s="1712" t="s">
        <v>4126</v>
      </c>
      <c r="X530" s="1711">
        <v>9.7000000000000003E-3</v>
      </c>
      <c r="Y530" s="1714" t="s">
        <v>4126</v>
      </c>
      <c r="Z530" s="1713"/>
      <c r="AA530" s="1715">
        <v>2.5000000000000002E-6</v>
      </c>
      <c r="AB530" s="1716" t="s">
        <v>4126</v>
      </c>
      <c r="AC530" s="1717"/>
    </row>
    <row r="531" spans="1:29" ht="30">
      <c r="A531" s="1719" t="s">
        <v>2860</v>
      </c>
      <c r="B531" s="1720" t="s">
        <v>2861</v>
      </c>
      <c r="C531" s="1737">
        <v>27</v>
      </c>
      <c r="D531" s="1723" t="s">
        <v>1900</v>
      </c>
      <c r="E531" s="1724">
        <v>7.7000000000000002E-3</v>
      </c>
      <c r="F531" s="1723" t="s">
        <v>1900</v>
      </c>
      <c r="G531" s="1723"/>
      <c r="H531" s="1722"/>
      <c r="I531" s="1723"/>
      <c r="J531" s="1722"/>
      <c r="K531" s="1722"/>
      <c r="L531" s="1723" t="s">
        <v>1906</v>
      </c>
      <c r="M531" s="1723">
        <v>1</v>
      </c>
      <c r="N531" s="1723">
        <v>0.1</v>
      </c>
      <c r="O531" s="1725"/>
      <c r="P531" s="1726">
        <v>4.4999999999999997E-3</v>
      </c>
      <c r="Q531" s="1727" t="s">
        <v>4126</v>
      </c>
      <c r="R531" s="1726">
        <v>8.5000000000000006E-2</v>
      </c>
      <c r="S531" s="1727" t="s">
        <v>4126</v>
      </c>
      <c r="T531" s="1726">
        <v>1.2999999999999999E-4</v>
      </c>
      <c r="U531" s="1727" t="s">
        <v>4126</v>
      </c>
      <c r="V531" s="1726">
        <v>1.6000000000000001E-3</v>
      </c>
      <c r="W531" s="1727" t="s">
        <v>4126</v>
      </c>
      <c r="X531" s="1726">
        <v>9.2000000000000003E-4</v>
      </c>
      <c r="Y531" s="1729" t="s">
        <v>4126</v>
      </c>
      <c r="Z531" s="1728"/>
      <c r="AA531" s="1730">
        <v>2.2000000000000001E-7</v>
      </c>
      <c r="AB531" s="1731" t="s">
        <v>4126</v>
      </c>
      <c r="AC531" s="1732"/>
    </row>
    <row r="532" spans="1:29" ht="30">
      <c r="A532" s="1704" t="s">
        <v>2862</v>
      </c>
      <c r="B532" s="1705" t="s">
        <v>2863</v>
      </c>
      <c r="C532" s="1736">
        <v>120</v>
      </c>
      <c r="D532" s="1708" t="s">
        <v>1900</v>
      </c>
      <c r="E532" s="1709">
        <v>3.4000000000000002E-2</v>
      </c>
      <c r="F532" s="1708" t="s">
        <v>1900</v>
      </c>
      <c r="G532" s="1708"/>
      <c r="H532" s="1707"/>
      <c r="I532" s="1708"/>
      <c r="J532" s="1707"/>
      <c r="K532" s="1707"/>
      <c r="L532" s="1708" t="s">
        <v>1906</v>
      </c>
      <c r="M532" s="1708">
        <v>1</v>
      </c>
      <c r="N532" s="1708">
        <v>0.1</v>
      </c>
      <c r="O532" s="1710"/>
      <c r="P532" s="1711">
        <v>1E-3</v>
      </c>
      <c r="Q532" s="1712" t="s">
        <v>4126</v>
      </c>
      <c r="R532" s="1711">
        <v>1.9E-2</v>
      </c>
      <c r="S532" s="1712" t="s">
        <v>4126</v>
      </c>
      <c r="T532" s="1711">
        <v>3.0000000000000001E-5</v>
      </c>
      <c r="U532" s="1712" t="s">
        <v>4126</v>
      </c>
      <c r="V532" s="1711">
        <v>3.6000000000000002E-4</v>
      </c>
      <c r="W532" s="1712" t="s">
        <v>4126</v>
      </c>
      <c r="X532" s="1711">
        <v>2.1000000000000001E-4</v>
      </c>
      <c r="Y532" s="1714" t="s">
        <v>4126</v>
      </c>
      <c r="Z532" s="1713"/>
      <c r="AA532" s="1715">
        <v>4.6000000000000002E-8</v>
      </c>
      <c r="AB532" s="1716" t="s">
        <v>4126</v>
      </c>
      <c r="AC532" s="1717"/>
    </row>
    <row r="533" spans="1:29" ht="30">
      <c r="A533" s="1704" t="s">
        <v>2864</v>
      </c>
      <c r="B533" s="1705" t="s">
        <v>2865</v>
      </c>
      <c r="C533" s="1736">
        <v>5.4</v>
      </c>
      <c r="D533" s="1708" t="s">
        <v>1119</v>
      </c>
      <c r="E533" s="1709">
        <v>1.6000000000000001E-3</v>
      </c>
      <c r="F533" s="1708" t="s">
        <v>1119</v>
      </c>
      <c r="G533" s="1708"/>
      <c r="H533" s="1707"/>
      <c r="I533" s="1708"/>
      <c r="J533" s="1707"/>
      <c r="K533" s="1708" t="s">
        <v>1127</v>
      </c>
      <c r="L533" s="1707"/>
      <c r="M533" s="1708">
        <v>1</v>
      </c>
      <c r="N533" s="1708"/>
      <c r="O533" s="1710"/>
      <c r="P533" s="1711">
        <v>9.9000000000000005E-2</v>
      </c>
      <c r="Q533" s="1712" t="s">
        <v>4126</v>
      </c>
      <c r="R533" s="1711">
        <v>0.46</v>
      </c>
      <c r="S533" s="1712" t="s">
        <v>4126</v>
      </c>
      <c r="T533" s="1711">
        <v>1.8E-3</v>
      </c>
      <c r="U533" s="1712" t="s">
        <v>4126</v>
      </c>
      <c r="V533" s="1711">
        <v>7.7000000000000002E-3</v>
      </c>
      <c r="W533" s="1712" t="s">
        <v>4126</v>
      </c>
      <c r="X533" s="1711">
        <v>2.7000000000000001E-3</v>
      </c>
      <c r="Y533" s="1714" t="s">
        <v>4126</v>
      </c>
      <c r="Z533" s="1713"/>
      <c r="AA533" s="1715">
        <v>5.4999999999999999E-6</v>
      </c>
      <c r="AB533" s="1716" t="s">
        <v>4126</v>
      </c>
      <c r="AC533" s="1717"/>
    </row>
    <row r="534" spans="1:29" ht="30">
      <c r="A534" s="1719" t="s">
        <v>2866</v>
      </c>
      <c r="B534" s="1720" t="s">
        <v>2867</v>
      </c>
      <c r="C534" s="1737">
        <v>2.8</v>
      </c>
      <c r="D534" s="1723" t="s">
        <v>1119</v>
      </c>
      <c r="E534" s="1724">
        <v>8.0000000000000004E-4</v>
      </c>
      <c r="F534" s="1723" t="s">
        <v>1900</v>
      </c>
      <c r="G534" s="1723"/>
      <c r="H534" s="1722"/>
      <c r="I534" s="1723"/>
      <c r="J534" s="1722"/>
      <c r="K534" s="1722"/>
      <c r="L534" s="1722"/>
      <c r="M534" s="1723">
        <v>1</v>
      </c>
      <c r="N534" s="1723">
        <v>0.1</v>
      </c>
      <c r="O534" s="1725"/>
      <c r="P534" s="1726">
        <v>0.19</v>
      </c>
      <c r="Q534" s="1727" t="s">
        <v>4126</v>
      </c>
      <c r="R534" s="1726">
        <v>0.82</v>
      </c>
      <c r="S534" s="1727" t="s">
        <v>4126</v>
      </c>
      <c r="T534" s="1726">
        <v>3.5000000000000001E-3</v>
      </c>
      <c r="U534" s="1727" t="s">
        <v>4126</v>
      </c>
      <c r="V534" s="1726">
        <v>1.4999999999999999E-2</v>
      </c>
      <c r="W534" s="1727" t="s">
        <v>4126</v>
      </c>
      <c r="X534" s="1726">
        <v>2.8000000000000001E-2</v>
      </c>
      <c r="Y534" s="1729" t="s">
        <v>4126</v>
      </c>
      <c r="Z534" s="1728"/>
      <c r="AA534" s="1730">
        <v>5.5999999999999997E-6</v>
      </c>
      <c r="AB534" s="1731" t="s">
        <v>4126</v>
      </c>
      <c r="AC534" s="1732"/>
    </row>
    <row r="535" spans="1:29" ht="30">
      <c r="A535" s="1704" t="s">
        <v>2868</v>
      </c>
      <c r="B535" s="1705" t="s">
        <v>2869</v>
      </c>
      <c r="C535" s="1736">
        <v>150</v>
      </c>
      <c r="D535" s="1708" t="s">
        <v>1119</v>
      </c>
      <c r="E535" s="1709">
        <v>4.2999999999999997E-2</v>
      </c>
      <c r="F535" s="1708" t="s">
        <v>1119</v>
      </c>
      <c r="G535" s="1708"/>
      <c r="H535" s="1707"/>
      <c r="I535" s="1708"/>
      <c r="J535" s="1707"/>
      <c r="K535" s="1707"/>
      <c r="L535" s="1708" t="s">
        <v>1906</v>
      </c>
      <c r="M535" s="1708">
        <v>1</v>
      </c>
      <c r="N535" s="1708">
        <v>0.1</v>
      </c>
      <c r="O535" s="1710"/>
      <c r="P535" s="1711">
        <v>8.0999999999999996E-4</v>
      </c>
      <c r="Q535" s="1712" t="s">
        <v>4126</v>
      </c>
      <c r="R535" s="1711">
        <v>1.4999999999999999E-2</v>
      </c>
      <c r="S535" s="1712" t="s">
        <v>4126</v>
      </c>
      <c r="T535" s="1711">
        <v>2.4000000000000001E-5</v>
      </c>
      <c r="U535" s="1712" t="s">
        <v>4126</v>
      </c>
      <c r="V535" s="1711">
        <v>2.9E-4</v>
      </c>
      <c r="W535" s="1712" t="s">
        <v>4126</v>
      </c>
      <c r="X535" s="1711">
        <v>1.7000000000000001E-4</v>
      </c>
      <c r="Y535" s="1714" t="s">
        <v>4126</v>
      </c>
      <c r="Z535" s="1713"/>
      <c r="AA535" s="1715">
        <v>6.1000000000000004E-8</v>
      </c>
      <c r="AB535" s="1716" t="s">
        <v>4126</v>
      </c>
      <c r="AC535" s="1717"/>
    </row>
    <row r="536" spans="1:29" ht="30">
      <c r="A536" s="1704" t="s">
        <v>2870</v>
      </c>
      <c r="B536" s="1705" t="s">
        <v>2871</v>
      </c>
      <c r="C536" s="1736">
        <v>51</v>
      </c>
      <c r="D536" s="1708" t="s">
        <v>1119</v>
      </c>
      <c r="E536" s="1709">
        <v>1.4E-2</v>
      </c>
      <c r="F536" s="1708" t="s">
        <v>1119</v>
      </c>
      <c r="G536" s="1709">
        <v>7.9999999999999996E-6</v>
      </c>
      <c r="H536" s="1708" t="s">
        <v>1909</v>
      </c>
      <c r="I536" s="1709">
        <v>4.0000000000000003E-5</v>
      </c>
      <c r="J536" s="1708" t="s">
        <v>1893</v>
      </c>
      <c r="K536" s="1708" t="s">
        <v>1127</v>
      </c>
      <c r="L536" s="1708" t="s">
        <v>1906</v>
      </c>
      <c r="M536" s="1708">
        <v>1</v>
      </c>
      <c r="N536" s="1708"/>
      <c r="O536" s="1718">
        <v>237000</v>
      </c>
      <c r="P536" s="1711">
        <v>2E-3</v>
      </c>
      <c r="Q536" s="1712" t="s">
        <v>4126</v>
      </c>
      <c r="R536" s="1711">
        <v>3.4000000000000002E-2</v>
      </c>
      <c r="S536" s="1712" t="s">
        <v>4126</v>
      </c>
      <c r="T536" s="1711">
        <v>7.2000000000000002E-5</v>
      </c>
      <c r="U536" s="1712" t="s">
        <v>4126</v>
      </c>
      <c r="V536" s="1711">
        <v>8.8000000000000003E-4</v>
      </c>
      <c r="W536" s="1712" t="s">
        <v>4126</v>
      </c>
      <c r="X536" s="1711">
        <v>1.1E-4</v>
      </c>
      <c r="Y536" s="1714" t="s">
        <v>4126</v>
      </c>
      <c r="Z536" s="1713"/>
      <c r="AA536" s="1715">
        <v>2.7E-8</v>
      </c>
      <c r="AB536" s="1716" t="s">
        <v>4126</v>
      </c>
      <c r="AC536" s="1717"/>
    </row>
    <row r="537" spans="1:29" ht="30">
      <c r="A537" s="1719" t="s">
        <v>2872</v>
      </c>
      <c r="B537" s="1720" t="s">
        <v>2873</v>
      </c>
      <c r="C537" s="1737">
        <v>4.8999999999999998E-3</v>
      </c>
      <c r="D537" s="1723" t="s">
        <v>1119</v>
      </c>
      <c r="E537" s="1724">
        <v>2.6000000000000001E-6</v>
      </c>
      <c r="F537" s="1723" t="s">
        <v>1900</v>
      </c>
      <c r="G537" s="1723"/>
      <c r="H537" s="1722"/>
      <c r="I537" s="1723"/>
      <c r="J537" s="1722"/>
      <c r="K537" s="1722"/>
      <c r="L537" s="1722"/>
      <c r="M537" s="1723">
        <v>1</v>
      </c>
      <c r="N537" s="1723">
        <v>0.1</v>
      </c>
      <c r="O537" s="1725"/>
      <c r="P537" s="1726">
        <v>110</v>
      </c>
      <c r="Q537" s="1727" t="s">
        <v>4126</v>
      </c>
      <c r="R537" s="1726">
        <v>470</v>
      </c>
      <c r="S537" s="1727" t="s">
        <v>4126</v>
      </c>
      <c r="T537" s="1726">
        <v>1.1000000000000001</v>
      </c>
      <c r="U537" s="1727" t="s">
        <v>4126</v>
      </c>
      <c r="V537" s="1726">
        <v>4.7</v>
      </c>
      <c r="W537" s="1727" t="s">
        <v>4126</v>
      </c>
      <c r="X537" s="1726">
        <v>12</v>
      </c>
      <c r="Y537" s="1729" t="s">
        <v>4126</v>
      </c>
      <c r="Z537" s="1728"/>
      <c r="AA537" s="1730">
        <v>6.7000000000000004E-2</v>
      </c>
      <c r="AB537" s="1731" t="s">
        <v>4126</v>
      </c>
      <c r="AC537" s="1732"/>
    </row>
    <row r="538" spans="1:29" ht="30">
      <c r="A538" s="1704" t="s">
        <v>2874</v>
      </c>
      <c r="B538" s="1705" t="s">
        <v>2875</v>
      </c>
      <c r="C538" s="1736">
        <v>7</v>
      </c>
      <c r="D538" s="1708" t="s">
        <v>1119</v>
      </c>
      <c r="E538" s="1709">
        <v>2E-3</v>
      </c>
      <c r="F538" s="1708" t="s">
        <v>1900</v>
      </c>
      <c r="G538" s="1708"/>
      <c r="H538" s="1707"/>
      <c r="I538" s="1708"/>
      <c r="J538" s="1707"/>
      <c r="K538" s="1707"/>
      <c r="L538" s="1707"/>
      <c r="M538" s="1708">
        <v>1</v>
      </c>
      <c r="N538" s="1708">
        <v>0.1</v>
      </c>
      <c r="O538" s="1710"/>
      <c r="P538" s="1711">
        <v>7.8E-2</v>
      </c>
      <c r="Q538" s="1712" t="s">
        <v>4126</v>
      </c>
      <c r="R538" s="1711">
        <v>0.33</v>
      </c>
      <c r="S538" s="1712" t="s">
        <v>4126</v>
      </c>
      <c r="T538" s="1711">
        <v>1.4E-3</v>
      </c>
      <c r="U538" s="1712" t="s">
        <v>4126</v>
      </c>
      <c r="V538" s="1711">
        <v>6.1000000000000004E-3</v>
      </c>
      <c r="W538" s="1712" t="s">
        <v>4126</v>
      </c>
      <c r="X538" s="1711">
        <v>1.0999999999999999E-2</v>
      </c>
      <c r="Y538" s="1714" t="s">
        <v>4126</v>
      </c>
      <c r="Z538" s="1713"/>
      <c r="AA538" s="1715">
        <v>8.1000000000000004E-6</v>
      </c>
      <c r="AB538" s="1716" t="s">
        <v>4126</v>
      </c>
      <c r="AC538" s="1717"/>
    </row>
    <row r="539" spans="1:29" ht="30">
      <c r="A539" s="1704" t="s">
        <v>2876</v>
      </c>
      <c r="B539" s="1705" t="s">
        <v>2877</v>
      </c>
      <c r="C539" s="1736">
        <v>22</v>
      </c>
      <c r="D539" s="1708" t="s">
        <v>1119</v>
      </c>
      <c r="E539" s="1709">
        <v>6.3E-3</v>
      </c>
      <c r="F539" s="1708" t="s">
        <v>1900</v>
      </c>
      <c r="G539" s="1708"/>
      <c r="H539" s="1707"/>
      <c r="I539" s="1708"/>
      <c r="J539" s="1707"/>
      <c r="K539" s="1708" t="s">
        <v>1127</v>
      </c>
      <c r="L539" s="1707"/>
      <c r="M539" s="1708">
        <v>1</v>
      </c>
      <c r="N539" s="1708"/>
      <c r="O539" s="1718">
        <v>108000</v>
      </c>
      <c r="P539" s="1711">
        <v>0.02</v>
      </c>
      <c r="Q539" s="1712" t="s">
        <v>4126</v>
      </c>
      <c r="R539" s="1711">
        <v>9.0999999999999998E-2</v>
      </c>
      <c r="S539" s="1712" t="s">
        <v>4126</v>
      </c>
      <c r="T539" s="1711">
        <v>4.4999999999999999E-4</v>
      </c>
      <c r="U539" s="1712" t="s">
        <v>4126</v>
      </c>
      <c r="V539" s="1711">
        <v>1.9E-3</v>
      </c>
      <c r="W539" s="1712" t="s">
        <v>4126</v>
      </c>
      <c r="X539" s="1711">
        <v>7.1000000000000002E-4</v>
      </c>
      <c r="Y539" s="1714" t="s">
        <v>4126</v>
      </c>
      <c r="Z539" s="1713"/>
      <c r="AA539" s="1715">
        <v>1.9999999999999999E-7</v>
      </c>
      <c r="AB539" s="1716" t="s">
        <v>4126</v>
      </c>
      <c r="AC539" s="1717"/>
    </row>
    <row r="540" spans="1:29" ht="30">
      <c r="A540" s="1719" t="s">
        <v>2878</v>
      </c>
      <c r="B540" s="1720" t="s">
        <v>2879</v>
      </c>
      <c r="C540" s="1737">
        <v>6.7</v>
      </c>
      <c r="D540" s="1723" t="s">
        <v>1900</v>
      </c>
      <c r="E540" s="1724">
        <v>1.9E-3</v>
      </c>
      <c r="F540" s="1723" t="s">
        <v>1900</v>
      </c>
      <c r="G540" s="1723"/>
      <c r="H540" s="1722"/>
      <c r="I540" s="1723"/>
      <c r="J540" s="1722"/>
      <c r="K540" s="1722"/>
      <c r="L540" s="1722"/>
      <c r="M540" s="1723">
        <v>1</v>
      </c>
      <c r="N540" s="1723">
        <v>0.1</v>
      </c>
      <c r="O540" s="1725"/>
      <c r="P540" s="1726">
        <v>8.1000000000000003E-2</v>
      </c>
      <c r="Q540" s="1727" t="s">
        <v>4126</v>
      </c>
      <c r="R540" s="1726">
        <v>0.34</v>
      </c>
      <c r="S540" s="1727" t="s">
        <v>4126</v>
      </c>
      <c r="T540" s="1726">
        <v>1.5E-3</v>
      </c>
      <c r="U540" s="1727" t="s">
        <v>4126</v>
      </c>
      <c r="V540" s="1726">
        <v>6.4999999999999997E-3</v>
      </c>
      <c r="W540" s="1727" t="s">
        <v>4126</v>
      </c>
      <c r="X540" s="1726">
        <v>1.2E-2</v>
      </c>
      <c r="Y540" s="1729" t="s">
        <v>4126</v>
      </c>
      <c r="Z540" s="1728"/>
      <c r="AA540" s="1730">
        <v>2.7999999999999999E-6</v>
      </c>
      <c r="AB540" s="1731" t="s">
        <v>4126</v>
      </c>
      <c r="AC540" s="1732"/>
    </row>
    <row r="541" spans="1:29" ht="30">
      <c r="A541" s="1704" t="s">
        <v>2880</v>
      </c>
      <c r="B541" s="1705" t="s">
        <v>2881</v>
      </c>
      <c r="C541" s="1736">
        <v>9.4</v>
      </c>
      <c r="D541" s="1708" t="s">
        <v>1900</v>
      </c>
      <c r="E541" s="1709">
        <v>2.7000000000000001E-3</v>
      </c>
      <c r="F541" s="1708" t="s">
        <v>1900</v>
      </c>
      <c r="G541" s="1708"/>
      <c r="H541" s="1707"/>
      <c r="I541" s="1708"/>
      <c r="J541" s="1707"/>
      <c r="K541" s="1707"/>
      <c r="L541" s="1707"/>
      <c r="M541" s="1708">
        <v>1</v>
      </c>
      <c r="N541" s="1708">
        <v>0.1</v>
      </c>
      <c r="O541" s="1710"/>
      <c r="P541" s="1711">
        <v>5.8000000000000003E-2</v>
      </c>
      <c r="Q541" s="1712" t="s">
        <v>4126</v>
      </c>
      <c r="R541" s="1711">
        <v>0.24</v>
      </c>
      <c r="S541" s="1712" t="s">
        <v>4126</v>
      </c>
      <c r="T541" s="1711">
        <v>1E-3</v>
      </c>
      <c r="U541" s="1712" t="s">
        <v>4126</v>
      </c>
      <c r="V541" s="1711">
        <v>4.4999999999999997E-3</v>
      </c>
      <c r="W541" s="1712" t="s">
        <v>4126</v>
      </c>
      <c r="X541" s="1711">
        <v>8.2000000000000007E-3</v>
      </c>
      <c r="Y541" s="1714" t="s">
        <v>4126</v>
      </c>
      <c r="Z541" s="1713"/>
      <c r="AA541" s="1715">
        <v>4.4000000000000002E-6</v>
      </c>
      <c r="AB541" s="1716" t="s">
        <v>4126</v>
      </c>
      <c r="AC541" s="1717"/>
    </row>
    <row r="542" spans="1:29" ht="30">
      <c r="A542" s="1704" t="s">
        <v>2882</v>
      </c>
      <c r="B542" s="1705" t="s">
        <v>2883</v>
      </c>
      <c r="C542" s="1736">
        <v>2.1</v>
      </c>
      <c r="D542" s="1708" t="s">
        <v>1119</v>
      </c>
      <c r="E542" s="1709">
        <v>6.0999999999999997E-4</v>
      </c>
      <c r="F542" s="1708" t="s">
        <v>1119</v>
      </c>
      <c r="G542" s="1708"/>
      <c r="H542" s="1707"/>
      <c r="I542" s="1708"/>
      <c r="J542" s="1707"/>
      <c r="K542" s="1707"/>
      <c r="L542" s="1707"/>
      <c r="M542" s="1708">
        <v>1</v>
      </c>
      <c r="N542" s="1708">
        <v>0.1</v>
      </c>
      <c r="O542" s="1710"/>
      <c r="P542" s="1711">
        <v>0.26</v>
      </c>
      <c r="Q542" s="1712" t="s">
        <v>4126</v>
      </c>
      <c r="R542" s="1711">
        <v>1.1000000000000001</v>
      </c>
      <c r="S542" s="1712" t="s">
        <v>4126</v>
      </c>
      <c r="T542" s="1711">
        <v>4.5999999999999999E-3</v>
      </c>
      <c r="U542" s="1712" t="s">
        <v>4126</v>
      </c>
      <c r="V542" s="1711">
        <v>0.02</v>
      </c>
      <c r="W542" s="1712" t="s">
        <v>4126</v>
      </c>
      <c r="X542" s="1711">
        <v>3.6999999999999998E-2</v>
      </c>
      <c r="Y542" s="1714" t="s">
        <v>4126</v>
      </c>
      <c r="Z542" s="1713"/>
      <c r="AA542" s="1715">
        <v>1.4E-5</v>
      </c>
      <c r="AB542" s="1716" t="s">
        <v>4126</v>
      </c>
      <c r="AC542" s="1717"/>
    </row>
    <row r="543" spans="1:29" ht="15">
      <c r="A543" s="1719" t="s">
        <v>2884</v>
      </c>
      <c r="B543" s="1720" t="s">
        <v>2885</v>
      </c>
      <c r="C543" s="1721"/>
      <c r="D543" s="1722"/>
      <c r="E543" s="1723"/>
      <c r="F543" s="1722"/>
      <c r="G543" s="1724">
        <v>1E-4</v>
      </c>
      <c r="H543" s="1723" t="s">
        <v>1893</v>
      </c>
      <c r="I543" s="1723"/>
      <c r="J543" s="1722"/>
      <c r="K543" s="1722"/>
      <c r="L543" s="1722"/>
      <c r="M543" s="1723">
        <v>1</v>
      </c>
      <c r="N543" s="1723">
        <v>0.1</v>
      </c>
      <c r="O543" s="1725"/>
      <c r="P543" s="1726">
        <v>6.3</v>
      </c>
      <c r="Q543" s="1727" t="s">
        <v>1471</v>
      </c>
      <c r="R543" s="1726">
        <v>82</v>
      </c>
      <c r="S543" s="1727" t="s">
        <v>1471</v>
      </c>
      <c r="T543" s="1727"/>
      <c r="U543" s="1728"/>
      <c r="V543" s="1727"/>
      <c r="W543" s="1728"/>
      <c r="X543" s="1726">
        <v>1.7</v>
      </c>
      <c r="Y543" s="1729" t="s">
        <v>1471</v>
      </c>
      <c r="Z543" s="1728"/>
      <c r="AA543" s="1730">
        <v>1.6000000000000001E-3</v>
      </c>
      <c r="AB543" s="1731" t="s">
        <v>1471</v>
      </c>
      <c r="AC543" s="1732"/>
    </row>
    <row r="544" spans="1:29" ht="15">
      <c r="A544" s="1704" t="s">
        <v>2886</v>
      </c>
      <c r="B544" s="1705" t="s">
        <v>2887</v>
      </c>
      <c r="C544" s="1736">
        <v>0.22</v>
      </c>
      <c r="D544" s="1708" t="s">
        <v>1909</v>
      </c>
      <c r="E544" s="1708"/>
      <c r="F544" s="1707"/>
      <c r="G544" s="1709">
        <v>8.9999999999999998E-4</v>
      </c>
      <c r="H544" s="1708" t="s">
        <v>1909</v>
      </c>
      <c r="I544" s="1708"/>
      <c r="J544" s="1707"/>
      <c r="K544" s="1708" t="s">
        <v>1127</v>
      </c>
      <c r="L544" s="1707"/>
      <c r="M544" s="1708">
        <v>1</v>
      </c>
      <c r="N544" s="1708"/>
      <c r="O544" s="1718">
        <v>1510</v>
      </c>
      <c r="P544" s="1711">
        <v>3.2</v>
      </c>
      <c r="Q544" s="1712" t="s">
        <v>4127</v>
      </c>
      <c r="R544" s="1711">
        <v>15</v>
      </c>
      <c r="S544" s="1712" t="s">
        <v>4127</v>
      </c>
      <c r="T544" s="1712"/>
      <c r="U544" s="1713"/>
      <c r="V544" s="1712"/>
      <c r="W544" s="1713"/>
      <c r="X544" s="1711">
        <v>0.31</v>
      </c>
      <c r="Y544" s="1714" t="s">
        <v>4127</v>
      </c>
      <c r="Z544" s="1713"/>
      <c r="AA544" s="1715">
        <v>2.9999999999999997E-4</v>
      </c>
      <c r="AB544" s="1716" t="s">
        <v>4127</v>
      </c>
      <c r="AC544" s="1717"/>
    </row>
    <row r="545" spans="1:29" ht="15">
      <c r="A545" s="1704" t="s">
        <v>2888</v>
      </c>
      <c r="B545" s="1705" t="s">
        <v>2889</v>
      </c>
      <c r="C545" s="1736">
        <v>1.6E-2</v>
      </c>
      <c r="D545" s="1708" t="s">
        <v>1909</v>
      </c>
      <c r="E545" s="1708"/>
      <c r="F545" s="1707"/>
      <c r="G545" s="1709">
        <v>4.0000000000000001E-3</v>
      </c>
      <c r="H545" s="1708" t="s">
        <v>1909</v>
      </c>
      <c r="I545" s="1708"/>
      <c r="J545" s="1707"/>
      <c r="K545" s="1707"/>
      <c r="L545" s="1707"/>
      <c r="M545" s="1708">
        <v>1</v>
      </c>
      <c r="N545" s="1708">
        <v>0.1</v>
      </c>
      <c r="O545" s="1710"/>
      <c r="P545" s="1711">
        <v>34</v>
      </c>
      <c r="Q545" s="1712" t="s">
        <v>4122</v>
      </c>
      <c r="R545" s="1711">
        <v>140</v>
      </c>
      <c r="S545" s="1712" t="s">
        <v>4127</v>
      </c>
      <c r="T545" s="1712"/>
      <c r="U545" s="1713"/>
      <c r="V545" s="1712"/>
      <c r="W545" s="1713"/>
      <c r="X545" s="1711">
        <v>4.3</v>
      </c>
      <c r="Y545" s="1714" t="s">
        <v>4127</v>
      </c>
      <c r="Z545" s="1713"/>
      <c r="AA545" s="1715">
        <v>4.0000000000000001E-3</v>
      </c>
      <c r="AB545" s="1716" t="s">
        <v>4127</v>
      </c>
      <c r="AC545" s="1717"/>
    </row>
    <row r="546" spans="1:29" ht="15">
      <c r="A546" s="1719" t="s">
        <v>2890</v>
      </c>
      <c r="B546" s="1720" t="s">
        <v>2891</v>
      </c>
      <c r="C546" s="1721"/>
      <c r="D546" s="1722"/>
      <c r="E546" s="1723"/>
      <c r="F546" s="1722"/>
      <c r="G546" s="1724">
        <v>2.9999999999999997E-4</v>
      </c>
      <c r="H546" s="1723" t="s">
        <v>1893</v>
      </c>
      <c r="I546" s="1724">
        <v>0.02</v>
      </c>
      <c r="J546" s="1723" t="s">
        <v>1909</v>
      </c>
      <c r="K546" s="1723" t="s">
        <v>1127</v>
      </c>
      <c r="L546" s="1722"/>
      <c r="M546" s="1723">
        <v>1</v>
      </c>
      <c r="N546" s="1723"/>
      <c r="O546" s="1735">
        <v>6.86</v>
      </c>
      <c r="P546" s="1726">
        <v>11</v>
      </c>
      <c r="Q546" s="1727" t="s">
        <v>4125</v>
      </c>
      <c r="R546" s="1726">
        <v>72</v>
      </c>
      <c r="S546" s="1727" t="s">
        <v>4125</v>
      </c>
      <c r="T546" s="1726">
        <v>21</v>
      </c>
      <c r="U546" s="1727" t="s">
        <v>1471</v>
      </c>
      <c r="V546" s="1726">
        <v>88</v>
      </c>
      <c r="W546" s="1727" t="s">
        <v>1471</v>
      </c>
      <c r="X546" s="1726">
        <v>5.3</v>
      </c>
      <c r="Y546" s="1729" t="s">
        <v>1471</v>
      </c>
      <c r="Z546" s="1728"/>
      <c r="AA546" s="1730">
        <v>7.4999999999999997E-2</v>
      </c>
      <c r="AB546" s="1731" t="s">
        <v>1471</v>
      </c>
      <c r="AC546" s="1732"/>
    </row>
    <row r="547" spans="1:29" ht="15">
      <c r="A547" s="1704" t="s">
        <v>2892</v>
      </c>
      <c r="B547" s="1705" t="s">
        <v>2893</v>
      </c>
      <c r="C547" s="1706"/>
      <c r="D547" s="1707"/>
      <c r="E547" s="1708"/>
      <c r="F547" s="1707"/>
      <c r="G547" s="1709">
        <v>1.5E-3</v>
      </c>
      <c r="H547" s="1708" t="s">
        <v>1116</v>
      </c>
      <c r="I547" s="1708"/>
      <c r="J547" s="1707"/>
      <c r="K547" s="1707"/>
      <c r="L547" s="1707"/>
      <c r="M547" s="1708">
        <v>1</v>
      </c>
      <c r="N547" s="1708">
        <v>0.1</v>
      </c>
      <c r="O547" s="1710"/>
      <c r="P547" s="1711">
        <v>95</v>
      </c>
      <c r="Q547" s="1712" t="s">
        <v>1471</v>
      </c>
      <c r="R547" s="1711">
        <v>1200</v>
      </c>
      <c r="S547" s="1712" t="s">
        <v>1471</v>
      </c>
      <c r="T547" s="1712"/>
      <c r="U547" s="1713"/>
      <c r="V547" s="1712"/>
      <c r="W547" s="1713"/>
      <c r="X547" s="1711">
        <v>29</v>
      </c>
      <c r="Y547" s="1714" t="s">
        <v>1471</v>
      </c>
      <c r="Z547" s="1713"/>
      <c r="AA547" s="1715">
        <v>0.19</v>
      </c>
      <c r="AB547" s="1716" t="s">
        <v>1471</v>
      </c>
      <c r="AC547" s="1717"/>
    </row>
    <row r="548" spans="1:29" ht="30">
      <c r="A548" s="1704" t="s">
        <v>2894</v>
      </c>
      <c r="B548" s="1705" t="s">
        <v>2895</v>
      </c>
      <c r="C548" s="1706"/>
      <c r="D548" s="1707"/>
      <c r="E548" s="1708"/>
      <c r="F548" s="1707"/>
      <c r="G548" s="1709">
        <v>3.0000000000000001E-3</v>
      </c>
      <c r="H548" s="1708" t="s">
        <v>1119</v>
      </c>
      <c r="I548" s="1708"/>
      <c r="J548" s="1707"/>
      <c r="K548" s="1707"/>
      <c r="L548" s="1707"/>
      <c r="M548" s="1708">
        <v>1</v>
      </c>
      <c r="N548" s="1708">
        <v>0.1</v>
      </c>
      <c r="O548" s="1710"/>
      <c r="P548" s="1711">
        <v>190</v>
      </c>
      <c r="Q548" s="1712" t="s">
        <v>1471</v>
      </c>
      <c r="R548" s="1711">
        <v>2500</v>
      </c>
      <c r="S548" s="1712" t="s">
        <v>1471</v>
      </c>
      <c r="T548" s="1712"/>
      <c r="U548" s="1713"/>
      <c r="V548" s="1712"/>
      <c r="W548" s="1713"/>
      <c r="X548" s="1711">
        <v>60</v>
      </c>
      <c r="Y548" s="1714" t="s">
        <v>1471</v>
      </c>
      <c r="Z548" s="1713"/>
      <c r="AA548" s="1715">
        <v>12</v>
      </c>
      <c r="AB548" s="1716" t="s">
        <v>1471</v>
      </c>
      <c r="AC548" s="1717"/>
    </row>
    <row r="549" spans="1:29" ht="75">
      <c r="A549" s="1719" t="s">
        <v>2896</v>
      </c>
      <c r="B549" s="1720" t="s">
        <v>2897</v>
      </c>
      <c r="C549" s="1721"/>
      <c r="D549" s="1722"/>
      <c r="E549" s="1723"/>
      <c r="F549" s="1722"/>
      <c r="G549" s="1724">
        <v>0.05</v>
      </c>
      <c r="H549" s="1723" t="s">
        <v>1119</v>
      </c>
      <c r="I549" s="1723"/>
      <c r="J549" s="1722"/>
      <c r="K549" s="1722"/>
      <c r="L549" s="1722"/>
      <c r="M549" s="1723">
        <v>1</v>
      </c>
      <c r="N549" s="1723">
        <v>6.0000000000000001E-3</v>
      </c>
      <c r="O549" s="1725"/>
      <c r="P549" s="1726">
        <v>3900</v>
      </c>
      <c r="Q549" s="1727" t="s">
        <v>1471</v>
      </c>
      <c r="R549" s="1726">
        <v>57000</v>
      </c>
      <c r="S549" s="1727" t="s">
        <v>1471</v>
      </c>
      <c r="T549" s="1727"/>
      <c r="U549" s="1728"/>
      <c r="V549" s="1727"/>
      <c r="W549" s="1728"/>
      <c r="X549" s="1726">
        <v>1000</v>
      </c>
      <c r="Y549" s="1729" t="s">
        <v>1471</v>
      </c>
      <c r="Z549" s="1728"/>
      <c r="AA549" s="1730">
        <v>1.3</v>
      </c>
      <c r="AB549" s="1731" t="s">
        <v>1471</v>
      </c>
      <c r="AC549" s="1732"/>
    </row>
    <row r="550" spans="1:29" ht="30">
      <c r="A550" s="1704" t="s">
        <v>2898</v>
      </c>
      <c r="B550" s="1705" t="s">
        <v>2899</v>
      </c>
      <c r="C550" s="1706"/>
      <c r="D550" s="1707"/>
      <c r="E550" s="1708"/>
      <c r="F550" s="1707"/>
      <c r="G550" s="1709">
        <v>2E-3</v>
      </c>
      <c r="H550" s="1708" t="s">
        <v>1073</v>
      </c>
      <c r="I550" s="1708"/>
      <c r="J550" s="1707"/>
      <c r="K550" s="1707"/>
      <c r="L550" s="1707"/>
      <c r="M550" s="1708">
        <v>1</v>
      </c>
      <c r="N550" s="1708">
        <v>0.1</v>
      </c>
      <c r="O550" s="1710"/>
      <c r="P550" s="1711">
        <v>130</v>
      </c>
      <c r="Q550" s="1712" t="s">
        <v>1471</v>
      </c>
      <c r="R550" s="1711">
        <v>1600</v>
      </c>
      <c r="S550" s="1712" t="s">
        <v>1471</v>
      </c>
      <c r="T550" s="1712"/>
      <c r="U550" s="1713"/>
      <c r="V550" s="1712"/>
      <c r="W550" s="1713"/>
      <c r="X550" s="1711">
        <v>40</v>
      </c>
      <c r="Y550" s="1714" t="s">
        <v>1471</v>
      </c>
      <c r="Z550" s="1713"/>
      <c r="AA550" s="1715">
        <v>9.5999999999999992E-3</v>
      </c>
      <c r="AB550" s="1716" t="s">
        <v>1471</v>
      </c>
      <c r="AC550" s="1717"/>
    </row>
    <row r="551" spans="1:29" ht="15">
      <c r="A551" s="1704" t="s">
        <v>2900</v>
      </c>
      <c r="B551" s="1705" t="s">
        <v>2901</v>
      </c>
      <c r="C551" s="1736">
        <v>7.79E-3</v>
      </c>
      <c r="D551" s="1708" t="s">
        <v>1116</v>
      </c>
      <c r="E551" s="1708"/>
      <c r="F551" s="1707"/>
      <c r="G551" s="1709">
        <v>0.19</v>
      </c>
      <c r="H551" s="1708" t="s">
        <v>1116</v>
      </c>
      <c r="I551" s="1708"/>
      <c r="J551" s="1707"/>
      <c r="K551" s="1707"/>
      <c r="L551" s="1707"/>
      <c r="M551" s="1708">
        <v>1</v>
      </c>
      <c r="N551" s="1708">
        <v>0.1</v>
      </c>
      <c r="O551" s="1710"/>
      <c r="P551" s="1711">
        <v>70</v>
      </c>
      <c r="Q551" s="1712" t="s">
        <v>4126</v>
      </c>
      <c r="R551" s="1711">
        <v>290</v>
      </c>
      <c r="S551" s="1712" t="s">
        <v>4126</v>
      </c>
      <c r="T551" s="1712"/>
      <c r="U551" s="1713"/>
      <c r="V551" s="1712"/>
      <c r="W551" s="1713"/>
      <c r="X551" s="1711">
        <v>7.9</v>
      </c>
      <c r="Y551" s="1714" t="s">
        <v>4126</v>
      </c>
      <c r="Z551" s="1713"/>
      <c r="AA551" s="1715">
        <v>1.4999999999999999E-2</v>
      </c>
      <c r="AB551" s="1716" t="s">
        <v>4126</v>
      </c>
      <c r="AC551" s="1717"/>
    </row>
    <row r="552" spans="1:29" ht="15">
      <c r="A552" s="1719" t="s">
        <v>2902</v>
      </c>
      <c r="B552" s="1720" t="s">
        <v>2903</v>
      </c>
      <c r="C552" s="1721"/>
      <c r="D552" s="1722"/>
      <c r="E552" s="1723"/>
      <c r="F552" s="1722"/>
      <c r="G552" s="1724">
        <v>5.0000000000000001E-3</v>
      </c>
      <c r="H552" s="1723" t="s">
        <v>1119</v>
      </c>
      <c r="I552" s="1723"/>
      <c r="J552" s="1722"/>
      <c r="K552" s="1722"/>
      <c r="L552" s="1722"/>
      <c r="M552" s="1723">
        <v>1</v>
      </c>
      <c r="N552" s="1723">
        <v>0.1</v>
      </c>
      <c r="O552" s="1725"/>
      <c r="P552" s="1726">
        <v>320</v>
      </c>
      <c r="Q552" s="1727" t="s">
        <v>1471</v>
      </c>
      <c r="R552" s="1726">
        <v>4100</v>
      </c>
      <c r="S552" s="1727" t="s">
        <v>1471</v>
      </c>
      <c r="T552" s="1727"/>
      <c r="U552" s="1728"/>
      <c r="V552" s="1727"/>
      <c r="W552" s="1728"/>
      <c r="X552" s="1726">
        <v>47</v>
      </c>
      <c r="Y552" s="1729" t="s">
        <v>1471</v>
      </c>
      <c r="Z552" s="1728"/>
      <c r="AA552" s="1730">
        <v>0.48</v>
      </c>
      <c r="AB552" s="1731" t="s">
        <v>1471</v>
      </c>
      <c r="AC552" s="1732"/>
    </row>
    <row r="553" spans="1:29" ht="15">
      <c r="A553" s="1704" t="s">
        <v>2904</v>
      </c>
      <c r="B553" s="1705" t="s">
        <v>2905</v>
      </c>
      <c r="C553" s="1706"/>
      <c r="D553" s="1707"/>
      <c r="E553" s="1708"/>
      <c r="F553" s="1707"/>
      <c r="G553" s="1709">
        <v>2.5000000000000001E-2</v>
      </c>
      <c r="H553" s="1708" t="s">
        <v>1119</v>
      </c>
      <c r="I553" s="1708"/>
      <c r="J553" s="1707"/>
      <c r="K553" s="1707"/>
      <c r="L553" s="1707"/>
      <c r="M553" s="1708">
        <v>1</v>
      </c>
      <c r="N553" s="1708">
        <v>0.1</v>
      </c>
      <c r="O553" s="1710"/>
      <c r="P553" s="1711">
        <v>1600</v>
      </c>
      <c r="Q553" s="1712" t="s">
        <v>1471</v>
      </c>
      <c r="R553" s="1711">
        <v>21000</v>
      </c>
      <c r="S553" s="1712" t="s">
        <v>1471</v>
      </c>
      <c r="T553" s="1712"/>
      <c r="U553" s="1713"/>
      <c r="V553" s="1712"/>
      <c r="W553" s="1713"/>
      <c r="X553" s="1711">
        <v>500</v>
      </c>
      <c r="Y553" s="1714" t="s">
        <v>1471</v>
      </c>
      <c r="Z553" s="1711">
        <v>200</v>
      </c>
      <c r="AA553" s="1715">
        <v>0.11</v>
      </c>
      <c r="AB553" s="1716" t="s">
        <v>1471</v>
      </c>
      <c r="AC553" s="1738">
        <v>4.3999999999999997E-2</v>
      </c>
    </row>
    <row r="554" spans="1:29" ht="15">
      <c r="A554" s="1704" t="s">
        <v>2906</v>
      </c>
      <c r="B554" s="1705" t="s">
        <v>2907</v>
      </c>
      <c r="C554" s="1736">
        <v>7.3200000000000001E-2</v>
      </c>
      <c r="D554" s="1708" t="s">
        <v>1116</v>
      </c>
      <c r="E554" s="1708"/>
      <c r="F554" s="1707"/>
      <c r="G554" s="1709">
        <v>0.04</v>
      </c>
      <c r="H554" s="1708" t="s">
        <v>1116</v>
      </c>
      <c r="I554" s="1708"/>
      <c r="J554" s="1707"/>
      <c r="K554" s="1707"/>
      <c r="L554" s="1707"/>
      <c r="M554" s="1708">
        <v>1</v>
      </c>
      <c r="N554" s="1708">
        <v>0.1</v>
      </c>
      <c r="O554" s="1710"/>
      <c r="P554" s="1711">
        <v>7.4</v>
      </c>
      <c r="Q554" s="1712" t="s">
        <v>4126</v>
      </c>
      <c r="R554" s="1711">
        <v>31</v>
      </c>
      <c r="S554" s="1712" t="s">
        <v>4126</v>
      </c>
      <c r="T554" s="1712"/>
      <c r="U554" s="1713"/>
      <c r="V554" s="1712"/>
      <c r="W554" s="1713"/>
      <c r="X554" s="1711">
        <v>0.54</v>
      </c>
      <c r="Y554" s="1714" t="s">
        <v>4126</v>
      </c>
      <c r="Z554" s="1713"/>
      <c r="AA554" s="1715">
        <v>4.2999999999999997E-2</v>
      </c>
      <c r="AB554" s="1716" t="s">
        <v>4126</v>
      </c>
      <c r="AC554" s="1717"/>
    </row>
    <row r="555" spans="1:29" ht="15">
      <c r="A555" s="1719" t="s">
        <v>2908</v>
      </c>
      <c r="B555" s="1720" t="s">
        <v>2909</v>
      </c>
      <c r="C555" s="1721"/>
      <c r="D555" s="1722"/>
      <c r="E555" s="1723"/>
      <c r="F555" s="1722"/>
      <c r="G555" s="1724">
        <v>1.2999999999999999E-2</v>
      </c>
      <c r="H555" s="1723" t="s">
        <v>1119</v>
      </c>
      <c r="I555" s="1723"/>
      <c r="J555" s="1722"/>
      <c r="K555" s="1722"/>
      <c r="L555" s="1722"/>
      <c r="M555" s="1723">
        <v>1</v>
      </c>
      <c r="N555" s="1723">
        <v>0.1</v>
      </c>
      <c r="O555" s="1725"/>
      <c r="P555" s="1726">
        <v>820</v>
      </c>
      <c r="Q555" s="1727" t="s">
        <v>1471</v>
      </c>
      <c r="R555" s="1726">
        <v>11000</v>
      </c>
      <c r="S555" s="1727" t="s">
        <v>1471</v>
      </c>
      <c r="T555" s="1727"/>
      <c r="U555" s="1728"/>
      <c r="V555" s="1727"/>
      <c r="W555" s="1728"/>
      <c r="X555" s="1726">
        <v>230</v>
      </c>
      <c r="Y555" s="1729" t="s">
        <v>1471</v>
      </c>
      <c r="Z555" s="1728"/>
      <c r="AA555" s="1730">
        <v>0.46</v>
      </c>
      <c r="AB555" s="1731" t="s">
        <v>1471</v>
      </c>
      <c r="AC555" s="1732"/>
    </row>
    <row r="556" spans="1:29" ht="30">
      <c r="A556" s="1704" t="s">
        <v>2910</v>
      </c>
      <c r="B556" s="1705" t="s">
        <v>2911</v>
      </c>
      <c r="C556" s="1706"/>
      <c r="D556" s="1707"/>
      <c r="E556" s="1708"/>
      <c r="F556" s="1707"/>
      <c r="G556" s="1709">
        <v>4.4999999999999997E-3</v>
      </c>
      <c r="H556" s="1708" t="s">
        <v>1119</v>
      </c>
      <c r="I556" s="1708"/>
      <c r="J556" s="1707"/>
      <c r="K556" s="1707"/>
      <c r="L556" s="1707"/>
      <c r="M556" s="1708">
        <v>1</v>
      </c>
      <c r="N556" s="1708">
        <v>0.1</v>
      </c>
      <c r="O556" s="1710"/>
      <c r="P556" s="1711">
        <v>280</v>
      </c>
      <c r="Q556" s="1712" t="s">
        <v>1471</v>
      </c>
      <c r="R556" s="1711">
        <v>3700</v>
      </c>
      <c r="S556" s="1712" t="s">
        <v>1471</v>
      </c>
      <c r="T556" s="1712"/>
      <c r="U556" s="1713"/>
      <c r="V556" s="1712"/>
      <c r="W556" s="1713"/>
      <c r="X556" s="1711">
        <v>90</v>
      </c>
      <c r="Y556" s="1714" t="s">
        <v>1471</v>
      </c>
      <c r="Z556" s="1713"/>
      <c r="AA556" s="1715">
        <v>1.2</v>
      </c>
      <c r="AB556" s="1716" t="s">
        <v>1471</v>
      </c>
      <c r="AC556" s="1717"/>
    </row>
    <row r="557" spans="1:29" ht="15">
      <c r="A557" s="1704" t="s">
        <v>2912</v>
      </c>
      <c r="B557" s="1705" t="s">
        <v>2913</v>
      </c>
      <c r="C557" s="1706"/>
      <c r="D557" s="1707"/>
      <c r="E557" s="1708"/>
      <c r="F557" s="1707"/>
      <c r="G557" s="1709">
        <v>6.0000000000000001E-3</v>
      </c>
      <c r="H557" s="1708" t="s">
        <v>1073</v>
      </c>
      <c r="I557" s="1708"/>
      <c r="J557" s="1707"/>
      <c r="K557" s="1707"/>
      <c r="L557" s="1707"/>
      <c r="M557" s="1708">
        <v>1</v>
      </c>
      <c r="N557" s="1708">
        <v>0.1</v>
      </c>
      <c r="O557" s="1710"/>
      <c r="P557" s="1711">
        <v>380</v>
      </c>
      <c r="Q557" s="1712" t="s">
        <v>1471</v>
      </c>
      <c r="R557" s="1711">
        <v>4900</v>
      </c>
      <c r="S557" s="1712" t="s">
        <v>1471</v>
      </c>
      <c r="T557" s="1712"/>
      <c r="U557" s="1713"/>
      <c r="V557" s="1712"/>
      <c r="W557" s="1713"/>
      <c r="X557" s="1711">
        <v>86</v>
      </c>
      <c r="Y557" s="1714" t="s">
        <v>1471</v>
      </c>
      <c r="Z557" s="1713"/>
      <c r="AA557" s="1715">
        <v>0.43</v>
      </c>
      <c r="AB557" s="1716" t="s">
        <v>1471</v>
      </c>
      <c r="AC557" s="1717"/>
    </row>
    <row r="558" spans="1:29" ht="15">
      <c r="A558" s="1719" t="s">
        <v>2914</v>
      </c>
      <c r="B558" s="1720" t="s">
        <v>2915</v>
      </c>
      <c r="C558" s="1721"/>
      <c r="D558" s="1722"/>
      <c r="E558" s="1723"/>
      <c r="F558" s="1722"/>
      <c r="G558" s="1724">
        <v>0.05</v>
      </c>
      <c r="H558" s="1723" t="s">
        <v>1073</v>
      </c>
      <c r="I558" s="1723"/>
      <c r="J558" s="1722"/>
      <c r="K558" s="1723" t="s">
        <v>1127</v>
      </c>
      <c r="L558" s="1722"/>
      <c r="M558" s="1723">
        <v>1</v>
      </c>
      <c r="N558" s="1723"/>
      <c r="O558" s="1725"/>
      <c r="P558" s="1726">
        <v>3900</v>
      </c>
      <c r="Q558" s="1727" t="s">
        <v>1471</v>
      </c>
      <c r="R558" s="1726">
        <v>58000</v>
      </c>
      <c r="S558" s="1727" t="s">
        <v>1471</v>
      </c>
      <c r="T558" s="1727"/>
      <c r="U558" s="1728"/>
      <c r="V558" s="1727"/>
      <c r="W558" s="1728"/>
      <c r="X558" s="1726">
        <v>560</v>
      </c>
      <c r="Y558" s="1729" t="s">
        <v>1471</v>
      </c>
      <c r="Z558" s="1728"/>
      <c r="AA558" s="1730">
        <v>0.45</v>
      </c>
      <c r="AB558" s="1731" t="s">
        <v>1471</v>
      </c>
      <c r="AC558" s="1732"/>
    </row>
    <row r="559" spans="1:29" ht="15">
      <c r="A559" s="1704" t="s">
        <v>2916</v>
      </c>
      <c r="B559" s="1705" t="s">
        <v>2917</v>
      </c>
      <c r="C559" s="1706"/>
      <c r="D559" s="1707"/>
      <c r="E559" s="1708"/>
      <c r="F559" s="1707"/>
      <c r="G559" s="1709">
        <v>0.3</v>
      </c>
      <c r="H559" s="1708" t="s">
        <v>1116</v>
      </c>
      <c r="I559" s="1708"/>
      <c r="J559" s="1707"/>
      <c r="K559" s="1707"/>
      <c r="L559" s="1707"/>
      <c r="M559" s="1708">
        <v>1</v>
      </c>
      <c r="N559" s="1708">
        <v>0.1</v>
      </c>
      <c r="O559" s="1710"/>
      <c r="P559" s="1711">
        <v>19000</v>
      </c>
      <c r="Q559" s="1712" t="s">
        <v>1471</v>
      </c>
      <c r="R559" s="1711">
        <v>250000</v>
      </c>
      <c r="S559" s="1712" t="s">
        <v>4124</v>
      </c>
      <c r="T559" s="1712"/>
      <c r="U559" s="1713"/>
      <c r="V559" s="1712"/>
      <c r="W559" s="1713"/>
      <c r="X559" s="1711">
        <v>1400</v>
      </c>
      <c r="Y559" s="1714" t="s">
        <v>1471</v>
      </c>
      <c r="Z559" s="1713"/>
      <c r="AA559" s="1715">
        <v>16</v>
      </c>
      <c r="AB559" s="1716" t="s">
        <v>1471</v>
      </c>
      <c r="AC559" s="1717"/>
    </row>
    <row r="560" spans="1:29" ht="30">
      <c r="A560" s="1704" t="s">
        <v>2918</v>
      </c>
      <c r="B560" s="1705" t="s">
        <v>2919</v>
      </c>
      <c r="C560" s="1706"/>
      <c r="D560" s="1707"/>
      <c r="E560" s="1708"/>
      <c r="F560" s="1707"/>
      <c r="G560" s="1709">
        <v>2E-3</v>
      </c>
      <c r="H560" s="1708" t="s">
        <v>1119</v>
      </c>
      <c r="I560" s="1708"/>
      <c r="J560" s="1707"/>
      <c r="K560" s="1708" t="s">
        <v>1127</v>
      </c>
      <c r="L560" s="1707"/>
      <c r="M560" s="1708">
        <v>1</v>
      </c>
      <c r="N560" s="1708"/>
      <c r="O560" s="1718">
        <v>0.312</v>
      </c>
      <c r="P560" s="1711">
        <v>160</v>
      </c>
      <c r="Q560" s="1712" t="s">
        <v>4125</v>
      </c>
      <c r="R560" s="1711">
        <v>2300</v>
      </c>
      <c r="S560" s="1712" t="s">
        <v>4125</v>
      </c>
      <c r="T560" s="1712"/>
      <c r="U560" s="1713"/>
      <c r="V560" s="1712"/>
      <c r="W560" s="1713"/>
      <c r="X560" s="1711">
        <v>40</v>
      </c>
      <c r="Y560" s="1714" t="s">
        <v>1471</v>
      </c>
      <c r="Z560" s="1713"/>
      <c r="AA560" s="1715">
        <v>1.7</v>
      </c>
      <c r="AB560" s="1716" t="s">
        <v>1471</v>
      </c>
      <c r="AC560" s="1717"/>
    </row>
    <row r="561" spans="1:29" ht="60">
      <c r="A561" s="1719" t="s">
        <v>2920</v>
      </c>
      <c r="B561" s="1720" t="s">
        <v>2921</v>
      </c>
      <c r="C561" s="1721"/>
      <c r="D561" s="1722"/>
      <c r="E561" s="1723"/>
      <c r="F561" s="1722"/>
      <c r="G561" s="1724">
        <v>1E-4</v>
      </c>
      <c r="H561" s="1723" t="s">
        <v>1119</v>
      </c>
      <c r="I561" s="1723"/>
      <c r="J561" s="1722"/>
      <c r="K561" s="1722"/>
      <c r="L561" s="1722"/>
      <c r="M561" s="1723">
        <v>1</v>
      </c>
      <c r="N561" s="1723">
        <v>0.1</v>
      </c>
      <c r="O561" s="1725"/>
      <c r="P561" s="1726">
        <v>6.3</v>
      </c>
      <c r="Q561" s="1727" t="s">
        <v>1471</v>
      </c>
      <c r="R561" s="1726">
        <v>82</v>
      </c>
      <c r="S561" s="1727" t="s">
        <v>1471</v>
      </c>
      <c r="T561" s="1727"/>
      <c r="U561" s="1728"/>
      <c r="V561" s="1727"/>
      <c r="W561" s="1728"/>
      <c r="X561" s="1726">
        <v>2</v>
      </c>
      <c r="Y561" s="1729" t="s">
        <v>1471</v>
      </c>
      <c r="Z561" s="1728"/>
      <c r="AA561" s="1730">
        <v>8.6999999999999994E-2</v>
      </c>
      <c r="AB561" s="1731" t="s">
        <v>1471</v>
      </c>
      <c r="AC561" s="1732"/>
    </row>
    <row r="562" spans="1:29" ht="30">
      <c r="A562" s="1704" t="s">
        <v>2922</v>
      </c>
      <c r="B562" s="1705" t="s">
        <v>2923</v>
      </c>
      <c r="C562" s="1706"/>
      <c r="D562" s="1707"/>
      <c r="E562" s="1708"/>
      <c r="F562" s="1707"/>
      <c r="G562" s="1709">
        <v>8.0000000000000004E-4</v>
      </c>
      <c r="H562" s="1708" t="s">
        <v>1119</v>
      </c>
      <c r="I562" s="1708"/>
      <c r="J562" s="1707"/>
      <c r="K562" s="1708" t="s">
        <v>1127</v>
      </c>
      <c r="L562" s="1707"/>
      <c r="M562" s="1708">
        <v>1</v>
      </c>
      <c r="N562" s="1708"/>
      <c r="O562" s="1710"/>
      <c r="P562" s="1711">
        <v>63</v>
      </c>
      <c r="Q562" s="1712" t="s">
        <v>1471</v>
      </c>
      <c r="R562" s="1711">
        <v>930</v>
      </c>
      <c r="S562" s="1712" t="s">
        <v>1471</v>
      </c>
      <c r="T562" s="1712"/>
      <c r="U562" s="1713"/>
      <c r="V562" s="1712"/>
      <c r="W562" s="1713"/>
      <c r="X562" s="1711">
        <v>3.2</v>
      </c>
      <c r="Y562" s="1714" t="s">
        <v>1471</v>
      </c>
      <c r="Z562" s="1713"/>
      <c r="AA562" s="1715">
        <v>2.4E-2</v>
      </c>
      <c r="AB562" s="1716" t="s">
        <v>1471</v>
      </c>
      <c r="AC562" s="1717"/>
    </row>
    <row r="563" spans="1:29" ht="30">
      <c r="A563" s="1704" t="s">
        <v>2924</v>
      </c>
      <c r="B563" s="1705" t="s">
        <v>2925</v>
      </c>
      <c r="C563" s="1736">
        <v>0.09</v>
      </c>
      <c r="D563" s="1708" t="s">
        <v>1909</v>
      </c>
      <c r="E563" s="1708"/>
      <c r="F563" s="1707"/>
      <c r="G563" s="1708"/>
      <c r="H563" s="1707"/>
      <c r="I563" s="1708"/>
      <c r="J563" s="1707"/>
      <c r="K563" s="1708" t="s">
        <v>1127</v>
      </c>
      <c r="L563" s="1707"/>
      <c r="M563" s="1708">
        <v>1</v>
      </c>
      <c r="N563" s="1708"/>
      <c r="O563" s="1718">
        <v>457</v>
      </c>
      <c r="P563" s="1711">
        <v>7.7</v>
      </c>
      <c r="Q563" s="1712" t="s">
        <v>4126</v>
      </c>
      <c r="R563" s="1711">
        <v>36</v>
      </c>
      <c r="S563" s="1712" t="s">
        <v>4126</v>
      </c>
      <c r="T563" s="1712"/>
      <c r="U563" s="1713"/>
      <c r="V563" s="1712"/>
      <c r="W563" s="1713"/>
      <c r="X563" s="1711">
        <v>0.65</v>
      </c>
      <c r="Y563" s="1714" t="s">
        <v>4126</v>
      </c>
      <c r="Z563" s="1713"/>
      <c r="AA563" s="1715">
        <v>3.1E-4</v>
      </c>
      <c r="AB563" s="1716" t="s">
        <v>4126</v>
      </c>
      <c r="AC563" s="1717"/>
    </row>
    <row r="564" spans="1:29" ht="30">
      <c r="A564" s="1719" t="s">
        <v>2926</v>
      </c>
      <c r="B564" s="1720" t="s">
        <v>2927</v>
      </c>
      <c r="C564" s="1737">
        <v>0.26</v>
      </c>
      <c r="D564" s="1723" t="s">
        <v>1073</v>
      </c>
      <c r="E564" s="1723"/>
      <c r="F564" s="1722"/>
      <c r="G564" s="1724">
        <v>3.0000000000000001E-3</v>
      </c>
      <c r="H564" s="1723" t="s">
        <v>1119</v>
      </c>
      <c r="I564" s="1723"/>
      <c r="J564" s="1722"/>
      <c r="K564" s="1723" t="s">
        <v>1127</v>
      </c>
      <c r="L564" s="1722"/>
      <c r="M564" s="1723">
        <v>1</v>
      </c>
      <c r="N564" s="1723"/>
      <c r="O564" s="1725"/>
      <c r="P564" s="1726">
        <v>2.7</v>
      </c>
      <c r="Q564" s="1727" t="s">
        <v>4127</v>
      </c>
      <c r="R564" s="1726">
        <v>13</v>
      </c>
      <c r="S564" s="1727" t="s">
        <v>4126</v>
      </c>
      <c r="T564" s="1727"/>
      <c r="U564" s="1728"/>
      <c r="V564" s="1727"/>
      <c r="W564" s="1728"/>
      <c r="X564" s="1726">
        <v>0.12</v>
      </c>
      <c r="Y564" s="1729" t="s">
        <v>4126</v>
      </c>
      <c r="Z564" s="1728"/>
      <c r="AA564" s="1730">
        <v>1.5E-3</v>
      </c>
      <c r="AB564" s="1731" t="s">
        <v>4126</v>
      </c>
      <c r="AC564" s="1732"/>
    </row>
    <row r="565" spans="1:29" ht="30">
      <c r="A565" s="1704" t="s">
        <v>260</v>
      </c>
      <c r="B565" s="1705" t="s">
        <v>259</v>
      </c>
      <c r="C565" s="1736">
        <v>0.4</v>
      </c>
      <c r="D565" s="1708" t="s">
        <v>1119</v>
      </c>
      <c r="E565" s="1709">
        <v>5.1000000000000003E-6</v>
      </c>
      <c r="F565" s="1708" t="s">
        <v>1900</v>
      </c>
      <c r="G565" s="1709">
        <v>5.0000000000000001E-3</v>
      </c>
      <c r="H565" s="1708" t="s">
        <v>1119</v>
      </c>
      <c r="I565" s="1708"/>
      <c r="J565" s="1707"/>
      <c r="K565" s="1707"/>
      <c r="L565" s="1707"/>
      <c r="M565" s="1708">
        <v>1</v>
      </c>
      <c r="N565" s="1708">
        <v>0.25</v>
      </c>
      <c r="O565" s="1710"/>
      <c r="P565" s="1711">
        <v>1</v>
      </c>
      <c r="Q565" s="1712" t="s">
        <v>4126</v>
      </c>
      <c r="R565" s="1711">
        <v>4</v>
      </c>
      <c r="S565" s="1712" t="s">
        <v>4126</v>
      </c>
      <c r="T565" s="1711">
        <v>0.55000000000000004</v>
      </c>
      <c r="U565" s="1712" t="s">
        <v>4126</v>
      </c>
      <c r="V565" s="1711">
        <v>2.4</v>
      </c>
      <c r="W565" s="1712" t="s">
        <v>4126</v>
      </c>
      <c r="X565" s="1711">
        <v>4.1000000000000002E-2</v>
      </c>
      <c r="Y565" s="1714" t="s">
        <v>4126</v>
      </c>
      <c r="Z565" s="1711">
        <v>1</v>
      </c>
      <c r="AA565" s="1715">
        <v>5.7000000000000003E-5</v>
      </c>
      <c r="AB565" s="1716" t="s">
        <v>4126</v>
      </c>
      <c r="AC565" s="1738">
        <v>1.4E-3</v>
      </c>
    </row>
    <row r="566" spans="1:29" ht="45">
      <c r="A566" s="1704" t="s">
        <v>2928</v>
      </c>
      <c r="B566" s="1705" t="s">
        <v>2929</v>
      </c>
      <c r="C566" s="1736">
        <v>4.3E-3</v>
      </c>
      <c r="D566" s="1708" t="s">
        <v>1893</v>
      </c>
      <c r="E566" s="1708"/>
      <c r="F566" s="1707"/>
      <c r="G566" s="1709">
        <v>8.9999999999999993E-3</v>
      </c>
      <c r="H566" s="1708" t="s">
        <v>1909</v>
      </c>
      <c r="I566" s="1708"/>
      <c r="J566" s="1707"/>
      <c r="K566" s="1707"/>
      <c r="L566" s="1707"/>
      <c r="M566" s="1708">
        <v>1</v>
      </c>
      <c r="N566" s="1708">
        <v>0.1</v>
      </c>
      <c r="O566" s="1710"/>
      <c r="P566" s="1711">
        <v>130</v>
      </c>
      <c r="Q566" s="1712" t="s">
        <v>4122</v>
      </c>
      <c r="R566" s="1711">
        <v>530</v>
      </c>
      <c r="S566" s="1712" t="s">
        <v>4127</v>
      </c>
      <c r="T566" s="1712"/>
      <c r="U566" s="1713"/>
      <c r="V566" s="1712"/>
      <c r="W566" s="1713"/>
      <c r="X566" s="1711">
        <v>17</v>
      </c>
      <c r="Y566" s="1714" t="s">
        <v>4122</v>
      </c>
      <c r="Z566" s="1713"/>
      <c r="AA566" s="1715">
        <v>2.5999999999999999E-2</v>
      </c>
      <c r="AB566" s="1716" t="s">
        <v>4122</v>
      </c>
      <c r="AC566" s="1717"/>
    </row>
    <row r="567" spans="1:29" ht="45">
      <c r="A567" s="1719" t="s">
        <v>2930</v>
      </c>
      <c r="B567" s="1720" t="s">
        <v>2931</v>
      </c>
      <c r="C567" s="1721"/>
      <c r="D567" s="1722"/>
      <c r="E567" s="1723"/>
      <c r="F567" s="1722"/>
      <c r="G567" s="1724">
        <v>1E-4</v>
      </c>
      <c r="H567" s="1723" t="s">
        <v>1893</v>
      </c>
      <c r="I567" s="1723"/>
      <c r="J567" s="1722"/>
      <c r="K567" s="1722"/>
      <c r="L567" s="1722"/>
      <c r="M567" s="1723">
        <v>1</v>
      </c>
      <c r="N567" s="1723">
        <v>0.1</v>
      </c>
      <c r="O567" s="1725"/>
      <c r="P567" s="1726">
        <v>6.3</v>
      </c>
      <c r="Q567" s="1727" t="s">
        <v>1471</v>
      </c>
      <c r="R567" s="1726">
        <v>82</v>
      </c>
      <c r="S567" s="1727" t="s">
        <v>1471</v>
      </c>
      <c r="T567" s="1727"/>
      <c r="U567" s="1728"/>
      <c r="V567" s="1727"/>
      <c r="W567" s="1728"/>
      <c r="X567" s="1726">
        <v>2</v>
      </c>
      <c r="Y567" s="1729" t="s">
        <v>1471</v>
      </c>
      <c r="Z567" s="1728"/>
      <c r="AA567" s="1730">
        <v>4.0999999999999999E-4</v>
      </c>
      <c r="AB567" s="1731" t="s">
        <v>1471</v>
      </c>
      <c r="AC567" s="1732"/>
    </row>
    <row r="568" spans="1:29" ht="15">
      <c r="A568" s="1704" t="s">
        <v>2933</v>
      </c>
      <c r="B568" s="1705" t="s">
        <v>2934</v>
      </c>
      <c r="C568" s="1706"/>
      <c r="D568" s="1707"/>
      <c r="E568" s="1708"/>
      <c r="F568" s="1707"/>
      <c r="G568" s="1708"/>
      <c r="H568" s="1707"/>
      <c r="I568" s="1709">
        <v>1</v>
      </c>
      <c r="J568" s="1708" t="s">
        <v>1909</v>
      </c>
      <c r="K568" s="1708" t="s">
        <v>1127</v>
      </c>
      <c r="L568" s="1707"/>
      <c r="M568" s="1708">
        <v>1</v>
      </c>
      <c r="N568" s="1708"/>
      <c r="O568" s="1718">
        <v>388</v>
      </c>
      <c r="P568" s="1711">
        <v>810</v>
      </c>
      <c r="Q568" s="1712" t="s">
        <v>4125</v>
      </c>
      <c r="R568" s="1711">
        <v>3400</v>
      </c>
      <c r="S568" s="1712" t="s">
        <v>4125</v>
      </c>
      <c r="T568" s="1711">
        <v>1000</v>
      </c>
      <c r="U568" s="1712" t="s">
        <v>1471</v>
      </c>
      <c r="V568" s="1711">
        <v>4400</v>
      </c>
      <c r="W568" s="1712" t="s">
        <v>1471</v>
      </c>
      <c r="X568" s="1711">
        <v>2100</v>
      </c>
      <c r="Y568" s="1714" t="s">
        <v>1471</v>
      </c>
      <c r="Z568" s="1713"/>
      <c r="AA568" s="1715">
        <v>10</v>
      </c>
      <c r="AB568" s="1716" t="s">
        <v>1471</v>
      </c>
      <c r="AC568" s="1717"/>
    </row>
    <row r="569" spans="1:29" ht="60">
      <c r="A569" s="1704"/>
      <c r="B569" s="1705" t="s">
        <v>2935</v>
      </c>
      <c r="C569" s="1706"/>
      <c r="D569" s="1707"/>
      <c r="E569" s="1708"/>
      <c r="F569" s="1707"/>
      <c r="G569" s="1708"/>
      <c r="H569" s="1707"/>
      <c r="I569" s="1708"/>
      <c r="J569" s="1707"/>
      <c r="K569" s="1707"/>
      <c r="L569" s="1707"/>
      <c r="M569" s="1708"/>
      <c r="N569" s="1708"/>
      <c r="O569" s="1710"/>
      <c r="P569" s="1712"/>
      <c r="Q569" s="1713"/>
      <c r="R569" s="1712"/>
      <c r="S569" s="1713"/>
      <c r="T569" s="1712"/>
      <c r="U569" s="1713"/>
      <c r="V569" s="1712"/>
      <c r="W569" s="1713"/>
      <c r="X569" s="1712"/>
      <c r="Y569" s="1733"/>
      <c r="Z569" s="1713"/>
      <c r="AA569" s="1716"/>
      <c r="AB569" s="1734"/>
      <c r="AC569" s="1717"/>
    </row>
    <row r="570" spans="1:29" ht="60">
      <c r="A570" s="1719" t="s">
        <v>2936</v>
      </c>
      <c r="B570" s="1720" t="s">
        <v>2937</v>
      </c>
      <c r="C570" s="1721"/>
      <c r="D570" s="1722"/>
      <c r="E570" s="1723"/>
      <c r="F570" s="1722"/>
      <c r="G570" s="1724">
        <v>3.0000000000000001E-6</v>
      </c>
      <c r="H570" s="1723" t="s">
        <v>2941</v>
      </c>
      <c r="I570" s="1723"/>
      <c r="J570" s="1722"/>
      <c r="K570" s="1722"/>
      <c r="L570" s="1722"/>
      <c r="M570" s="1723">
        <v>1</v>
      </c>
      <c r="N570" s="1723">
        <v>0.1</v>
      </c>
      <c r="O570" s="1725"/>
      <c r="P570" s="1726">
        <v>0.19</v>
      </c>
      <c r="Q570" s="1727" t="s">
        <v>1471</v>
      </c>
      <c r="R570" s="1726">
        <v>2.5</v>
      </c>
      <c r="S570" s="1727" t="s">
        <v>1471</v>
      </c>
      <c r="T570" s="1727"/>
      <c r="U570" s="1728"/>
      <c r="V570" s="1727"/>
      <c r="W570" s="1728"/>
      <c r="X570" s="1726">
        <v>2.1000000000000001E-2</v>
      </c>
      <c r="Y570" s="1729" t="s">
        <v>1471</v>
      </c>
      <c r="Z570" s="1728"/>
      <c r="AA570" s="1730">
        <v>2.1999999999999999E-5</v>
      </c>
      <c r="AB570" s="1731" t="s">
        <v>1471</v>
      </c>
      <c r="AC570" s="1732"/>
    </row>
    <row r="571" spans="1:29" ht="45">
      <c r="A571" s="1704" t="s">
        <v>2942</v>
      </c>
      <c r="B571" s="1705" t="s">
        <v>2943</v>
      </c>
      <c r="C571" s="1706"/>
      <c r="D571" s="1707"/>
      <c r="E571" s="1708"/>
      <c r="F571" s="1707"/>
      <c r="G571" s="1709">
        <v>1E-3</v>
      </c>
      <c r="H571" s="1708" t="s">
        <v>1119</v>
      </c>
      <c r="I571" s="1708"/>
      <c r="J571" s="1707"/>
      <c r="K571" s="1708" t="s">
        <v>1127</v>
      </c>
      <c r="L571" s="1707"/>
      <c r="M571" s="1708">
        <v>1</v>
      </c>
      <c r="N571" s="1708"/>
      <c r="O571" s="1718">
        <v>268</v>
      </c>
      <c r="P571" s="1711">
        <v>78</v>
      </c>
      <c r="Q571" s="1712" t="s">
        <v>1471</v>
      </c>
      <c r="R571" s="1711">
        <v>1200</v>
      </c>
      <c r="S571" s="1712" t="s">
        <v>4125</v>
      </c>
      <c r="T571" s="1712"/>
      <c r="U571" s="1713"/>
      <c r="V571" s="1712"/>
      <c r="W571" s="1713"/>
      <c r="X571" s="1711">
        <v>19</v>
      </c>
      <c r="Y571" s="1714" t="s">
        <v>1471</v>
      </c>
      <c r="Z571" s="1713"/>
      <c r="AA571" s="1715">
        <v>6.7999999999999996E-3</v>
      </c>
      <c r="AB571" s="1716" t="s">
        <v>1471</v>
      </c>
      <c r="AC571" s="1717"/>
    </row>
    <row r="572" spans="1:29" ht="15.75" hidden="1" customHeight="1">
      <c r="A572" s="1704" t="s">
        <v>2946</v>
      </c>
      <c r="B572" s="1705" t="s">
        <v>2947</v>
      </c>
      <c r="C572" s="1706"/>
      <c r="D572" s="1707"/>
      <c r="E572" s="1708"/>
      <c r="F572" s="1707"/>
      <c r="G572" s="1709">
        <v>2.0700000000000001E-9</v>
      </c>
      <c r="H572" s="1708" t="s">
        <v>1119</v>
      </c>
      <c r="I572" s="1708"/>
      <c r="J572" s="1707"/>
      <c r="K572" s="1707"/>
      <c r="L572" s="1707"/>
      <c r="M572" s="1708">
        <v>1</v>
      </c>
      <c r="N572" s="1708">
        <v>0.1</v>
      </c>
      <c r="O572" s="1710"/>
      <c r="P572" s="1711">
        <v>1.2999999999999999E-4</v>
      </c>
      <c r="Q572" s="1712" t="s">
        <v>1471</v>
      </c>
      <c r="R572" s="1711">
        <v>1.6999999999999999E-3</v>
      </c>
      <c r="S572" s="1712" t="s">
        <v>1471</v>
      </c>
      <c r="T572" s="1712"/>
      <c r="U572" s="1713"/>
      <c r="V572" s="1712"/>
      <c r="W572" s="1713"/>
      <c r="X572" s="1711">
        <v>4.1999999999999998E-5</v>
      </c>
      <c r="Y572" s="1714" t="s">
        <v>1471</v>
      </c>
      <c r="Z572" s="1713"/>
      <c r="AA572" s="1715">
        <v>4.1000000000000003E-8</v>
      </c>
      <c r="AB572" s="1716" t="s">
        <v>1471</v>
      </c>
      <c r="AC572" s="1717"/>
    </row>
    <row r="573" spans="1:29" ht="15.75" hidden="1" customHeight="1">
      <c r="A573" s="1719" t="s">
        <v>2948</v>
      </c>
      <c r="B573" s="1720" t="s">
        <v>2949</v>
      </c>
      <c r="C573" s="1721"/>
      <c r="D573" s="1722"/>
      <c r="E573" s="1723"/>
      <c r="F573" s="1722"/>
      <c r="G573" s="1724">
        <v>5.0000000000000001E-4</v>
      </c>
      <c r="H573" s="1723" t="s">
        <v>1119</v>
      </c>
      <c r="I573" s="1723"/>
      <c r="J573" s="1722"/>
      <c r="K573" s="1722"/>
      <c r="L573" s="1722"/>
      <c r="M573" s="1723">
        <v>1</v>
      </c>
      <c r="N573" s="1723">
        <v>0.1</v>
      </c>
      <c r="O573" s="1725"/>
      <c r="P573" s="1726">
        <v>32</v>
      </c>
      <c r="Q573" s="1727" t="s">
        <v>1471</v>
      </c>
      <c r="R573" s="1726">
        <v>410</v>
      </c>
      <c r="S573" s="1727" t="s">
        <v>1471</v>
      </c>
      <c r="T573" s="1727"/>
      <c r="U573" s="1728"/>
      <c r="V573" s="1727"/>
      <c r="W573" s="1728"/>
      <c r="X573" s="1726">
        <v>7.2</v>
      </c>
      <c r="Y573" s="1729" t="s">
        <v>1471</v>
      </c>
      <c r="Z573" s="1728"/>
      <c r="AA573" s="1730">
        <v>1.6999999999999999E-3</v>
      </c>
      <c r="AB573" s="1731" t="s">
        <v>1471</v>
      </c>
      <c r="AC573" s="1732"/>
    </row>
    <row r="574" spans="1:29" ht="45">
      <c r="A574" s="1704" t="s">
        <v>2950</v>
      </c>
      <c r="B574" s="1705" t="s">
        <v>2951</v>
      </c>
      <c r="C574" s="1736">
        <v>29300</v>
      </c>
      <c r="D574" s="1708" t="s">
        <v>2941</v>
      </c>
      <c r="E574" s="1708"/>
      <c r="F574" s="1707"/>
      <c r="G574" s="1709">
        <v>2.9999999999999997E-8</v>
      </c>
      <c r="H574" s="1708" t="s">
        <v>2941</v>
      </c>
      <c r="I574" s="1708"/>
      <c r="J574" s="1707"/>
      <c r="K574" s="1707"/>
      <c r="L574" s="1707"/>
      <c r="M574" s="1708">
        <v>1</v>
      </c>
      <c r="N574" s="1708">
        <v>0.1</v>
      </c>
      <c r="O574" s="1710"/>
      <c r="P574" s="1711">
        <v>1.9000000000000001E-5</v>
      </c>
      <c r="Q574" s="1712" t="s">
        <v>4126</v>
      </c>
      <c r="R574" s="1711">
        <v>7.7999999999999999E-5</v>
      </c>
      <c r="S574" s="1712" t="s">
        <v>4126</v>
      </c>
      <c r="T574" s="1712"/>
      <c r="U574" s="1713"/>
      <c r="V574" s="1712"/>
      <c r="W574" s="1713"/>
      <c r="X574" s="1711">
        <v>2.7E-6</v>
      </c>
      <c r="Y574" s="1714" t="s">
        <v>4126</v>
      </c>
      <c r="Z574" s="1713"/>
      <c r="AA574" s="1715">
        <v>4.0000000000000001E-8</v>
      </c>
      <c r="AB574" s="1716" t="s">
        <v>4126</v>
      </c>
      <c r="AC574" s="1717"/>
    </row>
    <row r="575" spans="1:29" ht="15.75" hidden="1" customHeight="1">
      <c r="A575" s="1704" t="s">
        <v>2955</v>
      </c>
      <c r="B575" s="1705" t="s">
        <v>2956</v>
      </c>
      <c r="C575" s="1706"/>
      <c r="D575" s="1707"/>
      <c r="E575" s="1708"/>
      <c r="F575" s="1707"/>
      <c r="G575" s="1709">
        <v>2.9999999999999997E-4</v>
      </c>
      <c r="H575" s="1708" t="s">
        <v>2957</v>
      </c>
      <c r="I575" s="1708"/>
      <c r="J575" s="1707"/>
      <c r="K575" s="1708" t="s">
        <v>1127</v>
      </c>
      <c r="L575" s="1707"/>
      <c r="M575" s="1708">
        <v>1</v>
      </c>
      <c r="N575" s="1708"/>
      <c r="O575" s="1710"/>
      <c r="P575" s="1711">
        <v>23</v>
      </c>
      <c r="Q575" s="1712" t="s">
        <v>1471</v>
      </c>
      <c r="R575" s="1711">
        <v>350</v>
      </c>
      <c r="S575" s="1712" t="s">
        <v>1471</v>
      </c>
      <c r="T575" s="1712"/>
      <c r="U575" s="1713"/>
      <c r="V575" s="1712"/>
      <c r="W575" s="1713"/>
      <c r="X575" s="1711">
        <v>5.9</v>
      </c>
      <c r="Y575" s="1714" t="s">
        <v>1471</v>
      </c>
      <c r="Z575" s="1713"/>
      <c r="AA575" s="1715">
        <v>1.9E-3</v>
      </c>
      <c r="AB575" s="1716" t="s">
        <v>1471</v>
      </c>
      <c r="AC575" s="1717"/>
    </row>
    <row r="576" spans="1:29" ht="45">
      <c r="A576" s="1719" t="s">
        <v>300</v>
      </c>
      <c r="B576" s="1720" t="s">
        <v>2958</v>
      </c>
      <c r="C576" s="1721"/>
      <c r="D576" s="1722"/>
      <c r="E576" s="1723"/>
      <c r="F576" s="1722"/>
      <c r="G576" s="1724">
        <v>3.0000000000000001E-6</v>
      </c>
      <c r="H576" s="1723" t="s">
        <v>2941</v>
      </c>
      <c r="I576" s="1723"/>
      <c r="J576" s="1722"/>
      <c r="K576" s="1723" t="s">
        <v>1127</v>
      </c>
      <c r="L576" s="1722"/>
      <c r="M576" s="1723">
        <v>1</v>
      </c>
      <c r="N576" s="1723"/>
      <c r="O576" s="1735">
        <v>1920000</v>
      </c>
      <c r="P576" s="1726">
        <v>0.23</v>
      </c>
      <c r="Q576" s="1727" t="s">
        <v>1471</v>
      </c>
      <c r="R576" s="1726">
        <v>3.5</v>
      </c>
      <c r="S576" s="1727" t="s">
        <v>1471</v>
      </c>
      <c r="T576" s="1727"/>
      <c r="U576" s="1728"/>
      <c r="V576" s="1727"/>
      <c r="W576" s="1728"/>
      <c r="X576" s="1726">
        <v>1.4999999999999999E-2</v>
      </c>
      <c r="Y576" s="1729" t="s">
        <v>1471</v>
      </c>
      <c r="Z576" s="1727" t="s">
        <v>4135</v>
      </c>
      <c r="AA576" s="1730">
        <v>1.5E-5</v>
      </c>
      <c r="AB576" s="1731" t="s">
        <v>1471</v>
      </c>
      <c r="AC576" s="1739">
        <v>1.0000000000000001E-5</v>
      </c>
    </row>
    <row r="577" spans="1:29" ht="45">
      <c r="A577" s="1704" t="s">
        <v>2959</v>
      </c>
      <c r="B577" s="1705" t="s">
        <v>2960</v>
      </c>
      <c r="C577" s="1706"/>
      <c r="D577" s="1707"/>
      <c r="E577" s="1708"/>
      <c r="F577" s="1707"/>
      <c r="G577" s="1709">
        <v>2.9999999999999997E-4</v>
      </c>
      <c r="H577" s="1708" t="s">
        <v>2957</v>
      </c>
      <c r="I577" s="1708"/>
      <c r="J577" s="1707"/>
      <c r="K577" s="1708" t="s">
        <v>1127</v>
      </c>
      <c r="L577" s="1707"/>
      <c r="M577" s="1708">
        <v>1</v>
      </c>
      <c r="N577" s="1708"/>
      <c r="O577" s="1710"/>
      <c r="P577" s="1711">
        <v>23</v>
      </c>
      <c r="Q577" s="1712" t="s">
        <v>1471</v>
      </c>
      <c r="R577" s="1711">
        <v>350</v>
      </c>
      <c r="S577" s="1712" t="s">
        <v>1471</v>
      </c>
      <c r="T577" s="1712"/>
      <c r="U577" s="1713"/>
      <c r="V577" s="1712"/>
      <c r="W577" s="1713"/>
      <c r="X577" s="1711">
        <v>6</v>
      </c>
      <c r="Y577" s="1714" t="s">
        <v>1471</v>
      </c>
      <c r="Z577" s="1713"/>
      <c r="AA577" s="1715">
        <v>1.9E-3</v>
      </c>
      <c r="AB577" s="1716" t="s">
        <v>1471</v>
      </c>
      <c r="AC577" s="1717"/>
    </row>
    <row r="578" spans="1:29" ht="15.75" hidden="1" customHeight="1">
      <c r="A578" s="1704" t="s">
        <v>2962</v>
      </c>
      <c r="B578" s="1705" t="s">
        <v>2963</v>
      </c>
      <c r="C578" s="1706"/>
      <c r="D578" s="1707"/>
      <c r="E578" s="1708"/>
      <c r="F578" s="1707"/>
      <c r="G578" s="1709">
        <v>3.0000000000000001E-6</v>
      </c>
      <c r="H578" s="1708" t="s">
        <v>2941</v>
      </c>
      <c r="I578" s="1708"/>
      <c r="J578" s="1707"/>
      <c r="K578" s="1708" t="s">
        <v>1127</v>
      </c>
      <c r="L578" s="1707"/>
      <c r="M578" s="1708">
        <v>1</v>
      </c>
      <c r="N578" s="1708"/>
      <c r="O578" s="1718">
        <v>1920000</v>
      </c>
      <c r="P578" s="1711">
        <v>0.23</v>
      </c>
      <c r="Q578" s="1712" t="s">
        <v>1471</v>
      </c>
      <c r="R578" s="1711">
        <v>3.5</v>
      </c>
      <c r="S578" s="1712" t="s">
        <v>1471</v>
      </c>
      <c r="T578" s="1712"/>
      <c r="U578" s="1713"/>
      <c r="V578" s="1712"/>
      <c r="W578" s="1713"/>
      <c r="X578" s="1711">
        <v>0.06</v>
      </c>
      <c r="Y578" s="1714" t="s">
        <v>1471</v>
      </c>
      <c r="Z578" s="1744" t="s">
        <v>4135</v>
      </c>
      <c r="AA578" s="1715">
        <v>6.0999999999999999E-5</v>
      </c>
      <c r="AB578" s="1716" t="s">
        <v>1471</v>
      </c>
      <c r="AC578" s="1738">
        <v>1.0000000000000001E-5</v>
      </c>
    </row>
    <row r="579" spans="1:29" ht="30">
      <c r="A579" s="1719" t="s">
        <v>2964</v>
      </c>
      <c r="B579" s="1720" t="s">
        <v>2965</v>
      </c>
      <c r="C579" s="1721"/>
      <c r="D579" s="1722"/>
      <c r="E579" s="1723"/>
      <c r="F579" s="1722"/>
      <c r="G579" s="1724">
        <v>2.9999999999999997E-4</v>
      </c>
      <c r="H579" s="1723" t="s">
        <v>1909</v>
      </c>
      <c r="I579" s="1723"/>
      <c r="J579" s="1722"/>
      <c r="K579" s="1722"/>
      <c r="L579" s="1722"/>
      <c r="M579" s="1723">
        <v>1</v>
      </c>
      <c r="N579" s="1723">
        <v>0.1</v>
      </c>
      <c r="O579" s="1725"/>
      <c r="P579" s="1726">
        <v>19</v>
      </c>
      <c r="Q579" s="1727" t="s">
        <v>1471</v>
      </c>
      <c r="R579" s="1726">
        <v>250</v>
      </c>
      <c r="S579" s="1727" t="s">
        <v>1471</v>
      </c>
      <c r="T579" s="1727"/>
      <c r="U579" s="1728"/>
      <c r="V579" s="1727"/>
      <c r="W579" s="1728"/>
      <c r="X579" s="1726">
        <v>6</v>
      </c>
      <c r="Y579" s="1729" t="s">
        <v>1471</v>
      </c>
      <c r="Z579" s="1745" t="s">
        <v>4136</v>
      </c>
      <c r="AA579" s="1730">
        <v>3.0000000000000001E-3</v>
      </c>
      <c r="AB579" s="1731" t="s">
        <v>1471</v>
      </c>
      <c r="AC579" s="1732"/>
    </row>
    <row r="580" spans="1:29" ht="15.75" hidden="1" customHeight="1">
      <c r="A580" s="1704" t="s">
        <v>294</v>
      </c>
      <c r="B580" s="1705" t="s">
        <v>2966</v>
      </c>
      <c r="C580" s="1706"/>
      <c r="D580" s="1707"/>
      <c r="E580" s="1708"/>
      <c r="F580" s="1707"/>
      <c r="G580" s="1709">
        <v>2.9999999999999997E-4</v>
      </c>
      <c r="H580" s="1708" t="s">
        <v>1909</v>
      </c>
      <c r="I580" s="1708"/>
      <c r="J580" s="1707"/>
      <c r="K580" s="1707"/>
      <c r="L580" s="1707"/>
      <c r="M580" s="1708">
        <v>1</v>
      </c>
      <c r="N580" s="1708">
        <v>0.1</v>
      </c>
      <c r="O580" s="1710"/>
      <c r="P580" s="1711">
        <v>19</v>
      </c>
      <c r="Q580" s="1712" t="s">
        <v>1471</v>
      </c>
      <c r="R580" s="1711">
        <v>250</v>
      </c>
      <c r="S580" s="1712" t="s">
        <v>1471</v>
      </c>
      <c r="T580" s="1712"/>
      <c r="U580" s="1713"/>
      <c r="V580" s="1712"/>
      <c r="W580" s="1713"/>
      <c r="X580" s="1711">
        <v>6</v>
      </c>
      <c r="Y580" s="1714" t="s">
        <v>1471</v>
      </c>
      <c r="Z580" s="1712" t="s">
        <v>4136</v>
      </c>
      <c r="AA580" s="1715">
        <v>3.0000000000000001E-3</v>
      </c>
      <c r="AB580" s="1716" t="s">
        <v>1471</v>
      </c>
      <c r="AC580" s="1717"/>
    </row>
    <row r="581" spans="1:29" ht="30">
      <c r="A581" s="1704" t="s">
        <v>2967</v>
      </c>
      <c r="B581" s="1705" t="s">
        <v>2968</v>
      </c>
      <c r="C581" s="1706"/>
      <c r="D581" s="1707"/>
      <c r="E581" s="1708"/>
      <c r="F581" s="1707"/>
      <c r="G581" s="1709">
        <v>1E-3</v>
      </c>
      <c r="H581" s="1708" t="s">
        <v>1119</v>
      </c>
      <c r="I581" s="1708"/>
      <c r="J581" s="1707"/>
      <c r="K581" s="1708" t="s">
        <v>1127</v>
      </c>
      <c r="L581" s="1707"/>
      <c r="M581" s="1708">
        <v>1</v>
      </c>
      <c r="N581" s="1708"/>
      <c r="O581" s="1718">
        <v>2560</v>
      </c>
      <c r="P581" s="1711">
        <v>78</v>
      </c>
      <c r="Q581" s="1712" t="s">
        <v>1471</v>
      </c>
      <c r="R581" s="1711">
        <v>1200</v>
      </c>
      <c r="S581" s="1712" t="s">
        <v>1471</v>
      </c>
      <c r="T581" s="1712"/>
      <c r="U581" s="1713"/>
      <c r="V581" s="1712"/>
      <c r="W581" s="1713"/>
      <c r="X581" s="1711">
        <v>18</v>
      </c>
      <c r="Y581" s="1714" t="s">
        <v>1471</v>
      </c>
      <c r="Z581" s="1713"/>
      <c r="AA581" s="1715">
        <v>6.3E-3</v>
      </c>
      <c r="AB581" s="1716" t="s">
        <v>1471</v>
      </c>
      <c r="AC581" s="1717"/>
    </row>
    <row r="582" spans="1:29" ht="15.75" hidden="1" customHeight="1">
      <c r="A582" s="1719" t="s">
        <v>272</v>
      </c>
      <c r="B582" s="1720" t="s">
        <v>2970</v>
      </c>
      <c r="C582" s="1721"/>
      <c r="D582" s="1722"/>
      <c r="E582" s="1723"/>
      <c r="F582" s="1722"/>
      <c r="G582" s="1724">
        <v>1E-3</v>
      </c>
      <c r="H582" s="1723" t="s">
        <v>1119</v>
      </c>
      <c r="I582" s="1723"/>
      <c r="J582" s="1722"/>
      <c r="K582" s="1723" t="s">
        <v>1127</v>
      </c>
      <c r="L582" s="1722"/>
      <c r="M582" s="1723">
        <v>1</v>
      </c>
      <c r="N582" s="1723"/>
      <c r="O582" s="1735">
        <v>2570</v>
      </c>
      <c r="P582" s="1726">
        <v>78</v>
      </c>
      <c r="Q582" s="1727" t="s">
        <v>1471</v>
      </c>
      <c r="R582" s="1726">
        <v>1200</v>
      </c>
      <c r="S582" s="1727" t="s">
        <v>1471</v>
      </c>
      <c r="T582" s="1727"/>
      <c r="U582" s="1728"/>
      <c r="V582" s="1727"/>
      <c r="W582" s="1728"/>
      <c r="X582" s="1726">
        <v>18</v>
      </c>
      <c r="Y582" s="1729" t="s">
        <v>1471</v>
      </c>
      <c r="Z582" s="1728"/>
      <c r="AA582" s="1730">
        <v>6.4999999999999997E-3</v>
      </c>
      <c r="AB582" s="1731" t="s">
        <v>1471</v>
      </c>
      <c r="AC582" s="1732"/>
    </row>
    <row r="583" spans="1:29" ht="30">
      <c r="A583" s="1704" t="s">
        <v>2971</v>
      </c>
      <c r="B583" s="1705" t="s">
        <v>2972</v>
      </c>
      <c r="C583" s="1706"/>
      <c r="D583" s="1707"/>
      <c r="E583" s="1708"/>
      <c r="F583" s="1707"/>
      <c r="G583" s="1709">
        <v>2.0000000000000001E-9</v>
      </c>
      <c r="H583" s="1708" t="s">
        <v>1119</v>
      </c>
      <c r="I583" s="1708"/>
      <c r="J583" s="1707"/>
      <c r="K583" s="1707"/>
      <c r="L583" s="1707"/>
      <c r="M583" s="1708">
        <v>1</v>
      </c>
      <c r="N583" s="1708">
        <v>0.1</v>
      </c>
      <c r="O583" s="1710"/>
      <c r="P583" s="1711">
        <v>1.2999999999999999E-4</v>
      </c>
      <c r="Q583" s="1712" t="s">
        <v>1471</v>
      </c>
      <c r="R583" s="1711">
        <v>1.6000000000000001E-3</v>
      </c>
      <c r="S583" s="1712" t="s">
        <v>1471</v>
      </c>
      <c r="T583" s="1712"/>
      <c r="U583" s="1713"/>
      <c r="V583" s="1712"/>
      <c r="W583" s="1713"/>
      <c r="X583" s="1711">
        <v>4.0000000000000003E-5</v>
      </c>
      <c r="Y583" s="1714" t="s">
        <v>1471</v>
      </c>
      <c r="Z583" s="1713"/>
      <c r="AA583" s="1715">
        <v>4.0000000000000001E-8</v>
      </c>
      <c r="AB583" s="1716" t="s">
        <v>1471</v>
      </c>
      <c r="AC583" s="1717"/>
    </row>
    <row r="584" spans="1:29" ht="30">
      <c r="A584" s="1704" t="s">
        <v>284</v>
      </c>
      <c r="B584" s="1705" t="s">
        <v>2973</v>
      </c>
      <c r="C584" s="1706"/>
      <c r="D584" s="1707"/>
      <c r="E584" s="1708"/>
      <c r="F584" s="1707"/>
      <c r="G584" s="1709">
        <v>2.0000000000000001E-9</v>
      </c>
      <c r="H584" s="1708" t="s">
        <v>1119</v>
      </c>
      <c r="I584" s="1708"/>
      <c r="J584" s="1707"/>
      <c r="K584" s="1707"/>
      <c r="L584" s="1707"/>
      <c r="M584" s="1708">
        <v>1</v>
      </c>
      <c r="N584" s="1708">
        <v>0.1</v>
      </c>
      <c r="O584" s="1710"/>
      <c r="P584" s="1711">
        <v>1.2999999999999999E-4</v>
      </c>
      <c r="Q584" s="1712" t="s">
        <v>1471</v>
      </c>
      <c r="R584" s="1711">
        <v>1.6000000000000001E-3</v>
      </c>
      <c r="S584" s="1712" t="s">
        <v>1471</v>
      </c>
      <c r="T584" s="1712"/>
      <c r="U584" s="1713"/>
      <c r="V584" s="1712"/>
      <c r="W584" s="1713"/>
      <c r="X584" s="1711">
        <v>4.0000000000000003E-5</v>
      </c>
      <c r="Y584" s="1714" t="s">
        <v>1471</v>
      </c>
      <c r="Z584" s="1713"/>
      <c r="AA584" s="1715">
        <v>8.0999999999999997E-8</v>
      </c>
      <c r="AB584" s="1716" t="s">
        <v>1471</v>
      </c>
      <c r="AC584" s="1717"/>
    </row>
    <row r="585" spans="1:29" ht="15.75" hidden="1" customHeight="1">
      <c r="A585" s="1719" t="s">
        <v>288</v>
      </c>
      <c r="B585" s="1720" t="s">
        <v>2974</v>
      </c>
      <c r="C585" s="1721"/>
      <c r="D585" s="1722"/>
      <c r="E585" s="1723"/>
      <c r="F585" s="1722"/>
      <c r="G585" s="1724">
        <v>5.0000000000000002E-5</v>
      </c>
      <c r="H585" s="1723" t="s">
        <v>2975</v>
      </c>
      <c r="I585" s="1723"/>
      <c r="J585" s="1722"/>
      <c r="K585" s="1722"/>
      <c r="L585" s="1722"/>
      <c r="M585" s="1723">
        <v>1</v>
      </c>
      <c r="N585" s="1723">
        <v>0.1</v>
      </c>
      <c r="O585" s="1725"/>
      <c r="P585" s="1726">
        <v>3.2</v>
      </c>
      <c r="Q585" s="1727" t="s">
        <v>1471</v>
      </c>
      <c r="R585" s="1726">
        <v>41</v>
      </c>
      <c r="S585" s="1727" t="s">
        <v>1471</v>
      </c>
      <c r="T585" s="1727"/>
      <c r="U585" s="1728"/>
      <c r="V585" s="1727"/>
      <c r="W585" s="1728"/>
      <c r="X585" s="1726">
        <v>1</v>
      </c>
      <c r="Y585" s="1729" t="s">
        <v>1471</v>
      </c>
      <c r="Z585" s="1728"/>
      <c r="AA585" s="1730">
        <v>0.17</v>
      </c>
      <c r="AB585" s="1731" t="s">
        <v>1471</v>
      </c>
      <c r="AC585" s="1732"/>
    </row>
    <row r="586" spans="1:29" ht="30">
      <c r="A586" s="1704" t="s">
        <v>2976</v>
      </c>
      <c r="B586" s="1705" t="s">
        <v>2977</v>
      </c>
      <c r="C586" s="1706"/>
      <c r="D586" s="1707"/>
      <c r="E586" s="1708"/>
      <c r="F586" s="1707"/>
      <c r="G586" s="1709">
        <v>2.0000000000000002E-5</v>
      </c>
      <c r="H586" s="1708" t="s">
        <v>1960</v>
      </c>
      <c r="I586" s="1708"/>
      <c r="J586" s="1707"/>
      <c r="K586" s="1707"/>
      <c r="L586" s="1707"/>
      <c r="M586" s="1708">
        <v>1</v>
      </c>
      <c r="N586" s="1708">
        <v>0.1</v>
      </c>
      <c r="O586" s="1710"/>
      <c r="P586" s="1711">
        <v>1.3</v>
      </c>
      <c r="Q586" s="1712" t="s">
        <v>1471</v>
      </c>
      <c r="R586" s="1711">
        <v>16</v>
      </c>
      <c r="S586" s="1712" t="s">
        <v>1471</v>
      </c>
      <c r="T586" s="1712"/>
      <c r="U586" s="1713"/>
      <c r="V586" s="1712"/>
      <c r="W586" s="1713"/>
      <c r="X586" s="1711">
        <v>0.39</v>
      </c>
      <c r="Y586" s="1714" t="s">
        <v>1471</v>
      </c>
      <c r="Z586" s="1746" t="s">
        <v>4135</v>
      </c>
      <c r="AA586" s="1715">
        <v>1.7000000000000001E-4</v>
      </c>
      <c r="AB586" s="1716" t="s">
        <v>1471</v>
      </c>
      <c r="AC586" s="1738">
        <v>4.1999999999999996E-6</v>
      </c>
    </row>
    <row r="587" spans="1:29" ht="15.75" hidden="1" customHeight="1">
      <c r="A587" s="1704" t="s">
        <v>296</v>
      </c>
      <c r="B587" s="1705" t="s">
        <v>2979</v>
      </c>
      <c r="C587" s="1706"/>
      <c r="D587" s="1707"/>
      <c r="E587" s="1708"/>
      <c r="F587" s="1707"/>
      <c r="G587" s="1709">
        <v>2.0000000000000002E-5</v>
      </c>
      <c r="H587" s="1708" t="s">
        <v>1960</v>
      </c>
      <c r="I587" s="1708"/>
      <c r="J587" s="1707"/>
      <c r="K587" s="1707"/>
      <c r="L587" s="1707"/>
      <c r="M587" s="1708">
        <v>1</v>
      </c>
      <c r="N587" s="1708">
        <v>0.1</v>
      </c>
      <c r="O587" s="1710"/>
      <c r="P587" s="1711">
        <v>1.3</v>
      </c>
      <c r="Q587" s="1712" t="s">
        <v>1471</v>
      </c>
      <c r="R587" s="1711">
        <v>16</v>
      </c>
      <c r="S587" s="1712" t="s">
        <v>1471</v>
      </c>
      <c r="T587" s="1712"/>
      <c r="U587" s="1713"/>
      <c r="V587" s="1712"/>
      <c r="W587" s="1713"/>
      <c r="X587" s="1711">
        <v>0.39</v>
      </c>
      <c r="Y587" s="1714" t="s">
        <v>1471</v>
      </c>
      <c r="Z587" s="1712" t="s">
        <v>4135</v>
      </c>
      <c r="AA587" s="1715">
        <v>1.7000000000000001E-4</v>
      </c>
      <c r="AB587" s="1716" t="s">
        <v>1471</v>
      </c>
      <c r="AC587" s="1738">
        <v>4.1999999999999996E-6</v>
      </c>
    </row>
    <row r="588" spans="1:29" ht="30">
      <c r="A588" s="1719" t="s">
        <v>2980</v>
      </c>
      <c r="B588" s="1720" t="s">
        <v>2981</v>
      </c>
      <c r="C588" s="1721"/>
      <c r="D588" s="1722"/>
      <c r="E588" s="1723"/>
      <c r="F588" s="1722"/>
      <c r="G588" s="1724">
        <v>5.0000000000000001E-4</v>
      </c>
      <c r="H588" s="1723" t="s">
        <v>1119</v>
      </c>
      <c r="I588" s="1723"/>
      <c r="J588" s="1722"/>
      <c r="K588" s="1722"/>
      <c r="L588" s="1722"/>
      <c r="M588" s="1723">
        <v>1</v>
      </c>
      <c r="N588" s="1723">
        <v>0.1</v>
      </c>
      <c r="O588" s="1725"/>
      <c r="P588" s="1726">
        <v>32</v>
      </c>
      <c r="Q588" s="1727" t="s">
        <v>1471</v>
      </c>
      <c r="R588" s="1726">
        <v>410</v>
      </c>
      <c r="S588" s="1727" t="s">
        <v>1471</v>
      </c>
      <c r="T588" s="1727"/>
      <c r="U588" s="1728"/>
      <c r="V588" s="1727"/>
      <c r="W588" s="1728"/>
      <c r="X588" s="1726">
        <v>6.1</v>
      </c>
      <c r="Y588" s="1729" t="s">
        <v>1471</v>
      </c>
      <c r="Z588" s="1728"/>
      <c r="AA588" s="1730">
        <v>1.5E-3</v>
      </c>
      <c r="AB588" s="1731" t="s">
        <v>1471</v>
      </c>
      <c r="AC588" s="1732"/>
    </row>
    <row r="589" spans="1:29" ht="30">
      <c r="A589" s="1704" t="s">
        <v>276</v>
      </c>
      <c r="B589" s="1705" t="s">
        <v>2982</v>
      </c>
      <c r="C589" s="1706"/>
      <c r="D589" s="1707"/>
      <c r="E589" s="1708"/>
      <c r="F589" s="1707"/>
      <c r="G589" s="1709">
        <v>5.0000000000000001E-4</v>
      </c>
      <c r="H589" s="1708" t="s">
        <v>1119</v>
      </c>
      <c r="I589" s="1708"/>
      <c r="J589" s="1707"/>
      <c r="K589" s="1707"/>
      <c r="L589" s="1707"/>
      <c r="M589" s="1708">
        <v>1</v>
      </c>
      <c r="N589" s="1708">
        <v>0.1</v>
      </c>
      <c r="O589" s="1710"/>
      <c r="P589" s="1711">
        <v>32</v>
      </c>
      <c r="Q589" s="1712" t="s">
        <v>1471</v>
      </c>
      <c r="R589" s="1711">
        <v>410</v>
      </c>
      <c r="S589" s="1712" t="s">
        <v>1471</v>
      </c>
      <c r="T589" s="1712"/>
      <c r="U589" s="1713"/>
      <c r="V589" s="1712"/>
      <c r="W589" s="1713"/>
      <c r="X589" s="1711">
        <v>9.9</v>
      </c>
      <c r="Y589" s="1714" t="s">
        <v>1471</v>
      </c>
      <c r="Z589" s="1713"/>
      <c r="AA589" s="1715">
        <v>2.3999999999999998E-3</v>
      </c>
      <c r="AB589" s="1716" t="s">
        <v>1471</v>
      </c>
      <c r="AC589" s="1717"/>
    </row>
    <row r="590" spans="1:29" ht="30">
      <c r="A590" s="1704" t="s">
        <v>2983</v>
      </c>
      <c r="B590" s="1705" t="s">
        <v>2984</v>
      </c>
      <c r="C590" s="1706"/>
      <c r="D590" s="1707"/>
      <c r="E590" s="1708"/>
      <c r="F590" s="1707"/>
      <c r="G590" s="1709">
        <v>3.0000000000000001E-6</v>
      </c>
      <c r="H590" s="1708" t="s">
        <v>1960</v>
      </c>
      <c r="I590" s="1708"/>
      <c r="J590" s="1707"/>
      <c r="K590" s="1707"/>
      <c r="L590" s="1707"/>
      <c r="M590" s="1708">
        <v>1</v>
      </c>
      <c r="N590" s="1708">
        <v>0.1</v>
      </c>
      <c r="O590" s="1710"/>
      <c r="P590" s="1711">
        <v>0.19</v>
      </c>
      <c r="Q590" s="1712" t="s">
        <v>1471</v>
      </c>
      <c r="R590" s="1711">
        <v>2.5</v>
      </c>
      <c r="S590" s="1712" t="s">
        <v>1471</v>
      </c>
      <c r="T590" s="1712"/>
      <c r="U590" s="1713"/>
      <c r="V590" s="1712"/>
      <c r="W590" s="1713"/>
      <c r="X590" s="1711">
        <v>5.8999999999999997E-2</v>
      </c>
      <c r="Y590" s="1714" t="s">
        <v>1471</v>
      </c>
      <c r="Z590" s="1744" t="s">
        <v>4135</v>
      </c>
      <c r="AA590" s="1715">
        <v>2.5000000000000001E-4</v>
      </c>
      <c r="AB590" s="1716" t="s">
        <v>1471</v>
      </c>
      <c r="AC590" s="1738">
        <v>4.1999999999999998E-5</v>
      </c>
    </row>
    <row r="591" spans="1:29" ht="30">
      <c r="A591" s="1719" t="s">
        <v>282</v>
      </c>
      <c r="B591" s="1720" t="s">
        <v>2985</v>
      </c>
      <c r="C591" s="1721"/>
      <c r="D591" s="1722"/>
      <c r="E591" s="1723"/>
      <c r="F591" s="1722"/>
      <c r="G591" s="1724">
        <v>3.0000000000000001E-6</v>
      </c>
      <c r="H591" s="1723" t="s">
        <v>1960</v>
      </c>
      <c r="I591" s="1723"/>
      <c r="J591" s="1722"/>
      <c r="K591" s="1722"/>
      <c r="L591" s="1722"/>
      <c r="M591" s="1723">
        <v>1</v>
      </c>
      <c r="N591" s="1723">
        <v>0.1</v>
      </c>
      <c r="O591" s="1725"/>
      <c r="P591" s="1726">
        <v>0.19</v>
      </c>
      <c r="Q591" s="1727" t="s">
        <v>1471</v>
      </c>
      <c r="R591" s="1726">
        <v>2.5</v>
      </c>
      <c r="S591" s="1727" t="s">
        <v>1471</v>
      </c>
      <c r="T591" s="1727"/>
      <c r="U591" s="1728"/>
      <c r="V591" s="1727"/>
      <c r="W591" s="1728"/>
      <c r="X591" s="1726">
        <v>5.8999999999999997E-2</v>
      </c>
      <c r="Y591" s="1729" t="s">
        <v>1471</v>
      </c>
      <c r="Z591" s="1727" t="s">
        <v>4135</v>
      </c>
      <c r="AA591" s="1730">
        <v>2.5000000000000001E-4</v>
      </c>
      <c r="AB591" s="1731" t="s">
        <v>1471</v>
      </c>
      <c r="AC591" s="1739">
        <v>4.1999999999999998E-5</v>
      </c>
    </row>
    <row r="592" spans="1:29" ht="45">
      <c r="A592" s="1704" t="s">
        <v>292</v>
      </c>
      <c r="B592" s="1705" t="s">
        <v>2986</v>
      </c>
      <c r="C592" s="1706"/>
      <c r="D592" s="1707"/>
      <c r="E592" s="1708"/>
      <c r="F592" s="1707"/>
      <c r="G592" s="1709">
        <v>0.04</v>
      </c>
      <c r="H592" s="1708" t="s">
        <v>2975</v>
      </c>
      <c r="I592" s="1708"/>
      <c r="J592" s="1707"/>
      <c r="K592" s="1707"/>
      <c r="L592" s="1707"/>
      <c r="M592" s="1708">
        <v>1</v>
      </c>
      <c r="N592" s="1708">
        <v>0.1</v>
      </c>
      <c r="O592" s="1710"/>
      <c r="P592" s="1711">
        <v>2500</v>
      </c>
      <c r="Q592" s="1712" t="s">
        <v>1471</v>
      </c>
      <c r="R592" s="1711">
        <v>33000</v>
      </c>
      <c r="S592" s="1712" t="s">
        <v>1471</v>
      </c>
      <c r="T592" s="1712"/>
      <c r="U592" s="1713"/>
      <c r="V592" s="1712"/>
      <c r="W592" s="1713"/>
      <c r="X592" s="1711">
        <v>800</v>
      </c>
      <c r="Y592" s="1714" t="s">
        <v>1471</v>
      </c>
      <c r="Z592" s="1713"/>
      <c r="AA592" s="1715">
        <v>220</v>
      </c>
      <c r="AB592" s="1716" t="s">
        <v>1471</v>
      </c>
      <c r="AC592" s="1717"/>
    </row>
    <row r="593" spans="1:29" ht="30">
      <c r="A593" s="1704" t="s">
        <v>2987</v>
      </c>
      <c r="B593" s="1705" t="s">
        <v>2988</v>
      </c>
      <c r="C593" s="1736">
        <v>39.5</v>
      </c>
      <c r="D593" s="1708" t="s">
        <v>2941</v>
      </c>
      <c r="E593" s="1708"/>
      <c r="F593" s="1707"/>
      <c r="G593" s="1709">
        <v>9.9999999999999995E-8</v>
      </c>
      <c r="H593" s="1708" t="s">
        <v>2941</v>
      </c>
      <c r="I593" s="1708"/>
      <c r="J593" s="1707"/>
      <c r="K593" s="1707"/>
      <c r="L593" s="1707"/>
      <c r="M593" s="1708">
        <v>1</v>
      </c>
      <c r="N593" s="1708">
        <v>0.1</v>
      </c>
      <c r="O593" s="1710"/>
      <c r="P593" s="1711">
        <v>6.3E-3</v>
      </c>
      <c r="Q593" s="1712" t="s">
        <v>1471</v>
      </c>
      <c r="R593" s="1711">
        <v>5.8000000000000003E-2</v>
      </c>
      <c r="S593" s="1712" t="s">
        <v>4122</v>
      </c>
      <c r="T593" s="1712"/>
      <c r="U593" s="1713"/>
      <c r="V593" s="1712"/>
      <c r="W593" s="1713"/>
      <c r="X593" s="1711">
        <v>2E-3</v>
      </c>
      <c r="Y593" s="1714" t="s">
        <v>4122</v>
      </c>
      <c r="Z593" s="1711">
        <v>4.0000000000000001E-3</v>
      </c>
      <c r="AA593" s="1715">
        <v>1.5E-5</v>
      </c>
      <c r="AB593" s="1716" t="s">
        <v>4122</v>
      </c>
      <c r="AC593" s="1738">
        <v>3.0000000000000001E-5</v>
      </c>
    </row>
    <row r="594" spans="1:29" ht="45">
      <c r="A594" s="1719" t="s">
        <v>298</v>
      </c>
      <c r="B594" s="1720" t="s">
        <v>2990</v>
      </c>
      <c r="C594" s="1737">
        <v>39.5</v>
      </c>
      <c r="D594" s="1723" t="s">
        <v>2941</v>
      </c>
      <c r="E594" s="1723"/>
      <c r="F594" s="1722"/>
      <c r="G594" s="1724">
        <v>9.9999999999999995E-8</v>
      </c>
      <c r="H594" s="1723" t="s">
        <v>2941</v>
      </c>
      <c r="I594" s="1723"/>
      <c r="J594" s="1722"/>
      <c r="K594" s="1722"/>
      <c r="L594" s="1722"/>
      <c r="M594" s="1723">
        <v>1</v>
      </c>
      <c r="N594" s="1723">
        <v>0.1</v>
      </c>
      <c r="O594" s="1725"/>
      <c r="P594" s="1726">
        <v>6.3E-3</v>
      </c>
      <c r="Q594" s="1727" t="s">
        <v>1471</v>
      </c>
      <c r="R594" s="1726">
        <v>5.8000000000000003E-2</v>
      </c>
      <c r="S594" s="1727" t="s">
        <v>4122</v>
      </c>
      <c r="T594" s="1727"/>
      <c r="U594" s="1728"/>
      <c r="V594" s="1727"/>
      <c r="W594" s="1728"/>
      <c r="X594" s="1726">
        <v>2E-3</v>
      </c>
      <c r="Y594" s="1729" t="s">
        <v>4122</v>
      </c>
      <c r="Z594" s="1726">
        <v>4.0000000000000001E-3</v>
      </c>
      <c r="AA594" s="1730">
        <v>1.5E-5</v>
      </c>
      <c r="AB594" s="1731" t="s">
        <v>4122</v>
      </c>
      <c r="AC594" s="1739">
        <v>3.0000000000000001E-5</v>
      </c>
    </row>
    <row r="595" spans="1:29" ht="30">
      <c r="A595" s="1704" t="s">
        <v>2991</v>
      </c>
      <c r="B595" s="1705" t="s">
        <v>2992</v>
      </c>
      <c r="C595" s="1736">
        <v>29300</v>
      </c>
      <c r="D595" s="1708" t="s">
        <v>2941</v>
      </c>
      <c r="E595" s="1708"/>
      <c r="F595" s="1707"/>
      <c r="G595" s="1709">
        <v>2.9999999999999997E-8</v>
      </c>
      <c r="H595" s="1708" t="s">
        <v>2941</v>
      </c>
      <c r="I595" s="1708"/>
      <c r="J595" s="1707"/>
      <c r="K595" s="1707"/>
      <c r="L595" s="1707"/>
      <c r="M595" s="1708">
        <v>1</v>
      </c>
      <c r="N595" s="1708">
        <v>0.1</v>
      </c>
      <c r="O595" s="1710"/>
      <c r="P595" s="1711">
        <v>1.9000000000000001E-5</v>
      </c>
      <c r="Q595" s="1712" t="s">
        <v>4126</v>
      </c>
      <c r="R595" s="1711">
        <v>7.7999999999999999E-5</v>
      </c>
      <c r="S595" s="1712" t="s">
        <v>4126</v>
      </c>
      <c r="T595" s="1712"/>
      <c r="U595" s="1713"/>
      <c r="V595" s="1712"/>
      <c r="W595" s="1713"/>
      <c r="X595" s="1711">
        <v>2.7E-6</v>
      </c>
      <c r="Y595" s="1714" t="s">
        <v>4126</v>
      </c>
      <c r="Z595" s="1711">
        <v>4.0000000000000001E-3</v>
      </c>
      <c r="AA595" s="1715">
        <v>4.0000000000000001E-8</v>
      </c>
      <c r="AB595" s="1716" t="s">
        <v>4126</v>
      </c>
      <c r="AC595" s="1738">
        <v>6.0999999999999999E-5</v>
      </c>
    </row>
    <row r="596" spans="1:29" ht="30">
      <c r="A596" s="1704" t="s">
        <v>280</v>
      </c>
      <c r="B596" s="1705" t="s">
        <v>2993</v>
      </c>
      <c r="C596" s="1736">
        <v>29300</v>
      </c>
      <c r="D596" s="1708" t="s">
        <v>2941</v>
      </c>
      <c r="E596" s="1708"/>
      <c r="F596" s="1707"/>
      <c r="G596" s="1709">
        <v>2.9999999999999997E-8</v>
      </c>
      <c r="H596" s="1708" t="s">
        <v>2941</v>
      </c>
      <c r="I596" s="1708"/>
      <c r="J596" s="1707"/>
      <c r="K596" s="1707"/>
      <c r="L596" s="1707"/>
      <c r="M596" s="1708">
        <v>1</v>
      </c>
      <c r="N596" s="1708">
        <v>0.1</v>
      </c>
      <c r="O596" s="1710"/>
      <c r="P596" s="1711">
        <v>1.9000000000000001E-5</v>
      </c>
      <c r="Q596" s="1712" t="s">
        <v>4126</v>
      </c>
      <c r="R596" s="1711">
        <v>7.7999999999999999E-5</v>
      </c>
      <c r="S596" s="1712" t="s">
        <v>4126</v>
      </c>
      <c r="T596" s="1712"/>
      <c r="U596" s="1713"/>
      <c r="V596" s="1712"/>
      <c r="W596" s="1713"/>
      <c r="X596" s="1711">
        <v>2.7E-6</v>
      </c>
      <c r="Y596" s="1714" t="s">
        <v>4126</v>
      </c>
      <c r="Z596" s="1711">
        <v>4.0000000000000001E-3</v>
      </c>
      <c r="AA596" s="1715">
        <v>4.0000000000000001E-8</v>
      </c>
      <c r="AB596" s="1716" t="s">
        <v>4126</v>
      </c>
      <c r="AC596" s="1738">
        <v>6.0999999999999999E-5</v>
      </c>
    </row>
    <row r="597" spans="1:29" ht="30">
      <c r="A597" s="1719" t="s">
        <v>270</v>
      </c>
      <c r="B597" s="1720" t="s">
        <v>2994</v>
      </c>
      <c r="C597" s="1721"/>
      <c r="D597" s="1722"/>
      <c r="E597" s="1723"/>
      <c r="F597" s="1722"/>
      <c r="G597" s="1724">
        <v>5.0000000000000001E-4</v>
      </c>
      <c r="H597" s="1723" t="s">
        <v>2957</v>
      </c>
      <c r="I597" s="1723"/>
      <c r="J597" s="1722"/>
      <c r="K597" s="1723" t="s">
        <v>1127</v>
      </c>
      <c r="L597" s="1722"/>
      <c r="M597" s="1723">
        <v>1</v>
      </c>
      <c r="N597" s="1723"/>
      <c r="O597" s="1735">
        <v>13600</v>
      </c>
      <c r="P597" s="1726">
        <v>39</v>
      </c>
      <c r="Q597" s="1727" t="s">
        <v>1471</v>
      </c>
      <c r="R597" s="1726">
        <v>580</v>
      </c>
      <c r="S597" s="1727" t="s">
        <v>1471</v>
      </c>
      <c r="T597" s="1727"/>
      <c r="U597" s="1728"/>
      <c r="V597" s="1727"/>
      <c r="W597" s="1728"/>
      <c r="X597" s="1726">
        <v>9.8000000000000007</v>
      </c>
      <c r="Y597" s="1729" t="s">
        <v>1471</v>
      </c>
      <c r="Z597" s="1728"/>
      <c r="AA597" s="1730">
        <v>2.0999999999999999E-3</v>
      </c>
      <c r="AB597" s="1731" t="s">
        <v>1471</v>
      </c>
      <c r="AC597" s="1732"/>
    </row>
    <row r="598" spans="1:29" ht="45">
      <c r="A598" s="1704" t="s">
        <v>290</v>
      </c>
      <c r="B598" s="1705" t="s">
        <v>2995</v>
      </c>
      <c r="C598" s="1706"/>
      <c r="D598" s="1707"/>
      <c r="E598" s="1708"/>
      <c r="F598" s="1707"/>
      <c r="G598" s="1709">
        <v>1E-3</v>
      </c>
      <c r="H598" s="1708" t="s">
        <v>2975</v>
      </c>
      <c r="I598" s="1708"/>
      <c r="J598" s="1707"/>
      <c r="K598" s="1707"/>
      <c r="L598" s="1707"/>
      <c r="M598" s="1708">
        <v>1</v>
      </c>
      <c r="N598" s="1708">
        <v>0.1</v>
      </c>
      <c r="O598" s="1710"/>
      <c r="P598" s="1711">
        <v>63</v>
      </c>
      <c r="Q598" s="1712" t="s">
        <v>1471</v>
      </c>
      <c r="R598" s="1711">
        <v>820</v>
      </c>
      <c r="S598" s="1712" t="s">
        <v>1471</v>
      </c>
      <c r="T598" s="1712"/>
      <c r="U598" s="1713"/>
      <c r="V598" s="1712"/>
      <c r="W598" s="1713"/>
      <c r="X598" s="1711">
        <v>20</v>
      </c>
      <c r="Y598" s="1714" t="s">
        <v>1471</v>
      </c>
      <c r="Z598" s="1713"/>
      <c r="AA598" s="1715">
        <v>9.4</v>
      </c>
      <c r="AB598" s="1716" t="s">
        <v>1471</v>
      </c>
      <c r="AC598" s="1717"/>
    </row>
    <row r="599" spans="1:29" ht="45">
      <c r="A599" s="1704" t="s">
        <v>286</v>
      </c>
      <c r="B599" s="1705" t="s">
        <v>2996</v>
      </c>
      <c r="C599" s="1706"/>
      <c r="D599" s="1707"/>
      <c r="E599" s="1708"/>
      <c r="F599" s="1707"/>
      <c r="G599" s="1709">
        <v>2.9999999999999997E-4</v>
      </c>
      <c r="H599" s="1708" t="s">
        <v>2975</v>
      </c>
      <c r="I599" s="1708"/>
      <c r="J599" s="1707"/>
      <c r="K599" s="1707"/>
      <c r="L599" s="1707"/>
      <c r="M599" s="1708">
        <v>1</v>
      </c>
      <c r="N599" s="1708">
        <v>0.1</v>
      </c>
      <c r="O599" s="1710"/>
      <c r="P599" s="1711">
        <v>19</v>
      </c>
      <c r="Q599" s="1712" t="s">
        <v>1471</v>
      </c>
      <c r="R599" s="1711">
        <v>250</v>
      </c>
      <c r="S599" s="1712" t="s">
        <v>1471</v>
      </c>
      <c r="T599" s="1712"/>
      <c r="U599" s="1713"/>
      <c r="V599" s="1712"/>
      <c r="W599" s="1713"/>
      <c r="X599" s="1711">
        <v>6</v>
      </c>
      <c r="Y599" s="1714" t="s">
        <v>1471</v>
      </c>
      <c r="Z599" s="1713"/>
      <c r="AA599" s="1715">
        <v>4.4999999999999998E-2</v>
      </c>
      <c r="AB599" s="1716" t="s">
        <v>1471</v>
      </c>
      <c r="AC599" s="1717"/>
    </row>
    <row r="600" spans="1:29" ht="45">
      <c r="A600" s="1719" t="s">
        <v>2997</v>
      </c>
      <c r="B600" s="1720" t="s">
        <v>2998</v>
      </c>
      <c r="C600" s="1721"/>
      <c r="D600" s="1722"/>
      <c r="E600" s="1723"/>
      <c r="F600" s="1722"/>
      <c r="G600" s="1724">
        <v>2.9999999999999997E-4</v>
      </c>
      <c r="H600" s="1723" t="s">
        <v>1909</v>
      </c>
      <c r="I600" s="1723"/>
      <c r="J600" s="1722"/>
      <c r="K600" s="1722"/>
      <c r="L600" s="1722"/>
      <c r="M600" s="1723">
        <v>1</v>
      </c>
      <c r="N600" s="1723">
        <v>0.1</v>
      </c>
      <c r="O600" s="1725"/>
      <c r="P600" s="1726">
        <v>19</v>
      </c>
      <c r="Q600" s="1727" t="s">
        <v>1471</v>
      </c>
      <c r="R600" s="1726">
        <v>250</v>
      </c>
      <c r="S600" s="1727" t="s">
        <v>1471</v>
      </c>
      <c r="T600" s="1727"/>
      <c r="U600" s="1728"/>
      <c r="V600" s="1727"/>
      <c r="W600" s="1728"/>
      <c r="X600" s="1726">
        <v>6</v>
      </c>
      <c r="Y600" s="1729" t="s">
        <v>1471</v>
      </c>
      <c r="Z600" s="1728"/>
      <c r="AA600" s="1730">
        <v>3.0000000000000001E-3</v>
      </c>
      <c r="AB600" s="1731" t="s">
        <v>1471</v>
      </c>
      <c r="AC600" s="1732"/>
    </row>
    <row r="601" spans="1:29" ht="45">
      <c r="A601" s="1704" t="s">
        <v>2999</v>
      </c>
      <c r="B601" s="1705" t="s">
        <v>3000</v>
      </c>
      <c r="C601" s="1706"/>
      <c r="D601" s="1707"/>
      <c r="E601" s="1708"/>
      <c r="F601" s="1707"/>
      <c r="G601" s="1709">
        <v>2E-3</v>
      </c>
      <c r="H601" s="1708" t="s">
        <v>1119</v>
      </c>
      <c r="I601" s="1708"/>
      <c r="J601" s="1707"/>
      <c r="K601" s="1708" t="s">
        <v>1127</v>
      </c>
      <c r="L601" s="1707"/>
      <c r="M601" s="1708">
        <v>1</v>
      </c>
      <c r="N601" s="1708"/>
      <c r="O601" s="1718">
        <v>96100</v>
      </c>
      <c r="P601" s="1711">
        <v>160</v>
      </c>
      <c r="Q601" s="1712" t="s">
        <v>1471</v>
      </c>
      <c r="R601" s="1711">
        <v>2300</v>
      </c>
      <c r="S601" s="1712" t="s">
        <v>1471</v>
      </c>
      <c r="T601" s="1712"/>
      <c r="U601" s="1713"/>
      <c r="V601" s="1712"/>
      <c r="W601" s="1713"/>
      <c r="X601" s="1711">
        <v>38</v>
      </c>
      <c r="Y601" s="1714" t="s">
        <v>1471</v>
      </c>
      <c r="Z601" s="1713"/>
      <c r="AA601" s="1715">
        <v>1.2999999999999999E-2</v>
      </c>
      <c r="AB601" s="1716" t="s">
        <v>1471</v>
      </c>
      <c r="AC601" s="1717"/>
    </row>
    <row r="602" spans="1:29" ht="45">
      <c r="A602" s="1704" t="s">
        <v>3001</v>
      </c>
      <c r="B602" s="1705" t="s">
        <v>3002</v>
      </c>
      <c r="C602" s="1706"/>
      <c r="D602" s="1707"/>
      <c r="E602" s="1708"/>
      <c r="F602" s="1707"/>
      <c r="G602" s="1709">
        <v>2.1499999999999998E-9</v>
      </c>
      <c r="H602" s="1708" t="s">
        <v>1119</v>
      </c>
      <c r="I602" s="1708"/>
      <c r="J602" s="1707"/>
      <c r="K602" s="1707"/>
      <c r="L602" s="1707"/>
      <c r="M602" s="1708">
        <v>1</v>
      </c>
      <c r="N602" s="1708">
        <v>0.1</v>
      </c>
      <c r="O602" s="1710"/>
      <c r="P602" s="1711">
        <v>1.3999999999999999E-4</v>
      </c>
      <c r="Q602" s="1712" t="s">
        <v>1471</v>
      </c>
      <c r="R602" s="1711">
        <v>1.8E-3</v>
      </c>
      <c r="S602" s="1712" t="s">
        <v>1471</v>
      </c>
      <c r="T602" s="1712"/>
      <c r="U602" s="1713"/>
      <c r="V602" s="1712"/>
      <c r="W602" s="1713"/>
      <c r="X602" s="1711">
        <v>4.3000000000000002E-5</v>
      </c>
      <c r="Y602" s="1714" t="s">
        <v>1471</v>
      </c>
      <c r="Z602" s="1713"/>
      <c r="AA602" s="1715">
        <v>4.3000000000000001E-8</v>
      </c>
      <c r="AB602" s="1716" t="s">
        <v>1471</v>
      </c>
      <c r="AC602" s="1717"/>
    </row>
    <row r="603" spans="1:29" ht="45">
      <c r="A603" s="1719" t="s">
        <v>3004</v>
      </c>
      <c r="B603" s="1720" t="s">
        <v>3005</v>
      </c>
      <c r="C603" s="1737">
        <v>39.5</v>
      </c>
      <c r="D603" s="1723" t="s">
        <v>2941</v>
      </c>
      <c r="E603" s="1723"/>
      <c r="F603" s="1722"/>
      <c r="G603" s="1724">
        <v>9.9999999999999995E-8</v>
      </c>
      <c r="H603" s="1723" t="s">
        <v>2941</v>
      </c>
      <c r="I603" s="1723"/>
      <c r="J603" s="1722"/>
      <c r="K603" s="1722"/>
      <c r="L603" s="1722"/>
      <c r="M603" s="1723">
        <v>1</v>
      </c>
      <c r="N603" s="1723">
        <v>0.1</v>
      </c>
      <c r="O603" s="1725"/>
      <c r="P603" s="1726">
        <v>6.3E-3</v>
      </c>
      <c r="Q603" s="1727" t="s">
        <v>1471</v>
      </c>
      <c r="R603" s="1726">
        <v>5.8000000000000003E-2</v>
      </c>
      <c r="S603" s="1727" t="s">
        <v>4122</v>
      </c>
      <c r="T603" s="1727"/>
      <c r="U603" s="1728"/>
      <c r="V603" s="1727"/>
      <c r="W603" s="1728"/>
      <c r="X603" s="1726">
        <v>2E-3</v>
      </c>
      <c r="Y603" s="1729" t="s">
        <v>4122</v>
      </c>
      <c r="Z603" s="1728"/>
      <c r="AA603" s="1730">
        <v>1.5E-5</v>
      </c>
      <c r="AB603" s="1731" t="s">
        <v>4122</v>
      </c>
      <c r="AC603" s="1732"/>
    </row>
    <row r="604" spans="1:29" ht="45">
      <c r="A604" s="1704" t="s">
        <v>3008</v>
      </c>
      <c r="B604" s="1705" t="s">
        <v>3009</v>
      </c>
      <c r="C604" s="1706"/>
      <c r="D604" s="1707"/>
      <c r="E604" s="1708"/>
      <c r="F604" s="1707"/>
      <c r="G604" s="1709">
        <v>1E-3</v>
      </c>
      <c r="H604" s="1708" t="s">
        <v>1119</v>
      </c>
      <c r="I604" s="1708"/>
      <c r="J604" s="1707"/>
      <c r="K604" s="1708" t="s">
        <v>1127</v>
      </c>
      <c r="L604" s="1707"/>
      <c r="M604" s="1708">
        <v>1</v>
      </c>
      <c r="N604" s="1708"/>
      <c r="O604" s="1718">
        <v>89900</v>
      </c>
      <c r="P604" s="1711">
        <v>78</v>
      </c>
      <c r="Q604" s="1712" t="s">
        <v>1471</v>
      </c>
      <c r="R604" s="1711">
        <v>1200</v>
      </c>
      <c r="S604" s="1712" t="s">
        <v>1471</v>
      </c>
      <c r="T604" s="1712"/>
      <c r="U604" s="1713"/>
      <c r="V604" s="1712"/>
      <c r="W604" s="1713"/>
      <c r="X604" s="1711">
        <v>18</v>
      </c>
      <c r="Y604" s="1714" t="s">
        <v>1471</v>
      </c>
      <c r="Z604" s="1713"/>
      <c r="AA604" s="1715">
        <v>6.4000000000000003E-3</v>
      </c>
      <c r="AB604" s="1716" t="s">
        <v>1471</v>
      </c>
      <c r="AC604" s="1717"/>
    </row>
    <row r="605" spans="1:29" ht="45">
      <c r="A605" s="1704" t="s">
        <v>3010</v>
      </c>
      <c r="B605" s="1705" t="s">
        <v>3011</v>
      </c>
      <c r="C605" s="1706"/>
      <c r="D605" s="1707"/>
      <c r="E605" s="1708"/>
      <c r="F605" s="1707"/>
      <c r="G605" s="1709">
        <v>2.09E-9</v>
      </c>
      <c r="H605" s="1708" t="s">
        <v>1119</v>
      </c>
      <c r="I605" s="1708"/>
      <c r="J605" s="1707"/>
      <c r="K605" s="1707"/>
      <c r="L605" s="1707"/>
      <c r="M605" s="1708">
        <v>1</v>
      </c>
      <c r="N605" s="1708">
        <v>0.1</v>
      </c>
      <c r="O605" s="1710"/>
      <c r="P605" s="1711">
        <v>1.2999999999999999E-4</v>
      </c>
      <c r="Q605" s="1712" t="s">
        <v>1471</v>
      </c>
      <c r="R605" s="1711">
        <v>1.6999999999999999E-3</v>
      </c>
      <c r="S605" s="1712" t="s">
        <v>1471</v>
      </c>
      <c r="T605" s="1712"/>
      <c r="U605" s="1713"/>
      <c r="V605" s="1712"/>
      <c r="W605" s="1713"/>
      <c r="X605" s="1711">
        <v>4.1999999999999998E-5</v>
      </c>
      <c r="Y605" s="1714" t="s">
        <v>1471</v>
      </c>
      <c r="Z605" s="1713"/>
      <c r="AA605" s="1715">
        <v>4.1999999999999999E-8</v>
      </c>
      <c r="AB605" s="1716" t="s">
        <v>1471</v>
      </c>
      <c r="AC605" s="1717"/>
    </row>
    <row r="606" spans="1:29" ht="45">
      <c r="A606" s="1719" t="s">
        <v>3012</v>
      </c>
      <c r="B606" s="1720" t="s">
        <v>3013</v>
      </c>
      <c r="C606" s="1721"/>
      <c r="D606" s="1722"/>
      <c r="E606" s="1723"/>
      <c r="F606" s="1722"/>
      <c r="G606" s="1724">
        <v>5.0000000000000001E-4</v>
      </c>
      <c r="H606" s="1723" t="s">
        <v>1119</v>
      </c>
      <c r="I606" s="1723"/>
      <c r="J606" s="1722"/>
      <c r="K606" s="1722"/>
      <c r="L606" s="1722"/>
      <c r="M606" s="1723">
        <v>1</v>
      </c>
      <c r="N606" s="1723">
        <v>0.1</v>
      </c>
      <c r="O606" s="1725"/>
      <c r="P606" s="1726">
        <v>32</v>
      </c>
      <c r="Q606" s="1727" t="s">
        <v>1471</v>
      </c>
      <c r="R606" s="1726">
        <v>410</v>
      </c>
      <c r="S606" s="1727" t="s">
        <v>1471</v>
      </c>
      <c r="T606" s="1727"/>
      <c r="U606" s="1728"/>
      <c r="V606" s="1727"/>
      <c r="W606" s="1728"/>
      <c r="X606" s="1726">
        <v>10</v>
      </c>
      <c r="Y606" s="1729" t="s">
        <v>1471</v>
      </c>
      <c r="Z606" s="1728"/>
      <c r="AA606" s="1730">
        <v>2.3999999999999998E-3</v>
      </c>
      <c r="AB606" s="1731" t="s">
        <v>1471</v>
      </c>
      <c r="AC606" s="1732"/>
    </row>
    <row r="607" spans="1:29" ht="15">
      <c r="A607" s="1704"/>
      <c r="B607" s="1705" t="s">
        <v>3014</v>
      </c>
      <c r="C607" s="1706"/>
      <c r="D607" s="1707"/>
      <c r="E607" s="1708"/>
      <c r="F607" s="1707"/>
      <c r="G607" s="1708"/>
      <c r="H607" s="1707"/>
      <c r="I607" s="1708"/>
      <c r="J607" s="1707"/>
      <c r="K607" s="1707"/>
      <c r="L607" s="1707"/>
      <c r="M607" s="1708"/>
      <c r="N607" s="1708"/>
      <c r="O607" s="1710"/>
      <c r="P607" s="1712"/>
      <c r="Q607" s="1713"/>
      <c r="R607" s="1712"/>
      <c r="S607" s="1713"/>
      <c r="T607" s="1712"/>
      <c r="U607" s="1713"/>
      <c r="V607" s="1712"/>
      <c r="W607" s="1713"/>
      <c r="X607" s="1712"/>
      <c r="Y607" s="1733"/>
      <c r="Z607" s="1713"/>
      <c r="AA607" s="1716"/>
      <c r="AB607" s="1734"/>
      <c r="AC607" s="1717"/>
    </row>
    <row r="608" spans="1:29" ht="30">
      <c r="A608" s="1704" t="s">
        <v>262</v>
      </c>
      <c r="B608" s="1705" t="s">
        <v>3015</v>
      </c>
      <c r="C608" s="1706"/>
      <c r="D608" s="1707"/>
      <c r="E608" s="1708"/>
      <c r="F608" s="1707"/>
      <c r="G608" s="1709">
        <v>6.9999999999999999E-4</v>
      </c>
      <c r="H608" s="1708" t="s">
        <v>1119</v>
      </c>
      <c r="I608" s="1708"/>
      <c r="J608" s="1707"/>
      <c r="K608" s="1707"/>
      <c r="L608" s="1707"/>
      <c r="M608" s="1708">
        <v>1</v>
      </c>
      <c r="N608" s="1708"/>
      <c r="O608" s="1710"/>
      <c r="P608" s="1711">
        <v>55</v>
      </c>
      <c r="Q608" s="1712" t="s">
        <v>1471</v>
      </c>
      <c r="R608" s="1711">
        <v>820</v>
      </c>
      <c r="S608" s="1712" t="s">
        <v>1471</v>
      </c>
      <c r="T608" s="1712"/>
      <c r="U608" s="1713"/>
      <c r="V608" s="1712"/>
      <c r="W608" s="1713"/>
      <c r="X608" s="1711">
        <v>14</v>
      </c>
      <c r="Y608" s="1714" t="s">
        <v>1471</v>
      </c>
      <c r="Z608" s="1713"/>
      <c r="AA608" s="1716"/>
      <c r="AB608" s="1734"/>
      <c r="AC608" s="1717"/>
    </row>
    <row r="609" spans="1:29" ht="30">
      <c r="A609" s="1741">
        <v>2151713</v>
      </c>
      <c r="B609" s="1720" t="s">
        <v>3017</v>
      </c>
      <c r="C609" s="1721"/>
      <c r="D609" s="1722"/>
      <c r="E609" s="1723"/>
      <c r="F609" s="1722"/>
      <c r="G609" s="1724">
        <v>6.9999999999999999E-4</v>
      </c>
      <c r="H609" s="1723" t="s">
        <v>1119</v>
      </c>
      <c r="I609" s="1723"/>
      <c r="J609" s="1722"/>
      <c r="K609" s="1722"/>
      <c r="L609" s="1722"/>
      <c r="M609" s="1723">
        <v>1</v>
      </c>
      <c r="N609" s="1723"/>
      <c r="O609" s="1725"/>
      <c r="P609" s="1726">
        <v>55</v>
      </c>
      <c r="Q609" s="1727" t="s">
        <v>1471</v>
      </c>
      <c r="R609" s="1726">
        <v>820</v>
      </c>
      <c r="S609" s="1727" t="s">
        <v>1471</v>
      </c>
      <c r="T609" s="1727"/>
      <c r="U609" s="1728"/>
      <c r="V609" s="1727"/>
      <c r="W609" s="1728"/>
      <c r="X609" s="1726">
        <v>14</v>
      </c>
      <c r="Y609" s="1729" t="s">
        <v>1471</v>
      </c>
      <c r="Z609" s="1728"/>
      <c r="AA609" s="1731"/>
      <c r="AB609" s="1740"/>
      <c r="AC609" s="1732"/>
    </row>
    <row r="610" spans="1:29" ht="30">
      <c r="A610" s="1704" t="s">
        <v>1261</v>
      </c>
      <c r="B610" s="1705" t="s">
        <v>3018</v>
      </c>
      <c r="C610" s="1706"/>
      <c r="D610" s="1707"/>
      <c r="E610" s="1708"/>
      <c r="F610" s="1707"/>
      <c r="G610" s="1709">
        <v>6.9999999999999999E-4</v>
      </c>
      <c r="H610" s="1708" t="s">
        <v>1119</v>
      </c>
      <c r="I610" s="1708"/>
      <c r="J610" s="1707"/>
      <c r="K610" s="1707"/>
      <c r="L610" s="1707"/>
      <c r="M610" s="1708">
        <v>1</v>
      </c>
      <c r="N610" s="1708"/>
      <c r="O610" s="1710"/>
      <c r="P610" s="1711">
        <v>55</v>
      </c>
      <c r="Q610" s="1712" t="s">
        <v>1471</v>
      </c>
      <c r="R610" s="1711">
        <v>820</v>
      </c>
      <c r="S610" s="1712" t="s">
        <v>1471</v>
      </c>
      <c r="T610" s="1712"/>
      <c r="U610" s="1713"/>
      <c r="V610" s="1712"/>
      <c r="W610" s="1713"/>
      <c r="X610" s="1711">
        <v>14</v>
      </c>
      <c r="Y610" s="1714" t="s">
        <v>1471</v>
      </c>
      <c r="Z610" s="1712" t="s">
        <v>4137</v>
      </c>
      <c r="AA610" s="1716"/>
      <c r="AB610" s="1734"/>
      <c r="AC610" s="1717"/>
    </row>
    <row r="611" spans="1:29" ht="30">
      <c r="A611" s="1704" t="s">
        <v>3019</v>
      </c>
      <c r="B611" s="1705" t="s">
        <v>3020</v>
      </c>
      <c r="C611" s="1706"/>
      <c r="D611" s="1707"/>
      <c r="E611" s="1708"/>
      <c r="F611" s="1707"/>
      <c r="G611" s="1709">
        <v>6.9999999999999999E-4</v>
      </c>
      <c r="H611" s="1708" t="s">
        <v>1119</v>
      </c>
      <c r="I611" s="1708"/>
      <c r="J611" s="1707"/>
      <c r="K611" s="1707"/>
      <c r="L611" s="1707"/>
      <c r="M611" s="1708">
        <v>1</v>
      </c>
      <c r="N611" s="1708"/>
      <c r="O611" s="1710"/>
      <c r="P611" s="1711">
        <v>55</v>
      </c>
      <c r="Q611" s="1712" t="s">
        <v>1471</v>
      </c>
      <c r="R611" s="1711">
        <v>820</v>
      </c>
      <c r="S611" s="1712" t="s">
        <v>1471</v>
      </c>
      <c r="T611" s="1712"/>
      <c r="U611" s="1713"/>
      <c r="V611" s="1712"/>
      <c r="W611" s="1713"/>
      <c r="X611" s="1711">
        <v>14</v>
      </c>
      <c r="Y611" s="1714" t="s">
        <v>1471</v>
      </c>
      <c r="Z611" s="1713"/>
      <c r="AA611" s="1716"/>
      <c r="AB611" s="1734"/>
      <c r="AC611" s="1717"/>
    </row>
    <row r="612" spans="1:29" ht="30">
      <c r="A612" s="1719" t="s">
        <v>3021</v>
      </c>
      <c r="B612" s="1720" t="s">
        <v>3022</v>
      </c>
      <c r="C612" s="1721"/>
      <c r="D612" s="1722"/>
      <c r="E612" s="1723"/>
      <c r="F612" s="1722"/>
      <c r="G612" s="1724">
        <v>6.9999999999999999E-4</v>
      </c>
      <c r="H612" s="1723" t="s">
        <v>1119</v>
      </c>
      <c r="I612" s="1723"/>
      <c r="J612" s="1722"/>
      <c r="K612" s="1722"/>
      <c r="L612" s="1722"/>
      <c r="M612" s="1723">
        <v>1</v>
      </c>
      <c r="N612" s="1723"/>
      <c r="O612" s="1725"/>
      <c r="P612" s="1726">
        <v>55</v>
      </c>
      <c r="Q612" s="1727" t="s">
        <v>1471</v>
      </c>
      <c r="R612" s="1726">
        <v>820</v>
      </c>
      <c r="S612" s="1727" t="s">
        <v>1471</v>
      </c>
      <c r="T612" s="1727"/>
      <c r="U612" s="1728"/>
      <c r="V612" s="1727"/>
      <c r="W612" s="1728"/>
      <c r="X612" s="1726">
        <v>14</v>
      </c>
      <c r="Y612" s="1729" t="s">
        <v>1471</v>
      </c>
      <c r="Z612" s="1728"/>
      <c r="AA612" s="1731"/>
      <c r="AB612" s="1740"/>
      <c r="AC612" s="1732"/>
    </row>
    <row r="613" spans="1:29" ht="15">
      <c r="A613" s="1704" t="s">
        <v>3023</v>
      </c>
      <c r="B613" s="1705" t="s">
        <v>3024</v>
      </c>
      <c r="C613" s="1706"/>
      <c r="D613" s="1707"/>
      <c r="E613" s="1708"/>
      <c r="F613" s="1707"/>
      <c r="G613" s="1709">
        <v>0.05</v>
      </c>
      <c r="H613" s="1708" t="s">
        <v>1119</v>
      </c>
      <c r="I613" s="1708"/>
      <c r="J613" s="1707"/>
      <c r="K613" s="1707"/>
      <c r="L613" s="1707"/>
      <c r="M613" s="1708">
        <v>1</v>
      </c>
      <c r="N613" s="1708">
        <v>0.1</v>
      </c>
      <c r="O613" s="1710"/>
      <c r="P613" s="1711">
        <v>3200</v>
      </c>
      <c r="Q613" s="1712" t="s">
        <v>1471</v>
      </c>
      <c r="R613" s="1711">
        <v>41000</v>
      </c>
      <c r="S613" s="1712" t="s">
        <v>1471</v>
      </c>
      <c r="T613" s="1712"/>
      <c r="U613" s="1713"/>
      <c r="V613" s="1712"/>
      <c r="W613" s="1713"/>
      <c r="X613" s="1711">
        <v>1000</v>
      </c>
      <c r="Y613" s="1714" t="s">
        <v>1471</v>
      </c>
      <c r="Z613" s="1713"/>
      <c r="AA613" s="1715">
        <v>240</v>
      </c>
      <c r="AB613" s="1716" t="s">
        <v>1471</v>
      </c>
      <c r="AC613" s="1717"/>
    </row>
    <row r="614" spans="1:29" ht="15">
      <c r="A614" s="1704" t="s">
        <v>3025</v>
      </c>
      <c r="B614" s="1705" t="s">
        <v>3026</v>
      </c>
      <c r="C614" s="1736">
        <v>2.2000000000000001E-3</v>
      </c>
      <c r="D614" s="1708" t="s">
        <v>1900</v>
      </c>
      <c r="E614" s="1709">
        <v>6.3E-7</v>
      </c>
      <c r="F614" s="1708" t="s">
        <v>1900</v>
      </c>
      <c r="G614" s="1708"/>
      <c r="H614" s="1707"/>
      <c r="I614" s="1708"/>
      <c r="J614" s="1707"/>
      <c r="K614" s="1707"/>
      <c r="L614" s="1707"/>
      <c r="M614" s="1708">
        <v>1</v>
      </c>
      <c r="N614" s="1708">
        <v>0.1</v>
      </c>
      <c r="O614" s="1710"/>
      <c r="P614" s="1711">
        <v>250</v>
      </c>
      <c r="Q614" s="1712" t="s">
        <v>4126</v>
      </c>
      <c r="R614" s="1711">
        <v>1000</v>
      </c>
      <c r="S614" s="1712" t="s">
        <v>4126</v>
      </c>
      <c r="T614" s="1711">
        <v>4.5</v>
      </c>
      <c r="U614" s="1712" t="s">
        <v>4126</v>
      </c>
      <c r="V614" s="1711">
        <v>19</v>
      </c>
      <c r="W614" s="1712" t="s">
        <v>4126</v>
      </c>
      <c r="X614" s="1711">
        <v>34</v>
      </c>
      <c r="Y614" s="1714" t="s">
        <v>4126</v>
      </c>
      <c r="Z614" s="1713"/>
      <c r="AA614" s="1715">
        <v>9.7000000000000003E-3</v>
      </c>
      <c r="AB614" s="1716" t="s">
        <v>4126</v>
      </c>
      <c r="AC614" s="1717"/>
    </row>
    <row r="615" spans="1:29" ht="15">
      <c r="A615" s="1719" t="s">
        <v>3027</v>
      </c>
      <c r="B615" s="1720" t="s">
        <v>3028</v>
      </c>
      <c r="C615" s="1721"/>
      <c r="D615" s="1722"/>
      <c r="E615" s="1723"/>
      <c r="F615" s="1722"/>
      <c r="G615" s="1724">
        <v>0.24</v>
      </c>
      <c r="H615" s="1723" t="s">
        <v>1116</v>
      </c>
      <c r="I615" s="1723"/>
      <c r="J615" s="1722"/>
      <c r="K615" s="1722"/>
      <c r="L615" s="1722"/>
      <c r="M615" s="1723">
        <v>1</v>
      </c>
      <c r="N615" s="1723">
        <v>0.1</v>
      </c>
      <c r="O615" s="1725"/>
      <c r="P615" s="1726">
        <v>15000</v>
      </c>
      <c r="Q615" s="1727" t="s">
        <v>1471</v>
      </c>
      <c r="R615" s="1726">
        <v>200000</v>
      </c>
      <c r="S615" s="1727" t="s">
        <v>4124</v>
      </c>
      <c r="T615" s="1727"/>
      <c r="U615" s="1728"/>
      <c r="V615" s="1727"/>
      <c r="W615" s="1728"/>
      <c r="X615" s="1726">
        <v>3800</v>
      </c>
      <c r="Y615" s="1729" t="s">
        <v>1471</v>
      </c>
      <c r="Z615" s="1728"/>
      <c r="AA615" s="1730">
        <v>21</v>
      </c>
      <c r="AB615" s="1731" t="s">
        <v>1471</v>
      </c>
      <c r="AC615" s="1732"/>
    </row>
    <row r="616" spans="1:29" ht="15">
      <c r="A616" s="1704" t="s">
        <v>302</v>
      </c>
      <c r="B616" s="1705" t="s">
        <v>301</v>
      </c>
      <c r="C616" s="1706"/>
      <c r="D616" s="1707"/>
      <c r="E616" s="1708"/>
      <c r="F616" s="1707"/>
      <c r="G616" s="1709">
        <v>0.3</v>
      </c>
      <c r="H616" s="1708" t="s">
        <v>1119</v>
      </c>
      <c r="I616" s="1709">
        <v>0.2</v>
      </c>
      <c r="J616" s="1708" t="s">
        <v>1900</v>
      </c>
      <c r="K616" s="1707"/>
      <c r="L616" s="1707"/>
      <c r="M616" s="1708">
        <v>1</v>
      </c>
      <c r="N616" s="1708">
        <v>0.1</v>
      </c>
      <c r="O616" s="1710"/>
      <c r="P616" s="1711">
        <v>19000</v>
      </c>
      <c r="Q616" s="1712" t="s">
        <v>1471</v>
      </c>
      <c r="R616" s="1711">
        <v>250000</v>
      </c>
      <c r="S616" s="1712" t="s">
        <v>4124</v>
      </c>
      <c r="T616" s="1711">
        <v>210</v>
      </c>
      <c r="U616" s="1712" t="s">
        <v>1471</v>
      </c>
      <c r="V616" s="1711">
        <v>880</v>
      </c>
      <c r="W616" s="1712" t="s">
        <v>1471</v>
      </c>
      <c r="X616" s="1711">
        <v>5800</v>
      </c>
      <c r="Y616" s="1714" t="s">
        <v>1471</v>
      </c>
      <c r="Z616" s="1713"/>
      <c r="AA616" s="1715">
        <v>3.3</v>
      </c>
      <c r="AB616" s="1716" t="s">
        <v>1471</v>
      </c>
      <c r="AC616" s="1717"/>
    </row>
    <row r="617" spans="1:29" ht="45">
      <c r="A617" s="1704" t="s">
        <v>3029</v>
      </c>
      <c r="B617" s="1705" t="s">
        <v>3030</v>
      </c>
      <c r="C617" s="1706"/>
      <c r="D617" s="1707"/>
      <c r="E617" s="1708"/>
      <c r="F617" s="1707"/>
      <c r="G617" s="1709">
        <v>4.0000000000000001E-3</v>
      </c>
      <c r="H617" s="1708" t="s">
        <v>1119</v>
      </c>
      <c r="I617" s="1708"/>
      <c r="J617" s="1707"/>
      <c r="K617" s="1707"/>
      <c r="L617" s="1707"/>
      <c r="M617" s="1708">
        <v>1</v>
      </c>
      <c r="N617" s="1708">
        <v>0.1</v>
      </c>
      <c r="O617" s="1710"/>
      <c r="P617" s="1711">
        <v>250</v>
      </c>
      <c r="Q617" s="1712" t="s">
        <v>1471</v>
      </c>
      <c r="R617" s="1711">
        <v>3300</v>
      </c>
      <c r="S617" s="1712" t="s">
        <v>1471</v>
      </c>
      <c r="T617" s="1712"/>
      <c r="U617" s="1713"/>
      <c r="V617" s="1712"/>
      <c r="W617" s="1713"/>
      <c r="X617" s="1711">
        <v>78</v>
      </c>
      <c r="Y617" s="1714" t="s">
        <v>1471</v>
      </c>
      <c r="Z617" s="1713"/>
      <c r="AA617" s="1715">
        <v>2.5000000000000001E-2</v>
      </c>
      <c r="AB617" s="1716" t="s">
        <v>1471</v>
      </c>
      <c r="AC617" s="1717"/>
    </row>
    <row r="618" spans="1:29" ht="15">
      <c r="A618" s="1719" t="s">
        <v>3031</v>
      </c>
      <c r="B618" s="1720" t="s">
        <v>3032</v>
      </c>
      <c r="C618" s="1721"/>
      <c r="D618" s="1722"/>
      <c r="E618" s="1723"/>
      <c r="F618" s="1722"/>
      <c r="G618" s="1724">
        <v>5.0000000000000001E-4</v>
      </c>
      <c r="H618" s="1723" t="s">
        <v>1893</v>
      </c>
      <c r="I618" s="1723"/>
      <c r="J618" s="1722"/>
      <c r="K618" s="1722"/>
      <c r="L618" s="1722"/>
      <c r="M618" s="1723">
        <v>1</v>
      </c>
      <c r="N618" s="1723">
        <v>0.1</v>
      </c>
      <c r="O618" s="1725"/>
      <c r="P618" s="1726">
        <v>32</v>
      </c>
      <c r="Q618" s="1727" t="s">
        <v>1471</v>
      </c>
      <c r="R618" s="1726">
        <v>410</v>
      </c>
      <c r="S618" s="1727" t="s">
        <v>1471</v>
      </c>
      <c r="T618" s="1727"/>
      <c r="U618" s="1728"/>
      <c r="V618" s="1727"/>
      <c r="W618" s="1728"/>
      <c r="X618" s="1726">
        <v>4.3</v>
      </c>
      <c r="Y618" s="1729" t="s">
        <v>1471</v>
      </c>
      <c r="Z618" s="1728"/>
      <c r="AA618" s="1730">
        <v>1.4E-2</v>
      </c>
      <c r="AB618" s="1731" t="s">
        <v>1471</v>
      </c>
      <c r="AC618" s="1732"/>
    </row>
    <row r="619" spans="1:29" ht="30">
      <c r="A619" s="1704" t="s">
        <v>3033</v>
      </c>
      <c r="B619" s="1705" t="s">
        <v>3034</v>
      </c>
      <c r="C619" s="1706"/>
      <c r="D619" s="1707"/>
      <c r="E619" s="1708"/>
      <c r="F619" s="1707"/>
      <c r="G619" s="1709">
        <v>2.0000000000000001E-4</v>
      </c>
      <c r="H619" s="1708" t="s">
        <v>1893</v>
      </c>
      <c r="I619" s="1708"/>
      <c r="J619" s="1707"/>
      <c r="K619" s="1708" t="s">
        <v>1127</v>
      </c>
      <c r="L619" s="1707"/>
      <c r="M619" s="1708">
        <v>1</v>
      </c>
      <c r="N619" s="1708"/>
      <c r="O619" s="1718">
        <v>129</v>
      </c>
      <c r="P619" s="1711">
        <v>16</v>
      </c>
      <c r="Q619" s="1712" t="s">
        <v>1471</v>
      </c>
      <c r="R619" s="1711">
        <v>230</v>
      </c>
      <c r="S619" s="1712" t="s">
        <v>4125</v>
      </c>
      <c r="T619" s="1712"/>
      <c r="U619" s="1713"/>
      <c r="V619" s="1712"/>
      <c r="W619" s="1713"/>
      <c r="X619" s="1711">
        <v>2.6</v>
      </c>
      <c r="Y619" s="1714" t="s">
        <v>1471</v>
      </c>
      <c r="Z619" s="1713"/>
      <c r="AA619" s="1715">
        <v>1.6999999999999999E-3</v>
      </c>
      <c r="AB619" s="1716" t="s">
        <v>1471</v>
      </c>
      <c r="AC619" s="1717"/>
    </row>
    <row r="620" spans="1:29" ht="30">
      <c r="A620" s="1704" t="s">
        <v>3035</v>
      </c>
      <c r="B620" s="1705" t="s">
        <v>3036</v>
      </c>
      <c r="C620" s="1706"/>
      <c r="D620" s="1707"/>
      <c r="E620" s="1708"/>
      <c r="F620" s="1707"/>
      <c r="G620" s="1709">
        <v>6.0000000000000001E-3</v>
      </c>
      <c r="H620" s="1708" t="s">
        <v>1119</v>
      </c>
      <c r="I620" s="1708"/>
      <c r="J620" s="1707"/>
      <c r="K620" s="1707"/>
      <c r="L620" s="1707"/>
      <c r="M620" s="1708">
        <v>1</v>
      </c>
      <c r="N620" s="1708">
        <v>0.1</v>
      </c>
      <c r="O620" s="1710"/>
      <c r="P620" s="1711">
        <v>380</v>
      </c>
      <c r="Q620" s="1712" t="s">
        <v>1471</v>
      </c>
      <c r="R620" s="1711">
        <v>4900</v>
      </c>
      <c r="S620" s="1712" t="s">
        <v>1471</v>
      </c>
      <c r="T620" s="1712"/>
      <c r="U620" s="1713"/>
      <c r="V620" s="1712"/>
      <c r="W620" s="1713"/>
      <c r="X620" s="1711">
        <v>120</v>
      </c>
      <c r="Y620" s="1714" t="s">
        <v>1471</v>
      </c>
      <c r="Z620" s="1713"/>
      <c r="AA620" s="1715">
        <v>3.2000000000000001E-2</v>
      </c>
      <c r="AB620" s="1716" t="s">
        <v>1471</v>
      </c>
      <c r="AC620" s="1717"/>
    </row>
    <row r="621" spans="1:29" ht="30">
      <c r="A621" s="1719" t="s">
        <v>3037</v>
      </c>
      <c r="B621" s="1720" t="s">
        <v>3038</v>
      </c>
      <c r="C621" s="1737">
        <v>0.12</v>
      </c>
      <c r="D621" s="1723" t="s">
        <v>1909</v>
      </c>
      <c r="E621" s="1723"/>
      <c r="F621" s="1722"/>
      <c r="G621" s="1724">
        <v>4.0000000000000001E-3</v>
      </c>
      <c r="H621" s="1723" t="s">
        <v>1909</v>
      </c>
      <c r="I621" s="1723"/>
      <c r="J621" s="1722"/>
      <c r="K621" s="1722"/>
      <c r="L621" s="1723" t="s">
        <v>1906</v>
      </c>
      <c r="M621" s="1723">
        <v>1</v>
      </c>
      <c r="N621" s="1723">
        <v>0.1</v>
      </c>
      <c r="O621" s="1725"/>
      <c r="P621" s="1726">
        <v>1</v>
      </c>
      <c r="Q621" s="1727" t="s">
        <v>4126</v>
      </c>
      <c r="R621" s="1726">
        <v>19</v>
      </c>
      <c r="S621" s="1727" t="s">
        <v>4126</v>
      </c>
      <c r="T621" s="1727"/>
      <c r="U621" s="1728"/>
      <c r="V621" s="1727"/>
      <c r="W621" s="1728"/>
      <c r="X621" s="1726">
        <v>0.21</v>
      </c>
      <c r="Y621" s="1729" t="s">
        <v>4126</v>
      </c>
      <c r="Z621" s="1728"/>
      <c r="AA621" s="1730">
        <v>5.5999999999999999E-5</v>
      </c>
      <c r="AB621" s="1731" t="s">
        <v>4126</v>
      </c>
      <c r="AC621" s="1732"/>
    </row>
    <row r="622" spans="1:29" ht="30">
      <c r="A622" s="1704" t="s">
        <v>3039</v>
      </c>
      <c r="B622" s="1705" t="s">
        <v>3040</v>
      </c>
      <c r="C622" s="1706"/>
      <c r="D622" s="1707"/>
      <c r="E622" s="1708"/>
      <c r="F622" s="1707"/>
      <c r="G622" s="1709">
        <v>1E-3</v>
      </c>
      <c r="H622" s="1708" t="s">
        <v>1893</v>
      </c>
      <c r="I622" s="1708"/>
      <c r="J622" s="1707"/>
      <c r="K622" s="1707"/>
      <c r="L622" s="1707"/>
      <c r="M622" s="1708">
        <v>1</v>
      </c>
      <c r="N622" s="1708">
        <v>0.1</v>
      </c>
      <c r="O622" s="1710"/>
      <c r="P622" s="1711">
        <v>63</v>
      </c>
      <c r="Q622" s="1712" t="s">
        <v>1471</v>
      </c>
      <c r="R622" s="1711">
        <v>820</v>
      </c>
      <c r="S622" s="1712" t="s">
        <v>1471</v>
      </c>
      <c r="T622" s="1712"/>
      <c r="U622" s="1713"/>
      <c r="V622" s="1712"/>
      <c r="W622" s="1713"/>
      <c r="X622" s="1711">
        <v>20</v>
      </c>
      <c r="Y622" s="1714" t="s">
        <v>1471</v>
      </c>
      <c r="Z622" s="1713"/>
      <c r="AA622" s="1715">
        <v>5.4000000000000003E-3</v>
      </c>
      <c r="AB622" s="1716" t="s">
        <v>1471</v>
      </c>
      <c r="AC622" s="1717"/>
    </row>
    <row r="623" spans="1:29" ht="15">
      <c r="A623" s="1704" t="s">
        <v>3041</v>
      </c>
      <c r="B623" s="1705" t="s">
        <v>3042</v>
      </c>
      <c r="C623" s="1736">
        <v>1.9400000000000001E-3</v>
      </c>
      <c r="D623" s="1708" t="s">
        <v>1073</v>
      </c>
      <c r="E623" s="1708"/>
      <c r="F623" s="1707"/>
      <c r="G623" s="1708"/>
      <c r="H623" s="1707"/>
      <c r="I623" s="1708"/>
      <c r="J623" s="1707"/>
      <c r="K623" s="1707"/>
      <c r="L623" s="1707"/>
      <c r="M623" s="1708">
        <v>1</v>
      </c>
      <c r="N623" s="1708">
        <v>0.1</v>
      </c>
      <c r="O623" s="1710"/>
      <c r="P623" s="1711">
        <v>280</v>
      </c>
      <c r="Q623" s="1712" t="s">
        <v>4126</v>
      </c>
      <c r="R623" s="1711">
        <v>1200</v>
      </c>
      <c r="S623" s="1712" t="s">
        <v>4126</v>
      </c>
      <c r="T623" s="1712"/>
      <c r="U623" s="1713"/>
      <c r="V623" s="1712"/>
      <c r="W623" s="1713"/>
      <c r="X623" s="1711">
        <v>30</v>
      </c>
      <c r="Y623" s="1714" t="s">
        <v>4126</v>
      </c>
      <c r="Z623" s="1713"/>
      <c r="AA623" s="1715">
        <v>0.41</v>
      </c>
      <c r="AB623" s="1716" t="s">
        <v>4126</v>
      </c>
      <c r="AC623" s="1717"/>
    </row>
    <row r="624" spans="1:29" ht="15">
      <c r="A624" s="1719" t="s">
        <v>3043</v>
      </c>
      <c r="B624" s="1720" t="s">
        <v>3044</v>
      </c>
      <c r="C624" s="1721"/>
      <c r="D624" s="1722"/>
      <c r="E624" s="1723"/>
      <c r="F624" s="1722"/>
      <c r="G624" s="1724">
        <v>2.0000000000000001E-4</v>
      </c>
      <c r="H624" s="1723" t="s">
        <v>1073</v>
      </c>
      <c r="I624" s="1723"/>
      <c r="J624" s="1722"/>
      <c r="K624" s="1722"/>
      <c r="L624" s="1722"/>
      <c r="M624" s="1723">
        <v>1</v>
      </c>
      <c r="N624" s="1723">
        <v>0.1</v>
      </c>
      <c r="O624" s="1725"/>
      <c r="P624" s="1726">
        <v>13</v>
      </c>
      <c r="Q624" s="1727" t="s">
        <v>1471</v>
      </c>
      <c r="R624" s="1726">
        <v>160</v>
      </c>
      <c r="S624" s="1727" t="s">
        <v>1471</v>
      </c>
      <c r="T624" s="1727"/>
      <c r="U624" s="1728"/>
      <c r="V624" s="1727"/>
      <c r="W624" s="1728"/>
      <c r="X624" s="1726">
        <v>3</v>
      </c>
      <c r="Y624" s="1729" t="s">
        <v>1471</v>
      </c>
      <c r="Z624" s="1728"/>
      <c r="AA624" s="1730">
        <v>3.3999999999999998E-3</v>
      </c>
      <c r="AB624" s="1731" t="s">
        <v>1471</v>
      </c>
      <c r="AC624" s="1732"/>
    </row>
    <row r="625" spans="1:29" ht="15">
      <c r="A625" s="1704" t="s">
        <v>3045</v>
      </c>
      <c r="B625" s="1705" t="s">
        <v>3046</v>
      </c>
      <c r="C625" s="1706"/>
      <c r="D625" s="1707"/>
      <c r="E625" s="1708"/>
      <c r="F625" s="1707"/>
      <c r="G625" s="1708"/>
      <c r="H625" s="1707"/>
      <c r="I625" s="1709">
        <v>2.9999999999999997E-4</v>
      </c>
      <c r="J625" s="1708" t="s">
        <v>1119</v>
      </c>
      <c r="K625" s="1708" t="s">
        <v>1127</v>
      </c>
      <c r="L625" s="1707"/>
      <c r="M625" s="1708">
        <v>1</v>
      </c>
      <c r="N625" s="1708"/>
      <c r="O625" s="1718">
        <v>1610</v>
      </c>
      <c r="P625" s="1711">
        <v>0.31</v>
      </c>
      <c r="Q625" s="1712" t="s">
        <v>1471</v>
      </c>
      <c r="R625" s="1711">
        <v>1.3</v>
      </c>
      <c r="S625" s="1712" t="s">
        <v>1471</v>
      </c>
      <c r="T625" s="1711">
        <v>0.31</v>
      </c>
      <c r="U625" s="1712" t="s">
        <v>1471</v>
      </c>
      <c r="V625" s="1711">
        <v>1.3</v>
      </c>
      <c r="W625" s="1712" t="s">
        <v>1471</v>
      </c>
      <c r="X625" s="1711">
        <v>0.63</v>
      </c>
      <c r="Y625" s="1714" t="s">
        <v>1471</v>
      </c>
      <c r="Z625" s="1713"/>
      <c r="AA625" s="1715">
        <v>1.6000000000000001E-4</v>
      </c>
      <c r="AB625" s="1716" t="s">
        <v>1471</v>
      </c>
      <c r="AC625" s="1717"/>
    </row>
    <row r="626" spans="1:29" ht="15">
      <c r="A626" s="1704" t="s">
        <v>3047</v>
      </c>
      <c r="B626" s="1705" t="s">
        <v>3048</v>
      </c>
      <c r="C626" s="1706"/>
      <c r="D626" s="1707"/>
      <c r="E626" s="1708"/>
      <c r="F626" s="1707"/>
      <c r="G626" s="1709">
        <v>0.02</v>
      </c>
      <c r="H626" s="1708" t="s">
        <v>1119</v>
      </c>
      <c r="I626" s="1708"/>
      <c r="J626" s="1707"/>
      <c r="K626" s="1707"/>
      <c r="L626" s="1707"/>
      <c r="M626" s="1708">
        <v>1</v>
      </c>
      <c r="N626" s="1708">
        <v>0.1</v>
      </c>
      <c r="O626" s="1710"/>
      <c r="P626" s="1711">
        <v>1300</v>
      </c>
      <c r="Q626" s="1712" t="s">
        <v>1471</v>
      </c>
      <c r="R626" s="1711">
        <v>16000</v>
      </c>
      <c r="S626" s="1712" t="s">
        <v>1471</v>
      </c>
      <c r="T626" s="1712"/>
      <c r="U626" s="1713"/>
      <c r="V626" s="1712"/>
      <c r="W626" s="1713"/>
      <c r="X626" s="1711">
        <v>370</v>
      </c>
      <c r="Y626" s="1714" t="s">
        <v>1471</v>
      </c>
      <c r="Z626" s="1713"/>
      <c r="AA626" s="1715">
        <v>8.2000000000000003E-2</v>
      </c>
      <c r="AB626" s="1716" t="s">
        <v>1471</v>
      </c>
      <c r="AC626" s="1717"/>
    </row>
    <row r="627" spans="1:29" ht="30">
      <c r="A627" s="1719"/>
      <c r="B627" s="1720" t="s">
        <v>3049</v>
      </c>
      <c r="C627" s="1721"/>
      <c r="D627" s="1722"/>
      <c r="E627" s="1723"/>
      <c r="F627" s="1722"/>
      <c r="G627" s="1723"/>
      <c r="H627" s="1722"/>
      <c r="I627" s="1723"/>
      <c r="J627" s="1722"/>
      <c r="K627" s="1722"/>
      <c r="L627" s="1722"/>
      <c r="M627" s="1723"/>
      <c r="N627" s="1723"/>
      <c r="O627" s="1725"/>
      <c r="P627" s="1727"/>
      <c r="Q627" s="1728"/>
      <c r="R627" s="1727"/>
      <c r="S627" s="1728"/>
      <c r="T627" s="1727"/>
      <c r="U627" s="1728"/>
      <c r="V627" s="1727"/>
      <c r="W627" s="1728"/>
      <c r="X627" s="1727"/>
      <c r="Y627" s="1743"/>
      <c r="Z627" s="1728"/>
      <c r="AA627" s="1731"/>
      <c r="AB627" s="1740"/>
      <c r="AC627" s="1732"/>
    </row>
    <row r="628" spans="1:29" ht="30">
      <c r="A628" s="1704" t="s">
        <v>3050</v>
      </c>
      <c r="B628" s="1705" t="s">
        <v>3051</v>
      </c>
      <c r="C628" s="1706"/>
      <c r="D628" s="1707"/>
      <c r="E628" s="1708"/>
      <c r="F628" s="1707"/>
      <c r="G628" s="1709">
        <v>2.93</v>
      </c>
      <c r="H628" s="1708" t="s">
        <v>1893</v>
      </c>
      <c r="I628" s="1708"/>
      <c r="J628" s="1707"/>
      <c r="K628" s="1707"/>
      <c r="L628" s="1707"/>
      <c r="M628" s="1708">
        <v>1</v>
      </c>
      <c r="N628" s="1708"/>
      <c r="O628" s="1710"/>
      <c r="P628" s="1711">
        <v>230000</v>
      </c>
      <c r="Q628" s="1712" t="s">
        <v>4124</v>
      </c>
      <c r="R628" s="1711">
        <v>3400000</v>
      </c>
      <c r="S628" s="1712" t="s">
        <v>4124</v>
      </c>
      <c r="T628" s="1712"/>
      <c r="U628" s="1713"/>
      <c r="V628" s="1712"/>
      <c r="W628" s="1713"/>
      <c r="X628" s="1711">
        <v>59000</v>
      </c>
      <c r="Y628" s="1714" t="s">
        <v>1471</v>
      </c>
      <c r="Z628" s="1713"/>
      <c r="AA628" s="1716"/>
      <c r="AB628" s="1734"/>
      <c r="AC628" s="1717"/>
    </row>
    <row r="629" spans="1:29" ht="45">
      <c r="A629" s="1704" t="s">
        <v>3052</v>
      </c>
      <c r="B629" s="1705" t="s">
        <v>3053</v>
      </c>
      <c r="C629" s="1706"/>
      <c r="D629" s="1707"/>
      <c r="E629" s="1708"/>
      <c r="F629" s="1707"/>
      <c r="G629" s="1709">
        <v>0.3</v>
      </c>
      <c r="H629" s="1708" t="s">
        <v>1893</v>
      </c>
      <c r="I629" s="1708"/>
      <c r="J629" s="1707"/>
      <c r="K629" s="1707"/>
      <c r="L629" s="1707"/>
      <c r="M629" s="1708">
        <v>1</v>
      </c>
      <c r="N629" s="1708"/>
      <c r="O629" s="1710"/>
      <c r="P629" s="1711">
        <v>23000</v>
      </c>
      <c r="Q629" s="1712" t="s">
        <v>1471</v>
      </c>
      <c r="R629" s="1711">
        <v>350000</v>
      </c>
      <c r="S629" s="1712" t="s">
        <v>4124</v>
      </c>
      <c r="T629" s="1712"/>
      <c r="U629" s="1713"/>
      <c r="V629" s="1712"/>
      <c r="W629" s="1713"/>
      <c r="X629" s="1711">
        <v>6000</v>
      </c>
      <c r="Y629" s="1714" t="s">
        <v>1471</v>
      </c>
      <c r="Z629" s="1713"/>
      <c r="AA629" s="1716"/>
      <c r="AB629" s="1734"/>
      <c r="AC629" s="1717"/>
    </row>
    <row r="630" spans="1:29" ht="30">
      <c r="A630" s="1741">
        <v>2139900</v>
      </c>
      <c r="B630" s="1720" t="s">
        <v>3055</v>
      </c>
      <c r="C630" s="1721"/>
      <c r="D630" s="1722"/>
      <c r="E630" s="1723"/>
      <c r="F630" s="1722"/>
      <c r="G630" s="1724">
        <v>1</v>
      </c>
      <c r="H630" s="1723" t="s">
        <v>1909</v>
      </c>
      <c r="I630" s="1723"/>
      <c r="J630" s="1722"/>
      <c r="K630" s="1722"/>
      <c r="L630" s="1722"/>
      <c r="M630" s="1723">
        <v>1</v>
      </c>
      <c r="N630" s="1723"/>
      <c r="O630" s="1725"/>
      <c r="P630" s="1726">
        <v>78000</v>
      </c>
      <c r="Q630" s="1727" t="s">
        <v>1471</v>
      </c>
      <c r="R630" s="1726">
        <v>1200000</v>
      </c>
      <c r="S630" s="1727" t="s">
        <v>4124</v>
      </c>
      <c r="T630" s="1727"/>
      <c r="U630" s="1728"/>
      <c r="V630" s="1727"/>
      <c r="W630" s="1728"/>
      <c r="X630" s="1726">
        <v>20000</v>
      </c>
      <c r="Y630" s="1729" t="s">
        <v>1471</v>
      </c>
      <c r="Z630" s="1728"/>
      <c r="AA630" s="1731"/>
      <c r="AB630" s="1740"/>
      <c r="AC630" s="1732"/>
    </row>
    <row r="631" spans="1:29" ht="30">
      <c r="A631" s="1704" t="s">
        <v>3056</v>
      </c>
      <c r="B631" s="1705" t="s">
        <v>3057</v>
      </c>
      <c r="C631" s="1706"/>
      <c r="D631" s="1707"/>
      <c r="E631" s="1708"/>
      <c r="F631" s="1707"/>
      <c r="G631" s="1709">
        <v>1</v>
      </c>
      <c r="H631" s="1708" t="s">
        <v>1909</v>
      </c>
      <c r="I631" s="1708"/>
      <c r="J631" s="1707"/>
      <c r="K631" s="1707"/>
      <c r="L631" s="1707"/>
      <c r="M631" s="1708">
        <v>1</v>
      </c>
      <c r="N631" s="1708"/>
      <c r="O631" s="1710"/>
      <c r="P631" s="1711">
        <v>78000</v>
      </c>
      <c r="Q631" s="1712" t="s">
        <v>1471</v>
      </c>
      <c r="R631" s="1711">
        <v>1200000</v>
      </c>
      <c r="S631" s="1712" t="s">
        <v>4124</v>
      </c>
      <c r="T631" s="1712"/>
      <c r="U631" s="1713"/>
      <c r="V631" s="1712"/>
      <c r="W631" s="1713"/>
      <c r="X631" s="1711">
        <v>20000</v>
      </c>
      <c r="Y631" s="1714" t="s">
        <v>1471</v>
      </c>
      <c r="Z631" s="1713"/>
      <c r="AA631" s="1716"/>
      <c r="AB631" s="1734"/>
      <c r="AC631" s="1717"/>
    </row>
    <row r="632" spans="1:29" ht="30">
      <c r="A632" s="1704" t="s">
        <v>3058</v>
      </c>
      <c r="B632" s="1705" t="s">
        <v>3059</v>
      </c>
      <c r="C632" s="1706"/>
      <c r="D632" s="1707"/>
      <c r="E632" s="1708"/>
      <c r="F632" s="1707"/>
      <c r="G632" s="1709">
        <v>3.54</v>
      </c>
      <c r="H632" s="1708" t="s">
        <v>1893</v>
      </c>
      <c r="I632" s="1708"/>
      <c r="J632" s="1707"/>
      <c r="K632" s="1707"/>
      <c r="L632" s="1707"/>
      <c r="M632" s="1708">
        <v>1</v>
      </c>
      <c r="N632" s="1708"/>
      <c r="O632" s="1710"/>
      <c r="P632" s="1711">
        <v>280000</v>
      </c>
      <c r="Q632" s="1712" t="s">
        <v>4124</v>
      </c>
      <c r="R632" s="1711">
        <v>4100000</v>
      </c>
      <c r="S632" s="1712" t="s">
        <v>4124</v>
      </c>
      <c r="T632" s="1712"/>
      <c r="U632" s="1713"/>
      <c r="V632" s="1712"/>
      <c r="W632" s="1713"/>
      <c r="X632" s="1711">
        <v>71000</v>
      </c>
      <c r="Y632" s="1714" t="s">
        <v>1471</v>
      </c>
      <c r="Z632" s="1713"/>
      <c r="AA632" s="1716"/>
      <c r="AB632" s="1734"/>
      <c r="AC632" s="1717"/>
    </row>
    <row r="633" spans="1:29" ht="30">
      <c r="A633" s="1719" t="s">
        <v>3060</v>
      </c>
      <c r="B633" s="1720" t="s">
        <v>3061</v>
      </c>
      <c r="C633" s="1721"/>
      <c r="D633" s="1722"/>
      <c r="E633" s="1723"/>
      <c r="F633" s="1722"/>
      <c r="G633" s="1724">
        <v>1</v>
      </c>
      <c r="H633" s="1723" t="s">
        <v>1909</v>
      </c>
      <c r="I633" s="1723"/>
      <c r="J633" s="1722"/>
      <c r="K633" s="1722"/>
      <c r="L633" s="1722"/>
      <c r="M633" s="1723">
        <v>1</v>
      </c>
      <c r="N633" s="1723"/>
      <c r="O633" s="1725"/>
      <c r="P633" s="1726">
        <v>78000</v>
      </c>
      <c r="Q633" s="1727" t="s">
        <v>1471</v>
      </c>
      <c r="R633" s="1726">
        <v>1200000</v>
      </c>
      <c r="S633" s="1727" t="s">
        <v>4124</v>
      </c>
      <c r="T633" s="1727"/>
      <c r="U633" s="1728"/>
      <c r="V633" s="1727"/>
      <c r="W633" s="1728"/>
      <c r="X633" s="1726">
        <v>20000</v>
      </c>
      <c r="Y633" s="1729" t="s">
        <v>1471</v>
      </c>
      <c r="Z633" s="1728"/>
      <c r="AA633" s="1731"/>
      <c r="AB633" s="1740"/>
      <c r="AC633" s="1732"/>
    </row>
    <row r="634" spans="1:29" ht="30">
      <c r="A634" s="1704" t="s">
        <v>3062</v>
      </c>
      <c r="B634" s="1705" t="s">
        <v>3063</v>
      </c>
      <c r="C634" s="1706"/>
      <c r="D634" s="1707"/>
      <c r="E634" s="1708"/>
      <c r="F634" s="1707"/>
      <c r="G634" s="1709">
        <v>1</v>
      </c>
      <c r="H634" s="1708" t="s">
        <v>1909</v>
      </c>
      <c r="I634" s="1708"/>
      <c r="J634" s="1707"/>
      <c r="K634" s="1707"/>
      <c r="L634" s="1707"/>
      <c r="M634" s="1708">
        <v>1</v>
      </c>
      <c r="N634" s="1708"/>
      <c r="O634" s="1710"/>
      <c r="P634" s="1711">
        <v>78000</v>
      </c>
      <c r="Q634" s="1712" t="s">
        <v>1471</v>
      </c>
      <c r="R634" s="1711">
        <v>1200000</v>
      </c>
      <c r="S634" s="1712" t="s">
        <v>4124</v>
      </c>
      <c r="T634" s="1712"/>
      <c r="U634" s="1713"/>
      <c r="V634" s="1712"/>
      <c r="W634" s="1713"/>
      <c r="X634" s="1711">
        <v>20000</v>
      </c>
      <c r="Y634" s="1714" t="s">
        <v>1471</v>
      </c>
      <c r="Z634" s="1713"/>
      <c r="AA634" s="1716"/>
      <c r="AB634" s="1734"/>
      <c r="AC634" s="1717"/>
    </row>
    <row r="635" spans="1:29" ht="30">
      <c r="A635" s="1704" t="s">
        <v>3064</v>
      </c>
      <c r="B635" s="1705" t="s">
        <v>3065</v>
      </c>
      <c r="C635" s="1706"/>
      <c r="D635" s="1707"/>
      <c r="E635" s="1708"/>
      <c r="F635" s="1707"/>
      <c r="G635" s="1709">
        <v>1</v>
      </c>
      <c r="H635" s="1708" t="s">
        <v>1909</v>
      </c>
      <c r="I635" s="1709">
        <v>0.01</v>
      </c>
      <c r="J635" s="1708" t="s">
        <v>1119</v>
      </c>
      <c r="K635" s="1707"/>
      <c r="L635" s="1707"/>
      <c r="M635" s="1708">
        <v>1</v>
      </c>
      <c r="N635" s="1708"/>
      <c r="O635" s="1710"/>
      <c r="P635" s="1711">
        <v>78000</v>
      </c>
      <c r="Q635" s="1712" t="s">
        <v>1471</v>
      </c>
      <c r="R635" s="1711">
        <v>1100000</v>
      </c>
      <c r="S635" s="1712" t="s">
        <v>4124</v>
      </c>
      <c r="T635" s="1711">
        <v>10</v>
      </c>
      <c r="U635" s="1712" t="s">
        <v>1471</v>
      </c>
      <c r="V635" s="1711">
        <v>44</v>
      </c>
      <c r="W635" s="1712" t="s">
        <v>1471</v>
      </c>
      <c r="X635" s="1711">
        <v>20000</v>
      </c>
      <c r="Y635" s="1714" t="s">
        <v>1471</v>
      </c>
      <c r="Z635" s="1713"/>
      <c r="AA635" s="1716"/>
      <c r="AB635" s="1734"/>
      <c r="AC635" s="1717"/>
    </row>
    <row r="636" spans="1:29" ht="75">
      <c r="A636" s="1719" t="s">
        <v>3066</v>
      </c>
      <c r="B636" s="1720" t="s">
        <v>3067</v>
      </c>
      <c r="C636" s="1721"/>
      <c r="D636" s="1722"/>
      <c r="E636" s="1723"/>
      <c r="F636" s="1722"/>
      <c r="G636" s="1724">
        <v>1.36</v>
      </c>
      <c r="H636" s="1723" t="s">
        <v>1893</v>
      </c>
      <c r="I636" s="1723"/>
      <c r="J636" s="1722"/>
      <c r="K636" s="1722"/>
      <c r="L636" s="1722"/>
      <c r="M636" s="1723">
        <v>1</v>
      </c>
      <c r="N636" s="1723">
        <v>0.1</v>
      </c>
      <c r="O636" s="1725"/>
      <c r="P636" s="1726">
        <v>86000</v>
      </c>
      <c r="Q636" s="1727" t="s">
        <v>1471</v>
      </c>
      <c r="R636" s="1726">
        <v>1100000</v>
      </c>
      <c r="S636" s="1727" t="s">
        <v>4124</v>
      </c>
      <c r="T636" s="1727"/>
      <c r="U636" s="1728"/>
      <c r="V636" s="1727"/>
      <c r="W636" s="1728"/>
      <c r="X636" s="1726">
        <v>27000</v>
      </c>
      <c r="Y636" s="1729" t="s">
        <v>1471</v>
      </c>
      <c r="Z636" s="1728"/>
      <c r="AA636" s="1731"/>
      <c r="AB636" s="1740"/>
      <c r="AC636" s="1732"/>
    </row>
    <row r="637" spans="1:29" ht="105">
      <c r="A637" s="1704" t="s">
        <v>3068</v>
      </c>
      <c r="B637" s="1705" t="s">
        <v>3069</v>
      </c>
      <c r="C637" s="1706"/>
      <c r="D637" s="1707"/>
      <c r="E637" s="1708"/>
      <c r="F637" s="1707"/>
      <c r="G637" s="1709">
        <v>4.26</v>
      </c>
      <c r="H637" s="1708" t="s">
        <v>1893</v>
      </c>
      <c r="I637" s="1708"/>
      <c r="J637" s="1707"/>
      <c r="K637" s="1707"/>
      <c r="L637" s="1707"/>
      <c r="M637" s="1708">
        <v>1</v>
      </c>
      <c r="N637" s="1708"/>
      <c r="O637" s="1710"/>
      <c r="P637" s="1711">
        <v>330000</v>
      </c>
      <c r="Q637" s="1712" t="s">
        <v>4124</v>
      </c>
      <c r="R637" s="1711">
        <v>5000000</v>
      </c>
      <c r="S637" s="1712" t="s">
        <v>4124</v>
      </c>
      <c r="T637" s="1712"/>
      <c r="U637" s="1713"/>
      <c r="V637" s="1712"/>
      <c r="W637" s="1713"/>
      <c r="X637" s="1711">
        <v>85000</v>
      </c>
      <c r="Y637" s="1714" t="s">
        <v>1471</v>
      </c>
      <c r="Z637" s="1713"/>
      <c r="AA637" s="1716"/>
      <c r="AB637" s="1734"/>
      <c r="AC637" s="1717"/>
    </row>
    <row r="638" spans="1:29" ht="30">
      <c r="A638" s="1704" t="s">
        <v>3070</v>
      </c>
      <c r="B638" s="1705" t="s">
        <v>3071</v>
      </c>
      <c r="C638" s="1706"/>
      <c r="D638" s="1707"/>
      <c r="E638" s="1708"/>
      <c r="F638" s="1707"/>
      <c r="G638" s="1709">
        <v>1</v>
      </c>
      <c r="H638" s="1708" t="s">
        <v>1909</v>
      </c>
      <c r="I638" s="1708"/>
      <c r="J638" s="1707"/>
      <c r="K638" s="1707"/>
      <c r="L638" s="1707"/>
      <c r="M638" s="1708">
        <v>1</v>
      </c>
      <c r="N638" s="1708"/>
      <c r="O638" s="1710"/>
      <c r="P638" s="1711">
        <v>78000</v>
      </c>
      <c r="Q638" s="1712" t="s">
        <v>1471</v>
      </c>
      <c r="R638" s="1711">
        <v>1200000</v>
      </c>
      <c r="S638" s="1712" t="s">
        <v>4124</v>
      </c>
      <c r="T638" s="1712"/>
      <c r="U638" s="1713"/>
      <c r="V638" s="1712"/>
      <c r="W638" s="1713"/>
      <c r="X638" s="1711">
        <v>20000</v>
      </c>
      <c r="Y638" s="1714" t="s">
        <v>1471</v>
      </c>
      <c r="Z638" s="1713"/>
      <c r="AA638" s="1716"/>
      <c r="AB638" s="1734"/>
      <c r="AC638" s="1717"/>
    </row>
    <row r="639" spans="1:29" ht="45">
      <c r="A639" s="1719" t="s">
        <v>3072</v>
      </c>
      <c r="B639" s="1720" t="s">
        <v>3073</v>
      </c>
      <c r="C639" s="1721"/>
      <c r="D639" s="1722"/>
      <c r="E639" s="1723"/>
      <c r="F639" s="1722"/>
      <c r="G639" s="1724">
        <v>1</v>
      </c>
      <c r="H639" s="1723" t="s">
        <v>1909</v>
      </c>
      <c r="I639" s="1723"/>
      <c r="J639" s="1722"/>
      <c r="K639" s="1722"/>
      <c r="L639" s="1722"/>
      <c r="M639" s="1723">
        <v>1</v>
      </c>
      <c r="N639" s="1723"/>
      <c r="O639" s="1725"/>
      <c r="P639" s="1726">
        <v>78000</v>
      </c>
      <c r="Q639" s="1727" t="s">
        <v>1471</v>
      </c>
      <c r="R639" s="1726">
        <v>1200000</v>
      </c>
      <c r="S639" s="1727" t="s">
        <v>4124</v>
      </c>
      <c r="T639" s="1727"/>
      <c r="U639" s="1728"/>
      <c r="V639" s="1727"/>
      <c r="W639" s="1728"/>
      <c r="X639" s="1726">
        <v>20000</v>
      </c>
      <c r="Y639" s="1729" t="s">
        <v>1471</v>
      </c>
      <c r="Z639" s="1728"/>
      <c r="AA639" s="1731"/>
      <c r="AB639" s="1740"/>
      <c r="AC639" s="1732"/>
    </row>
    <row r="640" spans="1:29" ht="30">
      <c r="A640" s="1704" t="s">
        <v>3074</v>
      </c>
      <c r="B640" s="1705" t="s">
        <v>3075</v>
      </c>
      <c r="C640" s="1706"/>
      <c r="D640" s="1707"/>
      <c r="E640" s="1708"/>
      <c r="F640" s="1707"/>
      <c r="G640" s="1709">
        <v>1</v>
      </c>
      <c r="H640" s="1708" t="s">
        <v>1909</v>
      </c>
      <c r="I640" s="1708"/>
      <c r="J640" s="1707"/>
      <c r="K640" s="1707"/>
      <c r="L640" s="1707"/>
      <c r="M640" s="1708">
        <v>1</v>
      </c>
      <c r="N640" s="1708"/>
      <c r="O640" s="1710"/>
      <c r="P640" s="1711">
        <v>78000</v>
      </c>
      <c r="Q640" s="1712" t="s">
        <v>1471</v>
      </c>
      <c r="R640" s="1711">
        <v>1200000</v>
      </c>
      <c r="S640" s="1712" t="s">
        <v>4124</v>
      </c>
      <c r="T640" s="1712"/>
      <c r="U640" s="1713"/>
      <c r="V640" s="1712"/>
      <c r="W640" s="1713"/>
      <c r="X640" s="1711">
        <v>20000</v>
      </c>
      <c r="Y640" s="1714" t="s">
        <v>1471</v>
      </c>
      <c r="Z640" s="1713"/>
      <c r="AA640" s="1716"/>
      <c r="AB640" s="1734"/>
      <c r="AC640" s="1717"/>
    </row>
    <row r="641" spans="1:29" ht="60">
      <c r="A641" s="1704" t="s">
        <v>3076</v>
      </c>
      <c r="B641" s="1705" t="s">
        <v>3077</v>
      </c>
      <c r="C641" s="1706"/>
      <c r="D641" s="1707"/>
      <c r="E641" s="1708"/>
      <c r="F641" s="1707"/>
      <c r="G641" s="1709">
        <v>4.99</v>
      </c>
      <c r="H641" s="1708" t="s">
        <v>1893</v>
      </c>
      <c r="I641" s="1708"/>
      <c r="J641" s="1707"/>
      <c r="K641" s="1707"/>
      <c r="L641" s="1707"/>
      <c r="M641" s="1708">
        <v>1</v>
      </c>
      <c r="N641" s="1708"/>
      <c r="O641" s="1710"/>
      <c r="P641" s="1711">
        <v>390000</v>
      </c>
      <c r="Q641" s="1712" t="s">
        <v>4124</v>
      </c>
      <c r="R641" s="1711">
        <v>5800000</v>
      </c>
      <c r="S641" s="1712" t="s">
        <v>4124</v>
      </c>
      <c r="T641" s="1712"/>
      <c r="U641" s="1713"/>
      <c r="V641" s="1712"/>
      <c r="W641" s="1713"/>
      <c r="X641" s="1711">
        <v>100000</v>
      </c>
      <c r="Y641" s="1714" t="s">
        <v>1471</v>
      </c>
      <c r="Z641" s="1713"/>
      <c r="AA641" s="1716"/>
      <c r="AB641" s="1734"/>
      <c r="AC641" s="1717"/>
    </row>
    <row r="642" spans="1:29" ht="60">
      <c r="A642" s="1719" t="s">
        <v>3078</v>
      </c>
      <c r="B642" s="1720" t="s">
        <v>3079</v>
      </c>
      <c r="C642" s="1721"/>
      <c r="D642" s="1722"/>
      <c r="E642" s="1723"/>
      <c r="F642" s="1722"/>
      <c r="G642" s="1724">
        <v>3.52</v>
      </c>
      <c r="H642" s="1723" t="s">
        <v>1893</v>
      </c>
      <c r="I642" s="1723"/>
      <c r="J642" s="1722"/>
      <c r="K642" s="1722"/>
      <c r="L642" s="1722"/>
      <c r="M642" s="1723">
        <v>1</v>
      </c>
      <c r="N642" s="1723"/>
      <c r="O642" s="1725"/>
      <c r="P642" s="1726">
        <v>280000</v>
      </c>
      <c r="Q642" s="1727" t="s">
        <v>4124</v>
      </c>
      <c r="R642" s="1726">
        <v>4100000</v>
      </c>
      <c r="S642" s="1727" t="s">
        <v>4124</v>
      </c>
      <c r="T642" s="1727"/>
      <c r="U642" s="1728"/>
      <c r="V642" s="1727"/>
      <c r="W642" s="1728"/>
      <c r="X642" s="1726">
        <v>70000</v>
      </c>
      <c r="Y642" s="1729" t="s">
        <v>1471</v>
      </c>
      <c r="Z642" s="1728"/>
      <c r="AA642" s="1731"/>
      <c r="AB642" s="1740"/>
      <c r="AC642" s="1732"/>
    </row>
    <row r="643" spans="1:29" ht="45">
      <c r="A643" s="1704" t="s">
        <v>3080</v>
      </c>
      <c r="B643" s="1705" t="s">
        <v>3081</v>
      </c>
      <c r="C643" s="1706"/>
      <c r="D643" s="1707"/>
      <c r="E643" s="1708"/>
      <c r="F643" s="1707"/>
      <c r="G643" s="1709">
        <v>1</v>
      </c>
      <c r="H643" s="1708" t="s">
        <v>1909</v>
      </c>
      <c r="I643" s="1708"/>
      <c r="J643" s="1707"/>
      <c r="K643" s="1707"/>
      <c r="L643" s="1707"/>
      <c r="M643" s="1708">
        <v>1</v>
      </c>
      <c r="N643" s="1708"/>
      <c r="O643" s="1710"/>
      <c r="P643" s="1711">
        <v>78000</v>
      </c>
      <c r="Q643" s="1712" t="s">
        <v>1471</v>
      </c>
      <c r="R643" s="1711">
        <v>1200000</v>
      </c>
      <c r="S643" s="1712" t="s">
        <v>4124</v>
      </c>
      <c r="T643" s="1712"/>
      <c r="U643" s="1713"/>
      <c r="V643" s="1712"/>
      <c r="W643" s="1713"/>
      <c r="X643" s="1711">
        <v>20000</v>
      </c>
      <c r="Y643" s="1714" t="s">
        <v>1471</v>
      </c>
      <c r="Z643" s="1713"/>
      <c r="AA643" s="1716"/>
      <c r="AB643" s="1734"/>
      <c r="AC643" s="1717"/>
    </row>
    <row r="644" spans="1:29" ht="30">
      <c r="A644" s="1704" t="s">
        <v>3082</v>
      </c>
      <c r="B644" s="1705" t="s">
        <v>3083</v>
      </c>
      <c r="C644" s="1706"/>
      <c r="D644" s="1707"/>
      <c r="E644" s="1708"/>
      <c r="F644" s="1707"/>
      <c r="G644" s="1709">
        <v>1</v>
      </c>
      <c r="H644" s="1708" t="s">
        <v>1909</v>
      </c>
      <c r="I644" s="1708"/>
      <c r="J644" s="1707"/>
      <c r="K644" s="1707"/>
      <c r="L644" s="1707"/>
      <c r="M644" s="1708">
        <v>1</v>
      </c>
      <c r="N644" s="1708"/>
      <c r="O644" s="1710"/>
      <c r="P644" s="1711">
        <v>78000</v>
      </c>
      <c r="Q644" s="1712" t="s">
        <v>1471</v>
      </c>
      <c r="R644" s="1711">
        <v>1200000</v>
      </c>
      <c r="S644" s="1712" t="s">
        <v>4124</v>
      </c>
      <c r="T644" s="1712"/>
      <c r="U644" s="1713"/>
      <c r="V644" s="1712"/>
      <c r="W644" s="1713"/>
      <c r="X644" s="1711">
        <v>20000</v>
      </c>
      <c r="Y644" s="1714" t="s">
        <v>1471</v>
      </c>
      <c r="Z644" s="1713"/>
      <c r="AA644" s="1716"/>
      <c r="AB644" s="1734"/>
      <c r="AC644" s="1717"/>
    </row>
    <row r="645" spans="1:29" ht="30">
      <c r="A645" s="1719" t="s">
        <v>3084</v>
      </c>
      <c r="B645" s="1720" t="s">
        <v>3085</v>
      </c>
      <c r="C645" s="1721"/>
      <c r="D645" s="1722"/>
      <c r="E645" s="1723"/>
      <c r="F645" s="1722"/>
      <c r="G645" s="1724">
        <v>1</v>
      </c>
      <c r="H645" s="1723" t="s">
        <v>1909</v>
      </c>
      <c r="I645" s="1723"/>
      <c r="J645" s="1722"/>
      <c r="K645" s="1722"/>
      <c r="L645" s="1722"/>
      <c r="M645" s="1723">
        <v>1</v>
      </c>
      <c r="N645" s="1723"/>
      <c r="O645" s="1725"/>
      <c r="P645" s="1726">
        <v>78000</v>
      </c>
      <c r="Q645" s="1727" t="s">
        <v>1471</v>
      </c>
      <c r="R645" s="1726">
        <v>1200000</v>
      </c>
      <c r="S645" s="1727" t="s">
        <v>4124</v>
      </c>
      <c r="T645" s="1727"/>
      <c r="U645" s="1728"/>
      <c r="V645" s="1727"/>
      <c r="W645" s="1728"/>
      <c r="X645" s="1726">
        <v>20000</v>
      </c>
      <c r="Y645" s="1729" t="s">
        <v>1471</v>
      </c>
      <c r="Z645" s="1728"/>
      <c r="AA645" s="1731"/>
      <c r="AB645" s="1740"/>
      <c r="AC645" s="1732"/>
    </row>
    <row r="646" spans="1:29" ht="45">
      <c r="A646" s="1704" t="s">
        <v>3086</v>
      </c>
      <c r="B646" s="1705" t="s">
        <v>3087</v>
      </c>
      <c r="C646" s="1706"/>
      <c r="D646" s="1707"/>
      <c r="E646" s="1708"/>
      <c r="F646" s="1707"/>
      <c r="G646" s="1709">
        <v>1</v>
      </c>
      <c r="H646" s="1708" t="s">
        <v>1909</v>
      </c>
      <c r="I646" s="1708"/>
      <c r="J646" s="1707"/>
      <c r="K646" s="1707"/>
      <c r="L646" s="1707"/>
      <c r="M646" s="1708">
        <v>1</v>
      </c>
      <c r="N646" s="1708"/>
      <c r="O646" s="1710"/>
      <c r="P646" s="1711">
        <v>78000</v>
      </c>
      <c r="Q646" s="1712" t="s">
        <v>1471</v>
      </c>
      <c r="R646" s="1711">
        <v>1200000</v>
      </c>
      <c r="S646" s="1712" t="s">
        <v>4124</v>
      </c>
      <c r="T646" s="1712"/>
      <c r="U646" s="1713"/>
      <c r="V646" s="1712"/>
      <c r="W646" s="1713"/>
      <c r="X646" s="1711">
        <v>20000</v>
      </c>
      <c r="Y646" s="1714" t="s">
        <v>1471</v>
      </c>
      <c r="Z646" s="1713"/>
      <c r="AA646" s="1716"/>
      <c r="AB646" s="1734"/>
      <c r="AC646" s="1717"/>
    </row>
    <row r="647" spans="1:29" ht="30">
      <c r="A647" s="1704" t="s">
        <v>3088</v>
      </c>
      <c r="B647" s="1705" t="s">
        <v>3089</v>
      </c>
      <c r="C647" s="1706"/>
      <c r="D647" s="1707"/>
      <c r="E647" s="1708"/>
      <c r="F647" s="1707"/>
      <c r="G647" s="1709">
        <v>1</v>
      </c>
      <c r="H647" s="1708" t="s">
        <v>1909</v>
      </c>
      <c r="I647" s="1708"/>
      <c r="J647" s="1707"/>
      <c r="K647" s="1707"/>
      <c r="L647" s="1707"/>
      <c r="M647" s="1708">
        <v>1</v>
      </c>
      <c r="N647" s="1708"/>
      <c r="O647" s="1710"/>
      <c r="P647" s="1711">
        <v>78000</v>
      </c>
      <c r="Q647" s="1712" t="s">
        <v>1471</v>
      </c>
      <c r="R647" s="1711">
        <v>1200000</v>
      </c>
      <c r="S647" s="1712" t="s">
        <v>4124</v>
      </c>
      <c r="T647" s="1712"/>
      <c r="U647" s="1713"/>
      <c r="V647" s="1712"/>
      <c r="W647" s="1713"/>
      <c r="X647" s="1711">
        <v>20000</v>
      </c>
      <c r="Y647" s="1714" t="s">
        <v>1471</v>
      </c>
      <c r="Z647" s="1713"/>
      <c r="AA647" s="1716"/>
      <c r="AB647" s="1734"/>
      <c r="AC647" s="1717"/>
    </row>
    <row r="648" spans="1:29" ht="30">
      <c r="A648" s="1719" t="s">
        <v>3090</v>
      </c>
      <c r="B648" s="1720" t="s">
        <v>3091</v>
      </c>
      <c r="C648" s="1721"/>
      <c r="D648" s="1722"/>
      <c r="E648" s="1723"/>
      <c r="F648" s="1722"/>
      <c r="G648" s="1724">
        <v>1</v>
      </c>
      <c r="H648" s="1723" t="s">
        <v>1909</v>
      </c>
      <c r="I648" s="1723"/>
      <c r="J648" s="1722"/>
      <c r="K648" s="1722"/>
      <c r="L648" s="1722"/>
      <c r="M648" s="1723">
        <v>1</v>
      </c>
      <c r="N648" s="1723"/>
      <c r="O648" s="1725"/>
      <c r="P648" s="1726">
        <v>78000</v>
      </c>
      <c r="Q648" s="1727" t="s">
        <v>1471</v>
      </c>
      <c r="R648" s="1726">
        <v>1200000</v>
      </c>
      <c r="S648" s="1727" t="s">
        <v>4124</v>
      </c>
      <c r="T648" s="1727"/>
      <c r="U648" s="1728"/>
      <c r="V648" s="1727"/>
      <c r="W648" s="1728"/>
      <c r="X648" s="1726">
        <v>20000</v>
      </c>
      <c r="Y648" s="1729" t="s">
        <v>1471</v>
      </c>
      <c r="Z648" s="1728"/>
      <c r="AA648" s="1731"/>
      <c r="AB648" s="1740"/>
      <c r="AC648" s="1732"/>
    </row>
    <row r="649" spans="1:29" ht="30">
      <c r="A649" s="1704" t="s">
        <v>3092</v>
      </c>
      <c r="B649" s="1705" t="s">
        <v>3093</v>
      </c>
      <c r="C649" s="1706"/>
      <c r="D649" s="1707"/>
      <c r="E649" s="1708"/>
      <c r="F649" s="1707"/>
      <c r="G649" s="1709">
        <v>1</v>
      </c>
      <c r="H649" s="1708" t="s">
        <v>1909</v>
      </c>
      <c r="I649" s="1708"/>
      <c r="J649" s="1707"/>
      <c r="K649" s="1707"/>
      <c r="L649" s="1707"/>
      <c r="M649" s="1708">
        <v>1</v>
      </c>
      <c r="N649" s="1708"/>
      <c r="O649" s="1710"/>
      <c r="P649" s="1711">
        <v>78000</v>
      </c>
      <c r="Q649" s="1712" t="s">
        <v>1471</v>
      </c>
      <c r="R649" s="1711">
        <v>1200000</v>
      </c>
      <c r="S649" s="1712" t="s">
        <v>4124</v>
      </c>
      <c r="T649" s="1712"/>
      <c r="U649" s="1713"/>
      <c r="V649" s="1712"/>
      <c r="W649" s="1713"/>
      <c r="X649" s="1711">
        <v>20000</v>
      </c>
      <c r="Y649" s="1714" t="s">
        <v>1471</v>
      </c>
      <c r="Z649" s="1713"/>
      <c r="AA649" s="1716"/>
      <c r="AB649" s="1734"/>
      <c r="AC649" s="1717"/>
    </row>
    <row r="650" spans="1:29" ht="30">
      <c r="A650" s="1704" t="s">
        <v>3094</v>
      </c>
      <c r="B650" s="1705" t="s">
        <v>3095</v>
      </c>
      <c r="C650" s="1706"/>
      <c r="D650" s="1707"/>
      <c r="E650" s="1708"/>
      <c r="F650" s="1707"/>
      <c r="G650" s="1709">
        <v>1</v>
      </c>
      <c r="H650" s="1708" t="s">
        <v>1909</v>
      </c>
      <c r="I650" s="1708"/>
      <c r="J650" s="1707"/>
      <c r="K650" s="1707"/>
      <c r="L650" s="1707"/>
      <c r="M650" s="1708">
        <v>1</v>
      </c>
      <c r="N650" s="1708"/>
      <c r="O650" s="1710"/>
      <c r="P650" s="1711">
        <v>78000</v>
      </c>
      <c r="Q650" s="1712" t="s">
        <v>1471</v>
      </c>
      <c r="R650" s="1711">
        <v>1200000</v>
      </c>
      <c r="S650" s="1712" t="s">
        <v>4124</v>
      </c>
      <c r="T650" s="1712"/>
      <c r="U650" s="1713"/>
      <c r="V650" s="1712"/>
      <c r="W650" s="1713"/>
      <c r="X650" s="1711">
        <v>20000</v>
      </c>
      <c r="Y650" s="1714" t="s">
        <v>1471</v>
      </c>
      <c r="Z650" s="1713"/>
      <c r="AA650" s="1716"/>
      <c r="AB650" s="1734"/>
      <c r="AC650" s="1717"/>
    </row>
    <row r="651" spans="1:29" ht="75">
      <c r="A651" s="1719" t="s">
        <v>3096</v>
      </c>
      <c r="B651" s="1720" t="s">
        <v>3097</v>
      </c>
      <c r="C651" s="1721"/>
      <c r="D651" s="1722"/>
      <c r="E651" s="1723"/>
      <c r="F651" s="1722"/>
      <c r="G651" s="1724">
        <v>3.25</v>
      </c>
      <c r="H651" s="1723" t="s">
        <v>1893</v>
      </c>
      <c r="I651" s="1723"/>
      <c r="J651" s="1722"/>
      <c r="K651" s="1722"/>
      <c r="L651" s="1722"/>
      <c r="M651" s="1723">
        <v>1</v>
      </c>
      <c r="N651" s="1723"/>
      <c r="O651" s="1725"/>
      <c r="P651" s="1726">
        <v>250000</v>
      </c>
      <c r="Q651" s="1727" t="s">
        <v>4124</v>
      </c>
      <c r="R651" s="1726">
        <v>3800000</v>
      </c>
      <c r="S651" s="1727" t="s">
        <v>4124</v>
      </c>
      <c r="T651" s="1727"/>
      <c r="U651" s="1728"/>
      <c r="V651" s="1727"/>
      <c r="W651" s="1728"/>
      <c r="X651" s="1726">
        <v>65000</v>
      </c>
      <c r="Y651" s="1729" t="s">
        <v>1471</v>
      </c>
      <c r="Z651" s="1728"/>
      <c r="AA651" s="1731"/>
      <c r="AB651" s="1740"/>
      <c r="AC651" s="1732"/>
    </row>
    <row r="652" spans="1:29" ht="75">
      <c r="A652" s="1704" t="s">
        <v>3098</v>
      </c>
      <c r="B652" s="1705" t="s">
        <v>3099</v>
      </c>
      <c r="C652" s="1706"/>
      <c r="D652" s="1707"/>
      <c r="E652" s="1708"/>
      <c r="F652" s="1707"/>
      <c r="G652" s="1709">
        <v>3.13</v>
      </c>
      <c r="H652" s="1708" t="s">
        <v>1893</v>
      </c>
      <c r="I652" s="1708"/>
      <c r="J652" s="1707"/>
      <c r="K652" s="1707"/>
      <c r="L652" s="1707"/>
      <c r="M652" s="1708">
        <v>1</v>
      </c>
      <c r="N652" s="1708">
        <v>0.1</v>
      </c>
      <c r="O652" s="1710"/>
      <c r="P652" s="1711">
        <v>200000</v>
      </c>
      <c r="Q652" s="1712" t="s">
        <v>4124</v>
      </c>
      <c r="R652" s="1711">
        <v>2600000</v>
      </c>
      <c r="S652" s="1712" t="s">
        <v>4124</v>
      </c>
      <c r="T652" s="1712"/>
      <c r="U652" s="1713"/>
      <c r="V652" s="1712"/>
      <c r="W652" s="1713"/>
      <c r="X652" s="1711">
        <v>62000</v>
      </c>
      <c r="Y652" s="1714" t="s">
        <v>1471</v>
      </c>
      <c r="Z652" s="1713"/>
      <c r="AA652" s="1716"/>
      <c r="AB652" s="1734"/>
      <c r="AC652" s="1717"/>
    </row>
    <row r="653" spans="1:29" ht="30">
      <c r="A653" s="1704" t="s">
        <v>3100</v>
      </c>
      <c r="B653" s="1705" t="s">
        <v>3101</v>
      </c>
      <c r="C653" s="1706"/>
      <c r="D653" s="1707"/>
      <c r="E653" s="1708"/>
      <c r="F653" s="1707"/>
      <c r="G653" s="1709">
        <v>1</v>
      </c>
      <c r="H653" s="1708" t="s">
        <v>1909</v>
      </c>
      <c r="I653" s="1708"/>
      <c r="J653" s="1707"/>
      <c r="K653" s="1707"/>
      <c r="L653" s="1707"/>
      <c r="M653" s="1708">
        <v>1</v>
      </c>
      <c r="N653" s="1708"/>
      <c r="O653" s="1710"/>
      <c r="P653" s="1711">
        <v>78000</v>
      </c>
      <c r="Q653" s="1712" t="s">
        <v>1471</v>
      </c>
      <c r="R653" s="1711">
        <v>1200000</v>
      </c>
      <c r="S653" s="1712" t="s">
        <v>4124</v>
      </c>
      <c r="T653" s="1712"/>
      <c r="U653" s="1713"/>
      <c r="V653" s="1712"/>
      <c r="W653" s="1713"/>
      <c r="X653" s="1711">
        <v>20000</v>
      </c>
      <c r="Y653" s="1714" t="s">
        <v>1471</v>
      </c>
      <c r="Z653" s="1713"/>
      <c r="AA653" s="1716"/>
      <c r="AB653" s="1734"/>
      <c r="AC653" s="1717"/>
    </row>
    <row r="654" spans="1:29" ht="30">
      <c r="A654" s="1719" t="s">
        <v>3102</v>
      </c>
      <c r="B654" s="1720" t="s">
        <v>3103</v>
      </c>
      <c r="C654" s="1721"/>
      <c r="D654" s="1722"/>
      <c r="E654" s="1723"/>
      <c r="F654" s="1722"/>
      <c r="G654" s="1724">
        <v>1</v>
      </c>
      <c r="H654" s="1723" t="s">
        <v>1909</v>
      </c>
      <c r="I654" s="1723"/>
      <c r="J654" s="1722"/>
      <c r="K654" s="1722"/>
      <c r="L654" s="1722"/>
      <c r="M654" s="1723">
        <v>1</v>
      </c>
      <c r="N654" s="1723"/>
      <c r="O654" s="1725"/>
      <c r="P654" s="1726">
        <v>78000</v>
      </c>
      <c r="Q654" s="1727" t="s">
        <v>1471</v>
      </c>
      <c r="R654" s="1726">
        <v>1200000</v>
      </c>
      <c r="S654" s="1727" t="s">
        <v>4124</v>
      </c>
      <c r="T654" s="1727"/>
      <c r="U654" s="1728"/>
      <c r="V654" s="1727"/>
      <c r="W654" s="1728"/>
      <c r="X654" s="1726">
        <v>20000</v>
      </c>
      <c r="Y654" s="1729" t="s">
        <v>1471</v>
      </c>
      <c r="Z654" s="1728"/>
      <c r="AA654" s="1731"/>
      <c r="AB654" s="1740"/>
      <c r="AC654" s="1732"/>
    </row>
    <row r="655" spans="1:29" ht="15">
      <c r="A655" s="1704" t="s">
        <v>3104</v>
      </c>
      <c r="B655" s="1705" t="s">
        <v>3105</v>
      </c>
      <c r="C655" s="1706"/>
      <c r="D655" s="1707"/>
      <c r="E655" s="1708"/>
      <c r="F655" s="1707"/>
      <c r="G655" s="1709">
        <v>2.9999999999999997E-4</v>
      </c>
      <c r="H655" s="1708" t="s">
        <v>1119</v>
      </c>
      <c r="I655" s="1709">
        <v>2.9999999999999997E-4</v>
      </c>
      <c r="J655" s="1708" t="s">
        <v>1119</v>
      </c>
      <c r="K655" s="1708" t="s">
        <v>1127</v>
      </c>
      <c r="L655" s="1707"/>
      <c r="M655" s="1708">
        <v>1</v>
      </c>
      <c r="N655" s="1708"/>
      <c r="O655" s="1710"/>
      <c r="P655" s="1711">
        <v>23</v>
      </c>
      <c r="Q655" s="1712" t="s">
        <v>1471</v>
      </c>
      <c r="R655" s="1711">
        <v>350</v>
      </c>
      <c r="S655" s="1712" t="s">
        <v>1471</v>
      </c>
      <c r="T655" s="1711">
        <v>0.31</v>
      </c>
      <c r="U655" s="1712" t="s">
        <v>1471</v>
      </c>
      <c r="V655" s="1711">
        <v>1.3</v>
      </c>
      <c r="W655" s="1712" t="s">
        <v>1471</v>
      </c>
      <c r="X655" s="1711">
        <v>0.56999999999999995</v>
      </c>
      <c r="Y655" s="1714" t="s">
        <v>1471</v>
      </c>
      <c r="Z655" s="1713"/>
      <c r="AA655" s="1716"/>
      <c r="AB655" s="1734"/>
      <c r="AC655" s="1717"/>
    </row>
    <row r="656" spans="1:29" ht="15">
      <c r="A656" s="1704" t="s">
        <v>3106</v>
      </c>
      <c r="B656" s="1705" t="s">
        <v>3107</v>
      </c>
      <c r="C656" s="1706"/>
      <c r="D656" s="1707"/>
      <c r="E656" s="1708"/>
      <c r="F656" s="1707"/>
      <c r="G656" s="1709">
        <v>2.0000000000000002E-5</v>
      </c>
      <c r="H656" s="1708" t="s">
        <v>1119</v>
      </c>
      <c r="I656" s="1708"/>
      <c r="J656" s="1707"/>
      <c r="K656" s="1708" t="s">
        <v>1127</v>
      </c>
      <c r="L656" s="1707"/>
      <c r="M656" s="1708">
        <v>1</v>
      </c>
      <c r="N656" s="1708"/>
      <c r="O656" s="1710"/>
      <c r="P656" s="1711">
        <v>1.6</v>
      </c>
      <c r="Q656" s="1712" t="s">
        <v>1471</v>
      </c>
      <c r="R656" s="1711">
        <v>23</v>
      </c>
      <c r="S656" s="1712" t="s">
        <v>1471</v>
      </c>
      <c r="T656" s="1712"/>
      <c r="U656" s="1713"/>
      <c r="V656" s="1712"/>
      <c r="W656" s="1713"/>
      <c r="X656" s="1711">
        <v>0.4</v>
      </c>
      <c r="Y656" s="1714" t="s">
        <v>1471</v>
      </c>
      <c r="Z656" s="1713"/>
      <c r="AA656" s="1715">
        <v>1.5E-3</v>
      </c>
      <c r="AB656" s="1716" t="s">
        <v>1471</v>
      </c>
      <c r="AC656" s="1717"/>
    </row>
    <row r="657" spans="1:29" ht="30">
      <c r="A657" s="1719" t="s">
        <v>3109</v>
      </c>
      <c r="B657" s="1720" t="s">
        <v>3110</v>
      </c>
      <c r="C657" s="1721"/>
      <c r="D657" s="1722"/>
      <c r="E657" s="1723"/>
      <c r="F657" s="1722"/>
      <c r="G657" s="1724">
        <v>2.0000000000000002E-5</v>
      </c>
      <c r="H657" s="1723" t="s">
        <v>2111</v>
      </c>
      <c r="I657" s="1723"/>
      <c r="J657" s="1722"/>
      <c r="K657" s="1723" t="s">
        <v>1127</v>
      </c>
      <c r="L657" s="1722"/>
      <c r="M657" s="1723">
        <v>1</v>
      </c>
      <c r="N657" s="1723"/>
      <c r="O657" s="1725"/>
      <c r="P657" s="1726">
        <v>1.6</v>
      </c>
      <c r="Q657" s="1727" t="s">
        <v>1471</v>
      </c>
      <c r="R657" s="1726">
        <v>23</v>
      </c>
      <c r="S657" s="1727" t="s">
        <v>1471</v>
      </c>
      <c r="T657" s="1727"/>
      <c r="U657" s="1728"/>
      <c r="V657" s="1727"/>
      <c r="W657" s="1728"/>
      <c r="X657" s="1726">
        <v>0.4</v>
      </c>
      <c r="Y657" s="1729" t="s">
        <v>1471</v>
      </c>
      <c r="Z657" s="1728"/>
      <c r="AA657" s="1730">
        <v>1.5E-3</v>
      </c>
      <c r="AB657" s="1731" t="s">
        <v>1471</v>
      </c>
      <c r="AC657" s="1732"/>
    </row>
    <row r="658" spans="1:29" ht="15">
      <c r="A658" s="1704"/>
      <c r="B658" s="1705" t="s">
        <v>3112</v>
      </c>
      <c r="C658" s="1706"/>
      <c r="D658" s="1707"/>
      <c r="E658" s="1708"/>
      <c r="F658" s="1707"/>
      <c r="G658" s="1708"/>
      <c r="H658" s="1707"/>
      <c r="I658" s="1708"/>
      <c r="J658" s="1707"/>
      <c r="K658" s="1707"/>
      <c r="L658" s="1707"/>
      <c r="M658" s="1708"/>
      <c r="N658" s="1708"/>
      <c r="O658" s="1710"/>
      <c r="P658" s="1712"/>
      <c r="Q658" s="1713"/>
      <c r="R658" s="1712"/>
      <c r="S658" s="1713"/>
      <c r="T658" s="1712"/>
      <c r="U658" s="1713"/>
      <c r="V658" s="1712"/>
      <c r="W658" s="1713"/>
      <c r="X658" s="1712"/>
      <c r="Y658" s="1733"/>
      <c r="Z658" s="1713"/>
      <c r="AA658" s="1716"/>
      <c r="AB658" s="1734"/>
      <c r="AC658" s="1717"/>
    </row>
    <row r="659" spans="1:29" ht="45">
      <c r="A659" s="1704" t="s">
        <v>104</v>
      </c>
      <c r="B659" s="1705" t="s">
        <v>3113</v>
      </c>
      <c r="C659" s="1736">
        <v>1.4E-2</v>
      </c>
      <c r="D659" s="1708" t="s">
        <v>1119</v>
      </c>
      <c r="E659" s="1709">
        <v>2.3999999999999999E-6</v>
      </c>
      <c r="F659" s="1708" t="s">
        <v>1900</v>
      </c>
      <c r="G659" s="1709">
        <v>0.02</v>
      </c>
      <c r="H659" s="1708" t="s">
        <v>1119</v>
      </c>
      <c r="I659" s="1708"/>
      <c r="J659" s="1707"/>
      <c r="K659" s="1707"/>
      <c r="L659" s="1707"/>
      <c r="M659" s="1708">
        <v>1</v>
      </c>
      <c r="N659" s="1708">
        <v>0.1</v>
      </c>
      <c r="O659" s="1710"/>
      <c r="P659" s="1711">
        <v>39</v>
      </c>
      <c r="Q659" s="1712" t="s">
        <v>4127</v>
      </c>
      <c r="R659" s="1711">
        <v>160</v>
      </c>
      <c r="S659" s="1712" t="s">
        <v>4126</v>
      </c>
      <c r="T659" s="1711">
        <v>1.2</v>
      </c>
      <c r="U659" s="1712" t="s">
        <v>4126</v>
      </c>
      <c r="V659" s="1711">
        <v>5.0999999999999996</v>
      </c>
      <c r="W659" s="1712" t="s">
        <v>4126</v>
      </c>
      <c r="X659" s="1711">
        <v>5.6</v>
      </c>
      <c r="Y659" s="1714" t="s">
        <v>4127</v>
      </c>
      <c r="Z659" s="1711">
        <v>6</v>
      </c>
      <c r="AA659" s="1715">
        <v>1.3</v>
      </c>
      <c r="AB659" s="1716" t="s">
        <v>4127</v>
      </c>
      <c r="AC659" s="1738">
        <v>1.4</v>
      </c>
    </row>
    <row r="660" spans="1:29" ht="30">
      <c r="A660" s="1719" t="s">
        <v>3114</v>
      </c>
      <c r="B660" s="1720" t="s">
        <v>3115</v>
      </c>
      <c r="C660" s="1737">
        <v>1.9E-3</v>
      </c>
      <c r="D660" s="1723" t="s">
        <v>1909</v>
      </c>
      <c r="E660" s="1723"/>
      <c r="F660" s="1722"/>
      <c r="G660" s="1724">
        <v>0.2</v>
      </c>
      <c r="H660" s="1723" t="s">
        <v>1119</v>
      </c>
      <c r="I660" s="1723"/>
      <c r="J660" s="1722"/>
      <c r="K660" s="1722"/>
      <c r="L660" s="1722"/>
      <c r="M660" s="1723">
        <v>1</v>
      </c>
      <c r="N660" s="1723">
        <v>0.1</v>
      </c>
      <c r="O660" s="1725"/>
      <c r="P660" s="1726">
        <v>290</v>
      </c>
      <c r="Q660" s="1727" t="s">
        <v>4127</v>
      </c>
      <c r="R660" s="1726">
        <v>1200</v>
      </c>
      <c r="S660" s="1727" t="s">
        <v>4126</v>
      </c>
      <c r="T660" s="1727"/>
      <c r="U660" s="1728"/>
      <c r="V660" s="1727"/>
      <c r="W660" s="1728"/>
      <c r="X660" s="1726">
        <v>16</v>
      </c>
      <c r="Y660" s="1729" t="s">
        <v>4126</v>
      </c>
      <c r="Z660" s="1728"/>
      <c r="AA660" s="1730">
        <v>0.24</v>
      </c>
      <c r="AB660" s="1731" t="s">
        <v>4126</v>
      </c>
      <c r="AC660" s="1732"/>
    </row>
    <row r="661" spans="1:29" ht="30">
      <c r="A661" s="1704" t="s">
        <v>3116</v>
      </c>
      <c r="B661" s="1705" t="s">
        <v>3117</v>
      </c>
      <c r="C661" s="1706"/>
      <c r="D661" s="1707"/>
      <c r="E661" s="1708"/>
      <c r="F661" s="1707"/>
      <c r="G661" s="1709">
        <v>1</v>
      </c>
      <c r="H661" s="1708" t="s">
        <v>1119</v>
      </c>
      <c r="I661" s="1708"/>
      <c r="J661" s="1707"/>
      <c r="K661" s="1707"/>
      <c r="L661" s="1707"/>
      <c r="M661" s="1708">
        <v>1</v>
      </c>
      <c r="N661" s="1708">
        <v>0.1</v>
      </c>
      <c r="O661" s="1710"/>
      <c r="P661" s="1711">
        <v>63000</v>
      </c>
      <c r="Q661" s="1712" t="s">
        <v>1471</v>
      </c>
      <c r="R661" s="1711">
        <v>820000</v>
      </c>
      <c r="S661" s="1712" t="s">
        <v>4124</v>
      </c>
      <c r="T661" s="1712"/>
      <c r="U661" s="1713"/>
      <c r="V661" s="1712"/>
      <c r="W661" s="1713"/>
      <c r="X661" s="1711">
        <v>13000</v>
      </c>
      <c r="Y661" s="1714" t="s">
        <v>1471</v>
      </c>
      <c r="Z661" s="1713"/>
      <c r="AA661" s="1715">
        <v>310</v>
      </c>
      <c r="AB661" s="1716" t="s">
        <v>1471</v>
      </c>
      <c r="AC661" s="1717"/>
    </row>
    <row r="662" spans="1:29" ht="30">
      <c r="A662" s="1704" t="s">
        <v>3118</v>
      </c>
      <c r="B662" s="1705" t="s">
        <v>3119</v>
      </c>
      <c r="C662" s="1706"/>
      <c r="D662" s="1707"/>
      <c r="E662" s="1708"/>
      <c r="F662" s="1707"/>
      <c r="G662" s="1709">
        <v>0.1</v>
      </c>
      <c r="H662" s="1708" t="s">
        <v>1119</v>
      </c>
      <c r="I662" s="1708"/>
      <c r="J662" s="1707"/>
      <c r="K662" s="1707"/>
      <c r="L662" s="1707"/>
      <c r="M662" s="1708">
        <v>1</v>
      </c>
      <c r="N662" s="1708">
        <v>0.1</v>
      </c>
      <c r="O662" s="1710"/>
      <c r="P662" s="1711">
        <v>6300</v>
      </c>
      <c r="Q662" s="1712" t="s">
        <v>1471</v>
      </c>
      <c r="R662" s="1711">
        <v>82000</v>
      </c>
      <c r="S662" s="1712" t="s">
        <v>1471</v>
      </c>
      <c r="T662" s="1712"/>
      <c r="U662" s="1713"/>
      <c r="V662" s="1712"/>
      <c r="W662" s="1713"/>
      <c r="X662" s="1711">
        <v>900</v>
      </c>
      <c r="Y662" s="1714" t="s">
        <v>1471</v>
      </c>
      <c r="Z662" s="1713"/>
      <c r="AA662" s="1715">
        <v>2.2999999999999998</v>
      </c>
      <c r="AB662" s="1716" t="s">
        <v>1471</v>
      </c>
      <c r="AC662" s="1717"/>
    </row>
    <row r="663" spans="1:29" ht="30">
      <c r="A663" s="1719" t="s">
        <v>182</v>
      </c>
      <c r="B663" s="1720" t="s">
        <v>3120</v>
      </c>
      <c r="C663" s="1721"/>
      <c r="D663" s="1722"/>
      <c r="E663" s="1723"/>
      <c r="F663" s="1722"/>
      <c r="G663" s="1724">
        <v>0.8</v>
      </c>
      <c r="H663" s="1723" t="s">
        <v>1119</v>
      </c>
      <c r="I663" s="1723"/>
      <c r="J663" s="1722"/>
      <c r="K663" s="1722"/>
      <c r="L663" s="1722"/>
      <c r="M663" s="1723">
        <v>1</v>
      </c>
      <c r="N663" s="1723">
        <v>0.1</v>
      </c>
      <c r="O663" s="1725"/>
      <c r="P663" s="1726">
        <v>51000</v>
      </c>
      <c r="Q663" s="1727" t="s">
        <v>1471</v>
      </c>
      <c r="R663" s="1726">
        <v>660000</v>
      </c>
      <c r="S663" s="1727" t="s">
        <v>4124</v>
      </c>
      <c r="T663" s="1727"/>
      <c r="U663" s="1728"/>
      <c r="V663" s="1727"/>
      <c r="W663" s="1728"/>
      <c r="X663" s="1726">
        <v>15000</v>
      </c>
      <c r="Y663" s="1729" t="s">
        <v>1471</v>
      </c>
      <c r="Z663" s="1728"/>
      <c r="AA663" s="1730">
        <v>6.1</v>
      </c>
      <c r="AB663" s="1731" t="s">
        <v>1471</v>
      </c>
      <c r="AC663" s="1732"/>
    </row>
    <row r="664" spans="1:29" ht="30">
      <c r="A664" s="1704" t="s">
        <v>3121</v>
      </c>
      <c r="B664" s="1705" t="s">
        <v>3122</v>
      </c>
      <c r="C664" s="1706"/>
      <c r="D664" s="1707"/>
      <c r="E664" s="1708"/>
      <c r="F664" s="1707"/>
      <c r="G664" s="1709">
        <v>0.1</v>
      </c>
      <c r="H664" s="1708" t="s">
        <v>1119</v>
      </c>
      <c r="I664" s="1708"/>
      <c r="J664" s="1707"/>
      <c r="K664" s="1708" t="s">
        <v>1127</v>
      </c>
      <c r="L664" s="1707"/>
      <c r="M664" s="1708">
        <v>1</v>
      </c>
      <c r="N664" s="1708"/>
      <c r="O664" s="1710"/>
      <c r="P664" s="1711">
        <v>7800</v>
      </c>
      <c r="Q664" s="1712" t="s">
        <v>1471</v>
      </c>
      <c r="R664" s="1711">
        <v>120000</v>
      </c>
      <c r="S664" s="1712" t="s">
        <v>4124</v>
      </c>
      <c r="T664" s="1712"/>
      <c r="U664" s="1713"/>
      <c r="V664" s="1712"/>
      <c r="W664" s="1713"/>
      <c r="X664" s="1711">
        <v>1900</v>
      </c>
      <c r="Y664" s="1714" t="s">
        <v>1471</v>
      </c>
      <c r="Z664" s="1713"/>
      <c r="AA664" s="1715">
        <v>0.49</v>
      </c>
      <c r="AB664" s="1716" t="s">
        <v>1471</v>
      </c>
      <c r="AC664" s="1717"/>
    </row>
    <row r="665" spans="1:29" ht="30">
      <c r="A665" s="1704" t="s">
        <v>3123</v>
      </c>
      <c r="B665" s="1705" t="s">
        <v>3124</v>
      </c>
      <c r="C665" s="1706"/>
      <c r="D665" s="1707"/>
      <c r="E665" s="1708"/>
      <c r="F665" s="1707"/>
      <c r="G665" s="1709">
        <v>0.01</v>
      </c>
      <c r="H665" s="1708" t="s">
        <v>1909</v>
      </c>
      <c r="I665" s="1708"/>
      <c r="J665" s="1707"/>
      <c r="K665" s="1707"/>
      <c r="L665" s="1707"/>
      <c r="M665" s="1708">
        <v>1</v>
      </c>
      <c r="N665" s="1708">
        <v>0.1</v>
      </c>
      <c r="O665" s="1710"/>
      <c r="P665" s="1711">
        <v>630</v>
      </c>
      <c r="Q665" s="1712" t="s">
        <v>1471</v>
      </c>
      <c r="R665" s="1711">
        <v>8200</v>
      </c>
      <c r="S665" s="1712" t="s">
        <v>1471</v>
      </c>
      <c r="T665" s="1712"/>
      <c r="U665" s="1713"/>
      <c r="V665" s="1712"/>
      <c r="W665" s="1713"/>
      <c r="X665" s="1711">
        <v>200</v>
      </c>
      <c r="Y665" s="1714" t="s">
        <v>1471</v>
      </c>
      <c r="Z665" s="1713"/>
      <c r="AA665" s="1715">
        <v>57</v>
      </c>
      <c r="AB665" s="1716" t="s">
        <v>1471</v>
      </c>
      <c r="AC665" s="1717"/>
    </row>
    <row r="666" spans="1:29" ht="15">
      <c r="A666" s="1719" t="s">
        <v>3125</v>
      </c>
      <c r="B666" s="1720" t="s">
        <v>3126</v>
      </c>
      <c r="C666" s="1721"/>
      <c r="D666" s="1722"/>
      <c r="E666" s="1723"/>
      <c r="F666" s="1722"/>
      <c r="G666" s="1724">
        <v>0.5</v>
      </c>
      <c r="H666" s="1723" t="s">
        <v>1893</v>
      </c>
      <c r="I666" s="1723"/>
      <c r="J666" s="1722"/>
      <c r="K666" s="1722"/>
      <c r="L666" s="1722"/>
      <c r="M666" s="1723">
        <v>1</v>
      </c>
      <c r="N666" s="1723">
        <v>0.1</v>
      </c>
      <c r="O666" s="1725"/>
      <c r="P666" s="1726">
        <v>32000</v>
      </c>
      <c r="Q666" s="1727" t="s">
        <v>1471</v>
      </c>
      <c r="R666" s="1726">
        <v>410000</v>
      </c>
      <c r="S666" s="1727" t="s">
        <v>4124</v>
      </c>
      <c r="T666" s="1727"/>
      <c r="U666" s="1728"/>
      <c r="V666" s="1727"/>
      <c r="W666" s="1728"/>
      <c r="X666" s="1726">
        <v>9400</v>
      </c>
      <c r="Y666" s="1729" t="s">
        <v>1471</v>
      </c>
      <c r="Z666" s="1728"/>
      <c r="AA666" s="1730">
        <v>3.4</v>
      </c>
      <c r="AB666" s="1731" t="s">
        <v>1471</v>
      </c>
      <c r="AC666" s="1732"/>
    </row>
    <row r="667" spans="1:29" ht="30">
      <c r="A667" s="1704" t="s">
        <v>3127</v>
      </c>
      <c r="B667" s="1705" t="s">
        <v>3128</v>
      </c>
      <c r="C667" s="1706"/>
      <c r="D667" s="1707"/>
      <c r="E667" s="1708"/>
      <c r="F667" s="1707"/>
      <c r="G667" s="1709">
        <v>2</v>
      </c>
      <c r="H667" s="1708" t="s">
        <v>1119</v>
      </c>
      <c r="I667" s="1709">
        <v>0.02</v>
      </c>
      <c r="J667" s="1708" t="s">
        <v>1900</v>
      </c>
      <c r="K667" s="1707"/>
      <c r="L667" s="1707"/>
      <c r="M667" s="1708">
        <v>1</v>
      </c>
      <c r="N667" s="1708">
        <v>0.1</v>
      </c>
      <c r="O667" s="1710"/>
      <c r="P667" s="1711">
        <v>130000</v>
      </c>
      <c r="Q667" s="1712" t="s">
        <v>4124</v>
      </c>
      <c r="R667" s="1711">
        <v>1600000</v>
      </c>
      <c r="S667" s="1712" t="s">
        <v>4124</v>
      </c>
      <c r="T667" s="1711">
        <v>21</v>
      </c>
      <c r="U667" s="1712" t="s">
        <v>1471</v>
      </c>
      <c r="V667" s="1711">
        <v>88</v>
      </c>
      <c r="W667" s="1712" t="s">
        <v>1471</v>
      </c>
      <c r="X667" s="1711">
        <v>39000</v>
      </c>
      <c r="Y667" s="1714" t="s">
        <v>1471</v>
      </c>
      <c r="Z667" s="1713"/>
      <c r="AA667" s="1715">
        <v>8.5</v>
      </c>
      <c r="AB667" s="1716" t="s">
        <v>1471</v>
      </c>
      <c r="AC667" s="1717"/>
    </row>
    <row r="668" spans="1:29" ht="15">
      <c r="A668" s="1742">
        <v>6607</v>
      </c>
      <c r="B668" s="1705" t="s">
        <v>3130</v>
      </c>
      <c r="C668" s="1706"/>
      <c r="D668" s="1707"/>
      <c r="E668" s="1708"/>
      <c r="F668" s="1707"/>
      <c r="G668" s="1709">
        <v>7.0000000000000007E-2</v>
      </c>
      <c r="H668" s="1708" t="s">
        <v>1119</v>
      </c>
      <c r="I668" s="1708"/>
      <c r="J668" s="1707"/>
      <c r="K668" s="1707"/>
      <c r="L668" s="1707"/>
      <c r="M668" s="1708">
        <v>1</v>
      </c>
      <c r="N668" s="1708">
        <v>0.1</v>
      </c>
      <c r="O668" s="1710"/>
      <c r="P668" s="1711">
        <v>4400</v>
      </c>
      <c r="Q668" s="1712" t="s">
        <v>1471</v>
      </c>
      <c r="R668" s="1711">
        <v>57000</v>
      </c>
      <c r="S668" s="1712" t="s">
        <v>1471</v>
      </c>
      <c r="T668" s="1712"/>
      <c r="U668" s="1713"/>
      <c r="V668" s="1712"/>
      <c r="W668" s="1713"/>
      <c r="X668" s="1711">
        <v>1400</v>
      </c>
      <c r="Y668" s="1714" t="s">
        <v>1471</v>
      </c>
      <c r="Z668" s="1711">
        <v>500</v>
      </c>
      <c r="AA668" s="1715">
        <v>0.38</v>
      </c>
      <c r="AB668" s="1716" t="s">
        <v>1471</v>
      </c>
      <c r="AC668" s="1738">
        <v>0.14000000000000001</v>
      </c>
    </row>
    <row r="669" spans="1:29" ht="45">
      <c r="A669" s="1719" t="s">
        <v>3131</v>
      </c>
      <c r="B669" s="1720" t="s">
        <v>3132</v>
      </c>
      <c r="C669" s="1721"/>
      <c r="D669" s="1722"/>
      <c r="E669" s="1723"/>
      <c r="F669" s="1722"/>
      <c r="G669" s="1724">
        <v>1E-4</v>
      </c>
      <c r="H669" s="1723" t="s">
        <v>1893</v>
      </c>
      <c r="I669" s="1723"/>
      <c r="J669" s="1722"/>
      <c r="K669" s="1722"/>
      <c r="L669" s="1722"/>
      <c r="M669" s="1723">
        <v>1</v>
      </c>
      <c r="N669" s="1723">
        <v>0.1</v>
      </c>
      <c r="O669" s="1725"/>
      <c r="P669" s="1726">
        <v>6.3</v>
      </c>
      <c r="Q669" s="1727" t="s">
        <v>1471</v>
      </c>
      <c r="R669" s="1726">
        <v>82</v>
      </c>
      <c r="S669" s="1727" t="s">
        <v>1471</v>
      </c>
      <c r="T669" s="1727"/>
      <c r="U669" s="1728"/>
      <c r="V669" s="1727"/>
      <c r="W669" s="1728"/>
      <c r="X669" s="1726">
        <v>2</v>
      </c>
      <c r="Y669" s="1729" t="s">
        <v>1471</v>
      </c>
      <c r="Z669" s="1728"/>
      <c r="AA669" s="1730">
        <v>1.2999999999999999E-3</v>
      </c>
      <c r="AB669" s="1731" t="s">
        <v>1471</v>
      </c>
      <c r="AC669" s="1732"/>
    </row>
    <row r="670" spans="1:29" ht="30">
      <c r="A670" s="1704" t="s">
        <v>3133</v>
      </c>
      <c r="B670" s="1705" t="s">
        <v>3134</v>
      </c>
      <c r="C670" s="1706"/>
      <c r="D670" s="1707"/>
      <c r="E670" s="1708"/>
      <c r="F670" s="1707"/>
      <c r="G670" s="1709">
        <v>2E-3</v>
      </c>
      <c r="H670" s="1708" t="s">
        <v>1893</v>
      </c>
      <c r="I670" s="1708"/>
      <c r="J670" s="1707"/>
      <c r="K670" s="1707"/>
      <c r="L670" s="1707"/>
      <c r="M670" s="1708">
        <v>1</v>
      </c>
      <c r="N670" s="1708">
        <v>0.1</v>
      </c>
      <c r="O670" s="1710"/>
      <c r="P670" s="1711">
        <v>130</v>
      </c>
      <c r="Q670" s="1712" t="s">
        <v>1471</v>
      </c>
      <c r="R670" s="1711">
        <v>1600</v>
      </c>
      <c r="S670" s="1712" t="s">
        <v>1471</v>
      </c>
      <c r="T670" s="1712"/>
      <c r="U670" s="1713"/>
      <c r="V670" s="1712"/>
      <c r="W670" s="1713"/>
      <c r="X670" s="1711">
        <v>40</v>
      </c>
      <c r="Y670" s="1714" t="s">
        <v>1471</v>
      </c>
      <c r="Z670" s="1713"/>
      <c r="AA670" s="1715">
        <v>0.19</v>
      </c>
      <c r="AB670" s="1716" t="s">
        <v>1471</v>
      </c>
      <c r="AC670" s="1717"/>
    </row>
    <row r="671" spans="1:29" ht="30">
      <c r="A671" s="1704" t="s">
        <v>3135</v>
      </c>
      <c r="B671" s="1705" t="s">
        <v>3136</v>
      </c>
      <c r="C671" s="1706"/>
      <c r="D671" s="1707"/>
      <c r="E671" s="1708"/>
      <c r="F671" s="1707"/>
      <c r="G671" s="1709">
        <v>7.2999999999999996E-4</v>
      </c>
      <c r="H671" s="1708" t="s">
        <v>1116</v>
      </c>
      <c r="I671" s="1708"/>
      <c r="J671" s="1707"/>
      <c r="K671" s="1707"/>
      <c r="L671" s="1707"/>
      <c r="M671" s="1708">
        <v>1</v>
      </c>
      <c r="N671" s="1708">
        <v>0.1</v>
      </c>
      <c r="O671" s="1710"/>
      <c r="P671" s="1711">
        <v>46</v>
      </c>
      <c r="Q671" s="1712" t="s">
        <v>1471</v>
      </c>
      <c r="R671" s="1711">
        <v>600</v>
      </c>
      <c r="S671" s="1712" t="s">
        <v>1471</v>
      </c>
      <c r="T671" s="1712"/>
      <c r="U671" s="1713"/>
      <c r="V671" s="1712"/>
      <c r="W671" s="1713"/>
      <c r="X671" s="1711">
        <v>8.9</v>
      </c>
      <c r="Y671" s="1714" t="s">
        <v>1471</v>
      </c>
      <c r="Z671" s="1713"/>
      <c r="AA671" s="1715">
        <v>8.3999999999999995E-3</v>
      </c>
      <c r="AB671" s="1716" t="s">
        <v>1471</v>
      </c>
      <c r="AC671" s="1717"/>
    </row>
    <row r="672" spans="1:29" ht="30">
      <c r="A672" s="1719" t="s">
        <v>3137</v>
      </c>
      <c r="B672" s="1720" t="s">
        <v>3138</v>
      </c>
      <c r="C672" s="1737">
        <v>30</v>
      </c>
      <c r="D672" s="1723" t="s">
        <v>1900</v>
      </c>
      <c r="E672" s="1724">
        <v>8.6E-3</v>
      </c>
      <c r="F672" s="1723" t="s">
        <v>1900</v>
      </c>
      <c r="G672" s="1724">
        <v>6.9999999999999999E-6</v>
      </c>
      <c r="H672" s="1723" t="s">
        <v>1073</v>
      </c>
      <c r="I672" s="1723"/>
      <c r="J672" s="1722"/>
      <c r="K672" s="1722"/>
      <c r="L672" s="1722"/>
      <c r="M672" s="1723">
        <v>1</v>
      </c>
      <c r="N672" s="1723">
        <v>0.1</v>
      </c>
      <c r="O672" s="1725"/>
      <c r="P672" s="1726">
        <v>1.7999999999999999E-2</v>
      </c>
      <c r="Q672" s="1727" t="s">
        <v>4127</v>
      </c>
      <c r="R672" s="1726">
        <v>7.6999999999999999E-2</v>
      </c>
      <c r="S672" s="1727" t="s">
        <v>4127</v>
      </c>
      <c r="T672" s="1726">
        <v>3.3E-4</v>
      </c>
      <c r="U672" s="1727" t="s">
        <v>4126</v>
      </c>
      <c r="V672" s="1726">
        <v>1.4E-3</v>
      </c>
      <c r="W672" s="1727" t="s">
        <v>4126</v>
      </c>
      <c r="X672" s="1726">
        <v>2.5999999999999999E-3</v>
      </c>
      <c r="Y672" s="1729" t="s">
        <v>4127</v>
      </c>
      <c r="Z672" s="1728"/>
      <c r="AA672" s="1731"/>
      <c r="AB672" s="1740"/>
      <c r="AC672" s="1732"/>
    </row>
    <row r="673" spans="1:29" ht="30">
      <c r="A673" s="1704"/>
      <c r="B673" s="1705" t="s">
        <v>3139</v>
      </c>
      <c r="C673" s="1706"/>
      <c r="D673" s="1707"/>
      <c r="E673" s="1708"/>
      <c r="F673" s="1707"/>
      <c r="G673" s="1708"/>
      <c r="H673" s="1707"/>
      <c r="I673" s="1708"/>
      <c r="J673" s="1707"/>
      <c r="K673" s="1707"/>
      <c r="L673" s="1707"/>
      <c r="M673" s="1708"/>
      <c r="N673" s="1708"/>
      <c r="O673" s="1710"/>
      <c r="P673" s="1712"/>
      <c r="Q673" s="1713"/>
      <c r="R673" s="1712"/>
      <c r="S673" s="1713"/>
      <c r="T673" s="1712"/>
      <c r="U673" s="1713"/>
      <c r="V673" s="1712"/>
      <c r="W673" s="1713"/>
      <c r="X673" s="1712"/>
      <c r="Y673" s="1733"/>
      <c r="Z673" s="1713"/>
      <c r="AA673" s="1716"/>
      <c r="AB673" s="1734"/>
      <c r="AC673" s="1717"/>
    </row>
    <row r="674" spans="1:29" ht="15">
      <c r="A674" s="1704" t="s">
        <v>3140</v>
      </c>
      <c r="B674" s="1705" t="s">
        <v>3141</v>
      </c>
      <c r="C674" s="1736">
        <v>7.0000000000000007E-2</v>
      </c>
      <c r="D674" s="1708" t="s">
        <v>2111</v>
      </c>
      <c r="E674" s="1709">
        <v>2.0000000000000002E-5</v>
      </c>
      <c r="F674" s="1708" t="s">
        <v>2111</v>
      </c>
      <c r="G674" s="1709">
        <v>6.9999999999999994E-5</v>
      </c>
      <c r="H674" s="1708" t="s">
        <v>1119</v>
      </c>
      <c r="I674" s="1708"/>
      <c r="J674" s="1707"/>
      <c r="K674" s="1708" t="s">
        <v>1127</v>
      </c>
      <c r="L674" s="1707"/>
      <c r="M674" s="1708">
        <v>1</v>
      </c>
      <c r="N674" s="1708">
        <v>0.14000000000000001</v>
      </c>
      <c r="O674" s="1710"/>
      <c r="P674" s="1711">
        <v>4.0999999999999996</v>
      </c>
      <c r="Q674" s="1712" t="s">
        <v>1471</v>
      </c>
      <c r="R674" s="1711">
        <v>27</v>
      </c>
      <c r="S674" s="1712" t="s">
        <v>4122</v>
      </c>
      <c r="T674" s="1711">
        <v>0.14000000000000001</v>
      </c>
      <c r="U674" s="1712" t="s">
        <v>4126</v>
      </c>
      <c r="V674" s="1711">
        <v>0.61</v>
      </c>
      <c r="W674" s="1712" t="s">
        <v>4126</v>
      </c>
      <c r="X674" s="1711">
        <v>0.22</v>
      </c>
      <c r="Y674" s="1714" t="s">
        <v>4122</v>
      </c>
      <c r="Z674" s="1713"/>
      <c r="AA674" s="1715">
        <v>2.1000000000000001E-2</v>
      </c>
      <c r="AB674" s="1716" t="s">
        <v>4122</v>
      </c>
      <c r="AC674" s="1717"/>
    </row>
    <row r="675" spans="1:29" ht="15">
      <c r="A675" s="1719" t="s">
        <v>3142</v>
      </c>
      <c r="B675" s="1720" t="s">
        <v>3143</v>
      </c>
      <c r="C675" s="1737">
        <v>2</v>
      </c>
      <c r="D675" s="1723" t="s">
        <v>2111</v>
      </c>
      <c r="E675" s="1724">
        <v>5.71E-4</v>
      </c>
      <c r="F675" s="1723" t="s">
        <v>2111</v>
      </c>
      <c r="G675" s="1723"/>
      <c r="H675" s="1722"/>
      <c r="I675" s="1723"/>
      <c r="J675" s="1722"/>
      <c r="K675" s="1723" t="s">
        <v>1127</v>
      </c>
      <c r="L675" s="1722"/>
      <c r="M675" s="1723">
        <v>1</v>
      </c>
      <c r="N675" s="1723">
        <v>0.14000000000000001</v>
      </c>
      <c r="O675" s="1725"/>
      <c r="P675" s="1726">
        <v>0.2</v>
      </c>
      <c r="Q675" s="1727" t="s">
        <v>4126</v>
      </c>
      <c r="R675" s="1726">
        <v>0.83</v>
      </c>
      <c r="S675" s="1727" t="s">
        <v>4126</v>
      </c>
      <c r="T675" s="1726">
        <v>4.8999999999999998E-3</v>
      </c>
      <c r="U675" s="1727" t="s">
        <v>4126</v>
      </c>
      <c r="V675" s="1726">
        <v>2.1000000000000001E-2</v>
      </c>
      <c r="W675" s="1727" t="s">
        <v>4126</v>
      </c>
      <c r="X675" s="1726">
        <v>4.7000000000000002E-3</v>
      </c>
      <c r="Y675" s="1729" t="s">
        <v>4126</v>
      </c>
      <c r="Z675" s="1728"/>
      <c r="AA675" s="1730">
        <v>8.0000000000000007E-5</v>
      </c>
      <c r="AB675" s="1731" t="s">
        <v>4126</v>
      </c>
      <c r="AC675" s="1732"/>
    </row>
    <row r="676" spans="1:29" ht="15">
      <c r="A676" s="1704" t="s">
        <v>3144</v>
      </c>
      <c r="B676" s="1705" t="s">
        <v>3145</v>
      </c>
      <c r="C676" s="1736">
        <v>2</v>
      </c>
      <c r="D676" s="1708" t="s">
        <v>2111</v>
      </c>
      <c r="E676" s="1709">
        <v>5.71E-4</v>
      </c>
      <c r="F676" s="1708" t="s">
        <v>2111</v>
      </c>
      <c r="G676" s="1708"/>
      <c r="H676" s="1707"/>
      <c r="I676" s="1708"/>
      <c r="J676" s="1707"/>
      <c r="K676" s="1708" t="s">
        <v>1127</v>
      </c>
      <c r="L676" s="1707"/>
      <c r="M676" s="1708">
        <v>1</v>
      </c>
      <c r="N676" s="1708">
        <v>0.14000000000000001</v>
      </c>
      <c r="O676" s="1710"/>
      <c r="P676" s="1711">
        <v>0.17</v>
      </c>
      <c r="Q676" s="1712" t="s">
        <v>4126</v>
      </c>
      <c r="R676" s="1711">
        <v>0.72</v>
      </c>
      <c r="S676" s="1712" t="s">
        <v>4126</v>
      </c>
      <c r="T676" s="1711">
        <v>4.8999999999999998E-3</v>
      </c>
      <c r="U676" s="1712" t="s">
        <v>4126</v>
      </c>
      <c r="V676" s="1711">
        <v>2.1000000000000001E-2</v>
      </c>
      <c r="W676" s="1712" t="s">
        <v>4126</v>
      </c>
      <c r="X676" s="1711">
        <v>4.7000000000000002E-3</v>
      </c>
      <c r="Y676" s="1714" t="s">
        <v>4126</v>
      </c>
      <c r="Z676" s="1713"/>
      <c r="AA676" s="1715">
        <v>8.0000000000000007E-5</v>
      </c>
      <c r="AB676" s="1716" t="s">
        <v>4126</v>
      </c>
      <c r="AC676" s="1717"/>
    </row>
    <row r="677" spans="1:29" ht="15">
      <c r="A677" s="1704" t="s">
        <v>3146</v>
      </c>
      <c r="B677" s="1705" t="s">
        <v>3147</v>
      </c>
      <c r="C677" s="1736">
        <v>2</v>
      </c>
      <c r="D677" s="1708" t="s">
        <v>2111</v>
      </c>
      <c r="E677" s="1709">
        <v>5.71E-4</v>
      </c>
      <c r="F677" s="1708" t="s">
        <v>2111</v>
      </c>
      <c r="G677" s="1708"/>
      <c r="H677" s="1707"/>
      <c r="I677" s="1708"/>
      <c r="J677" s="1707"/>
      <c r="K677" s="1708" t="s">
        <v>1127</v>
      </c>
      <c r="L677" s="1707"/>
      <c r="M677" s="1708">
        <v>1</v>
      </c>
      <c r="N677" s="1708">
        <v>0.14000000000000001</v>
      </c>
      <c r="O677" s="1710"/>
      <c r="P677" s="1711">
        <v>0.23</v>
      </c>
      <c r="Q677" s="1712" t="s">
        <v>4126</v>
      </c>
      <c r="R677" s="1711">
        <v>0.95</v>
      </c>
      <c r="S677" s="1712" t="s">
        <v>4126</v>
      </c>
      <c r="T677" s="1711">
        <v>4.8999999999999998E-3</v>
      </c>
      <c r="U677" s="1712" t="s">
        <v>4126</v>
      </c>
      <c r="V677" s="1711">
        <v>2.1000000000000001E-2</v>
      </c>
      <c r="W677" s="1712" t="s">
        <v>4126</v>
      </c>
      <c r="X677" s="1711">
        <v>7.7999999999999996E-3</v>
      </c>
      <c r="Y677" s="1714" t="s">
        <v>4126</v>
      </c>
      <c r="Z677" s="1713"/>
      <c r="AA677" s="1715">
        <v>1.1999999999999999E-3</v>
      </c>
      <c r="AB677" s="1716" t="s">
        <v>4126</v>
      </c>
      <c r="AC677" s="1717"/>
    </row>
    <row r="678" spans="1:29" ht="15">
      <c r="A678" s="1719" t="s">
        <v>3148</v>
      </c>
      <c r="B678" s="1720" t="s">
        <v>3149</v>
      </c>
      <c r="C678" s="1737">
        <v>2</v>
      </c>
      <c r="D678" s="1723" t="s">
        <v>2111</v>
      </c>
      <c r="E678" s="1724">
        <v>5.71E-4</v>
      </c>
      <c r="F678" s="1723" t="s">
        <v>2111</v>
      </c>
      <c r="G678" s="1723"/>
      <c r="H678" s="1722"/>
      <c r="I678" s="1723"/>
      <c r="J678" s="1722"/>
      <c r="K678" s="1723" t="s">
        <v>1127</v>
      </c>
      <c r="L678" s="1722"/>
      <c r="M678" s="1723">
        <v>1</v>
      </c>
      <c r="N678" s="1723">
        <v>0.14000000000000001</v>
      </c>
      <c r="O678" s="1725"/>
      <c r="P678" s="1726">
        <v>0.23</v>
      </c>
      <c r="Q678" s="1727" t="s">
        <v>4126</v>
      </c>
      <c r="R678" s="1726">
        <v>0.94</v>
      </c>
      <c r="S678" s="1727" t="s">
        <v>4126</v>
      </c>
      <c r="T678" s="1726">
        <v>4.8999999999999998E-3</v>
      </c>
      <c r="U678" s="1727" t="s">
        <v>4126</v>
      </c>
      <c r="V678" s="1726">
        <v>2.1000000000000001E-2</v>
      </c>
      <c r="W678" s="1727" t="s">
        <v>4126</v>
      </c>
      <c r="X678" s="1726">
        <v>7.7999999999999996E-3</v>
      </c>
      <c r="Y678" s="1729" t="s">
        <v>4126</v>
      </c>
      <c r="Z678" s="1728"/>
      <c r="AA678" s="1730">
        <v>1.1999999999999999E-3</v>
      </c>
      <c r="AB678" s="1731" t="s">
        <v>4126</v>
      </c>
      <c r="AC678" s="1732"/>
    </row>
    <row r="679" spans="1:29" ht="15">
      <c r="A679" s="1704" t="s">
        <v>3150</v>
      </c>
      <c r="B679" s="1705" t="s">
        <v>3151</v>
      </c>
      <c r="C679" s="1736">
        <v>2</v>
      </c>
      <c r="D679" s="1708" t="s">
        <v>2111</v>
      </c>
      <c r="E679" s="1709">
        <v>5.71E-4</v>
      </c>
      <c r="F679" s="1708" t="s">
        <v>2111</v>
      </c>
      <c r="G679" s="1709">
        <v>2.0000000000000002E-5</v>
      </c>
      <c r="H679" s="1708" t="s">
        <v>1119</v>
      </c>
      <c r="I679" s="1708"/>
      <c r="J679" s="1707"/>
      <c r="K679" s="1708" t="s">
        <v>1127</v>
      </c>
      <c r="L679" s="1707"/>
      <c r="M679" s="1708">
        <v>1</v>
      </c>
      <c r="N679" s="1708">
        <v>0.14000000000000001</v>
      </c>
      <c r="O679" s="1710"/>
      <c r="P679" s="1711">
        <v>0.24</v>
      </c>
      <c r="Q679" s="1712" t="s">
        <v>4122</v>
      </c>
      <c r="R679" s="1711">
        <v>0.97</v>
      </c>
      <c r="S679" s="1712" t="s">
        <v>4127</v>
      </c>
      <c r="T679" s="1711">
        <v>4.8999999999999998E-3</v>
      </c>
      <c r="U679" s="1712" t="s">
        <v>4126</v>
      </c>
      <c r="V679" s="1711">
        <v>2.1000000000000001E-2</v>
      </c>
      <c r="W679" s="1712" t="s">
        <v>4126</v>
      </c>
      <c r="X679" s="1711">
        <v>7.7999999999999996E-3</v>
      </c>
      <c r="Y679" s="1714" t="s">
        <v>4127</v>
      </c>
      <c r="Z679" s="1713"/>
      <c r="AA679" s="1715">
        <v>2E-3</v>
      </c>
      <c r="AB679" s="1716" t="s">
        <v>4127</v>
      </c>
      <c r="AC679" s="1717"/>
    </row>
    <row r="680" spans="1:29" ht="15">
      <c r="A680" s="1704" t="s">
        <v>3152</v>
      </c>
      <c r="B680" s="1705" t="s">
        <v>3153</v>
      </c>
      <c r="C680" s="1736">
        <v>2</v>
      </c>
      <c r="D680" s="1708" t="s">
        <v>2111</v>
      </c>
      <c r="E680" s="1709">
        <v>5.71E-4</v>
      </c>
      <c r="F680" s="1708" t="s">
        <v>2111</v>
      </c>
      <c r="G680" s="1708"/>
      <c r="H680" s="1707"/>
      <c r="I680" s="1708"/>
      <c r="J680" s="1707"/>
      <c r="K680" s="1708" t="s">
        <v>1127</v>
      </c>
      <c r="L680" s="1707"/>
      <c r="M680" s="1708">
        <v>1</v>
      </c>
      <c r="N680" s="1708">
        <v>0.14000000000000001</v>
      </c>
      <c r="O680" s="1710"/>
      <c r="P680" s="1711">
        <v>0.24</v>
      </c>
      <c r="Q680" s="1712" t="s">
        <v>4126</v>
      </c>
      <c r="R680" s="1711">
        <v>0.99</v>
      </c>
      <c r="S680" s="1712" t="s">
        <v>4126</v>
      </c>
      <c r="T680" s="1711">
        <v>4.8999999999999998E-3</v>
      </c>
      <c r="U680" s="1712" t="s">
        <v>4126</v>
      </c>
      <c r="V680" s="1711">
        <v>2.1000000000000001E-2</v>
      </c>
      <c r="W680" s="1712" t="s">
        <v>4126</v>
      </c>
      <c r="X680" s="1711">
        <v>7.7999999999999996E-3</v>
      </c>
      <c r="Y680" s="1714" t="s">
        <v>4126</v>
      </c>
      <c r="Z680" s="1713"/>
      <c r="AA680" s="1715">
        <v>5.4999999999999997E-3</v>
      </c>
      <c r="AB680" s="1716" t="s">
        <v>4126</v>
      </c>
      <c r="AC680" s="1717"/>
    </row>
    <row r="681" spans="1:29" ht="15">
      <c r="A681" s="1719" t="s">
        <v>3154</v>
      </c>
      <c r="B681" s="1720" t="s">
        <v>3155</v>
      </c>
      <c r="C681" s="1721"/>
      <c r="D681" s="1722"/>
      <c r="E681" s="1723"/>
      <c r="F681" s="1722"/>
      <c r="G681" s="1724">
        <v>5.9999999999999995E-4</v>
      </c>
      <c r="H681" s="1723" t="s">
        <v>1893</v>
      </c>
      <c r="I681" s="1723"/>
      <c r="J681" s="1722"/>
      <c r="K681" s="1723" t="s">
        <v>1127</v>
      </c>
      <c r="L681" s="1722"/>
      <c r="M681" s="1723">
        <v>1</v>
      </c>
      <c r="N681" s="1723">
        <v>0.14000000000000001</v>
      </c>
      <c r="O681" s="1725"/>
      <c r="P681" s="1726">
        <v>35</v>
      </c>
      <c r="Q681" s="1727" t="s">
        <v>1471</v>
      </c>
      <c r="R681" s="1726">
        <v>440</v>
      </c>
      <c r="S681" s="1727" t="s">
        <v>1471</v>
      </c>
      <c r="T681" s="1727"/>
      <c r="U681" s="1728"/>
      <c r="V681" s="1727"/>
      <c r="W681" s="1728"/>
      <c r="X681" s="1726">
        <v>12</v>
      </c>
      <c r="Y681" s="1729" t="s">
        <v>1471</v>
      </c>
      <c r="Z681" s="1728"/>
      <c r="AA681" s="1730">
        <v>2</v>
      </c>
      <c r="AB681" s="1731" t="s">
        <v>1471</v>
      </c>
      <c r="AC681" s="1732"/>
    </row>
    <row r="682" spans="1:29" ht="60">
      <c r="A682" s="1704" t="s">
        <v>3156</v>
      </c>
      <c r="B682" s="1705" t="s">
        <v>3157</v>
      </c>
      <c r="C682" s="1736">
        <v>3.9</v>
      </c>
      <c r="D682" s="1708" t="s">
        <v>3158</v>
      </c>
      <c r="E682" s="1709">
        <v>1.14E-3</v>
      </c>
      <c r="F682" s="1708" t="s">
        <v>3158</v>
      </c>
      <c r="G682" s="1709">
        <v>2.3300000000000001E-5</v>
      </c>
      <c r="H682" s="1708" t="s">
        <v>3158</v>
      </c>
      <c r="I682" s="1709">
        <v>1.33E-3</v>
      </c>
      <c r="J682" s="1708" t="s">
        <v>3158</v>
      </c>
      <c r="K682" s="1708" t="s">
        <v>1127</v>
      </c>
      <c r="L682" s="1707"/>
      <c r="M682" s="1708">
        <v>1</v>
      </c>
      <c r="N682" s="1708">
        <v>0.14000000000000001</v>
      </c>
      <c r="O682" s="1710"/>
      <c r="P682" s="1711">
        <v>0.13</v>
      </c>
      <c r="Q682" s="1712" t="s">
        <v>4127</v>
      </c>
      <c r="R682" s="1711">
        <v>0.52</v>
      </c>
      <c r="S682" s="1712" t="s">
        <v>4127</v>
      </c>
      <c r="T682" s="1711">
        <v>2.5000000000000001E-3</v>
      </c>
      <c r="U682" s="1712" t="s">
        <v>4126</v>
      </c>
      <c r="V682" s="1711">
        <v>1.0999999999999999E-2</v>
      </c>
      <c r="W682" s="1712" t="s">
        <v>4126</v>
      </c>
      <c r="X682" s="1711">
        <v>4.0000000000000001E-3</v>
      </c>
      <c r="Y682" s="1714" t="s">
        <v>4126</v>
      </c>
      <c r="Z682" s="1713"/>
      <c r="AA682" s="1715">
        <v>2.8E-3</v>
      </c>
      <c r="AB682" s="1716" t="s">
        <v>4126</v>
      </c>
      <c r="AC682" s="1717"/>
    </row>
    <row r="683" spans="1:29" ht="45">
      <c r="A683" s="1704" t="s">
        <v>3159</v>
      </c>
      <c r="B683" s="1705" t="s">
        <v>3160</v>
      </c>
      <c r="C683" s="1736">
        <v>3.9</v>
      </c>
      <c r="D683" s="1708" t="s">
        <v>3158</v>
      </c>
      <c r="E683" s="1709">
        <v>1.14E-3</v>
      </c>
      <c r="F683" s="1708" t="s">
        <v>3158</v>
      </c>
      <c r="G683" s="1709">
        <v>2.3300000000000001E-5</v>
      </c>
      <c r="H683" s="1708" t="s">
        <v>3158</v>
      </c>
      <c r="I683" s="1709">
        <v>1.33E-3</v>
      </c>
      <c r="J683" s="1708" t="s">
        <v>3158</v>
      </c>
      <c r="K683" s="1708" t="s">
        <v>1127</v>
      </c>
      <c r="L683" s="1707"/>
      <c r="M683" s="1708">
        <v>1</v>
      </c>
      <c r="N683" s="1708">
        <v>0.14000000000000001</v>
      </c>
      <c r="O683" s="1710"/>
      <c r="P683" s="1711">
        <v>0.12</v>
      </c>
      <c r="Q683" s="1712" t="s">
        <v>4127</v>
      </c>
      <c r="R683" s="1711">
        <v>0.51</v>
      </c>
      <c r="S683" s="1712" t="s">
        <v>4127</v>
      </c>
      <c r="T683" s="1711">
        <v>2.5000000000000001E-3</v>
      </c>
      <c r="U683" s="1712" t="s">
        <v>4126</v>
      </c>
      <c r="V683" s="1711">
        <v>1.0999999999999999E-2</v>
      </c>
      <c r="W683" s="1712" t="s">
        <v>4126</v>
      </c>
      <c r="X683" s="1711">
        <v>4.0000000000000001E-3</v>
      </c>
      <c r="Y683" s="1714" t="s">
        <v>4126</v>
      </c>
      <c r="Z683" s="1713"/>
      <c r="AA683" s="1715">
        <v>1.6999999999999999E-3</v>
      </c>
      <c r="AB683" s="1716" t="s">
        <v>4126</v>
      </c>
      <c r="AC683" s="1717"/>
    </row>
    <row r="684" spans="1:29" ht="45">
      <c r="A684" s="1719" t="s">
        <v>3161</v>
      </c>
      <c r="B684" s="1720" t="s">
        <v>3162</v>
      </c>
      <c r="C684" s="1737">
        <v>3.9</v>
      </c>
      <c r="D684" s="1723" t="s">
        <v>3158</v>
      </c>
      <c r="E684" s="1724">
        <v>1.14E-3</v>
      </c>
      <c r="F684" s="1723" t="s">
        <v>3158</v>
      </c>
      <c r="G684" s="1724">
        <v>2.3300000000000001E-5</v>
      </c>
      <c r="H684" s="1723" t="s">
        <v>3158</v>
      </c>
      <c r="I684" s="1724">
        <v>1.33E-3</v>
      </c>
      <c r="J684" s="1723" t="s">
        <v>3158</v>
      </c>
      <c r="K684" s="1723" t="s">
        <v>1127</v>
      </c>
      <c r="L684" s="1722"/>
      <c r="M684" s="1723">
        <v>1</v>
      </c>
      <c r="N684" s="1723">
        <v>0.14000000000000001</v>
      </c>
      <c r="O684" s="1725"/>
      <c r="P684" s="1726">
        <v>0.12</v>
      </c>
      <c r="Q684" s="1727" t="s">
        <v>4127</v>
      </c>
      <c r="R684" s="1726">
        <v>0.5</v>
      </c>
      <c r="S684" s="1727" t="s">
        <v>4127</v>
      </c>
      <c r="T684" s="1726">
        <v>2.5000000000000001E-3</v>
      </c>
      <c r="U684" s="1727" t="s">
        <v>4126</v>
      </c>
      <c r="V684" s="1726">
        <v>1.0999999999999999E-2</v>
      </c>
      <c r="W684" s="1727" t="s">
        <v>4126</v>
      </c>
      <c r="X684" s="1726">
        <v>4.0000000000000001E-3</v>
      </c>
      <c r="Y684" s="1729" t="s">
        <v>4126</v>
      </c>
      <c r="Z684" s="1728"/>
      <c r="AA684" s="1730">
        <v>1.6999999999999999E-3</v>
      </c>
      <c r="AB684" s="1731" t="s">
        <v>4126</v>
      </c>
      <c r="AC684" s="1732"/>
    </row>
    <row r="685" spans="1:29" ht="45">
      <c r="A685" s="1704" t="s">
        <v>3164</v>
      </c>
      <c r="B685" s="1705" t="s">
        <v>3165</v>
      </c>
      <c r="C685" s="1736">
        <v>3.9</v>
      </c>
      <c r="D685" s="1708" t="s">
        <v>3158</v>
      </c>
      <c r="E685" s="1709">
        <v>1.14E-3</v>
      </c>
      <c r="F685" s="1708" t="s">
        <v>3158</v>
      </c>
      <c r="G685" s="1709">
        <v>2.3300000000000001E-5</v>
      </c>
      <c r="H685" s="1708" t="s">
        <v>3158</v>
      </c>
      <c r="I685" s="1709">
        <v>1.33E-3</v>
      </c>
      <c r="J685" s="1708" t="s">
        <v>3158</v>
      </c>
      <c r="K685" s="1708" t="s">
        <v>1127</v>
      </c>
      <c r="L685" s="1707"/>
      <c r="M685" s="1708">
        <v>1</v>
      </c>
      <c r="N685" s="1708">
        <v>0.14000000000000001</v>
      </c>
      <c r="O685" s="1710"/>
      <c r="P685" s="1711">
        <v>0.12</v>
      </c>
      <c r="Q685" s="1712" t="s">
        <v>4127</v>
      </c>
      <c r="R685" s="1711">
        <v>0.5</v>
      </c>
      <c r="S685" s="1712" t="s">
        <v>4127</v>
      </c>
      <c r="T685" s="1711">
        <v>2.5000000000000001E-3</v>
      </c>
      <c r="U685" s="1712" t="s">
        <v>4126</v>
      </c>
      <c r="V685" s="1711">
        <v>1.0999999999999999E-2</v>
      </c>
      <c r="W685" s="1712" t="s">
        <v>4126</v>
      </c>
      <c r="X685" s="1711">
        <v>4.0000000000000001E-3</v>
      </c>
      <c r="Y685" s="1714" t="s">
        <v>4126</v>
      </c>
      <c r="Z685" s="1713"/>
      <c r="AA685" s="1715">
        <v>1.6999999999999999E-3</v>
      </c>
      <c r="AB685" s="1716" t="s">
        <v>4126</v>
      </c>
      <c r="AC685" s="1717"/>
    </row>
    <row r="686" spans="1:29" ht="45">
      <c r="A686" s="1704" t="s">
        <v>3166</v>
      </c>
      <c r="B686" s="1705" t="s">
        <v>3167</v>
      </c>
      <c r="C686" s="1736">
        <v>3900</v>
      </c>
      <c r="D686" s="1708" t="s">
        <v>3158</v>
      </c>
      <c r="E686" s="1709">
        <v>1.1399999999999999</v>
      </c>
      <c r="F686" s="1708" t="s">
        <v>3158</v>
      </c>
      <c r="G686" s="1709">
        <v>2.33E-8</v>
      </c>
      <c r="H686" s="1708" t="s">
        <v>3158</v>
      </c>
      <c r="I686" s="1709">
        <v>1.33E-6</v>
      </c>
      <c r="J686" s="1708" t="s">
        <v>3158</v>
      </c>
      <c r="K686" s="1708" t="s">
        <v>1127</v>
      </c>
      <c r="L686" s="1707"/>
      <c r="M686" s="1708">
        <v>1</v>
      </c>
      <c r="N686" s="1708">
        <v>0.14000000000000001</v>
      </c>
      <c r="O686" s="1710"/>
      <c r="P686" s="1711">
        <v>1.2E-4</v>
      </c>
      <c r="Q686" s="1712" t="s">
        <v>4127</v>
      </c>
      <c r="R686" s="1711">
        <v>5.1000000000000004E-4</v>
      </c>
      <c r="S686" s="1712" t="s">
        <v>4127</v>
      </c>
      <c r="T686" s="1711">
        <v>2.5000000000000002E-6</v>
      </c>
      <c r="U686" s="1712" t="s">
        <v>4126</v>
      </c>
      <c r="V686" s="1711">
        <v>1.1E-5</v>
      </c>
      <c r="W686" s="1712" t="s">
        <v>4126</v>
      </c>
      <c r="X686" s="1711">
        <v>3.9999999999999998E-6</v>
      </c>
      <c r="Y686" s="1714" t="s">
        <v>4126</v>
      </c>
      <c r="Z686" s="1713"/>
      <c r="AA686" s="1715">
        <v>1.7E-6</v>
      </c>
      <c r="AB686" s="1716" t="s">
        <v>4126</v>
      </c>
      <c r="AC686" s="1717"/>
    </row>
    <row r="687" spans="1:29" ht="45">
      <c r="A687" s="1719" t="s">
        <v>3168</v>
      </c>
      <c r="B687" s="1720" t="s">
        <v>3169</v>
      </c>
      <c r="C687" s="1737">
        <v>3.9</v>
      </c>
      <c r="D687" s="1723" t="s">
        <v>3158</v>
      </c>
      <c r="E687" s="1724">
        <v>1.14E-3</v>
      </c>
      <c r="F687" s="1723" t="s">
        <v>3158</v>
      </c>
      <c r="G687" s="1724">
        <v>2.3300000000000001E-5</v>
      </c>
      <c r="H687" s="1723" t="s">
        <v>3158</v>
      </c>
      <c r="I687" s="1724">
        <v>1.33E-3</v>
      </c>
      <c r="J687" s="1723" t="s">
        <v>3158</v>
      </c>
      <c r="K687" s="1723" t="s">
        <v>1127</v>
      </c>
      <c r="L687" s="1722"/>
      <c r="M687" s="1723">
        <v>1</v>
      </c>
      <c r="N687" s="1723">
        <v>0.14000000000000001</v>
      </c>
      <c r="O687" s="1725"/>
      <c r="P687" s="1726">
        <v>0.12</v>
      </c>
      <c r="Q687" s="1727" t="s">
        <v>4127</v>
      </c>
      <c r="R687" s="1726">
        <v>0.49</v>
      </c>
      <c r="S687" s="1727" t="s">
        <v>4127</v>
      </c>
      <c r="T687" s="1726">
        <v>2.5000000000000001E-3</v>
      </c>
      <c r="U687" s="1727" t="s">
        <v>4126</v>
      </c>
      <c r="V687" s="1726">
        <v>1.0999999999999999E-2</v>
      </c>
      <c r="W687" s="1727" t="s">
        <v>4126</v>
      </c>
      <c r="X687" s="1726">
        <v>4.0000000000000001E-3</v>
      </c>
      <c r="Y687" s="1729" t="s">
        <v>4126</v>
      </c>
      <c r="Z687" s="1728"/>
      <c r="AA687" s="1730">
        <v>1E-3</v>
      </c>
      <c r="AB687" s="1731" t="s">
        <v>4126</v>
      </c>
      <c r="AC687" s="1732"/>
    </row>
    <row r="688" spans="1:29" ht="45">
      <c r="A688" s="1704" t="s">
        <v>3170</v>
      </c>
      <c r="B688" s="1705" t="s">
        <v>3171</v>
      </c>
      <c r="C688" s="1736">
        <v>3.9</v>
      </c>
      <c r="D688" s="1708" t="s">
        <v>3158</v>
      </c>
      <c r="E688" s="1709">
        <v>1.14E-3</v>
      </c>
      <c r="F688" s="1708" t="s">
        <v>3158</v>
      </c>
      <c r="G688" s="1709">
        <v>2.3300000000000001E-5</v>
      </c>
      <c r="H688" s="1708" t="s">
        <v>3158</v>
      </c>
      <c r="I688" s="1709">
        <v>1.33E-3</v>
      </c>
      <c r="J688" s="1708" t="s">
        <v>3158</v>
      </c>
      <c r="K688" s="1708" t="s">
        <v>1127</v>
      </c>
      <c r="L688" s="1707"/>
      <c r="M688" s="1708">
        <v>1</v>
      </c>
      <c r="N688" s="1708">
        <v>0.14000000000000001</v>
      </c>
      <c r="O688" s="1710"/>
      <c r="P688" s="1711">
        <v>0.12</v>
      </c>
      <c r="Q688" s="1712" t="s">
        <v>4127</v>
      </c>
      <c r="R688" s="1711">
        <v>0.49</v>
      </c>
      <c r="S688" s="1712" t="s">
        <v>4127</v>
      </c>
      <c r="T688" s="1711">
        <v>2.5000000000000001E-3</v>
      </c>
      <c r="U688" s="1712" t="s">
        <v>4126</v>
      </c>
      <c r="V688" s="1711">
        <v>1.0999999999999999E-2</v>
      </c>
      <c r="W688" s="1712" t="s">
        <v>4126</v>
      </c>
      <c r="X688" s="1711">
        <v>4.0000000000000001E-3</v>
      </c>
      <c r="Y688" s="1714" t="s">
        <v>4126</v>
      </c>
      <c r="Z688" s="1713"/>
      <c r="AA688" s="1715">
        <v>1E-3</v>
      </c>
      <c r="AB688" s="1716" t="s">
        <v>4126</v>
      </c>
      <c r="AC688" s="1717"/>
    </row>
    <row r="689" spans="1:29" ht="45">
      <c r="A689" s="1704" t="s">
        <v>3172</v>
      </c>
      <c r="B689" s="1705" t="s">
        <v>3173</v>
      </c>
      <c r="C689" s="1736">
        <v>3.9</v>
      </c>
      <c r="D689" s="1708" t="s">
        <v>3158</v>
      </c>
      <c r="E689" s="1709">
        <v>1.14E-3</v>
      </c>
      <c r="F689" s="1708" t="s">
        <v>3158</v>
      </c>
      <c r="G689" s="1709">
        <v>2.3300000000000001E-5</v>
      </c>
      <c r="H689" s="1708" t="s">
        <v>3158</v>
      </c>
      <c r="I689" s="1709">
        <v>1.33E-3</v>
      </c>
      <c r="J689" s="1708" t="s">
        <v>3158</v>
      </c>
      <c r="K689" s="1708" t="s">
        <v>1127</v>
      </c>
      <c r="L689" s="1707"/>
      <c r="M689" s="1708">
        <v>1</v>
      </c>
      <c r="N689" s="1708">
        <v>0.14000000000000001</v>
      </c>
      <c r="O689" s="1710"/>
      <c r="P689" s="1711">
        <v>0.12</v>
      </c>
      <c r="Q689" s="1712" t="s">
        <v>4127</v>
      </c>
      <c r="R689" s="1711">
        <v>0.49</v>
      </c>
      <c r="S689" s="1712" t="s">
        <v>4127</v>
      </c>
      <c r="T689" s="1711">
        <v>2.5000000000000001E-3</v>
      </c>
      <c r="U689" s="1712" t="s">
        <v>4126</v>
      </c>
      <c r="V689" s="1711">
        <v>1.0999999999999999E-2</v>
      </c>
      <c r="W689" s="1712" t="s">
        <v>4126</v>
      </c>
      <c r="X689" s="1711">
        <v>4.0000000000000001E-3</v>
      </c>
      <c r="Y689" s="1714" t="s">
        <v>4126</v>
      </c>
      <c r="Z689" s="1713"/>
      <c r="AA689" s="1715">
        <v>1E-3</v>
      </c>
      <c r="AB689" s="1716" t="s">
        <v>4126</v>
      </c>
      <c r="AC689" s="1717"/>
    </row>
    <row r="690" spans="1:29" ht="45">
      <c r="A690" s="1719" t="s">
        <v>3174</v>
      </c>
      <c r="B690" s="1720" t="s">
        <v>3175</v>
      </c>
      <c r="C690" s="1737">
        <v>3.9</v>
      </c>
      <c r="D690" s="1723" t="s">
        <v>3158</v>
      </c>
      <c r="E690" s="1724">
        <v>1.14E-3</v>
      </c>
      <c r="F690" s="1723" t="s">
        <v>3158</v>
      </c>
      <c r="G690" s="1724">
        <v>2.3300000000000001E-5</v>
      </c>
      <c r="H690" s="1723" t="s">
        <v>3158</v>
      </c>
      <c r="I690" s="1724">
        <v>1.33E-3</v>
      </c>
      <c r="J690" s="1723" t="s">
        <v>3158</v>
      </c>
      <c r="K690" s="1723" t="s">
        <v>1127</v>
      </c>
      <c r="L690" s="1722"/>
      <c r="M690" s="1723">
        <v>1</v>
      </c>
      <c r="N690" s="1723">
        <v>0.14000000000000001</v>
      </c>
      <c r="O690" s="1725"/>
      <c r="P690" s="1726">
        <v>0.12</v>
      </c>
      <c r="Q690" s="1727" t="s">
        <v>4127</v>
      </c>
      <c r="R690" s="1726">
        <v>0.5</v>
      </c>
      <c r="S690" s="1727" t="s">
        <v>4127</v>
      </c>
      <c r="T690" s="1726">
        <v>2.5000000000000001E-3</v>
      </c>
      <c r="U690" s="1727" t="s">
        <v>4126</v>
      </c>
      <c r="V690" s="1726">
        <v>1.0999999999999999E-2</v>
      </c>
      <c r="W690" s="1727" t="s">
        <v>4126</v>
      </c>
      <c r="X690" s="1726">
        <v>4.0000000000000001E-3</v>
      </c>
      <c r="Y690" s="1729" t="s">
        <v>4126</v>
      </c>
      <c r="Z690" s="1728"/>
      <c r="AA690" s="1730">
        <v>1E-3</v>
      </c>
      <c r="AB690" s="1731" t="s">
        <v>4126</v>
      </c>
      <c r="AC690" s="1732"/>
    </row>
    <row r="691" spans="1:29" ht="45">
      <c r="A691" s="1704" t="s">
        <v>3176</v>
      </c>
      <c r="B691" s="1705" t="s">
        <v>3177</v>
      </c>
      <c r="C691" s="1736">
        <v>13000</v>
      </c>
      <c r="D691" s="1708" t="s">
        <v>3158</v>
      </c>
      <c r="E691" s="1709">
        <v>3.8</v>
      </c>
      <c r="F691" s="1708" t="s">
        <v>3158</v>
      </c>
      <c r="G691" s="1709">
        <v>6.9999999999999998E-9</v>
      </c>
      <c r="H691" s="1708" t="s">
        <v>3158</v>
      </c>
      <c r="I691" s="1709">
        <v>3.9999999999999998E-7</v>
      </c>
      <c r="J691" s="1708" t="s">
        <v>3158</v>
      </c>
      <c r="K691" s="1708" t="s">
        <v>1127</v>
      </c>
      <c r="L691" s="1707"/>
      <c r="M691" s="1708">
        <v>1</v>
      </c>
      <c r="N691" s="1708">
        <v>0.14000000000000001</v>
      </c>
      <c r="O691" s="1710"/>
      <c r="P691" s="1711">
        <v>3.6000000000000001E-5</v>
      </c>
      <c r="Q691" s="1712" t="s">
        <v>4127</v>
      </c>
      <c r="R691" s="1711">
        <v>1.4999999999999999E-4</v>
      </c>
      <c r="S691" s="1712" t="s">
        <v>4127</v>
      </c>
      <c r="T691" s="1711">
        <v>7.4000000000000001E-7</v>
      </c>
      <c r="U691" s="1712" t="s">
        <v>4126</v>
      </c>
      <c r="V691" s="1711">
        <v>3.1999999999999999E-6</v>
      </c>
      <c r="W691" s="1712" t="s">
        <v>4126</v>
      </c>
      <c r="X691" s="1711">
        <v>1.1999999999999999E-6</v>
      </c>
      <c r="Y691" s="1714" t="s">
        <v>4126</v>
      </c>
      <c r="Z691" s="1713"/>
      <c r="AA691" s="1715">
        <v>2.9999999999999999E-7</v>
      </c>
      <c r="AB691" s="1716" t="s">
        <v>4126</v>
      </c>
      <c r="AC691" s="1717"/>
    </row>
    <row r="692" spans="1:29" ht="45">
      <c r="A692" s="1704" t="s">
        <v>304</v>
      </c>
      <c r="B692" s="1705" t="s">
        <v>3178</v>
      </c>
      <c r="C692" s="1736">
        <v>2</v>
      </c>
      <c r="D692" s="1708" t="s">
        <v>1119</v>
      </c>
      <c r="E692" s="1709">
        <v>5.71E-4</v>
      </c>
      <c r="F692" s="1708" t="s">
        <v>1119</v>
      </c>
      <c r="G692" s="1708"/>
      <c r="H692" s="1707"/>
      <c r="I692" s="1708"/>
      <c r="J692" s="1707"/>
      <c r="K692" s="1708" t="s">
        <v>1127</v>
      </c>
      <c r="L692" s="1707"/>
      <c r="M692" s="1708">
        <v>1</v>
      </c>
      <c r="N692" s="1708">
        <v>0.14000000000000001</v>
      </c>
      <c r="O692" s="1710"/>
      <c r="P692" s="1711">
        <v>0.23</v>
      </c>
      <c r="Q692" s="1712" t="s">
        <v>4126</v>
      </c>
      <c r="R692" s="1711">
        <v>0.94</v>
      </c>
      <c r="S692" s="1712" t="s">
        <v>4126</v>
      </c>
      <c r="T692" s="1711">
        <v>4.8999999999999998E-3</v>
      </c>
      <c r="U692" s="1712" t="s">
        <v>4126</v>
      </c>
      <c r="V692" s="1711">
        <v>2.1000000000000001E-2</v>
      </c>
      <c r="W692" s="1712" t="s">
        <v>4126</v>
      </c>
      <c r="X692" s="1712"/>
      <c r="Y692" s="1733"/>
      <c r="Z692" s="1711">
        <v>0.5</v>
      </c>
      <c r="AA692" s="1716"/>
      <c r="AB692" s="1734"/>
      <c r="AC692" s="1717"/>
    </row>
    <row r="693" spans="1:29" ht="45">
      <c r="A693" s="1719" t="s">
        <v>304</v>
      </c>
      <c r="B693" s="1720" t="s">
        <v>3179</v>
      </c>
      <c r="C693" s="1737">
        <v>0.4</v>
      </c>
      <c r="D693" s="1723" t="s">
        <v>1119</v>
      </c>
      <c r="E693" s="1724">
        <v>1E-4</v>
      </c>
      <c r="F693" s="1723" t="s">
        <v>1119</v>
      </c>
      <c r="G693" s="1723"/>
      <c r="H693" s="1722"/>
      <c r="I693" s="1723"/>
      <c r="J693" s="1722"/>
      <c r="K693" s="1723" t="s">
        <v>1127</v>
      </c>
      <c r="L693" s="1722"/>
      <c r="M693" s="1723">
        <v>1</v>
      </c>
      <c r="N693" s="1723">
        <v>0.14000000000000001</v>
      </c>
      <c r="O693" s="1725"/>
      <c r="P693" s="1727"/>
      <c r="Q693" s="1728"/>
      <c r="R693" s="1727"/>
      <c r="S693" s="1728"/>
      <c r="T693" s="1726">
        <v>2.8000000000000001E-2</v>
      </c>
      <c r="U693" s="1727" t="s">
        <v>4126</v>
      </c>
      <c r="V693" s="1726">
        <v>0.12</v>
      </c>
      <c r="W693" s="1727" t="s">
        <v>4126</v>
      </c>
      <c r="X693" s="1726">
        <v>4.3999999999999997E-2</v>
      </c>
      <c r="Y693" s="1729" t="s">
        <v>4126</v>
      </c>
      <c r="Z693" s="1726">
        <v>0.5</v>
      </c>
      <c r="AA693" s="1730">
        <v>6.7999999999999996E-3</v>
      </c>
      <c r="AB693" s="1731" t="s">
        <v>4126</v>
      </c>
      <c r="AC693" s="1739">
        <v>7.8E-2</v>
      </c>
    </row>
    <row r="694" spans="1:29" ht="45">
      <c r="A694" s="1704" t="s">
        <v>304</v>
      </c>
      <c r="B694" s="1705" t="s">
        <v>3180</v>
      </c>
      <c r="C694" s="1736">
        <v>7.0000000000000007E-2</v>
      </c>
      <c r="D694" s="1708" t="s">
        <v>1119</v>
      </c>
      <c r="E694" s="1709">
        <v>2.0000000000000002E-5</v>
      </c>
      <c r="F694" s="1708" t="s">
        <v>1119</v>
      </c>
      <c r="G694" s="1708"/>
      <c r="H694" s="1707"/>
      <c r="I694" s="1708"/>
      <c r="J694" s="1707"/>
      <c r="K694" s="1708" t="s">
        <v>1127</v>
      </c>
      <c r="L694" s="1707"/>
      <c r="M694" s="1708">
        <v>1</v>
      </c>
      <c r="N694" s="1708">
        <v>0.14000000000000001</v>
      </c>
      <c r="O694" s="1710"/>
      <c r="P694" s="1712"/>
      <c r="Q694" s="1713"/>
      <c r="R694" s="1712"/>
      <c r="S694" s="1713"/>
      <c r="T694" s="1711">
        <v>0.14000000000000001</v>
      </c>
      <c r="U694" s="1712" t="s">
        <v>4126</v>
      </c>
      <c r="V694" s="1711">
        <v>0.61</v>
      </c>
      <c r="W694" s="1712" t="s">
        <v>4126</v>
      </c>
      <c r="X694" s="1712"/>
      <c r="Y694" s="1733"/>
      <c r="Z694" s="1711">
        <v>0.5</v>
      </c>
      <c r="AA694" s="1716"/>
      <c r="AB694" s="1734"/>
      <c r="AC694" s="1717"/>
    </row>
    <row r="695" spans="1:29" ht="45">
      <c r="A695" s="1704" t="s">
        <v>3181</v>
      </c>
      <c r="B695" s="1705" t="s">
        <v>3182</v>
      </c>
      <c r="C695" s="1736">
        <v>13</v>
      </c>
      <c r="D695" s="1708" t="s">
        <v>3158</v>
      </c>
      <c r="E695" s="1709">
        <v>3.8E-3</v>
      </c>
      <c r="F695" s="1708" t="s">
        <v>3158</v>
      </c>
      <c r="G695" s="1709">
        <v>6.9999999999999999E-6</v>
      </c>
      <c r="H695" s="1708" t="s">
        <v>3158</v>
      </c>
      <c r="I695" s="1709">
        <v>4.0000000000000002E-4</v>
      </c>
      <c r="J695" s="1708" t="s">
        <v>3158</v>
      </c>
      <c r="K695" s="1707"/>
      <c r="L695" s="1707"/>
      <c r="M695" s="1708">
        <v>1</v>
      </c>
      <c r="N695" s="1708">
        <v>0.14000000000000001</v>
      </c>
      <c r="O695" s="1710"/>
      <c r="P695" s="1711">
        <v>3.7999999999999999E-2</v>
      </c>
      <c r="Q695" s="1712" t="s">
        <v>4127</v>
      </c>
      <c r="R695" s="1711">
        <v>0.16</v>
      </c>
      <c r="S695" s="1712" t="s">
        <v>4127</v>
      </c>
      <c r="T695" s="1711">
        <v>7.3999999999999999E-4</v>
      </c>
      <c r="U695" s="1712" t="s">
        <v>4126</v>
      </c>
      <c r="V695" s="1711">
        <v>3.2000000000000002E-3</v>
      </c>
      <c r="W695" s="1712" t="s">
        <v>4126</v>
      </c>
      <c r="X695" s="1711">
        <v>6.0000000000000001E-3</v>
      </c>
      <c r="Y695" s="1714" t="s">
        <v>4127</v>
      </c>
      <c r="Z695" s="1713"/>
      <c r="AA695" s="1715">
        <v>9.3999999999999997E-4</v>
      </c>
      <c r="AB695" s="1716" t="s">
        <v>4127</v>
      </c>
      <c r="AC695" s="1717"/>
    </row>
    <row r="696" spans="1:29" ht="45">
      <c r="A696" s="1719" t="s">
        <v>3184</v>
      </c>
      <c r="B696" s="1720" t="s">
        <v>3185</v>
      </c>
      <c r="C696" s="1737">
        <v>39</v>
      </c>
      <c r="D696" s="1723" t="s">
        <v>3158</v>
      </c>
      <c r="E696" s="1724">
        <v>1.14E-2</v>
      </c>
      <c r="F696" s="1723" t="s">
        <v>3158</v>
      </c>
      <c r="G696" s="1724">
        <v>2.3300000000000001E-6</v>
      </c>
      <c r="H696" s="1723" t="s">
        <v>3158</v>
      </c>
      <c r="I696" s="1724">
        <v>1.3300000000000001E-4</v>
      </c>
      <c r="J696" s="1723" t="s">
        <v>3158</v>
      </c>
      <c r="K696" s="1723" t="s">
        <v>1127</v>
      </c>
      <c r="L696" s="1722"/>
      <c r="M696" s="1723">
        <v>1</v>
      </c>
      <c r="N696" s="1723">
        <v>0.14000000000000001</v>
      </c>
      <c r="O696" s="1725"/>
      <c r="P696" s="1726">
        <v>1.2E-2</v>
      </c>
      <c r="Q696" s="1727" t="s">
        <v>4127</v>
      </c>
      <c r="R696" s="1726">
        <v>4.8000000000000001E-2</v>
      </c>
      <c r="S696" s="1727" t="s">
        <v>4127</v>
      </c>
      <c r="T696" s="1726">
        <v>2.5000000000000001E-4</v>
      </c>
      <c r="U696" s="1727" t="s">
        <v>4126</v>
      </c>
      <c r="V696" s="1726">
        <v>1.1000000000000001E-3</v>
      </c>
      <c r="W696" s="1727" t="s">
        <v>4126</v>
      </c>
      <c r="X696" s="1726">
        <v>4.0000000000000002E-4</v>
      </c>
      <c r="Y696" s="1729" t="s">
        <v>4126</v>
      </c>
      <c r="Z696" s="1728"/>
      <c r="AA696" s="1730">
        <v>6.2000000000000003E-5</v>
      </c>
      <c r="AB696" s="1731" t="s">
        <v>4126</v>
      </c>
      <c r="AC696" s="1732"/>
    </row>
    <row r="697" spans="1:29" ht="75">
      <c r="A697" s="1704" t="s">
        <v>3186</v>
      </c>
      <c r="B697" s="1705" t="s">
        <v>3187</v>
      </c>
      <c r="C697" s="1706"/>
      <c r="D697" s="1707"/>
      <c r="E697" s="1708"/>
      <c r="F697" s="1707"/>
      <c r="G697" s="1708"/>
      <c r="H697" s="1707"/>
      <c r="I697" s="1709">
        <v>5.9999999999999995E-4</v>
      </c>
      <c r="J697" s="1708" t="s">
        <v>1119</v>
      </c>
      <c r="K697" s="1707"/>
      <c r="L697" s="1707"/>
      <c r="M697" s="1708">
        <v>1</v>
      </c>
      <c r="N697" s="1708">
        <v>0.1</v>
      </c>
      <c r="O697" s="1710"/>
      <c r="P697" s="1711">
        <v>850000</v>
      </c>
      <c r="Q697" s="1712" t="s">
        <v>4124</v>
      </c>
      <c r="R697" s="1711">
        <v>3600000</v>
      </c>
      <c r="S697" s="1712" t="s">
        <v>4124</v>
      </c>
      <c r="T697" s="1711">
        <v>0.63</v>
      </c>
      <c r="U697" s="1712" t="s">
        <v>1471</v>
      </c>
      <c r="V697" s="1711">
        <v>2.6</v>
      </c>
      <c r="W697" s="1712" t="s">
        <v>1471</v>
      </c>
      <c r="X697" s="1712"/>
      <c r="Y697" s="1733"/>
      <c r="Z697" s="1713"/>
      <c r="AA697" s="1716"/>
      <c r="AB697" s="1734"/>
      <c r="AC697" s="1717"/>
    </row>
    <row r="698" spans="1:29" ht="60">
      <c r="A698" s="1704"/>
      <c r="B698" s="1705" t="s">
        <v>3188</v>
      </c>
      <c r="C698" s="1706"/>
      <c r="D698" s="1707"/>
      <c r="E698" s="1708"/>
      <c r="F698" s="1707"/>
      <c r="G698" s="1708"/>
      <c r="H698" s="1707"/>
      <c r="I698" s="1708"/>
      <c r="J698" s="1707"/>
      <c r="K698" s="1707"/>
      <c r="L698" s="1707"/>
      <c r="M698" s="1708"/>
      <c r="N698" s="1708"/>
      <c r="O698" s="1710"/>
      <c r="P698" s="1712"/>
      <c r="Q698" s="1713"/>
      <c r="R698" s="1712"/>
      <c r="S698" s="1713"/>
      <c r="T698" s="1712"/>
      <c r="U698" s="1713"/>
      <c r="V698" s="1712"/>
      <c r="W698" s="1713"/>
      <c r="X698" s="1712"/>
      <c r="Y698" s="1733"/>
      <c r="Z698" s="1713"/>
      <c r="AA698" s="1716"/>
      <c r="AB698" s="1734"/>
      <c r="AC698" s="1717"/>
    </row>
    <row r="699" spans="1:29" ht="15">
      <c r="A699" s="1719" t="s">
        <v>234</v>
      </c>
      <c r="B699" s="1720" t="s">
        <v>3189</v>
      </c>
      <c r="C699" s="1721"/>
      <c r="D699" s="1722"/>
      <c r="E699" s="1723"/>
      <c r="F699" s="1722"/>
      <c r="G699" s="1724">
        <v>0.06</v>
      </c>
      <c r="H699" s="1723" t="s">
        <v>1119</v>
      </c>
      <c r="I699" s="1723"/>
      <c r="J699" s="1722"/>
      <c r="K699" s="1723" t="s">
        <v>1127</v>
      </c>
      <c r="L699" s="1722"/>
      <c r="M699" s="1723">
        <v>1</v>
      </c>
      <c r="N699" s="1723">
        <v>0.13</v>
      </c>
      <c r="O699" s="1725"/>
      <c r="P699" s="1726">
        <v>3600</v>
      </c>
      <c r="Q699" s="1727" t="s">
        <v>1471</v>
      </c>
      <c r="R699" s="1726">
        <v>45000</v>
      </c>
      <c r="S699" s="1727" t="s">
        <v>1471</v>
      </c>
      <c r="T699" s="1727"/>
      <c r="U699" s="1728"/>
      <c r="V699" s="1727"/>
      <c r="W699" s="1728"/>
      <c r="X699" s="1726">
        <v>530</v>
      </c>
      <c r="Y699" s="1729" t="s">
        <v>1471</v>
      </c>
      <c r="Z699" s="1728"/>
      <c r="AA699" s="1730">
        <v>5.5</v>
      </c>
      <c r="AB699" s="1731" t="s">
        <v>1471</v>
      </c>
      <c r="AC699" s="1732"/>
    </row>
    <row r="700" spans="1:29" ht="15">
      <c r="A700" s="1704" t="s">
        <v>236</v>
      </c>
      <c r="B700" s="1705" t="s">
        <v>3190</v>
      </c>
      <c r="C700" s="1706"/>
      <c r="D700" s="1707"/>
      <c r="E700" s="1708"/>
      <c r="F700" s="1707"/>
      <c r="G700" s="1709">
        <v>0.3</v>
      </c>
      <c r="H700" s="1708" t="s">
        <v>1119</v>
      </c>
      <c r="I700" s="1708"/>
      <c r="J700" s="1707"/>
      <c r="K700" s="1708" t="s">
        <v>1127</v>
      </c>
      <c r="L700" s="1707"/>
      <c r="M700" s="1708">
        <v>1</v>
      </c>
      <c r="N700" s="1708">
        <v>0.13</v>
      </c>
      <c r="O700" s="1710"/>
      <c r="P700" s="1711">
        <v>18000</v>
      </c>
      <c r="Q700" s="1712" t="s">
        <v>1471</v>
      </c>
      <c r="R700" s="1711">
        <v>230000</v>
      </c>
      <c r="S700" s="1712" t="s">
        <v>4124</v>
      </c>
      <c r="T700" s="1712"/>
      <c r="U700" s="1713"/>
      <c r="V700" s="1712"/>
      <c r="W700" s="1713"/>
      <c r="X700" s="1711">
        <v>1800</v>
      </c>
      <c r="Y700" s="1714" t="s">
        <v>1471</v>
      </c>
      <c r="Z700" s="1713"/>
      <c r="AA700" s="1715">
        <v>58</v>
      </c>
      <c r="AB700" s="1716" t="s">
        <v>1471</v>
      </c>
      <c r="AC700" s="1717"/>
    </row>
    <row r="701" spans="1:29" ht="30">
      <c r="A701" s="1704" t="s">
        <v>238</v>
      </c>
      <c r="B701" s="1705" t="s">
        <v>3191</v>
      </c>
      <c r="C701" s="1736">
        <v>0.1</v>
      </c>
      <c r="D701" s="1708" t="s">
        <v>3192</v>
      </c>
      <c r="E701" s="1709">
        <v>6.0000000000000002E-5</v>
      </c>
      <c r="F701" s="1708" t="s">
        <v>3192</v>
      </c>
      <c r="G701" s="1708"/>
      <c r="H701" s="1707"/>
      <c r="I701" s="1708"/>
      <c r="J701" s="1707"/>
      <c r="K701" s="1708" t="s">
        <v>1127</v>
      </c>
      <c r="L701" s="1708" t="s">
        <v>1906</v>
      </c>
      <c r="M701" s="1708">
        <v>1</v>
      </c>
      <c r="N701" s="1708">
        <v>0.13</v>
      </c>
      <c r="O701" s="1710"/>
      <c r="P701" s="1711">
        <v>1.1000000000000001</v>
      </c>
      <c r="Q701" s="1712" t="s">
        <v>4126</v>
      </c>
      <c r="R701" s="1711">
        <v>21</v>
      </c>
      <c r="S701" s="1712" t="s">
        <v>4126</v>
      </c>
      <c r="T701" s="1711">
        <v>1.7000000000000001E-2</v>
      </c>
      <c r="U701" s="1712" t="s">
        <v>4126</v>
      </c>
      <c r="V701" s="1711">
        <v>0.2</v>
      </c>
      <c r="W701" s="1712" t="s">
        <v>4126</v>
      </c>
      <c r="X701" s="1711">
        <v>0.03</v>
      </c>
      <c r="Y701" s="1714" t="s">
        <v>4126</v>
      </c>
      <c r="Z701" s="1713"/>
      <c r="AA701" s="1715">
        <v>1.0999999999999999E-2</v>
      </c>
      <c r="AB701" s="1716" t="s">
        <v>4126</v>
      </c>
      <c r="AC701" s="1717"/>
    </row>
    <row r="702" spans="1:29" ht="15">
      <c r="A702" s="1719" t="s">
        <v>240</v>
      </c>
      <c r="B702" s="1720" t="s">
        <v>3193</v>
      </c>
      <c r="C702" s="1737">
        <v>1</v>
      </c>
      <c r="D702" s="1723" t="s">
        <v>1119</v>
      </c>
      <c r="E702" s="1724">
        <v>5.9999999999999995E-4</v>
      </c>
      <c r="F702" s="1723" t="s">
        <v>1119</v>
      </c>
      <c r="G702" s="1724">
        <v>2.9999999999999997E-4</v>
      </c>
      <c r="H702" s="1723" t="s">
        <v>1119</v>
      </c>
      <c r="I702" s="1724">
        <v>1.9999999999999999E-6</v>
      </c>
      <c r="J702" s="1723" t="s">
        <v>1119</v>
      </c>
      <c r="K702" s="1722"/>
      <c r="L702" s="1723" t="s">
        <v>1906</v>
      </c>
      <c r="M702" s="1723">
        <v>1</v>
      </c>
      <c r="N702" s="1723">
        <v>0.13</v>
      </c>
      <c r="O702" s="1725"/>
      <c r="P702" s="1726">
        <v>0.11</v>
      </c>
      <c r="Q702" s="1727" t="s">
        <v>4126</v>
      </c>
      <c r="R702" s="1726">
        <v>2.1</v>
      </c>
      <c r="S702" s="1727" t="s">
        <v>4126</v>
      </c>
      <c r="T702" s="1726">
        <v>1.6999999999999999E-3</v>
      </c>
      <c r="U702" s="1727" t="s">
        <v>4122</v>
      </c>
      <c r="V702" s="1726">
        <v>8.8000000000000005E-3</v>
      </c>
      <c r="W702" s="1727" t="s">
        <v>1471</v>
      </c>
      <c r="X702" s="1726">
        <v>2.5000000000000001E-2</v>
      </c>
      <c r="Y702" s="1729" t="s">
        <v>4126</v>
      </c>
      <c r="Z702" s="1726">
        <v>0.2</v>
      </c>
      <c r="AA702" s="1730">
        <v>2.9000000000000001E-2</v>
      </c>
      <c r="AB702" s="1731" t="s">
        <v>4126</v>
      </c>
      <c r="AC702" s="1739">
        <v>0.24</v>
      </c>
    </row>
    <row r="703" spans="1:29" ht="30">
      <c r="A703" s="1704" t="s">
        <v>242</v>
      </c>
      <c r="B703" s="1705" t="s">
        <v>3194</v>
      </c>
      <c r="C703" s="1736">
        <v>0.1</v>
      </c>
      <c r="D703" s="1708" t="s">
        <v>3192</v>
      </c>
      <c r="E703" s="1709">
        <v>6.0000000000000002E-5</v>
      </c>
      <c r="F703" s="1708" t="s">
        <v>3192</v>
      </c>
      <c r="G703" s="1708"/>
      <c r="H703" s="1707"/>
      <c r="I703" s="1708"/>
      <c r="J703" s="1707"/>
      <c r="K703" s="1707"/>
      <c r="L703" s="1708" t="s">
        <v>1906</v>
      </c>
      <c r="M703" s="1708">
        <v>1</v>
      </c>
      <c r="N703" s="1708">
        <v>0.13</v>
      </c>
      <c r="O703" s="1710"/>
      <c r="P703" s="1711">
        <v>1.1000000000000001</v>
      </c>
      <c r="Q703" s="1712" t="s">
        <v>4126</v>
      </c>
      <c r="R703" s="1711">
        <v>21</v>
      </c>
      <c r="S703" s="1712" t="s">
        <v>4126</v>
      </c>
      <c r="T703" s="1711">
        <v>1.7000000000000001E-2</v>
      </c>
      <c r="U703" s="1712" t="s">
        <v>4126</v>
      </c>
      <c r="V703" s="1711">
        <v>0.2</v>
      </c>
      <c r="W703" s="1712" t="s">
        <v>4126</v>
      </c>
      <c r="X703" s="1711">
        <v>0.25</v>
      </c>
      <c r="Y703" s="1714" t="s">
        <v>4126</v>
      </c>
      <c r="Z703" s="1713"/>
      <c r="AA703" s="1715">
        <v>0.3</v>
      </c>
      <c r="AB703" s="1716" t="s">
        <v>4126</v>
      </c>
      <c r="AC703" s="1717"/>
    </row>
    <row r="704" spans="1:29" ht="15">
      <c r="A704" s="1704" t="s">
        <v>3196</v>
      </c>
      <c r="B704" s="1705" t="s">
        <v>3197</v>
      </c>
      <c r="C704" s="1706"/>
      <c r="D704" s="1707"/>
      <c r="E704" s="1708"/>
      <c r="F704" s="1707"/>
      <c r="G704" s="1709">
        <v>9.0000000000000006E-5</v>
      </c>
      <c r="H704" s="1708" t="s">
        <v>1893</v>
      </c>
      <c r="I704" s="1709">
        <v>1.9999999999999999E-6</v>
      </c>
      <c r="J704" s="1708" t="s">
        <v>1893</v>
      </c>
      <c r="K704" s="1707"/>
      <c r="L704" s="1707"/>
      <c r="M704" s="1708">
        <v>1</v>
      </c>
      <c r="N704" s="1708">
        <v>0.1</v>
      </c>
      <c r="O704" s="1710"/>
      <c r="P704" s="1711">
        <v>5.7</v>
      </c>
      <c r="Q704" s="1712" t="s">
        <v>1471</v>
      </c>
      <c r="R704" s="1711">
        <v>73</v>
      </c>
      <c r="S704" s="1712" t="s">
        <v>1471</v>
      </c>
      <c r="T704" s="1711">
        <v>2.0999999999999999E-3</v>
      </c>
      <c r="U704" s="1712" t="s">
        <v>1471</v>
      </c>
      <c r="V704" s="1711">
        <v>8.8000000000000005E-3</v>
      </c>
      <c r="W704" s="1712" t="s">
        <v>1471</v>
      </c>
      <c r="X704" s="1711">
        <v>1.8</v>
      </c>
      <c r="Y704" s="1714" t="s">
        <v>1471</v>
      </c>
      <c r="Z704" s="1713"/>
      <c r="AA704" s="1715">
        <v>2.2000000000000002</v>
      </c>
      <c r="AB704" s="1716" t="s">
        <v>1471</v>
      </c>
      <c r="AC704" s="1717"/>
    </row>
    <row r="705" spans="1:29" ht="30">
      <c r="A705" s="1719" t="s">
        <v>3198</v>
      </c>
      <c r="B705" s="1720" t="s">
        <v>3199</v>
      </c>
      <c r="C705" s="1737">
        <v>1.2</v>
      </c>
      <c r="D705" s="1723" t="s">
        <v>1900</v>
      </c>
      <c r="E705" s="1724">
        <v>1.1E-4</v>
      </c>
      <c r="F705" s="1723" t="s">
        <v>1900</v>
      </c>
      <c r="G705" s="1723"/>
      <c r="H705" s="1722"/>
      <c r="I705" s="1723"/>
      <c r="J705" s="1722"/>
      <c r="K705" s="1722"/>
      <c r="L705" s="1722"/>
      <c r="M705" s="1723">
        <v>1</v>
      </c>
      <c r="N705" s="1723">
        <v>0.13</v>
      </c>
      <c r="O705" s="1725"/>
      <c r="P705" s="1726">
        <v>0.42</v>
      </c>
      <c r="Q705" s="1727" t="s">
        <v>4126</v>
      </c>
      <c r="R705" s="1726">
        <v>1.8</v>
      </c>
      <c r="S705" s="1727" t="s">
        <v>4126</v>
      </c>
      <c r="T705" s="1726">
        <v>2.5999999999999999E-2</v>
      </c>
      <c r="U705" s="1727" t="s">
        <v>4126</v>
      </c>
      <c r="V705" s="1726">
        <v>0.11</v>
      </c>
      <c r="W705" s="1727" t="s">
        <v>4126</v>
      </c>
      <c r="X705" s="1726">
        <v>6.5000000000000002E-2</v>
      </c>
      <c r="Y705" s="1729" t="s">
        <v>4126</v>
      </c>
      <c r="Z705" s="1728"/>
      <c r="AA705" s="1730">
        <v>7.8E-2</v>
      </c>
      <c r="AB705" s="1731" t="s">
        <v>4126</v>
      </c>
      <c r="AC705" s="1732"/>
    </row>
    <row r="706" spans="1:29" ht="30">
      <c r="A706" s="1704" t="s">
        <v>244</v>
      </c>
      <c r="B706" s="1705" t="s">
        <v>3200</v>
      </c>
      <c r="C706" s="1736">
        <v>0.01</v>
      </c>
      <c r="D706" s="1708" t="s">
        <v>3192</v>
      </c>
      <c r="E706" s="1709">
        <v>6.0000000000000002E-6</v>
      </c>
      <c r="F706" s="1708" t="s">
        <v>3192</v>
      </c>
      <c r="G706" s="1708"/>
      <c r="H706" s="1707"/>
      <c r="I706" s="1708"/>
      <c r="J706" s="1707"/>
      <c r="K706" s="1707"/>
      <c r="L706" s="1708" t="s">
        <v>1906</v>
      </c>
      <c r="M706" s="1708">
        <v>1</v>
      </c>
      <c r="N706" s="1708">
        <v>0.13</v>
      </c>
      <c r="O706" s="1710"/>
      <c r="P706" s="1711">
        <v>11</v>
      </c>
      <c r="Q706" s="1712" t="s">
        <v>4126</v>
      </c>
      <c r="R706" s="1711">
        <v>210</v>
      </c>
      <c r="S706" s="1712" t="s">
        <v>4126</v>
      </c>
      <c r="T706" s="1711">
        <v>0.17</v>
      </c>
      <c r="U706" s="1712" t="s">
        <v>4126</v>
      </c>
      <c r="V706" s="1711">
        <v>2</v>
      </c>
      <c r="W706" s="1712" t="s">
        <v>4126</v>
      </c>
      <c r="X706" s="1711">
        <v>2.5</v>
      </c>
      <c r="Y706" s="1714" t="s">
        <v>4126</v>
      </c>
      <c r="Z706" s="1713"/>
      <c r="AA706" s="1715">
        <v>2.9</v>
      </c>
      <c r="AB706" s="1716" t="s">
        <v>4126</v>
      </c>
      <c r="AC706" s="1717"/>
    </row>
    <row r="707" spans="1:29" ht="30">
      <c r="A707" s="1704" t="s">
        <v>3201</v>
      </c>
      <c r="B707" s="1705" t="s">
        <v>3202</v>
      </c>
      <c r="C707" s="1706"/>
      <c r="D707" s="1707"/>
      <c r="E707" s="1708"/>
      <c r="F707" s="1707"/>
      <c r="G707" s="1709">
        <v>5.0000000000000001E-3</v>
      </c>
      <c r="H707" s="1708" t="s">
        <v>1893</v>
      </c>
      <c r="I707" s="1708"/>
      <c r="J707" s="1707"/>
      <c r="K707" s="1707"/>
      <c r="L707" s="1707"/>
      <c r="M707" s="1708">
        <v>1</v>
      </c>
      <c r="N707" s="1708">
        <v>0.1</v>
      </c>
      <c r="O707" s="1710"/>
      <c r="P707" s="1711">
        <v>320</v>
      </c>
      <c r="Q707" s="1712" t="s">
        <v>1471</v>
      </c>
      <c r="R707" s="1711">
        <v>4100</v>
      </c>
      <c r="S707" s="1712" t="s">
        <v>1471</v>
      </c>
      <c r="T707" s="1712"/>
      <c r="U707" s="1713"/>
      <c r="V707" s="1712"/>
      <c r="W707" s="1713"/>
      <c r="X707" s="1711">
        <v>100</v>
      </c>
      <c r="Y707" s="1714" t="s">
        <v>1471</v>
      </c>
      <c r="Z707" s="1713"/>
      <c r="AA707" s="1715">
        <v>19</v>
      </c>
      <c r="AB707" s="1716" t="s">
        <v>1471</v>
      </c>
      <c r="AC707" s="1717"/>
    </row>
    <row r="708" spans="1:29" ht="30">
      <c r="A708" s="1719" t="s">
        <v>3203</v>
      </c>
      <c r="B708" s="1720" t="s">
        <v>3204</v>
      </c>
      <c r="C708" s="1721"/>
      <c r="D708" s="1722"/>
      <c r="E708" s="1723"/>
      <c r="F708" s="1722"/>
      <c r="G708" s="1724">
        <v>0.08</v>
      </c>
      <c r="H708" s="1723" t="s">
        <v>1119</v>
      </c>
      <c r="I708" s="1723"/>
      <c r="J708" s="1722"/>
      <c r="K708" s="1723" t="s">
        <v>1127</v>
      </c>
      <c r="L708" s="1722"/>
      <c r="M708" s="1723">
        <v>1</v>
      </c>
      <c r="N708" s="1723">
        <v>0.13</v>
      </c>
      <c r="O708" s="1725"/>
      <c r="P708" s="1726">
        <v>4800</v>
      </c>
      <c r="Q708" s="1727" t="s">
        <v>1471</v>
      </c>
      <c r="R708" s="1726">
        <v>60000</v>
      </c>
      <c r="S708" s="1727" t="s">
        <v>1471</v>
      </c>
      <c r="T708" s="1727"/>
      <c r="U708" s="1728"/>
      <c r="V708" s="1727"/>
      <c r="W708" s="1728"/>
      <c r="X708" s="1726">
        <v>750</v>
      </c>
      <c r="Y708" s="1729" t="s">
        <v>1471</v>
      </c>
      <c r="Z708" s="1728"/>
      <c r="AA708" s="1730">
        <v>3.9</v>
      </c>
      <c r="AB708" s="1731" t="s">
        <v>1471</v>
      </c>
      <c r="AC708" s="1732"/>
    </row>
    <row r="709" spans="1:29" ht="15">
      <c r="A709" s="1704" t="s">
        <v>246</v>
      </c>
      <c r="B709" s="1705" t="s">
        <v>3205</v>
      </c>
      <c r="C709" s="1736">
        <v>1E-3</v>
      </c>
      <c r="D709" s="1708" t="s">
        <v>3192</v>
      </c>
      <c r="E709" s="1709">
        <v>5.9999999999999997E-7</v>
      </c>
      <c r="F709" s="1708" t="s">
        <v>3192</v>
      </c>
      <c r="G709" s="1708"/>
      <c r="H709" s="1707"/>
      <c r="I709" s="1708"/>
      <c r="J709" s="1707"/>
      <c r="K709" s="1707"/>
      <c r="L709" s="1708" t="s">
        <v>1906</v>
      </c>
      <c r="M709" s="1708">
        <v>1</v>
      </c>
      <c r="N709" s="1708">
        <v>0.13</v>
      </c>
      <c r="O709" s="1710"/>
      <c r="P709" s="1711">
        <v>110</v>
      </c>
      <c r="Q709" s="1712" t="s">
        <v>4126</v>
      </c>
      <c r="R709" s="1711">
        <v>2100</v>
      </c>
      <c r="S709" s="1712" t="s">
        <v>4126</v>
      </c>
      <c r="T709" s="1711">
        <v>1.7</v>
      </c>
      <c r="U709" s="1712" t="s">
        <v>4126</v>
      </c>
      <c r="V709" s="1711">
        <v>20</v>
      </c>
      <c r="W709" s="1712" t="s">
        <v>4126</v>
      </c>
      <c r="X709" s="1711">
        <v>25</v>
      </c>
      <c r="Y709" s="1714" t="s">
        <v>4126</v>
      </c>
      <c r="Z709" s="1713"/>
      <c r="AA709" s="1715">
        <v>9</v>
      </c>
      <c r="AB709" s="1716" t="s">
        <v>4126</v>
      </c>
      <c r="AC709" s="1717"/>
    </row>
    <row r="710" spans="1:29" ht="30">
      <c r="A710" s="1704" t="s">
        <v>248</v>
      </c>
      <c r="B710" s="1705" t="s">
        <v>3206</v>
      </c>
      <c r="C710" s="1736">
        <v>1</v>
      </c>
      <c r="D710" s="1708" t="s">
        <v>3192</v>
      </c>
      <c r="E710" s="1709">
        <v>5.9999999999999995E-4</v>
      </c>
      <c r="F710" s="1708" t="s">
        <v>3192</v>
      </c>
      <c r="G710" s="1708"/>
      <c r="H710" s="1707"/>
      <c r="I710" s="1708"/>
      <c r="J710" s="1707"/>
      <c r="K710" s="1707"/>
      <c r="L710" s="1708" t="s">
        <v>1906</v>
      </c>
      <c r="M710" s="1708">
        <v>1</v>
      </c>
      <c r="N710" s="1708">
        <v>0.13</v>
      </c>
      <c r="O710" s="1710"/>
      <c r="P710" s="1711">
        <v>0.11</v>
      </c>
      <c r="Q710" s="1712" t="s">
        <v>4126</v>
      </c>
      <c r="R710" s="1711">
        <v>2.1</v>
      </c>
      <c r="S710" s="1712" t="s">
        <v>4126</v>
      </c>
      <c r="T710" s="1711">
        <v>1.6999999999999999E-3</v>
      </c>
      <c r="U710" s="1712" t="s">
        <v>4126</v>
      </c>
      <c r="V710" s="1711">
        <v>0.02</v>
      </c>
      <c r="W710" s="1712" t="s">
        <v>4126</v>
      </c>
      <c r="X710" s="1711">
        <v>2.5000000000000001E-2</v>
      </c>
      <c r="Y710" s="1714" t="s">
        <v>4126</v>
      </c>
      <c r="Z710" s="1713"/>
      <c r="AA710" s="1715">
        <v>9.6000000000000002E-2</v>
      </c>
      <c r="AB710" s="1716" t="s">
        <v>4126</v>
      </c>
      <c r="AC710" s="1717"/>
    </row>
    <row r="711" spans="1:29" ht="30">
      <c r="A711" s="1719" t="s">
        <v>3207</v>
      </c>
      <c r="B711" s="1720" t="s">
        <v>3208</v>
      </c>
      <c r="C711" s="1737">
        <v>12</v>
      </c>
      <c r="D711" s="1723" t="s">
        <v>1900</v>
      </c>
      <c r="E711" s="1724">
        <v>1.1000000000000001E-3</v>
      </c>
      <c r="F711" s="1723" t="s">
        <v>1900</v>
      </c>
      <c r="G711" s="1723"/>
      <c r="H711" s="1722"/>
      <c r="I711" s="1723"/>
      <c r="J711" s="1722"/>
      <c r="K711" s="1722"/>
      <c r="L711" s="1722"/>
      <c r="M711" s="1723">
        <v>1</v>
      </c>
      <c r="N711" s="1723">
        <v>0.13</v>
      </c>
      <c r="O711" s="1725"/>
      <c r="P711" s="1726">
        <v>4.2000000000000003E-2</v>
      </c>
      <c r="Q711" s="1727" t="s">
        <v>4126</v>
      </c>
      <c r="R711" s="1726">
        <v>0.18</v>
      </c>
      <c r="S711" s="1727" t="s">
        <v>4126</v>
      </c>
      <c r="T711" s="1726">
        <v>2.5999999999999999E-3</v>
      </c>
      <c r="U711" s="1727" t="s">
        <v>4126</v>
      </c>
      <c r="V711" s="1726">
        <v>1.0999999999999999E-2</v>
      </c>
      <c r="W711" s="1727" t="s">
        <v>4126</v>
      </c>
      <c r="X711" s="1726">
        <v>6.4999999999999997E-3</v>
      </c>
      <c r="Y711" s="1729" t="s">
        <v>4126</v>
      </c>
      <c r="Z711" s="1728"/>
      <c r="AA711" s="1730">
        <v>8.4000000000000005E-2</v>
      </c>
      <c r="AB711" s="1731" t="s">
        <v>4126</v>
      </c>
      <c r="AC711" s="1732"/>
    </row>
    <row r="712" spans="1:29" ht="30">
      <c r="A712" s="1704" t="s">
        <v>3209</v>
      </c>
      <c r="B712" s="1705" t="s">
        <v>3210</v>
      </c>
      <c r="C712" s="1736">
        <v>250</v>
      </c>
      <c r="D712" s="1708" t="s">
        <v>1900</v>
      </c>
      <c r="E712" s="1709">
        <v>7.0999999999999994E-2</v>
      </c>
      <c r="F712" s="1708" t="s">
        <v>1900</v>
      </c>
      <c r="G712" s="1708"/>
      <c r="H712" s="1707"/>
      <c r="I712" s="1708"/>
      <c r="J712" s="1707"/>
      <c r="K712" s="1707"/>
      <c r="L712" s="1708" t="s">
        <v>1906</v>
      </c>
      <c r="M712" s="1708">
        <v>1</v>
      </c>
      <c r="N712" s="1708">
        <v>0.13</v>
      </c>
      <c r="O712" s="1710"/>
      <c r="P712" s="1711">
        <v>4.6000000000000001E-4</v>
      </c>
      <c r="Q712" s="1712" t="s">
        <v>4126</v>
      </c>
      <c r="R712" s="1711">
        <v>8.3999999999999995E-3</v>
      </c>
      <c r="S712" s="1712" t="s">
        <v>4126</v>
      </c>
      <c r="T712" s="1711">
        <v>1.4E-5</v>
      </c>
      <c r="U712" s="1712" t="s">
        <v>4126</v>
      </c>
      <c r="V712" s="1711">
        <v>1.7000000000000001E-4</v>
      </c>
      <c r="W712" s="1712" t="s">
        <v>4126</v>
      </c>
      <c r="X712" s="1711">
        <v>1E-4</v>
      </c>
      <c r="Y712" s="1714" t="s">
        <v>4126</v>
      </c>
      <c r="Z712" s="1713"/>
      <c r="AA712" s="1715">
        <v>9.8999999999999994E-5</v>
      </c>
      <c r="AB712" s="1716" t="s">
        <v>4126</v>
      </c>
      <c r="AC712" s="1717"/>
    </row>
    <row r="713" spans="1:29" ht="15">
      <c r="A713" s="1704" t="s">
        <v>250</v>
      </c>
      <c r="B713" s="1705" t="s">
        <v>3211</v>
      </c>
      <c r="C713" s="1706"/>
      <c r="D713" s="1707"/>
      <c r="E713" s="1708"/>
      <c r="F713" s="1707"/>
      <c r="G713" s="1709">
        <v>0.04</v>
      </c>
      <c r="H713" s="1708" t="s">
        <v>1119</v>
      </c>
      <c r="I713" s="1708"/>
      <c r="J713" s="1707"/>
      <c r="K713" s="1707"/>
      <c r="L713" s="1707"/>
      <c r="M713" s="1708">
        <v>1</v>
      </c>
      <c r="N713" s="1708">
        <v>0.13</v>
      </c>
      <c r="O713" s="1710"/>
      <c r="P713" s="1711">
        <v>2400</v>
      </c>
      <c r="Q713" s="1712" t="s">
        <v>1471</v>
      </c>
      <c r="R713" s="1711">
        <v>30000</v>
      </c>
      <c r="S713" s="1712" t="s">
        <v>1471</v>
      </c>
      <c r="T713" s="1712"/>
      <c r="U713" s="1713"/>
      <c r="V713" s="1712"/>
      <c r="W713" s="1713"/>
      <c r="X713" s="1711">
        <v>800</v>
      </c>
      <c r="Y713" s="1714" t="s">
        <v>1471</v>
      </c>
      <c r="Z713" s="1713"/>
      <c r="AA713" s="1715">
        <v>89</v>
      </c>
      <c r="AB713" s="1716" t="s">
        <v>1471</v>
      </c>
      <c r="AC713" s="1717"/>
    </row>
    <row r="714" spans="1:29" ht="15">
      <c r="A714" s="1719" t="s">
        <v>252</v>
      </c>
      <c r="B714" s="1720" t="s">
        <v>3212</v>
      </c>
      <c r="C714" s="1721"/>
      <c r="D714" s="1722"/>
      <c r="E714" s="1723"/>
      <c r="F714" s="1722"/>
      <c r="G714" s="1724">
        <v>0.04</v>
      </c>
      <c r="H714" s="1723" t="s">
        <v>1119</v>
      </c>
      <c r="I714" s="1723"/>
      <c r="J714" s="1722"/>
      <c r="K714" s="1723" t="s">
        <v>1127</v>
      </c>
      <c r="L714" s="1722"/>
      <c r="M714" s="1723">
        <v>1</v>
      </c>
      <c r="N714" s="1723">
        <v>0.13</v>
      </c>
      <c r="O714" s="1725"/>
      <c r="P714" s="1726">
        <v>2400</v>
      </c>
      <c r="Q714" s="1727" t="s">
        <v>1471</v>
      </c>
      <c r="R714" s="1726">
        <v>30000</v>
      </c>
      <c r="S714" s="1727" t="s">
        <v>1471</v>
      </c>
      <c r="T714" s="1727"/>
      <c r="U714" s="1728"/>
      <c r="V714" s="1727"/>
      <c r="W714" s="1728"/>
      <c r="X714" s="1726">
        <v>290</v>
      </c>
      <c r="Y714" s="1729" t="s">
        <v>1471</v>
      </c>
      <c r="Z714" s="1728"/>
      <c r="AA714" s="1730">
        <v>5.4</v>
      </c>
      <c r="AB714" s="1731" t="s">
        <v>1471</v>
      </c>
      <c r="AC714" s="1732"/>
    </row>
    <row r="715" spans="1:29" ht="30">
      <c r="A715" s="1704" t="s">
        <v>254</v>
      </c>
      <c r="B715" s="1705" t="s">
        <v>3213</v>
      </c>
      <c r="C715" s="1736">
        <v>0.1</v>
      </c>
      <c r="D715" s="1708" t="s">
        <v>3192</v>
      </c>
      <c r="E715" s="1709">
        <v>6.0000000000000002E-5</v>
      </c>
      <c r="F715" s="1708" t="s">
        <v>3192</v>
      </c>
      <c r="G715" s="1708"/>
      <c r="H715" s="1707"/>
      <c r="I715" s="1708"/>
      <c r="J715" s="1707"/>
      <c r="K715" s="1707"/>
      <c r="L715" s="1708" t="s">
        <v>1906</v>
      </c>
      <c r="M715" s="1708">
        <v>1</v>
      </c>
      <c r="N715" s="1708">
        <v>0.13</v>
      </c>
      <c r="O715" s="1710"/>
      <c r="P715" s="1711">
        <v>1.1000000000000001</v>
      </c>
      <c r="Q715" s="1712" t="s">
        <v>4126</v>
      </c>
      <c r="R715" s="1711">
        <v>21</v>
      </c>
      <c r="S715" s="1712" t="s">
        <v>4126</v>
      </c>
      <c r="T715" s="1711">
        <v>1.7000000000000001E-2</v>
      </c>
      <c r="U715" s="1712" t="s">
        <v>4126</v>
      </c>
      <c r="V715" s="1711">
        <v>0.2</v>
      </c>
      <c r="W715" s="1712" t="s">
        <v>4126</v>
      </c>
      <c r="X715" s="1711">
        <v>0.25</v>
      </c>
      <c r="Y715" s="1714" t="s">
        <v>4126</v>
      </c>
      <c r="Z715" s="1713"/>
      <c r="AA715" s="1715">
        <v>0.98</v>
      </c>
      <c r="AB715" s="1716" t="s">
        <v>4126</v>
      </c>
      <c r="AC715" s="1717"/>
    </row>
    <row r="716" spans="1:29" ht="30">
      <c r="A716" s="1704" t="s">
        <v>3214</v>
      </c>
      <c r="B716" s="1705" t="s">
        <v>3215</v>
      </c>
      <c r="C716" s="1736">
        <v>5.0999999999999997E-2</v>
      </c>
      <c r="D716" s="1708" t="s">
        <v>1893</v>
      </c>
      <c r="E716" s="1708"/>
      <c r="F716" s="1707"/>
      <c r="G716" s="1709">
        <v>7.0000000000000007E-2</v>
      </c>
      <c r="H716" s="1708" t="s">
        <v>1912</v>
      </c>
      <c r="I716" s="1709">
        <v>3.0000000000000001E-6</v>
      </c>
      <c r="J716" s="1708" t="s">
        <v>1909</v>
      </c>
      <c r="K716" s="1708" t="s">
        <v>1127</v>
      </c>
      <c r="L716" s="1707"/>
      <c r="M716" s="1708">
        <v>1</v>
      </c>
      <c r="N716" s="1708">
        <v>0.13</v>
      </c>
      <c r="O716" s="1718">
        <v>394</v>
      </c>
      <c r="P716" s="1711">
        <v>0.18</v>
      </c>
      <c r="Q716" s="1712" t="s">
        <v>1471</v>
      </c>
      <c r="R716" s="1711">
        <v>0.77</v>
      </c>
      <c r="S716" s="1712" t="s">
        <v>1471</v>
      </c>
      <c r="T716" s="1711">
        <v>3.0999999999999999E-3</v>
      </c>
      <c r="U716" s="1712" t="s">
        <v>1471</v>
      </c>
      <c r="V716" s="1711">
        <v>1.2999999999999999E-2</v>
      </c>
      <c r="W716" s="1712" t="s">
        <v>1471</v>
      </c>
      <c r="X716" s="1711">
        <v>6.3E-3</v>
      </c>
      <c r="Y716" s="1714" t="s">
        <v>1471</v>
      </c>
      <c r="Z716" s="1713"/>
      <c r="AA716" s="1715">
        <v>3.3000000000000003E-5</v>
      </c>
      <c r="AB716" s="1716" t="s">
        <v>1471</v>
      </c>
      <c r="AC716" s="1717"/>
    </row>
    <row r="717" spans="1:29" ht="30">
      <c r="A717" s="1719" t="s">
        <v>226</v>
      </c>
      <c r="B717" s="1720" t="s">
        <v>3216</v>
      </c>
      <c r="C717" s="1721"/>
      <c r="D717" s="1722"/>
      <c r="E717" s="1723"/>
      <c r="F717" s="1722"/>
      <c r="G717" s="1724">
        <v>4.0000000000000001E-3</v>
      </c>
      <c r="H717" s="1723" t="s">
        <v>1119</v>
      </c>
      <c r="I717" s="1723"/>
      <c r="J717" s="1722"/>
      <c r="K717" s="1723" t="s">
        <v>1127</v>
      </c>
      <c r="L717" s="1722"/>
      <c r="M717" s="1723">
        <v>1</v>
      </c>
      <c r="N717" s="1723">
        <v>0.13</v>
      </c>
      <c r="O717" s="1725"/>
      <c r="P717" s="1726">
        <v>240</v>
      </c>
      <c r="Q717" s="1727" t="s">
        <v>1471</v>
      </c>
      <c r="R717" s="1726">
        <v>3000</v>
      </c>
      <c r="S717" s="1727" t="s">
        <v>1471</v>
      </c>
      <c r="T717" s="1727"/>
      <c r="U717" s="1728"/>
      <c r="V717" s="1727"/>
      <c r="W717" s="1728"/>
      <c r="X717" s="1726">
        <v>36</v>
      </c>
      <c r="Y717" s="1729" t="s">
        <v>1471</v>
      </c>
      <c r="Z717" s="1728"/>
      <c r="AA717" s="1730">
        <v>0.19</v>
      </c>
      <c r="AB717" s="1731" t="s">
        <v>1471</v>
      </c>
      <c r="AC717" s="1732"/>
    </row>
    <row r="718" spans="1:29" ht="15">
      <c r="A718" s="1704" t="s">
        <v>256</v>
      </c>
      <c r="B718" s="1705" t="s">
        <v>3217</v>
      </c>
      <c r="C718" s="1736">
        <v>0.12</v>
      </c>
      <c r="D718" s="1708" t="s">
        <v>1900</v>
      </c>
      <c r="E718" s="1709">
        <v>3.4E-5</v>
      </c>
      <c r="F718" s="1708" t="s">
        <v>1900</v>
      </c>
      <c r="G718" s="1709">
        <v>0.02</v>
      </c>
      <c r="H718" s="1708" t="s">
        <v>1119</v>
      </c>
      <c r="I718" s="1709">
        <v>3.0000000000000001E-3</v>
      </c>
      <c r="J718" s="1708" t="s">
        <v>1119</v>
      </c>
      <c r="K718" s="1708" t="s">
        <v>1127</v>
      </c>
      <c r="L718" s="1707"/>
      <c r="M718" s="1708">
        <v>1</v>
      </c>
      <c r="N718" s="1708">
        <v>0.13</v>
      </c>
      <c r="O718" s="1710"/>
      <c r="P718" s="1711">
        <v>2</v>
      </c>
      <c r="Q718" s="1712" t="s">
        <v>4127</v>
      </c>
      <c r="R718" s="1711">
        <v>8.6</v>
      </c>
      <c r="S718" s="1712" t="s">
        <v>4127</v>
      </c>
      <c r="T718" s="1711">
        <v>8.3000000000000004E-2</v>
      </c>
      <c r="U718" s="1712" t="s">
        <v>4127</v>
      </c>
      <c r="V718" s="1711">
        <v>0.36</v>
      </c>
      <c r="W718" s="1712" t="s">
        <v>4127</v>
      </c>
      <c r="X718" s="1711">
        <v>0.12</v>
      </c>
      <c r="Y718" s="1714" t="s">
        <v>4127</v>
      </c>
      <c r="Z718" s="1713"/>
      <c r="AA718" s="1715">
        <v>3.8000000000000002E-4</v>
      </c>
      <c r="AB718" s="1716" t="s">
        <v>4127</v>
      </c>
      <c r="AC718" s="1717"/>
    </row>
    <row r="719" spans="1:29" ht="15">
      <c r="A719" s="1704" t="s">
        <v>3218</v>
      </c>
      <c r="B719" s="1705" t="s">
        <v>3219</v>
      </c>
      <c r="C719" s="1736">
        <v>1.2</v>
      </c>
      <c r="D719" s="1708" t="s">
        <v>1900</v>
      </c>
      <c r="E719" s="1709">
        <v>1.1E-4</v>
      </c>
      <c r="F719" s="1708" t="s">
        <v>1900</v>
      </c>
      <c r="G719" s="1708"/>
      <c r="H719" s="1707"/>
      <c r="I719" s="1708"/>
      <c r="J719" s="1707"/>
      <c r="K719" s="1707"/>
      <c r="L719" s="1707"/>
      <c r="M719" s="1708">
        <v>1</v>
      </c>
      <c r="N719" s="1708">
        <v>0.13</v>
      </c>
      <c r="O719" s="1710"/>
      <c r="P719" s="1711">
        <v>0.42</v>
      </c>
      <c r="Q719" s="1712" t="s">
        <v>4126</v>
      </c>
      <c r="R719" s="1711">
        <v>1.8</v>
      </c>
      <c r="S719" s="1712" t="s">
        <v>4126</v>
      </c>
      <c r="T719" s="1711">
        <v>2.5999999999999999E-2</v>
      </c>
      <c r="U719" s="1712" t="s">
        <v>4126</v>
      </c>
      <c r="V719" s="1711">
        <v>0.11</v>
      </c>
      <c r="W719" s="1712" t="s">
        <v>4126</v>
      </c>
      <c r="X719" s="1711">
        <v>1.9E-2</v>
      </c>
      <c r="Y719" s="1714" t="s">
        <v>4126</v>
      </c>
      <c r="Z719" s="1713"/>
      <c r="AA719" s="1715">
        <v>3.3E-3</v>
      </c>
      <c r="AB719" s="1716" t="s">
        <v>4126</v>
      </c>
      <c r="AC719" s="1717"/>
    </row>
    <row r="720" spans="1:29" ht="15">
      <c r="A720" s="1719" t="s">
        <v>3220</v>
      </c>
      <c r="B720" s="1720" t="s">
        <v>3221</v>
      </c>
      <c r="C720" s="1721"/>
      <c r="D720" s="1722"/>
      <c r="E720" s="1723"/>
      <c r="F720" s="1722"/>
      <c r="G720" s="1724">
        <v>9.0000000000000006E-5</v>
      </c>
      <c r="H720" s="1723" t="s">
        <v>1893</v>
      </c>
      <c r="I720" s="1724">
        <v>1.9999999999999999E-6</v>
      </c>
      <c r="J720" s="1723" t="s">
        <v>1893</v>
      </c>
      <c r="K720" s="1722"/>
      <c r="L720" s="1722"/>
      <c r="M720" s="1723">
        <v>1</v>
      </c>
      <c r="N720" s="1723">
        <v>0.13</v>
      </c>
      <c r="O720" s="1725"/>
      <c r="P720" s="1726">
        <v>5.4</v>
      </c>
      <c r="Q720" s="1727" t="s">
        <v>1471</v>
      </c>
      <c r="R720" s="1726">
        <v>67</v>
      </c>
      <c r="S720" s="1727" t="s">
        <v>1471</v>
      </c>
      <c r="T720" s="1726">
        <v>2.0999999999999999E-3</v>
      </c>
      <c r="U720" s="1727" t="s">
        <v>1471</v>
      </c>
      <c r="V720" s="1726">
        <v>8.8000000000000005E-3</v>
      </c>
      <c r="W720" s="1727" t="s">
        <v>1471</v>
      </c>
      <c r="X720" s="1726">
        <v>1.8</v>
      </c>
      <c r="Y720" s="1729" t="s">
        <v>1471</v>
      </c>
      <c r="Z720" s="1728"/>
      <c r="AA720" s="1730">
        <v>2.2000000000000002</v>
      </c>
      <c r="AB720" s="1731" t="s">
        <v>1471</v>
      </c>
      <c r="AC720" s="1732"/>
    </row>
    <row r="721" spans="1:29" ht="15">
      <c r="A721" s="1704" t="s">
        <v>258</v>
      </c>
      <c r="B721" s="1705" t="s">
        <v>3222</v>
      </c>
      <c r="C721" s="1706"/>
      <c r="D721" s="1707"/>
      <c r="E721" s="1708"/>
      <c r="F721" s="1707"/>
      <c r="G721" s="1709">
        <v>0.03</v>
      </c>
      <c r="H721" s="1708" t="s">
        <v>1119</v>
      </c>
      <c r="I721" s="1708"/>
      <c r="J721" s="1707"/>
      <c r="K721" s="1708" t="s">
        <v>1127</v>
      </c>
      <c r="L721" s="1707"/>
      <c r="M721" s="1708">
        <v>1</v>
      </c>
      <c r="N721" s="1708">
        <v>0.13</v>
      </c>
      <c r="O721" s="1710"/>
      <c r="P721" s="1711">
        <v>1800</v>
      </c>
      <c r="Q721" s="1712" t="s">
        <v>1471</v>
      </c>
      <c r="R721" s="1711">
        <v>23000</v>
      </c>
      <c r="S721" s="1712" t="s">
        <v>1471</v>
      </c>
      <c r="T721" s="1712"/>
      <c r="U721" s="1713"/>
      <c r="V721" s="1712"/>
      <c r="W721" s="1713"/>
      <c r="X721" s="1711">
        <v>120</v>
      </c>
      <c r="Y721" s="1714" t="s">
        <v>1471</v>
      </c>
      <c r="Z721" s="1713"/>
      <c r="AA721" s="1715">
        <v>13</v>
      </c>
      <c r="AB721" s="1716" t="s">
        <v>1471</v>
      </c>
      <c r="AC721" s="1717"/>
    </row>
    <row r="722" spans="1:29" ht="15">
      <c r="A722" s="1704" t="s">
        <v>3223</v>
      </c>
      <c r="B722" s="1705" t="s">
        <v>3224</v>
      </c>
      <c r="C722" s="1736">
        <v>0.15</v>
      </c>
      <c r="D722" s="1708" t="s">
        <v>1119</v>
      </c>
      <c r="E722" s="1708"/>
      <c r="F722" s="1707"/>
      <c r="G722" s="1709">
        <v>8.9999999999999993E-3</v>
      </c>
      <c r="H722" s="1708" t="s">
        <v>1119</v>
      </c>
      <c r="I722" s="1708"/>
      <c r="J722" s="1707"/>
      <c r="K722" s="1707"/>
      <c r="L722" s="1707"/>
      <c r="M722" s="1708">
        <v>1</v>
      </c>
      <c r="N722" s="1708">
        <v>0.1</v>
      </c>
      <c r="O722" s="1710"/>
      <c r="P722" s="1711">
        <v>3.6</v>
      </c>
      <c r="Q722" s="1712" t="s">
        <v>4126</v>
      </c>
      <c r="R722" s="1711">
        <v>15</v>
      </c>
      <c r="S722" s="1712" t="s">
        <v>4126</v>
      </c>
      <c r="T722" s="1712"/>
      <c r="U722" s="1713"/>
      <c r="V722" s="1712"/>
      <c r="W722" s="1713"/>
      <c r="X722" s="1711">
        <v>0.38</v>
      </c>
      <c r="Y722" s="1714" t="s">
        <v>4126</v>
      </c>
      <c r="Z722" s="1713"/>
      <c r="AA722" s="1715">
        <v>1.9E-3</v>
      </c>
      <c r="AB722" s="1716" t="s">
        <v>4126</v>
      </c>
      <c r="AC722" s="1717"/>
    </row>
    <row r="723" spans="1:29" ht="15">
      <c r="A723" s="1719" t="s">
        <v>3225</v>
      </c>
      <c r="B723" s="1720" t="s">
        <v>3226</v>
      </c>
      <c r="C723" s="1721"/>
      <c r="D723" s="1722"/>
      <c r="E723" s="1723"/>
      <c r="F723" s="1722"/>
      <c r="G723" s="1724">
        <v>6.0000000000000001E-3</v>
      </c>
      <c r="H723" s="1723" t="s">
        <v>1073</v>
      </c>
      <c r="I723" s="1723"/>
      <c r="J723" s="1722"/>
      <c r="K723" s="1723" t="s">
        <v>1127</v>
      </c>
      <c r="L723" s="1722"/>
      <c r="M723" s="1723">
        <v>1</v>
      </c>
      <c r="N723" s="1723"/>
      <c r="O723" s="1725"/>
      <c r="P723" s="1726">
        <v>470</v>
      </c>
      <c r="Q723" s="1727" t="s">
        <v>1471</v>
      </c>
      <c r="R723" s="1726">
        <v>7000</v>
      </c>
      <c r="S723" s="1727" t="s">
        <v>1471</v>
      </c>
      <c r="T723" s="1727"/>
      <c r="U723" s="1728"/>
      <c r="V723" s="1727"/>
      <c r="W723" s="1728"/>
      <c r="X723" s="1726">
        <v>26</v>
      </c>
      <c r="Y723" s="1729" t="s">
        <v>1471</v>
      </c>
      <c r="Z723" s="1728"/>
      <c r="AA723" s="1730">
        <v>1.6</v>
      </c>
      <c r="AB723" s="1731" t="s">
        <v>1471</v>
      </c>
      <c r="AC723" s="1732"/>
    </row>
    <row r="724" spans="1:29" ht="15">
      <c r="A724" s="1704" t="s">
        <v>3227</v>
      </c>
      <c r="B724" s="1705" t="s">
        <v>3228</v>
      </c>
      <c r="C724" s="1706"/>
      <c r="D724" s="1707"/>
      <c r="E724" s="1708"/>
      <c r="F724" s="1707"/>
      <c r="G724" s="1709">
        <v>1.4999999999999999E-2</v>
      </c>
      <c r="H724" s="1708" t="s">
        <v>1119</v>
      </c>
      <c r="I724" s="1708"/>
      <c r="J724" s="1707"/>
      <c r="K724" s="1707"/>
      <c r="L724" s="1707"/>
      <c r="M724" s="1708">
        <v>1</v>
      </c>
      <c r="N724" s="1708">
        <v>0.1</v>
      </c>
      <c r="O724" s="1710"/>
      <c r="P724" s="1711">
        <v>950</v>
      </c>
      <c r="Q724" s="1712" t="s">
        <v>1471</v>
      </c>
      <c r="R724" s="1711">
        <v>12000</v>
      </c>
      <c r="S724" s="1712" t="s">
        <v>1471</v>
      </c>
      <c r="T724" s="1712"/>
      <c r="U724" s="1713"/>
      <c r="V724" s="1712"/>
      <c r="W724" s="1713"/>
      <c r="X724" s="1711">
        <v>250</v>
      </c>
      <c r="Y724" s="1714" t="s">
        <v>1471</v>
      </c>
      <c r="Z724" s="1713"/>
      <c r="AA724" s="1715">
        <v>0.12</v>
      </c>
      <c r="AB724" s="1716" t="s">
        <v>1471</v>
      </c>
      <c r="AC724" s="1717"/>
    </row>
    <row r="725" spans="1:29" ht="15">
      <c r="A725" s="1704" t="s">
        <v>3229</v>
      </c>
      <c r="B725" s="1705" t="s">
        <v>3230</v>
      </c>
      <c r="C725" s="1706"/>
      <c r="D725" s="1707"/>
      <c r="E725" s="1708"/>
      <c r="F725" s="1707"/>
      <c r="G725" s="1709">
        <v>0.04</v>
      </c>
      <c r="H725" s="1708" t="s">
        <v>1116</v>
      </c>
      <c r="I725" s="1708"/>
      <c r="J725" s="1707"/>
      <c r="K725" s="1707"/>
      <c r="L725" s="1707"/>
      <c r="M725" s="1708">
        <v>1</v>
      </c>
      <c r="N725" s="1708">
        <v>0.1</v>
      </c>
      <c r="O725" s="1710"/>
      <c r="P725" s="1711">
        <v>2500</v>
      </c>
      <c r="Q725" s="1712" t="s">
        <v>1471</v>
      </c>
      <c r="R725" s="1711">
        <v>33000</v>
      </c>
      <c r="S725" s="1712" t="s">
        <v>1471</v>
      </c>
      <c r="T725" s="1712"/>
      <c r="U725" s="1713"/>
      <c r="V725" s="1712"/>
      <c r="W725" s="1713"/>
      <c r="X725" s="1711">
        <v>600</v>
      </c>
      <c r="Y725" s="1714" t="s">
        <v>1471</v>
      </c>
      <c r="Z725" s="1713"/>
      <c r="AA725" s="1715">
        <v>0.9</v>
      </c>
      <c r="AB725" s="1716" t="s">
        <v>1471</v>
      </c>
      <c r="AC725" s="1717"/>
    </row>
    <row r="726" spans="1:29" ht="15">
      <c r="A726" s="1719" t="s">
        <v>3231</v>
      </c>
      <c r="B726" s="1720" t="s">
        <v>3232</v>
      </c>
      <c r="C726" s="1721"/>
      <c r="D726" s="1722"/>
      <c r="E726" s="1723"/>
      <c r="F726" s="1722"/>
      <c r="G726" s="1724">
        <v>7.4999999999999997E-2</v>
      </c>
      <c r="H726" s="1723" t="s">
        <v>1119</v>
      </c>
      <c r="I726" s="1723"/>
      <c r="J726" s="1722"/>
      <c r="K726" s="1722"/>
      <c r="L726" s="1722"/>
      <c r="M726" s="1723">
        <v>1</v>
      </c>
      <c r="N726" s="1723">
        <v>0.1</v>
      </c>
      <c r="O726" s="1725"/>
      <c r="P726" s="1726">
        <v>4700</v>
      </c>
      <c r="Q726" s="1727" t="s">
        <v>1471</v>
      </c>
      <c r="R726" s="1726">
        <v>62000</v>
      </c>
      <c r="S726" s="1727" t="s">
        <v>1471</v>
      </c>
      <c r="T726" s="1727"/>
      <c r="U726" s="1728"/>
      <c r="V726" s="1727"/>
      <c r="W726" s="1728"/>
      <c r="X726" s="1726">
        <v>1200</v>
      </c>
      <c r="Y726" s="1729" t="s">
        <v>1471</v>
      </c>
      <c r="Z726" s="1728"/>
      <c r="AA726" s="1730">
        <v>1.2</v>
      </c>
      <c r="AB726" s="1731" t="s">
        <v>1471</v>
      </c>
      <c r="AC726" s="1732"/>
    </row>
    <row r="727" spans="1:29" ht="15">
      <c r="A727" s="1704" t="s">
        <v>3233</v>
      </c>
      <c r="B727" s="1705" t="s">
        <v>3234</v>
      </c>
      <c r="C727" s="1706"/>
      <c r="D727" s="1707"/>
      <c r="E727" s="1708"/>
      <c r="F727" s="1707"/>
      <c r="G727" s="1709">
        <v>1.2999999999999999E-2</v>
      </c>
      <c r="H727" s="1708" t="s">
        <v>1119</v>
      </c>
      <c r="I727" s="1708"/>
      <c r="J727" s="1707"/>
      <c r="K727" s="1707"/>
      <c r="L727" s="1707"/>
      <c r="M727" s="1708">
        <v>1</v>
      </c>
      <c r="N727" s="1708">
        <v>0.1</v>
      </c>
      <c r="O727" s="1710"/>
      <c r="P727" s="1711">
        <v>820</v>
      </c>
      <c r="Q727" s="1712" t="s">
        <v>1471</v>
      </c>
      <c r="R727" s="1711">
        <v>11000</v>
      </c>
      <c r="S727" s="1712" t="s">
        <v>1471</v>
      </c>
      <c r="T727" s="1712"/>
      <c r="U727" s="1713"/>
      <c r="V727" s="1712"/>
      <c r="W727" s="1713"/>
      <c r="X727" s="1711">
        <v>250</v>
      </c>
      <c r="Y727" s="1714" t="s">
        <v>1471</v>
      </c>
      <c r="Z727" s="1713"/>
      <c r="AA727" s="1715">
        <v>0.15</v>
      </c>
      <c r="AB727" s="1716" t="s">
        <v>1471</v>
      </c>
      <c r="AC727" s="1717"/>
    </row>
    <row r="728" spans="1:29" ht="15">
      <c r="A728" s="1704" t="s">
        <v>3235</v>
      </c>
      <c r="B728" s="1705" t="s">
        <v>3236</v>
      </c>
      <c r="C728" s="1706"/>
      <c r="D728" s="1707"/>
      <c r="E728" s="1708"/>
      <c r="F728" s="1707"/>
      <c r="G728" s="1709">
        <v>5.0000000000000001E-3</v>
      </c>
      <c r="H728" s="1708" t="s">
        <v>1119</v>
      </c>
      <c r="I728" s="1708"/>
      <c r="J728" s="1707"/>
      <c r="K728" s="1707"/>
      <c r="L728" s="1707"/>
      <c r="M728" s="1708">
        <v>1</v>
      </c>
      <c r="N728" s="1708">
        <v>0.1</v>
      </c>
      <c r="O728" s="1710"/>
      <c r="P728" s="1711">
        <v>320</v>
      </c>
      <c r="Q728" s="1712" t="s">
        <v>1471</v>
      </c>
      <c r="R728" s="1711">
        <v>4100</v>
      </c>
      <c r="S728" s="1712" t="s">
        <v>1471</v>
      </c>
      <c r="T728" s="1712"/>
      <c r="U728" s="1713"/>
      <c r="V728" s="1712"/>
      <c r="W728" s="1713"/>
      <c r="X728" s="1711">
        <v>82</v>
      </c>
      <c r="Y728" s="1714" t="s">
        <v>1471</v>
      </c>
      <c r="Z728" s="1713"/>
      <c r="AA728" s="1715">
        <v>4.4999999999999998E-2</v>
      </c>
      <c r="AB728" s="1716" t="s">
        <v>1471</v>
      </c>
      <c r="AC728" s="1717"/>
    </row>
    <row r="729" spans="1:29" ht="15">
      <c r="A729" s="1719" t="s">
        <v>3237</v>
      </c>
      <c r="B729" s="1720" t="s">
        <v>3238</v>
      </c>
      <c r="C729" s="1737">
        <v>0.192</v>
      </c>
      <c r="D729" s="1723" t="s">
        <v>1116</v>
      </c>
      <c r="E729" s="1723"/>
      <c r="F729" s="1722"/>
      <c r="G729" s="1724">
        <v>0.04</v>
      </c>
      <c r="H729" s="1723" t="s">
        <v>1116</v>
      </c>
      <c r="I729" s="1723"/>
      <c r="J729" s="1722"/>
      <c r="K729" s="1722"/>
      <c r="L729" s="1722"/>
      <c r="M729" s="1723">
        <v>1</v>
      </c>
      <c r="N729" s="1723">
        <v>0.1</v>
      </c>
      <c r="O729" s="1725"/>
      <c r="P729" s="1726">
        <v>2.8</v>
      </c>
      <c r="Q729" s="1727" t="s">
        <v>4126</v>
      </c>
      <c r="R729" s="1726">
        <v>12</v>
      </c>
      <c r="S729" s="1727" t="s">
        <v>4126</v>
      </c>
      <c r="T729" s="1727"/>
      <c r="U729" s="1728"/>
      <c r="V729" s="1727"/>
      <c r="W729" s="1728"/>
      <c r="X729" s="1726">
        <v>0.16</v>
      </c>
      <c r="Y729" s="1729" t="s">
        <v>4126</v>
      </c>
      <c r="Z729" s="1728"/>
      <c r="AA729" s="1730">
        <v>1.0999999999999999E-2</v>
      </c>
      <c r="AB729" s="1731" t="s">
        <v>4126</v>
      </c>
      <c r="AC729" s="1732"/>
    </row>
    <row r="730" spans="1:29" ht="15">
      <c r="A730" s="1704" t="s">
        <v>3239</v>
      </c>
      <c r="B730" s="1705" t="s">
        <v>3240</v>
      </c>
      <c r="C730" s="1706"/>
      <c r="D730" s="1707"/>
      <c r="E730" s="1708"/>
      <c r="F730" s="1707"/>
      <c r="G730" s="1709">
        <v>2E-3</v>
      </c>
      <c r="H730" s="1708" t="s">
        <v>1119</v>
      </c>
      <c r="I730" s="1708"/>
      <c r="J730" s="1707"/>
      <c r="K730" s="1708" t="s">
        <v>1127</v>
      </c>
      <c r="L730" s="1707"/>
      <c r="M730" s="1708">
        <v>1</v>
      </c>
      <c r="N730" s="1708"/>
      <c r="O730" s="1718">
        <v>111000</v>
      </c>
      <c r="P730" s="1711">
        <v>160</v>
      </c>
      <c r="Q730" s="1712" t="s">
        <v>1471</v>
      </c>
      <c r="R730" s="1711">
        <v>2300</v>
      </c>
      <c r="S730" s="1712" t="s">
        <v>1471</v>
      </c>
      <c r="T730" s="1712"/>
      <c r="U730" s="1713"/>
      <c r="V730" s="1712"/>
      <c r="W730" s="1713"/>
      <c r="X730" s="1711">
        <v>40</v>
      </c>
      <c r="Y730" s="1714" t="s">
        <v>1471</v>
      </c>
      <c r="Z730" s="1713"/>
      <c r="AA730" s="1715">
        <v>8.0999999999999996E-3</v>
      </c>
      <c r="AB730" s="1716" t="s">
        <v>1471</v>
      </c>
      <c r="AC730" s="1717"/>
    </row>
    <row r="731" spans="1:29" ht="15">
      <c r="A731" s="1704" t="s">
        <v>3241</v>
      </c>
      <c r="B731" s="1705" t="s">
        <v>3242</v>
      </c>
      <c r="C731" s="1706"/>
      <c r="D731" s="1707"/>
      <c r="E731" s="1708"/>
      <c r="F731" s="1707"/>
      <c r="G731" s="1709">
        <v>0.02</v>
      </c>
      <c r="H731" s="1708" t="s">
        <v>1119</v>
      </c>
      <c r="I731" s="1708"/>
      <c r="J731" s="1707"/>
      <c r="K731" s="1707"/>
      <c r="L731" s="1707"/>
      <c r="M731" s="1708">
        <v>1</v>
      </c>
      <c r="N731" s="1708">
        <v>0.1</v>
      </c>
      <c r="O731" s="1710"/>
      <c r="P731" s="1711">
        <v>1300</v>
      </c>
      <c r="Q731" s="1712" t="s">
        <v>1471</v>
      </c>
      <c r="R731" s="1711">
        <v>16000</v>
      </c>
      <c r="S731" s="1712" t="s">
        <v>1471</v>
      </c>
      <c r="T731" s="1712"/>
      <c r="U731" s="1713"/>
      <c r="V731" s="1712"/>
      <c r="W731" s="1713"/>
      <c r="X731" s="1711">
        <v>340</v>
      </c>
      <c r="Y731" s="1714" t="s">
        <v>1471</v>
      </c>
      <c r="Z731" s="1713"/>
      <c r="AA731" s="1715">
        <v>0.3</v>
      </c>
      <c r="AB731" s="1716" t="s">
        <v>1471</v>
      </c>
      <c r="AC731" s="1717"/>
    </row>
    <row r="732" spans="1:29" ht="15">
      <c r="A732" s="1719" t="s">
        <v>3243</v>
      </c>
      <c r="B732" s="1720" t="s">
        <v>3244</v>
      </c>
      <c r="C732" s="1721"/>
      <c r="D732" s="1722"/>
      <c r="E732" s="1723"/>
      <c r="F732" s="1722"/>
      <c r="G732" s="1724">
        <v>0.02</v>
      </c>
      <c r="H732" s="1723" t="s">
        <v>1119</v>
      </c>
      <c r="I732" s="1723"/>
      <c r="J732" s="1722"/>
      <c r="K732" s="1722"/>
      <c r="L732" s="1722"/>
      <c r="M732" s="1723">
        <v>1</v>
      </c>
      <c r="N732" s="1723">
        <v>0.1</v>
      </c>
      <c r="O732" s="1725"/>
      <c r="P732" s="1726">
        <v>1300</v>
      </c>
      <c r="Q732" s="1727" t="s">
        <v>1471</v>
      </c>
      <c r="R732" s="1726">
        <v>16000</v>
      </c>
      <c r="S732" s="1727" t="s">
        <v>1471</v>
      </c>
      <c r="T732" s="1727"/>
      <c r="U732" s="1728"/>
      <c r="V732" s="1727"/>
      <c r="W732" s="1728"/>
      <c r="X732" s="1726">
        <v>350</v>
      </c>
      <c r="Y732" s="1729" t="s">
        <v>1471</v>
      </c>
      <c r="Z732" s="1728"/>
      <c r="AA732" s="1730">
        <v>0.22</v>
      </c>
      <c r="AB732" s="1731" t="s">
        <v>1471</v>
      </c>
      <c r="AC732" s="1732"/>
    </row>
    <row r="733" spans="1:29" ht="15">
      <c r="A733" s="1704" t="s">
        <v>3245</v>
      </c>
      <c r="B733" s="1705" t="s">
        <v>3246</v>
      </c>
      <c r="C733" s="1706"/>
      <c r="D733" s="1707"/>
      <c r="E733" s="1708"/>
      <c r="F733" s="1707"/>
      <c r="G733" s="1709">
        <v>0.1</v>
      </c>
      <c r="H733" s="1708" t="s">
        <v>1116</v>
      </c>
      <c r="I733" s="1708"/>
      <c r="J733" s="1707"/>
      <c r="K733" s="1707"/>
      <c r="L733" s="1707"/>
      <c r="M733" s="1708">
        <v>1</v>
      </c>
      <c r="N733" s="1708">
        <v>0.1</v>
      </c>
      <c r="O733" s="1710"/>
      <c r="P733" s="1711">
        <v>6300</v>
      </c>
      <c r="Q733" s="1712" t="s">
        <v>1471</v>
      </c>
      <c r="R733" s="1711">
        <v>82000</v>
      </c>
      <c r="S733" s="1712" t="s">
        <v>1471</v>
      </c>
      <c r="T733" s="1712"/>
      <c r="U733" s="1713"/>
      <c r="V733" s="1712"/>
      <c r="W733" s="1713"/>
      <c r="X733" s="1711">
        <v>1600</v>
      </c>
      <c r="Y733" s="1714" t="s">
        <v>1471</v>
      </c>
      <c r="Z733" s="1713"/>
      <c r="AA733" s="1715">
        <v>5.3</v>
      </c>
      <c r="AB733" s="1716" t="s">
        <v>1471</v>
      </c>
      <c r="AC733" s="1717"/>
    </row>
    <row r="734" spans="1:29" ht="15">
      <c r="A734" s="1704" t="s">
        <v>3247</v>
      </c>
      <c r="B734" s="1705" t="s">
        <v>3248</v>
      </c>
      <c r="C734" s="1706"/>
      <c r="D734" s="1707"/>
      <c r="E734" s="1708"/>
      <c r="F734" s="1707"/>
      <c r="G734" s="1708"/>
      <c r="H734" s="1707"/>
      <c r="I734" s="1709">
        <v>8.0000000000000002E-3</v>
      </c>
      <c r="J734" s="1708" t="s">
        <v>1119</v>
      </c>
      <c r="K734" s="1708" t="s">
        <v>1127</v>
      </c>
      <c r="L734" s="1707"/>
      <c r="M734" s="1708">
        <v>1</v>
      </c>
      <c r="N734" s="1708"/>
      <c r="O734" s="1718">
        <v>32600</v>
      </c>
      <c r="P734" s="1711">
        <v>75</v>
      </c>
      <c r="Q734" s="1712" t="s">
        <v>1471</v>
      </c>
      <c r="R734" s="1711">
        <v>310</v>
      </c>
      <c r="S734" s="1712" t="s">
        <v>1471</v>
      </c>
      <c r="T734" s="1711">
        <v>8.3000000000000007</v>
      </c>
      <c r="U734" s="1712" t="s">
        <v>1471</v>
      </c>
      <c r="V734" s="1711">
        <v>35</v>
      </c>
      <c r="W734" s="1712" t="s">
        <v>1471</v>
      </c>
      <c r="X734" s="1711">
        <v>17</v>
      </c>
      <c r="Y734" s="1714" t="s">
        <v>1471</v>
      </c>
      <c r="Z734" s="1713"/>
      <c r="AA734" s="1715">
        <v>3.3999999999999998E-3</v>
      </c>
      <c r="AB734" s="1716" t="s">
        <v>1471</v>
      </c>
      <c r="AC734" s="1717"/>
    </row>
    <row r="735" spans="1:29" ht="15">
      <c r="A735" s="1719" t="s">
        <v>3249</v>
      </c>
      <c r="B735" s="1720" t="s">
        <v>3250</v>
      </c>
      <c r="C735" s="1721"/>
      <c r="D735" s="1722"/>
      <c r="E735" s="1723"/>
      <c r="F735" s="1722"/>
      <c r="G735" s="1724">
        <v>0.1</v>
      </c>
      <c r="H735" s="1723" t="s">
        <v>1893</v>
      </c>
      <c r="I735" s="1724">
        <v>1</v>
      </c>
      <c r="J735" s="1723" t="s">
        <v>1893</v>
      </c>
      <c r="K735" s="1723" t="s">
        <v>1127</v>
      </c>
      <c r="L735" s="1722"/>
      <c r="M735" s="1723">
        <v>1</v>
      </c>
      <c r="N735" s="1723"/>
      <c r="O735" s="1735">
        <v>264</v>
      </c>
      <c r="P735" s="1726">
        <v>3800</v>
      </c>
      <c r="Q735" s="1727" t="s">
        <v>4125</v>
      </c>
      <c r="R735" s="1726">
        <v>24000</v>
      </c>
      <c r="S735" s="1727" t="s">
        <v>4125</v>
      </c>
      <c r="T735" s="1726">
        <v>1000</v>
      </c>
      <c r="U735" s="1727" t="s">
        <v>1471</v>
      </c>
      <c r="V735" s="1726">
        <v>4400</v>
      </c>
      <c r="W735" s="1727" t="s">
        <v>1471</v>
      </c>
      <c r="X735" s="1726">
        <v>660</v>
      </c>
      <c r="Y735" s="1729" t="s">
        <v>1471</v>
      </c>
      <c r="Z735" s="1728"/>
      <c r="AA735" s="1730">
        <v>1.2</v>
      </c>
      <c r="AB735" s="1731" t="s">
        <v>1471</v>
      </c>
      <c r="AC735" s="1732"/>
    </row>
    <row r="736" spans="1:29" ht="15">
      <c r="A736" s="1704" t="s">
        <v>3251</v>
      </c>
      <c r="B736" s="1705" t="s">
        <v>3252</v>
      </c>
      <c r="C736" s="1706"/>
      <c r="D736" s="1707"/>
      <c r="E736" s="1708"/>
      <c r="F736" s="1707"/>
      <c r="G736" s="1708"/>
      <c r="H736" s="1707"/>
      <c r="I736" s="1709">
        <v>3</v>
      </c>
      <c r="J736" s="1708" t="s">
        <v>1900</v>
      </c>
      <c r="K736" s="1708" t="s">
        <v>1127</v>
      </c>
      <c r="L736" s="1707"/>
      <c r="M736" s="1708">
        <v>1</v>
      </c>
      <c r="N736" s="1708"/>
      <c r="O736" s="1718">
        <v>349</v>
      </c>
      <c r="P736" s="1711">
        <v>2200</v>
      </c>
      <c r="Q736" s="1712" t="s">
        <v>4125</v>
      </c>
      <c r="R736" s="1711">
        <v>9300</v>
      </c>
      <c r="S736" s="1712" t="s">
        <v>4125</v>
      </c>
      <c r="T736" s="1711">
        <v>3100</v>
      </c>
      <c r="U736" s="1712" t="s">
        <v>1471</v>
      </c>
      <c r="V736" s="1711">
        <v>13000</v>
      </c>
      <c r="W736" s="1712" t="s">
        <v>1471</v>
      </c>
      <c r="X736" s="1711">
        <v>6300</v>
      </c>
      <c r="Y736" s="1714" t="s">
        <v>1471</v>
      </c>
      <c r="Z736" s="1713"/>
      <c r="AA736" s="1715">
        <v>6</v>
      </c>
      <c r="AB736" s="1716" t="s">
        <v>1471</v>
      </c>
      <c r="AC736" s="1717"/>
    </row>
    <row r="737" spans="1:29" ht="15">
      <c r="A737" s="1704" t="s">
        <v>3253</v>
      </c>
      <c r="B737" s="1705" t="s">
        <v>3254</v>
      </c>
      <c r="C737" s="1706"/>
      <c r="D737" s="1707"/>
      <c r="E737" s="1708"/>
      <c r="F737" s="1707"/>
      <c r="G737" s="1709">
        <v>20</v>
      </c>
      <c r="H737" s="1708" t="s">
        <v>1909</v>
      </c>
      <c r="I737" s="1708"/>
      <c r="J737" s="1707"/>
      <c r="K737" s="1707"/>
      <c r="L737" s="1707"/>
      <c r="M737" s="1708">
        <v>1</v>
      </c>
      <c r="N737" s="1708">
        <v>0.1</v>
      </c>
      <c r="O737" s="1710"/>
      <c r="P737" s="1711">
        <v>1300000</v>
      </c>
      <c r="Q737" s="1712" t="s">
        <v>4124</v>
      </c>
      <c r="R737" s="1711">
        <v>16000000</v>
      </c>
      <c r="S737" s="1712" t="s">
        <v>4124</v>
      </c>
      <c r="T737" s="1712"/>
      <c r="U737" s="1713"/>
      <c r="V737" s="1712"/>
      <c r="W737" s="1713"/>
      <c r="X737" s="1711">
        <v>400000</v>
      </c>
      <c r="Y737" s="1714" t="s">
        <v>1471</v>
      </c>
      <c r="Z737" s="1713"/>
      <c r="AA737" s="1715">
        <v>81</v>
      </c>
      <c r="AB737" s="1716" t="s">
        <v>1471</v>
      </c>
      <c r="AC737" s="1717"/>
    </row>
    <row r="738" spans="1:29" ht="30">
      <c r="A738" s="1719" t="s">
        <v>3255</v>
      </c>
      <c r="B738" s="1720" t="s">
        <v>3256</v>
      </c>
      <c r="C738" s="1721"/>
      <c r="D738" s="1722"/>
      <c r="E738" s="1723"/>
      <c r="F738" s="1722"/>
      <c r="G738" s="1723"/>
      <c r="H738" s="1722"/>
      <c r="I738" s="1724">
        <v>2.72E-4</v>
      </c>
      <c r="J738" s="1723" t="s">
        <v>1960</v>
      </c>
      <c r="K738" s="1722"/>
      <c r="L738" s="1722"/>
      <c r="M738" s="1723">
        <v>1</v>
      </c>
      <c r="N738" s="1723">
        <v>0.1</v>
      </c>
      <c r="O738" s="1725"/>
      <c r="P738" s="1726">
        <v>390000</v>
      </c>
      <c r="Q738" s="1727" t="s">
        <v>4124</v>
      </c>
      <c r="R738" s="1726">
        <v>1600000</v>
      </c>
      <c r="S738" s="1727" t="s">
        <v>4124</v>
      </c>
      <c r="T738" s="1726">
        <v>0.28000000000000003</v>
      </c>
      <c r="U738" s="1727" t="s">
        <v>1471</v>
      </c>
      <c r="V738" s="1726">
        <v>1.2</v>
      </c>
      <c r="W738" s="1727" t="s">
        <v>1471</v>
      </c>
      <c r="X738" s="1727"/>
      <c r="Y738" s="1743"/>
      <c r="Z738" s="1728"/>
      <c r="AA738" s="1731"/>
      <c r="AB738" s="1740"/>
      <c r="AC738" s="1732"/>
    </row>
    <row r="739" spans="1:29" ht="45">
      <c r="A739" s="1704" t="s">
        <v>3257</v>
      </c>
      <c r="B739" s="1705" t="s">
        <v>3258</v>
      </c>
      <c r="C739" s="1706"/>
      <c r="D739" s="1707"/>
      <c r="E739" s="1708"/>
      <c r="F739" s="1707"/>
      <c r="G739" s="1709">
        <v>0.7</v>
      </c>
      <c r="H739" s="1708" t="s">
        <v>1073</v>
      </c>
      <c r="I739" s="1709">
        <v>2</v>
      </c>
      <c r="J739" s="1708" t="s">
        <v>1119</v>
      </c>
      <c r="K739" s="1708" t="s">
        <v>1127</v>
      </c>
      <c r="L739" s="1707"/>
      <c r="M739" s="1708">
        <v>1</v>
      </c>
      <c r="N739" s="1708"/>
      <c r="O739" s="1718">
        <v>106000</v>
      </c>
      <c r="P739" s="1711">
        <v>41000</v>
      </c>
      <c r="Q739" s="1712" t="s">
        <v>1471</v>
      </c>
      <c r="R739" s="1711">
        <v>370000</v>
      </c>
      <c r="S739" s="1712" t="s">
        <v>4123</v>
      </c>
      <c r="T739" s="1711">
        <v>2100</v>
      </c>
      <c r="U739" s="1712" t="s">
        <v>1471</v>
      </c>
      <c r="V739" s="1711">
        <v>8800</v>
      </c>
      <c r="W739" s="1712" t="s">
        <v>1471</v>
      </c>
      <c r="X739" s="1711">
        <v>3200</v>
      </c>
      <c r="Y739" s="1714" t="s">
        <v>1471</v>
      </c>
      <c r="Z739" s="1713"/>
      <c r="AA739" s="1715">
        <v>0.65</v>
      </c>
      <c r="AB739" s="1716" t="s">
        <v>1471</v>
      </c>
      <c r="AC739" s="1717"/>
    </row>
    <row r="740" spans="1:29" ht="15">
      <c r="A740" s="1704" t="s">
        <v>3259</v>
      </c>
      <c r="B740" s="1705" t="s">
        <v>3260</v>
      </c>
      <c r="C740" s="1736">
        <v>0.24</v>
      </c>
      <c r="D740" s="1708" t="s">
        <v>1119</v>
      </c>
      <c r="E740" s="1709">
        <v>3.7000000000000002E-6</v>
      </c>
      <c r="F740" s="1708" t="s">
        <v>1119</v>
      </c>
      <c r="G740" s="1708"/>
      <c r="H740" s="1707"/>
      <c r="I740" s="1709">
        <v>0.03</v>
      </c>
      <c r="J740" s="1708" t="s">
        <v>1119</v>
      </c>
      <c r="K740" s="1708" t="s">
        <v>1127</v>
      </c>
      <c r="L740" s="1707"/>
      <c r="M740" s="1708">
        <v>1</v>
      </c>
      <c r="N740" s="1708"/>
      <c r="O740" s="1718">
        <v>77700</v>
      </c>
      <c r="P740" s="1711">
        <v>2.1</v>
      </c>
      <c r="Q740" s="1712" t="s">
        <v>4126</v>
      </c>
      <c r="R740" s="1711">
        <v>9.6999999999999993</v>
      </c>
      <c r="S740" s="1712" t="s">
        <v>4126</v>
      </c>
      <c r="T740" s="1711">
        <v>0.76</v>
      </c>
      <c r="U740" s="1712" t="s">
        <v>4127</v>
      </c>
      <c r="V740" s="1711">
        <v>3.3</v>
      </c>
      <c r="W740" s="1712" t="s">
        <v>4127</v>
      </c>
      <c r="X740" s="1711">
        <v>0.27</v>
      </c>
      <c r="Y740" s="1714" t="s">
        <v>4126</v>
      </c>
      <c r="Z740" s="1713"/>
      <c r="AA740" s="1715">
        <v>5.5999999999999999E-5</v>
      </c>
      <c r="AB740" s="1716" t="s">
        <v>4126</v>
      </c>
      <c r="AC740" s="1717"/>
    </row>
    <row r="741" spans="1:29" ht="15">
      <c r="A741" s="1719" t="s">
        <v>3261</v>
      </c>
      <c r="B741" s="1720" t="s">
        <v>3262</v>
      </c>
      <c r="C741" s="1721"/>
      <c r="D741" s="1722"/>
      <c r="E741" s="1723"/>
      <c r="F741" s="1722"/>
      <c r="G741" s="1724">
        <v>1E-3</v>
      </c>
      <c r="H741" s="1723" t="s">
        <v>1119</v>
      </c>
      <c r="I741" s="1723"/>
      <c r="J741" s="1722"/>
      <c r="K741" s="1723" t="s">
        <v>1127</v>
      </c>
      <c r="L741" s="1722"/>
      <c r="M741" s="1723">
        <v>1</v>
      </c>
      <c r="N741" s="1723"/>
      <c r="O741" s="1735">
        <v>530000</v>
      </c>
      <c r="P741" s="1726">
        <v>78</v>
      </c>
      <c r="Q741" s="1727" t="s">
        <v>1471</v>
      </c>
      <c r="R741" s="1726">
        <v>1200</v>
      </c>
      <c r="S741" s="1727" t="s">
        <v>1471</v>
      </c>
      <c r="T741" s="1727"/>
      <c r="U741" s="1728"/>
      <c r="V741" s="1727"/>
      <c r="W741" s="1728"/>
      <c r="X741" s="1726">
        <v>20</v>
      </c>
      <c r="Y741" s="1729" t="s">
        <v>1471</v>
      </c>
      <c r="Z741" s="1728"/>
      <c r="AA741" s="1730">
        <v>6.7999999999999996E-3</v>
      </c>
      <c r="AB741" s="1731" t="s">
        <v>1471</v>
      </c>
      <c r="AC741" s="1732"/>
    </row>
    <row r="742" spans="1:29" ht="15">
      <c r="A742" s="1704" t="s">
        <v>3263</v>
      </c>
      <c r="B742" s="1705" t="s">
        <v>3264</v>
      </c>
      <c r="C742" s="1706"/>
      <c r="D742" s="1707"/>
      <c r="E742" s="1708"/>
      <c r="F742" s="1707"/>
      <c r="G742" s="1709">
        <v>5.0000000000000001E-4</v>
      </c>
      <c r="H742" s="1708" t="s">
        <v>1119</v>
      </c>
      <c r="I742" s="1708"/>
      <c r="J742" s="1707"/>
      <c r="K742" s="1707"/>
      <c r="L742" s="1707"/>
      <c r="M742" s="1708">
        <v>1</v>
      </c>
      <c r="N742" s="1708">
        <v>0.1</v>
      </c>
      <c r="O742" s="1710"/>
      <c r="P742" s="1711">
        <v>32</v>
      </c>
      <c r="Q742" s="1712" t="s">
        <v>1471</v>
      </c>
      <c r="R742" s="1711">
        <v>410</v>
      </c>
      <c r="S742" s="1712" t="s">
        <v>1471</v>
      </c>
      <c r="T742" s="1712"/>
      <c r="U742" s="1713"/>
      <c r="V742" s="1712"/>
      <c r="W742" s="1713"/>
      <c r="X742" s="1711">
        <v>5.0999999999999996</v>
      </c>
      <c r="Y742" s="1714" t="s">
        <v>1471</v>
      </c>
      <c r="Z742" s="1713"/>
      <c r="AA742" s="1715">
        <v>4.2999999999999997E-2</v>
      </c>
      <c r="AB742" s="1716" t="s">
        <v>1471</v>
      </c>
      <c r="AC742" s="1717"/>
    </row>
    <row r="743" spans="1:29" ht="15">
      <c r="A743" s="1704" t="s">
        <v>3265</v>
      </c>
      <c r="B743" s="1705" t="s">
        <v>3266</v>
      </c>
      <c r="C743" s="1736">
        <v>3</v>
      </c>
      <c r="D743" s="1708" t="s">
        <v>1119</v>
      </c>
      <c r="E743" s="1708"/>
      <c r="F743" s="1707"/>
      <c r="G743" s="1708"/>
      <c r="H743" s="1707"/>
      <c r="I743" s="1708"/>
      <c r="J743" s="1707"/>
      <c r="K743" s="1707"/>
      <c r="L743" s="1707"/>
      <c r="M743" s="1708">
        <v>1</v>
      </c>
      <c r="N743" s="1708">
        <v>0.1</v>
      </c>
      <c r="O743" s="1710"/>
      <c r="P743" s="1711">
        <v>0.18</v>
      </c>
      <c r="Q743" s="1712" t="s">
        <v>4126</v>
      </c>
      <c r="R743" s="1711">
        <v>0.77</v>
      </c>
      <c r="S743" s="1712" t="s">
        <v>4126</v>
      </c>
      <c r="T743" s="1712"/>
      <c r="U743" s="1713"/>
      <c r="V743" s="1712"/>
      <c r="W743" s="1713"/>
      <c r="X743" s="1711">
        <v>2.4E-2</v>
      </c>
      <c r="Y743" s="1714" t="s">
        <v>4126</v>
      </c>
      <c r="Z743" s="1713"/>
      <c r="AA743" s="1715">
        <v>7.7999999999999999E-5</v>
      </c>
      <c r="AB743" s="1716" t="s">
        <v>4126</v>
      </c>
      <c r="AC743" s="1717"/>
    </row>
    <row r="744" spans="1:29" ht="15">
      <c r="A744" s="1719" t="s">
        <v>3267</v>
      </c>
      <c r="B744" s="1720" t="s">
        <v>3268</v>
      </c>
      <c r="C744" s="1721"/>
      <c r="D744" s="1722"/>
      <c r="E744" s="1723"/>
      <c r="F744" s="1722"/>
      <c r="G744" s="1724">
        <v>8.9999999999999993E-3</v>
      </c>
      <c r="H744" s="1723" t="s">
        <v>1119</v>
      </c>
      <c r="I744" s="1723"/>
      <c r="J744" s="1722"/>
      <c r="K744" s="1722"/>
      <c r="L744" s="1722"/>
      <c r="M744" s="1723">
        <v>1</v>
      </c>
      <c r="N744" s="1723">
        <v>0.1</v>
      </c>
      <c r="O744" s="1725"/>
      <c r="P744" s="1726">
        <v>570</v>
      </c>
      <c r="Q744" s="1727" t="s">
        <v>1471</v>
      </c>
      <c r="R744" s="1726">
        <v>7400</v>
      </c>
      <c r="S744" s="1727" t="s">
        <v>1471</v>
      </c>
      <c r="T744" s="1727"/>
      <c r="U744" s="1728"/>
      <c r="V744" s="1727"/>
      <c r="W744" s="1728"/>
      <c r="X744" s="1726">
        <v>120</v>
      </c>
      <c r="Y744" s="1729" t="s">
        <v>1471</v>
      </c>
      <c r="Z744" s="1728"/>
      <c r="AA744" s="1730">
        <v>1.9</v>
      </c>
      <c r="AB744" s="1731" t="s">
        <v>1471</v>
      </c>
      <c r="AC744" s="1732"/>
    </row>
    <row r="745" spans="1:29" ht="45">
      <c r="A745" s="1704" t="s">
        <v>3269</v>
      </c>
      <c r="B745" s="1705" t="s">
        <v>3270</v>
      </c>
      <c r="C745" s="1706"/>
      <c r="D745" s="1707"/>
      <c r="E745" s="1708"/>
      <c r="F745" s="1707"/>
      <c r="G745" s="1708"/>
      <c r="H745" s="1707"/>
      <c r="I745" s="1709">
        <v>30000</v>
      </c>
      <c r="J745" s="1708" t="s">
        <v>1960</v>
      </c>
      <c r="K745" s="1707"/>
      <c r="L745" s="1707"/>
      <c r="M745" s="1708">
        <v>1</v>
      </c>
      <c r="N745" s="1708"/>
      <c r="O745" s="1710"/>
      <c r="P745" s="1712"/>
      <c r="Q745" s="1713"/>
      <c r="R745" s="1712"/>
      <c r="S745" s="1713"/>
      <c r="T745" s="1711">
        <v>31000</v>
      </c>
      <c r="U745" s="1712" t="s">
        <v>2111</v>
      </c>
      <c r="V745" s="1711">
        <v>130000</v>
      </c>
      <c r="W745" s="1712" t="s">
        <v>2111</v>
      </c>
      <c r="X745" s="1712"/>
      <c r="Y745" s="1733"/>
      <c r="Z745" s="1713"/>
      <c r="AA745" s="1716"/>
      <c r="AB745" s="1734"/>
      <c r="AC745" s="1717"/>
    </row>
    <row r="746" spans="1:29" ht="15">
      <c r="A746" s="1704" t="s">
        <v>3271</v>
      </c>
      <c r="B746" s="1705" t="s">
        <v>3272</v>
      </c>
      <c r="C746" s="1706"/>
      <c r="D746" s="1707"/>
      <c r="E746" s="1708"/>
      <c r="F746" s="1707"/>
      <c r="G746" s="1709">
        <v>0.03</v>
      </c>
      <c r="H746" s="1708" t="s">
        <v>1119</v>
      </c>
      <c r="I746" s="1708"/>
      <c r="J746" s="1707"/>
      <c r="K746" s="1707"/>
      <c r="L746" s="1707"/>
      <c r="M746" s="1708">
        <v>1</v>
      </c>
      <c r="N746" s="1708">
        <v>0.1</v>
      </c>
      <c r="O746" s="1710"/>
      <c r="P746" s="1711">
        <v>1900</v>
      </c>
      <c r="Q746" s="1712" t="s">
        <v>1471</v>
      </c>
      <c r="R746" s="1711">
        <v>25000</v>
      </c>
      <c r="S746" s="1712" t="s">
        <v>1471</v>
      </c>
      <c r="T746" s="1712"/>
      <c r="U746" s="1713"/>
      <c r="V746" s="1712"/>
      <c r="W746" s="1713"/>
      <c r="X746" s="1711">
        <v>67</v>
      </c>
      <c r="Y746" s="1714" t="s">
        <v>1471</v>
      </c>
      <c r="Z746" s="1713"/>
      <c r="AA746" s="1715">
        <v>42</v>
      </c>
      <c r="AB746" s="1716" t="s">
        <v>1471</v>
      </c>
      <c r="AC746" s="1717"/>
    </row>
    <row r="747" spans="1:29" ht="15">
      <c r="A747" s="1719" t="s">
        <v>3273</v>
      </c>
      <c r="B747" s="1720" t="s">
        <v>3274</v>
      </c>
      <c r="C747" s="1721"/>
      <c r="D747" s="1722"/>
      <c r="E747" s="1723"/>
      <c r="F747" s="1722"/>
      <c r="G747" s="1724">
        <v>0.05</v>
      </c>
      <c r="H747" s="1723" t="s">
        <v>1073</v>
      </c>
      <c r="I747" s="1723"/>
      <c r="J747" s="1722"/>
      <c r="K747" s="1723" t="s">
        <v>1127</v>
      </c>
      <c r="L747" s="1722"/>
      <c r="M747" s="1723">
        <v>1</v>
      </c>
      <c r="N747" s="1723"/>
      <c r="O747" s="1725"/>
      <c r="P747" s="1726">
        <v>3900</v>
      </c>
      <c r="Q747" s="1727" t="s">
        <v>1471</v>
      </c>
      <c r="R747" s="1726">
        <v>58000</v>
      </c>
      <c r="S747" s="1727" t="s">
        <v>1471</v>
      </c>
      <c r="T747" s="1727"/>
      <c r="U747" s="1728"/>
      <c r="V747" s="1727"/>
      <c r="W747" s="1728"/>
      <c r="X747" s="1726">
        <v>410</v>
      </c>
      <c r="Y747" s="1729" t="s">
        <v>1471</v>
      </c>
      <c r="Z747" s="1728"/>
      <c r="AA747" s="1730">
        <v>3.7</v>
      </c>
      <c r="AB747" s="1731" t="s">
        <v>1471</v>
      </c>
      <c r="AC747" s="1732"/>
    </row>
    <row r="748" spans="1:29" ht="15">
      <c r="A748" s="1704" t="s">
        <v>3275</v>
      </c>
      <c r="B748" s="1705" t="s">
        <v>3276</v>
      </c>
      <c r="C748" s="1706"/>
      <c r="D748" s="1707"/>
      <c r="E748" s="1708"/>
      <c r="F748" s="1707"/>
      <c r="G748" s="1709">
        <v>4.0000000000000001E-3</v>
      </c>
      <c r="H748" s="1708" t="s">
        <v>1119</v>
      </c>
      <c r="I748" s="1708"/>
      <c r="J748" s="1707"/>
      <c r="K748" s="1707"/>
      <c r="L748" s="1707"/>
      <c r="M748" s="1708">
        <v>1</v>
      </c>
      <c r="N748" s="1708">
        <v>0.1</v>
      </c>
      <c r="O748" s="1710"/>
      <c r="P748" s="1711">
        <v>250</v>
      </c>
      <c r="Q748" s="1712" t="s">
        <v>1471</v>
      </c>
      <c r="R748" s="1711">
        <v>3300</v>
      </c>
      <c r="S748" s="1712" t="s">
        <v>1471</v>
      </c>
      <c r="T748" s="1712"/>
      <c r="U748" s="1713"/>
      <c r="V748" s="1712"/>
      <c r="W748" s="1713"/>
      <c r="X748" s="1711">
        <v>61</v>
      </c>
      <c r="Y748" s="1714" t="s">
        <v>1471</v>
      </c>
      <c r="Z748" s="1713"/>
      <c r="AA748" s="1715">
        <v>32</v>
      </c>
      <c r="AB748" s="1716" t="s">
        <v>1471</v>
      </c>
      <c r="AC748" s="1717"/>
    </row>
    <row r="749" spans="1:29" ht="15">
      <c r="A749" s="1704" t="s">
        <v>3277</v>
      </c>
      <c r="B749" s="1705" t="s">
        <v>3278</v>
      </c>
      <c r="C749" s="1736">
        <v>0.22</v>
      </c>
      <c r="D749" s="1708" t="s">
        <v>1900</v>
      </c>
      <c r="E749" s="1709">
        <v>6.3E-5</v>
      </c>
      <c r="F749" s="1708" t="s">
        <v>1900</v>
      </c>
      <c r="G749" s="1708"/>
      <c r="H749" s="1707"/>
      <c r="I749" s="1708"/>
      <c r="J749" s="1707"/>
      <c r="K749" s="1707"/>
      <c r="L749" s="1708" t="s">
        <v>1906</v>
      </c>
      <c r="M749" s="1708">
        <v>1</v>
      </c>
      <c r="N749" s="1708">
        <v>0.1</v>
      </c>
      <c r="O749" s="1710"/>
      <c r="P749" s="1711">
        <v>0.55000000000000004</v>
      </c>
      <c r="Q749" s="1712" t="s">
        <v>4126</v>
      </c>
      <c r="R749" s="1711">
        <v>10</v>
      </c>
      <c r="S749" s="1712" t="s">
        <v>4126</v>
      </c>
      <c r="T749" s="1711">
        <v>1.6E-2</v>
      </c>
      <c r="U749" s="1712" t="s">
        <v>4126</v>
      </c>
      <c r="V749" s="1711">
        <v>0.19</v>
      </c>
      <c r="W749" s="1712" t="s">
        <v>4126</v>
      </c>
      <c r="X749" s="1711">
        <v>9.6000000000000002E-2</v>
      </c>
      <c r="Y749" s="1714" t="s">
        <v>4126</v>
      </c>
      <c r="Z749" s="1713"/>
      <c r="AA749" s="1715">
        <v>5.8999999999999998E-5</v>
      </c>
      <c r="AB749" s="1716" t="s">
        <v>4126</v>
      </c>
      <c r="AC749" s="1717"/>
    </row>
    <row r="750" spans="1:29" ht="15">
      <c r="A750" s="1719" t="s">
        <v>3279</v>
      </c>
      <c r="B750" s="1720" t="s">
        <v>3280</v>
      </c>
      <c r="C750" s="1721"/>
      <c r="D750" s="1722"/>
      <c r="E750" s="1723"/>
      <c r="F750" s="1722"/>
      <c r="G750" s="1724">
        <v>5.0000000000000001E-3</v>
      </c>
      <c r="H750" s="1723" t="s">
        <v>1119</v>
      </c>
      <c r="I750" s="1723"/>
      <c r="J750" s="1722"/>
      <c r="K750" s="1722"/>
      <c r="L750" s="1722"/>
      <c r="M750" s="1723">
        <v>1</v>
      </c>
      <c r="N750" s="1723"/>
      <c r="O750" s="1725"/>
      <c r="P750" s="1726">
        <v>390</v>
      </c>
      <c r="Q750" s="1727" t="s">
        <v>1471</v>
      </c>
      <c r="R750" s="1726">
        <v>5800</v>
      </c>
      <c r="S750" s="1727" t="s">
        <v>1471</v>
      </c>
      <c r="T750" s="1727"/>
      <c r="U750" s="1728"/>
      <c r="V750" s="1727"/>
      <c r="W750" s="1728"/>
      <c r="X750" s="1726">
        <v>100</v>
      </c>
      <c r="Y750" s="1729" t="s">
        <v>1471</v>
      </c>
      <c r="Z750" s="1728"/>
      <c r="AA750" s="1731"/>
      <c r="AB750" s="1740"/>
      <c r="AC750" s="1732"/>
    </row>
    <row r="751" spans="1:29" ht="15">
      <c r="A751" s="1704" t="s">
        <v>306</v>
      </c>
      <c r="B751" s="1705" t="s">
        <v>305</v>
      </c>
      <c r="C751" s="1706"/>
      <c r="D751" s="1707"/>
      <c r="E751" s="1708"/>
      <c r="F751" s="1707"/>
      <c r="G751" s="1709">
        <v>5.0000000000000001E-3</v>
      </c>
      <c r="H751" s="1708" t="s">
        <v>1119</v>
      </c>
      <c r="I751" s="1709">
        <v>0.02</v>
      </c>
      <c r="J751" s="1708" t="s">
        <v>1900</v>
      </c>
      <c r="K751" s="1707"/>
      <c r="L751" s="1707"/>
      <c r="M751" s="1708">
        <v>1</v>
      </c>
      <c r="N751" s="1708"/>
      <c r="O751" s="1710"/>
      <c r="P751" s="1711">
        <v>390</v>
      </c>
      <c r="Q751" s="1712" t="s">
        <v>1471</v>
      </c>
      <c r="R751" s="1711">
        <v>5800</v>
      </c>
      <c r="S751" s="1712" t="s">
        <v>1471</v>
      </c>
      <c r="T751" s="1711">
        <v>21</v>
      </c>
      <c r="U751" s="1712" t="s">
        <v>1471</v>
      </c>
      <c r="V751" s="1711">
        <v>88</v>
      </c>
      <c r="W751" s="1712" t="s">
        <v>1471</v>
      </c>
      <c r="X751" s="1711">
        <v>100</v>
      </c>
      <c r="Y751" s="1714" t="s">
        <v>1471</v>
      </c>
      <c r="Z751" s="1711">
        <v>50</v>
      </c>
      <c r="AA751" s="1715">
        <v>0.52</v>
      </c>
      <c r="AB751" s="1716" t="s">
        <v>1471</v>
      </c>
      <c r="AC751" s="1738">
        <v>0.26</v>
      </c>
    </row>
    <row r="752" spans="1:29" ht="15">
      <c r="A752" s="1704" t="s">
        <v>3281</v>
      </c>
      <c r="B752" s="1705" t="s">
        <v>3282</v>
      </c>
      <c r="C752" s="1706"/>
      <c r="D752" s="1707"/>
      <c r="E752" s="1708"/>
      <c r="F752" s="1707"/>
      <c r="G752" s="1709">
        <v>5.0000000000000001E-3</v>
      </c>
      <c r="H752" s="1708" t="s">
        <v>1900</v>
      </c>
      <c r="I752" s="1709">
        <v>0.02</v>
      </c>
      <c r="J752" s="1708" t="s">
        <v>1900</v>
      </c>
      <c r="K752" s="1707"/>
      <c r="L752" s="1707"/>
      <c r="M752" s="1708">
        <v>1</v>
      </c>
      <c r="N752" s="1708"/>
      <c r="O752" s="1710"/>
      <c r="P752" s="1711">
        <v>390</v>
      </c>
      <c r="Q752" s="1712" t="s">
        <v>1471</v>
      </c>
      <c r="R752" s="1711">
        <v>5800</v>
      </c>
      <c r="S752" s="1712" t="s">
        <v>1471</v>
      </c>
      <c r="T752" s="1711">
        <v>21</v>
      </c>
      <c r="U752" s="1712" t="s">
        <v>1471</v>
      </c>
      <c r="V752" s="1711">
        <v>88</v>
      </c>
      <c r="W752" s="1712" t="s">
        <v>1471</v>
      </c>
      <c r="X752" s="1711">
        <v>100</v>
      </c>
      <c r="Y752" s="1714" t="s">
        <v>1471</v>
      </c>
      <c r="Z752" s="1713"/>
      <c r="AA752" s="1716"/>
      <c r="AB752" s="1734"/>
      <c r="AC752" s="1717"/>
    </row>
    <row r="753" spans="1:29" ht="15">
      <c r="A753" s="1719" t="s">
        <v>3283</v>
      </c>
      <c r="B753" s="1720" t="s">
        <v>3284</v>
      </c>
      <c r="C753" s="1721"/>
      <c r="D753" s="1722"/>
      <c r="E753" s="1723"/>
      <c r="F753" s="1722"/>
      <c r="G753" s="1724">
        <v>0.14000000000000001</v>
      </c>
      <c r="H753" s="1723" t="s">
        <v>1116</v>
      </c>
      <c r="I753" s="1723"/>
      <c r="J753" s="1722"/>
      <c r="K753" s="1722"/>
      <c r="L753" s="1722"/>
      <c r="M753" s="1723">
        <v>1</v>
      </c>
      <c r="N753" s="1723">
        <v>0.1</v>
      </c>
      <c r="O753" s="1725"/>
      <c r="P753" s="1726">
        <v>8800</v>
      </c>
      <c r="Q753" s="1727" t="s">
        <v>1471</v>
      </c>
      <c r="R753" s="1726">
        <v>110000</v>
      </c>
      <c r="S753" s="1727" t="s">
        <v>4124</v>
      </c>
      <c r="T753" s="1727"/>
      <c r="U753" s="1728"/>
      <c r="V753" s="1727"/>
      <c r="W753" s="1728"/>
      <c r="X753" s="1726">
        <v>1600</v>
      </c>
      <c r="Y753" s="1729" t="s">
        <v>1471</v>
      </c>
      <c r="Z753" s="1728"/>
      <c r="AA753" s="1730">
        <v>14</v>
      </c>
      <c r="AB753" s="1731" t="s">
        <v>1471</v>
      </c>
      <c r="AC753" s="1732"/>
    </row>
    <row r="754" spans="1:29" ht="30">
      <c r="A754" s="1704" t="s">
        <v>3285</v>
      </c>
      <c r="B754" s="1705" t="s">
        <v>3286</v>
      </c>
      <c r="C754" s="1706"/>
      <c r="D754" s="1707"/>
      <c r="E754" s="1708"/>
      <c r="F754" s="1707"/>
      <c r="G754" s="1708"/>
      <c r="H754" s="1707"/>
      <c r="I754" s="1709">
        <v>3.0000000000000001E-3</v>
      </c>
      <c r="J754" s="1708" t="s">
        <v>1900</v>
      </c>
      <c r="K754" s="1707"/>
      <c r="L754" s="1707"/>
      <c r="M754" s="1708">
        <v>1</v>
      </c>
      <c r="N754" s="1708"/>
      <c r="O754" s="1710"/>
      <c r="P754" s="1711">
        <v>4300000</v>
      </c>
      <c r="Q754" s="1712" t="s">
        <v>4124</v>
      </c>
      <c r="R754" s="1711">
        <v>18000000</v>
      </c>
      <c r="S754" s="1712" t="s">
        <v>4124</v>
      </c>
      <c r="T754" s="1711">
        <v>3.1</v>
      </c>
      <c r="U754" s="1712" t="s">
        <v>1471</v>
      </c>
      <c r="V754" s="1711">
        <v>13</v>
      </c>
      <c r="W754" s="1712" t="s">
        <v>1471</v>
      </c>
      <c r="X754" s="1712"/>
      <c r="Y754" s="1733"/>
      <c r="Z754" s="1713"/>
      <c r="AA754" s="1716"/>
      <c r="AB754" s="1734"/>
      <c r="AC754" s="1717"/>
    </row>
    <row r="755" spans="1:29" ht="15">
      <c r="A755" s="1704" t="s">
        <v>308</v>
      </c>
      <c r="B755" s="1705" t="s">
        <v>307</v>
      </c>
      <c r="C755" s="1706"/>
      <c r="D755" s="1707"/>
      <c r="E755" s="1708"/>
      <c r="F755" s="1707"/>
      <c r="G755" s="1709">
        <v>5.0000000000000001E-3</v>
      </c>
      <c r="H755" s="1708" t="s">
        <v>1119</v>
      </c>
      <c r="I755" s="1708"/>
      <c r="J755" s="1707"/>
      <c r="K755" s="1707"/>
      <c r="L755" s="1707"/>
      <c r="M755" s="1708">
        <v>0.04</v>
      </c>
      <c r="N755" s="1708"/>
      <c r="O755" s="1710"/>
      <c r="P755" s="1711">
        <v>390</v>
      </c>
      <c r="Q755" s="1712" t="s">
        <v>1471</v>
      </c>
      <c r="R755" s="1711">
        <v>5800</v>
      </c>
      <c r="S755" s="1712" t="s">
        <v>1471</v>
      </c>
      <c r="T755" s="1712"/>
      <c r="U755" s="1713"/>
      <c r="V755" s="1712"/>
      <c r="W755" s="1713"/>
      <c r="X755" s="1711">
        <v>94</v>
      </c>
      <c r="Y755" s="1714" t="s">
        <v>1471</v>
      </c>
      <c r="Z755" s="1713"/>
      <c r="AA755" s="1715">
        <v>0.8</v>
      </c>
      <c r="AB755" s="1716" t="s">
        <v>1471</v>
      </c>
      <c r="AC755" s="1717"/>
    </row>
    <row r="756" spans="1:29" ht="15">
      <c r="A756" s="1719" t="s">
        <v>3287</v>
      </c>
      <c r="B756" s="1720" t="s">
        <v>3288</v>
      </c>
      <c r="C756" s="1737">
        <v>0.12</v>
      </c>
      <c r="D756" s="1723" t="s">
        <v>1073</v>
      </c>
      <c r="E756" s="1723"/>
      <c r="F756" s="1722"/>
      <c r="G756" s="1724">
        <v>5.0000000000000001E-3</v>
      </c>
      <c r="H756" s="1723" t="s">
        <v>1119</v>
      </c>
      <c r="I756" s="1723"/>
      <c r="J756" s="1722"/>
      <c r="K756" s="1722"/>
      <c r="L756" s="1722"/>
      <c r="M756" s="1723">
        <v>1</v>
      </c>
      <c r="N756" s="1723">
        <v>0.1</v>
      </c>
      <c r="O756" s="1725"/>
      <c r="P756" s="1726">
        <v>4.5</v>
      </c>
      <c r="Q756" s="1727" t="s">
        <v>4127</v>
      </c>
      <c r="R756" s="1726">
        <v>19</v>
      </c>
      <c r="S756" s="1727" t="s">
        <v>4126</v>
      </c>
      <c r="T756" s="1727"/>
      <c r="U756" s="1728"/>
      <c r="V756" s="1727"/>
      <c r="W756" s="1728"/>
      <c r="X756" s="1726">
        <v>0.61</v>
      </c>
      <c r="Y756" s="1729" t="s">
        <v>4126</v>
      </c>
      <c r="Z756" s="1726">
        <v>4</v>
      </c>
      <c r="AA756" s="1730">
        <v>2.9999999999999997E-4</v>
      </c>
      <c r="AB756" s="1731" t="s">
        <v>4126</v>
      </c>
      <c r="AC756" s="1739">
        <v>2E-3</v>
      </c>
    </row>
    <row r="757" spans="1:29" ht="30">
      <c r="A757" s="1704" t="s">
        <v>3289</v>
      </c>
      <c r="B757" s="1705" t="s">
        <v>3290</v>
      </c>
      <c r="C757" s="1706"/>
      <c r="D757" s="1707"/>
      <c r="E757" s="1708"/>
      <c r="F757" s="1707"/>
      <c r="G757" s="1709">
        <v>1.2999999999999999E-2</v>
      </c>
      <c r="H757" s="1708" t="s">
        <v>1119</v>
      </c>
      <c r="I757" s="1708"/>
      <c r="J757" s="1707"/>
      <c r="K757" s="1707"/>
      <c r="L757" s="1707"/>
      <c r="M757" s="1708">
        <v>1</v>
      </c>
      <c r="N757" s="1708">
        <v>0.1</v>
      </c>
      <c r="O757" s="1710"/>
      <c r="P757" s="1711">
        <v>820</v>
      </c>
      <c r="Q757" s="1712" t="s">
        <v>1471</v>
      </c>
      <c r="R757" s="1711">
        <v>11000</v>
      </c>
      <c r="S757" s="1712" t="s">
        <v>1471</v>
      </c>
      <c r="T757" s="1712"/>
      <c r="U757" s="1713"/>
      <c r="V757" s="1712"/>
      <c r="W757" s="1713"/>
      <c r="X757" s="1711">
        <v>260</v>
      </c>
      <c r="Y757" s="1714" t="s">
        <v>1471</v>
      </c>
      <c r="Z757" s="1713"/>
      <c r="AA757" s="1715">
        <v>2.1</v>
      </c>
      <c r="AB757" s="1716" t="s">
        <v>1471</v>
      </c>
      <c r="AC757" s="1717"/>
    </row>
    <row r="758" spans="1:29" ht="15">
      <c r="A758" s="1704" t="s">
        <v>3291</v>
      </c>
      <c r="B758" s="1705" t="s">
        <v>3292</v>
      </c>
      <c r="C758" s="1706"/>
      <c r="D758" s="1707"/>
      <c r="E758" s="1708"/>
      <c r="F758" s="1707"/>
      <c r="G758" s="1709">
        <v>4.0000000000000001E-3</v>
      </c>
      <c r="H758" s="1708" t="s">
        <v>1119</v>
      </c>
      <c r="I758" s="1708"/>
      <c r="J758" s="1707"/>
      <c r="K758" s="1707"/>
      <c r="L758" s="1707"/>
      <c r="M758" s="1708">
        <v>1</v>
      </c>
      <c r="N758" s="1708"/>
      <c r="O758" s="1710"/>
      <c r="P758" s="1711">
        <v>310</v>
      </c>
      <c r="Q758" s="1712" t="s">
        <v>1471</v>
      </c>
      <c r="R758" s="1711">
        <v>4700</v>
      </c>
      <c r="S758" s="1712" t="s">
        <v>1471</v>
      </c>
      <c r="T758" s="1712"/>
      <c r="U758" s="1713"/>
      <c r="V758" s="1712"/>
      <c r="W758" s="1713"/>
      <c r="X758" s="1711">
        <v>80</v>
      </c>
      <c r="Y758" s="1714" t="s">
        <v>1471</v>
      </c>
      <c r="Z758" s="1713"/>
      <c r="AA758" s="1716"/>
      <c r="AB758" s="1734"/>
      <c r="AC758" s="1717"/>
    </row>
    <row r="759" spans="1:29" ht="45">
      <c r="A759" s="1719" t="s">
        <v>3293</v>
      </c>
      <c r="B759" s="1720" t="s">
        <v>3294</v>
      </c>
      <c r="C759" s="1737">
        <v>0.27</v>
      </c>
      <c r="D759" s="1723" t="s">
        <v>1073</v>
      </c>
      <c r="E759" s="1723"/>
      <c r="F759" s="1722"/>
      <c r="G759" s="1724">
        <v>0.03</v>
      </c>
      <c r="H759" s="1723" t="s">
        <v>1119</v>
      </c>
      <c r="I759" s="1723"/>
      <c r="J759" s="1722"/>
      <c r="K759" s="1722"/>
      <c r="L759" s="1722"/>
      <c r="M759" s="1723">
        <v>1</v>
      </c>
      <c r="N759" s="1723">
        <v>0.1</v>
      </c>
      <c r="O759" s="1725"/>
      <c r="P759" s="1726">
        <v>2</v>
      </c>
      <c r="Q759" s="1727" t="s">
        <v>4126</v>
      </c>
      <c r="R759" s="1726">
        <v>8.5</v>
      </c>
      <c r="S759" s="1727" t="s">
        <v>4126</v>
      </c>
      <c r="T759" s="1727"/>
      <c r="U759" s="1728"/>
      <c r="V759" s="1727"/>
      <c r="W759" s="1728"/>
      <c r="X759" s="1726">
        <v>0.28999999999999998</v>
      </c>
      <c r="Y759" s="1729" t="s">
        <v>4126</v>
      </c>
      <c r="Z759" s="1728"/>
      <c r="AA759" s="1730">
        <v>1.8000000000000001E-4</v>
      </c>
      <c r="AB759" s="1731" t="s">
        <v>4126</v>
      </c>
      <c r="AC759" s="1732"/>
    </row>
    <row r="760" spans="1:29" ht="15">
      <c r="A760" s="1704" t="s">
        <v>3295</v>
      </c>
      <c r="B760" s="1705" t="s">
        <v>3296</v>
      </c>
      <c r="C760" s="1706"/>
      <c r="D760" s="1707"/>
      <c r="E760" s="1708"/>
      <c r="F760" s="1707"/>
      <c r="G760" s="1709">
        <v>0.05</v>
      </c>
      <c r="H760" s="1708" t="s">
        <v>1960</v>
      </c>
      <c r="I760" s="1709">
        <v>1.4E-2</v>
      </c>
      <c r="J760" s="1708" t="s">
        <v>1900</v>
      </c>
      <c r="K760" s="1707"/>
      <c r="L760" s="1707"/>
      <c r="M760" s="1708">
        <v>1</v>
      </c>
      <c r="N760" s="1708"/>
      <c r="O760" s="1710"/>
      <c r="P760" s="1711">
        <v>3900</v>
      </c>
      <c r="Q760" s="1712" t="s">
        <v>1471</v>
      </c>
      <c r="R760" s="1711">
        <v>58000</v>
      </c>
      <c r="S760" s="1712" t="s">
        <v>1471</v>
      </c>
      <c r="T760" s="1711">
        <v>15</v>
      </c>
      <c r="U760" s="1712" t="s">
        <v>1471</v>
      </c>
      <c r="V760" s="1711">
        <v>61</v>
      </c>
      <c r="W760" s="1712" t="s">
        <v>1471</v>
      </c>
      <c r="X760" s="1711">
        <v>1000</v>
      </c>
      <c r="Y760" s="1714" t="s">
        <v>1471</v>
      </c>
      <c r="Z760" s="1711">
        <v>4000</v>
      </c>
      <c r="AA760" s="1715">
        <v>150</v>
      </c>
      <c r="AB760" s="1716" t="s">
        <v>1471</v>
      </c>
      <c r="AC760" s="1738">
        <v>600</v>
      </c>
    </row>
    <row r="761" spans="1:29" ht="30">
      <c r="A761" s="1704" t="s">
        <v>3297</v>
      </c>
      <c r="B761" s="1705" t="s">
        <v>3298</v>
      </c>
      <c r="C761" s="1706"/>
      <c r="D761" s="1707"/>
      <c r="E761" s="1708"/>
      <c r="F761" s="1707"/>
      <c r="G761" s="1709">
        <v>2.0000000000000002E-5</v>
      </c>
      <c r="H761" s="1708" t="s">
        <v>1119</v>
      </c>
      <c r="I761" s="1708"/>
      <c r="J761" s="1707"/>
      <c r="K761" s="1707"/>
      <c r="L761" s="1707"/>
      <c r="M761" s="1708">
        <v>1</v>
      </c>
      <c r="N761" s="1708">
        <v>0.1</v>
      </c>
      <c r="O761" s="1710"/>
      <c r="P761" s="1711">
        <v>1.3</v>
      </c>
      <c r="Q761" s="1712" t="s">
        <v>1471</v>
      </c>
      <c r="R761" s="1711">
        <v>16</v>
      </c>
      <c r="S761" s="1712" t="s">
        <v>1471</v>
      </c>
      <c r="T761" s="1712"/>
      <c r="U761" s="1713"/>
      <c r="V761" s="1712"/>
      <c r="W761" s="1713"/>
      <c r="X761" s="1711">
        <v>0.4</v>
      </c>
      <c r="Y761" s="1714" t="s">
        <v>1471</v>
      </c>
      <c r="Z761" s="1713"/>
      <c r="AA761" s="1715">
        <v>8.1000000000000004E-5</v>
      </c>
      <c r="AB761" s="1716" t="s">
        <v>1471</v>
      </c>
      <c r="AC761" s="1717"/>
    </row>
    <row r="762" spans="1:29" ht="30">
      <c r="A762" s="1719" t="s">
        <v>3299</v>
      </c>
      <c r="B762" s="1720" t="s">
        <v>3300</v>
      </c>
      <c r="C762" s="1721"/>
      <c r="D762" s="1722"/>
      <c r="E762" s="1723"/>
      <c r="F762" s="1722"/>
      <c r="G762" s="1724">
        <v>1E-3</v>
      </c>
      <c r="H762" s="1723" t="s">
        <v>1073</v>
      </c>
      <c r="I762" s="1723"/>
      <c r="J762" s="1722"/>
      <c r="K762" s="1722"/>
      <c r="L762" s="1722"/>
      <c r="M762" s="1723">
        <v>1</v>
      </c>
      <c r="N762" s="1723"/>
      <c r="O762" s="1725"/>
      <c r="P762" s="1726">
        <v>78</v>
      </c>
      <c r="Q762" s="1727" t="s">
        <v>1471</v>
      </c>
      <c r="R762" s="1726">
        <v>1200</v>
      </c>
      <c r="S762" s="1727" t="s">
        <v>1471</v>
      </c>
      <c r="T762" s="1727"/>
      <c r="U762" s="1728"/>
      <c r="V762" s="1727"/>
      <c r="W762" s="1728"/>
      <c r="X762" s="1726">
        <v>20</v>
      </c>
      <c r="Y762" s="1729" t="s">
        <v>1471</v>
      </c>
      <c r="Z762" s="1728"/>
      <c r="AA762" s="1731"/>
      <c r="AB762" s="1740"/>
      <c r="AC762" s="1732"/>
    </row>
    <row r="763" spans="1:29" ht="30">
      <c r="A763" s="1704" t="s">
        <v>3301</v>
      </c>
      <c r="B763" s="1705" t="s">
        <v>3302</v>
      </c>
      <c r="C763" s="1706"/>
      <c r="D763" s="1707"/>
      <c r="E763" s="1708"/>
      <c r="F763" s="1707"/>
      <c r="G763" s="1709">
        <v>8.0000000000000004E-4</v>
      </c>
      <c r="H763" s="1708" t="s">
        <v>1909</v>
      </c>
      <c r="I763" s="1708"/>
      <c r="J763" s="1707"/>
      <c r="K763" s="1707"/>
      <c r="L763" s="1707"/>
      <c r="M763" s="1708">
        <v>1</v>
      </c>
      <c r="N763" s="1708"/>
      <c r="O763" s="1710"/>
      <c r="P763" s="1711">
        <v>63</v>
      </c>
      <c r="Q763" s="1712" t="s">
        <v>1471</v>
      </c>
      <c r="R763" s="1711">
        <v>930</v>
      </c>
      <c r="S763" s="1712" t="s">
        <v>1471</v>
      </c>
      <c r="T763" s="1712"/>
      <c r="U763" s="1713"/>
      <c r="V763" s="1712"/>
      <c r="W763" s="1713"/>
      <c r="X763" s="1711">
        <v>16</v>
      </c>
      <c r="Y763" s="1714" t="s">
        <v>1471</v>
      </c>
      <c r="Z763" s="1713"/>
      <c r="AA763" s="1716"/>
      <c r="AB763" s="1734"/>
      <c r="AC763" s="1717"/>
    </row>
    <row r="764" spans="1:29" ht="45">
      <c r="A764" s="1704" t="s">
        <v>3303</v>
      </c>
      <c r="B764" s="1705" t="s">
        <v>3304</v>
      </c>
      <c r="C764" s="1706"/>
      <c r="D764" s="1707"/>
      <c r="E764" s="1708"/>
      <c r="F764" s="1707"/>
      <c r="G764" s="1709">
        <v>8.0000000000000004E-4</v>
      </c>
      <c r="H764" s="1708" t="s">
        <v>1909</v>
      </c>
      <c r="I764" s="1708"/>
      <c r="J764" s="1707"/>
      <c r="K764" s="1707"/>
      <c r="L764" s="1707"/>
      <c r="M764" s="1708">
        <v>1</v>
      </c>
      <c r="N764" s="1708"/>
      <c r="O764" s="1710"/>
      <c r="P764" s="1711">
        <v>63</v>
      </c>
      <c r="Q764" s="1712" t="s">
        <v>1471</v>
      </c>
      <c r="R764" s="1711">
        <v>930</v>
      </c>
      <c r="S764" s="1712" t="s">
        <v>1471</v>
      </c>
      <c r="T764" s="1712"/>
      <c r="U764" s="1713"/>
      <c r="V764" s="1712"/>
      <c r="W764" s="1713"/>
      <c r="X764" s="1711">
        <v>16</v>
      </c>
      <c r="Y764" s="1714" t="s">
        <v>1471</v>
      </c>
      <c r="Z764" s="1713"/>
      <c r="AA764" s="1716"/>
      <c r="AB764" s="1734"/>
      <c r="AC764" s="1717"/>
    </row>
    <row r="765" spans="1:29" ht="45">
      <c r="A765" s="1719" t="s">
        <v>3305</v>
      </c>
      <c r="B765" s="1720" t="s">
        <v>3306</v>
      </c>
      <c r="C765" s="1737">
        <v>2.4E-2</v>
      </c>
      <c r="D765" s="1723" t="s">
        <v>1073</v>
      </c>
      <c r="E765" s="1723"/>
      <c r="F765" s="1722"/>
      <c r="G765" s="1724">
        <v>0.03</v>
      </c>
      <c r="H765" s="1723" t="s">
        <v>1119</v>
      </c>
      <c r="I765" s="1723"/>
      <c r="J765" s="1722"/>
      <c r="K765" s="1722"/>
      <c r="L765" s="1722"/>
      <c r="M765" s="1723">
        <v>1</v>
      </c>
      <c r="N765" s="1723">
        <v>0.1</v>
      </c>
      <c r="O765" s="1725"/>
      <c r="P765" s="1726">
        <v>23</v>
      </c>
      <c r="Q765" s="1727" t="s">
        <v>4127</v>
      </c>
      <c r="R765" s="1726">
        <v>96</v>
      </c>
      <c r="S765" s="1727" t="s">
        <v>4126</v>
      </c>
      <c r="T765" s="1727"/>
      <c r="U765" s="1728"/>
      <c r="V765" s="1727"/>
      <c r="W765" s="1728"/>
      <c r="X765" s="1726">
        <v>2.8</v>
      </c>
      <c r="Y765" s="1729" t="s">
        <v>4126</v>
      </c>
      <c r="Z765" s="1728"/>
      <c r="AA765" s="1730">
        <v>8.2000000000000007E-3</v>
      </c>
      <c r="AB765" s="1731" t="s">
        <v>4126</v>
      </c>
      <c r="AC765" s="1732"/>
    </row>
    <row r="766" spans="1:29" ht="15">
      <c r="A766" s="1704" t="s">
        <v>3307</v>
      </c>
      <c r="B766" s="1705" t="s">
        <v>3308</v>
      </c>
      <c r="C766" s="1706"/>
      <c r="D766" s="1707"/>
      <c r="E766" s="1708"/>
      <c r="F766" s="1707"/>
      <c r="G766" s="1709">
        <v>0.6</v>
      </c>
      <c r="H766" s="1708" t="s">
        <v>1119</v>
      </c>
      <c r="I766" s="1708"/>
      <c r="J766" s="1707"/>
      <c r="K766" s="1707"/>
      <c r="L766" s="1707"/>
      <c r="M766" s="1708">
        <v>1</v>
      </c>
      <c r="N766" s="1708"/>
      <c r="O766" s="1710"/>
      <c r="P766" s="1711">
        <v>47000</v>
      </c>
      <c r="Q766" s="1712" t="s">
        <v>1471</v>
      </c>
      <c r="R766" s="1711">
        <v>700000</v>
      </c>
      <c r="S766" s="1712" t="s">
        <v>4124</v>
      </c>
      <c r="T766" s="1712"/>
      <c r="U766" s="1713"/>
      <c r="V766" s="1712"/>
      <c r="W766" s="1713"/>
      <c r="X766" s="1711">
        <v>12000</v>
      </c>
      <c r="Y766" s="1714" t="s">
        <v>1471</v>
      </c>
      <c r="Z766" s="1713"/>
      <c r="AA766" s="1715">
        <v>420</v>
      </c>
      <c r="AB766" s="1716" t="s">
        <v>1471</v>
      </c>
      <c r="AC766" s="1717"/>
    </row>
    <row r="767" spans="1:29" ht="15">
      <c r="A767" s="1704" t="s">
        <v>3309</v>
      </c>
      <c r="B767" s="1705" t="s">
        <v>3310</v>
      </c>
      <c r="C767" s="1706"/>
      <c r="D767" s="1707"/>
      <c r="E767" s="1708"/>
      <c r="F767" s="1707"/>
      <c r="G767" s="1709">
        <v>2.9999999999999997E-4</v>
      </c>
      <c r="H767" s="1708" t="s">
        <v>1119</v>
      </c>
      <c r="I767" s="1708"/>
      <c r="J767" s="1707"/>
      <c r="K767" s="1707"/>
      <c r="L767" s="1707"/>
      <c r="M767" s="1708">
        <v>1</v>
      </c>
      <c r="N767" s="1708">
        <v>0.1</v>
      </c>
      <c r="O767" s="1710"/>
      <c r="P767" s="1711">
        <v>19</v>
      </c>
      <c r="Q767" s="1712" t="s">
        <v>1471</v>
      </c>
      <c r="R767" s="1711">
        <v>250</v>
      </c>
      <c r="S767" s="1712" t="s">
        <v>1471</v>
      </c>
      <c r="T767" s="1712"/>
      <c r="U767" s="1713"/>
      <c r="V767" s="1712"/>
      <c r="W767" s="1713"/>
      <c r="X767" s="1711">
        <v>5.9</v>
      </c>
      <c r="Y767" s="1714" t="s">
        <v>1471</v>
      </c>
      <c r="Z767" s="1713"/>
      <c r="AA767" s="1715">
        <v>6.5000000000000002E-2</v>
      </c>
      <c r="AB767" s="1716" t="s">
        <v>1471</v>
      </c>
      <c r="AC767" s="1717"/>
    </row>
    <row r="768" spans="1:29" ht="15">
      <c r="A768" s="1719" t="s">
        <v>310</v>
      </c>
      <c r="B768" s="1720" t="s">
        <v>309</v>
      </c>
      <c r="C768" s="1721"/>
      <c r="D768" s="1722"/>
      <c r="E768" s="1723"/>
      <c r="F768" s="1722"/>
      <c r="G768" s="1724">
        <v>0.2</v>
      </c>
      <c r="H768" s="1723" t="s">
        <v>1119</v>
      </c>
      <c r="I768" s="1724">
        <v>1</v>
      </c>
      <c r="J768" s="1723" t="s">
        <v>1119</v>
      </c>
      <c r="K768" s="1723" t="s">
        <v>1127</v>
      </c>
      <c r="L768" s="1722"/>
      <c r="M768" s="1723">
        <v>1</v>
      </c>
      <c r="N768" s="1723"/>
      <c r="O768" s="1735">
        <v>867</v>
      </c>
      <c r="P768" s="1726">
        <v>6000</v>
      </c>
      <c r="Q768" s="1727" t="s">
        <v>4125</v>
      </c>
      <c r="R768" s="1726">
        <v>35000</v>
      </c>
      <c r="S768" s="1727" t="s">
        <v>4125</v>
      </c>
      <c r="T768" s="1726">
        <v>1000</v>
      </c>
      <c r="U768" s="1727" t="s">
        <v>1471</v>
      </c>
      <c r="V768" s="1726">
        <v>4400</v>
      </c>
      <c r="W768" s="1727" t="s">
        <v>1471</v>
      </c>
      <c r="X768" s="1726">
        <v>1200</v>
      </c>
      <c r="Y768" s="1729" t="s">
        <v>1471</v>
      </c>
      <c r="Z768" s="1726">
        <v>100</v>
      </c>
      <c r="AA768" s="1730">
        <v>1.3</v>
      </c>
      <c r="AB768" s="1731" t="s">
        <v>1471</v>
      </c>
      <c r="AC768" s="1739">
        <v>0.11</v>
      </c>
    </row>
    <row r="769" spans="1:29" ht="60">
      <c r="A769" s="1704" t="s">
        <v>3311</v>
      </c>
      <c r="B769" s="1705" t="s">
        <v>3312</v>
      </c>
      <c r="C769" s="1706"/>
      <c r="D769" s="1707"/>
      <c r="E769" s="1708"/>
      <c r="F769" s="1707"/>
      <c r="G769" s="1709">
        <v>3.0000000000000001E-3</v>
      </c>
      <c r="H769" s="1708" t="s">
        <v>1909</v>
      </c>
      <c r="I769" s="1708"/>
      <c r="J769" s="1707"/>
      <c r="K769" s="1707"/>
      <c r="L769" s="1707"/>
      <c r="M769" s="1708">
        <v>1</v>
      </c>
      <c r="N769" s="1708">
        <v>0.1</v>
      </c>
      <c r="O769" s="1710"/>
      <c r="P769" s="1711">
        <v>190</v>
      </c>
      <c r="Q769" s="1712" t="s">
        <v>1471</v>
      </c>
      <c r="R769" s="1711">
        <v>2500</v>
      </c>
      <c r="S769" s="1712" t="s">
        <v>1471</v>
      </c>
      <c r="T769" s="1712"/>
      <c r="U769" s="1713"/>
      <c r="V769" s="1712"/>
      <c r="W769" s="1713"/>
      <c r="X769" s="1711">
        <v>48</v>
      </c>
      <c r="Y769" s="1714" t="s">
        <v>1471</v>
      </c>
      <c r="Z769" s="1713"/>
      <c r="AA769" s="1716"/>
      <c r="AB769" s="1734"/>
      <c r="AC769" s="1717"/>
    </row>
    <row r="770" spans="1:29" ht="60">
      <c r="A770" s="1704" t="s">
        <v>3313</v>
      </c>
      <c r="B770" s="1705" t="s">
        <v>3314</v>
      </c>
      <c r="C770" s="1706"/>
      <c r="D770" s="1707"/>
      <c r="E770" s="1708"/>
      <c r="F770" s="1707"/>
      <c r="G770" s="1709">
        <v>3.0000000000000001E-3</v>
      </c>
      <c r="H770" s="1708" t="s">
        <v>1909</v>
      </c>
      <c r="I770" s="1708"/>
      <c r="J770" s="1707"/>
      <c r="K770" s="1707"/>
      <c r="L770" s="1707"/>
      <c r="M770" s="1708">
        <v>1</v>
      </c>
      <c r="N770" s="1708">
        <v>0.1</v>
      </c>
      <c r="O770" s="1710"/>
      <c r="P770" s="1711">
        <v>190</v>
      </c>
      <c r="Q770" s="1712" t="s">
        <v>1471</v>
      </c>
      <c r="R770" s="1711">
        <v>2500</v>
      </c>
      <c r="S770" s="1712" t="s">
        <v>1471</v>
      </c>
      <c r="T770" s="1712"/>
      <c r="U770" s="1713"/>
      <c r="V770" s="1712"/>
      <c r="W770" s="1713"/>
      <c r="X770" s="1711">
        <v>48</v>
      </c>
      <c r="Y770" s="1714" t="s">
        <v>1471</v>
      </c>
      <c r="Z770" s="1713"/>
      <c r="AA770" s="1716"/>
      <c r="AB770" s="1734"/>
      <c r="AC770" s="1717"/>
    </row>
    <row r="771" spans="1:29" ht="15">
      <c r="A771" s="1719" t="s">
        <v>3317</v>
      </c>
      <c r="B771" s="1720" t="s">
        <v>3318</v>
      </c>
      <c r="C771" s="1721"/>
      <c r="D771" s="1722"/>
      <c r="E771" s="1723"/>
      <c r="F771" s="1722"/>
      <c r="G771" s="1724">
        <v>1E-3</v>
      </c>
      <c r="H771" s="1723" t="s">
        <v>1909</v>
      </c>
      <c r="I771" s="1724">
        <v>2E-3</v>
      </c>
      <c r="J771" s="1723" t="s">
        <v>1893</v>
      </c>
      <c r="K771" s="1722"/>
      <c r="L771" s="1722"/>
      <c r="M771" s="1723">
        <v>1</v>
      </c>
      <c r="N771" s="1723">
        <v>0.1</v>
      </c>
      <c r="O771" s="1725"/>
      <c r="P771" s="1726">
        <v>63</v>
      </c>
      <c r="Q771" s="1727" t="s">
        <v>1471</v>
      </c>
      <c r="R771" s="1726">
        <v>820</v>
      </c>
      <c r="S771" s="1727" t="s">
        <v>1471</v>
      </c>
      <c r="T771" s="1726">
        <v>2.1</v>
      </c>
      <c r="U771" s="1727" t="s">
        <v>1471</v>
      </c>
      <c r="V771" s="1726">
        <v>8.8000000000000007</v>
      </c>
      <c r="W771" s="1727" t="s">
        <v>1471</v>
      </c>
      <c r="X771" s="1726">
        <v>20</v>
      </c>
      <c r="Y771" s="1729" t="s">
        <v>1471</v>
      </c>
      <c r="Z771" s="1728"/>
      <c r="AA771" s="1730">
        <v>4.4000000000000003E-3</v>
      </c>
      <c r="AB771" s="1731" t="s">
        <v>1471</v>
      </c>
      <c r="AC771" s="1732"/>
    </row>
    <row r="772" spans="1:29" ht="45">
      <c r="A772" s="1704" t="s">
        <v>3319</v>
      </c>
      <c r="B772" s="1705" t="s">
        <v>3320</v>
      </c>
      <c r="C772" s="1706"/>
      <c r="D772" s="1707"/>
      <c r="E772" s="1708"/>
      <c r="F772" s="1707"/>
      <c r="G772" s="1709">
        <v>8.0000000000000004E-4</v>
      </c>
      <c r="H772" s="1708" t="s">
        <v>1909</v>
      </c>
      <c r="I772" s="1708"/>
      <c r="J772" s="1707"/>
      <c r="K772" s="1707"/>
      <c r="L772" s="1707"/>
      <c r="M772" s="1708">
        <v>1</v>
      </c>
      <c r="N772" s="1708">
        <v>0.1</v>
      </c>
      <c r="O772" s="1710"/>
      <c r="P772" s="1711">
        <v>51</v>
      </c>
      <c r="Q772" s="1712" t="s">
        <v>1471</v>
      </c>
      <c r="R772" s="1711">
        <v>660</v>
      </c>
      <c r="S772" s="1712" t="s">
        <v>1471</v>
      </c>
      <c r="T772" s="1712"/>
      <c r="U772" s="1713"/>
      <c r="V772" s="1712"/>
      <c r="W772" s="1713"/>
      <c r="X772" s="1711">
        <v>11</v>
      </c>
      <c r="Y772" s="1714" t="s">
        <v>1471</v>
      </c>
      <c r="Z772" s="1713"/>
      <c r="AA772" s="1715">
        <v>6.5000000000000002E-2</v>
      </c>
      <c r="AB772" s="1716" t="s">
        <v>1471</v>
      </c>
      <c r="AC772" s="1717"/>
    </row>
    <row r="773" spans="1:29" ht="15">
      <c r="A773" s="1742">
        <v>2025949</v>
      </c>
      <c r="B773" s="1705" t="s">
        <v>3322</v>
      </c>
      <c r="C773" s="1706"/>
      <c r="D773" s="1707"/>
      <c r="E773" s="1708"/>
      <c r="F773" s="1707"/>
      <c r="G773" s="1708"/>
      <c r="H773" s="1707"/>
      <c r="I773" s="1709">
        <v>1E-3</v>
      </c>
      <c r="J773" s="1708" t="s">
        <v>1900</v>
      </c>
      <c r="K773" s="1708" t="s">
        <v>1127</v>
      </c>
      <c r="L773" s="1707"/>
      <c r="M773" s="1708">
        <v>1</v>
      </c>
      <c r="N773" s="1708"/>
      <c r="O773" s="1710"/>
      <c r="P773" s="1711">
        <v>1400000</v>
      </c>
      <c r="Q773" s="1712" t="s">
        <v>4124</v>
      </c>
      <c r="R773" s="1711">
        <v>6000000</v>
      </c>
      <c r="S773" s="1712" t="s">
        <v>4124</v>
      </c>
      <c r="T773" s="1711">
        <v>1</v>
      </c>
      <c r="U773" s="1712" t="s">
        <v>1471</v>
      </c>
      <c r="V773" s="1711">
        <v>4.4000000000000004</v>
      </c>
      <c r="W773" s="1712" t="s">
        <v>1471</v>
      </c>
      <c r="X773" s="1711">
        <v>2.1</v>
      </c>
      <c r="Y773" s="1714" t="s">
        <v>1471</v>
      </c>
      <c r="Z773" s="1713"/>
      <c r="AA773" s="1716"/>
      <c r="AB773" s="1734"/>
      <c r="AC773" s="1717"/>
    </row>
    <row r="774" spans="1:29" ht="15">
      <c r="A774" s="1719" t="s">
        <v>3323</v>
      </c>
      <c r="B774" s="1720" t="s">
        <v>3324</v>
      </c>
      <c r="C774" s="1721"/>
      <c r="D774" s="1722"/>
      <c r="E774" s="1723"/>
      <c r="F774" s="1722"/>
      <c r="G774" s="1723"/>
      <c r="H774" s="1722"/>
      <c r="I774" s="1724">
        <v>1E-3</v>
      </c>
      <c r="J774" s="1723" t="s">
        <v>1900</v>
      </c>
      <c r="K774" s="1722"/>
      <c r="L774" s="1722"/>
      <c r="M774" s="1723">
        <v>1</v>
      </c>
      <c r="N774" s="1723"/>
      <c r="O774" s="1725"/>
      <c r="P774" s="1726">
        <v>1400000</v>
      </c>
      <c r="Q774" s="1727" t="s">
        <v>4124</v>
      </c>
      <c r="R774" s="1726">
        <v>6000000</v>
      </c>
      <c r="S774" s="1727" t="s">
        <v>4124</v>
      </c>
      <c r="T774" s="1726">
        <v>1</v>
      </c>
      <c r="U774" s="1727" t="s">
        <v>1471</v>
      </c>
      <c r="V774" s="1726">
        <v>4.4000000000000004</v>
      </c>
      <c r="W774" s="1727" t="s">
        <v>1471</v>
      </c>
      <c r="X774" s="1727"/>
      <c r="Y774" s="1743"/>
      <c r="Z774" s="1728"/>
      <c r="AA774" s="1731"/>
      <c r="AB774" s="1740"/>
      <c r="AC774" s="1732"/>
    </row>
    <row r="775" spans="1:29" ht="90">
      <c r="A775" s="1704" t="s">
        <v>3325</v>
      </c>
      <c r="B775" s="1705" t="s">
        <v>3326</v>
      </c>
      <c r="C775" s="1736">
        <v>2.5000000000000001E-2</v>
      </c>
      <c r="D775" s="1708" t="s">
        <v>1119</v>
      </c>
      <c r="E775" s="1709">
        <v>7.0999999999999998E-6</v>
      </c>
      <c r="F775" s="1708" t="s">
        <v>1119</v>
      </c>
      <c r="G775" s="1709">
        <v>0.05</v>
      </c>
      <c r="H775" s="1708" t="s">
        <v>1073</v>
      </c>
      <c r="I775" s="1708"/>
      <c r="J775" s="1707"/>
      <c r="K775" s="1707"/>
      <c r="L775" s="1707"/>
      <c r="M775" s="1708">
        <v>1</v>
      </c>
      <c r="N775" s="1708">
        <v>0.1</v>
      </c>
      <c r="O775" s="1710"/>
      <c r="P775" s="1711">
        <v>22</v>
      </c>
      <c r="Q775" s="1712" t="s">
        <v>4126</v>
      </c>
      <c r="R775" s="1711">
        <v>92</v>
      </c>
      <c r="S775" s="1712" t="s">
        <v>4126</v>
      </c>
      <c r="T775" s="1711">
        <v>0.4</v>
      </c>
      <c r="U775" s="1712" t="s">
        <v>4126</v>
      </c>
      <c r="V775" s="1711">
        <v>1.7</v>
      </c>
      <c r="W775" s="1712" t="s">
        <v>4126</v>
      </c>
      <c r="X775" s="1711">
        <v>1.3</v>
      </c>
      <c r="Y775" s="1714" t="s">
        <v>4126</v>
      </c>
      <c r="Z775" s="1713"/>
      <c r="AA775" s="1715">
        <v>1.4999999999999999E-2</v>
      </c>
      <c r="AB775" s="1716" t="s">
        <v>4126</v>
      </c>
      <c r="AC775" s="1717"/>
    </row>
    <row r="776" spans="1:29" ht="15">
      <c r="A776" s="1704" t="s">
        <v>3327</v>
      </c>
      <c r="B776" s="1705" t="s">
        <v>3328</v>
      </c>
      <c r="C776" s="1706"/>
      <c r="D776" s="1707"/>
      <c r="E776" s="1708"/>
      <c r="F776" s="1707"/>
      <c r="G776" s="1709">
        <v>7.0000000000000007E-2</v>
      </c>
      <c r="H776" s="1708" t="s">
        <v>1119</v>
      </c>
      <c r="I776" s="1708"/>
      <c r="J776" s="1707"/>
      <c r="K776" s="1707"/>
      <c r="L776" s="1707"/>
      <c r="M776" s="1708">
        <v>1</v>
      </c>
      <c r="N776" s="1708">
        <v>0.1</v>
      </c>
      <c r="O776" s="1710"/>
      <c r="P776" s="1711">
        <v>4400</v>
      </c>
      <c r="Q776" s="1712" t="s">
        <v>1471</v>
      </c>
      <c r="R776" s="1711">
        <v>57000</v>
      </c>
      <c r="S776" s="1712" t="s">
        <v>1471</v>
      </c>
      <c r="T776" s="1712"/>
      <c r="U776" s="1713"/>
      <c r="V776" s="1712"/>
      <c r="W776" s="1713"/>
      <c r="X776" s="1711">
        <v>1400</v>
      </c>
      <c r="Y776" s="1714" t="s">
        <v>1471</v>
      </c>
      <c r="Z776" s="1713"/>
      <c r="AA776" s="1715">
        <v>0.39</v>
      </c>
      <c r="AB776" s="1716" t="s">
        <v>1471</v>
      </c>
      <c r="AC776" s="1717"/>
    </row>
    <row r="777" spans="1:29" ht="15">
      <c r="A777" s="1719" t="s">
        <v>3329</v>
      </c>
      <c r="B777" s="1720" t="s">
        <v>3330</v>
      </c>
      <c r="C777" s="1721"/>
      <c r="D777" s="1722"/>
      <c r="E777" s="1723"/>
      <c r="F777" s="1722"/>
      <c r="G777" s="1724">
        <v>0.02</v>
      </c>
      <c r="H777" s="1723" t="s">
        <v>1073</v>
      </c>
      <c r="I777" s="1723"/>
      <c r="J777" s="1722"/>
      <c r="K777" s="1722"/>
      <c r="L777" s="1722"/>
      <c r="M777" s="1723">
        <v>1</v>
      </c>
      <c r="N777" s="1723">
        <v>0.1</v>
      </c>
      <c r="O777" s="1725"/>
      <c r="P777" s="1726">
        <v>1300</v>
      </c>
      <c r="Q777" s="1727" t="s">
        <v>1471</v>
      </c>
      <c r="R777" s="1726">
        <v>16000</v>
      </c>
      <c r="S777" s="1727" t="s">
        <v>1471</v>
      </c>
      <c r="T777" s="1727"/>
      <c r="U777" s="1728"/>
      <c r="V777" s="1727"/>
      <c r="W777" s="1728"/>
      <c r="X777" s="1726">
        <v>400</v>
      </c>
      <c r="Y777" s="1729" t="s">
        <v>1471</v>
      </c>
      <c r="Z777" s="1728"/>
      <c r="AA777" s="1730">
        <v>76</v>
      </c>
      <c r="AB777" s="1731" t="s">
        <v>1471</v>
      </c>
      <c r="AC777" s="1732"/>
    </row>
    <row r="778" spans="1:29" ht="15">
      <c r="A778" s="1704" t="s">
        <v>3331</v>
      </c>
      <c r="B778" s="1705" t="s">
        <v>3332</v>
      </c>
      <c r="C778" s="1706"/>
      <c r="D778" s="1707"/>
      <c r="E778" s="1708"/>
      <c r="F778" s="1707"/>
      <c r="G778" s="1709">
        <v>1.2999999999999999E-2</v>
      </c>
      <c r="H778" s="1708" t="s">
        <v>1119</v>
      </c>
      <c r="I778" s="1708"/>
      <c r="J778" s="1707"/>
      <c r="K778" s="1707"/>
      <c r="L778" s="1707"/>
      <c r="M778" s="1708">
        <v>1</v>
      </c>
      <c r="N778" s="1708">
        <v>0.1</v>
      </c>
      <c r="O778" s="1710"/>
      <c r="P778" s="1711">
        <v>820</v>
      </c>
      <c r="Q778" s="1712" t="s">
        <v>1471</v>
      </c>
      <c r="R778" s="1711">
        <v>11000</v>
      </c>
      <c r="S778" s="1712" t="s">
        <v>1471</v>
      </c>
      <c r="T778" s="1712"/>
      <c r="U778" s="1713"/>
      <c r="V778" s="1712"/>
      <c r="W778" s="1713"/>
      <c r="X778" s="1711">
        <v>250</v>
      </c>
      <c r="Y778" s="1714" t="s">
        <v>1471</v>
      </c>
      <c r="Z778" s="1713"/>
      <c r="AA778" s="1715">
        <v>7.4999999999999997E-2</v>
      </c>
      <c r="AB778" s="1716" t="s">
        <v>1471</v>
      </c>
      <c r="AC778" s="1717"/>
    </row>
    <row r="779" spans="1:29" ht="15">
      <c r="A779" s="1704" t="s">
        <v>3333</v>
      </c>
      <c r="B779" s="1705" t="s">
        <v>3334</v>
      </c>
      <c r="C779" s="1706"/>
      <c r="D779" s="1707"/>
      <c r="E779" s="1708"/>
      <c r="F779" s="1707"/>
      <c r="G779" s="1709">
        <v>2.5000000000000001E-5</v>
      </c>
      <c r="H779" s="1708" t="s">
        <v>1073</v>
      </c>
      <c r="I779" s="1708"/>
      <c r="J779" s="1707"/>
      <c r="K779" s="1708" t="s">
        <v>1127</v>
      </c>
      <c r="L779" s="1707"/>
      <c r="M779" s="1708">
        <v>1</v>
      </c>
      <c r="N779" s="1708"/>
      <c r="O779" s="1718">
        <v>30.9</v>
      </c>
      <c r="P779" s="1711">
        <v>2</v>
      </c>
      <c r="Q779" s="1712" t="s">
        <v>1471</v>
      </c>
      <c r="R779" s="1711">
        <v>29</v>
      </c>
      <c r="S779" s="1712" t="s">
        <v>1471</v>
      </c>
      <c r="T779" s="1712"/>
      <c r="U779" s="1713"/>
      <c r="V779" s="1712"/>
      <c r="W779" s="1713"/>
      <c r="X779" s="1711">
        <v>0.24</v>
      </c>
      <c r="Y779" s="1714" t="s">
        <v>1471</v>
      </c>
      <c r="Z779" s="1713"/>
      <c r="AA779" s="1715">
        <v>5.1999999999999995E-4</v>
      </c>
      <c r="AB779" s="1716" t="s">
        <v>1471</v>
      </c>
      <c r="AC779" s="1717"/>
    </row>
    <row r="780" spans="1:29" ht="15">
      <c r="A780" s="1719" t="s">
        <v>3335</v>
      </c>
      <c r="B780" s="1720" t="s">
        <v>3336</v>
      </c>
      <c r="C780" s="1721"/>
      <c r="D780" s="1722"/>
      <c r="E780" s="1723"/>
      <c r="F780" s="1722"/>
      <c r="G780" s="1724">
        <v>1E-3</v>
      </c>
      <c r="H780" s="1723" t="s">
        <v>1119</v>
      </c>
      <c r="I780" s="1723"/>
      <c r="J780" s="1722"/>
      <c r="K780" s="1722"/>
      <c r="L780" s="1722"/>
      <c r="M780" s="1723">
        <v>1</v>
      </c>
      <c r="N780" s="1723">
        <v>0.1</v>
      </c>
      <c r="O780" s="1725"/>
      <c r="P780" s="1726">
        <v>63</v>
      </c>
      <c r="Q780" s="1727" t="s">
        <v>1471</v>
      </c>
      <c r="R780" s="1726">
        <v>820</v>
      </c>
      <c r="S780" s="1727" t="s">
        <v>1471</v>
      </c>
      <c r="T780" s="1727"/>
      <c r="U780" s="1728"/>
      <c r="V780" s="1727"/>
      <c r="W780" s="1728"/>
      <c r="X780" s="1726">
        <v>13</v>
      </c>
      <c r="Y780" s="1729" t="s">
        <v>1471</v>
      </c>
      <c r="Z780" s="1728"/>
      <c r="AA780" s="1730">
        <v>1.9E-2</v>
      </c>
      <c r="AB780" s="1731" t="s">
        <v>1471</v>
      </c>
      <c r="AC780" s="1732"/>
    </row>
    <row r="781" spans="1:29" ht="15">
      <c r="A781" s="1704" t="s">
        <v>3337</v>
      </c>
      <c r="B781" s="1705" t="s">
        <v>3338</v>
      </c>
      <c r="C781" s="1736">
        <v>5.0000000000000001E-3</v>
      </c>
      <c r="D781" s="1708" t="s">
        <v>1900</v>
      </c>
      <c r="E781" s="1709">
        <v>1.3E-6</v>
      </c>
      <c r="F781" s="1708" t="s">
        <v>1900</v>
      </c>
      <c r="G781" s="1708"/>
      <c r="H781" s="1707"/>
      <c r="I781" s="1708"/>
      <c r="J781" s="1707"/>
      <c r="K781" s="1708" t="s">
        <v>1127</v>
      </c>
      <c r="L781" s="1707"/>
      <c r="M781" s="1708">
        <v>1</v>
      </c>
      <c r="N781" s="1708"/>
      <c r="O781" s="1710"/>
      <c r="P781" s="1711">
        <v>8.1</v>
      </c>
      <c r="Q781" s="1712" t="s">
        <v>4126</v>
      </c>
      <c r="R781" s="1711">
        <v>36</v>
      </c>
      <c r="S781" s="1712" t="s">
        <v>4126</v>
      </c>
      <c r="T781" s="1711">
        <v>2.2000000000000002</v>
      </c>
      <c r="U781" s="1712" t="s">
        <v>4126</v>
      </c>
      <c r="V781" s="1711">
        <v>9.4</v>
      </c>
      <c r="W781" s="1712" t="s">
        <v>4126</v>
      </c>
      <c r="X781" s="1711">
        <v>3.3</v>
      </c>
      <c r="Y781" s="1714" t="s">
        <v>4126</v>
      </c>
      <c r="Z781" s="1713"/>
      <c r="AA781" s="1715">
        <v>7.6000000000000004E-4</v>
      </c>
      <c r="AB781" s="1716" t="s">
        <v>4126</v>
      </c>
      <c r="AC781" s="1717"/>
    </row>
    <row r="782" spans="1:29" ht="45">
      <c r="A782" s="1704" t="s">
        <v>3339</v>
      </c>
      <c r="B782" s="1705" t="s">
        <v>3340</v>
      </c>
      <c r="C782" s="1706"/>
      <c r="D782" s="1707"/>
      <c r="E782" s="1708"/>
      <c r="F782" s="1707"/>
      <c r="G782" s="1709">
        <v>1E-4</v>
      </c>
      <c r="H782" s="1708" t="s">
        <v>1119</v>
      </c>
      <c r="I782" s="1708"/>
      <c r="J782" s="1707"/>
      <c r="K782" s="1707"/>
      <c r="L782" s="1707"/>
      <c r="M782" s="1708">
        <v>1</v>
      </c>
      <c r="N782" s="1708">
        <v>0.1</v>
      </c>
      <c r="O782" s="1710"/>
      <c r="P782" s="1711">
        <v>6.3</v>
      </c>
      <c r="Q782" s="1712" t="s">
        <v>1471</v>
      </c>
      <c r="R782" s="1711">
        <v>82</v>
      </c>
      <c r="S782" s="1712" t="s">
        <v>1471</v>
      </c>
      <c r="T782" s="1712"/>
      <c r="U782" s="1713"/>
      <c r="V782" s="1712"/>
      <c r="W782" s="1713"/>
      <c r="X782" s="1711">
        <v>2</v>
      </c>
      <c r="Y782" s="1714" t="s">
        <v>1471</v>
      </c>
      <c r="Z782" s="1713"/>
      <c r="AA782" s="1715">
        <v>5.2999999999999999E-2</v>
      </c>
      <c r="AB782" s="1716" t="s">
        <v>1471</v>
      </c>
      <c r="AC782" s="1717"/>
    </row>
    <row r="783" spans="1:29" ht="30">
      <c r="A783" s="1719" t="s">
        <v>3341</v>
      </c>
      <c r="B783" s="1720" t="s">
        <v>3342</v>
      </c>
      <c r="C783" s="1721"/>
      <c r="D783" s="1722"/>
      <c r="E783" s="1723"/>
      <c r="F783" s="1722"/>
      <c r="G783" s="1724">
        <v>3.0000000000000001E-5</v>
      </c>
      <c r="H783" s="1723" t="s">
        <v>1909</v>
      </c>
      <c r="I783" s="1723"/>
      <c r="J783" s="1722"/>
      <c r="K783" s="1723" t="s">
        <v>1127</v>
      </c>
      <c r="L783" s="1722"/>
      <c r="M783" s="1723">
        <v>1</v>
      </c>
      <c r="N783" s="1723"/>
      <c r="O783" s="1725"/>
      <c r="P783" s="1726">
        <v>2.2999999999999998</v>
      </c>
      <c r="Q783" s="1727" t="s">
        <v>1471</v>
      </c>
      <c r="R783" s="1726">
        <v>35</v>
      </c>
      <c r="S783" s="1727" t="s">
        <v>1471</v>
      </c>
      <c r="T783" s="1727"/>
      <c r="U783" s="1728"/>
      <c r="V783" s="1727"/>
      <c r="W783" s="1728"/>
      <c r="X783" s="1726">
        <v>0.17</v>
      </c>
      <c r="Y783" s="1729" t="s">
        <v>1471</v>
      </c>
      <c r="Z783" s="1728"/>
      <c r="AA783" s="1730">
        <v>7.9000000000000001E-4</v>
      </c>
      <c r="AB783" s="1731" t="s">
        <v>1471</v>
      </c>
      <c r="AC783" s="1732"/>
    </row>
    <row r="784" spans="1:29" ht="30">
      <c r="A784" s="1704" t="s">
        <v>314</v>
      </c>
      <c r="B784" s="1705" t="s">
        <v>3343</v>
      </c>
      <c r="C784" s="1736">
        <v>2.5999999999999999E-2</v>
      </c>
      <c r="D784" s="1708" t="s">
        <v>1119</v>
      </c>
      <c r="E784" s="1709">
        <v>7.4000000000000003E-6</v>
      </c>
      <c r="F784" s="1708" t="s">
        <v>1119</v>
      </c>
      <c r="G784" s="1709">
        <v>0.03</v>
      </c>
      <c r="H784" s="1708" t="s">
        <v>1119</v>
      </c>
      <c r="I784" s="1708"/>
      <c r="J784" s="1707"/>
      <c r="K784" s="1708" t="s">
        <v>1127</v>
      </c>
      <c r="L784" s="1707"/>
      <c r="M784" s="1708">
        <v>1</v>
      </c>
      <c r="N784" s="1708"/>
      <c r="O784" s="1718">
        <v>680</v>
      </c>
      <c r="P784" s="1711">
        <v>2</v>
      </c>
      <c r="Q784" s="1712" t="s">
        <v>4126</v>
      </c>
      <c r="R784" s="1711">
        <v>8.8000000000000007</v>
      </c>
      <c r="S784" s="1712" t="s">
        <v>4126</v>
      </c>
      <c r="T784" s="1711">
        <v>0.38</v>
      </c>
      <c r="U784" s="1712" t="s">
        <v>4126</v>
      </c>
      <c r="V784" s="1711">
        <v>1.7</v>
      </c>
      <c r="W784" s="1712" t="s">
        <v>4126</v>
      </c>
      <c r="X784" s="1711">
        <v>0.56999999999999995</v>
      </c>
      <c r="Y784" s="1714" t="s">
        <v>4126</v>
      </c>
      <c r="Z784" s="1713"/>
      <c r="AA784" s="1715">
        <v>2.2000000000000001E-4</v>
      </c>
      <c r="AB784" s="1716" t="s">
        <v>4126</v>
      </c>
      <c r="AC784" s="1717"/>
    </row>
    <row r="785" spans="1:29" ht="30">
      <c r="A785" s="1704" t="s">
        <v>316</v>
      </c>
      <c r="B785" s="1705" t="s">
        <v>3344</v>
      </c>
      <c r="C785" s="1736">
        <v>0.2</v>
      </c>
      <c r="D785" s="1708" t="s">
        <v>1119</v>
      </c>
      <c r="E785" s="1709">
        <v>5.8E-5</v>
      </c>
      <c r="F785" s="1708" t="s">
        <v>1900</v>
      </c>
      <c r="G785" s="1709">
        <v>0.02</v>
      </c>
      <c r="H785" s="1708" t="s">
        <v>1119</v>
      </c>
      <c r="I785" s="1708"/>
      <c r="J785" s="1707"/>
      <c r="K785" s="1708" t="s">
        <v>1127</v>
      </c>
      <c r="L785" s="1707"/>
      <c r="M785" s="1708">
        <v>1</v>
      </c>
      <c r="N785" s="1708"/>
      <c r="O785" s="1718">
        <v>1900</v>
      </c>
      <c r="P785" s="1711">
        <v>0.6</v>
      </c>
      <c r="Q785" s="1712" t="s">
        <v>4126</v>
      </c>
      <c r="R785" s="1711">
        <v>2.7</v>
      </c>
      <c r="S785" s="1712" t="s">
        <v>4126</v>
      </c>
      <c r="T785" s="1711">
        <v>4.8000000000000001E-2</v>
      </c>
      <c r="U785" s="1712" t="s">
        <v>4126</v>
      </c>
      <c r="V785" s="1711">
        <v>0.21</v>
      </c>
      <c r="W785" s="1712" t="s">
        <v>4126</v>
      </c>
      <c r="X785" s="1711">
        <v>7.5999999999999998E-2</v>
      </c>
      <c r="Y785" s="1714" t="s">
        <v>4126</v>
      </c>
      <c r="Z785" s="1713"/>
      <c r="AA785" s="1715">
        <v>3.0000000000000001E-5</v>
      </c>
      <c r="AB785" s="1716" t="s">
        <v>4126</v>
      </c>
      <c r="AC785" s="1717"/>
    </row>
    <row r="786" spans="1:29" ht="30">
      <c r="A786" s="1719" t="s">
        <v>318</v>
      </c>
      <c r="B786" s="1720" t="s">
        <v>3345</v>
      </c>
      <c r="C786" s="1737">
        <v>2.0999999999999999E-3</v>
      </c>
      <c r="D786" s="1723" t="s">
        <v>1119</v>
      </c>
      <c r="E786" s="1724">
        <v>2.6E-7</v>
      </c>
      <c r="F786" s="1723" t="s">
        <v>1119</v>
      </c>
      <c r="G786" s="1724">
        <v>6.0000000000000001E-3</v>
      </c>
      <c r="H786" s="1723" t="s">
        <v>1119</v>
      </c>
      <c r="I786" s="1724">
        <v>0.04</v>
      </c>
      <c r="J786" s="1723" t="s">
        <v>1119</v>
      </c>
      <c r="K786" s="1723" t="s">
        <v>1127</v>
      </c>
      <c r="L786" s="1722"/>
      <c r="M786" s="1723">
        <v>1</v>
      </c>
      <c r="N786" s="1723"/>
      <c r="O786" s="1735">
        <v>166</v>
      </c>
      <c r="P786" s="1726">
        <v>24</v>
      </c>
      <c r="Q786" s="1727" t="s">
        <v>4122</v>
      </c>
      <c r="R786" s="1726">
        <v>100</v>
      </c>
      <c r="S786" s="1727" t="s">
        <v>4122</v>
      </c>
      <c r="T786" s="1726">
        <v>11</v>
      </c>
      <c r="U786" s="1727" t="s">
        <v>4122</v>
      </c>
      <c r="V786" s="1726">
        <v>47</v>
      </c>
      <c r="W786" s="1727" t="s">
        <v>4122</v>
      </c>
      <c r="X786" s="1726">
        <v>11</v>
      </c>
      <c r="Y786" s="1729" t="s">
        <v>4122</v>
      </c>
      <c r="Z786" s="1726">
        <v>5</v>
      </c>
      <c r="AA786" s="1730">
        <v>5.1000000000000004E-3</v>
      </c>
      <c r="AB786" s="1731" t="s">
        <v>4122</v>
      </c>
      <c r="AC786" s="1739">
        <v>2.3E-3</v>
      </c>
    </row>
    <row r="787" spans="1:29" ht="30">
      <c r="A787" s="1704" t="s">
        <v>3346</v>
      </c>
      <c r="B787" s="1705" t="s">
        <v>3347</v>
      </c>
      <c r="C787" s="1706"/>
      <c r="D787" s="1707"/>
      <c r="E787" s="1708"/>
      <c r="F787" s="1707"/>
      <c r="G787" s="1709">
        <v>0.03</v>
      </c>
      <c r="H787" s="1708" t="s">
        <v>1119</v>
      </c>
      <c r="I787" s="1708"/>
      <c r="J787" s="1707"/>
      <c r="K787" s="1707"/>
      <c r="L787" s="1707"/>
      <c r="M787" s="1708">
        <v>1</v>
      </c>
      <c r="N787" s="1708">
        <v>0.1</v>
      </c>
      <c r="O787" s="1710"/>
      <c r="P787" s="1711">
        <v>1900</v>
      </c>
      <c r="Q787" s="1712" t="s">
        <v>1471</v>
      </c>
      <c r="R787" s="1711">
        <v>25000</v>
      </c>
      <c r="S787" s="1712" t="s">
        <v>1471</v>
      </c>
      <c r="T787" s="1712"/>
      <c r="U787" s="1713"/>
      <c r="V787" s="1712"/>
      <c r="W787" s="1713"/>
      <c r="X787" s="1711">
        <v>240</v>
      </c>
      <c r="Y787" s="1714" t="s">
        <v>1471</v>
      </c>
      <c r="Z787" s="1713"/>
      <c r="AA787" s="1715">
        <v>0.18</v>
      </c>
      <c r="AB787" s="1716" t="s">
        <v>1471</v>
      </c>
      <c r="AC787" s="1717"/>
    </row>
    <row r="788" spans="1:29" ht="45">
      <c r="A788" s="1704" t="s">
        <v>3348</v>
      </c>
      <c r="B788" s="1705" t="s">
        <v>3349</v>
      </c>
      <c r="C788" s="1736">
        <v>16</v>
      </c>
      <c r="D788" s="1708" t="s">
        <v>1893</v>
      </c>
      <c r="E788" s="1708"/>
      <c r="F788" s="1707"/>
      <c r="G788" s="1709">
        <v>6.0000000000000002E-5</v>
      </c>
      <c r="H788" s="1708" t="s">
        <v>1893</v>
      </c>
      <c r="I788" s="1708"/>
      <c r="J788" s="1707"/>
      <c r="K788" s="1708" t="s">
        <v>1127</v>
      </c>
      <c r="L788" s="1707"/>
      <c r="M788" s="1708">
        <v>1</v>
      </c>
      <c r="N788" s="1708"/>
      <c r="O788" s="1710"/>
      <c r="P788" s="1711">
        <v>4.2999999999999997E-2</v>
      </c>
      <c r="Q788" s="1712" t="s">
        <v>4126</v>
      </c>
      <c r="R788" s="1711">
        <v>0.2</v>
      </c>
      <c r="S788" s="1712" t="s">
        <v>4126</v>
      </c>
      <c r="T788" s="1712"/>
      <c r="U788" s="1713"/>
      <c r="V788" s="1712"/>
      <c r="W788" s="1713"/>
      <c r="X788" s="1711">
        <v>1.6999999999999999E-3</v>
      </c>
      <c r="Y788" s="1714" t="s">
        <v>4126</v>
      </c>
      <c r="Z788" s="1713"/>
      <c r="AA788" s="1715">
        <v>5.6999999999999996E-6</v>
      </c>
      <c r="AB788" s="1716" t="s">
        <v>4126</v>
      </c>
      <c r="AC788" s="1717"/>
    </row>
    <row r="789" spans="1:29" ht="45">
      <c r="A789" s="1719" t="s">
        <v>3350</v>
      </c>
      <c r="B789" s="1720" t="s">
        <v>3351</v>
      </c>
      <c r="C789" s="1721"/>
      <c r="D789" s="1722"/>
      <c r="E789" s="1723"/>
      <c r="F789" s="1722"/>
      <c r="G789" s="1724">
        <v>5.0000000000000001E-4</v>
      </c>
      <c r="H789" s="1723" t="s">
        <v>1119</v>
      </c>
      <c r="I789" s="1723"/>
      <c r="J789" s="1722"/>
      <c r="K789" s="1722"/>
      <c r="L789" s="1722"/>
      <c r="M789" s="1723">
        <v>1</v>
      </c>
      <c r="N789" s="1723">
        <v>0.1</v>
      </c>
      <c r="O789" s="1725"/>
      <c r="P789" s="1726">
        <v>32</v>
      </c>
      <c r="Q789" s="1727" t="s">
        <v>1471</v>
      </c>
      <c r="R789" s="1726">
        <v>410</v>
      </c>
      <c r="S789" s="1727" t="s">
        <v>1471</v>
      </c>
      <c r="T789" s="1727"/>
      <c r="U789" s="1728"/>
      <c r="V789" s="1727"/>
      <c r="W789" s="1728"/>
      <c r="X789" s="1726">
        <v>7.1</v>
      </c>
      <c r="Y789" s="1729" t="s">
        <v>1471</v>
      </c>
      <c r="Z789" s="1728"/>
      <c r="AA789" s="1730">
        <v>5.1999999999999998E-3</v>
      </c>
      <c r="AB789" s="1731" t="s">
        <v>1471</v>
      </c>
      <c r="AC789" s="1732"/>
    </row>
    <row r="790" spans="1:29" ht="30">
      <c r="A790" s="1704" t="s">
        <v>3352</v>
      </c>
      <c r="B790" s="1705" t="s">
        <v>3353</v>
      </c>
      <c r="C790" s="1706"/>
      <c r="D790" s="1707"/>
      <c r="E790" s="1708"/>
      <c r="F790" s="1707"/>
      <c r="G790" s="1708"/>
      <c r="H790" s="1707"/>
      <c r="I790" s="1709">
        <v>80</v>
      </c>
      <c r="J790" s="1708" t="s">
        <v>1119</v>
      </c>
      <c r="K790" s="1708" t="s">
        <v>1127</v>
      </c>
      <c r="L790" s="1707"/>
      <c r="M790" s="1708">
        <v>1</v>
      </c>
      <c r="N790" s="1708"/>
      <c r="O790" s="1718">
        <v>2050</v>
      </c>
      <c r="P790" s="1711">
        <v>100000</v>
      </c>
      <c r="Q790" s="1712" t="s">
        <v>4123</v>
      </c>
      <c r="R790" s="1711">
        <v>430000</v>
      </c>
      <c r="S790" s="1712" t="s">
        <v>4123</v>
      </c>
      <c r="T790" s="1711">
        <v>83000</v>
      </c>
      <c r="U790" s="1712" t="s">
        <v>1471</v>
      </c>
      <c r="V790" s="1711">
        <v>350000</v>
      </c>
      <c r="W790" s="1712" t="s">
        <v>1471</v>
      </c>
      <c r="X790" s="1711">
        <v>170000</v>
      </c>
      <c r="Y790" s="1714" t="s">
        <v>1471</v>
      </c>
      <c r="Z790" s="1713"/>
      <c r="AA790" s="1715">
        <v>93</v>
      </c>
      <c r="AB790" s="1716" t="s">
        <v>1471</v>
      </c>
      <c r="AC790" s="1717"/>
    </row>
    <row r="791" spans="1:29" ht="45">
      <c r="A791" s="1704" t="s">
        <v>3354</v>
      </c>
      <c r="B791" s="1705" t="s">
        <v>3355</v>
      </c>
      <c r="C791" s="1706"/>
      <c r="D791" s="1707"/>
      <c r="E791" s="1708"/>
      <c r="F791" s="1707"/>
      <c r="G791" s="1709">
        <v>1E-4</v>
      </c>
      <c r="H791" s="1708" t="s">
        <v>1893</v>
      </c>
      <c r="I791" s="1708"/>
      <c r="J791" s="1707"/>
      <c r="K791" s="1707"/>
      <c r="L791" s="1707"/>
      <c r="M791" s="1708">
        <v>1</v>
      </c>
      <c r="N791" s="1708">
        <v>0.1</v>
      </c>
      <c r="O791" s="1710"/>
      <c r="P791" s="1711">
        <v>6.3</v>
      </c>
      <c r="Q791" s="1712" t="s">
        <v>1471</v>
      </c>
      <c r="R791" s="1711">
        <v>82</v>
      </c>
      <c r="S791" s="1712" t="s">
        <v>1471</v>
      </c>
      <c r="T791" s="1712"/>
      <c r="U791" s="1713"/>
      <c r="V791" s="1712"/>
      <c r="W791" s="1713"/>
      <c r="X791" s="1711">
        <v>2</v>
      </c>
      <c r="Y791" s="1714" t="s">
        <v>1471</v>
      </c>
      <c r="Z791" s="1713"/>
      <c r="AA791" s="1716"/>
      <c r="AB791" s="1734"/>
      <c r="AC791" s="1717"/>
    </row>
    <row r="792" spans="1:29" ht="45">
      <c r="A792" s="1719" t="s">
        <v>3356</v>
      </c>
      <c r="B792" s="1720" t="s">
        <v>3357</v>
      </c>
      <c r="C792" s="1721"/>
      <c r="D792" s="1722"/>
      <c r="E792" s="1723"/>
      <c r="F792" s="1722"/>
      <c r="G792" s="1724">
        <v>2E-3</v>
      </c>
      <c r="H792" s="1723" t="s">
        <v>1909</v>
      </c>
      <c r="I792" s="1723"/>
      <c r="J792" s="1722"/>
      <c r="K792" s="1722"/>
      <c r="L792" s="1722"/>
      <c r="M792" s="1723">
        <v>1</v>
      </c>
      <c r="N792" s="1723">
        <v>6.4999999999999997E-4</v>
      </c>
      <c r="O792" s="1725"/>
      <c r="P792" s="1726">
        <v>160</v>
      </c>
      <c r="Q792" s="1727" t="s">
        <v>1471</v>
      </c>
      <c r="R792" s="1726">
        <v>2300</v>
      </c>
      <c r="S792" s="1727" t="s">
        <v>1471</v>
      </c>
      <c r="T792" s="1727"/>
      <c r="U792" s="1728"/>
      <c r="V792" s="1727"/>
      <c r="W792" s="1728"/>
      <c r="X792" s="1726">
        <v>39</v>
      </c>
      <c r="Y792" s="1729" t="s">
        <v>1471</v>
      </c>
      <c r="Z792" s="1728"/>
      <c r="AA792" s="1730">
        <v>0.37</v>
      </c>
      <c r="AB792" s="1731" t="s">
        <v>1471</v>
      </c>
      <c r="AC792" s="1732"/>
    </row>
    <row r="793" spans="1:29" ht="15">
      <c r="A793" s="1704" t="s">
        <v>3358</v>
      </c>
      <c r="B793" s="1705" t="s">
        <v>3359</v>
      </c>
      <c r="C793" s="1706"/>
      <c r="D793" s="1707"/>
      <c r="E793" s="1708"/>
      <c r="F793" s="1707"/>
      <c r="G793" s="1709">
        <v>2.0000000000000002E-5</v>
      </c>
      <c r="H793" s="1708" t="s">
        <v>2111</v>
      </c>
      <c r="I793" s="1708"/>
      <c r="J793" s="1707"/>
      <c r="K793" s="1707"/>
      <c r="L793" s="1707"/>
      <c r="M793" s="1708">
        <v>1</v>
      </c>
      <c r="N793" s="1708"/>
      <c r="O793" s="1710"/>
      <c r="P793" s="1711">
        <v>1.6</v>
      </c>
      <c r="Q793" s="1712" t="s">
        <v>1471</v>
      </c>
      <c r="R793" s="1711">
        <v>23</v>
      </c>
      <c r="S793" s="1712" t="s">
        <v>1471</v>
      </c>
      <c r="T793" s="1712"/>
      <c r="U793" s="1713"/>
      <c r="V793" s="1712"/>
      <c r="W793" s="1713"/>
      <c r="X793" s="1711">
        <v>0.4</v>
      </c>
      <c r="Y793" s="1714" t="s">
        <v>1471</v>
      </c>
      <c r="Z793" s="1713"/>
      <c r="AA793" s="1716"/>
      <c r="AB793" s="1734"/>
      <c r="AC793" s="1717"/>
    </row>
    <row r="794" spans="1:29" ht="30">
      <c r="A794" s="1704" t="s">
        <v>3360</v>
      </c>
      <c r="B794" s="1705" t="s">
        <v>3361</v>
      </c>
      <c r="C794" s="1706"/>
      <c r="D794" s="1707"/>
      <c r="E794" s="1708"/>
      <c r="F794" s="1707"/>
      <c r="G794" s="1709">
        <v>1.0000000000000001E-5</v>
      </c>
      <c r="H794" s="1708" t="s">
        <v>1893</v>
      </c>
      <c r="I794" s="1708"/>
      <c r="J794" s="1707"/>
      <c r="K794" s="1707"/>
      <c r="L794" s="1707"/>
      <c r="M794" s="1708">
        <v>1</v>
      </c>
      <c r="N794" s="1708"/>
      <c r="O794" s="1710"/>
      <c r="P794" s="1711">
        <v>0.78</v>
      </c>
      <c r="Q794" s="1712" t="s">
        <v>1471</v>
      </c>
      <c r="R794" s="1711">
        <v>12</v>
      </c>
      <c r="S794" s="1712" t="s">
        <v>1471</v>
      </c>
      <c r="T794" s="1712"/>
      <c r="U794" s="1713"/>
      <c r="V794" s="1712"/>
      <c r="W794" s="1713"/>
      <c r="X794" s="1711">
        <v>0.2</v>
      </c>
      <c r="Y794" s="1714" t="s">
        <v>1471</v>
      </c>
      <c r="Z794" s="1713"/>
      <c r="AA794" s="1716"/>
      <c r="AB794" s="1734"/>
      <c r="AC794" s="1717"/>
    </row>
    <row r="795" spans="1:29" ht="30">
      <c r="A795" s="1719" t="s">
        <v>320</v>
      </c>
      <c r="B795" s="1720" t="s">
        <v>3362</v>
      </c>
      <c r="C795" s="1721"/>
      <c r="D795" s="1722"/>
      <c r="E795" s="1723"/>
      <c r="F795" s="1722"/>
      <c r="G795" s="1724">
        <v>1.0000000000000001E-5</v>
      </c>
      <c r="H795" s="1723" t="s">
        <v>1893</v>
      </c>
      <c r="I795" s="1723"/>
      <c r="J795" s="1722"/>
      <c r="K795" s="1722"/>
      <c r="L795" s="1722"/>
      <c r="M795" s="1723">
        <v>1</v>
      </c>
      <c r="N795" s="1723"/>
      <c r="O795" s="1725"/>
      <c r="P795" s="1726">
        <v>0.78</v>
      </c>
      <c r="Q795" s="1727" t="s">
        <v>1471</v>
      </c>
      <c r="R795" s="1726">
        <v>12</v>
      </c>
      <c r="S795" s="1727" t="s">
        <v>1471</v>
      </c>
      <c r="T795" s="1727"/>
      <c r="U795" s="1728"/>
      <c r="V795" s="1727"/>
      <c r="W795" s="1728"/>
      <c r="X795" s="1726">
        <v>0.2</v>
      </c>
      <c r="Y795" s="1729" t="s">
        <v>1471</v>
      </c>
      <c r="Z795" s="1726">
        <v>2</v>
      </c>
      <c r="AA795" s="1730">
        <v>1.4E-2</v>
      </c>
      <c r="AB795" s="1731" t="s">
        <v>1471</v>
      </c>
      <c r="AC795" s="1739">
        <v>0.14000000000000001</v>
      </c>
    </row>
    <row r="796" spans="1:29" ht="15">
      <c r="A796" s="1704" t="s">
        <v>3363</v>
      </c>
      <c r="B796" s="1705" t="s">
        <v>3364</v>
      </c>
      <c r="C796" s="1706"/>
      <c r="D796" s="1707"/>
      <c r="E796" s="1708"/>
      <c r="F796" s="1707"/>
      <c r="G796" s="1709">
        <v>1.0000000000000001E-5</v>
      </c>
      <c r="H796" s="1708" t="s">
        <v>1893</v>
      </c>
      <c r="I796" s="1708"/>
      <c r="J796" s="1707"/>
      <c r="K796" s="1708" t="s">
        <v>1127</v>
      </c>
      <c r="L796" s="1707"/>
      <c r="M796" s="1708">
        <v>1</v>
      </c>
      <c r="N796" s="1708"/>
      <c r="O796" s="1710"/>
      <c r="P796" s="1711">
        <v>0.78</v>
      </c>
      <c r="Q796" s="1712" t="s">
        <v>1471</v>
      </c>
      <c r="R796" s="1711">
        <v>12</v>
      </c>
      <c r="S796" s="1712" t="s">
        <v>1471</v>
      </c>
      <c r="T796" s="1712"/>
      <c r="U796" s="1713"/>
      <c r="V796" s="1712"/>
      <c r="W796" s="1713"/>
      <c r="X796" s="1711">
        <v>0.2</v>
      </c>
      <c r="Y796" s="1714" t="s">
        <v>1471</v>
      </c>
      <c r="Z796" s="1713"/>
      <c r="AA796" s="1715">
        <v>4.1E-5</v>
      </c>
      <c r="AB796" s="1716" t="s">
        <v>1471</v>
      </c>
      <c r="AC796" s="1717"/>
    </row>
    <row r="797" spans="1:29" ht="30">
      <c r="A797" s="1704" t="s">
        <v>3365</v>
      </c>
      <c r="B797" s="1705" t="s">
        <v>3366</v>
      </c>
      <c r="C797" s="1706"/>
      <c r="D797" s="1707"/>
      <c r="E797" s="1708"/>
      <c r="F797" s="1707"/>
      <c r="G797" s="1709">
        <v>2.0000000000000002E-5</v>
      </c>
      <c r="H797" s="1708" t="s">
        <v>1893</v>
      </c>
      <c r="I797" s="1708"/>
      <c r="J797" s="1707"/>
      <c r="K797" s="1707"/>
      <c r="L797" s="1707"/>
      <c r="M797" s="1708">
        <v>1</v>
      </c>
      <c r="N797" s="1708">
        <v>0.1</v>
      </c>
      <c r="O797" s="1710"/>
      <c r="P797" s="1711">
        <v>1.3</v>
      </c>
      <c r="Q797" s="1712" t="s">
        <v>1471</v>
      </c>
      <c r="R797" s="1711">
        <v>16</v>
      </c>
      <c r="S797" s="1712" t="s">
        <v>1471</v>
      </c>
      <c r="T797" s="1712"/>
      <c r="U797" s="1713"/>
      <c r="V797" s="1712"/>
      <c r="W797" s="1713"/>
      <c r="X797" s="1711">
        <v>0.4</v>
      </c>
      <c r="Y797" s="1714" t="s">
        <v>1471</v>
      </c>
      <c r="Z797" s="1713"/>
      <c r="AA797" s="1715">
        <v>8.2999999999999998E-5</v>
      </c>
      <c r="AB797" s="1716" t="s">
        <v>1471</v>
      </c>
      <c r="AC797" s="1717"/>
    </row>
    <row r="798" spans="1:29" ht="15">
      <c r="A798" s="1719" t="s">
        <v>3367</v>
      </c>
      <c r="B798" s="1720" t="s">
        <v>3368</v>
      </c>
      <c r="C798" s="1721"/>
      <c r="D798" s="1722"/>
      <c r="E798" s="1723"/>
      <c r="F798" s="1722"/>
      <c r="G798" s="1724">
        <v>1.0000000000000001E-5</v>
      </c>
      <c r="H798" s="1723" t="s">
        <v>1893</v>
      </c>
      <c r="I798" s="1723"/>
      <c r="J798" s="1722"/>
      <c r="K798" s="1722"/>
      <c r="L798" s="1722"/>
      <c r="M798" s="1723">
        <v>1</v>
      </c>
      <c r="N798" s="1723"/>
      <c r="O798" s="1725"/>
      <c r="P798" s="1726">
        <v>0.78</v>
      </c>
      <c r="Q798" s="1727" t="s">
        <v>1471</v>
      </c>
      <c r="R798" s="1726">
        <v>12</v>
      </c>
      <c r="S798" s="1727" t="s">
        <v>1471</v>
      </c>
      <c r="T798" s="1727"/>
      <c r="U798" s="1728"/>
      <c r="V798" s="1727"/>
      <c r="W798" s="1728"/>
      <c r="X798" s="1726">
        <v>0.2</v>
      </c>
      <c r="Y798" s="1729" t="s">
        <v>1471</v>
      </c>
      <c r="Z798" s="1728"/>
      <c r="AA798" s="1731"/>
      <c r="AB798" s="1740"/>
      <c r="AC798" s="1732"/>
    </row>
    <row r="799" spans="1:29" ht="15">
      <c r="A799" s="1704" t="s">
        <v>3369</v>
      </c>
      <c r="B799" s="1705" t="s">
        <v>3370</v>
      </c>
      <c r="C799" s="1706"/>
      <c r="D799" s="1707"/>
      <c r="E799" s="1708"/>
      <c r="F799" s="1707"/>
      <c r="G799" s="1709">
        <v>1.0000000000000001E-5</v>
      </c>
      <c r="H799" s="1708" t="s">
        <v>2111</v>
      </c>
      <c r="I799" s="1708"/>
      <c r="J799" s="1707"/>
      <c r="K799" s="1707"/>
      <c r="L799" s="1707"/>
      <c r="M799" s="1708">
        <v>1</v>
      </c>
      <c r="N799" s="1708"/>
      <c r="O799" s="1710"/>
      <c r="P799" s="1711">
        <v>0.78</v>
      </c>
      <c r="Q799" s="1712" t="s">
        <v>1471</v>
      </c>
      <c r="R799" s="1711">
        <v>12</v>
      </c>
      <c r="S799" s="1712" t="s">
        <v>1471</v>
      </c>
      <c r="T799" s="1712"/>
      <c r="U799" s="1713"/>
      <c r="V799" s="1712"/>
      <c r="W799" s="1713"/>
      <c r="X799" s="1711">
        <v>0.2</v>
      </c>
      <c r="Y799" s="1714" t="s">
        <v>1471</v>
      </c>
      <c r="Z799" s="1713"/>
      <c r="AA799" s="1716"/>
      <c r="AB799" s="1734"/>
      <c r="AC799" s="1717"/>
    </row>
    <row r="800" spans="1:29" ht="15">
      <c r="A800" s="1704" t="s">
        <v>3371</v>
      </c>
      <c r="B800" s="1705" t="s">
        <v>3372</v>
      </c>
      <c r="C800" s="1706"/>
      <c r="D800" s="1707"/>
      <c r="E800" s="1708"/>
      <c r="F800" s="1707"/>
      <c r="G800" s="1709">
        <v>2.0000000000000002E-5</v>
      </c>
      <c r="H800" s="1708" t="s">
        <v>1893</v>
      </c>
      <c r="I800" s="1708"/>
      <c r="J800" s="1707"/>
      <c r="K800" s="1707"/>
      <c r="L800" s="1707"/>
      <c r="M800" s="1708">
        <v>1</v>
      </c>
      <c r="N800" s="1708"/>
      <c r="O800" s="1710"/>
      <c r="P800" s="1711">
        <v>1.6</v>
      </c>
      <c r="Q800" s="1712" t="s">
        <v>1471</v>
      </c>
      <c r="R800" s="1711">
        <v>23</v>
      </c>
      <c r="S800" s="1712" t="s">
        <v>1471</v>
      </c>
      <c r="T800" s="1712"/>
      <c r="U800" s="1713"/>
      <c r="V800" s="1712"/>
      <c r="W800" s="1713"/>
      <c r="X800" s="1711">
        <v>0.4</v>
      </c>
      <c r="Y800" s="1714" t="s">
        <v>1471</v>
      </c>
      <c r="Z800" s="1713"/>
      <c r="AA800" s="1716"/>
      <c r="AB800" s="1734"/>
      <c r="AC800" s="1717"/>
    </row>
    <row r="801" spans="1:29" ht="30">
      <c r="A801" s="1719" t="s">
        <v>3373</v>
      </c>
      <c r="B801" s="1720" t="s">
        <v>3374</v>
      </c>
      <c r="C801" s="1721"/>
      <c r="D801" s="1722"/>
      <c r="E801" s="1723"/>
      <c r="F801" s="1722"/>
      <c r="G801" s="1724">
        <v>4.2999999999999997E-2</v>
      </c>
      <c r="H801" s="1723" t="s">
        <v>1116</v>
      </c>
      <c r="I801" s="1723"/>
      <c r="J801" s="1722"/>
      <c r="K801" s="1722"/>
      <c r="L801" s="1722"/>
      <c r="M801" s="1723">
        <v>1</v>
      </c>
      <c r="N801" s="1723">
        <v>0.1</v>
      </c>
      <c r="O801" s="1725"/>
      <c r="P801" s="1726">
        <v>2700</v>
      </c>
      <c r="Q801" s="1727" t="s">
        <v>1471</v>
      </c>
      <c r="R801" s="1726">
        <v>35000</v>
      </c>
      <c r="S801" s="1727" t="s">
        <v>1471</v>
      </c>
      <c r="T801" s="1727"/>
      <c r="U801" s="1728"/>
      <c r="V801" s="1727"/>
      <c r="W801" s="1728"/>
      <c r="X801" s="1726">
        <v>860</v>
      </c>
      <c r="Y801" s="1729" t="s">
        <v>1471</v>
      </c>
      <c r="Z801" s="1728"/>
      <c r="AA801" s="1730">
        <v>0.26</v>
      </c>
      <c r="AB801" s="1731" t="s">
        <v>1471</v>
      </c>
      <c r="AC801" s="1732"/>
    </row>
    <row r="802" spans="1:29" ht="15">
      <c r="A802" s="1704" t="s">
        <v>3375</v>
      </c>
      <c r="B802" s="1705" t="s">
        <v>3376</v>
      </c>
      <c r="C802" s="1706"/>
      <c r="D802" s="1707"/>
      <c r="E802" s="1708"/>
      <c r="F802" s="1707"/>
      <c r="G802" s="1709">
        <v>0.01</v>
      </c>
      <c r="H802" s="1708" t="s">
        <v>1119</v>
      </c>
      <c r="I802" s="1708"/>
      <c r="J802" s="1707"/>
      <c r="K802" s="1707"/>
      <c r="L802" s="1707"/>
      <c r="M802" s="1708">
        <v>1</v>
      </c>
      <c r="N802" s="1708">
        <v>0.1</v>
      </c>
      <c r="O802" s="1710"/>
      <c r="P802" s="1711">
        <v>630</v>
      </c>
      <c r="Q802" s="1712" t="s">
        <v>1471</v>
      </c>
      <c r="R802" s="1711">
        <v>8200</v>
      </c>
      <c r="S802" s="1712" t="s">
        <v>1471</v>
      </c>
      <c r="T802" s="1712"/>
      <c r="U802" s="1713"/>
      <c r="V802" s="1712"/>
      <c r="W802" s="1713"/>
      <c r="X802" s="1711">
        <v>160</v>
      </c>
      <c r="Y802" s="1714" t="s">
        <v>1471</v>
      </c>
      <c r="Z802" s="1713"/>
      <c r="AA802" s="1715">
        <v>0.55000000000000004</v>
      </c>
      <c r="AB802" s="1716" t="s">
        <v>1471</v>
      </c>
      <c r="AC802" s="1717"/>
    </row>
    <row r="803" spans="1:29" ht="15">
      <c r="A803" s="1704" t="s">
        <v>3377</v>
      </c>
      <c r="B803" s="1705" t="s">
        <v>3378</v>
      </c>
      <c r="C803" s="1706"/>
      <c r="D803" s="1707"/>
      <c r="E803" s="1708"/>
      <c r="F803" s="1707"/>
      <c r="G803" s="1709">
        <v>2.0000000000000001E-4</v>
      </c>
      <c r="H803" s="1708" t="s">
        <v>1909</v>
      </c>
      <c r="I803" s="1708"/>
      <c r="J803" s="1707"/>
      <c r="K803" s="1707"/>
      <c r="L803" s="1707"/>
      <c r="M803" s="1708">
        <v>1</v>
      </c>
      <c r="N803" s="1708"/>
      <c r="O803" s="1710"/>
      <c r="P803" s="1711">
        <v>16</v>
      </c>
      <c r="Q803" s="1712" t="s">
        <v>1471</v>
      </c>
      <c r="R803" s="1711">
        <v>230</v>
      </c>
      <c r="S803" s="1712" t="s">
        <v>1471</v>
      </c>
      <c r="T803" s="1712"/>
      <c r="U803" s="1713"/>
      <c r="V803" s="1712"/>
      <c r="W803" s="1713"/>
      <c r="X803" s="1711">
        <v>4</v>
      </c>
      <c r="Y803" s="1714" t="s">
        <v>1471</v>
      </c>
      <c r="Z803" s="1713"/>
      <c r="AA803" s="1716"/>
      <c r="AB803" s="1734"/>
      <c r="AC803" s="1717"/>
    </row>
    <row r="804" spans="1:29" ht="15">
      <c r="A804" s="1719" t="s">
        <v>3379</v>
      </c>
      <c r="B804" s="1720" t="s">
        <v>3380</v>
      </c>
      <c r="C804" s="1721"/>
      <c r="D804" s="1722"/>
      <c r="E804" s="1723"/>
      <c r="F804" s="1722"/>
      <c r="G804" s="1724">
        <v>2.0000000000000001E-4</v>
      </c>
      <c r="H804" s="1723" t="s">
        <v>1893</v>
      </c>
      <c r="I804" s="1723"/>
      <c r="J804" s="1722"/>
      <c r="K804" s="1723" t="s">
        <v>1127</v>
      </c>
      <c r="L804" s="1722"/>
      <c r="M804" s="1723">
        <v>1</v>
      </c>
      <c r="N804" s="1723"/>
      <c r="O804" s="1725"/>
      <c r="P804" s="1726">
        <v>16</v>
      </c>
      <c r="Q804" s="1727" t="s">
        <v>1471</v>
      </c>
      <c r="R804" s="1726">
        <v>230</v>
      </c>
      <c r="S804" s="1727" t="s">
        <v>1471</v>
      </c>
      <c r="T804" s="1727"/>
      <c r="U804" s="1728"/>
      <c r="V804" s="1727"/>
      <c r="W804" s="1728"/>
      <c r="X804" s="1726">
        <v>4</v>
      </c>
      <c r="Y804" s="1729" t="s">
        <v>1471</v>
      </c>
      <c r="Z804" s="1728"/>
      <c r="AA804" s="1731"/>
      <c r="AB804" s="1740"/>
      <c r="AC804" s="1732"/>
    </row>
    <row r="805" spans="1:29" ht="75">
      <c r="A805" s="1704" t="s">
        <v>3381</v>
      </c>
      <c r="B805" s="1705" t="s">
        <v>3382</v>
      </c>
      <c r="C805" s="1706"/>
      <c r="D805" s="1707"/>
      <c r="E805" s="1708"/>
      <c r="F805" s="1707"/>
      <c r="G805" s="1709">
        <v>0.03</v>
      </c>
      <c r="H805" s="1708" t="s">
        <v>1073</v>
      </c>
      <c r="I805" s="1708"/>
      <c r="J805" s="1707"/>
      <c r="K805" s="1707"/>
      <c r="L805" s="1707"/>
      <c r="M805" s="1708">
        <v>1</v>
      </c>
      <c r="N805" s="1708">
        <v>0.1</v>
      </c>
      <c r="O805" s="1710"/>
      <c r="P805" s="1711">
        <v>1900</v>
      </c>
      <c r="Q805" s="1712" t="s">
        <v>1471</v>
      </c>
      <c r="R805" s="1711">
        <v>25000</v>
      </c>
      <c r="S805" s="1712" t="s">
        <v>1471</v>
      </c>
      <c r="T805" s="1712"/>
      <c r="U805" s="1713"/>
      <c r="V805" s="1712"/>
      <c r="W805" s="1713"/>
      <c r="X805" s="1711">
        <v>480</v>
      </c>
      <c r="Y805" s="1714" t="s">
        <v>1471</v>
      </c>
      <c r="Z805" s="1713"/>
      <c r="AA805" s="1715">
        <v>3.3</v>
      </c>
      <c r="AB805" s="1716" t="s">
        <v>1471</v>
      </c>
      <c r="AC805" s="1717"/>
    </row>
    <row r="806" spans="1:29" ht="15">
      <c r="A806" s="1704" t="s">
        <v>3383</v>
      </c>
      <c r="B806" s="1705" t="s">
        <v>3384</v>
      </c>
      <c r="C806" s="1706"/>
      <c r="D806" s="1707"/>
      <c r="E806" s="1708"/>
      <c r="F806" s="1707"/>
      <c r="G806" s="1709">
        <v>7.0000000000000007E-2</v>
      </c>
      <c r="H806" s="1708" t="s">
        <v>1893</v>
      </c>
      <c r="I806" s="1708"/>
      <c r="J806" s="1707"/>
      <c r="K806" s="1707"/>
      <c r="L806" s="1707"/>
      <c r="M806" s="1708">
        <v>1</v>
      </c>
      <c r="N806" s="1708">
        <v>7.4999999999999997E-3</v>
      </c>
      <c r="O806" s="1710"/>
      <c r="P806" s="1711">
        <v>5400</v>
      </c>
      <c r="Q806" s="1712" t="s">
        <v>1471</v>
      </c>
      <c r="R806" s="1711">
        <v>79000</v>
      </c>
      <c r="S806" s="1712" t="s">
        <v>1471</v>
      </c>
      <c r="T806" s="1712"/>
      <c r="U806" s="1713"/>
      <c r="V806" s="1712"/>
      <c r="W806" s="1713"/>
      <c r="X806" s="1711">
        <v>1400</v>
      </c>
      <c r="Y806" s="1714" t="s">
        <v>1471</v>
      </c>
      <c r="Z806" s="1713"/>
      <c r="AA806" s="1715">
        <v>0.28000000000000003</v>
      </c>
      <c r="AB806" s="1716" t="s">
        <v>1471</v>
      </c>
      <c r="AC806" s="1717"/>
    </row>
    <row r="807" spans="1:29" ht="15">
      <c r="A807" s="1719" t="s">
        <v>3385</v>
      </c>
      <c r="B807" s="1720" t="s">
        <v>3386</v>
      </c>
      <c r="C807" s="1721"/>
      <c r="D807" s="1722"/>
      <c r="E807" s="1723"/>
      <c r="F807" s="1722"/>
      <c r="G807" s="1724">
        <v>2.9999999999999997E-4</v>
      </c>
      <c r="H807" s="1723" t="s">
        <v>1073</v>
      </c>
      <c r="I807" s="1723"/>
      <c r="J807" s="1722"/>
      <c r="K807" s="1722"/>
      <c r="L807" s="1722"/>
      <c r="M807" s="1723">
        <v>1</v>
      </c>
      <c r="N807" s="1723">
        <v>0.1</v>
      </c>
      <c r="O807" s="1725"/>
      <c r="P807" s="1726">
        <v>19</v>
      </c>
      <c r="Q807" s="1727" t="s">
        <v>1471</v>
      </c>
      <c r="R807" s="1726">
        <v>250</v>
      </c>
      <c r="S807" s="1727" t="s">
        <v>1471</v>
      </c>
      <c r="T807" s="1727"/>
      <c r="U807" s="1728"/>
      <c r="V807" s="1727"/>
      <c r="W807" s="1728"/>
      <c r="X807" s="1726">
        <v>5.3</v>
      </c>
      <c r="Y807" s="1729" t="s">
        <v>1471</v>
      </c>
      <c r="Z807" s="1728"/>
      <c r="AA807" s="1730">
        <v>1.8E-3</v>
      </c>
      <c r="AB807" s="1731" t="s">
        <v>1471</v>
      </c>
      <c r="AC807" s="1732"/>
    </row>
    <row r="808" spans="1:29" ht="30">
      <c r="A808" s="1704" t="s">
        <v>3387</v>
      </c>
      <c r="B808" s="1705" t="s">
        <v>3388</v>
      </c>
      <c r="C808" s="1736">
        <v>1.1599999999999999E-2</v>
      </c>
      <c r="D808" s="1708" t="s">
        <v>1116</v>
      </c>
      <c r="E808" s="1708"/>
      <c r="F808" s="1707"/>
      <c r="G808" s="1709">
        <v>0.16</v>
      </c>
      <c r="H808" s="1708" t="s">
        <v>1116</v>
      </c>
      <c r="I808" s="1708"/>
      <c r="J808" s="1707"/>
      <c r="K808" s="1707"/>
      <c r="L808" s="1707"/>
      <c r="M808" s="1708">
        <v>1</v>
      </c>
      <c r="N808" s="1708">
        <v>0.1</v>
      </c>
      <c r="O808" s="1710"/>
      <c r="P808" s="1711">
        <v>47</v>
      </c>
      <c r="Q808" s="1712" t="s">
        <v>4126</v>
      </c>
      <c r="R808" s="1711">
        <v>200</v>
      </c>
      <c r="S808" s="1712" t="s">
        <v>4126</v>
      </c>
      <c r="T808" s="1712"/>
      <c r="U808" s="1713"/>
      <c r="V808" s="1712"/>
      <c r="W808" s="1713"/>
      <c r="X808" s="1711">
        <v>6.7</v>
      </c>
      <c r="Y808" s="1714" t="s">
        <v>4126</v>
      </c>
      <c r="Z808" s="1713"/>
      <c r="AA808" s="1715">
        <v>5.7000000000000002E-3</v>
      </c>
      <c r="AB808" s="1716" t="s">
        <v>4126</v>
      </c>
      <c r="AC808" s="1717"/>
    </row>
    <row r="809" spans="1:29" ht="15">
      <c r="A809" s="1704" t="s">
        <v>3389</v>
      </c>
      <c r="B809" s="1705" t="s">
        <v>3390</v>
      </c>
      <c r="C809" s="1706"/>
      <c r="D809" s="1707"/>
      <c r="E809" s="1708"/>
      <c r="F809" s="1707"/>
      <c r="G809" s="1709">
        <v>1.4999999999999999E-2</v>
      </c>
      <c r="H809" s="1708" t="s">
        <v>1116</v>
      </c>
      <c r="I809" s="1708"/>
      <c r="J809" s="1707"/>
      <c r="K809" s="1707"/>
      <c r="L809" s="1707"/>
      <c r="M809" s="1708">
        <v>1</v>
      </c>
      <c r="N809" s="1708">
        <v>0.1</v>
      </c>
      <c r="O809" s="1710"/>
      <c r="P809" s="1711">
        <v>950</v>
      </c>
      <c r="Q809" s="1712" t="s">
        <v>1471</v>
      </c>
      <c r="R809" s="1711">
        <v>12000</v>
      </c>
      <c r="S809" s="1712" t="s">
        <v>1471</v>
      </c>
      <c r="T809" s="1712"/>
      <c r="U809" s="1713"/>
      <c r="V809" s="1712"/>
      <c r="W809" s="1713"/>
      <c r="X809" s="1711">
        <v>290</v>
      </c>
      <c r="Y809" s="1714" t="s">
        <v>1471</v>
      </c>
      <c r="Z809" s="1713"/>
      <c r="AA809" s="1715">
        <v>0.42</v>
      </c>
      <c r="AB809" s="1716" t="s">
        <v>1471</v>
      </c>
      <c r="AC809" s="1717"/>
    </row>
    <row r="810" spans="1:29" ht="15">
      <c r="A810" s="1719" t="s">
        <v>3391</v>
      </c>
      <c r="B810" s="1720" t="s">
        <v>3392</v>
      </c>
      <c r="C810" s="1721"/>
      <c r="D810" s="1722"/>
      <c r="E810" s="1723"/>
      <c r="F810" s="1722"/>
      <c r="G810" s="1724">
        <v>0.6</v>
      </c>
      <c r="H810" s="1723" t="s">
        <v>1073</v>
      </c>
      <c r="I810" s="1723"/>
      <c r="J810" s="1722"/>
      <c r="K810" s="1722"/>
      <c r="L810" s="1722"/>
      <c r="M810" s="1723">
        <v>1</v>
      </c>
      <c r="N810" s="1723"/>
      <c r="O810" s="1725"/>
      <c r="P810" s="1726">
        <v>47000</v>
      </c>
      <c r="Q810" s="1727" t="s">
        <v>1471</v>
      </c>
      <c r="R810" s="1726">
        <v>700000</v>
      </c>
      <c r="S810" s="1727" t="s">
        <v>4124</v>
      </c>
      <c r="T810" s="1727"/>
      <c r="U810" s="1728"/>
      <c r="V810" s="1727"/>
      <c r="W810" s="1728"/>
      <c r="X810" s="1726">
        <v>12000</v>
      </c>
      <c r="Y810" s="1729" t="s">
        <v>1471</v>
      </c>
      <c r="Z810" s="1728"/>
      <c r="AA810" s="1730">
        <v>3000</v>
      </c>
      <c r="AB810" s="1731" t="s">
        <v>1471</v>
      </c>
      <c r="AC810" s="1732"/>
    </row>
    <row r="811" spans="1:29" ht="30">
      <c r="A811" s="1704" t="s">
        <v>3393</v>
      </c>
      <c r="B811" s="1705" t="s">
        <v>3394</v>
      </c>
      <c r="C811" s="1706"/>
      <c r="D811" s="1707"/>
      <c r="E811" s="1708"/>
      <c r="F811" s="1707"/>
      <c r="G811" s="1708"/>
      <c r="H811" s="1707"/>
      <c r="I811" s="1709">
        <v>1E-4</v>
      </c>
      <c r="J811" s="1708" t="s">
        <v>1960</v>
      </c>
      <c r="K811" s="1708" t="s">
        <v>1127</v>
      </c>
      <c r="L811" s="1707"/>
      <c r="M811" s="1708">
        <v>1</v>
      </c>
      <c r="N811" s="1708"/>
      <c r="O811" s="1710"/>
      <c r="P811" s="1711">
        <v>140000</v>
      </c>
      <c r="Q811" s="1712" t="s">
        <v>4124</v>
      </c>
      <c r="R811" s="1711">
        <v>600000</v>
      </c>
      <c r="S811" s="1712" t="s">
        <v>4124</v>
      </c>
      <c r="T811" s="1711">
        <v>0.1</v>
      </c>
      <c r="U811" s="1712" t="s">
        <v>1471</v>
      </c>
      <c r="V811" s="1711">
        <v>0.44</v>
      </c>
      <c r="W811" s="1712" t="s">
        <v>1471</v>
      </c>
      <c r="X811" s="1711">
        <v>0.21</v>
      </c>
      <c r="Y811" s="1714" t="s">
        <v>1471</v>
      </c>
      <c r="Z811" s="1713"/>
      <c r="AA811" s="1716"/>
      <c r="AB811" s="1734"/>
      <c r="AC811" s="1717"/>
    </row>
    <row r="812" spans="1:29" ht="15">
      <c r="A812" s="1704" t="s">
        <v>322</v>
      </c>
      <c r="B812" s="1705" t="s">
        <v>321</v>
      </c>
      <c r="C812" s="1706"/>
      <c r="D812" s="1707"/>
      <c r="E812" s="1708"/>
      <c r="F812" s="1707"/>
      <c r="G812" s="1709">
        <v>0.08</v>
      </c>
      <c r="H812" s="1708" t="s">
        <v>1119</v>
      </c>
      <c r="I812" s="1709">
        <v>5</v>
      </c>
      <c r="J812" s="1708" t="s">
        <v>1119</v>
      </c>
      <c r="K812" s="1708" t="s">
        <v>1127</v>
      </c>
      <c r="L812" s="1707"/>
      <c r="M812" s="1708">
        <v>1</v>
      </c>
      <c r="N812" s="1708"/>
      <c r="O812" s="1718">
        <v>818</v>
      </c>
      <c r="P812" s="1711">
        <v>4900</v>
      </c>
      <c r="Q812" s="1712" t="s">
        <v>4125</v>
      </c>
      <c r="R812" s="1711">
        <v>47000</v>
      </c>
      <c r="S812" s="1712" t="s">
        <v>4125</v>
      </c>
      <c r="T812" s="1711">
        <v>5200</v>
      </c>
      <c r="U812" s="1712" t="s">
        <v>1471</v>
      </c>
      <c r="V812" s="1711">
        <v>22000</v>
      </c>
      <c r="W812" s="1712" t="s">
        <v>1471</v>
      </c>
      <c r="X812" s="1711">
        <v>1100</v>
      </c>
      <c r="Y812" s="1714" t="s">
        <v>1471</v>
      </c>
      <c r="Z812" s="1711">
        <v>1000</v>
      </c>
      <c r="AA812" s="1715">
        <v>0.76</v>
      </c>
      <c r="AB812" s="1716" t="s">
        <v>1471</v>
      </c>
      <c r="AC812" s="1738">
        <v>0.69</v>
      </c>
    </row>
    <row r="813" spans="1:29" ht="30">
      <c r="A813" s="1719" t="s">
        <v>3395</v>
      </c>
      <c r="B813" s="1720" t="s">
        <v>3396</v>
      </c>
      <c r="C813" s="1737">
        <v>3.9E-2</v>
      </c>
      <c r="D813" s="1723" t="s">
        <v>1900</v>
      </c>
      <c r="E813" s="1724">
        <v>1.1E-5</v>
      </c>
      <c r="F813" s="1723" t="s">
        <v>1900</v>
      </c>
      <c r="G813" s="1723"/>
      <c r="H813" s="1722"/>
      <c r="I813" s="1724">
        <v>7.9999999999999996E-6</v>
      </c>
      <c r="J813" s="1723" t="s">
        <v>1900</v>
      </c>
      <c r="K813" s="1723" t="s">
        <v>1127</v>
      </c>
      <c r="L813" s="1722"/>
      <c r="M813" s="1723">
        <v>1</v>
      </c>
      <c r="N813" s="1723"/>
      <c r="O813" s="1725"/>
      <c r="P813" s="1726">
        <v>6.4</v>
      </c>
      <c r="Q813" s="1727" t="s">
        <v>1471</v>
      </c>
      <c r="R813" s="1726">
        <v>27</v>
      </c>
      <c r="S813" s="1727" t="s">
        <v>1471</v>
      </c>
      <c r="T813" s="1726">
        <v>8.3000000000000001E-3</v>
      </c>
      <c r="U813" s="1727" t="s">
        <v>1471</v>
      </c>
      <c r="V813" s="1726">
        <v>3.5000000000000003E-2</v>
      </c>
      <c r="W813" s="1727" t="s">
        <v>1471</v>
      </c>
      <c r="X813" s="1726">
        <v>1.7000000000000001E-2</v>
      </c>
      <c r="Y813" s="1729" t="s">
        <v>1471</v>
      </c>
      <c r="Z813" s="1728"/>
      <c r="AA813" s="1730">
        <v>2.5000000000000001E-4</v>
      </c>
      <c r="AB813" s="1731" t="s">
        <v>1471</v>
      </c>
      <c r="AC813" s="1732"/>
    </row>
    <row r="814" spans="1:29" ht="30">
      <c r="A814" s="1704" t="s">
        <v>3397</v>
      </c>
      <c r="B814" s="1705" t="s">
        <v>3398</v>
      </c>
      <c r="C814" s="1736">
        <v>3.9E-2</v>
      </c>
      <c r="D814" s="1708" t="s">
        <v>1900</v>
      </c>
      <c r="E814" s="1709">
        <v>1.1E-5</v>
      </c>
      <c r="F814" s="1708" t="s">
        <v>1900</v>
      </c>
      <c r="G814" s="1708"/>
      <c r="H814" s="1707"/>
      <c r="I814" s="1709">
        <v>7.9999999999999996E-6</v>
      </c>
      <c r="J814" s="1708" t="s">
        <v>1900</v>
      </c>
      <c r="K814" s="1708" t="s">
        <v>1127</v>
      </c>
      <c r="L814" s="1707"/>
      <c r="M814" s="1708">
        <v>1</v>
      </c>
      <c r="N814" s="1708"/>
      <c r="O814" s="1718">
        <v>1710</v>
      </c>
      <c r="P814" s="1711">
        <v>5.3</v>
      </c>
      <c r="Q814" s="1712" t="s">
        <v>1471</v>
      </c>
      <c r="R814" s="1711">
        <v>22</v>
      </c>
      <c r="S814" s="1712" t="s">
        <v>1471</v>
      </c>
      <c r="T814" s="1711">
        <v>8.3000000000000001E-3</v>
      </c>
      <c r="U814" s="1712" t="s">
        <v>1471</v>
      </c>
      <c r="V814" s="1711">
        <v>3.5000000000000003E-2</v>
      </c>
      <c r="W814" s="1712" t="s">
        <v>1471</v>
      </c>
      <c r="X814" s="1711">
        <v>1.7000000000000001E-2</v>
      </c>
      <c r="Y814" s="1714" t="s">
        <v>1471</v>
      </c>
      <c r="Z814" s="1713"/>
      <c r="AA814" s="1715">
        <v>2.5999999999999998E-4</v>
      </c>
      <c r="AB814" s="1716" t="s">
        <v>1471</v>
      </c>
      <c r="AC814" s="1717"/>
    </row>
    <row r="815" spans="1:29" ht="30">
      <c r="A815" s="1704" t="s">
        <v>3399</v>
      </c>
      <c r="B815" s="1705" t="s">
        <v>3400</v>
      </c>
      <c r="C815" s="1706"/>
      <c r="D815" s="1707"/>
      <c r="E815" s="1708"/>
      <c r="F815" s="1707"/>
      <c r="G815" s="1709">
        <v>1E-4</v>
      </c>
      <c r="H815" s="1708" t="s">
        <v>1893</v>
      </c>
      <c r="I815" s="1708"/>
      <c r="J815" s="1707"/>
      <c r="K815" s="1707"/>
      <c r="L815" s="1707"/>
      <c r="M815" s="1708">
        <v>1</v>
      </c>
      <c r="N815" s="1708">
        <v>0.1</v>
      </c>
      <c r="O815" s="1710"/>
      <c r="P815" s="1711">
        <v>6.3</v>
      </c>
      <c r="Q815" s="1712" t="s">
        <v>1471</v>
      </c>
      <c r="R815" s="1711">
        <v>82</v>
      </c>
      <c r="S815" s="1712" t="s">
        <v>1471</v>
      </c>
      <c r="T815" s="1712"/>
      <c r="U815" s="1713"/>
      <c r="V815" s="1712"/>
      <c r="W815" s="1713"/>
      <c r="X815" s="1711">
        <v>2</v>
      </c>
      <c r="Y815" s="1714" t="s">
        <v>1471</v>
      </c>
      <c r="Z815" s="1713"/>
      <c r="AA815" s="1715">
        <v>6.2E-4</v>
      </c>
      <c r="AB815" s="1716" t="s">
        <v>1471</v>
      </c>
      <c r="AC815" s="1717"/>
    </row>
    <row r="816" spans="1:29" ht="30">
      <c r="A816" s="1719" t="s">
        <v>3401</v>
      </c>
      <c r="B816" s="1720" t="s">
        <v>3402</v>
      </c>
      <c r="C816" s="1737">
        <v>0.18</v>
      </c>
      <c r="D816" s="1723" t="s">
        <v>1893</v>
      </c>
      <c r="E816" s="1723"/>
      <c r="F816" s="1722"/>
      <c r="G816" s="1724">
        <v>2.0000000000000001E-4</v>
      </c>
      <c r="H816" s="1723" t="s">
        <v>1893</v>
      </c>
      <c r="I816" s="1723"/>
      <c r="J816" s="1722"/>
      <c r="K816" s="1722"/>
      <c r="L816" s="1722"/>
      <c r="M816" s="1723">
        <v>1</v>
      </c>
      <c r="N816" s="1723">
        <v>0.1</v>
      </c>
      <c r="O816" s="1725"/>
      <c r="P816" s="1726">
        <v>3</v>
      </c>
      <c r="Q816" s="1727" t="s">
        <v>4122</v>
      </c>
      <c r="R816" s="1726">
        <v>13</v>
      </c>
      <c r="S816" s="1727" t="s">
        <v>4127</v>
      </c>
      <c r="T816" s="1727"/>
      <c r="U816" s="1728"/>
      <c r="V816" s="1727"/>
      <c r="W816" s="1728"/>
      <c r="X816" s="1726">
        <v>0.43</v>
      </c>
      <c r="Y816" s="1729" t="s">
        <v>4122</v>
      </c>
      <c r="Z816" s="1728"/>
      <c r="AA816" s="1730">
        <v>1.2999999999999999E-4</v>
      </c>
      <c r="AB816" s="1731" t="s">
        <v>4122</v>
      </c>
      <c r="AC816" s="1732"/>
    </row>
    <row r="817" spans="1:29" ht="30">
      <c r="A817" s="1704" t="s">
        <v>3403</v>
      </c>
      <c r="B817" s="1705" t="s">
        <v>3404</v>
      </c>
      <c r="C817" s="1706"/>
      <c r="D817" s="1707"/>
      <c r="E817" s="1708"/>
      <c r="F817" s="1707"/>
      <c r="G817" s="1709">
        <v>1E-4</v>
      </c>
      <c r="H817" s="1708" t="s">
        <v>1893</v>
      </c>
      <c r="I817" s="1708"/>
      <c r="J817" s="1707"/>
      <c r="K817" s="1707"/>
      <c r="L817" s="1707"/>
      <c r="M817" s="1708">
        <v>1</v>
      </c>
      <c r="N817" s="1708">
        <v>0.1</v>
      </c>
      <c r="O817" s="1710"/>
      <c r="P817" s="1711">
        <v>6.3</v>
      </c>
      <c r="Q817" s="1712" t="s">
        <v>1471</v>
      </c>
      <c r="R817" s="1711">
        <v>82</v>
      </c>
      <c r="S817" s="1712" t="s">
        <v>1471</v>
      </c>
      <c r="T817" s="1712"/>
      <c r="U817" s="1713"/>
      <c r="V817" s="1712"/>
      <c r="W817" s="1713"/>
      <c r="X817" s="1711">
        <v>2</v>
      </c>
      <c r="Y817" s="1714" t="s">
        <v>1471</v>
      </c>
      <c r="Z817" s="1713"/>
      <c r="AA817" s="1715">
        <v>6.2E-4</v>
      </c>
      <c r="AB817" s="1716" t="s">
        <v>1471</v>
      </c>
      <c r="AC817" s="1717"/>
    </row>
    <row r="818" spans="1:29" ht="15">
      <c r="A818" s="1704" t="s">
        <v>3405</v>
      </c>
      <c r="B818" s="1705" t="s">
        <v>3406</v>
      </c>
      <c r="C818" s="1706"/>
      <c r="D818" s="1707"/>
      <c r="E818" s="1708"/>
      <c r="F818" s="1707"/>
      <c r="G818" s="1709">
        <v>5.0000000000000001E-3</v>
      </c>
      <c r="H818" s="1708" t="s">
        <v>1909</v>
      </c>
      <c r="I818" s="1708"/>
      <c r="J818" s="1707"/>
      <c r="K818" s="1707"/>
      <c r="L818" s="1707"/>
      <c r="M818" s="1708">
        <v>1</v>
      </c>
      <c r="N818" s="1708">
        <v>0.1</v>
      </c>
      <c r="O818" s="1710"/>
      <c r="P818" s="1711">
        <v>320</v>
      </c>
      <c r="Q818" s="1712" t="s">
        <v>1471</v>
      </c>
      <c r="R818" s="1711">
        <v>4100</v>
      </c>
      <c r="S818" s="1712" t="s">
        <v>1471</v>
      </c>
      <c r="T818" s="1712"/>
      <c r="U818" s="1713"/>
      <c r="V818" s="1712"/>
      <c r="W818" s="1713"/>
      <c r="X818" s="1711">
        <v>90</v>
      </c>
      <c r="Y818" s="1714" t="s">
        <v>1471</v>
      </c>
      <c r="Z818" s="1713"/>
      <c r="AA818" s="1715">
        <v>2.3E-2</v>
      </c>
      <c r="AB818" s="1716" t="s">
        <v>1471</v>
      </c>
      <c r="AC818" s="1717"/>
    </row>
    <row r="819" spans="1:29" ht="30">
      <c r="A819" s="1719" t="s">
        <v>3407</v>
      </c>
      <c r="B819" s="1720" t="s">
        <v>3408</v>
      </c>
      <c r="C819" s="1737">
        <v>1.6E-2</v>
      </c>
      <c r="D819" s="1723" t="s">
        <v>1909</v>
      </c>
      <c r="E819" s="1724">
        <v>5.1E-5</v>
      </c>
      <c r="F819" s="1723" t="s">
        <v>1900</v>
      </c>
      <c r="G819" s="1723"/>
      <c r="H819" s="1722"/>
      <c r="I819" s="1723"/>
      <c r="J819" s="1722"/>
      <c r="K819" s="1722"/>
      <c r="L819" s="1722"/>
      <c r="M819" s="1723">
        <v>1</v>
      </c>
      <c r="N819" s="1723">
        <v>0.1</v>
      </c>
      <c r="O819" s="1725"/>
      <c r="P819" s="1726">
        <v>34</v>
      </c>
      <c r="Q819" s="1727" t="s">
        <v>4126</v>
      </c>
      <c r="R819" s="1726">
        <v>140</v>
      </c>
      <c r="S819" s="1727" t="s">
        <v>4126</v>
      </c>
      <c r="T819" s="1726">
        <v>5.5E-2</v>
      </c>
      <c r="U819" s="1727" t="s">
        <v>4126</v>
      </c>
      <c r="V819" s="1726">
        <v>0.24</v>
      </c>
      <c r="W819" s="1727" t="s">
        <v>4126</v>
      </c>
      <c r="X819" s="1726">
        <v>4.7</v>
      </c>
      <c r="Y819" s="1729" t="s">
        <v>4126</v>
      </c>
      <c r="Z819" s="1728"/>
      <c r="AA819" s="1730">
        <v>2E-3</v>
      </c>
      <c r="AB819" s="1731" t="s">
        <v>4126</v>
      </c>
      <c r="AC819" s="1732"/>
    </row>
    <row r="820" spans="1:29" ht="15">
      <c r="A820" s="1704" t="s">
        <v>3409</v>
      </c>
      <c r="B820" s="1705" t="s">
        <v>3410</v>
      </c>
      <c r="C820" s="1736">
        <v>0.03</v>
      </c>
      <c r="D820" s="1708" t="s">
        <v>1909</v>
      </c>
      <c r="E820" s="1708"/>
      <c r="F820" s="1707"/>
      <c r="G820" s="1709">
        <v>4.0000000000000001E-3</v>
      </c>
      <c r="H820" s="1708" t="s">
        <v>1893</v>
      </c>
      <c r="I820" s="1708"/>
      <c r="J820" s="1707"/>
      <c r="K820" s="1707"/>
      <c r="L820" s="1707"/>
      <c r="M820" s="1708">
        <v>1</v>
      </c>
      <c r="N820" s="1708">
        <v>0.1</v>
      </c>
      <c r="O820" s="1710"/>
      <c r="P820" s="1711">
        <v>18</v>
      </c>
      <c r="Q820" s="1712" t="s">
        <v>4127</v>
      </c>
      <c r="R820" s="1711">
        <v>77</v>
      </c>
      <c r="S820" s="1712" t="s">
        <v>4127</v>
      </c>
      <c r="T820" s="1712"/>
      <c r="U820" s="1713"/>
      <c r="V820" s="1712"/>
      <c r="W820" s="1713"/>
      <c r="X820" s="1711">
        <v>2.5</v>
      </c>
      <c r="Y820" s="1714" t="s">
        <v>4127</v>
      </c>
      <c r="Z820" s="1713"/>
      <c r="AA820" s="1715">
        <v>1.1000000000000001E-3</v>
      </c>
      <c r="AB820" s="1716" t="s">
        <v>4127</v>
      </c>
      <c r="AC820" s="1717"/>
    </row>
    <row r="821" spans="1:29" ht="45">
      <c r="A821" s="1704" t="s">
        <v>3411</v>
      </c>
      <c r="B821" s="1705" t="s">
        <v>3412</v>
      </c>
      <c r="C821" s="1706"/>
      <c r="D821" s="1707"/>
      <c r="E821" s="1708"/>
      <c r="F821" s="1707"/>
      <c r="G821" s="1709">
        <v>3</v>
      </c>
      <c r="H821" s="1708" t="s">
        <v>1909</v>
      </c>
      <c r="I821" s="1708"/>
      <c r="J821" s="1707"/>
      <c r="K821" s="1708" t="s">
        <v>1127</v>
      </c>
      <c r="L821" s="1707"/>
      <c r="M821" s="1708">
        <v>1</v>
      </c>
      <c r="N821" s="1708"/>
      <c r="O821" s="1718">
        <v>0.34200000000000003</v>
      </c>
      <c r="P821" s="1711">
        <v>230000</v>
      </c>
      <c r="Q821" s="1712" t="s">
        <v>4123</v>
      </c>
      <c r="R821" s="1711">
        <v>3500000</v>
      </c>
      <c r="S821" s="1712" t="s">
        <v>4123</v>
      </c>
      <c r="T821" s="1712"/>
      <c r="U821" s="1713"/>
      <c r="V821" s="1712"/>
      <c r="W821" s="1713"/>
      <c r="X821" s="1711">
        <v>60000</v>
      </c>
      <c r="Y821" s="1714" t="s">
        <v>1471</v>
      </c>
      <c r="Z821" s="1713"/>
      <c r="AA821" s="1715">
        <v>2400</v>
      </c>
      <c r="AB821" s="1716" t="s">
        <v>1471</v>
      </c>
      <c r="AC821" s="1717"/>
    </row>
    <row r="822" spans="1:29" ht="45">
      <c r="A822" s="1719" t="s">
        <v>3413</v>
      </c>
      <c r="B822" s="1720" t="s">
        <v>3414</v>
      </c>
      <c r="C822" s="1721"/>
      <c r="D822" s="1722"/>
      <c r="E822" s="1723"/>
      <c r="F822" s="1722"/>
      <c r="G822" s="1724">
        <v>5.0000000000000001E-3</v>
      </c>
      <c r="H822" s="1723" t="s">
        <v>1909</v>
      </c>
      <c r="I822" s="1724">
        <v>0.4</v>
      </c>
      <c r="J822" s="1723" t="s">
        <v>1909</v>
      </c>
      <c r="K822" s="1723" t="s">
        <v>1127</v>
      </c>
      <c r="L822" s="1722"/>
      <c r="M822" s="1723">
        <v>1</v>
      </c>
      <c r="N822" s="1723"/>
      <c r="O822" s="1735">
        <v>112</v>
      </c>
      <c r="P822" s="1726">
        <v>250</v>
      </c>
      <c r="Q822" s="1727" t="s">
        <v>4125</v>
      </c>
      <c r="R822" s="1726">
        <v>1900</v>
      </c>
      <c r="S822" s="1727" t="s">
        <v>4125</v>
      </c>
      <c r="T822" s="1726">
        <v>420</v>
      </c>
      <c r="U822" s="1727" t="s">
        <v>1471</v>
      </c>
      <c r="V822" s="1726">
        <v>1800</v>
      </c>
      <c r="W822" s="1727" t="s">
        <v>1471</v>
      </c>
      <c r="X822" s="1726">
        <v>28</v>
      </c>
      <c r="Y822" s="1729" t="s">
        <v>1471</v>
      </c>
      <c r="Z822" s="1728"/>
      <c r="AA822" s="1730">
        <v>0.02</v>
      </c>
      <c r="AB822" s="1731" t="s">
        <v>1471</v>
      </c>
      <c r="AC822" s="1732"/>
    </row>
    <row r="823" spans="1:29" ht="60">
      <c r="A823" s="1704" t="s">
        <v>3416</v>
      </c>
      <c r="B823" s="1705" t="s">
        <v>3417</v>
      </c>
      <c r="C823" s="1706"/>
      <c r="D823" s="1707"/>
      <c r="E823" s="1708"/>
      <c r="F823" s="1707"/>
      <c r="G823" s="1709">
        <v>0.01</v>
      </c>
      <c r="H823" s="1708" t="s">
        <v>1893</v>
      </c>
      <c r="I823" s="1709">
        <v>0.1</v>
      </c>
      <c r="J823" s="1708" t="s">
        <v>1909</v>
      </c>
      <c r="K823" s="1708" t="s">
        <v>1127</v>
      </c>
      <c r="L823" s="1707"/>
      <c r="M823" s="1708">
        <v>1</v>
      </c>
      <c r="N823" s="1708"/>
      <c r="O823" s="1718">
        <v>6.86</v>
      </c>
      <c r="P823" s="1711">
        <v>96</v>
      </c>
      <c r="Q823" s="1712" t="s">
        <v>4125</v>
      </c>
      <c r="R823" s="1711">
        <v>440</v>
      </c>
      <c r="S823" s="1712" t="s">
        <v>4125</v>
      </c>
      <c r="T823" s="1711">
        <v>100</v>
      </c>
      <c r="U823" s="1712" t="s">
        <v>1471</v>
      </c>
      <c r="V823" s="1711">
        <v>440</v>
      </c>
      <c r="W823" s="1712" t="s">
        <v>1471</v>
      </c>
      <c r="X823" s="1711">
        <v>100</v>
      </c>
      <c r="Y823" s="1714" t="s">
        <v>1471</v>
      </c>
      <c r="Z823" s="1713"/>
      <c r="AA823" s="1715">
        <v>1.5</v>
      </c>
      <c r="AB823" s="1716" t="s">
        <v>1471</v>
      </c>
      <c r="AC823" s="1717"/>
    </row>
    <row r="824" spans="1:29" ht="45">
      <c r="A824" s="1704" t="s">
        <v>3418</v>
      </c>
      <c r="B824" s="1705" t="s">
        <v>3419</v>
      </c>
      <c r="C824" s="1706"/>
      <c r="D824" s="1707"/>
      <c r="E824" s="1708"/>
      <c r="F824" s="1707"/>
      <c r="G824" s="1709">
        <v>2.9999999999999997E-4</v>
      </c>
      <c r="H824" s="1708" t="s">
        <v>1909</v>
      </c>
      <c r="I824" s="1709">
        <v>1.9999999999999999E-6</v>
      </c>
      <c r="J824" s="1708" t="s">
        <v>1909</v>
      </c>
      <c r="K824" s="1707"/>
      <c r="L824" s="1708" t="s">
        <v>1906</v>
      </c>
      <c r="M824" s="1708">
        <v>1</v>
      </c>
      <c r="N824" s="1708">
        <v>0.13</v>
      </c>
      <c r="O824" s="1710"/>
      <c r="P824" s="1711">
        <v>18</v>
      </c>
      <c r="Q824" s="1712" t="s">
        <v>1471</v>
      </c>
      <c r="R824" s="1711">
        <v>220</v>
      </c>
      <c r="S824" s="1712" t="s">
        <v>1471</v>
      </c>
      <c r="T824" s="1711">
        <v>2.0999999999999999E-3</v>
      </c>
      <c r="U824" s="1712" t="s">
        <v>1471</v>
      </c>
      <c r="V824" s="1711">
        <v>8.8000000000000005E-3</v>
      </c>
      <c r="W824" s="1712" t="s">
        <v>1471</v>
      </c>
      <c r="X824" s="1711">
        <v>6</v>
      </c>
      <c r="Y824" s="1714" t="s">
        <v>1471</v>
      </c>
      <c r="Z824" s="1713"/>
      <c r="AA824" s="1715">
        <v>7.1</v>
      </c>
      <c r="AB824" s="1716" t="s">
        <v>1471</v>
      </c>
      <c r="AC824" s="1717"/>
    </row>
    <row r="825" spans="1:29" ht="60">
      <c r="A825" s="1719" t="s">
        <v>3420</v>
      </c>
      <c r="B825" s="1720" t="s">
        <v>3421</v>
      </c>
      <c r="C825" s="1721"/>
      <c r="D825" s="1722"/>
      <c r="E825" s="1723"/>
      <c r="F825" s="1722"/>
      <c r="G825" s="1724">
        <v>0.01</v>
      </c>
      <c r="H825" s="1723" t="s">
        <v>1909</v>
      </c>
      <c r="I825" s="1724">
        <v>0.06</v>
      </c>
      <c r="J825" s="1723" t="s">
        <v>1909</v>
      </c>
      <c r="K825" s="1723" t="s">
        <v>1127</v>
      </c>
      <c r="L825" s="1722"/>
      <c r="M825" s="1723">
        <v>1</v>
      </c>
      <c r="N825" s="1723"/>
      <c r="O825" s="1735">
        <v>231</v>
      </c>
      <c r="P825" s="1726">
        <v>300</v>
      </c>
      <c r="Q825" s="1727" t="s">
        <v>4125</v>
      </c>
      <c r="R825" s="1726">
        <v>1700</v>
      </c>
      <c r="S825" s="1727" t="s">
        <v>4125</v>
      </c>
      <c r="T825" s="1726">
        <v>63</v>
      </c>
      <c r="U825" s="1727" t="s">
        <v>1471</v>
      </c>
      <c r="V825" s="1726">
        <v>260</v>
      </c>
      <c r="W825" s="1727" t="s">
        <v>1471</v>
      </c>
      <c r="X825" s="1726">
        <v>57</v>
      </c>
      <c r="Y825" s="1729" t="s">
        <v>1471</v>
      </c>
      <c r="Z825" s="1728"/>
      <c r="AA825" s="1730">
        <v>8.3000000000000004E-2</v>
      </c>
      <c r="AB825" s="1731" t="s">
        <v>1471</v>
      </c>
      <c r="AC825" s="1732"/>
    </row>
    <row r="826" spans="1:29" ht="15">
      <c r="A826" s="1704" t="s">
        <v>324</v>
      </c>
      <c r="B826" s="1705" t="s">
        <v>323</v>
      </c>
      <c r="C826" s="1736">
        <v>1.1000000000000001</v>
      </c>
      <c r="D826" s="1708" t="s">
        <v>1119</v>
      </c>
      <c r="E826" s="1709">
        <v>3.2000000000000003E-4</v>
      </c>
      <c r="F826" s="1708" t="s">
        <v>1119</v>
      </c>
      <c r="G826" s="1709">
        <v>9.0000000000000006E-5</v>
      </c>
      <c r="H826" s="1708" t="s">
        <v>1909</v>
      </c>
      <c r="I826" s="1708"/>
      <c r="J826" s="1707"/>
      <c r="K826" s="1707"/>
      <c r="L826" s="1707"/>
      <c r="M826" s="1708">
        <v>1</v>
      </c>
      <c r="N826" s="1708">
        <v>0.1</v>
      </c>
      <c r="O826" s="1710"/>
      <c r="P826" s="1711">
        <v>0.49</v>
      </c>
      <c r="Q826" s="1712" t="s">
        <v>4127</v>
      </c>
      <c r="R826" s="1711">
        <v>2.1</v>
      </c>
      <c r="S826" s="1712" t="s">
        <v>4127</v>
      </c>
      <c r="T826" s="1711">
        <v>8.8000000000000005E-3</v>
      </c>
      <c r="U826" s="1712" t="s">
        <v>4126</v>
      </c>
      <c r="V826" s="1711">
        <v>3.7999999999999999E-2</v>
      </c>
      <c r="W826" s="1712" t="s">
        <v>4126</v>
      </c>
      <c r="X826" s="1711">
        <v>7.0999999999999994E-2</v>
      </c>
      <c r="Y826" s="1714" t="s">
        <v>4127</v>
      </c>
      <c r="Z826" s="1711">
        <v>3</v>
      </c>
      <c r="AA826" s="1715">
        <v>1.0999999999999999E-2</v>
      </c>
      <c r="AB826" s="1716" t="s">
        <v>4127</v>
      </c>
      <c r="AC826" s="1738">
        <v>0.46</v>
      </c>
    </row>
    <row r="827" spans="1:29" ht="30">
      <c r="A827" s="1704" t="s">
        <v>3422</v>
      </c>
      <c r="B827" s="1705" t="s">
        <v>3423</v>
      </c>
      <c r="C827" s="1706"/>
      <c r="D827" s="1707"/>
      <c r="E827" s="1708"/>
      <c r="F827" s="1707"/>
      <c r="G827" s="1709">
        <v>3.0000000000000001E-5</v>
      </c>
      <c r="H827" s="1708" t="s">
        <v>1893</v>
      </c>
      <c r="I827" s="1708"/>
      <c r="J827" s="1707"/>
      <c r="K827" s="1707"/>
      <c r="L827" s="1707"/>
      <c r="M827" s="1708">
        <v>1</v>
      </c>
      <c r="N827" s="1708">
        <v>0.1</v>
      </c>
      <c r="O827" s="1710"/>
      <c r="P827" s="1711">
        <v>1.9</v>
      </c>
      <c r="Q827" s="1712" t="s">
        <v>1471</v>
      </c>
      <c r="R827" s="1711">
        <v>25</v>
      </c>
      <c r="S827" s="1712" t="s">
        <v>1471</v>
      </c>
      <c r="T827" s="1712"/>
      <c r="U827" s="1713"/>
      <c r="V827" s="1712"/>
      <c r="W827" s="1713"/>
      <c r="X827" s="1711">
        <v>0.6</v>
      </c>
      <c r="Y827" s="1714" t="s">
        <v>1471</v>
      </c>
      <c r="Z827" s="1713"/>
      <c r="AA827" s="1715">
        <v>9.2999999999999999E-2</v>
      </c>
      <c r="AB827" s="1716" t="s">
        <v>1471</v>
      </c>
      <c r="AC827" s="1717"/>
    </row>
    <row r="828" spans="1:29" ht="15">
      <c r="A828" s="1719" t="s">
        <v>3424</v>
      </c>
      <c r="B828" s="1720" t="s">
        <v>3425</v>
      </c>
      <c r="C828" s="1721"/>
      <c r="D828" s="1722"/>
      <c r="E828" s="1723"/>
      <c r="F828" s="1722"/>
      <c r="G828" s="1724">
        <v>7.4999999999999997E-3</v>
      </c>
      <c r="H828" s="1723" t="s">
        <v>1119</v>
      </c>
      <c r="I828" s="1723"/>
      <c r="J828" s="1722"/>
      <c r="K828" s="1722"/>
      <c r="L828" s="1722"/>
      <c r="M828" s="1723">
        <v>1</v>
      </c>
      <c r="N828" s="1723">
        <v>0.1</v>
      </c>
      <c r="O828" s="1725"/>
      <c r="P828" s="1726">
        <v>470</v>
      </c>
      <c r="Q828" s="1727" t="s">
        <v>1471</v>
      </c>
      <c r="R828" s="1726">
        <v>6200</v>
      </c>
      <c r="S828" s="1727" t="s">
        <v>1471</v>
      </c>
      <c r="T828" s="1727"/>
      <c r="U828" s="1728"/>
      <c r="V828" s="1727"/>
      <c r="W828" s="1728"/>
      <c r="X828" s="1726">
        <v>150</v>
      </c>
      <c r="Y828" s="1729" t="s">
        <v>1471</v>
      </c>
      <c r="Z828" s="1728"/>
      <c r="AA828" s="1730">
        <v>58</v>
      </c>
      <c r="AB828" s="1731" t="s">
        <v>1471</v>
      </c>
      <c r="AC828" s="1732"/>
    </row>
    <row r="829" spans="1:29" ht="15">
      <c r="A829" s="1704" t="s">
        <v>3426</v>
      </c>
      <c r="B829" s="1705" t="s">
        <v>3427</v>
      </c>
      <c r="C829" s="1706"/>
      <c r="D829" s="1707"/>
      <c r="E829" s="1708"/>
      <c r="F829" s="1707"/>
      <c r="G829" s="1709">
        <v>2.9999999999999997E-4</v>
      </c>
      <c r="H829" s="1708" t="s">
        <v>1960</v>
      </c>
      <c r="I829" s="1708"/>
      <c r="J829" s="1707"/>
      <c r="K829" s="1708" t="s">
        <v>1127</v>
      </c>
      <c r="L829" s="1707"/>
      <c r="M829" s="1708">
        <v>1</v>
      </c>
      <c r="N829" s="1708"/>
      <c r="O829" s="1710"/>
      <c r="P829" s="1711">
        <v>23</v>
      </c>
      <c r="Q829" s="1712" t="s">
        <v>1471</v>
      </c>
      <c r="R829" s="1711">
        <v>350</v>
      </c>
      <c r="S829" s="1712" t="s">
        <v>1471</v>
      </c>
      <c r="T829" s="1712"/>
      <c r="U829" s="1713"/>
      <c r="V829" s="1712"/>
      <c r="W829" s="1713"/>
      <c r="X829" s="1711">
        <v>3.7</v>
      </c>
      <c r="Y829" s="1714" t="s">
        <v>1471</v>
      </c>
      <c r="Z829" s="1713"/>
      <c r="AA829" s="1715">
        <v>8.2000000000000003E-2</v>
      </c>
      <c r="AB829" s="1716" t="s">
        <v>1471</v>
      </c>
      <c r="AC829" s="1717"/>
    </row>
    <row r="830" spans="1:29" ht="15">
      <c r="A830" s="1704" t="s">
        <v>3428</v>
      </c>
      <c r="B830" s="1705" t="s">
        <v>3429</v>
      </c>
      <c r="C830" s="1706"/>
      <c r="D830" s="1707"/>
      <c r="E830" s="1708"/>
      <c r="F830" s="1707"/>
      <c r="G830" s="1709">
        <v>80</v>
      </c>
      <c r="H830" s="1708" t="s">
        <v>1893</v>
      </c>
      <c r="I830" s="1708"/>
      <c r="J830" s="1707"/>
      <c r="K830" s="1707"/>
      <c r="L830" s="1707"/>
      <c r="M830" s="1708">
        <v>1</v>
      </c>
      <c r="N830" s="1708">
        <v>0.1</v>
      </c>
      <c r="O830" s="1710"/>
      <c r="P830" s="1711">
        <v>5100000</v>
      </c>
      <c r="Q830" s="1712" t="s">
        <v>4124</v>
      </c>
      <c r="R830" s="1711">
        <v>66000000</v>
      </c>
      <c r="S830" s="1712" t="s">
        <v>4124</v>
      </c>
      <c r="T830" s="1712"/>
      <c r="U830" s="1713"/>
      <c r="V830" s="1712"/>
      <c r="W830" s="1713"/>
      <c r="X830" s="1711">
        <v>1600000</v>
      </c>
      <c r="Y830" s="1714" t="s">
        <v>1471</v>
      </c>
      <c r="Z830" s="1713"/>
      <c r="AA830" s="1715">
        <v>450</v>
      </c>
      <c r="AB830" s="1716" t="s">
        <v>1471</v>
      </c>
      <c r="AC830" s="1717"/>
    </row>
    <row r="831" spans="1:29" ht="15">
      <c r="A831" s="1719" t="s">
        <v>3430</v>
      </c>
      <c r="B831" s="1720" t="s">
        <v>3431</v>
      </c>
      <c r="C831" s="1721"/>
      <c r="D831" s="1722"/>
      <c r="E831" s="1723"/>
      <c r="F831" s="1722"/>
      <c r="G831" s="1724">
        <v>3.4000000000000002E-2</v>
      </c>
      <c r="H831" s="1723" t="s">
        <v>1116</v>
      </c>
      <c r="I831" s="1723"/>
      <c r="J831" s="1722"/>
      <c r="K831" s="1722"/>
      <c r="L831" s="1722"/>
      <c r="M831" s="1723">
        <v>1</v>
      </c>
      <c r="N831" s="1723">
        <v>0.1</v>
      </c>
      <c r="O831" s="1725"/>
      <c r="P831" s="1726">
        <v>2100</v>
      </c>
      <c r="Q831" s="1727" t="s">
        <v>1471</v>
      </c>
      <c r="R831" s="1726">
        <v>28000</v>
      </c>
      <c r="S831" s="1727" t="s">
        <v>1471</v>
      </c>
      <c r="T831" s="1727"/>
      <c r="U831" s="1728"/>
      <c r="V831" s="1727"/>
      <c r="W831" s="1728"/>
      <c r="X831" s="1726">
        <v>630</v>
      </c>
      <c r="Y831" s="1729" t="s">
        <v>1471</v>
      </c>
      <c r="Z831" s="1728"/>
      <c r="AA831" s="1730">
        <v>0.5</v>
      </c>
      <c r="AB831" s="1731" t="s">
        <v>1471</v>
      </c>
      <c r="AC831" s="1732"/>
    </row>
    <row r="832" spans="1:29" ht="15">
      <c r="A832" s="1704" t="s">
        <v>3432</v>
      </c>
      <c r="B832" s="1705" t="s">
        <v>3433</v>
      </c>
      <c r="C832" s="1736">
        <v>7.17E-2</v>
      </c>
      <c r="D832" s="1708" t="s">
        <v>1116</v>
      </c>
      <c r="E832" s="1708"/>
      <c r="F832" s="1707"/>
      <c r="G832" s="1709">
        <v>2.5000000000000001E-2</v>
      </c>
      <c r="H832" s="1708" t="s">
        <v>1116</v>
      </c>
      <c r="I832" s="1708"/>
      <c r="J832" s="1707"/>
      <c r="K832" s="1708" t="s">
        <v>1127</v>
      </c>
      <c r="L832" s="1707"/>
      <c r="M832" s="1708">
        <v>1</v>
      </c>
      <c r="N832" s="1708"/>
      <c r="O832" s="1710"/>
      <c r="P832" s="1711">
        <v>9.6999999999999993</v>
      </c>
      <c r="Q832" s="1712" t="s">
        <v>4126</v>
      </c>
      <c r="R832" s="1711">
        <v>46</v>
      </c>
      <c r="S832" s="1712" t="s">
        <v>4126</v>
      </c>
      <c r="T832" s="1712"/>
      <c r="U832" s="1713"/>
      <c r="V832" s="1712"/>
      <c r="W832" s="1713"/>
      <c r="X832" s="1711">
        <v>0.47</v>
      </c>
      <c r="Y832" s="1714" t="s">
        <v>4126</v>
      </c>
      <c r="Z832" s="1713"/>
      <c r="AA832" s="1715">
        <v>1E-3</v>
      </c>
      <c r="AB832" s="1716" t="s">
        <v>4126</v>
      </c>
      <c r="AC832" s="1717"/>
    </row>
    <row r="833" spans="1:29" ht="15">
      <c r="A833" s="1704" t="s">
        <v>3434</v>
      </c>
      <c r="B833" s="1705" t="s">
        <v>3435</v>
      </c>
      <c r="C833" s="1706"/>
      <c r="D833" s="1707"/>
      <c r="E833" s="1708"/>
      <c r="F833" s="1707"/>
      <c r="G833" s="1709">
        <v>0.01</v>
      </c>
      <c r="H833" s="1708" t="s">
        <v>1119</v>
      </c>
      <c r="I833" s="1708"/>
      <c r="J833" s="1707"/>
      <c r="K833" s="1707"/>
      <c r="L833" s="1707"/>
      <c r="M833" s="1708">
        <v>1</v>
      </c>
      <c r="N833" s="1708">
        <v>0.1</v>
      </c>
      <c r="O833" s="1710"/>
      <c r="P833" s="1711">
        <v>630</v>
      </c>
      <c r="Q833" s="1712" t="s">
        <v>1471</v>
      </c>
      <c r="R833" s="1711">
        <v>8200</v>
      </c>
      <c r="S833" s="1712" t="s">
        <v>1471</v>
      </c>
      <c r="T833" s="1712"/>
      <c r="U833" s="1713"/>
      <c r="V833" s="1712"/>
      <c r="W833" s="1713"/>
      <c r="X833" s="1711">
        <v>200</v>
      </c>
      <c r="Y833" s="1714" t="s">
        <v>1471</v>
      </c>
      <c r="Z833" s="1713"/>
      <c r="AA833" s="1715">
        <v>0.21</v>
      </c>
      <c r="AB833" s="1716" t="s">
        <v>1471</v>
      </c>
      <c r="AC833" s="1717"/>
    </row>
    <row r="834" spans="1:29" ht="30">
      <c r="A834" s="1719" t="s">
        <v>3436</v>
      </c>
      <c r="B834" s="1720" t="s">
        <v>3437</v>
      </c>
      <c r="C834" s="1721"/>
      <c r="D834" s="1722"/>
      <c r="E834" s="1723"/>
      <c r="F834" s="1722"/>
      <c r="G834" s="1724">
        <v>8.0000000000000002E-3</v>
      </c>
      <c r="H834" s="1723" t="s">
        <v>1119</v>
      </c>
      <c r="I834" s="1723"/>
      <c r="J834" s="1722"/>
      <c r="K834" s="1722"/>
      <c r="L834" s="1722"/>
      <c r="M834" s="1723">
        <v>1</v>
      </c>
      <c r="N834" s="1723">
        <v>0.1</v>
      </c>
      <c r="O834" s="1725"/>
      <c r="P834" s="1726">
        <v>510</v>
      </c>
      <c r="Q834" s="1727" t="s">
        <v>1471</v>
      </c>
      <c r="R834" s="1726">
        <v>6600</v>
      </c>
      <c r="S834" s="1727" t="s">
        <v>1471</v>
      </c>
      <c r="T834" s="1727"/>
      <c r="U834" s="1728"/>
      <c r="V834" s="1727"/>
      <c r="W834" s="1728"/>
      <c r="X834" s="1726">
        <v>160</v>
      </c>
      <c r="Y834" s="1729" t="s">
        <v>1471</v>
      </c>
      <c r="Z834" s="1728"/>
      <c r="AA834" s="1730">
        <v>6.0999999999999999E-2</v>
      </c>
      <c r="AB834" s="1731" t="s">
        <v>1471</v>
      </c>
      <c r="AC834" s="1732"/>
    </row>
    <row r="835" spans="1:29" ht="30">
      <c r="A835" s="1704" t="s">
        <v>3438</v>
      </c>
      <c r="B835" s="1705" t="s">
        <v>3439</v>
      </c>
      <c r="C835" s="1706"/>
      <c r="D835" s="1707"/>
      <c r="E835" s="1708"/>
      <c r="F835" s="1707"/>
      <c r="G835" s="1709">
        <v>5.0000000000000001E-3</v>
      </c>
      <c r="H835" s="1708" t="s">
        <v>1119</v>
      </c>
      <c r="I835" s="1708"/>
      <c r="J835" s="1707"/>
      <c r="K835" s="1708" t="s">
        <v>1127</v>
      </c>
      <c r="L835" s="1707"/>
      <c r="M835" s="1708">
        <v>1</v>
      </c>
      <c r="N835" s="1708"/>
      <c r="O835" s="1710"/>
      <c r="P835" s="1711">
        <v>390</v>
      </c>
      <c r="Q835" s="1712" t="s">
        <v>1471</v>
      </c>
      <c r="R835" s="1711">
        <v>5800</v>
      </c>
      <c r="S835" s="1712" t="s">
        <v>1471</v>
      </c>
      <c r="T835" s="1712"/>
      <c r="U835" s="1713"/>
      <c r="V835" s="1712"/>
      <c r="W835" s="1713"/>
      <c r="X835" s="1711">
        <v>45</v>
      </c>
      <c r="Y835" s="1714" t="s">
        <v>1471</v>
      </c>
      <c r="Z835" s="1713"/>
      <c r="AA835" s="1715">
        <v>6.4000000000000001E-2</v>
      </c>
      <c r="AB835" s="1716" t="s">
        <v>1471</v>
      </c>
      <c r="AC835" s="1717"/>
    </row>
    <row r="836" spans="1:29" ht="30">
      <c r="A836" s="1704" t="s">
        <v>3440</v>
      </c>
      <c r="B836" s="1705" t="s">
        <v>3441</v>
      </c>
      <c r="C836" s="1706"/>
      <c r="D836" s="1707"/>
      <c r="E836" s="1708"/>
      <c r="F836" s="1707"/>
      <c r="G836" s="1709">
        <v>8.9999999999999993E-3</v>
      </c>
      <c r="H836" s="1708" t="s">
        <v>1893</v>
      </c>
      <c r="I836" s="1708"/>
      <c r="J836" s="1707"/>
      <c r="K836" s="1707"/>
      <c r="L836" s="1707"/>
      <c r="M836" s="1708">
        <v>1</v>
      </c>
      <c r="N836" s="1708">
        <v>0.1</v>
      </c>
      <c r="O836" s="1710"/>
      <c r="P836" s="1711">
        <v>570</v>
      </c>
      <c r="Q836" s="1712" t="s">
        <v>1471</v>
      </c>
      <c r="R836" s="1711">
        <v>7400</v>
      </c>
      <c r="S836" s="1712" t="s">
        <v>1471</v>
      </c>
      <c r="T836" s="1712"/>
      <c r="U836" s="1713"/>
      <c r="V836" s="1712"/>
      <c r="W836" s="1713"/>
      <c r="X836" s="1711">
        <v>120</v>
      </c>
      <c r="Y836" s="1714" t="s">
        <v>1471</v>
      </c>
      <c r="Z836" s="1713"/>
      <c r="AA836" s="1715">
        <v>0.22</v>
      </c>
      <c r="AB836" s="1716" t="s">
        <v>1471</v>
      </c>
      <c r="AC836" s="1717"/>
    </row>
    <row r="837" spans="1:29" ht="15">
      <c r="A837" s="1719" t="s">
        <v>3442</v>
      </c>
      <c r="B837" s="1720" t="s">
        <v>3443</v>
      </c>
      <c r="C837" s="1721"/>
      <c r="D837" s="1722"/>
      <c r="E837" s="1723"/>
      <c r="F837" s="1722"/>
      <c r="G837" s="1724">
        <v>2.0000000000000001E-4</v>
      </c>
      <c r="H837" s="1723" t="s">
        <v>1116</v>
      </c>
      <c r="I837" s="1723"/>
      <c r="J837" s="1722"/>
      <c r="K837" s="1722"/>
      <c r="L837" s="1722"/>
      <c r="M837" s="1723">
        <v>1</v>
      </c>
      <c r="N837" s="1723">
        <v>0.1</v>
      </c>
      <c r="O837" s="1725"/>
      <c r="P837" s="1726">
        <v>13</v>
      </c>
      <c r="Q837" s="1727" t="s">
        <v>1471</v>
      </c>
      <c r="R837" s="1726">
        <v>160</v>
      </c>
      <c r="S837" s="1727" t="s">
        <v>1471</v>
      </c>
      <c r="T837" s="1727"/>
      <c r="U837" s="1728"/>
      <c r="V837" s="1727"/>
      <c r="W837" s="1728"/>
      <c r="X837" s="1726">
        <v>0.56999999999999995</v>
      </c>
      <c r="Y837" s="1729" t="s">
        <v>1471</v>
      </c>
      <c r="Z837" s="1728"/>
      <c r="AA837" s="1730">
        <v>2.8E-3</v>
      </c>
      <c r="AB837" s="1731" t="s">
        <v>1471</v>
      </c>
      <c r="AC837" s="1732"/>
    </row>
    <row r="838" spans="1:29" ht="30">
      <c r="A838" s="1704" t="s">
        <v>3444</v>
      </c>
      <c r="B838" s="1705" t="s">
        <v>3445</v>
      </c>
      <c r="C838" s="1736">
        <v>8.9999999999999993E-3</v>
      </c>
      <c r="D838" s="1708" t="s">
        <v>1909</v>
      </c>
      <c r="E838" s="1708"/>
      <c r="F838" s="1707"/>
      <c r="G838" s="1709">
        <v>0.01</v>
      </c>
      <c r="H838" s="1708" t="s">
        <v>1909</v>
      </c>
      <c r="I838" s="1708"/>
      <c r="J838" s="1707"/>
      <c r="K838" s="1707"/>
      <c r="L838" s="1707"/>
      <c r="M838" s="1708">
        <v>1</v>
      </c>
      <c r="N838" s="1708">
        <v>0.1</v>
      </c>
      <c r="O838" s="1710"/>
      <c r="P838" s="1711">
        <v>60</v>
      </c>
      <c r="Q838" s="1712" t="s">
        <v>4127</v>
      </c>
      <c r="R838" s="1711">
        <v>260</v>
      </c>
      <c r="S838" s="1712" t="s">
        <v>4127</v>
      </c>
      <c r="T838" s="1712"/>
      <c r="U838" s="1713"/>
      <c r="V838" s="1712"/>
      <c r="W838" s="1713"/>
      <c r="X838" s="1711">
        <v>5.2</v>
      </c>
      <c r="Y838" s="1714" t="s">
        <v>4127</v>
      </c>
      <c r="Z838" s="1713"/>
      <c r="AA838" s="1715">
        <v>2.5000000000000001E-2</v>
      </c>
      <c r="AB838" s="1716" t="s">
        <v>4127</v>
      </c>
      <c r="AC838" s="1717"/>
    </row>
    <row r="839" spans="1:29" ht="30">
      <c r="A839" s="1704" t="s">
        <v>3446</v>
      </c>
      <c r="B839" s="1705" t="s">
        <v>3447</v>
      </c>
      <c r="C839" s="1706"/>
      <c r="D839" s="1707"/>
      <c r="E839" s="1708"/>
      <c r="F839" s="1707"/>
      <c r="G839" s="1709">
        <v>2.9999999999999997E-4</v>
      </c>
      <c r="H839" s="1708" t="s">
        <v>1909</v>
      </c>
      <c r="I839" s="1708"/>
      <c r="J839" s="1707"/>
      <c r="K839" s="1707"/>
      <c r="L839" s="1707"/>
      <c r="M839" s="1708">
        <v>1</v>
      </c>
      <c r="N839" s="1708">
        <v>0.1</v>
      </c>
      <c r="O839" s="1710"/>
      <c r="P839" s="1711">
        <v>19</v>
      </c>
      <c r="Q839" s="1712" t="s">
        <v>1471</v>
      </c>
      <c r="R839" s="1711">
        <v>250</v>
      </c>
      <c r="S839" s="1712" t="s">
        <v>1471</v>
      </c>
      <c r="T839" s="1712"/>
      <c r="U839" s="1713"/>
      <c r="V839" s="1712"/>
      <c r="W839" s="1713"/>
      <c r="X839" s="1711">
        <v>6</v>
      </c>
      <c r="Y839" s="1714" t="s">
        <v>1471</v>
      </c>
      <c r="Z839" s="1713"/>
      <c r="AA839" s="1716"/>
      <c r="AB839" s="1734"/>
      <c r="AC839" s="1717"/>
    </row>
    <row r="840" spans="1:29" ht="15">
      <c r="A840" s="1719" t="s">
        <v>3448</v>
      </c>
      <c r="B840" s="1720" t="s">
        <v>3449</v>
      </c>
      <c r="C840" s="1721"/>
      <c r="D840" s="1722"/>
      <c r="E840" s="1723"/>
      <c r="F840" s="1722"/>
      <c r="G840" s="1724">
        <v>2.9999999999999997E-4</v>
      </c>
      <c r="H840" s="1723" t="s">
        <v>1119</v>
      </c>
      <c r="I840" s="1723"/>
      <c r="J840" s="1722"/>
      <c r="K840" s="1722"/>
      <c r="L840" s="1722"/>
      <c r="M840" s="1723">
        <v>1</v>
      </c>
      <c r="N840" s="1723">
        <v>0.1</v>
      </c>
      <c r="O840" s="1725"/>
      <c r="P840" s="1726">
        <v>19</v>
      </c>
      <c r="Q840" s="1727" t="s">
        <v>1471</v>
      </c>
      <c r="R840" s="1726">
        <v>250</v>
      </c>
      <c r="S840" s="1727" t="s">
        <v>1471</v>
      </c>
      <c r="T840" s="1727"/>
      <c r="U840" s="1728"/>
      <c r="V840" s="1727"/>
      <c r="W840" s="1728"/>
      <c r="X840" s="1726">
        <v>5.7</v>
      </c>
      <c r="Y840" s="1729" t="s">
        <v>1471</v>
      </c>
      <c r="Z840" s="1728"/>
      <c r="AA840" s="1730">
        <v>290</v>
      </c>
      <c r="AB840" s="1731" t="s">
        <v>1471</v>
      </c>
      <c r="AC840" s="1732"/>
    </row>
    <row r="841" spans="1:29" ht="15">
      <c r="A841" s="1704" t="s">
        <v>3450</v>
      </c>
      <c r="B841" s="1705" t="s">
        <v>3451</v>
      </c>
      <c r="C841" s="1706"/>
      <c r="D841" s="1707"/>
      <c r="E841" s="1708"/>
      <c r="F841" s="1707"/>
      <c r="G841" s="1708"/>
      <c r="H841" s="1707"/>
      <c r="I841" s="1708"/>
      <c r="J841" s="1707"/>
      <c r="K841" s="1707"/>
      <c r="L841" s="1707"/>
      <c r="M841" s="1708">
        <v>1</v>
      </c>
      <c r="N841" s="1708">
        <v>0.1</v>
      </c>
      <c r="O841" s="1710"/>
      <c r="P841" s="1712"/>
      <c r="Q841" s="1713"/>
      <c r="R841" s="1712"/>
      <c r="S841" s="1713"/>
      <c r="T841" s="1712"/>
      <c r="U841" s="1713"/>
      <c r="V841" s="1712"/>
      <c r="W841" s="1713"/>
      <c r="X841" s="1712"/>
      <c r="Y841" s="1733"/>
      <c r="Z841" s="1712" t="s">
        <v>4133</v>
      </c>
      <c r="AA841" s="1716"/>
      <c r="AB841" s="1734"/>
      <c r="AC841" s="1717"/>
    </row>
    <row r="842" spans="1:29" ht="45">
      <c r="A842" s="1704" t="s">
        <v>3452</v>
      </c>
      <c r="B842" s="1705" t="s">
        <v>3453</v>
      </c>
      <c r="C842" s="1706"/>
      <c r="D842" s="1707"/>
      <c r="E842" s="1708"/>
      <c r="F842" s="1707"/>
      <c r="G842" s="1709">
        <v>30</v>
      </c>
      <c r="H842" s="1708" t="s">
        <v>1119</v>
      </c>
      <c r="I842" s="1709">
        <v>5</v>
      </c>
      <c r="J842" s="1708" t="s">
        <v>1909</v>
      </c>
      <c r="K842" s="1708" t="s">
        <v>1127</v>
      </c>
      <c r="L842" s="1707"/>
      <c r="M842" s="1708">
        <v>1</v>
      </c>
      <c r="N842" s="1708"/>
      <c r="O842" s="1718">
        <v>910</v>
      </c>
      <c r="P842" s="1711">
        <v>6700</v>
      </c>
      <c r="Q842" s="1712" t="s">
        <v>4125</v>
      </c>
      <c r="R842" s="1711">
        <v>28000</v>
      </c>
      <c r="S842" s="1712" t="s">
        <v>4125</v>
      </c>
      <c r="T842" s="1711">
        <v>5200</v>
      </c>
      <c r="U842" s="1712" t="s">
        <v>1471</v>
      </c>
      <c r="V842" s="1711">
        <v>22000</v>
      </c>
      <c r="W842" s="1712" t="s">
        <v>1471</v>
      </c>
      <c r="X842" s="1711">
        <v>10000</v>
      </c>
      <c r="Y842" s="1714" t="s">
        <v>1471</v>
      </c>
      <c r="Z842" s="1713"/>
      <c r="AA842" s="1715">
        <v>26</v>
      </c>
      <c r="AB842" s="1716" t="s">
        <v>1471</v>
      </c>
      <c r="AC842" s="1717"/>
    </row>
    <row r="843" spans="1:29" ht="30">
      <c r="A843" s="1719" t="s">
        <v>3454</v>
      </c>
      <c r="B843" s="1720" t="s">
        <v>3455</v>
      </c>
      <c r="C843" s="1737">
        <v>7.0000000000000007E-2</v>
      </c>
      <c r="D843" s="1723" t="s">
        <v>1119</v>
      </c>
      <c r="E843" s="1723"/>
      <c r="F843" s="1722"/>
      <c r="G843" s="1724">
        <v>0.02</v>
      </c>
      <c r="H843" s="1723" t="s">
        <v>1119</v>
      </c>
      <c r="I843" s="1723"/>
      <c r="J843" s="1722"/>
      <c r="K843" s="1722"/>
      <c r="L843" s="1722"/>
      <c r="M843" s="1723">
        <v>1</v>
      </c>
      <c r="N843" s="1723">
        <v>0.1</v>
      </c>
      <c r="O843" s="1725"/>
      <c r="P843" s="1726">
        <v>7.8</v>
      </c>
      <c r="Q843" s="1727" t="s">
        <v>4126</v>
      </c>
      <c r="R843" s="1726">
        <v>33</v>
      </c>
      <c r="S843" s="1727" t="s">
        <v>4126</v>
      </c>
      <c r="T843" s="1727"/>
      <c r="U843" s="1728"/>
      <c r="V843" s="1727"/>
      <c r="W843" s="1728"/>
      <c r="X843" s="1726">
        <v>1.1000000000000001</v>
      </c>
      <c r="Y843" s="1729" t="s">
        <v>4126</v>
      </c>
      <c r="Z843" s="1727" t="s">
        <v>4131</v>
      </c>
      <c r="AA843" s="1730">
        <v>2.2000000000000001E-4</v>
      </c>
      <c r="AB843" s="1731" t="s">
        <v>4126</v>
      </c>
      <c r="AC843" s="1739">
        <v>1.2E-2</v>
      </c>
    </row>
    <row r="844" spans="1:29" ht="30">
      <c r="A844" s="1704" t="s">
        <v>3456</v>
      </c>
      <c r="B844" s="1705" t="s">
        <v>3457</v>
      </c>
      <c r="C844" s="1736">
        <v>2.9000000000000001E-2</v>
      </c>
      <c r="D844" s="1708" t="s">
        <v>1073</v>
      </c>
      <c r="E844" s="1708"/>
      <c r="F844" s="1707"/>
      <c r="G844" s="1708"/>
      <c r="H844" s="1707"/>
      <c r="I844" s="1708"/>
      <c r="J844" s="1707"/>
      <c r="K844" s="1707"/>
      <c r="L844" s="1707"/>
      <c r="M844" s="1708">
        <v>1</v>
      </c>
      <c r="N844" s="1708">
        <v>0.1</v>
      </c>
      <c r="O844" s="1710"/>
      <c r="P844" s="1711">
        <v>19</v>
      </c>
      <c r="Q844" s="1712" t="s">
        <v>4126</v>
      </c>
      <c r="R844" s="1711">
        <v>79</v>
      </c>
      <c r="S844" s="1712" t="s">
        <v>4126</v>
      </c>
      <c r="T844" s="1712"/>
      <c r="U844" s="1713"/>
      <c r="V844" s="1712"/>
      <c r="W844" s="1713"/>
      <c r="X844" s="1711">
        <v>2.7</v>
      </c>
      <c r="Y844" s="1714" t="s">
        <v>4126</v>
      </c>
      <c r="Z844" s="1713"/>
      <c r="AA844" s="1715">
        <v>7.4000000000000003E-3</v>
      </c>
      <c r="AB844" s="1716" t="s">
        <v>4126</v>
      </c>
      <c r="AC844" s="1717"/>
    </row>
    <row r="845" spans="1:29" ht="30">
      <c r="A845" s="1704" t="s">
        <v>3458</v>
      </c>
      <c r="B845" s="1705" t="s">
        <v>3459</v>
      </c>
      <c r="C845" s="1736">
        <v>7.0000000000000001E-3</v>
      </c>
      <c r="D845" s="1708" t="s">
        <v>1893</v>
      </c>
      <c r="E845" s="1708"/>
      <c r="F845" s="1707"/>
      <c r="G845" s="1709">
        <v>3.0000000000000001E-5</v>
      </c>
      <c r="H845" s="1708" t="s">
        <v>1893</v>
      </c>
      <c r="I845" s="1708"/>
      <c r="J845" s="1707"/>
      <c r="K845" s="1707"/>
      <c r="L845" s="1707"/>
      <c r="M845" s="1708">
        <v>1</v>
      </c>
      <c r="N845" s="1708">
        <v>0.1</v>
      </c>
      <c r="O845" s="1710"/>
      <c r="P845" s="1711">
        <v>1.9</v>
      </c>
      <c r="Q845" s="1712" t="s">
        <v>1471</v>
      </c>
      <c r="R845" s="1711">
        <v>25</v>
      </c>
      <c r="S845" s="1712" t="s">
        <v>1471</v>
      </c>
      <c r="T845" s="1712"/>
      <c r="U845" s="1713"/>
      <c r="V845" s="1712"/>
      <c r="W845" s="1713"/>
      <c r="X845" s="1711">
        <v>0.4</v>
      </c>
      <c r="Y845" s="1714" t="s">
        <v>1471</v>
      </c>
      <c r="Z845" s="1713"/>
      <c r="AA845" s="1715">
        <v>3.5999999999999999E-3</v>
      </c>
      <c r="AB845" s="1716" t="s">
        <v>1471</v>
      </c>
      <c r="AC845" s="1717"/>
    </row>
    <row r="846" spans="1:29" ht="30">
      <c r="A846" s="1719" t="s">
        <v>3460</v>
      </c>
      <c r="B846" s="1720" t="s">
        <v>3461</v>
      </c>
      <c r="C846" s="1721"/>
      <c r="D846" s="1722"/>
      <c r="E846" s="1723"/>
      <c r="F846" s="1722"/>
      <c r="G846" s="1724">
        <v>8.0000000000000004E-4</v>
      </c>
      <c r="H846" s="1723" t="s">
        <v>1893</v>
      </c>
      <c r="I846" s="1723"/>
      <c r="J846" s="1722"/>
      <c r="K846" s="1723" t="s">
        <v>1127</v>
      </c>
      <c r="L846" s="1722"/>
      <c r="M846" s="1723">
        <v>1</v>
      </c>
      <c r="N846" s="1723"/>
      <c r="O846" s="1725"/>
      <c r="P846" s="1726">
        <v>63</v>
      </c>
      <c r="Q846" s="1727" t="s">
        <v>1471</v>
      </c>
      <c r="R846" s="1726">
        <v>930</v>
      </c>
      <c r="S846" s="1727" t="s">
        <v>1471</v>
      </c>
      <c r="T846" s="1727"/>
      <c r="U846" s="1728"/>
      <c r="V846" s="1727"/>
      <c r="W846" s="1728"/>
      <c r="X846" s="1726">
        <v>7</v>
      </c>
      <c r="Y846" s="1729" t="s">
        <v>1471</v>
      </c>
      <c r="Z846" s="1728"/>
      <c r="AA846" s="1730">
        <v>2.1000000000000001E-2</v>
      </c>
      <c r="AB846" s="1731" t="s">
        <v>1471</v>
      </c>
      <c r="AC846" s="1732"/>
    </row>
    <row r="847" spans="1:29" ht="30">
      <c r="A847" s="1704" t="s">
        <v>326</v>
      </c>
      <c r="B847" s="1705" t="s">
        <v>3462</v>
      </c>
      <c r="C847" s="1736">
        <v>2.9000000000000001E-2</v>
      </c>
      <c r="D847" s="1708" t="s">
        <v>1909</v>
      </c>
      <c r="E847" s="1708"/>
      <c r="F847" s="1707"/>
      <c r="G847" s="1709">
        <v>0.01</v>
      </c>
      <c r="H847" s="1708" t="s">
        <v>1119</v>
      </c>
      <c r="I847" s="1709">
        <v>2E-3</v>
      </c>
      <c r="J847" s="1708" t="s">
        <v>1909</v>
      </c>
      <c r="K847" s="1708" t="s">
        <v>1127</v>
      </c>
      <c r="L847" s="1707"/>
      <c r="M847" s="1708">
        <v>1</v>
      </c>
      <c r="N847" s="1708"/>
      <c r="O847" s="1718">
        <v>404</v>
      </c>
      <c r="P847" s="1711">
        <v>24</v>
      </c>
      <c r="Q847" s="1712" t="s">
        <v>4122</v>
      </c>
      <c r="R847" s="1711">
        <v>110</v>
      </c>
      <c r="S847" s="1712" t="s">
        <v>4122</v>
      </c>
      <c r="T847" s="1711">
        <v>2.1</v>
      </c>
      <c r="U847" s="1712" t="s">
        <v>1471</v>
      </c>
      <c r="V847" s="1711">
        <v>8.8000000000000007</v>
      </c>
      <c r="W847" s="1712" t="s">
        <v>1471</v>
      </c>
      <c r="X847" s="1711">
        <v>1.2</v>
      </c>
      <c r="Y847" s="1714" t="s">
        <v>4122</v>
      </c>
      <c r="Z847" s="1711">
        <v>70</v>
      </c>
      <c r="AA847" s="1715">
        <v>3.3999999999999998E-3</v>
      </c>
      <c r="AB847" s="1716" t="s">
        <v>4122</v>
      </c>
      <c r="AC847" s="1738">
        <v>0.2</v>
      </c>
    </row>
    <row r="848" spans="1:29" ht="30">
      <c r="A848" s="1704" t="s">
        <v>328</v>
      </c>
      <c r="B848" s="1705" t="s">
        <v>3463</v>
      </c>
      <c r="C848" s="1706"/>
      <c r="D848" s="1707"/>
      <c r="E848" s="1708"/>
      <c r="F848" s="1707"/>
      <c r="G848" s="1709">
        <v>2</v>
      </c>
      <c r="H848" s="1708" t="s">
        <v>1119</v>
      </c>
      <c r="I848" s="1709">
        <v>5</v>
      </c>
      <c r="J848" s="1708" t="s">
        <v>1119</v>
      </c>
      <c r="K848" s="1708" t="s">
        <v>1127</v>
      </c>
      <c r="L848" s="1707"/>
      <c r="M848" s="1708">
        <v>1</v>
      </c>
      <c r="N848" s="1708"/>
      <c r="O848" s="1718">
        <v>640</v>
      </c>
      <c r="P848" s="1711">
        <v>8100</v>
      </c>
      <c r="Q848" s="1712" t="s">
        <v>4125</v>
      </c>
      <c r="R848" s="1711">
        <v>36000</v>
      </c>
      <c r="S848" s="1712" t="s">
        <v>4125</v>
      </c>
      <c r="T848" s="1711">
        <v>5200</v>
      </c>
      <c r="U848" s="1712" t="s">
        <v>1471</v>
      </c>
      <c r="V848" s="1711">
        <v>22000</v>
      </c>
      <c r="W848" s="1712" t="s">
        <v>1471</v>
      </c>
      <c r="X848" s="1711">
        <v>8000</v>
      </c>
      <c r="Y848" s="1714" t="s">
        <v>1471</v>
      </c>
      <c r="Z848" s="1711">
        <v>200</v>
      </c>
      <c r="AA848" s="1715">
        <v>2.8</v>
      </c>
      <c r="AB848" s="1716" t="s">
        <v>1471</v>
      </c>
      <c r="AC848" s="1738">
        <v>7.0000000000000007E-2</v>
      </c>
    </row>
    <row r="849" spans="1:29" ht="30">
      <c r="A849" s="1719" t="s">
        <v>330</v>
      </c>
      <c r="B849" s="1720" t="s">
        <v>3464</v>
      </c>
      <c r="C849" s="1737">
        <v>5.7000000000000002E-2</v>
      </c>
      <c r="D849" s="1723" t="s">
        <v>1119</v>
      </c>
      <c r="E849" s="1724">
        <v>1.5999999999999999E-5</v>
      </c>
      <c r="F849" s="1723" t="s">
        <v>1119</v>
      </c>
      <c r="G849" s="1724">
        <v>4.0000000000000001E-3</v>
      </c>
      <c r="H849" s="1723" t="s">
        <v>1119</v>
      </c>
      <c r="I849" s="1724">
        <v>2.0000000000000001E-4</v>
      </c>
      <c r="J849" s="1723" t="s">
        <v>1893</v>
      </c>
      <c r="K849" s="1723" t="s">
        <v>1127</v>
      </c>
      <c r="L849" s="1722"/>
      <c r="M849" s="1723">
        <v>1</v>
      </c>
      <c r="N849" s="1723"/>
      <c r="O849" s="1735">
        <v>2160</v>
      </c>
      <c r="P849" s="1726">
        <v>1.1000000000000001</v>
      </c>
      <c r="Q849" s="1727" t="s">
        <v>4122</v>
      </c>
      <c r="R849" s="1726">
        <v>5</v>
      </c>
      <c r="S849" s="1727" t="s">
        <v>4122</v>
      </c>
      <c r="T849" s="1726">
        <v>0.18</v>
      </c>
      <c r="U849" s="1727" t="s">
        <v>4122</v>
      </c>
      <c r="V849" s="1726">
        <v>0.77</v>
      </c>
      <c r="W849" s="1727" t="s">
        <v>4122</v>
      </c>
      <c r="X849" s="1726">
        <v>0.28000000000000003</v>
      </c>
      <c r="Y849" s="1729" t="s">
        <v>4122</v>
      </c>
      <c r="Z849" s="1726">
        <v>5</v>
      </c>
      <c r="AA849" s="1730">
        <v>8.8999999999999995E-5</v>
      </c>
      <c r="AB849" s="1731" t="s">
        <v>4122</v>
      </c>
      <c r="AC849" s="1739">
        <v>1.6000000000000001E-3</v>
      </c>
    </row>
    <row r="850" spans="1:29" ht="15">
      <c r="A850" s="1704" t="s">
        <v>332</v>
      </c>
      <c r="B850" s="1705" t="s">
        <v>3465</v>
      </c>
      <c r="C850" s="1736">
        <v>4.5999999999999999E-2</v>
      </c>
      <c r="D850" s="1708" t="s">
        <v>1119</v>
      </c>
      <c r="E850" s="1709">
        <v>4.0999999999999997E-6</v>
      </c>
      <c r="F850" s="1708" t="s">
        <v>1119</v>
      </c>
      <c r="G850" s="1709">
        <v>5.0000000000000001E-4</v>
      </c>
      <c r="H850" s="1708" t="s">
        <v>1119</v>
      </c>
      <c r="I850" s="1709">
        <v>2E-3</v>
      </c>
      <c r="J850" s="1708" t="s">
        <v>1119</v>
      </c>
      <c r="K850" s="1708" t="s">
        <v>1127</v>
      </c>
      <c r="L850" s="1708" t="s">
        <v>1906</v>
      </c>
      <c r="M850" s="1708">
        <v>1</v>
      </c>
      <c r="N850" s="1708"/>
      <c r="O850" s="1718">
        <v>692</v>
      </c>
      <c r="P850" s="1711">
        <v>0.94</v>
      </c>
      <c r="Q850" s="1712" t="s">
        <v>4122</v>
      </c>
      <c r="R850" s="1711">
        <v>6</v>
      </c>
      <c r="S850" s="1712" t="s">
        <v>4122</v>
      </c>
      <c r="T850" s="1711">
        <v>0.48</v>
      </c>
      <c r="U850" s="1712" t="s">
        <v>4122</v>
      </c>
      <c r="V850" s="1711">
        <v>3</v>
      </c>
      <c r="W850" s="1712" t="s">
        <v>4122</v>
      </c>
      <c r="X850" s="1711">
        <v>0.49</v>
      </c>
      <c r="Y850" s="1714" t="s">
        <v>4122</v>
      </c>
      <c r="Z850" s="1711">
        <v>5</v>
      </c>
      <c r="AA850" s="1715">
        <v>1.8000000000000001E-4</v>
      </c>
      <c r="AB850" s="1716" t="s">
        <v>4122</v>
      </c>
      <c r="AC850" s="1738">
        <v>1.8E-3</v>
      </c>
    </row>
    <row r="851" spans="1:29" ht="30">
      <c r="A851" s="1704" t="s">
        <v>3466</v>
      </c>
      <c r="B851" s="1705" t="s">
        <v>3467</v>
      </c>
      <c r="C851" s="1706"/>
      <c r="D851" s="1707"/>
      <c r="E851" s="1708"/>
      <c r="F851" s="1707"/>
      <c r="G851" s="1709">
        <v>0.3</v>
      </c>
      <c r="H851" s="1708" t="s">
        <v>1119</v>
      </c>
      <c r="I851" s="1708"/>
      <c r="J851" s="1707"/>
      <c r="K851" s="1708" t="s">
        <v>1127</v>
      </c>
      <c r="L851" s="1707"/>
      <c r="M851" s="1708">
        <v>1</v>
      </c>
      <c r="N851" s="1708"/>
      <c r="O851" s="1718">
        <v>1230</v>
      </c>
      <c r="P851" s="1711">
        <v>23000</v>
      </c>
      <c r="Q851" s="1712" t="s">
        <v>4125</v>
      </c>
      <c r="R851" s="1711">
        <v>350000</v>
      </c>
      <c r="S851" s="1712" t="s">
        <v>4123</v>
      </c>
      <c r="T851" s="1712"/>
      <c r="U851" s="1713"/>
      <c r="V851" s="1712"/>
      <c r="W851" s="1713"/>
      <c r="X851" s="1711">
        <v>5200</v>
      </c>
      <c r="Y851" s="1714" t="s">
        <v>1471</v>
      </c>
      <c r="Z851" s="1713"/>
      <c r="AA851" s="1715">
        <v>3.3</v>
      </c>
      <c r="AB851" s="1716" t="s">
        <v>1471</v>
      </c>
      <c r="AC851" s="1717"/>
    </row>
    <row r="852" spans="1:29" ht="30">
      <c r="A852" s="1719" t="s">
        <v>334</v>
      </c>
      <c r="B852" s="1720" t="s">
        <v>3468</v>
      </c>
      <c r="C852" s="1721"/>
      <c r="D852" s="1722"/>
      <c r="E852" s="1723"/>
      <c r="F852" s="1722"/>
      <c r="G852" s="1724">
        <v>0.1</v>
      </c>
      <c r="H852" s="1723" t="s">
        <v>1119</v>
      </c>
      <c r="I852" s="1723"/>
      <c r="J852" s="1722"/>
      <c r="K852" s="1722"/>
      <c r="L852" s="1722"/>
      <c r="M852" s="1723">
        <v>1</v>
      </c>
      <c r="N852" s="1723">
        <v>0.1</v>
      </c>
      <c r="O852" s="1725"/>
      <c r="P852" s="1726">
        <v>6300</v>
      </c>
      <c r="Q852" s="1727" t="s">
        <v>1471</v>
      </c>
      <c r="R852" s="1726">
        <v>82000</v>
      </c>
      <c r="S852" s="1727" t="s">
        <v>1471</v>
      </c>
      <c r="T852" s="1727"/>
      <c r="U852" s="1728"/>
      <c r="V852" s="1727"/>
      <c r="W852" s="1728"/>
      <c r="X852" s="1726">
        <v>1200</v>
      </c>
      <c r="Y852" s="1729" t="s">
        <v>1471</v>
      </c>
      <c r="Z852" s="1728"/>
      <c r="AA852" s="1730">
        <v>4</v>
      </c>
      <c r="AB852" s="1731" t="s">
        <v>1471</v>
      </c>
      <c r="AC852" s="1732"/>
    </row>
    <row r="853" spans="1:29" ht="30">
      <c r="A853" s="1704" t="s">
        <v>336</v>
      </c>
      <c r="B853" s="1705" t="s">
        <v>3469</v>
      </c>
      <c r="C853" s="1736">
        <v>1.0999999999999999E-2</v>
      </c>
      <c r="D853" s="1708" t="s">
        <v>1119</v>
      </c>
      <c r="E853" s="1709">
        <v>3.1E-6</v>
      </c>
      <c r="F853" s="1708" t="s">
        <v>1119</v>
      </c>
      <c r="G853" s="1709">
        <v>1E-3</v>
      </c>
      <c r="H853" s="1708" t="s">
        <v>1909</v>
      </c>
      <c r="I853" s="1708"/>
      <c r="J853" s="1707"/>
      <c r="K853" s="1707"/>
      <c r="L853" s="1707"/>
      <c r="M853" s="1708">
        <v>1</v>
      </c>
      <c r="N853" s="1708">
        <v>0.1</v>
      </c>
      <c r="O853" s="1710"/>
      <c r="P853" s="1711">
        <v>49</v>
      </c>
      <c r="Q853" s="1712" t="s">
        <v>4122</v>
      </c>
      <c r="R853" s="1711">
        <v>210</v>
      </c>
      <c r="S853" s="1712" t="s">
        <v>4122</v>
      </c>
      <c r="T853" s="1711">
        <v>0.91</v>
      </c>
      <c r="U853" s="1712" t="s">
        <v>4126</v>
      </c>
      <c r="V853" s="1711">
        <v>4</v>
      </c>
      <c r="W853" s="1712" t="s">
        <v>4126</v>
      </c>
      <c r="X853" s="1711">
        <v>4.0999999999999996</v>
      </c>
      <c r="Y853" s="1714" t="s">
        <v>4122</v>
      </c>
      <c r="Z853" s="1713"/>
      <c r="AA853" s="1715">
        <v>4.0000000000000001E-3</v>
      </c>
      <c r="AB853" s="1716" t="s">
        <v>4122</v>
      </c>
      <c r="AC853" s="1717"/>
    </row>
    <row r="854" spans="1:29" ht="30">
      <c r="A854" s="1704" t="s">
        <v>3470</v>
      </c>
      <c r="B854" s="1705" t="s">
        <v>3471</v>
      </c>
      <c r="C854" s="1706"/>
      <c r="D854" s="1707"/>
      <c r="E854" s="1708"/>
      <c r="F854" s="1707"/>
      <c r="G854" s="1709">
        <v>0.01</v>
      </c>
      <c r="H854" s="1708" t="s">
        <v>1119</v>
      </c>
      <c r="I854" s="1708"/>
      <c r="J854" s="1707"/>
      <c r="K854" s="1707"/>
      <c r="L854" s="1707"/>
      <c r="M854" s="1708">
        <v>1</v>
      </c>
      <c r="N854" s="1708">
        <v>0.1</v>
      </c>
      <c r="O854" s="1710"/>
      <c r="P854" s="1711">
        <v>630</v>
      </c>
      <c r="Q854" s="1712" t="s">
        <v>1471</v>
      </c>
      <c r="R854" s="1711">
        <v>8200</v>
      </c>
      <c r="S854" s="1712" t="s">
        <v>1471</v>
      </c>
      <c r="T854" s="1712"/>
      <c r="U854" s="1713"/>
      <c r="V854" s="1712"/>
      <c r="W854" s="1713"/>
      <c r="X854" s="1711">
        <v>160</v>
      </c>
      <c r="Y854" s="1714" t="s">
        <v>1471</v>
      </c>
      <c r="Z854" s="1713"/>
      <c r="AA854" s="1715">
        <v>6.8000000000000005E-2</v>
      </c>
      <c r="AB854" s="1716" t="s">
        <v>1471</v>
      </c>
      <c r="AC854" s="1717"/>
    </row>
    <row r="855" spans="1:29" ht="45">
      <c r="A855" s="1719" t="s">
        <v>3472</v>
      </c>
      <c r="B855" s="1720" t="s">
        <v>3473</v>
      </c>
      <c r="C855" s="1721"/>
      <c r="D855" s="1722"/>
      <c r="E855" s="1723"/>
      <c r="F855" s="1722"/>
      <c r="G855" s="1724">
        <v>8.0000000000000002E-3</v>
      </c>
      <c r="H855" s="1723" t="s">
        <v>1119</v>
      </c>
      <c r="I855" s="1723"/>
      <c r="J855" s="1722"/>
      <c r="K855" s="1722"/>
      <c r="L855" s="1722"/>
      <c r="M855" s="1723">
        <v>1</v>
      </c>
      <c r="N855" s="1723">
        <v>0.1</v>
      </c>
      <c r="O855" s="1725"/>
      <c r="P855" s="1726">
        <v>510</v>
      </c>
      <c r="Q855" s="1727" t="s">
        <v>1471</v>
      </c>
      <c r="R855" s="1726">
        <v>6600</v>
      </c>
      <c r="S855" s="1727" t="s">
        <v>1471</v>
      </c>
      <c r="T855" s="1727"/>
      <c r="U855" s="1728"/>
      <c r="V855" s="1727"/>
      <c r="W855" s="1728"/>
      <c r="X855" s="1726">
        <v>110</v>
      </c>
      <c r="Y855" s="1729" t="s">
        <v>1471</v>
      </c>
      <c r="Z855" s="1726">
        <v>50</v>
      </c>
      <c r="AA855" s="1730">
        <v>6.0999999999999999E-2</v>
      </c>
      <c r="AB855" s="1731" t="s">
        <v>1471</v>
      </c>
      <c r="AC855" s="1739">
        <v>2.8000000000000001E-2</v>
      </c>
    </row>
    <row r="856" spans="1:29" ht="30">
      <c r="A856" s="1704" t="s">
        <v>3474</v>
      </c>
      <c r="B856" s="1705" t="s">
        <v>3475</v>
      </c>
      <c r="C856" s="1706"/>
      <c r="D856" s="1707"/>
      <c r="E856" s="1708"/>
      <c r="F856" s="1707"/>
      <c r="G856" s="1709">
        <v>5.0000000000000001E-3</v>
      </c>
      <c r="H856" s="1708" t="s">
        <v>1119</v>
      </c>
      <c r="I856" s="1708"/>
      <c r="J856" s="1707"/>
      <c r="K856" s="1708" t="s">
        <v>1127</v>
      </c>
      <c r="L856" s="1707"/>
      <c r="M856" s="1708">
        <v>1</v>
      </c>
      <c r="N856" s="1708"/>
      <c r="O856" s="1718">
        <v>1280</v>
      </c>
      <c r="P856" s="1711">
        <v>390</v>
      </c>
      <c r="Q856" s="1712" t="s">
        <v>1471</v>
      </c>
      <c r="R856" s="1711">
        <v>5800</v>
      </c>
      <c r="S856" s="1712" t="s">
        <v>4125</v>
      </c>
      <c r="T856" s="1712"/>
      <c r="U856" s="1713"/>
      <c r="V856" s="1712"/>
      <c r="W856" s="1713"/>
      <c r="X856" s="1711">
        <v>88</v>
      </c>
      <c r="Y856" s="1714" t="s">
        <v>1471</v>
      </c>
      <c r="Z856" s="1713"/>
      <c r="AA856" s="1715">
        <v>3.5000000000000003E-2</v>
      </c>
      <c r="AB856" s="1716" t="s">
        <v>1471</v>
      </c>
      <c r="AC856" s="1717"/>
    </row>
    <row r="857" spans="1:29" ht="30">
      <c r="A857" s="1704" t="s">
        <v>338</v>
      </c>
      <c r="B857" s="1705" t="s">
        <v>3476</v>
      </c>
      <c r="C857" s="1736">
        <v>30</v>
      </c>
      <c r="D857" s="1708" t="s">
        <v>1119</v>
      </c>
      <c r="E857" s="1708"/>
      <c r="F857" s="1707"/>
      <c r="G857" s="1709">
        <v>4.0000000000000001E-3</v>
      </c>
      <c r="H857" s="1708" t="s">
        <v>1119</v>
      </c>
      <c r="I857" s="1709">
        <v>2.9999999999999997E-4</v>
      </c>
      <c r="J857" s="1708" t="s">
        <v>1119</v>
      </c>
      <c r="K857" s="1708" t="s">
        <v>1127</v>
      </c>
      <c r="L857" s="1708" t="s">
        <v>1906</v>
      </c>
      <c r="M857" s="1708">
        <v>1</v>
      </c>
      <c r="N857" s="1708"/>
      <c r="O857" s="1718">
        <v>1400</v>
      </c>
      <c r="P857" s="1711">
        <v>5.1000000000000004E-3</v>
      </c>
      <c r="Q857" s="1712" t="s">
        <v>4126</v>
      </c>
      <c r="R857" s="1711">
        <v>0.11</v>
      </c>
      <c r="S857" s="1712" t="s">
        <v>4126</v>
      </c>
      <c r="T857" s="1711">
        <v>0.31</v>
      </c>
      <c r="U857" s="1712" t="s">
        <v>1471</v>
      </c>
      <c r="V857" s="1711">
        <v>1.3</v>
      </c>
      <c r="W857" s="1712" t="s">
        <v>1471</v>
      </c>
      <c r="X857" s="1711">
        <v>7.5000000000000002E-4</v>
      </c>
      <c r="Y857" s="1714" t="s">
        <v>4126</v>
      </c>
      <c r="Z857" s="1713"/>
      <c r="AA857" s="1715">
        <v>3.2000000000000001E-7</v>
      </c>
      <c r="AB857" s="1716" t="s">
        <v>4126</v>
      </c>
      <c r="AC857" s="1717"/>
    </row>
    <row r="858" spans="1:29" ht="30">
      <c r="A858" s="1719" t="s">
        <v>3477</v>
      </c>
      <c r="B858" s="1720" t="s">
        <v>3478</v>
      </c>
      <c r="C858" s="1721"/>
      <c r="D858" s="1722"/>
      <c r="E858" s="1723"/>
      <c r="F858" s="1722"/>
      <c r="G858" s="1724">
        <v>3.0000000000000001E-3</v>
      </c>
      <c r="H858" s="1723" t="s">
        <v>1893</v>
      </c>
      <c r="I858" s="1724">
        <v>2.9999999999999997E-4</v>
      </c>
      <c r="J858" s="1723" t="s">
        <v>1909</v>
      </c>
      <c r="K858" s="1723" t="s">
        <v>1127</v>
      </c>
      <c r="L858" s="1722"/>
      <c r="M858" s="1723">
        <v>1</v>
      </c>
      <c r="N858" s="1723"/>
      <c r="O858" s="1735">
        <v>311</v>
      </c>
      <c r="P858" s="1726">
        <v>0.73</v>
      </c>
      <c r="Q858" s="1727" t="s">
        <v>1471</v>
      </c>
      <c r="R858" s="1726">
        <v>3.1</v>
      </c>
      <c r="S858" s="1727" t="s">
        <v>1471</v>
      </c>
      <c r="T858" s="1726">
        <v>0.31</v>
      </c>
      <c r="U858" s="1727" t="s">
        <v>1471</v>
      </c>
      <c r="V858" s="1726">
        <v>1.3</v>
      </c>
      <c r="W858" s="1727" t="s">
        <v>1471</v>
      </c>
      <c r="X858" s="1726">
        <v>0.62</v>
      </c>
      <c r="Y858" s="1729" t="s">
        <v>1471</v>
      </c>
      <c r="Z858" s="1728"/>
      <c r="AA858" s="1730">
        <v>3.1E-4</v>
      </c>
      <c r="AB858" s="1731" t="s">
        <v>1471</v>
      </c>
      <c r="AC858" s="1732"/>
    </row>
    <row r="859" spans="1:29" ht="30">
      <c r="A859" s="1704" t="s">
        <v>3479</v>
      </c>
      <c r="B859" s="1705" t="s">
        <v>3480</v>
      </c>
      <c r="C859" s="1706"/>
      <c r="D859" s="1707"/>
      <c r="E859" s="1708"/>
      <c r="F859" s="1707"/>
      <c r="G859" s="1709">
        <v>0.02</v>
      </c>
      <c r="H859" s="1708" t="s">
        <v>1960</v>
      </c>
      <c r="I859" s="1708"/>
      <c r="J859" s="1707"/>
      <c r="K859" s="1707"/>
      <c r="L859" s="1707"/>
      <c r="M859" s="1708">
        <v>1</v>
      </c>
      <c r="N859" s="1708">
        <v>0.1</v>
      </c>
      <c r="O859" s="1710"/>
      <c r="P859" s="1711">
        <v>1300</v>
      </c>
      <c r="Q859" s="1712" t="s">
        <v>1471</v>
      </c>
      <c r="R859" s="1711">
        <v>16000</v>
      </c>
      <c r="S859" s="1712" t="s">
        <v>1471</v>
      </c>
      <c r="T859" s="1712"/>
      <c r="U859" s="1713"/>
      <c r="V859" s="1712"/>
      <c r="W859" s="1713"/>
      <c r="X859" s="1711">
        <v>160</v>
      </c>
      <c r="Y859" s="1714" t="s">
        <v>1471</v>
      </c>
      <c r="Z859" s="1713"/>
      <c r="AA859" s="1715">
        <v>15</v>
      </c>
      <c r="AB859" s="1716" t="s">
        <v>1471</v>
      </c>
      <c r="AC859" s="1717"/>
    </row>
    <row r="860" spans="1:29" ht="15">
      <c r="A860" s="1704" t="s">
        <v>3481</v>
      </c>
      <c r="B860" s="1705" t="s">
        <v>3482</v>
      </c>
      <c r="C860" s="1706"/>
      <c r="D860" s="1707"/>
      <c r="E860" s="1708"/>
      <c r="F860" s="1707"/>
      <c r="G860" s="1709">
        <v>3.0000000000000001E-3</v>
      </c>
      <c r="H860" s="1708" t="s">
        <v>1119</v>
      </c>
      <c r="I860" s="1708"/>
      <c r="J860" s="1707"/>
      <c r="K860" s="1707"/>
      <c r="L860" s="1707"/>
      <c r="M860" s="1708">
        <v>1</v>
      </c>
      <c r="N860" s="1708">
        <v>0.1</v>
      </c>
      <c r="O860" s="1710"/>
      <c r="P860" s="1711">
        <v>190</v>
      </c>
      <c r="Q860" s="1712" t="s">
        <v>1471</v>
      </c>
      <c r="R860" s="1711">
        <v>2500</v>
      </c>
      <c r="S860" s="1712" t="s">
        <v>1471</v>
      </c>
      <c r="T860" s="1712"/>
      <c r="U860" s="1713"/>
      <c r="V860" s="1712"/>
      <c r="W860" s="1713"/>
      <c r="X860" s="1711">
        <v>18</v>
      </c>
      <c r="Y860" s="1714" t="s">
        <v>1471</v>
      </c>
      <c r="Z860" s="1713"/>
      <c r="AA860" s="1715">
        <v>0.13</v>
      </c>
      <c r="AB860" s="1716" t="s">
        <v>1471</v>
      </c>
      <c r="AC860" s="1717"/>
    </row>
    <row r="861" spans="1:29" ht="15">
      <c r="A861" s="1719" t="s">
        <v>3483</v>
      </c>
      <c r="B861" s="1720" t="s">
        <v>3484</v>
      </c>
      <c r="C861" s="1721"/>
      <c r="D861" s="1722"/>
      <c r="E861" s="1723"/>
      <c r="F861" s="1722"/>
      <c r="G861" s="1723"/>
      <c r="H861" s="1722"/>
      <c r="I861" s="1724">
        <v>7.0000000000000001E-3</v>
      </c>
      <c r="J861" s="1723" t="s">
        <v>1119</v>
      </c>
      <c r="K861" s="1723" t="s">
        <v>1127</v>
      </c>
      <c r="L861" s="1722"/>
      <c r="M861" s="1723">
        <v>1</v>
      </c>
      <c r="N861" s="1723"/>
      <c r="O861" s="1735">
        <v>27900</v>
      </c>
      <c r="P861" s="1726">
        <v>120</v>
      </c>
      <c r="Q861" s="1727" t="s">
        <v>1471</v>
      </c>
      <c r="R861" s="1726">
        <v>480</v>
      </c>
      <c r="S861" s="1727" t="s">
        <v>1471</v>
      </c>
      <c r="T861" s="1726">
        <v>7.3</v>
      </c>
      <c r="U861" s="1727" t="s">
        <v>1471</v>
      </c>
      <c r="V861" s="1726">
        <v>31</v>
      </c>
      <c r="W861" s="1727" t="s">
        <v>1471</v>
      </c>
      <c r="X861" s="1726">
        <v>15</v>
      </c>
      <c r="Y861" s="1729" t="s">
        <v>1471</v>
      </c>
      <c r="Z861" s="1728"/>
      <c r="AA861" s="1730">
        <v>4.4000000000000003E-3</v>
      </c>
      <c r="AB861" s="1731" t="s">
        <v>1471</v>
      </c>
      <c r="AC861" s="1732"/>
    </row>
    <row r="862" spans="1:29" ht="15">
      <c r="A862" s="1704" t="s">
        <v>3485</v>
      </c>
      <c r="B862" s="1705" t="s">
        <v>3486</v>
      </c>
      <c r="C862" s="1706"/>
      <c r="D862" s="1707"/>
      <c r="E862" s="1708"/>
      <c r="F862" s="1707"/>
      <c r="G862" s="1709">
        <v>2</v>
      </c>
      <c r="H862" s="1708" t="s">
        <v>1909</v>
      </c>
      <c r="I862" s="1708"/>
      <c r="J862" s="1707"/>
      <c r="K862" s="1707"/>
      <c r="L862" s="1707"/>
      <c r="M862" s="1708">
        <v>1</v>
      </c>
      <c r="N862" s="1708">
        <v>0.1</v>
      </c>
      <c r="O862" s="1710"/>
      <c r="P862" s="1711">
        <v>130000</v>
      </c>
      <c r="Q862" s="1712" t="s">
        <v>4124</v>
      </c>
      <c r="R862" s="1711">
        <v>1600000</v>
      </c>
      <c r="S862" s="1712" t="s">
        <v>4124</v>
      </c>
      <c r="T862" s="1712"/>
      <c r="U862" s="1713"/>
      <c r="V862" s="1712"/>
      <c r="W862" s="1713"/>
      <c r="X862" s="1711">
        <v>40000</v>
      </c>
      <c r="Y862" s="1714" t="s">
        <v>1471</v>
      </c>
      <c r="Z862" s="1713"/>
      <c r="AA862" s="1715">
        <v>8.8000000000000007</v>
      </c>
      <c r="AB862" s="1716" t="s">
        <v>1471</v>
      </c>
      <c r="AC862" s="1717"/>
    </row>
    <row r="863" spans="1:29" ht="30">
      <c r="A863" s="1704" t="s">
        <v>3487</v>
      </c>
      <c r="B863" s="1705" t="s">
        <v>3488</v>
      </c>
      <c r="C863" s="1706"/>
      <c r="D863" s="1707"/>
      <c r="E863" s="1708"/>
      <c r="F863" s="1707"/>
      <c r="G863" s="1708"/>
      <c r="H863" s="1707"/>
      <c r="I863" s="1709">
        <v>20</v>
      </c>
      <c r="J863" s="1708" t="s">
        <v>1909</v>
      </c>
      <c r="K863" s="1708" t="s">
        <v>1127</v>
      </c>
      <c r="L863" s="1707"/>
      <c r="M863" s="1708">
        <v>1</v>
      </c>
      <c r="N863" s="1708"/>
      <c r="O863" s="1718">
        <v>4810</v>
      </c>
      <c r="P863" s="1711">
        <v>15000</v>
      </c>
      <c r="Q863" s="1712" t="s">
        <v>4125</v>
      </c>
      <c r="R863" s="1711">
        <v>62000</v>
      </c>
      <c r="S863" s="1712" t="s">
        <v>4125</v>
      </c>
      <c r="T863" s="1711">
        <v>21000</v>
      </c>
      <c r="U863" s="1712" t="s">
        <v>1471</v>
      </c>
      <c r="V863" s="1711">
        <v>88000</v>
      </c>
      <c r="W863" s="1712" t="s">
        <v>1471</v>
      </c>
      <c r="X863" s="1711">
        <v>42000</v>
      </c>
      <c r="Y863" s="1714" t="s">
        <v>1471</v>
      </c>
      <c r="Z863" s="1713"/>
      <c r="AA863" s="1715">
        <v>130</v>
      </c>
      <c r="AB863" s="1716" t="s">
        <v>1471</v>
      </c>
      <c r="AC863" s="1717"/>
    </row>
    <row r="864" spans="1:29" ht="15">
      <c r="A864" s="1719" t="s">
        <v>3489</v>
      </c>
      <c r="B864" s="1720" t="s">
        <v>3490</v>
      </c>
      <c r="C864" s="1737">
        <v>7.7000000000000002E-3</v>
      </c>
      <c r="D864" s="1723" t="s">
        <v>1119</v>
      </c>
      <c r="E864" s="1723"/>
      <c r="F864" s="1722"/>
      <c r="G864" s="1724">
        <v>7.4999999999999997E-3</v>
      </c>
      <c r="H864" s="1723" t="s">
        <v>1119</v>
      </c>
      <c r="I864" s="1723"/>
      <c r="J864" s="1722"/>
      <c r="K864" s="1723" t="s">
        <v>1127</v>
      </c>
      <c r="L864" s="1722"/>
      <c r="M864" s="1723">
        <v>1</v>
      </c>
      <c r="N864" s="1723"/>
      <c r="O864" s="1725"/>
      <c r="P864" s="1726">
        <v>90</v>
      </c>
      <c r="Q864" s="1727" t="s">
        <v>4122</v>
      </c>
      <c r="R864" s="1726">
        <v>420</v>
      </c>
      <c r="S864" s="1727" t="s">
        <v>4127</v>
      </c>
      <c r="T864" s="1727"/>
      <c r="U864" s="1728"/>
      <c r="V864" s="1727"/>
      <c r="W864" s="1728"/>
      <c r="X864" s="1726">
        <v>2.6</v>
      </c>
      <c r="Y864" s="1729" t="s">
        <v>4127</v>
      </c>
      <c r="Z864" s="1728"/>
      <c r="AA864" s="1730">
        <v>8.4000000000000005E-2</v>
      </c>
      <c r="AB864" s="1731" t="s">
        <v>4127</v>
      </c>
      <c r="AC864" s="1732"/>
    </row>
    <row r="865" spans="1:29" ht="30">
      <c r="A865" s="1704" t="s">
        <v>3491</v>
      </c>
      <c r="B865" s="1705" t="s">
        <v>3492</v>
      </c>
      <c r="C865" s="1736">
        <v>0.02</v>
      </c>
      <c r="D865" s="1708" t="s">
        <v>1909</v>
      </c>
      <c r="E865" s="1708"/>
      <c r="F865" s="1707"/>
      <c r="G865" s="1709">
        <v>0.01</v>
      </c>
      <c r="H865" s="1708" t="s">
        <v>1909</v>
      </c>
      <c r="I865" s="1708"/>
      <c r="J865" s="1707"/>
      <c r="K865" s="1707"/>
      <c r="L865" s="1707"/>
      <c r="M865" s="1708">
        <v>1</v>
      </c>
      <c r="N865" s="1708">
        <v>0.1</v>
      </c>
      <c r="O865" s="1710"/>
      <c r="P865" s="1711">
        <v>27</v>
      </c>
      <c r="Q865" s="1712" t="s">
        <v>4127</v>
      </c>
      <c r="R865" s="1711">
        <v>110</v>
      </c>
      <c r="S865" s="1712" t="s">
        <v>4127</v>
      </c>
      <c r="T865" s="1712"/>
      <c r="U865" s="1713"/>
      <c r="V865" s="1712"/>
      <c r="W865" s="1713"/>
      <c r="X865" s="1711">
        <v>3.9</v>
      </c>
      <c r="Y865" s="1714" t="s">
        <v>4127</v>
      </c>
      <c r="Z865" s="1713"/>
      <c r="AA865" s="1715">
        <v>8.5999999999999998E-4</v>
      </c>
      <c r="AB865" s="1716" t="s">
        <v>4127</v>
      </c>
      <c r="AC865" s="1717"/>
    </row>
    <row r="866" spans="1:29" ht="30">
      <c r="A866" s="1704" t="s">
        <v>3493</v>
      </c>
      <c r="B866" s="1705" t="s">
        <v>3494</v>
      </c>
      <c r="C866" s="1706"/>
      <c r="D866" s="1707"/>
      <c r="E866" s="1708"/>
      <c r="F866" s="1707"/>
      <c r="G866" s="1709">
        <v>0.01</v>
      </c>
      <c r="H866" s="1708" t="s">
        <v>1119</v>
      </c>
      <c r="I866" s="1709">
        <v>0.06</v>
      </c>
      <c r="J866" s="1708" t="s">
        <v>1119</v>
      </c>
      <c r="K866" s="1708" t="s">
        <v>1127</v>
      </c>
      <c r="L866" s="1707"/>
      <c r="M866" s="1708">
        <v>1</v>
      </c>
      <c r="N866" s="1708"/>
      <c r="O866" s="1718">
        <v>293</v>
      </c>
      <c r="P866" s="1711">
        <v>340</v>
      </c>
      <c r="Q866" s="1712" t="s">
        <v>4125</v>
      </c>
      <c r="R866" s="1711">
        <v>2000</v>
      </c>
      <c r="S866" s="1712" t="s">
        <v>4125</v>
      </c>
      <c r="T866" s="1711">
        <v>63</v>
      </c>
      <c r="U866" s="1712" t="s">
        <v>1471</v>
      </c>
      <c r="V866" s="1711">
        <v>260</v>
      </c>
      <c r="W866" s="1712" t="s">
        <v>1471</v>
      </c>
      <c r="X866" s="1711">
        <v>55</v>
      </c>
      <c r="Y866" s="1714" t="s">
        <v>1471</v>
      </c>
      <c r="Z866" s="1713"/>
      <c r="AA866" s="1715">
        <v>8.1000000000000003E-2</v>
      </c>
      <c r="AB866" s="1716" t="s">
        <v>1471</v>
      </c>
      <c r="AC866" s="1717"/>
    </row>
    <row r="867" spans="1:29" ht="30">
      <c r="A867" s="1719" t="s">
        <v>3495</v>
      </c>
      <c r="B867" s="1720" t="s">
        <v>3496</v>
      </c>
      <c r="C867" s="1721"/>
      <c r="D867" s="1722"/>
      <c r="E867" s="1723"/>
      <c r="F867" s="1722"/>
      <c r="G867" s="1724">
        <v>0.01</v>
      </c>
      <c r="H867" s="1723" t="s">
        <v>1119</v>
      </c>
      <c r="I867" s="1724">
        <v>0.06</v>
      </c>
      <c r="J867" s="1723" t="s">
        <v>1119</v>
      </c>
      <c r="K867" s="1723" t="s">
        <v>1127</v>
      </c>
      <c r="L867" s="1722"/>
      <c r="M867" s="1723">
        <v>1</v>
      </c>
      <c r="N867" s="1723"/>
      <c r="O867" s="1735">
        <v>219</v>
      </c>
      <c r="P867" s="1726">
        <v>300</v>
      </c>
      <c r="Q867" s="1727" t="s">
        <v>4125</v>
      </c>
      <c r="R867" s="1726">
        <v>1800</v>
      </c>
      <c r="S867" s="1727" t="s">
        <v>4125</v>
      </c>
      <c r="T867" s="1726">
        <v>63</v>
      </c>
      <c r="U867" s="1727" t="s">
        <v>1471</v>
      </c>
      <c r="V867" s="1726">
        <v>260</v>
      </c>
      <c r="W867" s="1727" t="s">
        <v>1471</v>
      </c>
      <c r="X867" s="1726">
        <v>56</v>
      </c>
      <c r="Y867" s="1729" t="s">
        <v>1471</v>
      </c>
      <c r="Z867" s="1728"/>
      <c r="AA867" s="1730">
        <v>8.1000000000000003E-2</v>
      </c>
      <c r="AB867" s="1731" t="s">
        <v>1471</v>
      </c>
      <c r="AC867" s="1732"/>
    </row>
    <row r="868" spans="1:29" ht="30">
      <c r="A868" s="1704" t="s">
        <v>3497</v>
      </c>
      <c r="B868" s="1705" t="s">
        <v>3498</v>
      </c>
      <c r="C868" s="1706"/>
      <c r="D868" s="1707"/>
      <c r="E868" s="1708"/>
      <c r="F868" s="1707"/>
      <c r="G868" s="1709">
        <v>0.01</v>
      </c>
      <c r="H868" s="1708" t="s">
        <v>1119</v>
      </c>
      <c r="I868" s="1709">
        <v>0.06</v>
      </c>
      <c r="J868" s="1708" t="s">
        <v>1119</v>
      </c>
      <c r="K868" s="1708" t="s">
        <v>1127</v>
      </c>
      <c r="L868" s="1707"/>
      <c r="M868" s="1708">
        <v>1</v>
      </c>
      <c r="N868" s="1708"/>
      <c r="O868" s="1718">
        <v>182</v>
      </c>
      <c r="P868" s="1711">
        <v>270</v>
      </c>
      <c r="Q868" s="1712" t="s">
        <v>4125</v>
      </c>
      <c r="R868" s="1711">
        <v>1500</v>
      </c>
      <c r="S868" s="1712" t="s">
        <v>4125</v>
      </c>
      <c r="T868" s="1711">
        <v>63</v>
      </c>
      <c r="U868" s="1712" t="s">
        <v>1471</v>
      </c>
      <c r="V868" s="1711">
        <v>260</v>
      </c>
      <c r="W868" s="1712" t="s">
        <v>1471</v>
      </c>
      <c r="X868" s="1711">
        <v>60</v>
      </c>
      <c r="Y868" s="1714" t="s">
        <v>1471</v>
      </c>
      <c r="Z868" s="1713"/>
      <c r="AA868" s="1715">
        <v>8.6999999999999994E-2</v>
      </c>
      <c r="AB868" s="1716" t="s">
        <v>1471</v>
      </c>
      <c r="AC868" s="1717"/>
    </row>
    <row r="869" spans="1:29" ht="30">
      <c r="A869" s="1704" t="s">
        <v>3499</v>
      </c>
      <c r="B869" s="1705" t="s">
        <v>3500</v>
      </c>
      <c r="C869" s="1706"/>
      <c r="D869" s="1707"/>
      <c r="E869" s="1708"/>
      <c r="F869" s="1707"/>
      <c r="G869" s="1709">
        <v>0.01</v>
      </c>
      <c r="H869" s="1708" t="s">
        <v>1893</v>
      </c>
      <c r="I869" s="1708"/>
      <c r="J869" s="1707"/>
      <c r="K869" s="1708" t="s">
        <v>1127</v>
      </c>
      <c r="L869" s="1707"/>
      <c r="M869" s="1708">
        <v>1</v>
      </c>
      <c r="N869" s="1708"/>
      <c r="O869" s="1718">
        <v>29.6</v>
      </c>
      <c r="P869" s="1711">
        <v>780</v>
      </c>
      <c r="Q869" s="1712" t="s">
        <v>4125</v>
      </c>
      <c r="R869" s="1711">
        <v>12000</v>
      </c>
      <c r="S869" s="1712" t="s">
        <v>4125</v>
      </c>
      <c r="T869" s="1712"/>
      <c r="U869" s="1713"/>
      <c r="V869" s="1712"/>
      <c r="W869" s="1713"/>
      <c r="X869" s="1711">
        <v>38</v>
      </c>
      <c r="Y869" s="1714" t="s">
        <v>1471</v>
      </c>
      <c r="Z869" s="1713"/>
      <c r="AA869" s="1715">
        <v>0.13</v>
      </c>
      <c r="AB869" s="1716" t="s">
        <v>1471</v>
      </c>
      <c r="AC869" s="1717"/>
    </row>
    <row r="870" spans="1:29" ht="30">
      <c r="A870" s="1719" t="s">
        <v>3501</v>
      </c>
      <c r="B870" s="1720" t="s">
        <v>3502</v>
      </c>
      <c r="C870" s="1721"/>
      <c r="D870" s="1722"/>
      <c r="E870" s="1723"/>
      <c r="F870" s="1722"/>
      <c r="G870" s="1724">
        <v>0.03</v>
      </c>
      <c r="H870" s="1723" t="s">
        <v>1119</v>
      </c>
      <c r="I870" s="1723"/>
      <c r="J870" s="1722"/>
      <c r="K870" s="1722"/>
      <c r="L870" s="1722"/>
      <c r="M870" s="1723">
        <v>1</v>
      </c>
      <c r="N870" s="1723">
        <v>1.9E-2</v>
      </c>
      <c r="O870" s="1725"/>
      <c r="P870" s="1726">
        <v>2200</v>
      </c>
      <c r="Q870" s="1727" t="s">
        <v>1471</v>
      </c>
      <c r="R870" s="1726">
        <v>32000</v>
      </c>
      <c r="S870" s="1727" t="s">
        <v>1471</v>
      </c>
      <c r="T870" s="1727"/>
      <c r="U870" s="1728"/>
      <c r="V870" s="1727"/>
      <c r="W870" s="1728"/>
      <c r="X870" s="1726">
        <v>590</v>
      </c>
      <c r="Y870" s="1729" t="s">
        <v>1471</v>
      </c>
      <c r="Z870" s="1728"/>
      <c r="AA870" s="1730">
        <v>2.1</v>
      </c>
      <c r="AB870" s="1731" t="s">
        <v>1471</v>
      </c>
      <c r="AC870" s="1732"/>
    </row>
    <row r="871" spans="1:29" ht="30">
      <c r="A871" s="1704" t="s">
        <v>3503</v>
      </c>
      <c r="B871" s="1705" t="s">
        <v>3504</v>
      </c>
      <c r="C871" s="1736">
        <v>0.03</v>
      </c>
      <c r="D871" s="1708" t="s">
        <v>1119</v>
      </c>
      <c r="E871" s="1708"/>
      <c r="F871" s="1707"/>
      <c r="G871" s="1709">
        <v>5.0000000000000001E-4</v>
      </c>
      <c r="H871" s="1708" t="s">
        <v>1119</v>
      </c>
      <c r="I871" s="1708"/>
      <c r="J871" s="1707"/>
      <c r="K871" s="1707"/>
      <c r="L871" s="1707"/>
      <c r="M871" s="1708">
        <v>1</v>
      </c>
      <c r="N871" s="1708">
        <v>3.2000000000000001E-2</v>
      </c>
      <c r="O871" s="1710"/>
      <c r="P871" s="1711">
        <v>21</v>
      </c>
      <c r="Q871" s="1712" t="s">
        <v>4122</v>
      </c>
      <c r="R871" s="1711">
        <v>96</v>
      </c>
      <c r="S871" s="1712" t="s">
        <v>4122</v>
      </c>
      <c r="T871" s="1712"/>
      <c r="U871" s="1713"/>
      <c r="V871" s="1712"/>
      <c r="W871" s="1713"/>
      <c r="X871" s="1711">
        <v>2.5</v>
      </c>
      <c r="Y871" s="1714" t="s">
        <v>4122</v>
      </c>
      <c r="Z871" s="1713"/>
      <c r="AA871" s="1715">
        <v>1.4999999999999999E-2</v>
      </c>
      <c r="AB871" s="1716" t="s">
        <v>4122</v>
      </c>
      <c r="AC871" s="1717"/>
    </row>
    <row r="872" spans="1:29" ht="30">
      <c r="A872" s="1704" t="s">
        <v>3505</v>
      </c>
      <c r="B872" s="1705" t="s">
        <v>3506</v>
      </c>
      <c r="C872" s="1706"/>
      <c r="D872" s="1707"/>
      <c r="E872" s="1708"/>
      <c r="F872" s="1707"/>
      <c r="G872" s="1709">
        <v>0.02</v>
      </c>
      <c r="H872" s="1708" t="s">
        <v>1909</v>
      </c>
      <c r="I872" s="1708"/>
      <c r="J872" s="1707"/>
      <c r="K872" s="1707"/>
      <c r="L872" s="1707"/>
      <c r="M872" s="1708">
        <v>1</v>
      </c>
      <c r="N872" s="1708">
        <v>0.1</v>
      </c>
      <c r="O872" s="1710"/>
      <c r="P872" s="1711">
        <v>1300</v>
      </c>
      <c r="Q872" s="1712" t="s">
        <v>1471</v>
      </c>
      <c r="R872" s="1711">
        <v>16000</v>
      </c>
      <c r="S872" s="1712" t="s">
        <v>1471</v>
      </c>
      <c r="T872" s="1712"/>
      <c r="U872" s="1713"/>
      <c r="V872" s="1712"/>
      <c r="W872" s="1713"/>
      <c r="X872" s="1711">
        <v>360</v>
      </c>
      <c r="Y872" s="1714" t="s">
        <v>1471</v>
      </c>
      <c r="Z872" s="1713"/>
      <c r="AA872" s="1715">
        <v>1.5</v>
      </c>
      <c r="AB872" s="1716" t="s">
        <v>1471</v>
      </c>
      <c r="AC872" s="1717"/>
    </row>
    <row r="873" spans="1:29" ht="45">
      <c r="A873" s="1719" t="s">
        <v>3507</v>
      </c>
      <c r="B873" s="1720" t="s">
        <v>3508</v>
      </c>
      <c r="C873" s="1721"/>
      <c r="D873" s="1722"/>
      <c r="E873" s="1723"/>
      <c r="F873" s="1722"/>
      <c r="G873" s="1724">
        <v>0.02</v>
      </c>
      <c r="H873" s="1723" t="s">
        <v>1960</v>
      </c>
      <c r="I873" s="1723"/>
      <c r="J873" s="1722"/>
      <c r="K873" s="1722"/>
      <c r="L873" s="1722"/>
      <c r="M873" s="1723">
        <v>1</v>
      </c>
      <c r="N873" s="1723">
        <v>0.1</v>
      </c>
      <c r="O873" s="1725"/>
      <c r="P873" s="1726">
        <v>1300</v>
      </c>
      <c r="Q873" s="1727" t="s">
        <v>1471</v>
      </c>
      <c r="R873" s="1726">
        <v>16000</v>
      </c>
      <c r="S873" s="1727" t="s">
        <v>1471</v>
      </c>
      <c r="T873" s="1727"/>
      <c r="U873" s="1728"/>
      <c r="V873" s="1727"/>
      <c r="W873" s="1728"/>
      <c r="X873" s="1726">
        <v>360</v>
      </c>
      <c r="Y873" s="1729" t="s">
        <v>1471</v>
      </c>
      <c r="Z873" s="1728"/>
      <c r="AA873" s="1730">
        <v>8</v>
      </c>
      <c r="AB873" s="1731" t="s">
        <v>1471</v>
      </c>
      <c r="AC873" s="1732"/>
    </row>
    <row r="874" spans="1:29" ht="30">
      <c r="A874" s="1704" t="s">
        <v>3509</v>
      </c>
      <c r="B874" s="1705" t="s">
        <v>3510</v>
      </c>
      <c r="C874" s="1706"/>
      <c r="D874" s="1707"/>
      <c r="E874" s="1708"/>
      <c r="F874" s="1707"/>
      <c r="G874" s="1709">
        <v>0.01</v>
      </c>
      <c r="H874" s="1708" t="s">
        <v>1893</v>
      </c>
      <c r="I874" s="1708"/>
      <c r="J874" s="1707"/>
      <c r="K874" s="1707"/>
      <c r="L874" s="1707"/>
      <c r="M874" s="1708">
        <v>1</v>
      </c>
      <c r="N874" s="1708">
        <v>0.1</v>
      </c>
      <c r="O874" s="1710"/>
      <c r="P874" s="1711">
        <v>630</v>
      </c>
      <c r="Q874" s="1712" t="s">
        <v>1471</v>
      </c>
      <c r="R874" s="1711">
        <v>8200</v>
      </c>
      <c r="S874" s="1712" t="s">
        <v>1471</v>
      </c>
      <c r="T874" s="1712"/>
      <c r="U874" s="1713"/>
      <c r="V874" s="1712"/>
      <c r="W874" s="1713"/>
      <c r="X874" s="1711">
        <v>190</v>
      </c>
      <c r="Y874" s="1714" t="s">
        <v>1471</v>
      </c>
      <c r="Z874" s="1713"/>
      <c r="AA874" s="1715">
        <v>0.65</v>
      </c>
      <c r="AB874" s="1716" t="s">
        <v>1471</v>
      </c>
      <c r="AC874" s="1717"/>
    </row>
    <row r="875" spans="1:29" ht="45">
      <c r="A875" s="1704" t="s">
        <v>3511</v>
      </c>
      <c r="B875" s="1705" t="s">
        <v>3512</v>
      </c>
      <c r="C875" s="1736">
        <v>2.2999999999999998</v>
      </c>
      <c r="D875" s="1708" t="s">
        <v>1900</v>
      </c>
      <c r="E875" s="1709">
        <v>6.6E-4</v>
      </c>
      <c r="F875" s="1708" t="s">
        <v>1900</v>
      </c>
      <c r="G875" s="1708"/>
      <c r="H875" s="1707"/>
      <c r="I875" s="1708"/>
      <c r="J875" s="1707"/>
      <c r="K875" s="1708" t="s">
        <v>1127</v>
      </c>
      <c r="L875" s="1707"/>
      <c r="M875" s="1708">
        <v>1</v>
      </c>
      <c r="N875" s="1708"/>
      <c r="O875" s="1718">
        <v>467</v>
      </c>
      <c r="P875" s="1711">
        <v>0.28000000000000003</v>
      </c>
      <c r="Q875" s="1712" t="s">
        <v>4126</v>
      </c>
      <c r="R875" s="1711">
        <v>1.3</v>
      </c>
      <c r="S875" s="1712" t="s">
        <v>4126</v>
      </c>
      <c r="T875" s="1711">
        <v>4.3E-3</v>
      </c>
      <c r="U875" s="1712" t="s">
        <v>4126</v>
      </c>
      <c r="V875" s="1711">
        <v>1.9E-2</v>
      </c>
      <c r="W875" s="1712" t="s">
        <v>4126</v>
      </c>
      <c r="X875" s="1711">
        <v>6.7999999999999996E-3</v>
      </c>
      <c r="Y875" s="1714" t="s">
        <v>4126</v>
      </c>
      <c r="Z875" s="1713"/>
      <c r="AA875" s="1715">
        <v>1.2999999999999999E-4</v>
      </c>
      <c r="AB875" s="1716" t="s">
        <v>4126</v>
      </c>
      <c r="AC875" s="1717"/>
    </row>
    <row r="876" spans="1:29" ht="45">
      <c r="A876" s="1719" t="s">
        <v>3513</v>
      </c>
      <c r="B876" s="1720" t="s">
        <v>3514</v>
      </c>
      <c r="C876" s="1737">
        <v>0.02</v>
      </c>
      <c r="D876" s="1723" t="s">
        <v>1909</v>
      </c>
      <c r="E876" s="1723"/>
      <c r="F876" s="1722"/>
      <c r="G876" s="1724">
        <v>7.0000000000000001E-3</v>
      </c>
      <c r="H876" s="1723" t="s">
        <v>1909</v>
      </c>
      <c r="I876" s="1723"/>
      <c r="J876" s="1722"/>
      <c r="K876" s="1722"/>
      <c r="L876" s="1722"/>
      <c r="M876" s="1723">
        <v>1</v>
      </c>
      <c r="N876" s="1723">
        <v>0.1</v>
      </c>
      <c r="O876" s="1725"/>
      <c r="P876" s="1726">
        <v>27</v>
      </c>
      <c r="Q876" s="1727" t="s">
        <v>4127</v>
      </c>
      <c r="R876" s="1726">
        <v>110</v>
      </c>
      <c r="S876" s="1727" t="s">
        <v>4127</v>
      </c>
      <c r="T876" s="1727"/>
      <c r="U876" s="1728"/>
      <c r="V876" s="1727"/>
      <c r="W876" s="1728"/>
      <c r="X876" s="1726">
        <v>3.8</v>
      </c>
      <c r="Y876" s="1729" t="s">
        <v>4127</v>
      </c>
      <c r="Z876" s="1728"/>
      <c r="AA876" s="1730">
        <v>3.8E-3</v>
      </c>
      <c r="AB876" s="1731" t="s">
        <v>4127</v>
      </c>
      <c r="AC876" s="1732"/>
    </row>
    <row r="877" spans="1:29" ht="45">
      <c r="A877" s="1704" t="s">
        <v>3515</v>
      </c>
      <c r="B877" s="1705" t="s">
        <v>3516</v>
      </c>
      <c r="C877" s="1736">
        <v>3.2000000000000002E-3</v>
      </c>
      <c r="D877" s="1708" t="s">
        <v>1909</v>
      </c>
      <c r="E877" s="1708"/>
      <c r="F877" s="1707"/>
      <c r="G877" s="1709">
        <v>0.1</v>
      </c>
      <c r="H877" s="1708" t="s">
        <v>1909</v>
      </c>
      <c r="I877" s="1708"/>
      <c r="J877" s="1707"/>
      <c r="K877" s="1707"/>
      <c r="L877" s="1707"/>
      <c r="M877" s="1708">
        <v>1</v>
      </c>
      <c r="N877" s="1708">
        <v>0.1</v>
      </c>
      <c r="O877" s="1710"/>
      <c r="P877" s="1711">
        <v>170</v>
      </c>
      <c r="Q877" s="1712" t="s">
        <v>4127</v>
      </c>
      <c r="R877" s="1711">
        <v>720</v>
      </c>
      <c r="S877" s="1712" t="s">
        <v>4126</v>
      </c>
      <c r="T877" s="1712"/>
      <c r="U877" s="1713"/>
      <c r="V877" s="1712"/>
      <c r="W877" s="1713"/>
      <c r="X877" s="1711">
        <v>24</v>
      </c>
      <c r="Y877" s="1714" t="s">
        <v>4127</v>
      </c>
      <c r="Z877" s="1713"/>
      <c r="AA877" s="1715">
        <v>120</v>
      </c>
      <c r="AB877" s="1716" t="s">
        <v>4127</v>
      </c>
      <c r="AC877" s="1717"/>
    </row>
    <row r="878" spans="1:29" ht="15">
      <c r="A878" s="1704" t="s">
        <v>3517</v>
      </c>
      <c r="B878" s="1705" t="s">
        <v>3518</v>
      </c>
      <c r="C878" s="1706"/>
      <c r="D878" s="1707"/>
      <c r="E878" s="1708"/>
      <c r="F878" s="1707"/>
      <c r="G878" s="1709">
        <v>8.0000000000000004E-4</v>
      </c>
      <c r="H878" s="1708" t="s">
        <v>1909</v>
      </c>
      <c r="I878" s="1708"/>
      <c r="J878" s="1707"/>
      <c r="K878" s="1707"/>
      <c r="L878" s="1707"/>
      <c r="M878" s="1708">
        <v>1</v>
      </c>
      <c r="N878" s="1708"/>
      <c r="O878" s="1710"/>
      <c r="P878" s="1711">
        <v>63</v>
      </c>
      <c r="Q878" s="1712" t="s">
        <v>1471</v>
      </c>
      <c r="R878" s="1711">
        <v>930</v>
      </c>
      <c r="S878" s="1712" t="s">
        <v>1471</v>
      </c>
      <c r="T878" s="1712"/>
      <c r="U878" s="1713"/>
      <c r="V878" s="1712"/>
      <c r="W878" s="1713"/>
      <c r="X878" s="1711">
        <v>16</v>
      </c>
      <c r="Y878" s="1714" t="s">
        <v>1471</v>
      </c>
      <c r="Z878" s="1713"/>
      <c r="AA878" s="1715">
        <v>2.4</v>
      </c>
      <c r="AB878" s="1716" t="s">
        <v>1471</v>
      </c>
      <c r="AC878" s="1717"/>
    </row>
    <row r="879" spans="1:29" ht="15">
      <c r="A879" s="1719" t="s">
        <v>3519</v>
      </c>
      <c r="B879" s="1720" t="s">
        <v>3520</v>
      </c>
      <c r="C879" s="1721"/>
      <c r="D879" s="1722"/>
      <c r="E879" s="1723"/>
      <c r="F879" s="1722"/>
      <c r="G879" s="1724">
        <v>2.0000000000000001E-4</v>
      </c>
      <c r="H879" s="1723" t="s">
        <v>1960</v>
      </c>
      <c r="I879" s="1724">
        <v>4.0000000000000003E-5</v>
      </c>
      <c r="J879" s="1723" t="s">
        <v>1960</v>
      </c>
      <c r="K879" s="1722"/>
      <c r="L879" s="1722"/>
      <c r="M879" s="1723">
        <v>1</v>
      </c>
      <c r="N879" s="1723"/>
      <c r="O879" s="1725"/>
      <c r="P879" s="1726">
        <v>16</v>
      </c>
      <c r="Q879" s="1727" t="s">
        <v>1471</v>
      </c>
      <c r="R879" s="1726">
        <v>230</v>
      </c>
      <c r="S879" s="1727" t="s">
        <v>1471</v>
      </c>
      <c r="T879" s="1726">
        <v>4.2000000000000003E-2</v>
      </c>
      <c r="U879" s="1727" t="s">
        <v>1471</v>
      </c>
      <c r="V879" s="1726">
        <v>0.18</v>
      </c>
      <c r="W879" s="1727" t="s">
        <v>1471</v>
      </c>
      <c r="X879" s="1726">
        <v>4</v>
      </c>
      <c r="Y879" s="1729" t="s">
        <v>1471</v>
      </c>
      <c r="Z879" s="1726">
        <v>30</v>
      </c>
      <c r="AA879" s="1730">
        <v>1.8</v>
      </c>
      <c r="AB879" s="1731" t="s">
        <v>1471</v>
      </c>
      <c r="AC879" s="1739">
        <v>14</v>
      </c>
    </row>
    <row r="880" spans="1:29" ht="15">
      <c r="A880" s="1704" t="s">
        <v>3521</v>
      </c>
      <c r="B880" s="1705" t="s">
        <v>3522</v>
      </c>
      <c r="C880" s="1736">
        <v>1</v>
      </c>
      <c r="D880" s="1708" t="s">
        <v>1900</v>
      </c>
      <c r="E880" s="1709">
        <v>2.9E-4</v>
      </c>
      <c r="F880" s="1708" t="s">
        <v>1900</v>
      </c>
      <c r="G880" s="1708"/>
      <c r="H880" s="1707"/>
      <c r="I880" s="1708"/>
      <c r="J880" s="1707"/>
      <c r="K880" s="1707"/>
      <c r="L880" s="1708" t="s">
        <v>1906</v>
      </c>
      <c r="M880" s="1708">
        <v>1</v>
      </c>
      <c r="N880" s="1708">
        <v>0.1</v>
      </c>
      <c r="O880" s="1710"/>
      <c r="P880" s="1711">
        <v>0.12</v>
      </c>
      <c r="Q880" s="1712" t="s">
        <v>4126</v>
      </c>
      <c r="R880" s="1711">
        <v>2.2999999999999998</v>
      </c>
      <c r="S880" s="1712" t="s">
        <v>4126</v>
      </c>
      <c r="T880" s="1711">
        <v>3.5000000000000001E-3</v>
      </c>
      <c r="U880" s="1712" t="s">
        <v>4126</v>
      </c>
      <c r="V880" s="1711">
        <v>4.2000000000000003E-2</v>
      </c>
      <c r="W880" s="1712" t="s">
        <v>4126</v>
      </c>
      <c r="X880" s="1711">
        <v>2.5000000000000001E-2</v>
      </c>
      <c r="Y880" s="1714" t="s">
        <v>4126</v>
      </c>
      <c r="Z880" s="1713"/>
      <c r="AA880" s="1715">
        <v>5.5999999999999997E-6</v>
      </c>
      <c r="AB880" s="1716" t="s">
        <v>4126</v>
      </c>
      <c r="AC880" s="1717"/>
    </row>
    <row r="881" spans="1:29" ht="30">
      <c r="A881" s="1704" t="s">
        <v>3523</v>
      </c>
      <c r="B881" s="1705" t="s">
        <v>3524</v>
      </c>
      <c r="C881" s="1706"/>
      <c r="D881" s="1707"/>
      <c r="E881" s="1709">
        <v>8.3000000000000001E-3</v>
      </c>
      <c r="F881" s="1708" t="s">
        <v>1909</v>
      </c>
      <c r="G881" s="1709">
        <v>8.9999999999999993E-3</v>
      </c>
      <c r="H881" s="1708" t="s">
        <v>1119</v>
      </c>
      <c r="I881" s="1709">
        <v>6.9999999999999999E-6</v>
      </c>
      <c r="J881" s="1708" t="s">
        <v>1909</v>
      </c>
      <c r="K881" s="1707"/>
      <c r="L881" s="1707"/>
      <c r="M881" s="1708">
        <v>2.5999999999999999E-2</v>
      </c>
      <c r="N881" s="1708"/>
      <c r="O881" s="1710"/>
      <c r="P881" s="1711">
        <v>460</v>
      </c>
      <c r="Q881" s="1712" t="s">
        <v>4122</v>
      </c>
      <c r="R881" s="1711">
        <v>2000</v>
      </c>
      <c r="S881" s="1712" t="s">
        <v>4122</v>
      </c>
      <c r="T881" s="1711">
        <v>3.4000000000000002E-4</v>
      </c>
      <c r="U881" s="1712" t="s">
        <v>4127</v>
      </c>
      <c r="V881" s="1711">
        <v>1.5E-3</v>
      </c>
      <c r="W881" s="1712" t="s">
        <v>4127</v>
      </c>
      <c r="X881" s="1711">
        <v>150</v>
      </c>
      <c r="Y881" s="1714" t="s">
        <v>1471</v>
      </c>
      <c r="Z881" s="1713"/>
      <c r="AA881" s="1716"/>
      <c r="AB881" s="1734"/>
      <c r="AC881" s="1717"/>
    </row>
    <row r="882" spans="1:29" ht="30">
      <c r="A882" s="1719" t="s">
        <v>340</v>
      </c>
      <c r="B882" s="1720" t="s">
        <v>3525</v>
      </c>
      <c r="C882" s="1721"/>
      <c r="D882" s="1722"/>
      <c r="E882" s="1723"/>
      <c r="F882" s="1722"/>
      <c r="G882" s="1724">
        <v>5.0400000000000002E-3</v>
      </c>
      <c r="H882" s="1723" t="s">
        <v>2111</v>
      </c>
      <c r="I882" s="1724">
        <v>1E-4</v>
      </c>
      <c r="J882" s="1723" t="s">
        <v>1960</v>
      </c>
      <c r="K882" s="1722"/>
      <c r="L882" s="1722"/>
      <c r="M882" s="1723">
        <v>2.5999999999999999E-2</v>
      </c>
      <c r="N882" s="1723"/>
      <c r="O882" s="1725"/>
      <c r="P882" s="1726">
        <v>390</v>
      </c>
      <c r="Q882" s="1727" t="s">
        <v>1471</v>
      </c>
      <c r="R882" s="1726">
        <v>5800</v>
      </c>
      <c r="S882" s="1727" t="s">
        <v>1471</v>
      </c>
      <c r="T882" s="1726">
        <v>0.1</v>
      </c>
      <c r="U882" s="1727" t="s">
        <v>1471</v>
      </c>
      <c r="V882" s="1726">
        <v>0.44</v>
      </c>
      <c r="W882" s="1727" t="s">
        <v>1471</v>
      </c>
      <c r="X882" s="1726">
        <v>86</v>
      </c>
      <c r="Y882" s="1729" t="s">
        <v>1471</v>
      </c>
      <c r="Z882" s="1728"/>
      <c r="AA882" s="1730">
        <v>86</v>
      </c>
      <c r="AB882" s="1731" t="s">
        <v>1471</v>
      </c>
      <c r="AC882" s="1732"/>
    </row>
    <row r="883" spans="1:29" ht="15">
      <c r="A883" s="1704" t="s">
        <v>3526</v>
      </c>
      <c r="B883" s="1705" t="s">
        <v>3527</v>
      </c>
      <c r="C883" s="1706"/>
      <c r="D883" s="1707"/>
      <c r="E883" s="1708"/>
      <c r="F883" s="1707"/>
      <c r="G883" s="1709">
        <v>1E-3</v>
      </c>
      <c r="H883" s="1708" t="s">
        <v>1119</v>
      </c>
      <c r="I883" s="1708"/>
      <c r="J883" s="1707"/>
      <c r="K883" s="1708" t="s">
        <v>1127</v>
      </c>
      <c r="L883" s="1707"/>
      <c r="M883" s="1708">
        <v>1</v>
      </c>
      <c r="N883" s="1708"/>
      <c r="O883" s="1710"/>
      <c r="P883" s="1711">
        <v>78</v>
      </c>
      <c r="Q883" s="1712" t="s">
        <v>1471</v>
      </c>
      <c r="R883" s="1711">
        <v>1200</v>
      </c>
      <c r="S883" s="1712" t="s">
        <v>1471</v>
      </c>
      <c r="T883" s="1712"/>
      <c r="U883" s="1713"/>
      <c r="V883" s="1712"/>
      <c r="W883" s="1713"/>
      <c r="X883" s="1711">
        <v>11</v>
      </c>
      <c r="Y883" s="1714" t="s">
        <v>1471</v>
      </c>
      <c r="Z883" s="1713"/>
      <c r="AA883" s="1715">
        <v>8.8999999999999999E-3</v>
      </c>
      <c r="AB883" s="1716" t="s">
        <v>1471</v>
      </c>
      <c r="AC883" s="1717"/>
    </row>
    <row r="884" spans="1:29" ht="15">
      <c r="A884" s="1704" t="s">
        <v>3528</v>
      </c>
      <c r="B884" s="1705" t="s">
        <v>3529</v>
      </c>
      <c r="C884" s="1706"/>
      <c r="D884" s="1707"/>
      <c r="E884" s="1708"/>
      <c r="F884" s="1707"/>
      <c r="G884" s="1709">
        <v>1.1999999999999999E-3</v>
      </c>
      <c r="H884" s="1708" t="s">
        <v>1116</v>
      </c>
      <c r="I884" s="1708"/>
      <c r="J884" s="1707"/>
      <c r="K884" s="1707"/>
      <c r="L884" s="1707"/>
      <c r="M884" s="1708">
        <v>1</v>
      </c>
      <c r="N884" s="1708">
        <v>0.1</v>
      </c>
      <c r="O884" s="1710"/>
      <c r="P884" s="1711">
        <v>76</v>
      </c>
      <c r="Q884" s="1712" t="s">
        <v>1471</v>
      </c>
      <c r="R884" s="1711">
        <v>980</v>
      </c>
      <c r="S884" s="1712" t="s">
        <v>1471</v>
      </c>
      <c r="T884" s="1712"/>
      <c r="U884" s="1713"/>
      <c r="V884" s="1712"/>
      <c r="W884" s="1713"/>
      <c r="X884" s="1711">
        <v>21</v>
      </c>
      <c r="Y884" s="1714" t="s">
        <v>1471</v>
      </c>
      <c r="Z884" s="1713"/>
      <c r="AA884" s="1715">
        <v>1.6E-2</v>
      </c>
      <c r="AB884" s="1716" t="s">
        <v>1471</v>
      </c>
      <c r="AC884" s="1717"/>
    </row>
    <row r="885" spans="1:29" ht="15">
      <c r="A885" s="1719" t="s">
        <v>3530</v>
      </c>
      <c r="B885" s="1720" t="s">
        <v>3531</v>
      </c>
      <c r="C885" s="1721"/>
      <c r="D885" s="1722"/>
      <c r="E885" s="1723"/>
      <c r="F885" s="1722"/>
      <c r="G885" s="1724">
        <v>1</v>
      </c>
      <c r="H885" s="1723" t="s">
        <v>1073</v>
      </c>
      <c r="I885" s="1724">
        <v>0.2</v>
      </c>
      <c r="J885" s="1723" t="s">
        <v>1119</v>
      </c>
      <c r="K885" s="1723" t="s">
        <v>1127</v>
      </c>
      <c r="L885" s="1722"/>
      <c r="M885" s="1723">
        <v>1</v>
      </c>
      <c r="N885" s="1723"/>
      <c r="O885" s="1735">
        <v>2750</v>
      </c>
      <c r="P885" s="1726">
        <v>910</v>
      </c>
      <c r="Q885" s="1727" t="s">
        <v>1471</v>
      </c>
      <c r="R885" s="1726">
        <v>3800</v>
      </c>
      <c r="S885" s="1727" t="s">
        <v>4125</v>
      </c>
      <c r="T885" s="1726">
        <v>210</v>
      </c>
      <c r="U885" s="1727" t="s">
        <v>1471</v>
      </c>
      <c r="V885" s="1726">
        <v>880</v>
      </c>
      <c r="W885" s="1727" t="s">
        <v>1471</v>
      </c>
      <c r="X885" s="1726">
        <v>410</v>
      </c>
      <c r="Y885" s="1729" t="s">
        <v>1471</v>
      </c>
      <c r="Z885" s="1728"/>
      <c r="AA885" s="1730">
        <v>8.6999999999999994E-2</v>
      </c>
      <c r="AB885" s="1731" t="s">
        <v>1471</v>
      </c>
      <c r="AC885" s="1732"/>
    </row>
    <row r="886" spans="1:29" ht="15">
      <c r="A886" s="1704" t="s">
        <v>3532</v>
      </c>
      <c r="B886" s="1705" t="s">
        <v>3533</v>
      </c>
      <c r="C886" s="1706"/>
      <c r="D886" s="1707"/>
      <c r="E886" s="1709">
        <v>1.5E-5</v>
      </c>
      <c r="F886" s="1708" t="s">
        <v>1909</v>
      </c>
      <c r="G886" s="1708"/>
      <c r="H886" s="1707"/>
      <c r="I886" s="1709">
        <v>3.0000000000000001E-3</v>
      </c>
      <c r="J886" s="1708" t="s">
        <v>1119</v>
      </c>
      <c r="K886" s="1708" t="s">
        <v>1127</v>
      </c>
      <c r="L886" s="1707"/>
      <c r="M886" s="1708">
        <v>1</v>
      </c>
      <c r="N886" s="1708"/>
      <c r="O886" s="1718">
        <v>2470</v>
      </c>
      <c r="P886" s="1711">
        <v>0.26</v>
      </c>
      <c r="Q886" s="1712" t="s">
        <v>4127</v>
      </c>
      <c r="R886" s="1711">
        <v>1.1000000000000001</v>
      </c>
      <c r="S886" s="1712" t="s">
        <v>4127</v>
      </c>
      <c r="T886" s="1711">
        <v>0.19</v>
      </c>
      <c r="U886" s="1712" t="s">
        <v>4127</v>
      </c>
      <c r="V886" s="1711">
        <v>0.82</v>
      </c>
      <c r="W886" s="1712" t="s">
        <v>4127</v>
      </c>
      <c r="X886" s="1711">
        <v>0.37</v>
      </c>
      <c r="Y886" s="1714" t="s">
        <v>4127</v>
      </c>
      <c r="Z886" s="1713"/>
      <c r="AA886" s="1715">
        <v>1.1E-4</v>
      </c>
      <c r="AB886" s="1716" t="s">
        <v>4127</v>
      </c>
      <c r="AC886" s="1717"/>
    </row>
    <row r="887" spans="1:29" ht="15">
      <c r="A887" s="1704" t="s">
        <v>342</v>
      </c>
      <c r="B887" s="1705" t="s">
        <v>3534</v>
      </c>
      <c r="C887" s="1736">
        <v>0.72</v>
      </c>
      <c r="D887" s="1708" t="s">
        <v>1119</v>
      </c>
      <c r="E887" s="1709">
        <v>4.4000000000000002E-6</v>
      </c>
      <c r="F887" s="1708" t="s">
        <v>1119</v>
      </c>
      <c r="G887" s="1709">
        <v>3.0000000000000001E-3</v>
      </c>
      <c r="H887" s="1708" t="s">
        <v>1119</v>
      </c>
      <c r="I887" s="1709">
        <v>5.11E-2</v>
      </c>
      <c r="J887" s="1708" t="s">
        <v>1960</v>
      </c>
      <c r="K887" s="1708" t="s">
        <v>1127</v>
      </c>
      <c r="L887" s="1708" t="s">
        <v>1906</v>
      </c>
      <c r="M887" s="1708">
        <v>1</v>
      </c>
      <c r="N887" s="1708"/>
      <c r="O887" s="1718">
        <v>3920</v>
      </c>
      <c r="P887" s="1711">
        <v>5.8999999999999997E-2</v>
      </c>
      <c r="Q887" s="1712" t="s">
        <v>4126</v>
      </c>
      <c r="R887" s="1711">
        <v>1.7</v>
      </c>
      <c r="S887" s="1712" t="s">
        <v>4126</v>
      </c>
      <c r="T887" s="1711">
        <v>0.17</v>
      </c>
      <c r="U887" s="1712" t="s">
        <v>4126</v>
      </c>
      <c r="V887" s="1711">
        <v>2.8</v>
      </c>
      <c r="W887" s="1712" t="s">
        <v>4127</v>
      </c>
      <c r="X887" s="1711">
        <v>1.9E-2</v>
      </c>
      <c r="Y887" s="1714" t="s">
        <v>4126</v>
      </c>
      <c r="Z887" s="1711">
        <v>2</v>
      </c>
      <c r="AA887" s="1715">
        <v>6.4999999999999996E-6</v>
      </c>
      <c r="AB887" s="1716" t="s">
        <v>4126</v>
      </c>
      <c r="AC887" s="1738">
        <v>6.8999999999999997E-4</v>
      </c>
    </row>
    <row r="888" spans="1:29" ht="15">
      <c r="A888" s="1719" t="s">
        <v>3535</v>
      </c>
      <c r="B888" s="1720" t="s">
        <v>3536</v>
      </c>
      <c r="C888" s="1721"/>
      <c r="D888" s="1722"/>
      <c r="E888" s="1723"/>
      <c r="F888" s="1722"/>
      <c r="G888" s="1724">
        <v>2.9999999999999997E-4</v>
      </c>
      <c r="H888" s="1723" t="s">
        <v>1119</v>
      </c>
      <c r="I888" s="1723"/>
      <c r="J888" s="1722"/>
      <c r="K888" s="1722"/>
      <c r="L888" s="1722"/>
      <c r="M888" s="1723">
        <v>1</v>
      </c>
      <c r="N888" s="1723">
        <v>0.1</v>
      </c>
      <c r="O888" s="1725"/>
      <c r="P888" s="1726">
        <v>19</v>
      </c>
      <c r="Q888" s="1727" t="s">
        <v>1471</v>
      </c>
      <c r="R888" s="1726">
        <v>250</v>
      </c>
      <c r="S888" s="1727" t="s">
        <v>1471</v>
      </c>
      <c r="T888" s="1727"/>
      <c r="U888" s="1728"/>
      <c r="V888" s="1727"/>
      <c r="W888" s="1728"/>
      <c r="X888" s="1726">
        <v>5.6</v>
      </c>
      <c r="Y888" s="1729" t="s">
        <v>1471</v>
      </c>
      <c r="Z888" s="1728"/>
      <c r="AA888" s="1730">
        <v>5.8999999999999999E-3</v>
      </c>
      <c r="AB888" s="1731" t="s">
        <v>1471</v>
      </c>
      <c r="AC888" s="1732"/>
    </row>
    <row r="889" spans="1:29" ht="15">
      <c r="A889" s="1704" t="s">
        <v>3537</v>
      </c>
      <c r="B889" s="1705" t="s">
        <v>3538</v>
      </c>
      <c r="C889" s="1706"/>
      <c r="D889" s="1707"/>
      <c r="E889" s="1708"/>
      <c r="F889" s="1707"/>
      <c r="G889" s="1709">
        <v>0.2</v>
      </c>
      <c r="H889" s="1708" t="s">
        <v>2111</v>
      </c>
      <c r="I889" s="1709">
        <v>0.1</v>
      </c>
      <c r="J889" s="1708" t="s">
        <v>2111</v>
      </c>
      <c r="K889" s="1708" t="s">
        <v>1127</v>
      </c>
      <c r="L889" s="1707"/>
      <c r="M889" s="1708">
        <v>1</v>
      </c>
      <c r="N889" s="1708"/>
      <c r="O889" s="1718">
        <v>388</v>
      </c>
      <c r="P889" s="1711">
        <v>550</v>
      </c>
      <c r="Q889" s="1712" t="s">
        <v>4125</v>
      </c>
      <c r="R889" s="1711">
        <v>2400</v>
      </c>
      <c r="S889" s="1712" t="s">
        <v>4125</v>
      </c>
      <c r="T889" s="1711">
        <v>100</v>
      </c>
      <c r="U889" s="1712" t="s">
        <v>1471</v>
      </c>
      <c r="V889" s="1711">
        <v>440</v>
      </c>
      <c r="W889" s="1712" t="s">
        <v>1471</v>
      </c>
      <c r="X889" s="1711">
        <v>190</v>
      </c>
      <c r="Y889" s="1714" t="s">
        <v>1471</v>
      </c>
      <c r="Z889" s="1713"/>
      <c r="AA889" s="1715">
        <v>0.19</v>
      </c>
      <c r="AB889" s="1716" t="s">
        <v>1471</v>
      </c>
      <c r="AC889" s="1717"/>
    </row>
    <row r="890" spans="1:29" ht="15">
      <c r="A890" s="1704" t="s">
        <v>3539</v>
      </c>
      <c r="B890" s="1705" t="s">
        <v>3540</v>
      </c>
      <c r="C890" s="1706"/>
      <c r="D890" s="1707"/>
      <c r="E890" s="1708"/>
      <c r="F890" s="1707"/>
      <c r="G890" s="1709">
        <v>0.2</v>
      </c>
      <c r="H890" s="1708" t="s">
        <v>2111</v>
      </c>
      <c r="I890" s="1709">
        <v>0.1</v>
      </c>
      <c r="J890" s="1708" t="s">
        <v>2111</v>
      </c>
      <c r="K890" s="1708" t="s">
        <v>1127</v>
      </c>
      <c r="L890" s="1707"/>
      <c r="M890" s="1708">
        <v>1</v>
      </c>
      <c r="N890" s="1708"/>
      <c r="O890" s="1718">
        <v>434</v>
      </c>
      <c r="P890" s="1711">
        <v>640</v>
      </c>
      <c r="Q890" s="1712" t="s">
        <v>4125</v>
      </c>
      <c r="R890" s="1711">
        <v>2800</v>
      </c>
      <c r="S890" s="1712" t="s">
        <v>4125</v>
      </c>
      <c r="T890" s="1711">
        <v>100</v>
      </c>
      <c r="U890" s="1712" t="s">
        <v>1471</v>
      </c>
      <c r="V890" s="1711">
        <v>440</v>
      </c>
      <c r="W890" s="1712" t="s">
        <v>1471</v>
      </c>
      <c r="X890" s="1711">
        <v>190</v>
      </c>
      <c r="Y890" s="1714" t="s">
        <v>1471</v>
      </c>
      <c r="Z890" s="1713"/>
      <c r="AA890" s="1715">
        <v>0.19</v>
      </c>
      <c r="AB890" s="1716" t="s">
        <v>1471</v>
      </c>
      <c r="AC890" s="1717"/>
    </row>
    <row r="891" spans="1:29" ht="15">
      <c r="A891" s="1719" t="s">
        <v>3541</v>
      </c>
      <c r="B891" s="1720" t="s">
        <v>3542</v>
      </c>
      <c r="C891" s="1721"/>
      <c r="D891" s="1722"/>
      <c r="E891" s="1723"/>
      <c r="F891" s="1722"/>
      <c r="G891" s="1724">
        <v>0.2</v>
      </c>
      <c r="H891" s="1723" t="s">
        <v>2111</v>
      </c>
      <c r="I891" s="1724">
        <v>0.1</v>
      </c>
      <c r="J891" s="1723" t="s">
        <v>2111</v>
      </c>
      <c r="K891" s="1723" t="s">
        <v>1127</v>
      </c>
      <c r="L891" s="1722"/>
      <c r="M891" s="1723">
        <v>1</v>
      </c>
      <c r="N891" s="1723"/>
      <c r="O891" s="1735">
        <v>390</v>
      </c>
      <c r="P891" s="1726">
        <v>560</v>
      </c>
      <c r="Q891" s="1727" t="s">
        <v>4125</v>
      </c>
      <c r="R891" s="1726">
        <v>2400</v>
      </c>
      <c r="S891" s="1727" t="s">
        <v>4125</v>
      </c>
      <c r="T891" s="1726">
        <v>100</v>
      </c>
      <c r="U891" s="1727" t="s">
        <v>1471</v>
      </c>
      <c r="V891" s="1726">
        <v>440</v>
      </c>
      <c r="W891" s="1727" t="s">
        <v>1471</v>
      </c>
      <c r="X891" s="1726">
        <v>190</v>
      </c>
      <c r="Y891" s="1729" t="s">
        <v>1471</v>
      </c>
      <c r="Z891" s="1728"/>
      <c r="AA891" s="1730">
        <v>0.19</v>
      </c>
      <c r="AB891" s="1731" t="s">
        <v>1471</v>
      </c>
      <c r="AC891" s="1732"/>
    </row>
    <row r="892" spans="1:29" ht="15">
      <c r="A892" s="1704" t="s">
        <v>344</v>
      </c>
      <c r="B892" s="1705" t="s">
        <v>343</v>
      </c>
      <c r="C892" s="1706"/>
      <c r="D892" s="1707"/>
      <c r="E892" s="1708"/>
      <c r="F892" s="1707"/>
      <c r="G892" s="1709">
        <v>0.2</v>
      </c>
      <c r="H892" s="1708" t="s">
        <v>1119</v>
      </c>
      <c r="I892" s="1709">
        <v>0.1</v>
      </c>
      <c r="J892" s="1708" t="s">
        <v>1119</v>
      </c>
      <c r="K892" s="1708" t="s">
        <v>1127</v>
      </c>
      <c r="L892" s="1707"/>
      <c r="M892" s="1708">
        <v>1</v>
      </c>
      <c r="N892" s="1708"/>
      <c r="O892" s="1718">
        <v>260</v>
      </c>
      <c r="P892" s="1711">
        <v>580</v>
      </c>
      <c r="Q892" s="1712" t="s">
        <v>4125</v>
      </c>
      <c r="R892" s="1711">
        <v>2500</v>
      </c>
      <c r="S892" s="1712" t="s">
        <v>4125</v>
      </c>
      <c r="T892" s="1711">
        <v>100</v>
      </c>
      <c r="U892" s="1712" t="s">
        <v>1471</v>
      </c>
      <c r="V892" s="1711">
        <v>440</v>
      </c>
      <c r="W892" s="1712" t="s">
        <v>1471</v>
      </c>
      <c r="X892" s="1711">
        <v>190</v>
      </c>
      <c r="Y892" s="1714" t="s">
        <v>1471</v>
      </c>
      <c r="Z892" s="1711">
        <v>10000</v>
      </c>
      <c r="AA892" s="1715">
        <v>0.19</v>
      </c>
      <c r="AB892" s="1716" t="s">
        <v>1471</v>
      </c>
      <c r="AC892" s="1738">
        <v>9.9</v>
      </c>
    </row>
    <row r="893" spans="1:29" ht="15">
      <c r="A893" s="1704" t="s">
        <v>3543</v>
      </c>
      <c r="B893" s="1705" t="s">
        <v>3544</v>
      </c>
      <c r="C893" s="1706"/>
      <c r="D893" s="1707"/>
      <c r="E893" s="1708"/>
      <c r="F893" s="1707"/>
      <c r="G893" s="1709">
        <v>2.9999999999999997E-4</v>
      </c>
      <c r="H893" s="1708" t="s">
        <v>1119</v>
      </c>
      <c r="I893" s="1708"/>
      <c r="J893" s="1707"/>
      <c r="K893" s="1707"/>
      <c r="L893" s="1707"/>
      <c r="M893" s="1708">
        <v>1</v>
      </c>
      <c r="N893" s="1708"/>
      <c r="O893" s="1710"/>
      <c r="P893" s="1711">
        <v>23</v>
      </c>
      <c r="Q893" s="1712" t="s">
        <v>1471</v>
      </c>
      <c r="R893" s="1711">
        <v>350</v>
      </c>
      <c r="S893" s="1712" t="s">
        <v>1471</v>
      </c>
      <c r="T893" s="1712"/>
      <c r="U893" s="1713"/>
      <c r="V893" s="1712"/>
      <c r="W893" s="1713"/>
      <c r="X893" s="1711">
        <v>6</v>
      </c>
      <c r="Y893" s="1714" t="s">
        <v>1471</v>
      </c>
      <c r="Z893" s="1713"/>
      <c r="AA893" s="1716"/>
      <c r="AB893" s="1734"/>
      <c r="AC893" s="1717"/>
    </row>
    <row r="894" spans="1:29" ht="30">
      <c r="A894" s="1719" t="s">
        <v>346</v>
      </c>
      <c r="B894" s="1720" t="s">
        <v>3545</v>
      </c>
      <c r="C894" s="1721"/>
      <c r="D894" s="1722"/>
      <c r="E894" s="1723"/>
      <c r="F894" s="1722"/>
      <c r="G894" s="1724">
        <v>0.3</v>
      </c>
      <c r="H894" s="1723" t="s">
        <v>1119</v>
      </c>
      <c r="I894" s="1723"/>
      <c r="J894" s="1722"/>
      <c r="K894" s="1722"/>
      <c r="L894" s="1722"/>
      <c r="M894" s="1723">
        <v>1</v>
      </c>
      <c r="N894" s="1723"/>
      <c r="O894" s="1725"/>
      <c r="P894" s="1726">
        <v>23000</v>
      </c>
      <c r="Q894" s="1727" t="s">
        <v>1471</v>
      </c>
      <c r="R894" s="1726">
        <v>350000</v>
      </c>
      <c r="S894" s="1727" t="s">
        <v>4124</v>
      </c>
      <c r="T894" s="1727"/>
      <c r="U894" s="1728"/>
      <c r="V894" s="1727"/>
      <c r="W894" s="1728"/>
      <c r="X894" s="1726">
        <v>6000</v>
      </c>
      <c r="Y894" s="1729" t="s">
        <v>1471</v>
      </c>
      <c r="Z894" s="1728"/>
      <c r="AA894" s="1730">
        <v>370</v>
      </c>
      <c r="AB894" s="1731" t="s">
        <v>1471</v>
      </c>
      <c r="AC894" s="1732"/>
    </row>
    <row r="895" spans="1:29" ht="15">
      <c r="A895" s="1704" t="s">
        <v>3546</v>
      </c>
      <c r="B895" s="1705" t="s">
        <v>3547</v>
      </c>
      <c r="C895" s="1706"/>
      <c r="D895" s="1707"/>
      <c r="E895" s="1708"/>
      <c r="F895" s="1707"/>
      <c r="G895" s="1709">
        <v>0.05</v>
      </c>
      <c r="H895" s="1708" t="s">
        <v>1119</v>
      </c>
      <c r="I895" s="1708"/>
      <c r="J895" s="1707"/>
      <c r="K895" s="1707"/>
      <c r="L895" s="1707"/>
      <c r="M895" s="1708">
        <v>1</v>
      </c>
      <c r="N895" s="1708">
        <v>0.1</v>
      </c>
      <c r="O895" s="1710"/>
      <c r="P895" s="1711">
        <v>3200</v>
      </c>
      <c r="Q895" s="1712" t="s">
        <v>1471</v>
      </c>
      <c r="R895" s="1711">
        <v>41000</v>
      </c>
      <c r="S895" s="1712" t="s">
        <v>1471</v>
      </c>
      <c r="T895" s="1712"/>
      <c r="U895" s="1713"/>
      <c r="V895" s="1712"/>
      <c r="W895" s="1713"/>
      <c r="X895" s="1711">
        <v>990</v>
      </c>
      <c r="Y895" s="1714" t="s">
        <v>1471</v>
      </c>
      <c r="Z895" s="1713"/>
      <c r="AA895" s="1715">
        <v>2.9</v>
      </c>
      <c r="AB895" s="1716" t="s">
        <v>1471</v>
      </c>
      <c r="AC895" s="1717"/>
    </row>
    <row r="896" spans="1:29" ht="15">
      <c r="A896" s="1719" t="s">
        <v>3548</v>
      </c>
      <c r="B896" s="1720" t="s">
        <v>3549</v>
      </c>
      <c r="C896" s="1721"/>
      <c r="D896" s="1722"/>
      <c r="E896" s="1723"/>
      <c r="F896" s="1722"/>
      <c r="G896" s="1724">
        <v>8.0000000000000007E-5</v>
      </c>
      <c r="H896" s="1723" t="s">
        <v>1893</v>
      </c>
      <c r="I896" s="1723"/>
      <c r="J896" s="1722"/>
      <c r="K896" s="1722"/>
      <c r="L896" s="1722"/>
      <c r="M896" s="1723">
        <v>1</v>
      </c>
      <c r="N896" s="1723"/>
      <c r="O896" s="1725"/>
      <c r="P896" s="1726">
        <v>6.3</v>
      </c>
      <c r="Q896" s="1727" t="s">
        <v>1471</v>
      </c>
      <c r="R896" s="1726">
        <v>93</v>
      </c>
      <c r="S896" s="1727" t="s">
        <v>1471</v>
      </c>
      <c r="T896" s="1727"/>
      <c r="U896" s="1728"/>
      <c r="V896" s="1727"/>
      <c r="W896" s="1728"/>
      <c r="X896" s="1726">
        <v>1.6</v>
      </c>
      <c r="Y896" s="1729" t="s">
        <v>1471</v>
      </c>
      <c r="Z896" s="1728"/>
      <c r="AA896" s="1730">
        <v>4.8</v>
      </c>
      <c r="AB896" s="1731" t="s">
        <v>1471</v>
      </c>
      <c r="AC896" s="1732"/>
    </row>
  </sheetData>
  <mergeCells count="14">
    <mergeCell ref="U4:U6"/>
    <mergeCell ref="W4:W6"/>
    <mergeCell ref="Y4:Y6"/>
    <mergeCell ref="AB4:AB6"/>
    <mergeCell ref="A2:AB2"/>
    <mergeCell ref="A3:B3"/>
    <mergeCell ref="C3:O3"/>
    <mergeCell ref="P3:Z3"/>
    <mergeCell ref="AA3:AC3"/>
    <mergeCell ref="L4:L6"/>
    <mergeCell ref="M4:M6"/>
    <mergeCell ref="N4:N6"/>
    <mergeCell ref="Q4:Q6"/>
    <mergeCell ref="S4:S6"/>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523A1-D4BB-437A-9A52-EF06B16B9096}">
  <dimension ref="A1:V138"/>
  <sheetViews>
    <sheetView topLeftCell="A12" workbookViewId="0">
      <selection activeCell="AA14" sqref="AA14"/>
    </sheetView>
  </sheetViews>
  <sheetFormatPr defaultRowHeight="12.75"/>
  <cols>
    <col min="1" max="1" width="26.85546875" style="1682" customWidth="1"/>
    <col min="2" max="3" width="9.140625" style="1673"/>
    <col min="4" max="4" width="9.140625" style="1674"/>
    <col min="5" max="5" width="9.140625" style="1673"/>
    <col min="6" max="6" width="9.140625" style="1674"/>
    <col min="7" max="7" width="9.140625" style="1673"/>
    <col min="8" max="8" width="9.140625" style="1674"/>
    <col min="9" max="9" width="9.140625" style="1673"/>
    <col min="10" max="10" width="9.140625" style="1674"/>
    <col min="12" max="12" width="9.140625" style="1683"/>
    <col min="14" max="14" width="9.140625" style="1683"/>
    <col min="16" max="16" width="9.140625" style="1683"/>
    <col min="18" max="18" width="9.140625" style="1683"/>
    <col min="20" max="20" width="9.140625" style="1683"/>
  </cols>
  <sheetData>
    <row r="1" spans="1:22">
      <c r="A1" s="1673" t="s">
        <v>4138</v>
      </c>
      <c r="C1" s="1673" t="s">
        <v>4139</v>
      </c>
      <c r="D1" s="1674" t="s">
        <v>4140</v>
      </c>
      <c r="E1" s="1673" t="s">
        <v>4141</v>
      </c>
      <c r="F1" s="1674" t="s">
        <v>4142</v>
      </c>
      <c r="G1" s="1673" t="s">
        <v>4143</v>
      </c>
      <c r="H1" s="1674" t="s">
        <v>4144</v>
      </c>
      <c r="I1" s="1673" t="s">
        <v>4145</v>
      </c>
      <c r="J1" s="1674" t="s">
        <v>4146</v>
      </c>
      <c r="K1" s="1673" t="s">
        <v>4147</v>
      </c>
      <c r="L1" s="1674" t="s">
        <v>4148</v>
      </c>
      <c r="M1" s="1673" t="s">
        <v>4149</v>
      </c>
      <c r="N1" s="1674" t="s">
        <v>4150</v>
      </c>
      <c r="O1" s="1673" t="s">
        <v>4151</v>
      </c>
      <c r="P1" s="1674" t="s">
        <v>4152</v>
      </c>
      <c r="Q1" s="1673" t="s">
        <v>4153</v>
      </c>
      <c r="R1" s="1674" t="s">
        <v>4154</v>
      </c>
      <c r="S1" s="1673" t="s">
        <v>4155</v>
      </c>
      <c r="T1" s="1674" t="s">
        <v>4156</v>
      </c>
      <c r="U1" s="1673" t="s">
        <v>4157</v>
      </c>
      <c r="V1" s="1673" t="s">
        <v>4158</v>
      </c>
    </row>
    <row r="2" spans="1:22">
      <c r="A2" s="3055" t="s">
        <v>79</v>
      </c>
      <c r="B2" s="3055" t="s">
        <v>80</v>
      </c>
      <c r="C2" s="3058" t="s">
        <v>593</v>
      </c>
      <c r="D2" s="3059"/>
      <c r="E2" s="3059"/>
      <c r="F2" s="3059"/>
      <c r="G2" s="3059"/>
      <c r="H2" s="3059"/>
      <c r="I2" s="3059"/>
      <c r="J2" s="3060"/>
      <c r="K2" s="3061" t="s">
        <v>603</v>
      </c>
      <c r="L2" s="3062"/>
      <c r="M2" s="3062"/>
      <c r="N2" s="3063"/>
      <c r="O2" s="3067" t="s">
        <v>612</v>
      </c>
      <c r="P2" s="3039"/>
      <c r="Q2" s="3039"/>
      <c r="R2" s="3039"/>
      <c r="S2" s="3039"/>
      <c r="T2" s="3039"/>
      <c r="U2" s="3039"/>
      <c r="V2" s="3068"/>
    </row>
    <row r="3" spans="1:22">
      <c r="A3" s="3056"/>
      <c r="B3" s="3056"/>
      <c r="C3" s="3058" t="s">
        <v>599</v>
      </c>
      <c r="D3" s="3059"/>
      <c r="E3" s="3059"/>
      <c r="F3" s="3060"/>
      <c r="G3" s="3058" t="s">
        <v>600</v>
      </c>
      <c r="H3" s="3059"/>
      <c r="I3" s="3059"/>
      <c r="J3" s="3060"/>
      <c r="K3" s="3064"/>
      <c r="L3" s="3065"/>
      <c r="M3" s="3065"/>
      <c r="N3" s="3066"/>
      <c r="O3" s="3067" t="s">
        <v>599</v>
      </c>
      <c r="P3" s="3039"/>
      <c r="Q3" s="3039"/>
      <c r="R3" s="3068"/>
      <c r="S3" s="3067" t="s">
        <v>600</v>
      </c>
      <c r="T3" s="3039"/>
      <c r="U3" s="3039"/>
      <c r="V3" s="3068"/>
    </row>
    <row r="4" spans="1:22">
      <c r="A4" s="3057"/>
      <c r="B4" s="3057"/>
      <c r="C4" s="1675" t="s">
        <v>521</v>
      </c>
      <c r="D4" s="1675" t="s">
        <v>4159</v>
      </c>
      <c r="E4" s="2044" t="s">
        <v>830</v>
      </c>
      <c r="F4" s="1675" t="s">
        <v>4159</v>
      </c>
      <c r="G4" s="2044" t="s">
        <v>521</v>
      </c>
      <c r="H4" s="1675" t="s">
        <v>4159</v>
      </c>
      <c r="I4" s="2044" t="s">
        <v>830</v>
      </c>
      <c r="J4" s="1675" t="s">
        <v>4159</v>
      </c>
      <c r="K4" s="1676" t="s">
        <v>521</v>
      </c>
      <c r="L4" s="1677" t="s">
        <v>4159</v>
      </c>
      <c r="M4" s="1676" t="s">
        <v>830</v>
      </c>
      <c r="N4" s="1677" t="s">
        <v>4159</v>
      </c>
      <c r="O4" s="1676" t="s">
        <v>521</v>
      </c>
      <c r="P4" s="1677" t="s">
        <v>4159</v>
      </c>
      <c r="Q4" s="1676" t="s">
        <v>830</v>
      </c>
      <c r="R4" s="1677" t="s">
        <v>4159</v>
      </c>
      <c r="S4" s="1676" t="s">
        <v>521</v>
      </c>
      <c r="T4" s="1677" t="s">
        <v>4159</v>
      </c>
      <c r="U4" s="1676" t="s">
        <v>830</v>
      </c>
      <c r="V4" s="1677" t="s">
        <v>4159</v>
      </c>
    </row>
    <row r="5" spans="1:22">
      <c r="A5" s="1678" t="s">
        <v>391</v>
      </c>
      <c r="B5" s="75" t="s">
        <v>392</v>
      </c>
      <c r="C5" s="75"/>
      <c r="D5" s="1679"/>
      <c r="E5" s="75"/>
      <c r="F5" s="1679"/>
      <c r="G5" s="75"/>
      <c r="H5" s="1679"/>
      <c r="I5" s="75"/>
      <c r="J5" s="1679"/>
      <c r="K5" s="75"/>
      <c r="L5" s="1679"/>
      <c r="M5" s="75"/>
      <c r="N5" s="1679"/>
      <c r="O5" s="75"/>
      <c r="P5" s="1679"/>
      <c r="Q5" s="75"/>
      <c r="R5" s="1679"/>
      <c r="S5" s="75"/>
      <c r="T5" s="1679"/>
      <c r="U5" s="75"/>
      <c r="V5" s="1679"/>
    </row>
    <row r="6" spans="1:22">
      <c r="A6" s="1678" t="s">
        <v>85</v>
      </c>
      <c r="B6" s="75" t="s">
        <v>86</v>
      </c>
      <c r="C6" s="75"/>
      <c r="D6" s="1679"/>
      <c r="E6" s="75"/>
      <c r="F6" s="1679"/>
      <c r="G6" s="75"/>
      <c r="H6" s="1679"/>
      <c r="I6" s="75"/>
      <c r="J6" s="1679"/>
      <c r="K6" s="75"/>
      <c r="L6" s="1679"/>
      <c r="M6" s="75">
        <v>0.18</v>
      </c>
      <c r="N6" s="1679" t="s">
        <v>4160</v>
      </c>
      <c r="O6" s="75"/>
      <c r="P6" s="1679"/>
      <c r="Q6" s="75">
        <v>0.13</v>
      </c>
      <c r="R6" s="1679" t="s">
        <v>4160</v>
      </c>
      <c r="S6" s="75"/>
      <c r="T6" s="1679"/>
      <c r="U6" s="75">
        <v>0.53</v>
      </c>
      <c r="V6" s="1679" t="s">
        <v>4160</v>
      </c>
    </row>
    <row r="7" spans="1:22">
      <c r="A7" s="1678" t="s">
        <v>87</v>
      </c>
      <c r="B7" s="75" t="s">
        <v>88</v>
      </c>
      <c r="C7" s="75"/>
      <c r="D7" s="1679"/>
      <c r="E7" s="75"/>
      <c r="F7" s="1679"/>
      <c r="G7" s="75"/>
      <c r="H7" s="1679"/>
      <c r="I7" s="75"/>
      <c r="J7" s="1679"/>
      <c r="K7" s="75"/>
      <c r="L7" s="1679"/>
      <c r="M7" s="75"/>
      <c r="N7" s="1679"/>
      <c r="O7" s="75"/>
      <c r="P7" s="1679"/>
      <c r="Q7" s="75"/>
      <c r="R7" s="1679"/>
      <c r="S7" s="75"/>
      <c r="T7" s="1679"/>
      <c r="U7" s="75"/>
      <c r="V7" s="1679"/>
    </row>
    <row r="8" spans="1:22">
      <c r="A8" s="1678" t="s">
        <v>89</v>
      </c>
      <c r="B8" s="75" t="s">
        <v>90</v>
      </c>
      <c r="C8" s="75">
        <v>3.2000000000000001E-2</v>
      </c>
      <c r="D8" s="1679" t="s">
        <v>4160</v>
      </c>
      <c r="E8" s="75">
        <v>0.41</v>
      </c>
      <c r="F8" s="1679" t="s">
        <v>4160</v>
      </c>
      <c r="G8" s="75">
        <v>0.13</v>
      </c>
      <c r="H8" s="1679" t="s">
        <v>4160</v>
      </c>
      <c r="I8" s="75">
        <v>5</v>
      </c>
      <c r="J8" s="1679" t="s">
        <v>4160</v>
      </c>
      <c r="K8" s="75">
        <v>2.3999999999999998E-3</v>
      </c>
      <c r="L8" s="1679" t="s">
        <v>4160</v>
      </c>
      <c r="M8" s="75">
        <v>7.0000000000000007E-2</v>
      </c>
      <c r="N8" s="1679" t="s">
        <v>4160</v>
      </c>
      <c r="O8" s="75"/>
      <c r="P8" s="1679"/>
      <c r="Q8" s="75"/>
      <c r="R8" s="1679"/>
      <c r="S8" s="75"/>
      <c r="T8" s="1679"/>
      <c r="U8" s="75"/>
      <c r="V8" s="1679"/>
    </row>
    <row r="9" spans="1:22">
      <c r="A9" s="1678" t="s">
        <v>91</v>
      </c>
      <c r="B9" s="75" t="s">
        <v>92</v>
      </c>
      <c r="C9" s="75"/>
      <c r="D9" s="1679"/>
      <c r="E9" s="75"/>
      <c r="F9" s="1679"/>
      <c r="G9" s="75"/>
      <c r="H9" s="1679"/>
      <c r="I9" s="75"/>
      <c r="J9" s="1679"/>
      <c r="K9" s="75"/>
      <c r="L9" s="1679"/>
      <c r="M9" s="75"/>
      <c r="N9" s="1679"/>
      <c r="O9" s="75"/>
      <c r="P9" s="1679"/>
      <c r="Q9" s="75"/>
      <c r="R9" s="1679"/>
      <c r="S9" s="75"/>
      <c r="T9" s="1679"/>
      <c r="U9" s="75"/>
      <c r="V9" s="1679"/>
    </row>
    <row r="10" spans="1:22">
      <c r="A10" s="1678" t="s">
        <v>93</v>
      </c>
      <c r="B10" s="75" t="s">
        <v>94</v>
      </c>
      <c r="C10" s="75">
        <v>0.33</v>
      </c>
      <c r="D10" s="1679" t="s">
        <v>4160</v>
      </c>
      <c r="E10" s="75">
        <v>11</v>
      </c>
      <c r="F10" s="1679" t="s">
        <v>4160</v>
      </c>
      <c r="G10" s="75">
        <v>1.4</v>
      </c>
      <c r="H10" s="1679" t="s">
        <v>4160</v>
      </c>
      <c r="I10" s="75">
        <v>46</v>
      </c>
      <c r="J10" s="1679" t="s">
        <v>4160</v>
      </c>
      <c r="K10" s="75">
        <v>0.15</v>
      </c>
      <c r="L10" s="1679" t="s">
        <v>4160</v>
      </c>
      <c r="M10" s="75">
        <v>5.7</v>
      </c>
      <c r="N10" s="1679" t="s">
        <v>4160</v>
      </c>
      <c r="O10" s="75">
        <v>9.7000000000000003E-2</v>
      </c>
      <c r="P10" s="1679" t="s">
        <v>4160</v>
      </c>
      <c r="Q10" s="75">
        <v>3.1</v>
      </c>
      <c r="R10" s="1679" t="s">
        <v>4160</v>
      </c>
      <c r="S10" s="75">
        <v>0.42</v>
      </c>
      <c r="T10" s="1679" t="s">
        <v>4160</v>
      </c>
      <c r="U10" s="75">
        <v>13</v>
      </c>
      <c r="V10" s="1679" t="s">
        <v>4160</v>
      </c>
    </row>
    <row r="11" spans="1:22">
      <c r="A11" s="1678" t="s">
        <v>95</v>
      </c>
      <c r="B11" s="75" t="s">
        <v>96</v>
      </c>
      <c r="C11" s="75"/>
      <c r="D11" s="1679"/>
      <c r="E11" s="75">
        <v>16</v>
      </c>
      <c r="F11" s="1679" t="s">
        <v>4160</v>
      </c>
      <c r="G11" s="75"/>
      <c r="H11" s="1679"/>
      <c r="I11" s="75">
        <v>230</v>
      </c>
      <c r="J11" s="1679" t="s">
        <v>4160</v>
      </c>
      <c r="K11" s="75" t="s">
        <v>115</v>
      </c>
      <c r="L11" s="1679" t="s">
        <v>115</v>
      </c>
      <c r="M11" s="75">
        <v>4</v>
      </c>
      <c r="N11" s="1679" t="s">
        <v>4160</v>
      </c>
      <c r="O11" s="75"/>
      <c r="P11" s="1679"/>
      <c r="Q11" s="75">
        <v>7.3000000000000001E-3</v>
      </c>
      <c r="R11" s="1679" t="s">
        <v>4160</v>
      </c>
      <c r="S11" s="75"/>
      <c r="T11" s="1679"/>
      <c r="U11" s="75">
        <v>3.1E-2</v>
      </c>
      <c r="V11" s="1679" t="s">
        <v>4160</v>
      </c>
    </row>
    <row r="12" spans="1:22">
      <c r="A12" s="1678" t="s">
        <v>97</v>
      </c>
      <c r="B12" s="75" t="s">
        <v>98</v>
      </c>
      <c r="C12" s="75">
        <v>56</v>
      </c>
      <c r="D12" s="1679" t="s">
        <v>4160</v>
      </c>
      <c r="E12" s="75"/>
      <c r="F12" s="1679"/>
      <c r="G12" s="75">
        <v>260</v>
      </c>
      <c r="H12" s="1679" t="s">
        <v>4160</v>
      </c>
      <c r="I12" s="75"/>
      <c r="J12" s="1679"/>
      <c r="K12" s="75">
        <v>1.6</v>
      </c>
      <c r="L12" s="1679" t="s">
        <v>4160</v>
      </c>
      <c r="M12" s="75"/>
      <c r="N12" s="1679"/>
      <c r="O12" s="75">
        <v>1.4</v>
      </c>
      <c r="P12" s="1679" t="s">
        <v>4160</v>
      </c>
      <c r="Q12" s="75"/>
      <c r="R12" s="1679"/>
      <c r="S12" s="75">
        <v>6.1</v>
      </c>
      <c r="T12" s="1679" t="s">
        <v>4160</v>
      </c>
      <c r="U12" s="75"/>
      <c r="V12" s="1679"/>
    </row>
    <row r="13" spans="1:22">
      <c r="A13" s="1678" t="s">
        <v>99</v>
      </c>
      <c r="B13" s="75" t="s">
        <v>100</v>
      </c>
      <c r="C13" s="75">
        <v>0.1</v>
      </c>
      <c r="D13" s="1679" t="s">
        <v>4160</v>
      </c>
      <c r="E13" s="75" t="s">
        <v>115</v>
      </c>
      <c r="F13" s="1679" t="s">
        <v>115</v>
      </c>
      <c r="G13" s="75">
        <v>0.47</v>
      </c>
      <c r="H13" s="1679" t="s">
        <v>4160</v>
      </c>
      <c r="I13" s="75" t="s">
        <v>115</v>
      </c>
      <c r="J13" s="1679" t="s">
        <v>115</v>
      </c>
      <c r="K13" s="75">
        <v>6.3E-3</v>
      </c>
      <c r="L13" s="1679" t="s">
        <v>4160</v>
      </c>
      <c r="M13" s="75" t="s">
        <v>115</v>
      </c>
      <c r="N13" s="1679" t="s">
        <v>115</v>
      </c>
      <c r="O13" s="75">
        <v>4.0000000000000001E-3</v>
      </c>
      <c r="P13" s="1679" t="s">
        <v>4160</v>
      </c>
      <c r="Q13" s="75" t="s">
        <v>115</v>
      </c>
      <c r="R13" s="1679" t="s">
        <v>115</v>
      </c>
      <c r="S13" s="75">
        <v>1.7000000000000001E-2</v>
      </c>
      <c r="T13" s="1679" t="s">
        <v>4160</v>
      </c>
      <c r="U13" s="75" t="s">
        <v>115</v>
      </c>
      <c r="V13" s="1679" t="s">
        <v>115</v>
      </c>
    </row>
    <row r="14" spans="1:22">
      <c r="A14" s="1678" t="s">
        <v>101</v>
      </c>
      <c r="B14" s="75" t="s">
        <v>102</v>
      </c>
      <c r="C14" s="75" t="s">
        <v>115</v>
      </c>
      <c r="D14" s="1679" t="s">
        <v>115</v>
      </c>
      <c r="E14" s="75">
        <v>2000</v>
      </c>
      <c r="F14" s="1679" t="s">
        <v>4160</v>
      </c>
      <c r="G14" s="75" t="s">
        <v>115</v>
      </c>
      <c r="H14" s="1679" t="s">
        <v>115</v>
      </c>
      <c r="I14" s="75">
        <v>16000</v>
      </c>
      <c r="J14" s="1679" t="s">
        <v>4160</v>
      </c>
      <c r="K14" s="75" t="s">
        <v>115</v>
      </c>
      <c r="L14" s="1679" t="s">
        <v>115</v>
      </c>
      <c r="M14" s="75">
        <v>230</v>
      </c>
      <c r="N14" s="1679" t="s">
        <v>4160</v>
      </c>
      <c r="O14" s="75" t="s">
        <v>115</v>
      </c>
      <c r="P14" s="1679" t="s">
        <v>115</v>
      </c>
      <c r="Q14" s="75">
        <v>170</v>
      </c>
      <c r="R14" s="1679" t="s">
        <v>4160</v>
      </c>
      <c r="S14" s="75" t="s">
        <v>115</v>
      </c>
      <c r="T14" s="1679" t="s">
        <v>115</v>
      </c>
      <c r="U14" s="75">
        <v>700</v>
      </c>
      <c r="V14" s="1679" t="s">
        <v>4160</v>
      </c>
    </row>
    <row r="15" spans="1:22">
      <c r="A15" s="1678" t="s">
        <v>103</v>
      </c>
      <c r="B15" s="75" t="s">
        <v>104</v>
      </c>
      <c r="C15" s="75"/>
      <c r="D15" s="1679"/>
      <c r="E15" s="75"/>
      <c r="F15" s="1679"/>
      <c r="G15" s="75">
        <v>140</v>
      </c>
      <c r="H15" s="1679" t="s">
        <v>4160</v>
      </c>
      <c r="I15" s="75">
        <v>14000</v>
      </c>
      <c r="J15" s="1679" t="s">
        <v>4160</v>
      </c>
      <c r="K15" s="75"/>
      <c r="L15" s="1679"/>
      <c r="M15" s="75"/>
      <c r="N15" s="1679"/>
      <c r="O15" s="75"/>
      <c r="P15" s="1679"/>
      <c r="Q15" s="75"/>
      <c r="R15" s="1679"/>
      <c r="S15" s="75"/>
      <c r="T15" s="1679"/>
      <c r="U15" s="75"/>
      <c r="V15" s="1679"/>
    </row>
    <row r="16" spans="1:22">
      <c r="A16" s="1678" t="s">
        <v>105</v>
      </c>
      <c r="B16" s="75" t="s">
        <v>106</v>
      </c>
      <c r="C16" s="75"/>
      <c r="D16" s="1679"/>
      <c r="E16" s="75"/>
      <c r="F16" s="1679"/>
      <c r="G16" s="75"/>
      <c r="H16" s="1679"/>
      <c r="I16" s="75"/>
      <c r="J16" s="1679"/>
      <c r="K16" s="75"/>
      <c r="L16" s="1679"/>
      <c r="M16" s="75"/>
      <c r="N16" s="1679"/>
      <c r="O16" s="75"/>
      <c r="P16" s="1679"/>
      <c r="Q16" s="75"/>
      <c r="R16" s="1679"/>
      <c r="S16" s="75"/>
      <c r="T16" s="1679"/>
      <c r="U16" s="75"/>
      <c r="V16" s="1679"/>
    </row>
    <row r="17" spans="1:22">
      <c r="A17" s="1678" t="s">
        <v>107</v>
      </c>
      <c r="B17" s="75" t="s">
        <v>108</v>
      </c>
      <c r="C17" s="75"/>
      <c r="D17" s="1679"/>
      <c r="E17" s="75">
        <v>110</v>
      </c>
      <c r="F17" s="1679" t="s">
        <v>4160</v>
      </c>
      <c r="G17" s="75"/>
      <c r="H17" s="1679"/>
      <c r="I17" s="75">
        <v>530</v>
      </c>
      <c r="J17" s="1679" t="s">
        <v>4160</v>
      </c>
      <c r="K17" s="75"/>
      <c r="L17" s="1679"/>
      <c r="M17" s="75">
        <v>46</v>
      </c>
      <c r="N17" s="1679" t="s">
        <v>4160</v>
      </c>
      <c r="O17" s="75"/>
      <c r="P17" s="1679"/>
      <c r="Q17" s="75">
        <v>33</v>
      </c>
      <c r="R17" s="1679" t="s">
        <v>4160</v>
      </c>
      <c r="S17" s="75"/>
      <c r="T17" s="1679"/>
      <c r="U17" s="75">
        <v>140</v>
      </c>
      <c r="V17" s="1679" t="s">
        <v>4160</v>
      </c>
    </row>
    <row r="18" spans="1:22">
      <c r="A18" s="1678" t="s">
        <v>109</v>
      </c>
      <c r="B18" s="75" t="s">
        <v>110</v>
      </c>
      <c r="C18" s="75"/>
      <c r="D18" s="1679"/>
      <c r="E18" s="75">
        <v>530</v>
      </c>
      <c r="F18" s="1679" t="s">
        <v>4160</v>
      </c>
      <c r="G18" s="75"/>
      <c r="H18" s="1679"/>
      <c r="I18" s="75">
        <v>3000</v>
      </c>
      <c r="J18" s="1679" t="s">
        <v>4160</v>
      </c>
      <c r="K18" s="75"/>
      <c r="L18" s="1679"/>
      <c r="M18" s="75">
        <v>120</v>
      </c>
      <c r="N18" s="1679" t="s">
        <v>4160</v>
      </c>
      <c r="O18" s="75"/>
      <c r="P18" s="1679"/>
      <c r="Q18" s="75">
        <v>83</v>
      </c>
      <c r="R18" s="1679" t="s">
        <v>4160</v>
      </c>
      <c r="S18" s="75"/>
      <c r="T18" s="1679"/>
      <c r="U18" s="75">
        <v>350</v>
      </c>
      <c r="V18" s="1679" t="s">
        <v>4160</v>
      </c>
    </row>
    <row r="19" spans="1:22">
      <c r="A19" s="1678" t="s">
        <v>111</v>
      </c>
      <c r="B19" s="75" t="s">
        <v>112</v>
      </c>
      <c r="C19" s="75"/>
      <c r="D19" s="1679"/>
      <c r="E19" s="75"/>
      <c r="F19" s="1679"/>
      <c r="G19" s="75"/>
      <c r="H19" s="1679"/>
      <c r="I19" s="75"/>
      <c r="J19" s="1679"/>
      <c r="K19" s="75"/>
      <c r="L19" s="1679"/>
      <c r="M19" s="75"/>
      <c r="N19" s="1679"/>
      <c r="O19" s="75"/>
      <c r="P19" s="1679"/>
      <c r="Q19" s="75"/>
      <c r="R19" s="1679"/>
      <c r="S19" s="75"/>
      <c r="T19" s="1679"/>
      <c r="U19" s="75"/>
      <c r="V19" s="1679"/>
    </row>
    <row r="20" spans="1:22">
      <c r="A20" s="1678" t="s">
        <v>113</v>
      </c>
      <c r="B20" s="75" t="s">
        <v>114</v>
      </c>
      <c r="C20" s="75">
        <v>910</v>
      </c>
      <c r="D20" s="1679" t="s">
        <v>4160</v>
      </c>
      <c r="E20" s="75"/>
      <c r="F20" s="1679"/>
      <c r="G20" s="75">
        <v>4000</v>
      </c>
      <c r="H20" s="1679" t="s">
        <v>4160</v>
      </c>
      <c r="I20" s="75"/>
      <c r="J20" s="1679"/>
      <c r="K20" s="75" t="s">
        <v>115</v>
      </c>
      <c r="L20" s="1679" t="s">
        <v>115</v>
      </c>
      <c r="M20" s="75">
        <v>2</v>
      </c>
      <c r="N20" s="1679" t="s">
        <v>4160</v>
      </c>
      <c r="O20" s="75">
        <v>6.7000000000000002E-4</v>
      </c>
      <c r="P20" s="1679" t="s">
        <v>4160</v>
      </c>
      <c r="Q20" s="75"/>
      <c r="R20" s="1679"/>
      <c r="S20" s="75">
        <v>2.8999999999999998E-3</v>
      </c>
      <c r="T20" s="1679" t="s">
        <v>4160</v>
      </c>
      <c r="U20" s="75"/>
      <c r="V20" s="1679"/>
    </row>
    <row r="21" spans="1:22">
      <c r="A21" s="1678" t="s">
        <v>117</v>
      </c>
      <c r="B21" s="75" t="s">
        <v>118</v>
      </c>
      <c r="C21" s="75"/>
      <c r="D21" s="1679"/>
      <c r="E21" s="75">
        <v>52</v>
      </c>
      <c r="F21" s="1679" t="s">
        <v>4160</v>
      </c>
      <c r="G21" s="75"/>
      <c r="H21" s="1679"/>
      <c r="I21" s="75">
        <v>250</v>
      </c>
      <c r="J21" s="1679" t="s">
        <v>4160</v>
      </c>
      <c r="K21" s="75"/>
      <c r="L21" s="1679"/>
      <c r="M21" s="75">
        <v>37</v>
      </c>
      <c r="N21" s="1679" t="s">
        <v>4160</v>
      </c>
      <c r="O21" s="75"/>
      <c r="P21" s="1679"/>
      <c r="Q21" s="75">
        <v>42</v>
      </c>
      <c r="R21" s="1679" t="s">
        <v>4160</v>
      </c>
      <c r="S21" s="75"/>
      <c r="T21" s="1679"/>
      <c r="U21" s="75">
        <v>180</v>
      </c>
      <c r="V21" s="1679" t="s">
        <v>4160</v>
      </c>
    </row>
    <row r="22" spans="1:22">
      <c r="A22" s="1678" t="s">
        <v>119</v>
      </c>
      <c r="B22" s="75" t="s">
        <v>120</v>
      </c>
      <c r="C22" s="75"/>
      <c r="D22" s="1679"/>
      <c r="E22" s="75"/>
      <c r="F22" s="1679"/>
      <c r="G22" s="75"/>
      <c r="H22" s="1679"/>
      <c r="I22" s="75"/>
      <c r="J22" s="1679"/>
      <c r="K22" s="75"/>
      <c r="L22" s="1679"/>
      <c r="M22" s="75"/>
      <c r="N22" s="1679"/>
      <c r="O22" s="75"/>
      <c r="P22" s="1679"/>
      <c r="Q22" s="75"/>
      <c r="R22" s="1679"/>
      <c r="S22" s="75"/>
      <c r="T22" s="1679"/>
      <c r="U22" s="75"/>
      <c r="V22" s="1679"/>
    </row>
    <row r="23" spans="1:22">
      <c r="A23" s="1678" t="s">
        <v>121</v>
      </c>
      <c r="B23" s="75" t="s">
        <v>122</v>
      </c>
      <c r="C23" s="75"/>
      <c r="D23" s="1679"/>
      <c r="E23" s="75"/>
      <c r="F23" s="1679"/>
      <c r="G23" s="75">
        <v>9.5</v>
      </c>
      <c r="H23" s="1679" t="s">
        <v>4160</v>
      </c>
      <c r="I23" s="75">
        <v>340</v>
      </c>
      <c r="J23" s="1679" t="s">
        <v>4160</v>
      </c>
      <c r="K23" s="75"/>
      <c r="L23" s="1679"/>
      <c r="M23" s="75"/>
      <c r="N23" s="1679"/>
      <c r="O23" s="75"/>
      <c r="P23" s="1679"/>
      <c r="Q23" s="75"/>
      <c r="R23" s="1679"/>
      <c r="S23" s="75"/>
      <c r="T23" s="1679"/>
      <c r="U23" s="75"/>
      <c r="V23" s="1679"/>
    </row>
    <row r="24" spans="1:22">
      <c r="A24" s="1678" t="s">
        <v>123</v>
      </c>
      <c r="B24" s="75" t="s">
        <v>124</v>
      </c>
      <c r="C24" s="75"/>
      <c r="D24" s="1679"/>
      <c r="E24" s="75"/>
      <c r="F24" s="1679"/>
      <c r="G24" s="75"/>
      <c r="H24" s="1679"/>
      <c r="I24" s="75"/>
      <c r="J24" s="1679"/>
      <c r="K24" s="75"/>
      <c r="L24" s="1679"/>
      <c r="M24" s="75"/>
      <c r="N24" s="1679"/>
      <c r="O24" s="75"/>
      <c r="P24" s="1679"/>
      <c r="Q24" s="75"/>
      <c r="R24" s="1679"/>
      <c r="S24" s="75"/>
      <c r="T24" s="1679"/>
      <c r="U24" s="75"/>
      <c r="V24" s="1679"/>
    </row>
    <row r="25" spans="1:22">
      <c r="A25" s="1678" t="s">
        <v>125</v>
      </c>
      <c r="B25" s="75" t="s">
        <v>126</v>
      </c>
      <c r="C25" s="75"/>
      <c r="D25" s="1679"/>
      <c r="E25" s="75"/>
      <c r="F25" s="1679"/>
      <c r="G25" s="75"/>
      <c r="H25" s="1679"/>
      <c r="I25" s="75"/>
      <c r="J25" s="1679"/>
      <c r="K25" s="75"/>
      <c r="L25" s="1679"/>
      <c r="M25" s="75"/>
      <c r="N25" s="1679"/>
      <c r="O25" s="75"/>
      <c r="P25" s="1679"/>
      <c r="Q25" s="75"/>
      <c r="R25" s="1679"/>
      <c r="S25" s="75"/>
      <c r="T25" s="1679"/>
      <c r="U25" s="75"/>
      <c r="V25" s="1679"/>
    </row>
    <row r="26" spans="1:22">
      <c r="A26" s="1678" t="s">
        <v>127</v>
      </c>
      <c r="B26" s="75" t="s">
        <v>128</v>
      </c>
      <c r="C26" s="75"/>
      <c r="D26" s="1679"/>
      <c r="E26" s="75"/>
      <c r="F26" s="1679"/>
      <c r="G26" s="75"/>
      <c r="H26" s="1679"/>
      <c r="I26" s="75"/>
      <c r="J26" s="1679"/>
      <c r="K26" s="75"/>
      <c r="L26" s="1679"/>
      <c r="M26" s="75"/>
      <c r="N26" s="1679"/>
      <c r="O26" s="75"/>
      <c r="P26" s="1679"/>
      <c r="Q26" s="75"/>
      <c r="R26" s="1679"/>
      <c r="S26" s="75"/>
      <c r="T26" s="1679"/>
      <c r="U26" s="75"/>
      <c r="V26" s="1679"/>
    </row>
    <row r="27" spans="1:22">
      <c r="A27" s="1678" t="s">
        <v>129</v>
      </c>
      <c r="B27" s="75" t="s">
        <v>130</v>
      </c>
      <c r="C27" s="75"/>
      <c r="D27" s="1679"/>
      <c r="E27" s="75"/>
      <c r="F27" s="1679"/>
      <c r="G27" s="75"/>
      <c r="H27" s="1679"/>
      <c r="I27" s="75"/>
      <c r="J27" s="1679"/>
      <c r="K27" s="75"/>
      <c r="L27" s="1679"/>
      <c r="M27" s="75"/>
      <c r="N27" s="1679"/>
      <c r="O27" s="75"/>
      <c r="P27" s="1679"/>
      <c r="Q27" s="75"/>
      <c r="R27" s="1679"/>
      <c r="S27" s="75"/>
      <c r="T27" s="1679"/>
      <c r="U27" s="75"/>
      <c r="V27" s="1679"/>
    </row>
    <row r="28" spans="1:22">
      <c r="A28" s="1678" t="s">
        <v>131</v>
      </c>
      <c r="B28" s="75" t="s">
        <v>132</v>
      </c>
      <c r="C28" s="75" t="s">
        <v>115</v>
      </c>
      <c r="D28" s="1679" t="s">
        <v>115</v>
      </c>
      <c r="E28" s="75">
        <v>340</v>
      </c>
      <c r="F28" s="1679" t="s">
        <v>4160</v>
      </c>
      <c r="G28" s="75" t="s">
        <v>115</v>
      </c>
      <c r="H28" s="1679" t="s">
        <v>115</v>
      </c>
      <c r="I28" s="75">
        <v>3900</v>
      </c>
      <c r="J28" s="1679" t="s">
        <v>4160</v>
      </c>
      <c r="K28" s="75" t="s">
        <v>115</v>
      </c>
      <c r="L28" s="1679" t="s">
        <v>115</v>
      </c>
      <c r="M28" s="75">
        <v>29</v>
      </c>
      <c r="N28" s="1679" t="s">
        <v>4160</v>
      </c>
      <c r="O28" s="75" t="s">
        <v>115</v>
      </c>
      <c r="P28" s="1679" t="s">
        <v>115</v>
      </c>
      <c r="Q28" s="75">
        <v>21</v>
      </c>
      <c r="R28" s="1679" t="s">
        <v>4160</v>
      </c>
      <c r="S28" s="75" t="s">
        <v>115</v>
      </c>
      <c r="T28" s="1679" t="s">
        <v>115</v>
      </c>
      <c r="U28" s="75">
        <v>88</v>
      </c>
      <c r="V28" s="1679" t="s">
        <v>4160</v>
      </c>
    </row>
    <row r="29" spans="1:22">
      <c r="A29" s="1678" t="s">
        <v>133</v>
      </c>
      <c r="B29" s="75" t="s">
        <v>134</v>
      </c>
      <c r="C29" s="75"/>
      <c r="D29" s="1679"/>
      <c r="E29" s="75"/>
      <c r="F29" s="1679"/>
      <c r="G29" s="75"/>
      <c r="H29" s="1679"/>
      <c r="I29" s="75"/>
      <c r="J29" s="1679"/>
      <c r="K29" s="75"/>
      <c r="L29" s="1679"/>
      <c r="M29" s="75"/>
      <c r="N29" s="1679"/>
      <c r="O29" s="75"/>
      <c r="P29" s="1679"/>
      <c r="Q29" s="75"/>
      <c r="R29" s="1679"/>
      <c r="S29" s="75"/>
      <c r="T29" s="1679"/>
      <c r="U29" s="75"/>
      <c r="V29" s="1679"/>
    </row>
    <row r="30" spans="1:22">
      <c r="A30" s="1678" t="s">
        <v>135</v>
      </c>
      <c r="B30" s="75" t="s">
        <v>136</v>
      </c>
      <c r="C30" s="75"/>
      <c r="D30" s="1679"/>
      <c r="E30" s="75"/>
      <c r="F30" s="1679"/>
      <c r="G30" s="75"/>
      <c r="H30" s="1679"/>
      <c r="I30" s="75"/>
      <c r="J30" s="1679"/>
      <c r="K30" s="75"/>
      <c r="L30" s="1679"/>
      <c r="M30" s="75"/>
      <c r="N30" s="1679"/>
      <c r="O30" s="75"/>
      <c r="P30" s="1679"/>
      <c r="Q30" s="75"/>
      <c r="R30" s="1679"/>
      <c r="S30" s="75"/>
      <c r="T30" s="1679"/>
      <c r="U30" s="75"/>
      <c r="V30" s="1679"/>
    </row>
    <row r="31" spans="1:22">
      <c r="A31" s="1678" t="s">
        <v>137</v>
      </c>
      <c r="B31" s="75" t="s">
        <v>138</v>
      </c>
      <c r="C31" s="75">
        <v>0.3</v>
      </c>
      <c r="D31" s="1679" t="s">
        <v>4160</v>
      </c>
      <c r="E31" s="75"/>
      <c r="F31" s="1679"/>
      <c r="G31" s="75">
        <v>6.2</v>
      </c>
      <c r="H31" s="1679" t="s">
        <v>4160</v>
      </c>
      <c r="I31" s="75"/>
      <c r="J31" s="1679"/>
      <c r="K31" s="75"/>
      <c r="L31" s="1679"/>
      <c r="M31" s="75"/>
      <c r="N31" s="1679"/>
      <c r="O31" s="75">
        <v>6.8000000000000001E-6</v>
      </c>
      <c r="P31" s="1679" t="s">
        <v>4160</v>
      </c>
      <c r="Q31" s="75"/>
      <c r="R31" s="1679"/>
      <c r="S31" s="75">
        <v>8.2000000000000001E-5</v>
      </c>
      <c r="T31" s="1679" t="s">
        <v>4160</v>
      </c>
      <c r="U31" s="75"/>
      <c r="V31" s="1679"/>
    </row>
    <row r="32" spans="1:22">
      <c r="A32" s="1678" t="s">
        <v>139</v>
      </c>
      <c r="B32" s="75" t="s">
        <v>140</v>
      </c>
      <c r="C32" s="75"/>
      <c r="D32" s="1679"/>
      <c r="E32" s="75"/>
      <c r="F32" s="1679"/>
      <c r="G32" s="75"/>
      <c r="H32" s="1679"/>
      <c r="I32" s="75"/>
      <c r="J32" s="1679"/>
      <c r="K32" s="75"/>
      <c r="L32" s="1679"/>
      <c r="M32" s="75"/>
      <c r="N32" s="1679"/>
      <c r="O32" s="75"/>
      <c r="P32" s="1679"/>
      <c r="Q32" s="75"/>
      <c r="R32" s="1679"/>
      <c r="S32" s="75"/>
      <c r="T32" s="1679"/>
      <c r="U32" s="75"/>
      <c r="V32" s="1679"/>
    </row>
    <row r="33" spans="1:22">
      <c r="A33" s="1678" t="s">
        <v>141</v>
      </c>
      <c r="B33" s="75" t="s">
        <v>142</v>
      </c>
      <c r="C33" s="75"/>
      <c r="D33" s="1679"/>
      <c r="E33" s="75"/>
      <c r="F33" s="1679"/>
      <c r="G33" s="75"/>
      <c r="H33" s="1679"/>
      <c r="I33" s="75"/>
      <c r="J33" s="1679"/>
      <c r="K33" s="75"/>
      <c r="L33" s="1679"/>
      <c r="M33" s="75"/>
      <c r="N33" s="1679"/>
      <c r="O33" s="75"/>
      <c r="P33" s="1679"/>
      <c r="Q33" s="75"/>
      <c r="R33" s="1679"/>
      <c r="S33" s="75"/>
      <c r="T33" s="1679"/>
      <c r="U33" s="75"/>
      <c r="V33" s="1679"/>
    </row>
    <row r="34" spans="1:22">
      <c r="A34" s="1678" t="s">
        <v>143</v>
      </c>
      <c r="B34" s="75" t="s">
        <v>144</v>
      </c>
      <c r="C34" s="75"/>
      <c r="D34" s="1679"/>
      <c r="E34" s="75"/>
      <c r="F34" s="1679"/>
      <c r="G34" s="75"/>
      <c r="H34" s="1679"/>
      <c r="I34" s="75"/>
      <c r="J34" s="1679"/>
      <c r="K34" s="75"/>
      <c r="L34" s="1679"/>
      <c r="M34" s="75"/>
      <c r="N34" s="1679"/>
      <c r="O34" s="75"/>
      <c r="P34" s="1679"/>
      <c r="Q34" s="75"/>
      <c r="R34" s="1679"/>
      <c r="S34" s="75"/>
      <c r="T34" s="1679"/>
      <c r="U34" s="75"/>
      <c r="V34" s="1679"/>
    </row>
    <row r="35" spans="1:22">
      <c r="A35" s="1678" t="s">
        <v>145</v>
      </c>
      <c r="B35" s="75" t="s">
        <v>146</v>
      </c>
      <c r="C35" s="75">
        <v>0.94</v>
      </c>
      <c r="D35" s="1679" t="s">
        <v>4160</v>
      </c>
      <c r="E35" s="75">
        <v>470</v>
      </c>
      <c r="F35" s="1679" t="s">
        <v>4160</v>
      </c>
      <c r="G35" s="75">
        <v>4.0999999999999996</v>
      </c>
      <c r="H35" s="1679" t="s">
        <v>4160</v>
      </c>
      <c r="I35" s="75">
        <v>2500</v>
      </c>
      <c r="J35" s="1679" t="s">
        <v>4160</v>
      </c>
      <c r="K35" s="75">
        <v>0.2</v>
      </c>
      <c r="L35" s="1679" t="s">
        <v>4160</v>
      </c>
      <c r="M35" s="75">
        <v>120</v>
      </c>
      <c r="N35" s="1679" t="s">
        <v>4160</v>
      </c>
      <c r="O35" s="75">
        <v>0.13</v>
      </c>
      <c r="P35" s="1679" t="s">
        <v>4160</v>
      </c>
      <c r="Q35" s="75">
        <v>83</v>
      </c>
      <c r="R35" s="1679" t="s">
        <v>4160</v>
      </c>
      <c r="S35" s="75">
        <v>0.57999999999999996</v>
      </c>
      <c r="T35" s="1679" t="s">
        <v>4160</v>
      </c>
      <c r="U35" s="75">
        <v>350</v>
      </c>
      <c r="V35" s="1679" t="s">
        <v>4160</v>
      </c>
    </row>
    <row r="36" spans="1:22">
      <c r="A36" s="1678" t="s">
        <v>147</v>
      </c>
      <c r="B36" s="75" t="s">
        <v>148</v>
      </c>
      <c r="C36" s="75">
        <v>4.3E-3</v>
      </c>
      <c r="D36" s="1679" t="s">
        <v>4160</v>
      </c>
      <c r="E36" s="75"/>
      <c r="F36" s="1679"/>
      <c r="G36" s="75">
        <v>5.7000000000000002E-2</v>
      </c>
      <c r="H36" s="1679" t="s">
        <v>4160</v>
      </c>
      <c r="I36" s="75"/>
      <c r="J36" s="1679"/>
      <c r="K36" s="75"/>
      <c r="L36" s="1679"/>
      <c r="M36" s="75"/>
      <c r="N36" s="1679"/>
      <c r="O36" s="75"/>
      <c r="P36" s="1679"/>
      <c r="Q36" s="75"/>
      <c r="R36" s="1679"/>
      <c r="S36" s="75"/>
      <c r="T36" s="1679"/>
      <c r="U36" s="75"/>
      <c r="V36" s="1679"/>
    </row>
    <row r="37" spans="1:22">
      <c r="A37" s="1678" t="s">
        <v>149</v>
      </c>
      <c r="B37" s="75" t="s">
        <v>150</v>
      </c>
      <c r="C37" s="75"/>
      <c r="D37" s="1679"/>
      <c r="E37" s="75">
        <v>7.1</v>
      </c>
      <c r="F37" s="1679" t="s">
        <v>4160</v>
      </c>
      <c r="G37" s="75"/>
      <c r="H37" s="1679"/>
      <c r="I37" s="75">
        <v>30</v>
      </c>
      <c r="J37" s="1679" t="s">
        <v>4160</v>
      </c>
      <c r="K37" s="75"/>
      <c r="L37" s="1679"/>
      <c r="M37" s="75">
        <v>1.7</v>
      </c>
      <c r="N37" s="1679" t="s">
        <v>4160</v>
      </c>
      <c r="O37" s="75"/>
      <c r="P37" s="1679"/>
      <c r="Q37" s="75">
        <v>0.83</v>
      </c>
      <c r="R37" s="1679" t="s">
        <v>4160</v>
      </c>
      <c r="S37" s="75"/>
      <c r="T37" s="1679"/>
      <c r="U37" s="75">
        <v>3.5</v>
      </c>
      <c r="V37" s="1679" t="s">
        <v>4160</v>
      </c>
    </row>
    <row r="38" spans="1:22">
      <c r="A38" s="1678" t="s">
        <v>151</v>
      </c>
      <c r="B38" s="75" t="s">
        <v>152</v>
      </c>
      <c r="C38" s="75"/>
      <c r="D38" s="1679"/>
      <c r="E38" s="75"/>
      <c r="F38" s="1679"/>
      <c r="G38" s="75"/>
      <c r="H38" s="1679"/>
      <c r="I38" s="75"/>
      <c r="J38" s="1679"/>
      <c r="K38" s="75"/>
      <c r="L38" s="1679"/>
      <c r="M38" s="75"/>
      <c r="N38" s="1679"/>
      <c r="O38" s="75"/>
      <c r="P38" s="1679"/>
      <c r="Q38" s="75"/>
      <c r="R38" s="1679"/>
      <c r="S38" s="75"/>
      <c r="T38" s="1679"/>
      <c r="U38" s="75"/>
      <c r="V38" s="1679"/>
    </row>
    <row r="39" spans="1:22">
      <c r="A39" s="1678" t="s">
        <v>153</v>
      </c>
      <c r="B39" s="75" t="s">
        <v>154</v>
      </c>
      <c r="C39" s="75"/>
      <c r="D39" s="1679"/>
      <c r="E39" s="75"/>
      <c r="F39" s="1679"/>
      <c r="G39" s="75"/>
      <c r="H39" s="1679"/>
      <c r="I39" s="75"/>
      <c r="J39" s="1679"/>
      <c r="K39" s="75"/>
      <c r="L39" s="1679"/>
      <c r="M39" s="75"/>
      <c r="N39" s="1679"/>
      <c r="O39" s="75"/>
      <c r="P39" s="1679"/>
      <c r="Q39" s="75"/>
      <c r="R39" s="1679"/>
      <c r="S39" s="75"/>
      <c r="T39" s="1679"/>
      <c r="U39" s="75"/>
      <c r="V39" s="1679"/>
    </row>
    <row r="40" spans="1:22">
      <c r="A40" s="1678" t="s">
        <v>155</v>
      </c>
      <c r="B40" s="75" t="s">
        <v>156</v>
      </c>
      <c r="C40" s="75">
        <v>0.45</v>
      </c>
      <c r="D40" s="1679" t="s">
        <v>4160</v>
      </c>
      <c r="E40" s="75" t="s">
        <v>115</v>
      </c>
      <c r="F40" s="1679" t="s">
        <v>115</v>
      </c>
      <c r="G40" s="75">
        <v>1.6</v>
      </c>
      <c r="H40" s="1679" t="s">
        <v>4160</v>
      </c>
      <c r="I40" s="75" t="s">
        <v>115</v>
      </c>
      <c r="J40" s="1679" t="s">
        <v>115</v>
      </c>
      <c r="K40" s="75">
        <v>4.7E-2</v>
      </c>
      <c r="L40" s="1679" t="s">
        <v>4160</v>
      </c>
      <c r="M40" s="75" t="s">
        <v>115</v>
      </c>
      <c r="N40" s="1679" t="s">
        <v>115</v>
      </c>
      <c r="O40" s="75"/>
      <c r="P40" s="1679"/>
      <c r="Q40" s="75"/>
      <c r="R40" s="1679"/>
      <c r="S40" s="75"/>
      <c r="T40" s="1679"/>
      <c r="U40" s="75"/>
      <c r="V40" s="1679"/>
    </row>
    <row r="41" spans="1:22">
      <c r="A41" s="1678" t="s">
        <v>157</v>
      </c>
      <c r="B41" s="75" t="s">
        <v>158</v>
      </c>
      <c r="C41" s="75"/>
      <c r="D41" s="1679"/>
      <c r="E41" s="75"/>
      <c r="F41" s="1679"/>
      <c r="G41" s="75">
        <v>7.9</v>
      </c>
      <c r="H41" s="1679" t="s">
        <v>4160</v>
      </c>
      <c r="I41" s="75">
        <v>340</v>
      </c>
      <c r="J41" s="1679" t="s">
        <v>4160</v>
      </c>
      <c r="K41" s="75"/>
      <c r="L41" s="1679"/>
      <c r="M41" s="75"/>
      <c r="N41" s="1679"/>
      <c r="O41" s="75"/>
      <c r="P41" s="1679"/>
      <c r="Q41" s="75"/>
      <c r="R41" s="1679"/>
      <c r="S41" s="75"/>
      <c r="T41" s="1679"/>
      <c r="U41" s="75"/>
      <c r="V41" s="1679"/>
    </row>
    <row r="42" spans="1:22">
      <c r="A42" s="1678" t="s">
        <v>159</v>
      </c>
      <c r="B42" s="75" t="s">
        <v>160</v>
      </c>
      <c r="C42" s="75"/>
      <c r="D42" s="1679"/>
      <c r="E42" s="75"/>
      <c r="F42" s="1679"/>
      <c r="G42" s="75"/>
      <c r="H42" s="1679"/>
      <c r="I42" s="75"/>
      <c r="J42" s="1679"/>
      <c r="K42" s="75"/>
      <c r="L42" s="1679"/>
      <c r="M42" s="75">
        <v>2</v>
      </c>
      <c r="N42" s="1679" t="s">
        <v>4160</v>
      </c>
      <c r="O42" s="75"/>
      <c r="P42" s="1679"/>
      <c r="Q42" s="75">
        <v>1.3</v>
      </c>
      <c r="R42" s="1679" t="s">
        <v>4160</v>
      </c>
      <c r="S42" s="75"/>
      <c r="T42" s="1679"/>
      <c r="U42" s="75">
        <v>5.3</v>
      </c>
      <c r="V42" s="1679" t="s">
        <v>4160</v>
      </c>
    </row>
    <row r="43" spans="1:22">
      <c r="A43" s="1678" t="s">
        <v>161</v>
      </c>
      <c r="B43" s="75" t="s">
        <v>162</v>
      </c>
      <c r="C43" s="75"/>
      <c r="D43" s="1679"/>
      <c r="E43" s="75"/>
      <c r="F43" s="1679"/>
      <c r="G43" s="75"/>
      <c r="H43" s="1679"/>
      <c r="I43" s="75"/>
      <c r="J43" s="1679"/>
      <c r="K43" s="75"/>
      <c r="L43" s="1679"/>
      <c r="M43" s="75"/>
      <c r="N43" s="1679"/>
      <c r="O43" s="75"/>
      <c r="P43" s="1679"/>
      <c r="Q43" s="75"/>
      <c r="R43" s="1679"/>
      <c r="S43" s="75"/>
      <c r="T43" s="1679"/>
      <c r="U43" s="75"/>
      <c r="V43" s="1679"/>
    </row>
    <row r="44" spans="1:22">
      <c r="A44" s="1678" t="s">
        <v>163</v>
      </c>
      <c r="B44" s="75" t="s">
        <v>164</v>
      </c>
      <c r="C44" s="75"/>
      <c r="D44" s="1679"/>
      <c r="E44" s="75">
        <v>1600</v>
      </c>
      <c r="F44" s="1679" t="s">
        <v>4160</v>
      </c>
      <c r="G44" s="75"/>
      <c r="H44" s="1679"/>
      <c r="I44" s="75">
        <v>7100</v>
      </c>
      <c r="J44" s="1679" t="s">
        <v>4160</v>
      </c>
      <c r="K44" s="75"/>
      <c r="L44" s="1679"/>
      <c r="M44" s="75">
        <v>1200</v>
      </c>
      <c r="N44" s="1679" t="s">
        <v>4160</v>
      </c>
      <c r="O44" s="75"/>
      <c r="P44" s="1679"/>
      <c r="Q44" s="75">
        <v>830</v>
      </c>
      <c r="R44" s="1679" t="s">
        <v>4160</v>
      </c>
      <c r="S44" s="75"/>
      <c r="T44" s="1679"/>
      <c r="U44" s="75">
        <v>3500</v>
      </c>
      <c r="V44" s="1679" t="s">
        <v>4160</v>
      </c>
    </row>
    <row r="45" spans="1:22">
      <c r="A45" s="1678" t="s">
        <v>165</v>
      </c>
      <c r="B45" s="75" t="s">
        <v>166</v>
      </c>
      <c r="C45" s="75"/>
      <c r="D45" s="1679"/>
      <c r="E45" s="75"/>
      <c r="F45" s="1679"/>
      <c r="G45" s="75"/>
      <c r="H45" s="1679"/>
      <c r="I45" s="75"/>
      <c r="J45" s="1679"/>
      <c r="K45" s="75"/>
      <c r="L45" s="1679"/>
      <c r="M45" s="75"/>
      <c r="N45" s="1679"/>
      <c r="O45" s="75"/>
      <c r="P45" s="1679"/>
      <c r="Q45" s="75"/>
      <c r="R45" s="1679"/>
      <c r="S45" s="75"/>
      <c r="T45" s="1679"/>
      <c r="U45" s="75"/>
      <c r="V45" s="1679"/>
    </row>
    <row r="46" spans="1:22">
      <c r="A46" s="1678" t="s">
        <v>167</v>
      </c>
      <c r="B46" s="75" t="s">
        <v>168</v>
      </c>
      <c r="C46" s="75" t="s">
        <v>115</v>
      </c>
      <c r="D46" s="1679" t="s">
        <v>115</v>
      </c>
      <c r="E46" s="75" t="s">
        <v>4161</v>
      </c>
      <c r="F46" s="1679" t="s">
        <v>115</v>
      </c>
      <c r="G46" s="75" t="s">
        <v>115</v>
      </c>
      <c r="H46" s="1679" t="s">
        <v>115</v>
      </c>
      <c r="I46" s="75" t="s">
        <v>4161</v>
      </c>
      <c r="J46" s="1679" t="s">
        <v>115</v>
      </c>
      <c r="K46" s="75" t="s">
        <v>115</v>
      </c>
      <c r="L46" s="1679" t="s">
        <v>115</v>
      </c>
      <c r="M46" s="75" t="s">
        <v>4161</v>
      </c>
      <c r="N46" s="1679" t="s">
        <v>4161</v>
      </c>
      <c r="O46" s="75" t="s">
        <v>115</v>
      </c>
      <c r="P46" s="1679" t="s">
        <v>115</v>
      </c>
      <c r="Q46" s="75" t="s">
        <v>4161</v>
      </c>
      <c r="R46" s="1679" t="s">
        <v>4161</v>
      </c>
      <c r="S46" s="75" t="s">
        <v>115</v>
      </c>
      <c r="T46" s="1679" t="s">
        <v>115</v>
      </c>
      <c r="U46" s="75" t="s">
        <v>4161</v>
      </c>
      <c r="V46" s="1679" t="s">
        <v>4161</v>
      </c>
    </row>
    <row r="47" spans="1:22">
      <c r="A47" s="1678" t="s">
        <v>169</v>
      </c>
      <c r="B47" s="75" t="s">
        <v>170</v>
      </c>
      <c r="C47" s="75"/>
      <c r="D47" s="1679"/>
      <c r="E47" s="75"/>
      <c r="F47" s="1679"/>
      <c r="G47" s="75"/>
      <c r="H47" s="1679"/>
      <c r="I47" s="75"/>
      <c r="J47" s="1679"/>
      <c r="K47" s="75"/>
      <c r="L47" s="1679"/>
      <c r="M47" s="75"/>
      <c r="N47" s="1679"/>
      <c r="O47" s="75"/>
      <c r="P47" s="1679"/>
      <c r="Q47" s="75"/>
      <c r="R47" s="1679"/>
      <c r="S47" s="75"/>
      <c r="T47" s="1679"/>
      <c r="U47" s="75"/>
      <c r="V47" s="1679"/>
    </row>
    <row r="48" spans="1:22">
      <c r="A48" s="1678" t="s">
        <v>171</v>
      </c>
      <c r="B48" s="75" t="s">
        <v>172</v>
      </c>
      <c r="C48" s="75"/>
      <c r="D48" s="1679"/>
      <c r="E48" s="75"/>
      <c r="F48" s="1679"/>
      <c r="G48" s="75"/>
      <c r="H48" s="1679"/>
      <c r="I48" s="75"/>
      <c r="J48" s="1679"/>
      <c r="K48" s="75"/>
      <c r="L48" s="1679"/>
      <c r="M48" s="75"/>
      <c r="N48" s="1679"/>
      <c r="O48" s="75"/>
      <c r="P48" s="1679"/>
      <c r="Q48" s="75"/>
      <c r="R48" s="1679"/>
      <c r="S48" s="75"/>
      <c r="T48" s="1679"/>
      <c r="U48" s="75"/>
      <c r="V48" s="1679"/>
    </row>
    <row r="49" spans="1:22">
      <c r="A49" s="1678" t="s">
        <v>173</v>
      </c>
      <c r="B49" s="75" t="s">
        <v>174</v>
      </c>
      <c r="C49" s="75" t="s">
        <v>115</v>
      </c>
      <c r="D49" s="1679" t="s">
        <v>115</v>
      </c>
      <c r="E49" s="75"/>
      <c r="F49" s="1679"/>
      <c r="G49" s="75" t="s">
        <v>115</v>
      </c>
      <c r="H49" s="1679" t="s">
        <v>115</v>
      </c>
      <c r="I49" s="75">
        <v>2000</v>
      </c>
      <c r="J49" s="1679" t="s">
        <v>4160</v>
      </c>
      <c r="K49" s="75"/>
      <c r="L49" s="1679"/>
      <c r="M49" s="75"/>
      <c r="N49" s="1679"/>
      <c r="O49" s="75"/>
      <c r="P49" s="1679"/>
      <c r="Q49" s="75"/>
      <c r="R49" s="1679"/>
      <c r="S49" s="75"/>
      <c r="T49" s="1679"/>
      <c r="U49" s="75"/>
      <c r="V49" s="1679"/>
    </row>
    <row r="50" spans="1:22">
      <c r="A50" s="1678" t="s">
        <v>175</v>
      </c>
      <c r="B50" s="75" t="s">
        <v>176</v>
      </c>
      <c r="C50" s="75"/>
      <c r="D50" s="1679"/>
      <c r="E50" s="75"/>
      <c r="F50" s="1679"/>
      <c r="G50" s="75"/>
      <c r="H50" s="1679"/>
      <c r="I50" s="75"/>
      <c r="J50" s="1679"/>
      <c r="K50" s="75"/>
      <c r="L50" s="1679"/>
      <c r="M50" s="75"/>
      <c r="N50" s="1679"/>
      <c r="O50" s="75"/>
      <c r="P50" s="1679"/>
      <c r="Q50" s="75"/>
      <c r="R50" s="1679"/>
      <c r="S50" s="75"/>
      <c r="T50" s="1679"/>
      <c r="U50" s="75"/>
      <c r="V50" s="1679"/>
    </row>
    <row r="51" spans="1:22">
      <c r="A51" s="1678" t="s">
        <v>177</v>
      </c>
      <c r="B51" s="75" t="s">
        <v>178</v>
      </c>
      <c r="C51" s="75"/>
      <c r="D51" s="1679"/>
      <c r="E51" s="75"/>
      <c r="F51" s="1679"/>
      <c r="G51" s="75"/>
      <c r="H51" s="1679"/>
      <c r="I51" s="75"/>
      <c r="J51" s="1679"/>
      <c r="K51" s="75"/>
      <c r="L51" s="1679"/>
      <c r="M51" s="75"/>
      <c r="N51" s="1679"/>
      <c r="O51" s="75"/>
      <c r="P51" s="1679"/>
      <c r="Q51" s="75"/>
      <c r="R51" s="1679"/>
      <c r="S51" s="75"/>
      <c r="T51" s="1679"/>
      <c r="U51" s="75"/>
      <c r="V51" s="1679"/>
    </row>
    <row r="52" spans="1:22">
      <c r="A52" s="1678" t="s">
        <v>179</v>
      </c>
      <c r="B52" s="75" t="s">
        <v>180</v>
      </c>
      <c r="C52" s="75"/>
      <c r="D52" s="1679"/>
      <c r="E52" s="75"/>
      <c r="F52" s="1679"/>
      <c r="G52" s="75">
        <v>0.12</v>
      </c>
      <c r="H52" s="1679" t="s">
        <v>4160</v>
      </c>
      <c r="I52" s="75">
        <v>34</v>
      </c>
      <c r="J52" s="1679" t="s">
        <v>4160</v>
      </c>
      <c r="K52" s="75">
        <v>7.2000000000000005E-4</v>
      </c>
      <c r="L52" s="1679" t="s">
        <v>4160</v>
      </c>
      <c r="M52" s="75">
        <v>0.2</v>
      </c>
      <c r="N52" s="1679" t="s">
        <v>4160</v>
      </c>
      <c r="O52" s="75"/>
      <c r="P52" s="1679"/>
      <c r="Q52" s="75">
        <v>0.21</v>
      </c>
      <c r="R52" s="1679" t="s">
        <v>4160</v>
      </c>
      <c r="S52" s="75"/>
      <c r="T52" s="1679"/>
      <c r="U52" s="75">
        <v>0.88</v>
      </c>
      <c r="V52" s="1679" t="s">
        <v>4160</v>
      </c>
    </row>
    <row r="53" spans="1:22">
      <c r="A53" s="1678" t="s">
        <v>181</v>
      </c>
      <c r="B53" s="75" t="s">
        <v>182</v>
      </c>
      <c r="C53" s="75" t="s">
        <v>115</v>
      </c>
      <c r="D53" s="1679" t="s">
        <v>115</v>
      </c>
      <c r="E53" s="75"/>
      <c r="F53" s="1679"/>
      <c r="G53" s="75" t="s">
        <v>115</v>
      </c>
      <c r="H53" s="1679" t="s">
        <v>115</v>
      </c>
      <c r="I53" s="75">
        <v>540000</v>
      </c>
      <c r="J53" s="1679" t="s">
        <v>4160</v>
      </c>
      <c r="K53" s="75"/>
      <c r="L53" s="1679"/>
      <c r="M53" s="75"/>
      <c r="N53" s="1679"/>
      <c r="O53" s="75"/>
      <c r="P53" s="1679"/>
      <c r="Q53" s="75"/>
      <c r="R53" s="1679"/>
      <c r="S53" s="75"/>
      <c r="T53" s="1679"/>
      <c r="U53" s="75"/>
      <c r="V53" s="1679"/>
    </row>
    <row r="54" spans="1:22">
      <c r="A54" s="1678" t="s">
        <v>183</v>
      </c>
      <c r="B54" s="75" t="s">
        <v>184</v>
      </c>
      <c r="C54" s="75" t="s">
        <v>115</v>
      </c>
      <c r="D54" s="1679" t="s">
        <v>115</v>
      </c>
      <c r="E54" s="75"/>
      <c r="F54" s="1679"/>
      <c r="G54" s="75" t="s">
        <v>115</v>
      </c>
      <c r="H54" s="1679" t="s">
        <v>115</v>
      </c>
      <c r="I54" s="75">
        <v>14000</v>
      </c>
      <c r="J54" s="1679" t="s">
        <v>4160</v>
      </c>
      <c r="K54" s="75"/>
      <c r="L54" s="1679"/>
      <c r="M54" s="75"/>
      <c r="N54" s="1679"/>
      <c r="O54" s="75"/>
      <c r="P54" s="1679"/>
      <c r="Q54" s="75"/>
      <c r="R54" s="1679"/>
      <c r="S54" s="75"/>
      <c r="T54" s="1679"/>
      <c r="U54" s="75"/>
      <c r="V54" s="1679"/>
    </row>
    <row r="55" spans="1:22">
      <c r="A55" s="1678" t="s">
        <v>185</v>
      </c>
      <c r="B55" s="75" t="s">
        <v>186</v>
      </c>
      <c r="C55" s="75" t="s">
        <v>115</v>
      </c>
      <c r="D55" s="1679" t="s">
        <v>115</v>
      </c>
      <c r="E55" s="75"/>
      <c r="F55" s="1679"/>
      <c r="G55" s="75" t="s">
        <v>115</v>
      </c>
      <c r="H55" s="1679" t="s">
        <v>115</v>
      </c>
      <c r="I55" s="75">
        <v>1400</v>
      </c>
      <c r="J55" s="1679" t="s">
        <v>4160</v>
      </c>
      <c r="K55" s="75"/>
      <c r="L55" s="1679"/>
      <c r="M55" s="75"/>
      <c r="N55" s="1679"/>
      <c r="O55" s="75"/>
      <c r="P55" s="1679"/>
      <c r="Q55" s="75"/>
      <c r="R55" s="1679"/>
      <c r="S55" s="75"/>
      <c r="T55" s="1679"/>
      <c r="U55" s="75"/>
      <c r="V55" s="1679"/>
    </row>
    <row r="56" spans="1:22">
      <c r="A56" s="1678" t="s">
        <v>187</v>
      </c>
      <c r="B56" s="75" t="s">
        <v>188</v>
      </c>
      <c r="C56" s="75"/>
      <c r="D56" s="1679"/>
      <c r="E56" s="75"/>
      <c r="F56" s="1679"/>
      <c r="G56" s="75">
        <v>6.1</v>
      </c>
      <c r="H56" s="1679" t="s">
        <v>4160</v>
      </c>
      <c r="I56" s="75">
        <v>1300</v>
      </c>
      <c r="J56" s="1679" t="s">
        <v>4160</v>
      </c>
      <c r="K56" s="75"/>
      <c r="L56" s="1679"/>
      <c r="M56" s="75"/>
      <c r="N56" s="1679"/>
      <c r="O56" s="75"/>
      <c r="P56" s="1679"/>
      <c r="Q56" s="75"/>
      <c r="R56" s="1679"/>
      <c r="S56" s="75"/>
      <c r="T56" s="1679"/>
      <c r="U56" s="75"/>
      <c r="V56" s="1679"/>
    </row>
    <row r="57" spans="1:22">
      <c r="A57" s="1678" t="s">
        <v>189</v>
      </c>
      <c r="B57" s="75" t="s">
        <v>190</v>
      </c>
      <c r="C57" s="75"/>
      <c r="D57" s="1679"/>
      <c r="E57" s="75"/>
      <c r="F57" s="1679"/>
      <c r="G57" s="75"/>
      <c r="H57" s="1679"/>
      <c r="I57" s="75"/>
      <c r="J57" s="1679"/>
      <c r="K57" s="75"/>
      <c r="L57" s="1679"/>
      <c r="M57" s="75"/>
      <c r="N57" s="1679"/>
      <c r="O57" s="75"/>
      <c r="P57" s="1679"/>
      <c r="Q57" s="75"/>
      <c r="R57" s="1679"/>
      <c r="S57" s="75"/>
      <c r="T57" s="1679"/>
      <c r="U57" s="75"/>
      <c r="V57" s="1679"/>
    </row>
    <row r="58" spans="1:22">
      <c r="A58" s="1678" t="s">
        <v>191</v>
      </c>
      <c r="B58" s="75" t="s">
        <v>192</v>
      </c>
      <c r="C58" s="75"/>
      <c r="D58" s="1679"/>
      <c r="E58" s="75"/>
      <c r="F58" s="1679"/>
      <c r="G58" s="75"/>
      <c r="H58" s="1679"/>
      <c r="I58" s="75"/>
      <c r="J58" s="1679"/>
      <c r="K58" s="75"/>
      <c r="L58" s="1679"/>
      <c r="M58" s="75"/>
      <c r="N58" s="1679"/>
      <c r="O58" s="75"/>
      <c r="P58" s="1679"/>
      <c r="Q58" s="75"/>
      <c r="R58" s="1679"/>
      <c r="S58" s="75"/>
      <c r="T58" s="1679"/>
      <c r="U58" s="75"/>
      <c r="V58" s="1679"/>
    </row>
    <row r="59" spans="1:22">
      <c r="A59" s="1678" t="s">
        <v>193</v>
      </c>
      <c r="B59" s="75" t="s">
        <v>194</v>
      </c>
      <c r="C59" s="75" t="s">
        <v>115</v>
      </c>
      <c r="D59" s="1679" t="s">
        <v>115</v>
      </c>
      <c r="E59" s="75"/>
      <c r="F59" s="1679"/>
      <c r="G59" s="75" t="s">
        <v>115</v>
      </c>
      <c r="H59" s="1679" t="s">
        <v>115</v>
      </c>
      <c r="I59" s="75">
        <v>6000</v>
      </c>
      <c r="J59" s="1679" t="s">
        <v>4160</v>
      </c>
      <c r="K59" s="75" t="s">
        <v>115</v>
      </c>
      <c r="L59" s="1679" t="s">
        <v>115</v>
      </c>
      <c r="M59" s="75">
        <v>33</v>
      </c>
      <c r="N59" s="1679" t="s">
        <v>4160</v>
      </c>
      <c r="O59" s="75" t="s">
        <v>115</v>
      </c>
      <c r="P59" s="1679" t="s">
        <v>115</v>
      </c>
      <c r="Q59" s="75">
        <v>25</v>
      </c>
      <c r="R59" s="1679" t="s">
        <v>4160</v>
      </c>
      <c r="S59" s="75" t="s">
        <v>115</v>
      </c>
      <c r="T59" s="1679" t="s">
        <v>115</v>
      </c>
      <c r="U59" s="75">
        <v>110</v>
      </c>
      <c r="V59" s="1679" t="s">
        <v>4160</v>
      </c>
    </row>
    <row r="60" spans="1:22">
      <c r="A60" s="1678" t="s">
        <v>195</v>
      </c>
      <c r="B60" s="75" t="s">
        <v>196</v>
      </c>
      <c r="C60" s="75" t="s">
        <v>115</v>
      </c>
      <c r="D60" s="1679" t="s">
        <v>115</v>
      </c>
      <c r="E60" s="75"/>
      <c r="F60" s="1679"/>
      <c r="G60" s="75" t="s">
        <v>115</v>
      </c>
      <c r="H60" s="1679" t="s">
        <v>115</v>
      </c>
      <c r="I60" s="75">
        <v>200</v>
      </c>
      <c r="J60" s="1679" t="s">
        <v>4160</v>
      </c>
      <c r="K60" s="75"/>
      <c r="L60" s="1679"/>
      <c r="M60" s="75"/>
      <c r="N60" s="1679"/>
      <c r="O60" s="75"/>
      <c r="P60" s="1679"/>
      <c r="Q60" s="75"/>
      <c r="R60" s="1679"/>
      <c r="S60" s="75"/>
      <c r="T60" s="1679"/>
      <c r="U60" s="75"/>
      <c r="V60" s="1679"/>
    </row>
    <row r="61" spans="1:22">
      <c r="A61" s="1678" t="s">
        <v>197</v>
      </c>
      <c r="B61" s="75" t="s">
        <v>198</v>
      </c>
      <c r="C61" s="75"/>
      <c r="D61" s="1679"/>
      <c r="E61" s="75"/>
      <c r="F61" s="1679"/>
      <c r="G61" s="75"/>
      <c r="H61" s="1679"/>
      <c r="I61" s="75"/>
      <c r="J61" s="1679"/>
      <c r="K61" s="75"/>
      <c r="L61" s="1679"/>
      <c r="M61" s="75"/>
      <c r="N61" s="1679"/>
      <c r="O61" s="75"/>
      <c r="P61" s="1679"/>
      <c r="Q61" s="75"/>
      <c r="R61" s="1679"/>
      <c r="S61" s="75"/>
      <c r="T61" s="1679"/>
      <c r="U61" s="75"/>
      <c r="V61" s="1679"/>
    </row>
    <row r="62" spans="1:22">
      <c r="A62" s="1678" t="s">
        <v>199</v>
      </c>
      <c r="B62" s="75" t="s">
        <v>200</v>
      </c>
      <c r="C62" s="75"/>
      <c r="D62" s="1679"/>
      <c r="E62" s="75"/>
      <c r="F62" s="1679"/>
      <c r="G62" s="75"/>
      <c r="H62" s="1679"/>
      <c r="I62" s="75"/>
      <c r="J62" s="1679"/>
      <c r="K62" s="75"/>
      <c r="L62" s="1679"/>
      <c r="M62" s="75"/>
      <c r="N62" s="1679"/>
      <c r="O62" s="75"/>
      <c r="P62" s="1679"/>
      <c r="Q62" s="75">
        <v>2.1</v>
      </c>
      <c r="R62" s="1679" t="s">
        <v>4160</v>
      </c>
      <c r="S62" s="75"/>
      <c r="T62" s="1679"/>
      <c r="U62" s="75">
        <v>8.8000000000000007</v>
      </c>
      <c r="V62" s="1679" t="s">
        <v>4160</v>
      </c>
    </row>
    <row r="63" spans="1:22">
      <c r="A63" s="1678" t="s">
        <v>201</v>
      </c>
      <c r="B63" s="75" t="s">
        <v>202</v>
      </c>
      <c r="C63" s="75"/>
      <c r="D63" s="1679"/>
      <c r="E63" s="75"/>
      <c r="F63" s="1679"/>
      <c r="G63" s="75"/>
      <c r="H63" s="1679"/>
      <c r="I63" s="75"/>
      <c r="J63" s="1679"/>
      <c r="K63" s="75"/>
      <c r="L63" s="1679"/>
      <c r="M63" s="75">
        <v>5.8000000000000003E-2</v>
      </c>
      <c r="N63" s="1679" t="s">
        <v>4160</v>
      </c>
      <c r="O63" s="75"/>
      <c r="P63" s="1679"/>
      <c r="Q63" s="75">
        <v>5.3999999999999999E-2</v>
      </c>
      <c r="R63" s="1679" t="s">
        <v>4160</v>
      </c>
      <c r="S63" s="75"/>
      <c r="T63" s="1679"/>
      <c r="U63" s="75">
        <v>0.23</v>
      </c>
      <c r="V63" s="1679" t="s">
        <v>4160</v>
      </c>
    </row>
    <row r="64" spans="1:22">
      <c r="A64" s="1678" t="s">
        <v>203</v>
      </c>
      <c r="B64" s="75" t="s">
        <v>204</v>
      </c>
      <c r="C64" s="75">
        <v>0.19</v>
      </c>
      <c r="D64" s="1679" t="s">
        <v>4160</v>
      </c>
      <c r="E64" s="75"/>
      <c r="F64" s="1679"/>
      <c r="G64" s="75">
        <v>0.86</v>
      </c>
      <c r="H64" s="1679" t="s">
        <v>4160</v>
      </c>
      <c r="I64" s="75"/>
      <c r="J64" s="1679"/>
      <c r="K64" s="75">
        <v>8.8000000000000005E-3</v>
      </c>
      <c r="L64" s="1679" t="s">
        <v>4160</v>
      </c>
      <c r="M64" s="75"/>
      <c r="N64" s="1679"/>
      <c r="O64" s="75">
        <v>5.4999999999999997E-3</v>
      </c>
      <c r="P64" s="1679" t="s">
        <v>4160</v>
      </c>
      <c r="Q64" s="75">
        <v>3.3</v>
      </c>
      <c r="R64" s="1679" t="s">
        <v>4160</v>
      </c>
      <c r="S64" s="75">
        <v>2.4E-2</v>
      </c>
      <c r="T64" s="1679" t="s">
        <v>4160</v>
      </c>
      <c r="U64" s="75">
        <v>14</v>
      </c>
      <c r="V64" s="1679" t="s">
        <v>4160</v>
      </c>
    </row>
    <row r="65" spans="1:22">
      <c r="A65" s="1678" t="s">
        <v>205</v>
      </c>
      <c r="B65" s="75" t="s">
        <v>206</v>
      </c>
      <c r="C65" s="75"/>
      <c r="D65" s="1679"/>
      <c r="E65" s="75">
        <v>29</v>
      </c>
      <c r="F65" s="1679" t="s">
        <v>4160</v>
      </c>
      <c r="G65" s="75"/>
      <c r="H65" s="1679"/>
      <c r="I65" s="75">
        <v>160</v>
      </c>
      <c r="J65" s="1679" t="s">
        <v>4160</v>
      </c>
      <c r="K65" s="75"/>
      <c r="L65" s="1679"/>
      <c r="M65" s="75">
        <v>3.6</v>
      </c>
      <c r="N65" s="1679" t="s">
        <v>4160</v>
      </c>
      <c r="O65" s="75"/>
      <c r="P65" s="1679"/>
      <c r="Q65" s="75">
        <v>4.2</v>
      </c>
      <c r="R65" s="1679" t="s">
        <v>4160</v>
      </c>
      <c r="S65" s="75"/>
      <c r="T65" s="1679"/>
      <c r="U65" s="75">
        <v>18</v>
      </c>
      <c r="V65" s="1679" t="s">
        <v>4160</v>
      </c>
    </row>
    <row r="66" spans="1:22">
      <c r="A66" s="1678" t="s">
        <v>207</v>
      </c>
      <c r="B66" s="75" t="s">
        <v>208</v>
      </c>
      <c r="C66" s="75"/>
      <c r="D66" s="1679"/>
      <c r="E66" s="75"/>
      <c r="F66" s="1679"/>
      <c r="G66" s="75"/>
      <c r="H66" s="1679"/>
      <c r="I66" s="75"/>
      <c r="J66" s="1679"/>
      <c r="K66" s="75"/>
      <c r="L66" s="1679"/>
      <c r="M66" s="75"/>
      <c r="N66" s="1679"/>
      <c r="O66" s="75"/>
      <c r="P66" s="1679"/>
      <c r="Q66" s="75"/>
      <c r="R66" s="1679"/>
      <c r="S66" s="75"/>
      <c r="T66" s="1679"/>
      <c r="U66" s="75"/>
      <c r="V66" s="1679"/>
    </row>
    <row r="67" spans="1:22">
      <c r="A67" s="1678" t="s">
        <v>209</v>
      </c>
      <c r="B67" s="75" t="s">
        <v>210</v>
      </c>
      <c r="C67" s="75"/>
      <c r="D67" s="1679"/>
      <c r="E67" s="75"/>
      <c r="F67" s="1679"/>
      <c r="G67" s="75"/>
      <c r="H67" s="1679"/>
      <c r="I67" s="75"/>
      <c r="J67" s="1679"/>
      <c r="K67" s="75"/>
      <c r="L67" s="1679"/>
      <c r="M67" s="75"/>
      <c r="N67" s="1679"/>
      <c r="O67" s="75"/>
      <c r="P67" s="1679"/>
      <c r="Q67" s="75"/>
      <c r="R67" s="1679"/>
      <c r="S67" s="75"/>
      <c r="T67" s="1679"/>
      <c r="U67" s="75"/>
      <c r="V67" s="1679"/>
    </row>
    <row r="68" spans="1:22">
      <c r="A68" s="1678" t="s">
        <v>211</v>
      </c>
      <c r="B68" s="75" t="s">
        <v>212</v>
      </c>
      <c r="C68" s="75" t="s">
        <v>115</v>
      </c>
      <c r="D68" s="1679" t="s">
        <v>115</v>
      </c>
      <c r="E68" s="75">
        <v>80</v>
      </c>
      <c r="F68" s="1679" t="s">
        <v>4160</v>
      </c>
      <c r="G68" s="75" t="s">
        <v>115</v>
      </c>
      <c r="H68" s="1679" t="s">
        <v>115</v>
      </c>
      <c r="I68" s="75">
        <v>500</v>
      </c>
      <c r="J68" s="1679" t="s">
        <v>4160</v>
      </c>
      <c r="K68" s="75"/>
      <c r="L68" s="1679"/>
      <c r="M68" s="75"/>
      <c r="N68" s="1679"/>
      <c r="O68" s="75"/>
      <c r="P68" s="1679"/>
      <c r="Q68" s="75"/>
      <c r="R68" s="1679"/>
      <c r="S68" s="75"/>
      <c r="T68" s="1679"/>
      <c r="U68" s="75"/>
      <c r="V68" s="1679"/>
    </row>
    <row r="69" spans="1:22">
      <c r="A69" s="1678" t="s">
        <v>213</v>
      </c>
      <c r="B69" s="75" t="s">
        <v>214</v>
      </c>
      <c r="C69" s="75" t="s">
        <v>115</v>
      </c>
      <c r="D69" s="1679" t="s">
        <v>115</v>
      </c>
      <c r="E69" s="75">
        <v>1</v>
      </c>
      <c r="F69" s="1679" t="s">
        <v>4160</v>
      </c>
      <c r="G69" s="75" t="s">
        <v>115</v>
      </c>
      <c r="H69" s="1679" t="s">
        <v>115</v>
      </c>
      <c r="I69" s="75">
        <v>4.5</v>
      </c>
      <c r="J69" s="1679" t="s">
        <v>4160</v>
      </c>
      <c r="K69" s="75" t="s">
        <v>115</v>
      </c>
      <c r="L69" s="1679" t="s">
        <v>115</v>
      </c>
      <c r="M69" s="75">
        <v>6.0999999999999999E-2</v>
      </c>
      <c r="N69" s="1679" t="s">
        <v>4160</v>
      </c>
      <c r="O69" s="75" t="s">
        <v>115</v>
      </c>
      <c r="P69" s="1679" t="s">
        <v>115</v>
      </c>
      <c r="Q69" s="75">
        <v>3.1E-2</v>
      </c>
      <c r="R69" s="1679" t="s">
        <v>4160</v>
      </c>
      <c r="S69" s="75" t="s">
        <v>115</v>
      </c>
      <c r="T69" s="1679" t="s">
        <v>115</v>
      </c>
      <c r="U69" s="75">
        <v>0.13</v>
      </c>
      <c r="V69" s="1679" t="s">
        <v>4160</v>
      </c>
    </row>
    <row r="70" spans="1:22">
      <c r="A70" s="1678" t="s">
        <v>215</v>
      </c>
      <c r="B70" s="75" t="s">
        <v>216</v>
      </c>
      <c r="C70" s="75" t="s">
        <v>115</v>
      </c>
      <c r="D70" s="1679" t="s">
        <v>115</v>
      </c>
      <c r="E70" s="75"/>
      <c r="F70" s="1679"/>
      <c r="G70" s="75" t="s">
        <v>115</v>
      </c>
      <c r="H70" s="1679" t="s">
        <v>115</v>
      </c>
      <c r="I70" s="75">
        <v>3400</v>
      </c>
      <c r="J70" s="1679" t="s">
        <v>4160</v>
      </c>
      <c r="K70" s="75" t="s">
        <v>115</v>
      </c>
      <c r="L70" s="1679" t="s">
        <v>115</v>
      </c>
      <c r="M70" s="75">
        <v>20</v>
      </c>
      <c r="N70" s="1679" t="s">
        <v>4160</v>
      </c>
      <c r="O70" s="75" t="s">
        <v>115</v>
      </c>
      <c r="P70" s="1679" t="s">
        <v>115</v>
      </c>
      <c r="Q70" s="75">
        <v>21</v>
      </c>
      <c r="R70" s="1679" t="s">
        <v>4160</v>
      </c>
      <c r="S70" s="75" t="s">
        <v>115</v>
      </c>
      <c r="T70" s="1679" t="s">
        <v>115</v>
      </c>
      <c r="U70" s="75">
        <v>88</v>
      </c>
      <c r="V70" s="1679" t="s">
        <v>4160</v>
      </c>
    </row>
    <row r="71" spans="1:22">
      <c r="A71" s="1678" t="s">
        <v>217</v>
      </c>
      <c r="B71" s="75" t="s">
        <v>218</v>
      </c>
      <c r="C71" s="75">
        <v>2.2000000000000002</v>
      </c>
      <c r="D71" s="1679" t="s">
        <v>4160</v>
      </c>
      <c r="E71" s="75">
        <v>310</v>
      </c>
      <c r="F71" s="1679" t="s">
        <v>4160</v>
      </c>
      <c r="G71" s="75">
        <v>26</v>
      </c>
      <c r="H71" s="1679" t="s">
        <v>4160</v>
      </c>
      <c r="I71" s="75">
        <v>2500</v>
      </c>
      <c r="J71" s="1679" t="s">
        <v>4160</v>
      </c>
      <c r="K71" s="75">
        <v>1.7</v>
      </c>
      <c r="L71" s="1679" t="s">
        <v>4160</v>
      </c>
      <c r="M71" s="75">
        <v>100</v>
      </c>
      <c r="N71" s="1679" t="s">
        <v>4160</v>
      </c>
      <c r="O71" s="75">
        <v>1</v>
      </c>
      <c r="P71" s="1679" t="s">
        <v>4160</v>
      </c>
      <c r="Q71" s="75">
        <v>420</v>
      </c>
      <c r="R71" s="1679" t="s">
        <v>4160</v>
      </c>
      <c r="S71" s="75">
        <v>12</v>
      </c>
      <c r="T71" s="1679" t="s">
        <v>4160</v>
      </c>
      <c r="U71" s="75">
        <v>1800</v>
      </c>
      <c r="V71" s="1679" t="s">
        <v>4160</v>
      </c>
    </row>
    <row r="72" spans="1:22">
      <c r="A72" s="1678" t="s">
        <v>219</v>
      </c>
      <c r="B72" s="75" t="s">
        <v>220</v>
      </c>
      <c r="C72" s="75"/>
      <c r="D72" s="1679"/>
      <c r="E72" s="75"/>
      <c r="F72" s="1679"/>
      <c r="G72" s="75"/>
      <c r="H72" s="1679"/>
      <c r="I72" s="75"/>
      <c r="J72" s="1679"/>
      <c r="K72" s="75"/>
      <c r="L72" s="1679"/>
      <c r="M72" s="75"/>
      <c r="N72" s="1679"/>
      <c r="O72" s="75"/>
      <c r="P72" s="1679"/>
      <c r="Q72" s="75"/>
      <c r="R72" s="1679"/>
      <c r="S72" s="75"/>
      <c r="T72" s="1679"/>
      <c r="U72" s="75"/>
      <c r="V72" s="1679"/>
    </row>
    <row r="73" spans="1:22">
      <c r="A73" s="1678" t="s">
        <v>221</v>
      </c>
      <c r="B73" s="75" t="s">
        <v>222</v>
      </c>
      <c r="C73" s="75"/>
      <c r="D73" s="1679"/>
      <c r="E73" s="75"/>
      <c r="F73" s="1679"/>
      <c r="G73" s="75"/>
      <c r="H73" s="1679"/>
      <c r="I73" s="75"/>
      <c r="J73" s="1679"/>
      <c r="K73" s="75"/>
      <c r="L73" s="1679"/>
      <c r="M73" s="75"/>
      <c r="N73" s="1679"/>
      <c r="O73" s="75"/>
      <c r="P73" s="1679"/>
      <c r="Q73" s="75"/>
      <c r="R73" s="1679"/>
      <c r="S73" s="75"/>
      <c r="T73" s="1679"/>
      <c r="U73" s="75"/>
      <c r="V73" s="1679"/>
    </row>
    <row r="74" spans="1:22">
      <c r="A74" s="1678" t="s">
        <v>223</v>
      </c>
      <c r="B74" s="75" t="s">
        <v>224</v>
      </c>
      <c r="C74" s="75"/>
      <c r="D74" s="1679"/>
      <c r="E74" s="75"/>
      <c r="F74" s="1679"/>
      <c r="G74" s="75"/>
      <c r="H74" s="1679"/>
      <c r="I74" s="75"/>
      <c r="J74" s="1679"/>
      <c r="K74" s="75"/>
      <c r="L74" s="1679"/>
      <c r="M74" s="75"/>
      <c r="N74" s="1679"/>
      <c r="O74" s="75"/>
      <c r="P74" s="1679"/>
      <c r="Q74" s="75"/>
      <c r="R74" s="1679"/>
      <c r="S74" s="75"/>
      <c r="T74" s="1679"/>
      <c r="U74" s="75"/>
      <c r="V74" s="1679"/>
    </row>
    <row r="75" spans="1:22">
      <c r="A75" s="1678" t="s">
        <v>225</v>
      </c>
      <c r="B75" s="75" t="s">
        <v>226</v>
      </c>
      <c r="C75" s="75" t="s">
        <v>115</v>
      </c>
      <c r="D75" s="1679" t="s">
        <v>115</v>
      </c>
      <c r="E75" s="75">
        <v>190</v>
      </c>
      <c r="F75" s="1679" t="s">
        <v>4160</v>
      </c>
      <c r="G75" s="75" t="s">
        <v>115</v>
      </c>
      <c r="H75" s="1679" t="s">
        <v>115</v>
      </c>
      <c r="I75" s="75">
        <v>1500</v>
      </c>
      <c r="J75" s="1679" t="s">
        <v>4160</v>
      </c>
      <c r="K75" s="75" t="s">
        <v>115</v>
      </c>
      <c r="L75" s="1679" t="s">
        <v>115</v>
      </c>
      <c r="M75" s="75">
        <v>17</v>
      </c>
      <c r="N75" s="1679" t="s">
        <v>4160</v>
      </c>
      <c r="O75" s="75" t="s">
        <v>115</v>
      </c>
      <c r="P75" s="1679" t="s">
        <v>115</v>
      </c>
      <c r="Q75" s="75">
        <v>17</v>
      </c>
      <c r="R75" s="1679" t="s">
        <v>4160</v>
      </c>
      <c r="S75" s="75" t="s">
        <v>115</v>
      </c>
      <c r="T75" s="1679" t="s">
        <v>115</v>
      </c>
      <c r="U75" s="75">
        <v>70</v>
      </c>
      <c r="V75" s="1679" t="s">
        <v>4160</v>
      </c>
    </row>
    <row r="76" spans="1:22">
      <c r="A76" s="1678" t="s">
        <v>227</v>
      </c>
      <c r="B76" s="75" t="s">
        <v>228</v>
      </c>
      <c r="C76" s="75"/>
      <c r="D76" s="1679"/>
      <c r="E76" s="75"/>
      <c r="F76" s="1679"/>
      <c r="G76" s="75"/>
      <c r="H76" s="1679"/>
      <c r="I76" s="75"/>
      <c r="J76" s="1679"/>
      <c r="K76" s="75"/>
      <c r="L76" s="1679"/>
      <c r="M76" s="75"/>
      <c r="N76" s="1679"/>
      <c r="O76" s="75"/>
      <c r="P76" s="1679"/>
      <c r="Q76" s="75"/>
      <c r="R76" s="1679"/>
      <c r="S76" s="75"/>
      <c r="T76" s="1679"/>
      <c r="U76" s="75"/>
      <c r="V76" s="1679"/>
    </row>
    <row r="77" spans="1:22">
      <c r="A77" s="1678" t="s">
        <v>229</v>
      </c>
      <c r="B77" s="75" t="s">
        <v>230</v>
      </c>
      <c r="C77" s="75"/>
      <c r="D77" s="1679"/>
      <c r="E77" s="75"/>
      <c r="F77" s="1679"/>
      <c r="G77" s="75"/>
      <c r="H77" s="1679"/>
      <c r="I77" s="75"/>
      <c r="J77" s="1679"/>
      <c r="K77" s="75"/>
      <c r="L77" s="1679"/>
      <c r="M77" s="75"/>
      <c r="N77" s="1679"/>
      <c r="O77" s="75"/>
      <c r="P77" s="1679"/>
      <c r="Q77" s="75"/>
      <c r="R77" s="1679"/>
      <c r="S77" s="75"/>
      <c r="T77" s="1679"/>
      <c r="U77" s="75"/>
      <c r="V77" s="1679"/>
    </row>
    <row r="78" spans="1:22">
      <c r="A78" s="1678" t="s">
        <v>231</v>
      </c>
      <c r="B78" s="75" t="s">
        <v>232</v>
      </c>
      <c r="C78" s="75">
        <v>15000</v>
      </c>
      <c r="D78" s="1679" t="s">
        <v>4160</v>
      </c>
      <c r="E78" s="75">
        <v>820</v>
      </c>
      <c r="F78" s="1679" t="s">
        <v>4160</v>
      </c>
      <c r="G78" s="75">
        <v>64000</v>
      </c>
      <c r="H78" s="1679" t="s">
        <v>4160</v>
      </c>
      <c r="I78" s="75">
        <v>11000</v>
      </c>
      <c r="J78" s="1679" t="s">
        <v>4160</v>
      </c>
      <c r="K78" s="75" t="s">
        <v>115</v>
      </c>
      <c r="L78" s="1679" t="s">
        <v>115</v>
      </c>
      <c r="M78" s="75">
        <v>220</v>
      </c>
      <c r="N78" s="1679" t="s">
        <v>4160</v>
      </c>
      <c r="O78" s="75">
        <v>1.0999999999999999E-2</v>
      </c>
      <c r="P78" s="1679" t="s">
        <v>4160</v>
      </c>
      <c r="Q78" s="75">
        <v>1.4999999999999999E-2</v>
      </c>
      <c r="R78" s="1679" t="s">
        <v>4160</v>
      </c>
      <c r="S78" s="75">
        <v>4.7E-2</v>
      </c>
      <c r="T78" s="1679" t="s">
        <v>4160</v>
      </c>
      <c r="U78" s="75">
        <v>6.0999999999999999E-2</v>
      </c>
      <c r="V78" s="1679" t="s">
        <v>4160</v>
      </c>
    </row>
    <row r="79" spans="1:22">
      <c r="A79" s="1761" t="s">
        <v>233</v>
      </c>
      <c r="B79" s="75" t="s">
        <v>234</v>
      </c>
      <c r="C79" s="75" t="s">
        <v>115</v>
      </c>
      <c r="D79" s="1679" t="s">
        <v>115</v>
      </c>
      <c r="E79" s="75"/>
      <c r="F79" s="1679"/>
      <c r="G79" s="75" t="s">
        <v>115</v>
      </c>
      <c r="H79" s="1679" t="s">
        <v>115</v>
      </c>
      <c r="I79" s="75">
        <v>29000</v>
      </c>
      <c r="J79" s="1679" t="s">
        <v>4160</v>
      </c>
      <c r="K79" s="75" t="s">
        <v>115</v>
      </c>
      <c r="L79" s="1679" t="s">
        <v>115</v>
      </c>
      <c r="M79" s="75">
        <v>260</v>
      </c>
      <c r="N79" s="1679" t="s">
        <v>4160</v>
      </c>
      <c r="O79" s="75" t="s">
        <v>115</v>
      </c>
      <c r="P79" s="1679" t="s">
        <v>115</v>
      </c>
      <c r="Q79" s="75">
        <v>250</v>
      </c>
      <c r="R79" s="1679" t="s">
        <v>4160</v>
      </c>
      <c r="S79" s="75" t="s">
        <v>115</v>
      </c>
      <c r="T79" s="1679" t="s">
        <v>115</v>
      </c>
      <c r="U79" s="75">
        <v>1100</v>
      </c>
      <c r="V79" s="1679" t="s">
        <v>4160</v>
      </c>
    </row>
    <row r="80" spans="1:22">
      <c r="A80" s="1761" t="s">
        <v>235</v>
      </c>
      <c r="B80" s="75" t="s">
        <v>236</v>
      </c>
      <c r="C80" s="75" t="s">
        <v>115</v>
      </c>
      <c r="D80" s="1679" t="s">
        <v>115</v>
      </c>
      <c r="E80" s="75"/>
      <c r="F80" s="1679"/>
      <c r="G80" s="75" t="s">
        <v>115</v>
      </c>
      <c r="H80" s="1679" t="s">
        <v>115</v>
      </c>
      <c r="I80" s="75">
        <v>170000</v>
      </c>
      <c r="J80" s="1679" t="s">
        <v>4160</v>
      </c>
      <c r="K80" s="75" t="s">
        <v>115</v>
      </c>
      <c r="L80" s="1679" t="s">
        <v>115</v>
      </c>
      <c r="M80" s="75">
        <v>1000</v>
      </c>
      <c r="N80" s="1679" t="s">
        <v>4160</v>
      </c>
      <c r="O80" s="75" t="s">
        <v>115</v>
      </c>
      <c r="P80" s="1679" t="s">
        <v>115</v>
      </c>
      <c r="Q80" s="75">
        <v>1300</v>
      </c>
      <c r="R80" s="1679" t="s">
        <v>4160</v>
      </c>
      <c r="S80" s="75" t="s">
        <v>115</v>
      </c>
      <c r="T80" s="1679" t="s">
        <v>115</v>
      </c>
      <c r="U80" s="75">
        <v>5300</v>
      </c>
      <c r="V80" s="1679" t="s">
        <v>4160</v>
      </c>
    </row>
    <row r="81" spans="1:22">
      <c r="A81" s="1678" t="s">
        <v>237</v>
      </c>
      <c r="B81" s="75" t="s">
        <v>238</v>
      </c>
      <c r="C81" s="75">
        <v>1.1000000000000001</v>
      </c>
      <c r="D81" s="1679" t="s">
        <v>4160</v>
      </c>
      <c r="E81" s="75" t="s">
        <v>115</v>
      </c>
      <c r="F81" s="1679" t="s">
        <v>115</v>
      </c>
      <c r="G81" s="75">
        <v>16</v>
      </c>
      <c r="H81" s="1679" t="s">
        <v>4160</v>
      </c>
      <c r="I81" s="75" t="s">
        <v>115</v>
      </c>
      <c r="J81" s="1679" t="s">
        <v>115</v>
      </c>
      <c r="K81" s="75">
        <v>1.7000000000000001E-2</v>
      </c>
      <c r="L81" s="1679" t="s">
        <v>4160</v>
      </c>
      <c r="M81" s="75" t="s">
        <v>115</v>
      </c>
      <c r="N81" s="1679" t="s">
        <v>115</v>
      </c>
      <c r="O81" s="75">
        <v>9.1999999999999998E-3</v>
      </c>
      <c r="P81" s="1679" t="s">
        <v>4160</v>
      </c>
      <c r="Q81" s="75" t="s">
        <v>115</v>
      </c>
      <c r="R81" s="1679" t="s">
        <v>115</v>
      </c>
      <c r="S81" s="75">
        <v>0.11</v>
      </c>
      <c r="T81" s="1679" t="s">
        <v>4160</v>
      </c>
      <c r="U81" s="75" t="s">
        <v>115</v>
      </c>
      <c r="V81" s="1679" t="s">
        <v>115</v>
      </c>
    </row>
    <row r="82" spans="1:22">
      <c r="A82" s="1678" t="s">
        <v>239</v>
      </c>
      <c r="B82" s="75" t="s">
        <v>240</v>
      </c>
      <c r="C82" s="75">
        <v>0.11</v>
      </c>
      <c r="D82" s="1679" t="s">
        <v>4160</v>
      </c>
      <c r="E82" s="75"/>
      <c r="F82" s="1679"/>
      <c r="G82" s="75">
        <v>1.7</v>
      </c>
      <c r="H82" s="1679" t="s">
        <v>4160</v>
      </c>
      <c r="I82" s="75">
        <v>180</v>
      </c>
      <c r="J82" s="1679" t="s">
        <v>4160</v>
      </c>
      <c r="K82" s="75"/>
      <c r="L82" s="1679"/>
      <c r="M82" s="75"/>
      <c r="N82" s="1679"/>
      <c r="O82" s="75">
        <v>9.2000000000000003E-4</v>
      </c>
      <c r="P82" s="1679" t="s">
        <v>4160</v>
      </c>
      <c r="Q82" s="75"/>
      <c r="R82" s="1679"/>
      <c r="S82" s="75">
        <v>1.0999999999999999E-2</v>
      </c>
      <c r="T82" s="1679" t="s">
        <v>4160</v>
      </c>
      <c r="U82" s="75"/>
      <c r="V82" s="1679"/>
    </row>
    <row r="83" spans="1:22">
      <c r="A83" s="1678" t="s">
        <v>241</v>
      </c>
      <c r="B83" s="75" t="s">
        <v>242</v>
      </c>
      <c r="C83" s="75">
        <v>1.1000000000000001</v>
      </c>
      <c r="D83" s="1679" t="s">
        <v>4160</v>
      </c>
      <c r="E83" s="75" t="s">
        <v>115</v>
      </c>
      <c r="F83" s="1679" t="s">
        <v>115</v>
      </c>
      <c r="G83" s="75">
        <v>17</v>
      </c>
      <c r="H83" s="1679" t="s">
        <v>4160</v>
      </c>
      <c r="I83" s="75" t="s">
        <v>115</v>
      </c>
      <c r="J83" s="1679" t="s">
        <v>115</v>
      </c>
      <c r="K83" s="75"/>
      <c r="L83" s="1679"/>
      <c r="M83" s="75"/>
      <c r="N83" s="1679"/>
      <c r="O83" s="75">
        <v>9.1999999999999998E-3</v>
      </c>
      <c r="P83" s="1679" t="s">
        <v>4160</v>
      </c>
      <c r="Q83" s="75" t="s">
        <v>115</v>
      </c>
      <c r="R83" s="1679" t="s">
        <v>115</v>
      </c>
      <c r="S83" s="75">
        <v>0.11</v>
      </c>
      <c r="T83" s="1679" t="s">
        <v>4160</v>
      </c>
      <c r="U83" s="75" t="s">
        <v>115</v>
      </c>
      <c r="V83" s="1679" t="s">
        <v>115</v>
      </c>
    </row>
    <row r="84" spans="1:22">
      <c r="A84" s="1678" t="s">
        <v>243</v>
      </c>
      <c r="B84" s="75" t="s">
        <v>244</v>
      </c>
      <c r="C84" s="75">
        <v>11</v>
      </c>
      <c r="D84" s="1679" t="s">
        <v>4160</v>
      </c>
      <c r="E84" s="75" t="s">
        <v>115</v>
      </c>
      <c r="F84" s="1679" t="s">
        <v>115</v>
      </c>
      <c r="G84" s="75">
        <v>170</v>
      </c>
      <c r="H84" s="1679" t="s">
        <v>4160</v>
      </c>
      <c r="I84" s="75" t="s">
        <v>115</v>
      </c>
      <c r="J84" s="1679" t="s">
        <v>115</v>
      </c>
      <c r="K84" s="75"/>
      <c r="L84" s="1679"/>
      <c r="M84" s="75"/>
      <c r="N84" s="1679"/>
      <c r="O84" s="75">
        <v>9.1999999999999998E-3</v>
      </c>
      <c r="P84" s="1679" t="s">
        <v>4160</v>
      </c>
      <c r="Q84" s="75" t="s">
        <v>115</v>
      </c>
      <c r="R84" s="1679" t="s">
        <v>115</v>
      </c>
      <c r="S84" s="75">
        <v>0.11</v>
      </c>
      <c r="T84" s="1679" t="s">
        <v>4160</v>
      </c>
      <c r="U84" s="75" t="s">
        <v>115</v>
      </c>
      <c r="V84" s="1679" t="s">
        <v>115</v>
      </c>
    </row>
    <row r="85" spans="1:22">
      <c r="A85" s="1678" t="s">
        <v>245</v>
      </c>
      <c r="B85" s="75" t="s">
        <v>246</v>
      </c>
      <c r="C85" s="75">
        <v>110</v>
      </c>
      <c r="D85" s="1679" t="s">
        <v>4160</v>
      </c>
      <c r="E85" s="75" t="s">
        <v>115</v>
      </c>
      <c r="F85" s="1679" t="s">
        <v>115</v>
      </c>
      <c r="G85" s="75">
        <v>1700</v>
      </c>
      <c r="H85" s="1679" t="s">
        <v>4160</v>
      </c>
      <c r="I85" s="75" t="s">
        <v>115</v>
      </c>
      <c r="J85" s="1679" t="s">
        <v>115</v>
      </c>
      <c r="K85" s="75"/>
      <c r="L85" s="1679"/>
      <c r="M85" s="75"/>
      <c r="N85" s="1679"/>
      <c r="O85" s="75">
        <v>9.1999999999999998E-2</v>
      </c>
      <c r="P85" s="1679" t="s">
        <v>4160</v>
      </c>
      <c r="Q85" s="75" t="s">
        <v>115</v>
      </c>
      <c r="R85" s="1679" t="s">
        <v>115</v>
      </c>
      <c r="S85" s="75">
        <v>1.1000000000000001</v>
      </c>
      <c r="T85" s="1679" t="s">
        <v>4160</v>
      </c>
      <c r="U85" s="75" t="s">
        <v>115</v>
      </c>
      <c r="V85" s="1679" t="s">
        <v>115</v>
      </c>
    </row>
    <row r="86" spans="1:22">
      <c r="A86" s="1678" t="s">
        <v>247</v>
      </c>
      <c r="B86" s="75" t="s">
        <v>248</v>
      </c>
      <c r="C86" s="75">
        <v>2.8000000000000001E-2</v>
      </c>
      <c r="D86" s="1679" t="s">
        <v>4160</v>
      </c>
      <c r="E86" s="75" t="s">
        <v>115</v>
      </c>
      <c r="F86" s="1679" t="s">
        <v>115</v>
      </c>
      <c r="G86" s="75">
        <v>0.41</v>
      </c>
      <c r="H86" s="1679" t="s">
        <v>4160</v>
      </c>
      <c r="I86" s="75" t="s">
        <v>115</v>
      </c>
      <c r="J86" s="1679" t="s">
        <v>115</v>
      </c>
      <c r="K86" s="75">
        <v>6.1000000000000004E-3</v>
      </c>
      <c r="L86" s="1679" t="s">
        <v>4160</v>
      </c>
      <c r="M86" s="75" t="s">
        <v>115</v>
      </c>
      <c r="N86" s="1679" t="s">
        <v>115</v>
      </c>
      <c r="O86" s="75">
        <v>8.4000000000000003E-4</v>
      </c>
      <c r="P86" s="1679" t="s">
        <v>4160</v>
      </c>
      <c r="Q86" s="75" t="s">
        <v>115</v>
      </c>
      <c r="R86" s="1679" t="s">
        <v>115</v>
      </c>
      <c r="S86" s="75">
        <v>0.01</v>
      </c>
      <c r="T86" s="1679" t="s">
        <v>4160</v>
      </c>
      <c r="U86" s="75" t="s">
        <v>115</v>
      </c>
      <c r="V86" s="1679" t="s">
        <v>115</v>
      </c>
    </row>
    <row r="87" spans="1:22">
      <c r="A87" s="1678" t="s">
        <v>249</v>
      </c>
      <c r="B87" s="75" t="s">
        <v>250</v>
      </c>
      <c r="C87" s="75" t="s">
        <v>115</v>
      </c>
      <c r="D87" s="1679" t="s">
        <v>115</v>
      </c>
      <c r="E87" s="75"/>
      <c r="F87" s="1679"/>
      <c r="G87" s="75" t="s">
        <v>115</v>
      </c>
      <c r="H87" s="1679" t="s">
        <v>115</v>
      </c>
      <c r="I87" s="75">
        <v>24000</v>
      </c>
      <c r="J87" s="1679" t="s">
        <v>4160</v>
      </c>
      <c r="K87" s="75"/>
      <c r="L87" s="1679"/>
      <c r="M87" s="75"/>
      <c r="N87" s="1679"/>
      <c r="O87" s="75"/>
      <c r="P87" s="1679"/>
      <c r="Q87" s="75"/>
      <c r="R87" s="1679"/>
      <c r="S87" s="75"/>
      <c r="T87" s="1679"/>
      <c r="U87" s="75"/>
      <c r="V87" s="1679"/>
    </row>
    <row r="88" spans="1:22">
      <c r="A88" s="1678" t="s">
        <v>251</v>
      </c>
      <c r="B88" s="75" t="s">
        <v>252</v>
      </c>
      <c r="C88" s="75" t="s">
        <v>115</v>
      </c>
      <c r="D88" s="1679" t="s">
        <v>115</v>
      </c>
      <c r="E88" s="75"/>
      <c r="F88" s="1679"/>
      <c r="G88" s="75" t="s">
        <v>115</v>
      </c>
      <c r="H88" s="1679" t="s">
        <v>115</v>
      </c>
      <c r="I88" s="75">
        <v>21000</v>
      </c>
      <c r="J88" s="1679" t="s">
        <v>4160</v>
      </c>
      <c r="K88" s="75" t="s">
        <v>115</v>
      </c>
      <c r="L88" s="1679" t="s">
        <v>115</v>
      </c>
      <c r="M88" s="75">
        <v>160</v>
      </c>
      <c r="N88" s="1679" t="s">
        <v>4160</v>
      </c>
      <c r="O88" s="75" t="s">
        <v>115</v>
      </c>
      <c r="P88" s="1679" t="s">
        <v>115</v>
      </c>
      <c r="Q88" s="75">
        <v>170</v>
      </c>
      <c r="R88" s="1679" t="s">
        <v>4160</v>
      </c>
      <c r="S88" s="75" t="s">
        <v>115</v>
      </c>
      <c r="T88" s="1679" t="s">
        <v>115</v>
      </c>
      <c r="U88" s="75">
        <v>700</v>
      </c>
      <c r="V88" s="1679" t="s">
        <v>4160</v>
      </c>
    </row>
    <row r="89" spans="1:22">
      <c r="A89" s="1678" t="s">
        <v>253</v>
      </c>
      <c r="B89" s="75" t="s">
        <v>254</v>
      </c>
      <c r="C89" s="75">
        <v>1.1000000000000001</v>
      </c>
      <c r="D89" s="1679" t="s">
        <v>4160</v>
      </c>
      <c r="E89" s="75" t="s">
        <v>115</v>
      </c>
      <c r="F89" s="1679" t="s">
        <v>115</v>
      </c>
      <c r="G89" s="75">
        <v>17</v>
      </c>
      <c r="H89" s="1679" t="s">
        <v>4160</v>
      </c>
      <c r="I89" s="75" t="s">
        <v>115</v>
      </c>
      <c r="J89" s="1679" t="s">
        <v>115</v>
      </c>
      <c r="K89" s="75"/>
      <c r="L89" s="1679"/>
      <c r="M89" s="75"/>
      <c r="N89" s="1679"/>
      <c r="O89" s="75">
        <v>9.1999999999999998E-3</v>
      </c>
      <c r="P89" s="1679" t="s">
        <v>4160</v>
      </c>
      <c r="Q89" s="75" t="s">
        <v>115</v>
      </c>
      <c r="R89" s="1679" t="s">
        <v>115</v>
      </c>
      <c r="S89" s="75">
        <v>0.11</v>
      </c>
      <c r="T89" s="1679" t="s">
        <v>4160</v>
      </c>
      <c r="U89" s="75" t="s">
        <v>115</v>
      </c>
      <c r="V89" s="1679" t="s">
        <v>115</v>
      </c>
    </row>
    <row r="90" spans="1:22">
      <c r="A90" s="1678" t="s">
        <v>255</v>
      </c>
      <c r="B90" s="75" t="s">
        <v>256</v>
      </c>
      <c r="C90" s="75"/>
      <c r="D90" s="1679"/>
      <c r="E90" s="75"/>
      <c r="F90" s="1679"/>
      <c r="G90" s="75">
        <v>7.6</v>
      </c>
      <c r="H90" s="1679" t="s">
        <v>4160</v>
      </c>
      <c r="I90" s="75"/>
      <c r="J90" s="1679"/>
      <c r="K90" s="75"/>
      <c r="L90" s="1679"/>
      <c r="M90" s="75"/>
      <c r="N90" s="1679"/>
      <c r="O90" s="75"/>
      <c r="P90" s="1679"/>
      <c r="Q90" s="75"/>
      <c r="R90" s="1679"/>
      <c r="S90" s="75"/>
      <c r="T90" s="1679"/>
      <c r="U90" s="75"/>
      <c r="V90" s="1679"/>
    </row>
    <row r="91" spans="1:22">
      <c r="A91" s="1678" t="s">
        <v>257</v>
      </c>
      <c r="B91" s="75" t="s">
        <v>258</v>
      </c>
      <c r="C91" s="75" t="s">
        <v>115</v>
      </c>
      <c r="D91" s="1679" t="s">
        <v>115</v>
      </c>
      <c r="E91" s="75"/>
      <c r="F91" s="1679"/>
      <c r="G91" s="75" t="s">
        <v>115</v>
      </c>
      <c r="H91" s="1679" t="s">
        <v>115</v>
      </c>
      <c r="I91" s="75">
        <v>18000</v>
      </c>
      <c r="J91" s="1679" t="s">
        <v>4160</v>
      </c>
      <c r="K91" s="75" t="s">
        <v>115</v>
      </c>
      <c r="L91" s="1679" t="s">
        <v>115</v>
      </c>
      <c r="M91" s="75">
        <v>81</v>
      </c>
      <c r="N91" s="1679" t="s">
        <v>4160</v>
      </c>
      <c r="O91" s="75" t="s">
        <v>115</v>
      </c>
      <c r="P91" s="1679" t="s">
        <v>115</v>
      </c>
      <c r="Q91" s="75">
        <v>130</v>
      </c>
      <c r="R91" s="1679" t="s">
        <v>4160</v>
      </c>
      <c r="S91" s="75" t="s">
        <v>115</v>
      </c>
      <c r="T91" s="1679" t="s">
        <v>115</v>
      </c>
      <c r="U91" s="75">
        <v>530</v>
      </c>
      <c r="V91" s="1679" t="s">
        <v>4160</v>
      </c>
    </row>
    <row r="92" spans="1:22">
      <c r="A92" s="1678" t="s">
        <v>259</v>
      </c>
      <c r="B92" s="75" t="s">
        <v>260</v>
      </c>
      <c r="C92" s="75"/>
      <c r="D92" s="1679"/>
      <c r="E92" s="75"/>
      <c r="F92" s="1679"/>
      <c r="G92" s="75">
        <v>2.9</v>
      </c>
      <c r="H92" s="1679" t="s">
        <v>4160</v>
      </c>
      <c r="I92" s="75">
        <v>2100</v>
      </c>
      <c r="J92" s="1679" t="s">
        <v>4160</v>
      </c>
      <c r="K92" s="75"/>
      <c r="L92" s="1679"/>
      <c r="M92" s="75"/>
      <c r="N92" s="1679"/>
      <c r="O92" s="75"/>
      <c r="P92" s="1679"/>
      <c r="Q92" s="75"/>
      <c r="R92" s="1679"/>
      <c r="S92" s="75"/>
      <c r="T92" s="1679"/>
      <c r="U92" s="75"/>
      <c r="V92" s="75"/>
    </row>
    <row r="93" spans="1:22">
      <c r="A93" s="1678" t="s">
        <v>261</v>
      </c>
      <c r="B93" s="75" t="s">
        <v>262</v>
      </c>
      <c r="C93" s="75"/>
      <c r="D93" s="1679"/>
      <c r="E93" s="75"/>
      <c r="F93" s="1679"/>
      <c r="G93" s="75"/>
      <c r="H93" s="1679"/>
      <c r="I93" s="75"/>
      <c r="J93" s="1679"/>
      <c r="K93" s="75"/>
      <c r="L93" s="1679"/>
      <c r="M93" s="75"/>
      <c r="N93" s="1679"/>
      <c r="O93" s="75"/>
      <c r="P93" s="1679"/>
      <c r="Q93" s="75"/>
      <c r="R93" s="1679"/>
      <c r="S93" s="75"/>
      <c r="T93" s="1679"/>
      <c r="U93" s="75"/>
      <c r="V93" s="75"/>
    </row>
    <row r="94" spans="1:22">
      <c r="A94" s="1678" t="s">
        <v>263</v>
      </c>
      <c r="B94" s="75" t="s">
        <v>115</v>
      </c>
      <c r="C94" s="75"/>
      <c r="D94" s="1679"/>
      <c r="E94" s="75"/>
      <c r="F94" s="1679"/>
      <c r="G94" s="75"/>
      <c r="H94" s="1679"/>
      <c r="I94" s="75"/>
      <c r="J94" s="1679"/>
      <c r="K94" s="75"/>
      <c r="L94" s="1679"/>
      <c r="M94" s="75"/>
      <c r="N94" s="1679"/>
      <c r="O94" s="75"/>
      <c r="P94" s="1679"/>
      <c r="Q94" s="75"/>
      <c r="R94" s="1679"/>
      <c r="S94" s="75"/>
      <c r="T94" s="1679"/>
      <c r="U94" s="75"/>
      <c r="V94" s="75"/>
    </row>
    <row r="95" spans="1:22">
      <c r="A95" s="1678" t="s">
        <v>264</v>
      </c>
      <c r="B95" s="75" t="s">
        <v>115</v>
      </c>
      <c r="C95" s="75"/>
      <c r="D95" s="1679"/>
      <c r="E95" s="75"/>
      <c r="F95" s="1679"/>
      <c r="G95" s="75"/>
      <c r="H95" s="1679"/>
      <c r="I95" s="75"/>
      <c r="J95" s="1679"/>
      <c r="K95" s="75"/>
      <c r="L95" s="1679"/>
      <c r="M95" s="75"/>
      <c r="N95" s="1679"/>
      <c r="O95" s="75"/>
      <c r="P95" s="1679"/>
      <c r="Q95" s="75"/>
      <c r="R95" s="1679"/>
      <c r="S95" s="75"/>
      <c r="T95" s="1679"/>
      <c r="U95" s="75"/>
      <c r="V95" s="75"/>
    </row>
    <row r="96" spans="1:22">
      <c r="A96" s="1678" t="s">
        <v>265</v>
      </c>
      <c r="B96" s="75" t="s">
        <v>115</v>
      </c>
      <c r="C96" s="75"/>
      <c r="D96" s="1679"/>
      <c r="E96" s="75"/>
      <c r="F96" s="1679"/>
      <c r="G96" s="75"/>
      <c r="H96" s="1679"/>
      <c r="I96" s="75"/>
      <c r="J96" s="1679"/>
      <c r="K96" s="75"/>
      <c r="L96" s="1679"/>
      <c r="M96" s="75"/>
      <c r="N96" s="1679"/>
      <c r="O96" s="75"/>
      <c r="P96" s="1679"/>
      <c r="Q96" s="75"/>
      <c r="R96" s="1679"/>
      <c r="S96" s="75"/>
      <c r="T96" s="1679"/>
      <c r="U96" s="75"/>
      <c r="V96" s="75"/>
    </row>
    <row r="97" spans="1:22">
      <c r="A97" s="1678" t="s">
        <v>266</v>
      </c>
      <c r="B97" s="75" t="s">
        <v>115</v>
      </c>
      <c r="C97" s="75"/>
      <c r="D97" s="1679"/>
      <c r="E97" s="75"/>
      <c r="F97" s="1679"/>
      <c r="G97" s="75"/>
      <c r="H97" s="1679"/>
      <c r="I97" s="75"/>
      <c r="J97" s="1679"/>
      <c r="K97" s="75"/>
      <c r="L97" s="1679"/>
      <c r="M97" s="75"/>
      <c r="N97" s="1679"/>
      <c r="O97" s="75"/>
      <c r="P97" s="1679"/>
      <c r="Q97" s="75"/>
      <c r="R97" s="1679"/>
      <c r="S97" s="75"/>
      <c r="T97" s="1679"/>
      <c r="U97" s="75"/>
      <c r="V97" s="75"/>
    </row>
    <row r="98" spans="1:22">
      <c r="A98" s="1678" t="s">
        <v>267</v>
      </c>
      <c r="B98" s="75" t="s">
        <v>115</v>
      </c>
      <c r="C98" s="75"/>
      <c r="D98" s="1679"/>
      <c r="E98" s="75"/>
      <c r="F98" s="1679"/>
      <c r="G98" s="75"/>
      <c r="H98" s="1679"/>
      <c r="I98" s="75"/>
      <c r="J98" s="1679"/>
      <c r="K98" s="75"/>
      <c r="L98" s="1679"/>
      <c r="M98" s="75"/>
      <c r="N98" s="1679"/>
      <c r="O98" s="75"/>
      <c r="P98" s="1679"/>
      <c r="Q98" s="75"/>
      <c r="R98" s="1679"/>
      <c r="S98" s="75"/>
      <c r="T98" s="1679"/>
      <c r="U98" s="75"/>
      <c r="V98" s="75"/>
    </row>
    <row r="99" spans="1:22">
      <c r="A99" s="1678" t="s">
        <v>268</v>
      </c>
      <c r="B99" s="75" t="s">
        <v>115</v>
      </c>
      <c r="C99" s="75"/>
      <c r="D99" s="1679"/>
      <c r="E99" s="75"/>
      <c r="F99" s="1679"/>
      <c r="G99" s="75"/>
      <c r="H99" s="1679"/>
      <c r="I99" s="75"/>
      <c r="J99" s="1679"/>
      <c r="K99" s="75"/>
      <c r="L99" s="1679"/>
      <c r="M99" s="75"/>
      <c r="N99" s="1679"/>
      <c r="O99" s="75"/>
      <c r="P99" s="1679"/>
      <c r="Q99" s="75"/>
      <c r="R99" s="1679"/>
      <c r="S99" s="75"/>
      <c r="T99" s="1679"/>
      <c r="U99" s="75"/>
      <c r="V99" s="75"/>
    </row>
    <row r="100" spans="1:22">
      <c r="A100" s="1678" t="s">
        <v>269</v>
      </c>
      <c r="B100" s="75" t="s">
        <v>270</v>
      </c>
      <c r="C100" s="75"/>
      <c r="D100" s="1679"/>
      <c r="E100" s="75"/>
      <c r="F100" s="1679"/>
      <c r="G100" s="75"/>
      <c r="H100" s="1679"/>
      <c r="I100" s="75"/>
      <c r="J100" s="1679"/>
      <c r="K100" s="75"/>
      <c r="L100" s="1679"/>
      <c r="M100" s="75"/>
      <c r="N100" s="1679"/>
      <c r="O100" s="75"/>
      <c r="P100" s="1679"/>
      <c r="Q100" s="75"/>
      <c r="R100" s="1679"/>
      <c r="S100" s="75"/>
      <c r="T100" s="1679"/>
      <c r="U100" s="75"/>
      <c r="V100" s="75"/>
    </row>
    <row r="101" spans="1:22">
      <c r="A101" s="1678" t="s">
        <v>271</v>
      </c>
      <c r="B101" s="75" t="s">
        <v>272</v>
      </c>
      <c r="C101" s="75"/>
      <c r="D101" s="1679"/>
      <c r="E101" s="75"/>
      <c r="F101" s="1679"/>
      <c r="G101" s="75"/>
      <c r="H101" s="1679"/>
      <c r="I101" s="75"/>
      <c r="J101" s="1679"/>
      <c r="K101" s="75"/>
      <c r="L101" s="1679"/>
      <c r="M101" s="75"/>
      <c r="N101" s="1679"/>
      <c r="O101" s="75"/>
      <c r="P101" s="1679"/>
      <c r="Q101" s="75"/>
      <c r="R101" s="1679"/>
      <c r="S101" s="75"/>
      <c r="T101" s="1679"/>
      <c r="U101" s="75"/>
      <c r="V101" s="75"/>
    </row>
    <row r="102" spans="1:22">
      <c r="A102" s="1678" t="s">
        <v>273</v>
      </c>
      <c r="B102" s="75" t="s">
        <v>274</v>
      </c>
      <c r="C102" s="75"/>
      <c r="D102" s="1679"/>
      <c r="E102" s="75"/>
      <c r="F102" s="1679"/>
      <c r="G102" s="75"/>
      <c r="H102" s="1679"/>
      <c r="I102" s="75"/>
      <c r="J102" s="1679"/>
      <c r="K102" s="75"/>
      <c r="L102" s="1679"/>
      <c r="M102" s="75"/>
      <c r="N102" s="1679"/>
      <c r="O102" s="75"/>
      <c r="P102" s="1679"/>
      <c r="Q102" s="75"/>
      <c r="R102" s="1679"/>
      <c r="S102" s="75"/>
      <c r="T102" s="1679"/>
      <c r="U102" s="75"/>
      <c r="V102" s="75"/>
    </row>
    <row r="103" spans="1:22">
      <c r="A103" s="1678" t="s">
        <v>275</v>
      </c>
      <c r="B103" s="75" t="s">
        <v>276</v>
      </c>
      <c r="C103" s="75"/>
      <c r="D103" s="1679"/>
      <c r="E103" s="75"/>
      <c r="F103" s="1679"/>
      <c r="G103" s="75"/>
      <c r="H103" s="1679"/>
      <c r="I103" s="75"/>
      <c r="J103" s="1679"/>
      <c r="K103" s="75"/>
      <c r="L103" s="1679"/>
      <c r="M103" s="75"/>
      <c r="N103" s="1679"/>
      <c r="O103" s="75"/>
      <c r="P103" s="1679"/>
      <c r="Q103" s="75"/>
      <c r="R103" s="1679"/>
      <c r="S103" s="75"/>
      <c r="T103" s="1679"/>
      <c r="U103" s="75"/>
      <c r="V103" s="75"/>
    </row>
    <row r="104" spans="1:22">
      <c r="A104" s="1678" t="s">
        <v>277</v>
      </c>
      <c r="B104" s="75" t="s">
        <v>278</v>
      </c>
      <c r="C104" s="75"/>
      <c r="D104" s="1679"/>
      <c r="E104" s="75"/>
      <c r="F104" s="1679"/>
      <c r="G104" s="75"/>
      <c r="H104" s="1679"/>
      <c r="I104" s="75"/>
      <c r="J104" s="1679"/>
      <c r="K104" s="75"/>
      <c r="L104" s="1679"/>
      <c r="M104" s="75"/>
      <c r="N104" s="1679"/>
      <c r="O104" s="75"/>
      <c r="P104" s="1679"/>
      <c r="Q104" s="75"/>
      <c r="R104" s="1679"/>
      <c r="S104" s="75"/>
      <c r="T104" s="1679"/>
      <c r="U104" s="75"/>
      <c r="V104" s="75"/>
    </row>
    <row r="105" spans="1:22">
      <c r="A105" s="1678" t="s">
        <v>279</v>
      </c>
      <c r="B105" s="75" t="s">
        <v>280</v>
      </c>
      <c r="C105" s="75"/>
      <c r="D105" s="1679"/>
      <c r="E105" s="75"/>
      <c r="F105" s="1679"/>
      <c r="G105" s="75"/>
      <c r="H105" s="1679"/>
      <c r="I105" s="75"/>
      <c r="J105" s="1679"/>
      <c r="K105" s="75"/>
      <c r="L105" s="1679"/>
      <c r="M105" s="75"/>
      <c r="N105" s="1679"/>
      <c r="O105" s="75"/>
      <c r="P105" s="1679"/>
      <c r="Q105" s="75"/>
      <c r="R105" s="1679"/>
      <c r="S105" s="75"/>
      <c r="T105" s="1679"/>
      <c r="U105" s="75"/>
      <c r="V105" s="75"/>
    </row>
    <row r="106" spans="1:22">
      <c r="A106" s="1678" t="s">
        <v>281</v>
      </c>
      <c r="B106" s="75" t="s">
        <v>282</v>
      </c>
      <c r="C106" s="75"/>
      <c r="D106" s="1679"/>
      <c r="E106" s="75"/>
      <c r="F106" s="1679"/>
      <c r="G106" s="75"/>
      <c r="H106" s="1679"/>
      <c r="I106" s="75"/>
      <c r="J106" s="1679"/>
      <c r="K106" s="75"/>
      <c r="L106" s="1679"/>
      <c r="M106" s="75"/>
      <c r="N106" s="1679"/>
      <c r="O106" s="75"/>
      <c r="P106" s="1679"/>
      <c r="Q106" s="75"/>
      <c r="R106" s="1679"/>
      <c r="S106" s="75"/>
      <c r="T106" s="1679"/>
      <c r="U106" s="75"/>
      <c r="V106" s="75"/>
    </row>
    <row r="107" spans="1:22">
      <c r="A107" s="1678" t="s">
        <v>283</v>
      </c>
      <c r="B107" s="75" t="s">
        <v>284</v>
      </c>
      <c r="C107" s="75"/>
      <c r="D107" s="1679"/>
      <c r="E107" s="75"/>
      <c r="F107" s="1679"/>
      <c r="G107" s="75"/>
      <c r="H107" s="1679"/>
      <c r="I107" s="75"/>
      <c r="J107" s="1679"/>
      <c r="K107" s="75"/>
      <c r="L107" s="1679"/>
      <c r="M107" s="75"/>
      <c r="N107" s="1679"/>
      <c r="O107" s="75"/>
      <c r="P107" s="1679"/>
      <c r="Q107" s="75"/>
      <c r="R107" s="1679"/>
      <c r="S107" s="75"/>
      <c r="T107" s="1679"/>
      <c r="U107" s="75"/>
      <c r="V107" s="75"/>
    </row>
    <row r="108" spans="1:22">
      <c r="A108" s="1678" t="s">
        <v>285</v>
      </c>
      <c r="B108" s="75" t="s">
        <v>286</v>
      </c>
      <c r="C108" s="75"/>
      <c r="D108" s="1679"/>
      <c r="E108" s="75"/>
      <c r="F108" s="1679"/>
      <c r="G108" s="75"/>
      <c r="H108" s="1679"/>
      <c r="I108" s="75"/>
      <c r="J108" s="1679"/>
      <c r="K108" s="75"/>
      <c r="L108" s="1679"/>
      <c r="M108" s="75"/>
      <c r="N108" s="1679"/>
      <c r="O108" s="75"/>
      <c r="P108" s="1679"/>
      <c r="Q108" s="75"/>
      <c r="R108" s="1679"/>
      <c r="S108" s="75"/>
      <c r="T108" s="1679"/>
      <c r="U108" s="75"/>
      <c r="V108" s="75"/>
    </row>
    <row r="109" spans="1:22">
      <c r="A109" s="1678" t="s">
        <v>287</v>
      </c>
      <c r="B109" s="75" t="s">
        <v>288</v>
      </c>
      <c r="C109" s="75"/>
      <c r="D109" s="1679"/>
      <c r="E109" s="75"/>
      <c r="F109" s="1679"/>
      <c r="G109" s="75"/>
      <c r="H109" s="1679"/>
      <c r="I109" s="75"/>
      <c r="J109" s="1679"/>
      <c r="K109" s="75"/>
      <c r="L109" s="1679"/>
      <c r="M109" s="75"/>
      <c r="N109" s="1679"/>
      <c r="O109" s="75"/>
      <c r="P109" s="1679"/>
      <c r="Q109" s="75"/>
      <c r="R109" s="1679"/>
      <c r="S109" s="75"/>
      <c r="T109" s="1679"/>
      <c r="U109" s="75"/>
      <c r="V109" s="75"/>
    </row>
    <row r="110" spans="1:22">
      <c r="A110" s="1678" t="s">
        <v>289</v>
      </c>
      <c r="B110" s="75" t="s">
        <v>290</v>
      </c>
      <c r="C110" s="75"/>
      <c r="D110" s="1679"/>
      <c r="E110" s="75"/>
      <c r="F110" s="1679"/>
      <c r="G110" s="75"/>
      <c r="H110" s="1679"/>
      <c r="I110" s="75"/>
      <c r="J110" s="1679"/>
      <c r="K110" s="75"/>
      <c r="L110" s="1679"/>
      <c r="M110" s="75"/>
      <c r="N110" s="1679"/>
      <c r="O110" s="75"/>
      <c r="P110" s="1679"/>
      <c r="Q110" s="75"/>
      <c r="R110" s="1679"/>
      <c r="S110" s="75"/>
      <c r="T110" s="1679"/>
      <c r="U110" s="75"/>
      <c r="V110" s="75"/>
    </row>
    <row r="111" spans="1:22">
      <c r="A111" s="1678" t="s">
        <v>291</v>
      </c>
      <c r="B111" s="75" t="s">
        <v>292</v>
      </c>
      <c r="C111" s="75"/>
      <c r="D111" s="1679"/>
      <c r="E111" s="75"/>
      <c r="F111" s="1679"/>
      <c r="G111" s="75"/>
      <c r="H111" s="1679"/>
      <c r="I111" s="75"/>
      <c r="J111" s="1679"/>
      <c r="K111" s="75"/>
      <c r="L111" s="1679"/>
      <c r="M111" s="75"/>
      <c r="N111" s="1679"/>
      <c r="O111" s="75"/>
      <c r="P111" s="1679"/>
      <c r="Q111" s="75"/>
      <c r="R111" s="1679"/>
      <c r="S111" s="75"/>
      <c r="T111" s="1679"/>
      <c r="U111" s="75"/>
      <c r="V111" s="75"/>
    </row>
    <row r="112" spans="1:22">
      <c r="A112" s="1678" t="s">
        <v>293</v>
      </c>
      <c r="B112" s="75" t="s">
        <v>294</v>
      </c>
      <c r="C112" s="75"/>
      <c r="D112" s="1679"/>
      <c r="E112" s="75"/>
      <c r="F112" s="1679"/>
      <c r="G112" s="75"/>
      <c r="H112" s="1679"/>
      <c r="I112" s="75"/>
      <c r="J112" s="1679"/>
      <c r="K112" s="75"/>
      <c r="L112" s="1679"/>
      <c r="M112" s="75"/>
      <c r="N112" s="1679"/>
      <c r="O112" s="75"/>
      <c r="P112" s="1679"/>
      <c r="Q112" s="75"/>
      <c r="R112" s="1679"/>
      <c r="S112" s="75"/>
      <c r="T112" s="1679"/>
      <c r="U112" s="75"/>
      <c r="V112" s="75"/>
    </row>
    <row r="113" spans="1:22">
      <c r="A113" s="1678" t="s">
        <v>295</v>
      </c>
      <c r="B113" s="75" t="s">
        <v>296</v>
      </c>
      <c r="C113" s="75"/>
      <c r="D113" s="1679"/>
      <c r="E113" s="75"/>
      <c r="F113" s="1679"/>
      <c r="G113" s="75"/>
      <c r="H113" s="1679"/>
      <c r="I113" s="75"/>
      <c r="J113" s="1679"/>
      <c r="K113" s="75"/>
      <c r="L113" s="1679"/>
      <c r="M113" s="75"/>
      <c r="N113" s="1679"/>
      <c r="O113" s="75"/>
      <c r="P113" s="1679"/>
      <c r="Q113" s="75"/>
      <c r="R113" s="1679"/>
      <c r="S113" s="75"/>
      <c r="T113" s="1679"/>
      <c r="U113" s="75"/>
      <c r="V113" s="75"/>
    </row>
    <row r="114" spans="1:22">
      <c r="A114" s="1678" t="s">
        <v>297</v>
      </c>
      <c r="B114" s="75" t="s">
        <v>298</v>
      </c>
      <c r="C114" s="75"/>
      <c r="D114" s="1679"/>
      <c r="E114" s="75"/>
      <c r="F114" s="1679"/>
      <c r="G114" s="75"/>
      <c r="H114" s="1679"/>
      <c r="I114" s="75"/>
      <c r="J114" s="1679"/>
      <c r="K114" s="75"/>
      <c r="L114" s="1679"/>
      <c r="M114" s="75"/>
      <c r="N114" s="1679"/>
      <c r="O114" s="75"/>
      <c r="P114" s="1679"/>
      <c r="Q114" s="75"/>
      <c r="R114" s="1679"/>
      <c r="S114" s="75"/>
      <c r="T114" s="1679"/>
      <c r="U114" s="75"/>
      <c r="V114" s="75"/>
    </row>
    <row r="115" spans="1:22">
      <c r="A115" s="1678" t="s">
        <v>299</v>
      </c>
      <c r="B115" s="75" t="s">
        <v>300</v>
      </c>
      <c r="C115" s="75"/>
      <c r="D115" s="1679"/>
      <c r="E115" s="75"/>
      <c r="F115" s="1679"/>
      <c r="G115" s="75"/>
      <c r="H115" s="1679"/>
      <c r="I115" s="75"/>
      <c r="J115" s="1679"/>
      <c r="K115" s="75"/>
      <c r="L115" s="1679"/>
      <c r="M115" s="75"/>
      <c r="N115" s="1679"/>
      <c r="O115" s="75"/>
      <c r="P115" s="1679"/>
      <c r="Q115" s="75"/>
      <c r="R115" s="1679"/>
      <c r="S115" s="75"/>
      <c r="T115" s="1679"/>
      <c r="U115" s="75"/>
      <c r="V115" s="75"/>
    </row>
    <row r="116" spans="1:22">
      <c r="A116" s="1678" t="s">
        <v>301</v>
      </c>
      <c r="B116" s="75" t="s">
        <v>302</v>
      </c>
      <c r="C116" s="75" t="s">
        <v>115</v>
      </c>
      <c r="D116" s="1679" t="s">
        <v>115</v>
      </c>
      <c r="E116" s="75">
        <v>19000</v>
      </c>
      <c r="F116" s="1679" t="s">
        <v>4162</v>
      </c>
      <c r="G116" s="75" t="s">
        <v>115</v>
      </c>
      <c r="H116" s="1679" t="s">
        <v>115</v>
      </c>
      <c r="I116" s="75">
        <v>200000</v>
      </c>
      <c r="J116" s="1679" t="s">
        <v>4160</v>
      </c>
      <c r="K116" s="75"/>
      <c r="L116" s="1679"/>
      <c r="M116" s="75"/>
      <c r="N116" s="1679"/>
      <c r="O116" s="75"/>
      <c r="P116" s="1679"/>
      <c r="Q116" s="75"/>
      <c r="R116" s="1679"/>
      <c r="S116" s="75"/>
      <c r="T116" s="1679"/>
      <c r="U116" s="75"/>
      <c r="V116" s="75"/>
    </row>
    <row r="117" spans="1:22">
      <c r="A117" s="1678" t="s">
        <v>303</v>
      </c>
      <c r="B117" s="75" t="s">
        <v>304</v>
      </c>
      <c r="C117" s="75">
        <v>0.23</v>
      </c>
      <c r="D117" s="1679" t="s">
        <v>4162</v>
      </c>
      <c r="E117" s="75" t="s">
        <v>115</v>
      </c>
      <c r="F117" s="1679" t="s">
        <v>115</v>
      </c>
      <c r="G117" s="75">
        <v>0.76</v>
      </c>
      <c r="H117" s="1679" t="s">
        <v>4160</v>
      </c>
      <c r="I117" s="75" t="s">
        <v>115</v>
      </c>
      <c r="J117" s="1679" t="s">
        <v>115</v>
      </c>
      <c r="K117" s="75"/>
      <c r="L117" s="1679"/>
      <c r="M117" s="75"/>
      <c r="N117" s="1679"/>
      <c r="O117" s="75"/>
      <c r="P117" s="1679"/>
      <c r="Q117" s="75"/>
      <c r="R117" s="1679"/>
      <c r="S117" s="75"/>
      <c r="T117" s="1679"/>
      <c r="U117" s="75"/>
      <c r="V117" s="75"/>
    </row>
    <row r="118" spans="1:22">
      <c r="A118" s="1678" t="s">
        <v>305</v>
      </c>
      <c r="B118" s="75" t="s">
        <v>306</v>
      </c>
      <c r="C118" s="75"/>
      <c r="D118" s="1679"/>
      <c r="E118" s="75"/>
      <c r="F118" s="1679"/>
      <c r="G118" s="75"/>
      <c r="H118" s="1679"/>
      <c r="I118" s="75"/>
      <c r="J118" s="1679"/>
      <c r="K118" s="75"/>
      <c r="L118" s="1679"/>
      <c r="M118" s="75"/>
      <c r="N118" s="1679"/>
      <c r="O118" s="75"/>
      <c r="P118" s="1679"/>
      <c r="Q118" s="75"/>
      <c r="R118" s="1679"/>
      <c r="S118" s="75"/>
      <c r="T118" s="1679"/>
      <c r="U118" s="75"/>
      <c r="V118" s="75"/>
    </row>
    <row r="119" spans="1:22">
      <c r="A119" s="1678" t="s">
        <v>307</v>
      </c>
      <c r="B119" s="75" t="s">
        <v>308</v>
      </c>
      <c r="C119" s="75"/>
      <c r="D119" s="1679"/>
      <c r="E119" s="75"/>
      <c r="F119" s="1679"/>
      <c r="G119" s="75"/>
      <c r="H119" s="1679"/>
      <c r="I119" s="75"/>
      <c r="J119" s="1679"/>
      <c r="K119" s="75"/>
      <c r="L119" s="1679"/>
      <c r="M119" s="75"/>
      <c r="N119" s="1679"/>
      <c r="O119" s="75"/>
      <c r="P119" s="1679"/>
      <c r="Q119" s="75"/>
      <c r="R119" s="1679"/>
      <c r="S119" s="75"/>
      <c r="T119" s="1679"/>
      <c r="U119" s="75"/>
      <c r="V119" s="75"/>
    </row>
    <row r="120" spans="1:22">
      <c r="A120" s="1678" t="s">
        <v>309</v>
      </c>
      <c r="B120" s="75" t="s">
        <v>310</v>
      </c>
      <c r="C120" s="75" t="s">
        <v>115</v>
      </c>
      <c r="D120" s="1679" t="s">
        <v>115</v>
      </c>
      <c r="E120" s="75">
        <v>5600</v>
      </c>
      <c r="F120" s="1679" t="s">
        <v>4160</v>
      </c>
      <c r="G120" s="75" t="s">
        <v>115</v>
      </c>
      <c r="H120" s="1679" t="s">
        <v>115</v>
      </c>
      <c r="I120" s="75">
        <v>32000</v>
      </c>
      <c r="J120" s="1679" t="s">
        <v>4160</v>
      </c>
      <c r="K120" s="75" t="s">
        <v>115</v>
      </c>
      <c r="L120" s="1679" t="s">
        <v>115</v>
      </c>
      <c r="M120" s="75">
        <v>1100</v>
      </c>
      <c r="N120" s="1679" t="s">
        <v>4160</v>
      </c>
      <c r="O120" s="75" t="s">
        <v>115</v>
      </c>
      <c r="P120" s="1679" t="s">
        <v>115</v>
      </c>
      <c r="Q120" s="75">
        <v>940</v>
      </c>
      <c r="R120" s="1679" t="s">
        <v>4160</v>
      </c>
      <c r="S120" s="75" t="s">
        <v>115</v>
      </c>
      <c r="T120" s="1679" t="s">
        <v>115</v>
      </c>
      <c r="U120" s="75">
        <v>3900</v>
      </c>
      <c r="V120" s="1679" t="s">
        <v>4160</v>
      </c>
    </row>
    <row r="121" spans="1:22">
      <c r="A121" s="1678" t="s">
        <v>311</v>
      </c>
      <c r="B121" s="75" t="s">
        <v>312</v>
      </c>
      <c r="C121" s="75"/>
      <c r="D121" s="1679"/>
      <c r="E121" s="75"/>
      <c r="F121" s="1679"/>
      <c r="G121" s="75"/>
      <c r="H121" s="1679"/>
      <c r="I121" s="75"/>
      <c r="J121" s="1679"/>
      <c r="K121" s="75"/>
      <c r="L121" s="1679"/>
      <c r="M121" s="75"/>
      <c r="N121" s="1679"/>
      <c r="O121" s="75"/>
      <c r="P121" s="1679"/>
      <c r="Q121" s="75"/>
      <c r="R121" s="1679"/>
      <c r="S121" s="75"/>
      <c r="T121" s="1679"/>
      <c r="U121" s="75"/>
      <c r="V121" s="1679"/>
    </row>
    <row r="122" spans="1:22">
      <c r="A122" s="1678" t="s">
        <v>313</v>
      </c>
      <c r="B122" s="75" t="s">
        <v>314</v>
      </c>
      <c r="C122" s="75"/>
      <c r="D122" s="1679"/>
      <c r="E122" s="75">
        <v>550</v>
      </c>
      <c r="F122" s="1679" t="s">
        <v>4160</v>
      </c>
      <c r="G122" s="75"/>
      <c r="H122" s="1679"/>
      <c r="I122" s="75">
        <v>2800</v>
      </c>
      <c r="J122" s="1679" t="s">
        <v>4160</v>
      </c>
      <c r="K122" s="75"/>
      <c r="L122" s="1679"/>
      <c r="M122" s="75">
        <v>160</v>
      </c>
      <c r="N122" s="1679" t="s">
        <v>4160</v>
      </c>
      <c r="O122" s="75"/>
      <c r="P122" s="1679"/>
      <c r="Q122" s="75">
        <v>130</v>
      </c>
      <c r="R122" s="1679" t="s">
        <v>4160</v>
      </c>
      <c r="S122" s="75"/>
      <c r="T122" s="1679"/>
      <c r="U122" s="75">
        <v>530</v>
      </c>
      <c r="V122" s="1679" t="s">
        <v>4160</v>
      </c>
    </row>
    <row r="123" spans="1:22">
      <c r="A123" s="1678" t="s">
        <v>315</v>
      </c>
      <c r="B123" s="75" t="s">
        <v>316</v>
      </c>
      <c r="C123" s="75"/>
      <c r="D123" s="1679"/>
      <c r="E123" s="75">
        <v>700</v>
      </c>
      <c r="F123" s="1679" t="s">
        <v>4160</v>
      </c>
      <c r="G123" s="75"/>
      <c r="H123" s="1679"/>
      <c r="I123" s="75">
        <v>4300</v>
      </c>
      <c r="J123" s="1679" t="s">
        <v>4160</v>
      </c>
      <c r="K123" s="75"/>
      <c r="L123" s="1679"/>
      <c r="M123" s="75">
        <v>110</v>
      </c>
      <c r="N123" s="1679" t="s">
        <v>4160</v>
      </c>
      <c r="O123" s="75"/>
      <c r="P123" s="1679"/>
      <c r="Q123" s="75">
        <v>83</v>
      </c>
      <c r="R123" s="1679" t="s">
        <v>4160</v>
      </c>
      <c r="S123" s="75"/>
      <c r="T123" s="1679"/>
      <c r="U123" s="75">
        <v>350</v>
      </c>
      <c r="V123" s="1679" t="s">
        <v>4160</v>
      </c>
    </row>
    <row r="124" spans="1:22">
      <c r="A124" s="1678" t="s">
        <v>317</v>
      </c>
      <c r="B124" s="75" t="s">
        <v>318</v>
      </c>
      <c r="C124" s="75">
        <v>0.59</v>
      </c>
      <c r="D124" s="1679" t="s">
        <v>4160</v>
      </c>
      <c r="E124" s="75"/>
      <c r="F124" s="1679"/>
      <c r="G124" s="75">
        <v>2.7</v>
      </c>
      <c r="H124" s="1679" t="s">
        <v>4160</v>
      </c>
      <c r="I124" s="75"/>
      <c r="J124" s="1679"/>
      <c r="K124" s="75">
        <v>8.4000000000000005E-2</v>
      </c>
      <c r="L124" s="1679" t="s">
        <v>4160</v>
      </c>
      <c r="M124" s="75"/>
      <c r="N124" s="1679"/>
      <c r="O124" s="75">
        <v>0.46</v>
      </c>
      <c r="P124" s="1679" t="s">
        <v>4160</v>
      </c>
      <c r="Q124" s="75"/>
      <c r="R124" s="1679"/>
      <c r="S124" s="75">
        <v>2</v>
      </c>
      <c r="T124" s="1679" t="s">
        <v>4160</v>
      </c>
      <c r="U124" s="75"/>
      <c r="V124" s="1679"/>
    </row>
    <row r="125" spans="1:22">
      <c r="A125" s="1678" t="s">
        <v>319</v>
      </c>
      <c r="B125" s="75" t="s">
        <v>320</v>
      </c>
      <c r="C125" s="75"/>
      <c r="D125" s="1679"/>
      <c r="E125" s="75"/>
      <c r="F125" s="1679"/>
      <c r="G125" s="75"/>
      <c r="H125" s="1679"/>
      <c r="I125" s="75"/>
      <c r="J125" s="1679"/>
      <c r="K125" s="75"/>
      <c r="L125" s="1679"/>
      <c r="M125" s="75"/>
      <c r="N125" s="1679"/>
      <c r="O125" s="75"/>
      <c r="P125" s="1679"/>
      <c r="Q125" s="75"/>
      <c r="R125" s="1679"/>
      <c r="S125" s="75"/>
      <c r="T125" s="1679"/>
      <c r="U125" s="75"/>
      <c r="V125" s="1679"/>
    </row>
    <row r="126" spans="1:22">
      <c r="A126" s="1678" t="s">
        <v>321</v>
      </c>
      <c r="B126" s="75" t="s">
        <v>322</v>
      </c>
      <c r="C126" s="75" t="s">
        <v>115</v>
      </c>
      <c r="D126" s="1679" t="s">
        <v>115</v>
      </c>
      <c r="E126" s="75" t="s">
        <v>4163</v>
      </c>
      <c r="F126" s="1679" t="s">
        <v>4160</v>
      </c>
      <c r="G126" s="75" t="s">
        <v>115</v>
      </c>
      <c r="H126" s="1679" t="s">
        <v>115</v>
      </c>
      <c r="I126" s="75" t="s">
        <v>4164</v>
      </c>
      <c r="J126" s="1679" t="s">
        <v>4160</v>
      </c>
      <c r="K126" s="75" t="s">
        <v>115</v>
      </c>
      <c r="L126" s="1679" t="s">
        <v>115</v>
      </c>
      <c r="M126" s="75" t="s">
        <v>4165</v>
      </c>
      <c r="N126" s="1679" t="s">
        <v>4160</v>
      </c>
      <c r="O126" s="75" t="s">
        <v>115</v>
      </c>
      <c r="P126" s="1679" t="s">
        <v>115</v>
      </c>
      <c r="Q126" s="75" t="s">
        <v>4166</v>
      </c>
      <c r="R126" s="1679" t="s">
        <v>4160</v>
      </c>
      <c r="S126" s="75" t="s">
        <v>115</v>
      </c>
      <c r="T126" s="1679" t="s">
        <v>115</v>
      </c>
      <c r="U126" s="75" t="s">
        <v>4167</v>
      </c>
      <c r="V126" s="1679" t="s">
        <v>4160</v>
      </c>
    </row>
    <row r="127" spans="1:22">
      <c r="A127" s="1678" t="s">
        <v>323</v>
      </c>
      <c r="B127" s="75" t="s">
        <v>324</v>
      </c>
      <c r="C127" s="75">
        <v>0.45</v>
      </c>
      <c r="D127" s="1679" t="s">
        <v>4160</v>
      </c>
      <c r="E127" s="75"/>
      <c r="F127" s="1679"/>
      <c r="G127" s="75">
        <v>1.6</v>
      </c>
      <c r="H127" s="1679" t="s">
        <v>4160</v>
      </c>
      <c r="I127" s="75">
        <v>61</v>
      </c>
      <c r="J127" s="1679" t="s">
        <v>4160</v>
      </c>
      <c r="K127" s="75">
        <v>6.5000000000000002E-2</v>
      </c>
      <c r="L127" s="1679" t="s">
        <v>4160</v>
      </c>
      <c r="M127" s="75"/>
      <c r="N127" s="1679"/>
      <c r="O127" s="75"/>
      <c r="P127" s="1679"/>
      <c r="Q127" s="75"/>
      <c r="R127" s="1679"/>
      <c r="S127" s="75"/>
      <c r="T127" s="1679"/>
      <c r="U127" s="75"/>
      <c r="V127" s="1679"/>
    </row>
    <row r="128" spans="1:22">
      <c r="A128" s="1678" t="s">
        <v>325</v>
      </c>
      <c r="B128" s="75" t="s">
        <v>326</v>
      </c>
      <c r="C128" s="75">
        <v>7.8</v>
      </c>
      <c r="D128" s="1679" t="s">
        <v>4160</v>
      </c>
      <c r="E128" s="75"/>
      <c r="F128" s="1679"/>
      <c r="G128" s="75">
        <v>35</v>
      </c>
      <c r="H128" s="1679" t="s">
        <v>4160</v>
      </c>
      <c r="I128" s="75"/>
      <c r="J128" s="1679"/>
      <c r="K128" s="75">
        <v>0.46</v>
      </c>
      <c r="L128" s="1679" t="s">
        <v>4160</v>
      </c>
      <c r="M128" s="75"/>
      <c r="N128" s="1679"/>
      <c r="O128" s="75">
        <v>0.38</v>
      </c>
      <c r="P128" s="1679" t="s">
        <v>4160</v>
      </c>
      <c r="Q128" s="75"/>
      <c r="R128" s="1679"/>
      <c r="S128" s="75">
        <v>1.7</v>
      </c>
      <c r="T128" s="1679" t="s">
        <v>4160</v>
      </c>
      <c r="U128" s="75"/>
      <c r="V128" s="1679"/>
    </row>
    <row r="129" spans="1:22">
      <c r="A129" s="1678" t="s">
        <v>327</v>
      </c>
      <c r="B129" s="75" t="s">
        <v>328</v>
      </c>
      <c r="C129" s="75" t="s">
        <v>115</v>
      </c>
      <c r="D129" s="1679" t="s">
        <v>115</v>
      </c>
      <c r="E129" s="75">
        <v>1700</v>
      </c>
      <c r="F129" s="1679" t="s">
        <v>4160</v>
      </c>
      <c r="G129" s="75" t="s">
        <v>115</v>
      </c>
      <c r="H129" s="1679" t="s">
        <v>115</v>
      </c>
      <c r="I129" s="75">
        <v>7200</v>
      </c>
      <c r="J129" s="1679" t="s">
        <v>4160</v>
      </c>
      <c r="K129" s="75" t="s">
        <v>115</v>
      </c>
      <c r="L129" s="1679" t="s">
        <v>115</v>
      </c>
      <c r="M129" s="75">
        <v>2000</v>
      </c>
      <c r="N129" s="1679" t="s">
        <v>4160</v>
      </c>
      <c r="O129" s="75" t="s">
        <v>115</v>
      </c>
      <c r="P129" s="1679" t="s">
        <v>115</v>
      </c>
      <c r="Q129" s="75">
        <v>1000</v>
      </c>
      <c r="R129" s="1679" t="s">
        <v>4160</v>
      </c>
      <c r="S129" s="75" t="s">
        <v>115</v>
      </c>
      <c r="T129" s="1679" t="s">
        <v>115</v>
      </c>
      <c r="U129" s="75">
        <v>4400</v>
      </c>
      <c r="V129" s="1679" t="s">
        <v>4160</v>
      </c>
    </row>
    <row r="130" spans="1:22">
      <c r="A130" s="1678" t="s">
        <v>329</v>
      </c>
      <c r="B130" s="75" t="s">
        <v>330</v>
      </c>
      <c r="C130" s="75"/>
      <c r="D130" s="1679"/>
      <c r="E130" s="75"/>
      <c r="F130" s="1679"/>
      <c r="G130" s="75"/>
      <c r="H130" s="1679"/>
      <c r="I130" s="75"/>
      <c r="J130" s="1679"/>
      <c r="K130" s="75"/>
      <c r="L130" s="1679"/>
      <c r="M130" s="75"/>
      <c r="N130" s="1679"/>
      <c r="O130" s="75"/>
      <c r="P130" s="1679"/>
      <c r="Q130" s="75"/>
      <c r="R130" s="1679"/>
      <c r="S130" s="75"/>
      <c r="T130" s="1679"/>
      <c r="U130" s="75"/>
      <c r="V130" s="1679"/>
    </row>
    <row r="131" spans="1:22">
      <c r="A131" s="1678" t="s">
        <v>331</v>
      </c>
      <c r="B131" s="75" t="s">
        <v>332</v>
      </c>
      <c r="C131" s="75"/>
      <c r="D131" s="1679"/>
      <c r="E131" s="75"/>
      <c r="F131" s="1679"/>
      <c r="G131" s="75"/>
      <c r="H131" s="1679"/>
      <c r="I131" s="75"/>
      <c r="J131" s="1679"/>
      <c r="K131" s="75"/>
      <c r="L131" s="1679"/>
      <c r="M131" s="75"/>
      <c r="N131" s="1679"/>
      <c r="O131" s="75"/>
      <c r="P131" s="1679"/>
      <c r="Q131" s="75"/>
      <c r="R131" s="1679"/>
      <c r="S131" s="75"/>
      <c r="T131" s="1679"/>
      <c r="U131" s="75"/>
      <c r="V131" s="1679"/>
    </row>
    <row r="132" spans="1:22">
      <c r="A132" s="1678" t="s">
        <v>333</v>
      </c>
      <c r="B132" s="75" t="s">
        <v>334</v>
      </c>
      <c r="C132" s="75" t="s">
        <v>115</v>
      </c>
      <c r="D132" s="1679" t="s">
        <v>115</v>
      </c>
      <c r="E132" s="75"/>
      <c r="F132" s="1679"/>
      <c r="G132" s="75" t="s">
        <v>115</v>
      </c>
      <c r="H132" s="1679" t="s">
        <v>115</v>
      </c>
      <c r="I132" s="75">
        <v>68000</v>
      </c>
      <c r="J132" s="1679" t="s">
        <v>4160</v>
      </c>
      <c r="K132" s="75"/>
      <c r="L132" s="1679"/>
      <c r="M132" s="75"/>
      <c r="N132" s="1679"/>
      <c r="O132" s="75"/>
      <c r="P132" s="1679"/>
      <c r="Q132" s="75"/>
      <c r="R132" s="1679"/>
      <c r="S132" s="75"/>
      <c r="T132" s="1679"/>
      <c r="U132" s="75"/>
      <c r="V132" s="1679"/>
    </row>
    <row r="133" spans="1:22">
      <c r="A133" s="1678" t="s">
        <v>335</v>
      </c>
      <c r="B133" s="75" t="s">
        <v>336</v>
      </c>
      <c r="C133" s="75">
        <v>7.8</v>
      </c>
      <c r="D133" s="1679" t="s">
        <v>4160</v>
      </c>
      <c r="E133" s="75"/>
      <c r="F133" s="1679"/>
      <c r="G133" s="75">
        <v>27</v>
      </c>
      <c r="H133" s="1679" t="s">
        <v>4160</v>
      </c>
      <c r="I133" s="75">
        <v>680</v>
      </c>
      <c r="J133" s="1679" t="s">
        <v>4160</v>
      </c>
      <c r="K133" s="75">
        <v>0.65</v>
      </c>
      <c r="L133" s="1679" t="s">
        <v>4160</v>
      </c>
      <c r="M133" s="75"/>
      <c r="N133" s="1679"/>
      <c r="O133" s="75">
        <v>0.14000000000000001</v>
      </c>
      <c r="P133" s="1679" t="s">
        <v>4160</v>
      </c>
      <c r="Q133" s="75" t="s">
        <v>115</v>
      </c>
      <c r="R133" s="1679" t="s">
        <v>115</v>
      </c>
      <c r="S133" s="75">
        <v>0.61</v>
      </c>
      <c r="T133" s="1679" t="s">
        <v>4160</v>
      </c>
      <c r="U133" s="75" t="s">
        <v>115</v>
      </c>
      <c r="V133" s="1679" t="s">
        <v>115</v>
      </c>
    </row>
    <row r="134" spans="1:22">
      <c r="A134" s="1678" t="s">
        <v>337</v>
      </c>
      <c r="B134" s="75" t="s">
        <v>338</v>
      </c>
      <c r="C134" s="75">
        <v>1.5E-3</v>
      </c>
      <c r="D134" s="1679" t="s">
        <v>4160</v>
      </c>
      <c r="E134" s="75"/>
      <c r="F134" s="1679"/>
      <c r="G134" s="75">
        <v>2.1000000000000001E-2</v>
      </c>
      <c r="H134" s="1679" t="s">
        <v>4160</v>
      </c>
      <c r="I134" s="75"/>
      <c r="J134" s="1679"/>
      <c r="K134" s="75">
        <v>2.0000000000000001E-4</v>
      </c>
      <c r="L134" s="1679" t="s">
        <v>4160</v>
      </c>
      <c r="M134" s="75"/>
      <c r="N134" s="1679"/>
      <c r="O134" s="75">
        <v>1.3999999999999999E-4</v>
      </c>
      <c r="P134" s="1679" t="s">
        <v>4160</v>
      </c>
      <c r="Q134" s="75"/>
      <c r="R134" s="1679"/>
      <c r="S134" s="75">
        <v>1.6000000000000001E-3</v>
      </c>
      <c r="T134" s="1679" t="s">
        <v>4160</v>
      </c>
      <c r="U134" s="75"/>
      <c r="V134" s="1679"/>
    </row>
    <row r="135" spans="1:22">
      <c r="A135" s="1678" t="s">
        <v>339</v>
      </c>
      <c r="B135" s="75" t="s">
        <v>340</v>
      </c>
      <c r="C135" s="75"/>
      <c r="D135" s="1679"/>
      <c r="E135" s="75"/>
      <c r="F135" s="1679"/>
      <c r="G135" s="75"/>
      <c r="H135" s="1679"/>
      <c r="I135" s="75"/>
      <c r="J135" s="1679"/>
      <c r="K135" s="75"/>
      <c r="L135" s="1679"/>
      <c r="M135" s="75"/>
      <c r="N135" s="1679"/>
      <c r="O135" s="75"/>
      <c r="P135" s="1679"/>
      <c r="Q135" s="75"/>
      <c r="R135" s="1679"/>
      <c r="S135" s="75"/>
      <c r="T135" s="1679"/>
      <c r="U135" s="75"/>
      <c r="V135" s="1679"/>
    </row>
    <row r="136" spans="1:22">
      <c r="A136" s="1678" t="s">
        <v>341</v>
      </c>
      <c r="B136" s="75" t="s">
        <v>342</v>
      </c>
      <c r="C136" s="75">
        <v>8.2000000000000007E-3</v>
      </c>
      <c r="D136" s="1679" t="s">
        <v>4160</v>
      </c>
      <c r="E136" s="75"/>
      <c r="F136" s="1679"/>
      <c r="G136" s="75">
        <v>0.15</v>
      </c>
      <c r="H136" s="1679" t="s">
        <v>4160</v>
      </c>
      <c r="I136" s="75"/>
      <c r="J136" s="1679"/>
      <c r="K136" s="75">
        <v>9.7000000000000003E-3</v>
      </c>
      <c r="L136" s="1679" t="s">
        <v>4160</v>
      </c>
      <c r="M136" s="75"/>
      <c r="N136" s="1679"/>
      <c r="O136" s="75">
        <v>9.4999999999999998E-3</v>
      </c>
      <c r="P136" s="1679" t="s">
        <v>4160</v>
      </c>
      <c r="Q136" s="75"/>
      <c r="R136" s="1679"/>
      <c r="S136" s="75">
        <v>0.16</v>
      </c>
      <c r="T136" s="1679" t="s">
        <v>4160</v>
      </c>
      <c r="U136" s="75"/>
      <c r="V136" s="1679"/>
    </row>
    <row r="137" spans="1:22">
      <c r="A137" s="1678" t="s">
        <v>343</v>
      </c>
      <c r="B137" s="75" t="s">
        <v>344</v>
      </c>
      <c r="C137" s="75"/>
      <c r="D137" s="1679"/>
      <c r="E137" s="75"/>
      <c r="F137" s="1679"/>
      <c r="G137" s="75"/>
      <c r="H137" s="1679"/>
      <c r="I137" s="75"/>
      <c r="J137" s="1679"/>
      <c r="K137" s="75"/>
      <c r="L137" s="1679"/>
      <c r="M137" s="75"/>
      <c r="N137" s="1679"/>
      <c r="O137" s="75"/>
      <c r="P137" s="1679"/>
      <c r="Q137" s="75"/>
      <c r="R137" s="1679"/>
      <c r="S137" s="75"/>
      <c r="T137" s="1679"/>
      <c r="U137" s="75"/>
      <c r="V137" s="1679"/>
    </row>
    <row r="138" spans="1:22">
      <c r="A138" s="1680" t="s">
        <v>345</v>
      </c>
      <c r="B138" s="2030" t="s">
        <v>346</v>
      </c>
      <c r="C138" s="2030"/>
      <c r="D138" s="1681"/>
      <c r="E138" s="2030"/>
      <c r="F138" s="1681"/>
      <c r="G138" s="2030"/>
      <c r="H138" s="1681"/>
      <c r="I138" s="2030"/>
      <c r="J138" s="1681"/>
      <c r="K138" s="2030"/>
      <c r="L138" s="1681"/>
      <c r="M138" s="2030"/>
      <c r="N138" s="1681"/>
      <c r="O138" s="2030"/>
      <c r="P138" s="1681"/>
      <c r="Q138" s="2030"/>
      <c r="R138" s="1681"/>
      <c r="S138" s="2030"/>
      <c r="T138" s="1681"/>
      <c r="U138" s="2030"/>
      <c r="V138" s="1681"/>
    </row>
  </sheetData>
  <mergeCells count="9">
    <mergeCell ref="A2:A4"/>
    <mergeCell ref="B2:B4"/>
    <mergeCell ref="C2:J2"/>
    <mergeCell ref="K2:N3"/>
    <mergeCell ref="O2:V2"/>
    <mergeCell ref="C3:F3"/>
    <mergeCell ref="G3:J3"/>
    <mergeCell ref="O3:R3"/>
    <mergeCell ref="S3:V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EB869-7CFE-4419-9D3C-598CA6F511E8}">
  <dimension ref="A1:BQ158"/>
  <sheetViews>
    <sheetView workbookViewId="0">
      <pane xSplit="2" ySplit="4" topLeftCell="H5" activePane="bottomRight" state="frozen"/>
      <selection activeCell="AA14" sqref="AA14"/>
      <selection pane="topRight" activeCell="AA14" sqref="AA14"/>
      <selection pane="bottomLeft" activeCell="AA14" sqref="AA14"/>
      <selection pane="bottomRight" activeCell="V5" sqref="V5"/>
    </sheetView>
  </sheetViews>
  <sheetFormatPr defaultRowHeight="12.75"/>
  <cols>
    <col min="1" max="1" width="33" customWidth="1"/>
    <col min="25" max="25" width="19.140625" bestFit="1" customWidth="1"/>
    <col min="52" max="52" width="19.140625" bestFit="1" customWidth="1"/>
    <col min="67" max="67" width="19.140625" bestFit="1" customWidth="1"/>
  </cols>
  <sheetData>
    <row r="1" spans="1:69">
      <c r="Z1" s="55"/>
      <c r="AA1" s="55"/>
      <c r="AB1" s="55"/>
      <c r="AC1" s="55"/>
    </row>
    <row r="2" spans="1:69" s="1751" customFormat="1" ht="15.75">
      <c r="A2" s="3075" t="s">
        <v>79</v>
      </c>
      <c r="B2" s="3075" t="s">
        <v>80</v>
      </c>
      <c r="C2" s="3079" t="s">
        <v>4168</v>
      </c>
      <c r="D2" s="3079"/>
      <c r="E2" s="3079"/>
      <c r="F2" s="3079"/>
      <c r="G2" s="3079"/>
      <c r="H2" s="3079"/>
      <c r="I2" s="3079"/>
      <c r="J2" s="3079"/>
      <c r="K2" s="3079"/>
      <c r="L2" s="3079"/>
      <c r="M2" s="3079"/>
      <c r="N2" s="3079"/>
      <c r="O2" s="3079"/>
      <c r="P2" s="3079"/>
      <c r="Q2" s="3079"/>
      <c r="R2" s="3079"/>
      <c r="S2" s="3079"/>
      <c r="T2" s="3079"/>
      <c r="U2" s="3079"/>
      <c r="V2" s="3079"/>
      <c r="W2" s="1755"/>
      <c r="Z2" s="3073" t="s">
        <v>3573</v>
      </c>
      <c r="AA2" s="3074"/>
      <c r="AB2" s="3074"/>
      <c r="AC2" s="3074"/>
      <c r="AF2" s="3069" t="s">
        <v>4169</v>
      </c>
      <c r="AG2" s="3070"/>
      <c r="AH2" s="3070"/>
      <c r="AI2" s="3070"/>
      <c r="AJ2" s="3070"/>
      <c r="AK2" s="3070"/>
      <c r="AL2" s="3070"/>
      <c r="AM2" s="3070"/>
      <c r="AN2" s="3070"/>
      <c r="AO2" s="3070"/>
      <c r="AP2" s="3070"/>
      <c r="AQ2" s="3070"/>
      <c r="AR2" s="3070"/>
      <c r="AS2" s="3070"/>
      <c r="AT2" s="3070"/>
      <c r="AU2" s="3070"/>
      <c r="AV2" s="3070"/>
      <c r="AW2" s="3070"/>
      <c r="AX2" s="3070"/>
      <c r="AY2" s="3071"/>
      <c r="BA2" s="1755"/>
      <c r="BB2" s="1755"/>
      <c r="BE2" s="3072" t="s">
        <v>603</v>
      </c>
      <c r="BF2" s="3072"/>
      <c r="BG2" s="3072"/>
      <c r="BH2" s="3072"/>
      <c r="BI2" s="3072"/>
      <c r="BJ2" s="3072"/>
      <c r="BK2" s="3072"/>
      <c r="BL2" s="3072"/>
      <c r="BM2" s="3072"/>
      <c r="BN2" s="3072"/>
      <c r="BP2" s="1755"/>
    </row>
    <row r="3" spans="1:69" s="1751" customFormat="1" ht="15.75">
      <c r="A3" s="3077"/>
      <c r="B3" s="3077"/>
      <c r="C3" s="3079" t="s">
        <v>4170</v>
      </c>
      <c r="D3" s="3079"/>
      <c r="E3" s="3079"/>
      <c r="F3" s="3079"/>
      <c r="G3" s="3079"/>
      <c r="H3" s="3079"/>
      <c r="I3" s="3079"/>
      <c r="J3" s="3079"/>
      <c r="K3" s="3079"/>
      <c r="L3" s="3079"/>
      <c r="M3" s="3079" t="s">
        <v>426</v>
      </c>
      <c r="N3" s="3079"/>
      <c r="O3" s="3079"/>
      <c r="P3" s="3079"/>
      <c r="Q3" s="3079"/>
      <c r="R3" s="3079"/>
      <c r="S3" s="3079"/>
      <c r="T3" s="3079"/>
      <c r="U3" s="3079"/>
      <c r="V3" s="3079"/>
      <c r="W3" s="1755"/>
      <c r="Z3" s="3075" t="s">
        <v>4171</v>
      </c>
      <c r="AA3" s="3075" t="s">
        <v>4172</v>
      </c>
      <c r="AB3" s="3075" t="s">
        <v>880</v>
      </c>
      <c r="AC3" s="3075" t="s">
        <v>4173</v>
      </c>
      <c r="AF3" s="3069" t="s">
        <v>380</v>
      </c>
      <c r="AG3" s="3070"/>
      <c r="AH3" s="3070"/>
      <c r="AI3" s="3070"/>
      <c r="AJ3" s="3070"/>
      <c r="AK3" s="3070"/>
      <c r="AL3" s="3070"/>
      <c r="AM3" s="3070"/>
      <c r="AN3" s="3070"/>
      <c r="AO3" s="3071"/>
      <c r="AP3" s="3069" t="s">
        <v>467</v>
      </c>
      <c r="AQ3" s="3070"/>
      <c r="AR3" s="3070"/>
      <c r="AS3" s="3070"/>
      <c r="AT3" s="3070"/>
      <c r="AU3" s="3070"/>
      <c r="AV3" s="3070"/>
      <c r="AW3" s="3070"/>
      <c r="AX3" s="3070"/>
      <c r="AY3" s="3071"/>
      <c r="BA3" s="1755"/>
      <c r="BB3" s="1755"/>
      <c r="BE3" s="3072"/>
      <c r="BF3" s="3072"/>
      <c r="BG3" s="3072"/>
      <c r="BH3" s="3072"/>
      <c r="BI3" s="3072"/>
      <c r="BJ3" s="3072"/>
      <c r="BK3" s="3072"/>
      <c r="BL3" s="3072"/>
      <c r="BM3" s="3072"/>
      <c r="BN3" s="3072"/>
      <c r="BP3" s="1755"/>
    </row>
    <row r="4" spans="1:69" s="366" customFormat="1" ht="79.5" thickBot="1">
      <c r="A4" s="3078"/>
      <c r="B4" s="3078"/>
      <c r="C4" s="1752" t="s">
        <v>4174</v>
      </c>
      <c r="D4" s="1753" t="s">
        <v>4175</v>
      </c>
      <c r="E4" s="2046" t="s">
        <v>3555</v>
      </c>
      <c r="F4" s="1752" t="s">
        <v>4176</v>
      </c>
      <c r="G4" s="1753" t="s">
        <v>4177</v>
      </c>
      <c r="H4" s="2046" t="s">
        <v>3555</v>
      </c>
      <c r="I4" s="1752" t="s">
        <v>4178</v>
      </c>
      <c r="J4" s="1753" t="s">
        <v>4179</v>
      </c>
      <c r="K4" s="1754" t="s">
        <v>1275</v>
      </c>
      <c r="L4" s="2046" t="s">
        <v>4180</v>
      </c>
      <c r="M4" s="1752" t="s">
        <v>4174</v>
      </c>
      <c r="N4" s="1753" t="s">
        <v>4175</v>
      </c>
      <c r="O4" s="2046" t="s">
        <v>3555</v>
      </c>
      <c r="P4" s="1752" t="s">
        <v>4176</v>
      </c>
      <c r="Q4" s="1753" t="s">
        <v>4177</v>
      </c>
      <c r="R4" s="2046" t="s">
        <v>3555</v>
      </c>
      <c r="S4" s="1752" t="s">
        <v>4181</v>
      </c>
      <c r="T4" s="1753" t="s">
        <v>4182</v>
      </c>
      <c r="U4" s="1754" t="s">
        <v>1275</v>
      </c>
      <c r="V4" s="2046" t="s">
        <v>4183</v>
      </c>
      <c r="W4" s="2046" t="s">
        <v>4184</v>
      </c>
      <c r="X4" s="1758" t="s">
        <v>4185</v>
      </c>
      <c r="Y4" s="1759" t="s">
        <v>4186</v>
      </c>
      <c r="Z4" s="3076"/>
      <c r="AA4" s="3076"/>
      <c r="AB4" s="3076"/>
      <c r="AC4" s="3076"/>
      <c r="AF4" s="2046" t="s">
        <v>4187</v>
      </c>
      <c r="AG4" s="2046" t="s">
        <v>4188</v>
      </c>
      <c r="AH4" s="2046" t="s">
        <v>4189</v>
      </c>
      <c r="AI4" s="2046" t="s">
        <v>4190</v>
      </c>
      <c r="AJ4" s="2046" t="s">
        <v>4191</v>
      </c>
      <c r="AK4" s="2045" t="s">
        <v>4192</v>
      </c>
      <c r="AL4" s="1762" t="s">
        <v>4181</v>
      </c>
      <c r="AM4" s="1762" t="s">
        <v>4182</v>
      </c>
      <c r="AN4" s="1762" t="s">
        <v>1275</v>
      </c>
      <c r="AO4" s="1762" t="s">
        <v>4183</v>
      </c>
      <c r="AP4" s="2046" t="s">
        <v>4187</v>
      </c>
      <c r="AQ4" s="2046" t="s">
        <v>4188</v>
      </c>
      <c r="AR4" s="2046" t="s">
        <v>4189</v>
      </c>
      <c r="AS4" s="2046" t="s">
        <v>4190</v>
      </c>
      <c r="AT4" s="2046" t="s">
        <v>4191</v>
      </c>
      <c r="AU4" s="2045" t="s">
        <v>4192</v>
      </c>
      <c r="AV4" s="1762" t="s">
        <v>4181</v>
      </c>
      <c r="AW4" s="1762" t="s">
        <v>4182</v>
      </c>
      <c r="AX4" s="1762" t="s">
        <v>1275</v>
      </c>
      <c r="AY4" s="1762" t="s">
        <v>4183</v>
      </c>
      <c r="AZ4" s="1759" t="s">
        <v>4186</v>
      </c>
      <c r="BA4" s="2046" t="s">
        <v>4184</v>
      </c>
      <c r="BB4" s="1762" t="s">
        <v>4193</v>
      </c>
      <c r="BC4" s="1758" t="s">
        <v>4185</v>
      </c>
      <c r="BE4" s="2046" t="s">
        <v>4187</v>
      </c>
      <c r="BF4" s="2046" t="s">
        <v>4188</v>
      </c>
      <c r="BG4" s="2046" t="s">
        <v>4189</v>
      </c>
      <c r="BH4" s="2046" t="s">
        <v>4190</v>
      </c>
      <c r="BI4" s="2046" t="s">
        <v>4191</v>
      </c>
      <c r="BJ4" s="2045" t="s">
        <v>4192</v>
      </c>
      <c r="BK4" s="1762" t="s">
        <v>4181</v>
      </c>
      <c r="BL4" s="1762" t="s">
        <v>4182</v>
      </c>
      <c r="BM4" s="1762" t="s">
        <v>1275</v>
      </c>
      <c r="BN4" s="1762" t="s">
        <v>4183</v>
      </c>
      <c r="BO4" s="1759" t="s">
        <v>4186</v>
      </c>
      <c r="BP4" s="2046" t="s">
        <v>4184</v>
      </c>
      <c r="BQ4" s="1758" t="s">
        <v>4185</v>
      </c>
    </row>
    <row r="5" spans="1:69">
      <c r="A5" t="s">
        <v>391</v>
      </c>
      <c r="B5" t="s">
        <v>392</v>
      </c>
      <c r="C5" s="1684" t="str">
        <f>VLOOKUP($A5,Table_S_Summary,MATCH("S-Res-C",heading_S_Summary,0),FALSE)</f>
        <v>--</v>
      </c>
      <c r="D5" s="1685" t="str">
        <f t="shared" ref="D5:D38" si="0">IF(VLOOKUP($A5,Table_N3,MATCH("S-Res-C",Heading_N3,0),FALSE)=0,"",VLOOKUP($A5,Table_N3,MATCH("S-Res-C",Heading_N3,0),FALSE))</f>
        <v/>
      </c>
      <c r="E5" s="1686" t="str">
        <f t="shared" ref="E5:E13" si="1">IF(D5="","",IF(C5=D5,"",(C5-D5)/C5))</f>
        <v/>
      </c>
      <c r="F5" s="1684">
        <f t="shared" ref="F5:F20" si="2">VLOOKUP($A5,Table_S_Summary,MATCH("S-Res-nC",heading_S_Summary,0),FALSE)</f>
        <v>60721.478039166643</v>
      </c>
      <c r="G5" s="1685" t="str">
        <f t="shared" ref="G5:G38" si="3">IF(VLOOKUP($A5,Table_N3,MATCH("S-Res-nC",Heading_N3,0),FALSE)=0,"",VLOOKUP($A5,Table_N3,MATCH("S-Res-nC",Heading_N3,0),FALSE))</f>
        <v/>
      </c>
      <c r="H5" s="1687" t="str">
        <f>IF(G5="","",IF(F5=G5,"",(F5-G5)/F5))</f>
        <v/>
      </c>
      <c r="I5" s="1691">
        <f t="shared" ref="I5:I69" si="4">MIN(F5,C5)</f>
        <v>60721.478039166643</v>
      </c>
      <c r="J5" s="1757" t="s">
        <v>4194</v>
      </c>
      <c r="K5" s="1691">
        <f t="shared" ref="K5:K20" si="5">VLOOKUP($B5,Table_RSL_SL,MATCH("Res-s",Heading_RSL_SL,0),FALSE)</f>
        <v>70000</v>
      </c>
      <c r="L5" s="1686">
        <f>IF(AND(I5="--",K5="--"),"--",IF(AND(I5="--",K5&lt;&gt;"--"),"R",IF(AND(K5="--",I5&lt;&gt;"--"),"N",IF((I5-K5)=0,"--",(I5-K5)/I5))))</f>
        <v>-0.15280461313620386</v>
      </c>
      <c r="M5" s="1684" t="str">
        <f t="shared" ref="M5:M20" si="6">VLOOKUP($A5,Table_S_Summary,MATCH("S-Com-C",heading_S_Summary,0),FALSE)</f>
        <v>--</v>
      </c>
      <c r="N5" s="1685" t="str">
        <f t="shared" ref="N5:N38" si="7">IF(VLOOKUP($A5,Table_N3,MATCH("S-com-C",Heading_N3,0),FALSE)=0,"",VLOOKUP($A5,Table_N3,MATCH("S-com-C",Heading_N3,0),FALSE))</f>
        <v/>
      </c>
      <c r="O5" s="1686" t="str">
        <f t="shared" ref="O5:O69" si="8">IF(N5="","",IF(M5=N5,"",(M5-N5)/M5))</f>
        <v/>
      </c>
      <c r="P5" s="1684">
        <f t="shared" ref="P5:P20" si="9">VLOOKUP($A5,Table_S_Summary,MATCH("S-Com-nC",heading_S_Summary,0),FALSE)</f>
        <v>666360.65141751687</v>
      </c>
      <c r="Q5" s="1685" t="str">
        <f t="shared" ref="Q5:Q38" si="10">IF(VLOOKUP($A5,Table_N3,MATCH("S-com-nC",Heading_N3,0),FALSE)=0,"",VLOOKUP($A5,Table_N3,MATCH("S-com-nC",Heading_N3,0),FALSE))</f>
        <v/>
      </c>
      <c r="R5" s="1687" t="str">
        <f>IF(Q5="","",IF(P5=Q5,"",(P5-Q5)/P5))</f>
        <v/>
      </c>
      <c r="S5" s="1691">
        <f>MIN(P5,M5)</f>
        <v>666360.65141751687</v>
      </c>
      <c r="T5" s="1757" t="s">
        <v>4194</v>
      </c>
      <c r="U5" s="1691">
        <f t="shared" ref="U5:U20" si="11">VLOOKUP($B5,Table_RSL_SL,MATCH("Com-s",Heading_RSL_SL,0),FALSE)</f>
        <v>1100000</v>
      </c>
      <c r="V5" s="1686">
        <f>IF(AND(S5="--",U5="--"),"--",IF(AND(S5="--",U5&lt;&gt;"--"),"R",IF(AND(U5="--",S5&lt;&gt;"--"),"N",IF((S5-U5)=0,"--",(S5-U5)/S5))))</f>
        <v>-0.65075773555959981</v>
      </c>
      <c r="W5" s="1756" t="str">
        <f>IF(OR(Z5&lt;&gt;"--", AA5&lt;&gt;"--",AB5&lt;&gt;"--",AC5&lt;&gt;"--"),"*","")</f>
        <v>*</v>
      </c>
      <c r="X5" s="1685" t="str">
        <f t="shared" ref="X5:X37" si="12">VLOOKUP($B5,Table_N10,MATCH("r",Heading_N10,0),FALSE)</f>
        <v>--</v>
      </c>
      <c r="Y5" s="727" t="s">
        <v>4195</v>
      </c>
      <c r="Z5" t="str">
        <f t="shared" ref="Z5:Z37" si="13">VLOOKUP($A5,Table_RSL_C,MATCH("sfo-c",Heading_RSL_C,0),FALSE)</f>
        <v>--</v>
      </c>
      <c r="AA5" t="str">
        <f t="shared" ref="AA5:AA37" si="14">VLOOKUP($A5,Table_RSL_C,MATCH("IUR-c",Heading_RSL_C,0),FALSE)</f>
        <v>--</v>
      </c>
      <c r="AB5" t="str">
        <f t="shared" ref="AB5:AB37" si="15">VLOOKUP($A5,Table_RSL_C,MATCH("rfdo-c",Heading_RSL_C,0),FALSE)</f>
        <v>--</v>
      </c>
      <c r="AC5" t="str">
        <f t="shared" ref="AC5:AC37" si="16">VLOOKUP($A5,Table_RSL_C,MATCH("rfc-c",Heading_RSL_C,0),FALSE)</f>
        <v>x</v>
      </c>
      <c r="AF5" s="1684" t="str">
        <f t="shared" ref="AF5:AF37" si="17">VLOOKUP($A5,Table_V_Summary,MATCH("IA-Res-C",heading_V_Summary,0),FALSE)</f>
        <v>--</v>
      </c>
      <c r="AG5" s="1685" t="str">
        <f t="shared" ref="AG5:AG69" si="18">IF(VLOOKUP($A5,Table_N3,MATCH("A-Res-C",Heading_N3,0),FALSE)=0,"",VLOOKUP($A5,Table_N3,MATCH("a-Res-C",Heading_N3,0),FALSE))</f>
        <v/>
      </c>
      <c r="AH5" s="1686" t="str">
        <f>IF(AG5="","",IF(AF5=AG5,"",(AF5-AG5)/AF5))</f>
        <v/>
      </c>
      <c r="AI5" s="1684">
        <f t="shared" ref="AI5:AI37" si="19">VLOOKUP($A5,Table_V_Summary,MATCH("IA-Res-nC",heading_V_Summary,0),FALSE)</f>
        <v>32328.571428571428</v>
      </c>
      <c r="AJ5" s="1685" t="str">
        <f t="shared" ref="AJ5:AJ69" si="20">IF(VLOOKUP($A5,Table_N3,MATCH("a-Res-nC",Heading_N3,0),FALSE)=0,"",VLOOKUP($A5,Table_N3,MATCH("S-Res-nC",Heading_N3,0),FALSE))</f>
        <v/>
      </c>
      <c r="AK5" s="1687" t="str">
        <f>IF(AJ5="","",IF(AI5=AJ5,"",(AI5-AJ5)/AI5))</f>
        <v/>
      </c>
      <c r="AL5" s="1685">
        <f>MIN(AI5,AF5)</f>
        <v>32328.571428571428</v>
      </c>
      <c r="AM5" s="1691" t="str">
        <f>IF(AND(AG5="",AJ5=""),"",MIN(AJ5,AG5))</f>
        <v/>
      </c>
      <c r="AN5" s="1685" t="str">
        <f t="shared" ref="AN5:AN37" si="21">IF(VLOOKUP($B5,Table_RSL_SL,MATCH("Res-a",Heading_RSL_SL,0),FALSE)=0,"--",VLOOKUP($B5,Table_RSL_SL,MATCH("Res-a",Heading_RSL_SL,0),FALSE))</f>
        <v>--</v>
      </c>
      <c r="AO5" s="1686" t="str">
        <f>IF(AND(AL5="--",AN5="--"),"--",IF(AND(AL5="--",AN5&lt;&gt;"--"),"R",IF(AND(AN5="--",AL5&lt;&gt;"--"),"N",IF((AL5-AN5)=0,"--",(AL5-AN5)/AL5))))</f>
        <v>N</v>
      </c>
      <c r="AP5" s="1684" t="str">
        <f t="shared" ref="AP5:AP37" si="22">VLOOKUP($A5,Table_V_Summary,MATCH("ia-com-C",heading_V_Summary,0),FALSE)</f>
        <v>--</v>
      </c>
      <c r="AQ5" s="1685" t="str">
        <f t="shared" ref="AQ5:AQ69" si="23">IF(VLOOKUP($A5,Table_N3,MATCH("a-com-C",Heading_N3,0),FALSE)=0,"",VLOOKUP($A5,Table_N3,MATCH("a-com-C",Heading_N3,0),FALSE))</f>
        <v/>
      </c>
      <c r="AR5" s="1686" t="str">
        <f t="shared" ref="AR5" si="24">IF(AQ5="","",IF(AP5=AQ5,"",(AP5-AQ5)/AP5))</f>
        <v/>
      </c>
      <c r="AS5" s="1684">
        <f t="shared" ref="AS5:AS37" si="25">VLOOKUP($A5,Table_V_Summary,MATCH("IA-com-NC",heading_V_Summary,0),FALSE)</f>
        <v>135780</v>
      </c>
      <c r="AT5" s="1685" t="str">
        <f t="shared" ref="AT5:AT69" si="26">IF(VLOOKUP($A5,Table_N3,MATCH("a-com-nC",Heading_N3,0),FALSE)=0,"",VLOOKUP($A5,Table_N3,MATCH("a-com-nC",Heading_N3,0),FALSE))</f>
        <v/>
      </c>
      <c r="AU5" s="1687" t="str">
        <f>IF(AT5="","",IF(AS5=AT5,"",(AS5-AT5)/AS5))</f>
        <v/>
      </c>
      <c r="AV5" s="1685">
        <f>MIN(AS5,AP5)</f>
        <v>135780</v>
      </c>
      <c r="AW5" s="1691" t="str">
        <f>IF(AND(AQ5="",AT5=""),"",MIN(AT5,AQ5))</f>
        <v/>
      </c>
      <c r="AX5" s="1685" t="str">
        <f t="shared" ref="AX5:AX37" si="27">IF(VLOOKUP($B5,Table_RSL_SL,MATCH("Com-a",Heading_RSL_SL,0),FALSE)=0,"--",VLOOKUP($B5,Table_RSL_SL,MATCH("Com-a",Heading_RSL_SL,0),FALSE))</f>
        <v>--</v>
      </c>
      <c r="AY5" s="1686" t="str">
        <f>IF(AND(AV5="--",AX5="--"),"--",IF(AND(AV5="--",AX5&lt;&gt;"--"),"R",IF(AND(AX5="--",AV5&lt;&gt;"--"),"N",IF((AV5-AX5)=0,"--",(AV5-AX5)/AV5))))</f>
        <v>N</v>
      </c>
      <c r="AZ5" s="727" t="s">
        <v>4196</v>
      </c>
      <c r="BA5" s="1756" t="str">
        <f t="shared" ref="BA5:BA37" si="28">IF(OR(Z5&lt;&gt;"--", AA5&lt;&gt;"--",AB5&lt;&gt;"--",AC5&lt;&gt;"--"),"*","")</f>
        <v>*</v>
      </c>
      <c r="BB5" s="1685" t="str">
        <f t="shared" ref="BB5:BB69" si="29">IF(VLOOKUP($B5,Table_RSL,MATCH("V",Heading_RSL,0),FALSE)=0,"--",VLOOKUP($B5,Table_RSL,MATCH("V",Heading_RSL,0),FALSE))</f>
        <v>V</v>
      </c>
      <c r="BC5" s="1685" t="str">
        <f t="shared" ref="BC5:BC69" si="30">VLOOKUP($B5,Table_N10,MATCH("r",Heading_N10,0),FALSE)</f>
        <v>--</v>
      </c>
      <c r="BE5" s="1684" t="str">
        <f t="shared" ref="BE5:BE37" si="31">VLOOKUP($A5,Table_W_1,MATCH("W-C",heading_W_1,0),FALSE)</f>
        <v>--</v>
      </c>
      <c r="BF5" s="1685" t="str">
        <f t="shared" ref="BF5:BF69" si="32">IF(VLOOKUP($A5,Table_N3,MATCH("W-C",Heading_N3,0),FALSE)=0,"",VLOOKUP($A5,Table_N3,MATCH("W-C",Heading_N3,0),FALSE))</f>
        <v/>
      </c>
      <c r="BG5" s="1686" t="str">
        <f>IF(BF5="","",IF(BE5=BF5,"",(BE5-BF5)/BE5))</f>
        <v/>
      </c>
      <c r="BH5" s="1684">
        <f t="shared" ref="BH5:BH37" si="33">VLOOKUP($A5,Table_W_1,MATCH("W-NC",heading_W_1,0),FALSE)</f>
        <v>14065.199496529907</v>
      </c>
      <c r="BI5" s="1685" t="str">
        <f t="shared" ref="BI5:BI69" si="34">IF(VLOOKUP($A5,Table_N3,MATCH("W-NC",Heading_N3,0),FALSE)=0,"",VLOOKUP($A5,Table_N3,MATCH("W-NC",Heading_N3,0),FALSE))</f>
        <v/>
      </c>
      <c r="BJ5" s="1687" t="str">
        <f>IF(BI5="","",IF(BH5=BI5,"",(BH5-BI5)/BH5))</f>
        <v/>
      </c>
      <c r="BK5" s="1685">
        <f>MIN(BH5,BE5)</f>
        <v>14065.199496529907</v>
      </c>
      <c r="BL5" s="1691" t="str">
        <f>IF(AND(BF5="",BI5=""),"",MIN(BI5,BF5))</f>
        <v/>
      </c>
      <c r="BM5" s="1685">
        <f t="shared" ref="BM5:BM20" si="35">IF(VLOOKUP($B5,Table_RSL_SL,MATCH("tap",Heading_RSL_SL,0),FALSE)=0,"--",VLOOKUP($B5,Table_RSL_SL,MATCH("tap",Heading_RSL_SL,0),FALSE))</f>
        <v>18000</v>
      </c>
      <c r="BN5" s="1686">
        <f>IF(AND(BK5="--",BM5="--"),"--",IF(AND(BK5="--",BM5&lt;&gt;"--"),"R",IF(AND(BM5="--",BK5&lt;&gt;"--"),"N",IF((BK5-BM5)=0,"--",(BK5-BM5)/BK5))))</f>
        <v>-0.27975433298623786</v>
      </c>
      <c r="BO5" s="727" t="s">
        <v>4197</v>
      </c>
      <c r="BP5" s="1756" t="str">
        <f>IF(OR(Z5&lt;&gt;"--", AA5&lt;&gt;"--",AB5&lt;&gt;"--",AC5&lt;&gt;"--"),"*","")</f>
        <v>*</v>
      </c>
      <c r="BQ5" s="1685" t="str">
        <f t="shared" ref="BQ5:BQ69" si="36">VLOOKUP($B5,Table_N10,MATCH("r",Heading_N10,0),FALSE)</f>
        <v>--</v>
      </c>
    </row>
    <row r="6" spans="1:69">
      <c r="A6" t="s">
        <v>85</v>
      </c>
      <c r="B6" t="s">
        <v>86</v>
      </c>
      <c r="C6" s="1684">
        <f t="shared" ref="C6:C20" si="37">VLOOKUP($A6,Table_S_Summary,MATCH("S-Res-C",heading_S_Summary,0),FALSE)</f>
        <v>3.9261563286762585E-2</v>
      </c>
      <c r="D6" s="1685" t="str">
        <f t="shared" si="0"/>
        <v/>
      </c>
      <c r="E6" s="1686" t="str">
        <f t="shared" si="1"/>
        <v/>
      </c>
      <c r="F6" s="1684">
        <f t="shared" si="2"/>
        <v>2.3464285714285715</v>
      </c>
      <c r="G6" s="1685" t="str">
        <f t="shared" si="3"/>
        <v/>
      </c>
      <c r="H6" s="1688" t="str">
        <f t="shared" ref="H6:H71" si="38">IF(G6="","",IF(F6=G6,"",(F6-G6)/F6))</f>
        <v/>
      </c>
      <c r="I6" s="1685">
        <f t="shared" si="4"/>
        <v>3.9261563286762585E-2</v>
      </c>
      <c r="J6" s="1685" t="str">
        <f t="shared" ref="J6:J69" si="39">IF(AND(D6="",G6=""),"",MIN(G6,D6))</f>
        <v/>
      </c>
      <c r="K6" s="1685">
        <f t="shared" si="5"/>
        <v>3.9E-2</v>
      </c>
      <c r="L6" s="1686">
        <f t="shared" ref="L6:L70" si="40">IF(AND(I6="--",K6="--"),"--",IF(AND(I6="--",K6&lt;&gt;"--"),"R",IF(AND(K6="--",I6&lt;&gt;"--"),"N",IF((I6-K6)=0,"--",(I6-K6)/I6))))</f>
        <v>6.6620700977226208E-3</v>
      </c>
      <c r="M6" s="1684">
        <f t="shared" si="6"/>
        <v>0.18396407799320019</v>
      </c>
      <c r="N6" s="1685" t="str">
        <f t="shared" si="7"/>
        <v/>
      </c>
      <c r="O6" s="1686" t="str">
        <f t="shared" si="8"/>
        <v/>
      </c>
      <c r="P6" s="1684">
        <f t="shared" si="9"/>
        <v>35.04</v>
      </c>
      <c r="Q6" s="1685" t="str">
        <f t="shared" si="10"/>
        <v/>
      </c>
      <c r="R6" s="1688" t="str">
        <f>IF(Q6="","",IF(P6=Q6,"",(P6-Q6)/P6))</f>
        <v/>
      </c>
      <c r="S6" s="1685">
        <f t="shared" ref="S6:S70" si="41">MIN(P6,M6)</f>
        <v>0.18396407799320019</v>
      </c>
      <c r="T6" s="1685" t="str">
        <f t="shared" ref="T6:T73" si="42">IF(AND(N6="",Q6=""),"",MIN(Q6,N6))</f>
        <v/>
      </c>
      <c r="U6" s="1685">
        <f t="shared" si="11"/>
        <v>0.18</v>
      </c>
      <c r="V6" s="1686">
        <f>IF(AND(S6="--",U6="--"),"--",IF(AND(S6="--",U6&lt;&gt;"--"),"R",IF(AND(U6="--",S6&lt;&gt;"--"),"N",IF((S6-U6)=0,"--",(S6-U6)/S6))))</f>
        <v>2.1548108937586838E-2</v>
      </c>
      <c r="W6" s="1756" t="str">
        <f t="shared" ref="W6:W70" si="43">IF(OR(Z6&lt;&gt;"--", AA6&lt;&gt;"--",AB6&lt;&gt;"--",AC6&lt;&gt;"--"),"*","")</f>
        <v/>
      </c>
      <c r="X6" s="1685" t="str">
        <f t="shared" si="12"/>
        <v>Route RfC</v>
      </c>
      <c r="Z6" t="str">
        <f t="shared" si="13"/>
        <v>--</v>
      </c>
      <c r="AA6" t="str">
        <f t="shared" si="14"/>
        <v>--</v>
      </c>
      <c r="AB6" t="str">
        <f t="shared" si="15"/>
        <v>--</v>
      </c>
      <c r="AC6" t="str">
        <f t="shared" si="16"/>
        <v>--</v>
      </c>
      <c r="AF6" s="1684">
        <f t="shared" si="17"/>
        <v>5.729984301412873E-4</v>
      </c>
      <c r="AG6" s="1685" t="str">
        <f t="shared" si="18"/>
        <v/>
      </c>
      <c r="AH6" s="1686" t="str">
        <f t="shared" ref="AH6:AH70" si="44">IF(AG6="","",IF(AF6=AG6,"",(AF6-AG6)/AF6))</f>
        <v/>
      </c>
      <c r="AI6" s="1684" t="str">
        <f t="shared" si="19"/>
        <v>--</v>
      </c>
      <c r="AJ6" s="1685">
        <f t="shared" si="20"/>
        <v>0</v>
      </c>
      <c r="AK6" s="1688" t="e">
        <f t="shared" ref="AK6:AK70" si="45">IF(AJ6="","",IF(AI6=AJ6,"",(AI6-AJ6)/AI6))</f>
        <v>#VALUE!</v>
      </c>
      <c r="AL6" s="1685">
        <f t="shared" ref="AL6:AL70" si="46">MIN(AI6,AF6)</f>
        <v>5.729984301412873E-4</v>
      </c>
      <c r="AM6" s="1685">
        <f t="shared" ref="AM6:AM70" si="47">IF(AND(AG6="",AJ6=""),"",MIN(AJ6,AG6))</f>
        <v>0</v>
      </c>
      <c r="AN6" s="1685">
        <f t="shared" si="21"/>
        <v>5.6999999999999998E-4</v>
      </c>
      <c r="AO6" s="1686">
        <f t="shared" ref="AO6:AO70" si="48">IF(AND(AL6="--",AN6="--"),"--",IF(AND(AL6="--",AN6&lt;&gt;"--"),"R",IF(AND(AN6="--",AL6&lt;&gt;"--"),"N",IF((AL6-AN6)=0,"--",(AL6-AN6)/AL6))))</f>
        <v>5.2328767123288331E-3</v>
      </c>
      <c r="AP6" s="1684">
        <f t="shared" si="22"/>
        <v>2.5028571428571422E-3</v>
      </c>
      <c r="AQ6" s="1685" t="str">
        <f t="shared" si="23"/>
        <v/>
      </c>
      <c r="AR6" s="1686" t="str">
        <f t="shared" ref="AR6:AR70" si="49">IF(AQ6="","",IF(AP6=AQ6,"",(AP6-AQ6)/AP6))</f>
        <v/>
      </c>
      <c r="AS6" s="1684" t="str">
        <f t="shared" si="25"/>
        <v>--</v>
      </c>
      <c r="AT6" s="1685">
        <f t="shared" si="26"/>
        <v>0.53</v>
      </c>
      <c r="AU6" s="1688" t="e">
        <f t="shared" ref="AU6:AU70" si="50">IF(AT6="","",IF(AS6=AT6,"",(AS6-AT6)/AS6))</f>
        <v>#VALUE!</v>
      </c>
      <c r="AV6" s="1685">
        <f t="shared" ref="AV6:AV70" si="51">MIN(AS6,AP6)</f>
        <v>2.5028571428571422E-3</v>
      </c>
      <c r="AW6" s="1685">
        <f t="shared" ref="AW6:AW70" si="52">IF(AND(AQ6="",AT6=""),"",MIN(AT6,AQ6))</f>
        <v>0.53</v>
      </c>
      <c r="AX6" s="1685">
        <f t="shared" si="27"/>
        <v>2.5000000000000001E-3</v>
      </c>
      <c r="AY6" s="1686">
        <f t="shared" ref="AY6:AY70" si="53">IF(AND(AV6="--",AX6="--"),"--",IF(AND(AV6="--",AX6&lt;&gt;"--"),"R",IF(AND(AX6="--",AV6&lt;&gt;"--"),"N",IF((AV6-AX6)=0,"--",(AV6-AX6)/AV6))))</f>
        <v>1.1415525114152314E-3</v>
      </c>
      <c r="BA6" s="1756" t="str">
        <f t="shared" si="28"/>
        <v/>
      </c>
      <c r="BB6" s="1685" t="str">
        <f t="shared" si="29"/>
        <v>V</v>
      </c>
      <c r="BC6" s="1685" t="str">
        <f t="shared" si="30"/>
        <v>Route RfC</v>
      </c>
      <c r="BE6" s="1684">
        <f t="shared" si="31"/>
        <v>9.1675143477878659E-4</v>
      </c>
      <c r="BF6" s="1685" t="str">
        <f t="shared" si="32"/>
        <v/>
      </c>
      <c r="BG6" s="1686" t="str">
        <f t="shared" ref="BG6:BG70" si="54">IF(BF6="","",IF(BE6=BF6,"",(BE6-BF6)/BE6))</f>
        <v/>
      </c>
      <c r="BH6" s="1684">
        <f t="shared" si="33"/>
        <v>0.60164835164835162</v>
      </c>
      <c r="BI6" s="1760">
        <f t="shared" si="34"/>
        <v>0.18</v>
      </c>
      <c r="BJ6" s="1763">
        <f t="shared" ref="BJ6:BJ70" si="55">IF(BI6="","",IF(BH6=BI6,"",(BH6-BI6)/BH6))</f>
        <v>0.70082191780821923</v>
      </c>
      <c r="BK6" s="1685">
        <f t="shared" ref="BK6:BK70" si="56">MIN(BH6,BE6)</f>
        <v>9.1675143477878659E-4</v>
      </c>
      <c r="BL6" s="1760">
        <f t="shared" ref="BL6:BL70" si="57">IF(AND(BF6="",BI6=""),"",MIN(BI6,BF6))</f>
        <v>0.18</v>
      </c>
      <c r="BM6" s="1685">
        <f t="shared" si="35"/>
        <v>9.2000000000000003E-4</v>
      </c>
      <c r="BN6" s="1686">
        <f t="shared" ref="BN6:BN70" si="58">IF(AND(BK6="--",BM6="--"),"--",IF(AND(BK6="--",BM6&lt;&gt;"--"),"R",IF(AND(BM6="--",BK6&lt;&gt;"--"),"N",IF((BK6-BM6)=0,"--",(BK6-BM6)/BK6))))</f>
        <v>-3.5435616438356863E-3</v>
      </c>
      <c r="BP6" s="1756" t="str">
        <f t="shared" ref="BP6:BP70" si="59">IF(OR(Z6&lt;&gt;"--", AA6&lt;&gt;"--",AB6&lt;&gt;"--",AC6&lt;&gt;"--"),"*","")</f>
        <v/>
      </c>
      <c r="BQ6" s="1685" t="str">
        <f t="shared" si="36"/>
        <v>Route RfC</v>
      </c>
    </row>
    <row r="7" spans="1:69">
      <c r="A7" t="s">
        <v>87</v>
      </c>
      <c r="B7" t="s">
        <v>88</v>
      </c>
      <c r="C7" s="1684" t="str">
        <f t="shared" si="37"/>
        <v>--</v>
      </c>
      <c r="D7" s="1685" t="str">
        <f t="shared" si="0"/>
        <v/>
      </c>
      <c r="E7" s="1686" t="str">
        <f t="shared" si="1"/>
        <v/>
      </c>
      <c r="F7" s="1684">
        <f t="shared" si="2"/>
        <v>31.283414034682323</v>
      </c>
      <c r="G7" s="1685" t="str">
        <f t="shared" si="3"/>
        <v/>
      </c>
      <c r="H7" s="1688" t="str">
        <f t="shared" si="38"/>
        <v/>
      </c>
      <c r="I7" s="1685">
        <f t="shared" si="4"/>
        <v>31.283414034682323</v>
      </c>
      <c r="J7" s="1685" t="str">
        <f t="shared" si="39"/>
        <v/>
      </c>
      <c r="K7" s="1685">
        <f t="shared" si="5"/>
        <v>31</v>
      </c>
      <c r="L7" s="1686">
        <f t="shared" si="40"/>
        <v>9.059562181036783E-3</v>
      </c>
      <c r="M7" s="1684" t="str">
        <f t="shared" si="6"/>
        <v>--</v>
      </c>
      <c r="N7" s="1685" t="str">
        <f t="shared" si="7"/>
        <v/>
      </c>
      <c r="O7" s="1686" t="str">
        <f t="shared" si="8"/>
        <v/>
      </c>
      <c r="P7" s="1684">
        <f t="shared" si="9"/>
        <v>467.07788813382126</v>
      </c>
      <c r="Q7" s="1685" t="str">
        <f t="shared" si="10"/>
        <v/>
      </c>
      <c r="R7" s="1688" t="str">
        <f t="shared" ref="R7:R72" si="60">IF(Q7="","",IF(P7=Q7,"",(P7-Q7)/P7))</f>
        <v/>
      </c>
      <c r="S7" s="1685">
        <f t="shared" si="41"/>
        <v>467.07788813382126</v>
      </c>
      <c r="T7" s="1685" t="str">
        <f t="shared" si="42"/>
        <v/>
      </c>
      <c r="U7" s="1685">
        <f t="shared" si="11"/>
        <v>470</v>
      </c>
      <c r="V7" s="1686">
        <f t="shared" ref="V7:V71" si="61">IF(AND(S7="--",U7="--"),"--",IF(AND(S7="--",U7&lt;&gt;"--"),"R",IF(AND(U7="--",S7&lt;&gt;"--"),"N",IF((S7-U7)=0,"--",(S7-U7)/S7))))</f>
        <v>-6.2561554302085313E-3</v>
      </c>
      <c r="W7" s="1756" t="str">
        <f t="shared" si="43"/>
        <v/>
      </c>
      <c r="X7" s="1685" t="str">
        <f t="shared" si="12"/>
        <v>--</v>
      </c>
      <c r="Z7" t="str">
        <f t="shared" si="13"/>
        <v>--</v>
      </c>
      <c r="AA7" t="str">
        <f t="shared" si="14"/>
        <v>--</v>
      </c>
      <c r="AB7" t="str">
        <f t="shared" si="15"/>
        <v>--</v>
      </c>
      <c r="AC7" t="str">
        <f t="shared" si="16"/>
        <v>--</v>
      </c>
      <c r="AF7" s="1684" t="str">
        <f t="shared" si="17"/>
        <v>--</v>
      </c>
      <c r="AG7" s="1685" t="str">
        <f t="shared" si="18"/>
        <v/>
      </c>
      <c r="AH7" s="1686" t="str">
        <f t="shared" si="44"/>
        <v/>
      </c>
      <c r="AI7" s="1684" t="str">
        <f t="shared" si="19"/>
        <v>--</v>
      </c>
      <c r="AJ7" s="1685" t="str">
        <f t="shared" si="20"/>
        <v/>
      </c>
      <c r="AK7" s="1688" t="str">
        <f t="shared" si="45"/>
        <v/>
      </c>
      <c r="AL7" s="1685">
        <f t="shared" si="46"/>
        <v>0</v>
      </c>
      <c r="AM7" s="1685" t="str">
        <f t="shared" si="47"/>
        <v/>
      </c>
      <c r="AN7" s="1685">
        <f t="shared" si="21"/>
        <v>0.31</v>
      </c>
      <c r="AO7" s="1686" t="e">
        <f t="shared" si="48"/>
        <v>#DIV/0!</v>
      </c>
      <c r="AP7" s="1684" t="str">
        <f t="shared" si="22"/>
        <v>--</v>
      </c>
      <c r="AQ7" s="1685" t="str">
        <f t="shared" si="23"/>
        <v/>
      </c>
      <c r="AR7" s="1686" t="str">
        <f t="shared" si="49"/>
        <v/>
      </c>
      <c r="AS7" s="1684" t="str">
        <f t="shared" si="25"/>
        <v>--</v>
      </c>
      <c r="AT7" s="1685" t="str">
        <f t="shared" si="26"/>
        <v/>
      </c>
      <c r="AU7" s="1688" t="str">
        <f t="shared" si="50"/>
        <v/>
      </c>
      <c r="AV7" s="1685">
        <f t="shared" si="51"/>
        <v>0</v>
      </c>
      <c r="AW7" s="1685" t="str">
        <f t="shared" si="52"/>
        <v/>
      </c>
      <c r="AX7" s="1685">
        <f t="shared" si="27"/>
        <v>1.3</v>
      </c>
      <c r="AY7" s="1686" t="e">
        <f t="shared" si="53"/>
        <v>#DIV/0!</v>
      </c>
      <c r="BA7" s="1756" t="str">
        <f t="shared" si="28"/>
        <v/>
      </c>
      <c r="BB7" s="1685" t="str">
        <f t="shared" si="29"/>
        <v>--</v>
      </c>
      <c r="BC7" s="1685" t="str">
        <f t="shared" si="30"/>
        <v>--</v>
      </c>
      <c r="BE7" s="1684" t="str">
        <f t="shared" si="31"/>
        <v>--</v>
      </c>
      <c r="BF7" s="1685" t="str">
        <f t="shared" si="32"/>
        <v/>
      </c>
      <c r="BG7" s="1686" t="str">
        <f t="shared" si="54"/>
        <v/>
      </c>
      <c r="BH7" s="1684">
        <f t="shared" si="33"/>
        <v>7.7930424144339954</v>
      </c>
      <c r="BI7" s="1685" t="str">
        <f t="shared" si="34"/>
        <v/>
      </c>
      <c r="BJ7" s="1688" t="str">
        <f t="shared" si="55"/>
        <v/>
      </c>
      <c r="BK7" s="1685">
        <f t="shared" si="56"/>
        <v>7.7930424144339954</v>
      </c>
      <c r="BL7" s="1685" t="str">
        <f t="shared" si="57"/>
        <v/>
      </c>
      <c r="BM7" s="1685">
        <f t="shared" si="35"/>
        <v>7.8</v>
      </c>
      <c r="BN7" s="1686">
        <f t="shared" si="58"/>
        <v>-8.927945205479521E-4</v>
      </c>
      <c r="BP7" s="1756" t="str">
        <f t="shared" si="59"/>
        <v/>
      </c>
      <c r="BQ7" s="1685" t="str">
        <f t="shared" si="36"/>
        <v>--</v>
      </c>
    </row>
    <row r="8" spans="1:69">
      <c r="A8" t="s">
        <v>89</v>
      </c>
      <c r="B8" t="s">
        <v>90</v>
      </c>
      <c r="C8" s="1684">
        <f t="shared" si="37"/>
        <v>3.1743737335997779E-2</v>
      </c>
      <c r="D8" s="1685">
        <f t="shared" si="0"/>
        <v>3.2000000000000001E-2</v>
      </c>
      <c r="E8" s="1686">
        <f t="shared" si="1"/>
        <v>-8.0728573730862018E-3</v>
      </c>
      <c r="F8" s="1684">
        <f t="shared" si="2"/>
        <v>0.40784986655323263</v>
      </c>
      <c r="G8" s="1685">
        <f t="shared" si="3"/>
        <v>0.41</v>
      </c>
      <c r="H8" s="1688">
        <f t="shared" si="38"/>
        <v>-5.2718748321245509E-3</v>
      </c>
      <c r="I8" s="1685">
        <f t="shared" si="4"/>
        <v>3.1743737335997779E-2</v>
      </c>
      <c r="J8" s="1685">
        <f t="shared" si="39"/>
        <v>3.2000000000000001E-2</v>
      </c>
      <c r="K8" s="1685">
        <f t="shared" si="5"/>
        <v>0.68</v>
      </c>
      <c r="L8" s="1686">
        <f t="shared" si="40"/>
        <v>-20.421548219178081</v>
      </c>
      <c r="M8" s="1684">
        <f t="shared" si="6"/>
        <v>0.14057803607895836</v>
      </c>
      <c r="N8" s="1685">
        <f t="shared" si="7"/>
        <v>0.13</v>
      </c>
      <c r="O8" s="1689">
        <f t="shared" si="8"/>
        <v>7.5246719715283225E-2</v>
      </c>
      <c r="P8" s="1684">
        <f t="shared" si="9"/>
        <v>5.6229713659840339</v>
      </c>
      <c r="Q8" s="1685">
        <f t="shared" si="10"/>
        <v>5</v>
      </c>
      <c r="R8" s="1690">
        <f t="shared" si="60"/>
        <v>0.11079042119130771</v>
      </c>
      <c r="S8" s="1685">
        <f t="shared" si="41"/>
        <v>0.14057803607895836</v>
      </c>
      <c r="T8" s="1685">
        <f t="shared" si="42"/>
        <v>0.13</v>
      </c>
      <c r="U8" s="1685">
        <f t="shared" si="11"/>
        <v>3</v>
      </c>
      <c r="V8" s="1686">
        <f t="shared" si="61"/>
        <v>-20.340460314262696</v>
      </c>
      <c r="W8" s="1756" t="str">
        <f t="shared" si="43"/>
        <v>*</v>
      </c>
      <c r="X8" s="1685" t="str">
        <f t="shared" si="12"/>
        <v>--</v>
      </c>
      <c r="Z8" t="str">
        <f t="shared" si="13"/>
        <v>x</v>
      </c>
      <c r="AA8" t="str">
        <f t="shared" si="14"/>
        <v>--</v>
      </c>
      <c r="AB8" t="str">
        <f t="shared" si="15"/>
        <v>x</v>
      </c>
      <c r="AC8" t="str">
        <f t="shared" si="16"/>
        <v>--</v>
      </c>
      <c r="AF8" s="1684" t="str">
        <f t="shared" si="17"/>
        <v>--</v>
      </c>
      <c r="AG8" s="1685" t="str">
        <f t="shared" si="18"/>
        <v/>
      </c>
      <c r="AH8" s="1686" t="str">
        <f t="shared" si="44"/>
        <v/>
      </c>
      <c r="AI8" s="1684" t="str">
        <f t="shared" si="19"/>
        <v>--</v>
      </c>
      <c r="AJ8" s="1685" t="str">
        <f t="shared" si="20"/>
        <v/>
      </c>
      <c r="AK8" s="1688" t="str">
        <f t="shared" si="45"/>
        <v/>
      </c>
      <c r="AL8" s="1685">
        <f t="shared" si="46"/>
        <v>0</v>
      </c>
      <c r="AM8" s="1685" t="str">
        <f t="shared" si="47"/>
        <v/>
      </c>
      <c r="AN8" s="1685">
        <f t="shared" si="21"/>
        <v>6.4999999999999997E-4</v>
      </c>
      <c r="AO8" s="1686" t="e">
        <f t="shared" si="48"/>
        <v>#DIV/0!</v>
      </c>
      <c r="AP8" s="1684" t="str">
        <f t="shared" si="22"/>
        <v>--</v>
      </c>
      <c r="AQ8" s="1685" t="str">
        <f t="shared" si="23"/>
        <v/>
      </c>
      <c r="AR8" s="1686" t="str">
        <f t="shared" si="49"/>
        <v/>
      </c>
      <c r="AS8" s="1684" t="str">
        <f t="shared" si="25"/>
        <v>--</v>
      </c>
      <c r="AT8" s="1685" t="str">
        <f t="shared" si="26"/>
        <v/>
      </c>
      <c r="AU8" s="1688" t="str">
        <f t="shared" si="50"/>
        <v/>
      </c>
      <c r="AV8" s="1685">
        <f t="shared" si="51"/>
        <v>0</v>
      </c>
      <c r="AW8" s="1685" t="str">
        <f t="shared" si="52"/>
        <v/>
      </c>
      <c r="AX8" s="1685">
        <f t="shared" si="27"/>
        <v>2.8999999999999998E-3</v>
      </c>
      <c r="AY8" s="1686" t="e">
        <f t="shared" si="53"/>
        <v>#DIV/0!</v>
      </c>
      <c r="BA8" s="1756" t="str">
        <f t="shared" si="28"/>
        <v>*</v>
      </c>
      <c r="BB8" s="1685" t="str">
        <f t="shared" si="29"/>
        <v>--</v>
      </c>
      <c r="BC8" s="1685" t="str">
        <f t="shared" si="30"/>
        <v>--</v>
      </c>
      <c r="BE8" s="1684">
        <f t="shared" si="31"/>
        <v>2.4217007289035635E-3</v>
      </c>
      <c r="BF8" s="1685">
        <f t="shared" si="32"/>
        <v>2.3999999999999998E-3</v>
      </c>
      <c r="BG8" s="1686">
        <f t="shared" si="54"/>
        <v>8.9609457702846916E-3</v>
      </c>
      <c r="BH8" s="1684">
        <f t="shared" si="33"/>
        <v>6.988435957398495E-2</v>
      </c>
      <c r="BI8" s="1685">
        <f t="shared" si="34"/>
        <v>7.0000000000000007E-2</v>
      </c>
      <c r="BJ8" s="1688">
        <f t="shared" si="55"/>
        <v>-1.6547397260274085E-3</v>
      </c>
      <c r="BK8" s="1685">
        <f t="shared" si="56"/>
        <v>2.4217007289035635E-3</v>
      </c>
      <c r="BL8" s="1685">
        <f t="shared" si="57"/>
        <v>2.3999999999999998E-3</v>
      </c>
      <c r="BM8" s="1685">
        <f t="shared" si="35"/>
        <v>5.1999999999999998E-2</v>
      </c>
      <c r="BN8" s="1686">
        <f t="shared" si="58"/>
        <v>-20.472512841643834</v>
      </c>
      <c r="BP8" s="1756" t="str">
        <f>IF(OR(Z8&lt;&gt;"--", AA8&lt;&gt;"--",AB8&lt;&gt;"--",AC8&lt;&gt;"--"),"*","")</f>
        <v>*</v>
      </c>
      <c r="BQ8" s="1685" t="str">
        <f t="shared" si="36"/>
        <v>--</v>
      </c>
    </row>
    <row r="9" spans="1:69">
      <c r="A9" t="s">
        <v>91</v>
      </c>
      <c r="B9" t="s">
        <v>92</v>
      </c>
      <c r="C9" s="1684" t="str">
        <f t="shared" si="37"/>
        <v>--</v>
      </c>
      <c r="D9" s="1685" t="str">
        <f t="shared" si="0"/>
        <v/>
      </c>
      <c r="E9" s="1686" t="str">
        <f t="shared" si="1"/>
        <v/>
      </c>
      <c r="F9" s="1684">
        <f t="shared" si="2"/>
        <v>15305.241521068858</v>
      </c>
      <c r="G9" s="1685" t="str">
        <f t="shared" si="3"/>
        <v/>
      </c>
      <c r="H9" s="1688" t="str">
        <f t="shared" si="38"/>
        <v/>
      </c>
      <c r="I9" s="1685">
        <f t="shared" si="4"/>
        <v>15305.241521068858</v>
      </c>
      <c r="J9" s="1685" t="str">
        <f t="shared" si="39"/>
        <v/>
      </c>
      <c r="K9" s="1685">
        <f t="shared" si="5"/>
        <v>15000</v>
      </c>
      <c r="L9" s="1686">
        <f t="shared" si="40"/>
        <v>1.9943593875906437E-2</v>
      </c>
      <c r="M9" s="1684" t="str">
        <f t="shared" si="6"/>
        <v>--</v>
      </c>
      <c r="N9" s="1685" t="str">
        <f t="shared" si="7"/>
        <v/>
      </c>
      <c r="O9" s="1686" t="str">
        <f t="shared" si="8"/>
        <v/>
      </c>
      <c r="P9" s="1684">
        <f t="shared" si="9"/>
        <v>216610.90909090912</v>
      </c>
      <c r="Q9" s="1685" t="str">
        <f t="shared" si="10"/>
        <v/>
      </c>
      <c r="R9" s="1688" t="str">
        <f t="shared" si="60"/>
        <v/>
      </c>
      <c r="S9" s="1685">
        <f t="shared" si="41"/>
        <v>216610.90909090912</v>
      </c>
      <c r="T9" s="1685" t="str">
        <f t="shared" si="42"/>
        <v/>
      </c>
      <c r="U9" s="1685">
        <f t="shared" si="11"/>
        <v>220000</v>
      </c>
      <c r="V9" s="1686">
        <f t="shared" si="61"/>
        <v>-1.5645984421165604E-2</v>
      </c>
      <c r="W9" s="1756" t="str">
        <f t="shared" si="43"/>
        <v/>
      </c>
      <c r="X9" s="1685" t="str">
        <f t="shared" si="12"/>
        <v>--</v>
      </c>
      <c r="Z9" t="str">
        <f t="shared" si="13"/>
        <v>--</v>
      </c>
      <c r="AA9" t="str">
        <f t="shared" si="14"/>
        <v>--</v>
      </c>
      <c r="AB9" t="str">
        <f t="shared" si="15"/>
        <v>--</v>
      </c>
      <c r="AC9" t="str">
        <f t="shared" si="16"/>
        <v>--</v>
      </c>
      <c r="AF9" s="1684" t="str">
        <f t="shared" si="17"/>
        <v>--</v>
      </c>
      <c r="AG9" s="1685" t="str">
        <f t="shared" si="18"/>
        <v/>
      </c>
      <c r="AH9" s="1686" t="str">
        <f t="shared" si="44"/>
        <v/>
      </c>
      <c r="AI9" s="1684" t="str">
        <f t="shared" si="19"/>
        <v>--</v>
      </c>
      <c r="AJ9" s="1685" t="str">
        <f t="shared" si="20"/>
        <v/>
      </c>
      <c r="AK9" s="1688" t="str">
        <f t="shared" si="45"/>
        <v/>
      </c>
      <c r="AL9" s="1685">
        <f t="shared" si="46"/>
        <v>0</v>
      </c>
      <c r="AM9" s="1685" t="str">
        <f t="shared" si="47"/>
        <v/>
      </c>
      <c r="AN9" s="1685">
        <f t="shared" si="21"/>
        <v>0.52</v>
      </c>
      <c r="AO9" s="1686" t="e">
        <f t="shared" si="48"/>
        <v>#DIV/0!</v>
      </c>
      <c r="AP9" s="1684" t="str">
        <f t="shared" si="22"/>
        <v>--</v>
      </c>
      <c r="AQ9" s="1685" t="str">
        <f t="shared" si="23"/>
        <v/>
      </c>
      <c r="AR9" s="1686" t="str">
        <f t="shared" si="49"/>
        <v/>
      </c>
      <c r="AS9" s="1684" t="str">
        <f t="shared" si="25"/>
        <v>--</v>
      </c>
      <c r="AT9" s="1685" t="str">
        <f t="shared" si="26"/>
        <v/>
      </c>
      <c r="AU9" s="1688" t="str">
        <f t="shared" si="50"/>
        <v/>
      </c>
      <c r="AV9" s="1685">
        <f t="shared" si="51"/>
        <v>0</v>
      </c>
      <c r="AW9" s="1685" t="str">
        <f t="shared" si="52"/>
        <v/>
      </c>
      <c r="AX9" s="1685">
        <f t="shared" si="27"/>
        <v>2.2000000000000002</v>
      </c>
      <c r="AY9" s="1686" t="e">
        <f t="shared" si="53"/>
        <v>#DIV/0!</v>
      </c>
      <c r="BA9" s="1756" t="str">
        <f t="shared" si="28"/>
        <v/>
      </c>
      <c r="BB9" s="1685" t="str">
        <f t="shared" si="29"/>
        <v>--</v>
      </c>
      <c r="BC9" s="1685" t="str">
        <f t="shared" si="30"/>
        <v>--</v>
      </c>
      <c r="BE9" s="1684" t="str">
        <f t="shared" si="31"/>
        <v>--</v>
      </c>
      <c r="BF9" s="1685" t="str">
        <f t="shared" si="32"/>
        <v/>
      </c>
      <c r="BG9" s="1686" t="str">
        <f t="shared" si="54"/>
        <v/>
      </c>
      <c r="BH9" s="1684">
        <f t="shared" si="33"/>
        <v>3773.4483632021588</v>
      </c>
      <c r="BI9" s="1685" t="str">
        <f t="shared" si="34"/>
        <v/>
      </c>
      <c r="BJ9" s="1688" t="str">
        <f t="shared" si="55"/>
        <v/>
      </c>
      <c r="BK9" s="1685">
        <f t="shared" si="56"/>
        <v>3773.4483632021588</v>
      </c>
      <c r="BL9" s="1685" t="str">
        <f t="shared" si="57"/>
        <v/>
      </c>
      <c r="BM9" s="1685">
        <f t="shared" si="35"/>
        <v>3800</v>
      </c>
      <c r="BN9" s="1686">
        <f t="shared" si="58"/>
        <v>-7.0364383561643306E-3</v>
      </c>
      <c r="BP9" s="1756" t="str">
        <f t="shared" si="59"/>
        <v/>
      </c>
      <c r="BQ9" s="1685" t="str">
        <f t="shared" si="36"/>
        <v>--</v>
      </c>
    </row>
    <row r="10" spans="1:69">
      <c r="A10" t="s">
        <v>93</v>
      </c>
      <c r="B10" t="s">
        <v>94</v>
      </c>
      <c r="C10" s="1684">
        <f t="shared" si="37"/>
        <v>0.32635947761588513</v>
      </c>
      <c r="D10" s="1685">
        <f t="shared" si="0"/>
        <v>0.33</v>
      </c>
      <c r="E10" s="1686">
        <f t="shared" si="1"/>
        <v>-1.1154946106390288E-2</v>
      </c>
      <c r="F10" s="1684">
        <f t="shared" si="2"/>
        <v>10.687503340885211</v>
      </c>
      <c r="G10" s="1685">
        <f t="shared" si="3"/>
        <v>11</v>
      </c>
      <c r="H10" s="1688">
        <f t="shared" si="38"/>
        <v>-2.9239444344249046E-2</v>
      </c>
      <c r="I10" s="1685">
        <f t="shared" si="4"/>
        <v>0.32635947761588513</v>
      </c>
      <c r="J10" s="1685">
        <f t="shared" si="39"/>
        <v>0.33</v>
      </c>
      <c r="K10" s="1685">
        <f t="shared" si="5"/>
        <v>1.2</v>
      </c>
      <c r="L10" s="1686">
        <f t="shared" si="40"/>
        <v>-2.67692707675051</v>
      </c>
      <c r="M10" s="1684">
        <f t="shared" si="6"/>
        <v>1.4037502976107612</v>
      </c>
      <c r="N10" s="1685">
        <f t="shared" si="7"/>
        <v>1.4</v>
      </c>
      <c r="O10" s="1686">
        <f t="shared" si="8"/>
        <v>2.671627295213717E-3</v>
      </c>
      <c r="P10" s="1684">
        <f t="shared" si="9"/>
        <v>45.132396295489571</v>
      </c>
      <c r="Q10" s="1685">
        <f t="shared" si="10"/>
        <v>46</v>
      </c>
      <c r="R10" s="1688">
        <f t="shared" si="60"/>
        <v>-1.9223524025404691E-2</v>
      </c>
      <c r="S10" s="1685">
        <f t="shared" si="41"/>
        <v>1.4037502976107612</v>
      </c>
      <c r="T10" s="1685">
        <f t="shared" si="42"/>
        <v>1.4</v>
      </c>
      <c r="U10" s="1685">
        <f t="shared" si="11"/>
        <v>5.0999999999999996</v>
      </c>
      <c r="V10" s="1686">
        <f t="shared" si="61"/>
        <v>-2.6331247862817211</v>
      </c>
      <c r="W10" s="1756" t="str">
        <f t="shared" si="43"/>
        <v>*</v>
      </c>
      <c r="X10" s="1685" t="str">
        <f t="shared" si="12"/>
        <v>--</v>
      </c>
      <c r="Z10" t="str">
        <f t="shared" si="13"/>
        <v>x</v>
      </c>
      <c r="AA10" t="str">
        <f t="shared" si="14"/>
        <v>x</v>
      </c>
      <c r="AB10" t="str">
        <f t="shared" si="15"/>
        <v>--</v>
      </c>
      <c r="AC10" t="str">
        <f t="shared" si="16"/>
        <v>x</v>
      </c>
      <c r="AF10" s="1684">
        <f t="shared" si="17"/>
        <v>9.6816976127320931E-2</v>
      </c>
      <c r="AG10" s="1685">
        <f t="shared" si="18"/>
        <v>9.7000000000000003E-2</v>
      </c>
      <c r="AH10" s="1686">
        <f t="shared" si="44"/>
        <v>-1.8904109589043909E-3</v>
      </c>
      <c r="AI10" s="1684">
        <f t="shared" si="19"/>
        <v>3.1285714285714286</v>
      </c>
      <c r="AJ10" s="1685">
        <f t="shared" si="20"/>
        <v>11</v>
      </c>
      <c r="AK10" s="1688">
        <f t="shared" si="45"/>
        <v>-2.5159817351598175</v>
      </c>
      <c r="AL10" s="1685">
        <f t="shared" si="46"/>
        <v>9.6816976127320931E-2</v>
      </c>
      <c r="AM10" s="1685">
        <f t="shared" si="47"/>
        <v>9.7000000000000003E-2</v>
      </c>
      <c r="AN10" s="1685">
        <f t="shared" si="21"/>
        <v>0.36</v>
      </c>
      <c r="AO10" s="1686">
        <f t="shared" si="48"/>
        <v>-2.7183561643835623</v>
      </c>
      <c r="AP10" s="1684">
        <f t="shared" si="22"/>
        <v>0.42289655172413781</v>
      </c>
      <c r="AQ10" s="1685">
        <f t="shared" si="23"/>
        <v>0.42</v>
      </c>
      <c r="AR10" s="1686">
        <f t="shared" si="49"/>
        <v>6.8493150684929144E-3</v>
      </c>
      <c r="AS10" s="1684">
        <f t="shared" si="25"/>
        <v>13.139999999999999</v>
      </c>
      <c r="AT10" s="1685">
        <f t="shared" si="26"/>
        <v>13</v>
      </c>
      <c r="AU10" s="1688">
        <f t="shared" si="50"/>
        <v>1.065449010654481E-2</v>
      </c>
      <c r="AV10" s="1685">
        <f t="shared" si="51"/>
        <v>0.42289655172413781</v>
      </c>
      <c r="AW10" s="1685">
        <f t="shared" si="52"/>
        <v>0.42</v>
      </c>
      <c r="AX10" s="1685">
        <f t="shared" si="27"/>
        <v>1.6</v>
      </c>
      <c r="AY10" s="1686">
        <f t="shared" si="53"/>
        <v>-2.7834311806914558</v>
      </c>
      <c r="BA10" s="1756" t="str">
        <f t="shared" si="28"/>
        <v>*</v>
      </c>
      <c r="BB10" s="1685" t="str">
        <f t="shared" si="29"/>
        <v>V</v>
      </c>
      <c r="BC10" s="1685" t="str">
        <f t="shared" si="30"/>
        <v>--</v>
      </c>
      <c r="BE10" s="1684">
        <f t="shared" si="31"/>
        <v>0.15076417867020536</v>
      </c>
      <c r="BF10" s="1685">
        <f t="shared" si="32"/>
        <v>0.15</v>
      </c>
      <c r="BG10" s="1686">
        <f t="shared" si="54"/>
        <v>5.0687018424781021E-3</v>
      </c>
      <c r="BH10" s="1684">
        <f t="shared" si="33"/>
        <v>5.7492741399940606</v>
      </c>
      <c r="BI10" s="1685">
        <f t="shared" si="34"/>
        <v>5.7</v>
      </c>
      <c r="BJ10" s="1688">
        <f t="shared" si="55"/>
        <v>8.570497560951457E-3</v>
      </c>
      <c r="BK10" s="1685">
        <f t="shared" si="56"/>
        <v>0.15076417867020536</v>
      </c>
      <c r="BL10" s="1685">
        <f t="shared" si="57"/>
        <v>0.15</v>
      </c>
      <c r="BM10" s="1685">
        <f t="shared" si="35"/>
        <v>0.46</v>
      </c>
      <c r="BN10" s="1686">
        <f t="shared" si="58"/>
        <v>-2.0511226476830675</v>
      </c>
      <c r="BP10" s="1756" t="str">
        <f t="shared" si="59"/>
        <v>*</v>
      </c>
      <c r="BQ10" s="1685" t="str">
        <f t="shared" si="36"/>
        <v>--</v>
      </c>
    </row>
    <row r="11" spans="1:69">
      <c r="A11" t="s">
        <v>95</v>
      </c>
      <c r="B11" t="s">
        <v>96</v>
      </c>
      <c r="C11" s="1684">
        <f t="shared" si="37"/>
        <v>1591.0256410256409</v>
      </c>
      <c r="D11" s="1685" t="str">
        <f t="shared" si="0"/>
        <v/>
      </c>
      <c r="E11" s="1686" t="str">
        <f t="shared" si="1"/>
        <v/>
      </c>
      <c r="F11" s="1684">
        <f t="shared" si="2"/>
        <v>15.618248557944415</v>
      </c>
      <c r="G11" s="1685">
        <f t="shared" si="3"/>
        <v>16</v>
      </c>
      <c r="H11" s="1688">
        <f t="shared" si="38"/>
        <v>-2.4442653773838294E-2</v>
      </c>
      <c r="I11" s="1685">
        <f t="shared" si="4"/>
        <v>15.618248557944415</v>
      </c>
      <c r="J11" s="1685">
        <f t="shared" si="39"/>
        <v>16</v>
      </c>
      <c r="K11" s="1685">
        <f t="shared" si="5"/>
        <v>160</v>
      </c>
      <c r="L11" s="1686">
        <f t="shared" si="40"/>
        <v>-9.2444265377383825</v>
      </c>
      <c r="M11" s="1684">
        <f t="shared" si="6"/>
        <v>6949.6</v>
      </c>
      <c r="N11" s="1685" t="str">
        <f t="shared" si="7"/>
        <v/>
      </c>
      <c r="O11" s="1686" t="str">
        <f t="shared" si="8"/>
        <v/>
      </c>
      <c r="P11" s="1684">
        <f t="shared" si="9"/>
        <v>232.29860724233987</v>
      </c>
      <c r="Q11" s="1685">
        <f t="shared" si="10"/>
        <v>230</v>
      </c>
      <c r="R11" s="1688">
        <f t="shared" si="60"/>
        <v>9.8950539119759054E-3</v>
      </c>
      <c r="S11" s="1685">
        <f t="shared" si="41"/>
        <v>232.29860724233987</v>
      </c>
      <c r="T11" s="1685">
        <f t="shared" si="42"/>
        <v>230</v>
      </c>
      <c r="U11" s="1685">
        <f t="shared" si="11"/>
        <v>2300</v>
      </c>
      <c r="V11" s="1686">
        <f t="shared" si="61"/>
        <v>-8.9010494608802411</v>
      </c>
      <c r="W11" s="1756" t="str">
        <f t="shared" si="43"/>
        <v>*</v>
      </c>
      <c r="X11" s="1685" t="str">
        <f t="shared" si="12"/>
        <v>--</v>
      </c>
      <c r="Z11" t="str">
        <f t="shared" si="13"/>
        <v>--</v>
      </c>
      <c r="AA11" t="str">
        <f t="shared" si="14"/>
        <v>--</v>
      </c>
      <c r="AB11" t="str">
        <f t="shared" si="15"/>
        <v>x</v>
      </c>
      <c r="AC11" t="str">
        <f t="shared" si="16"/>
        <v>x</v>
      </c>
      <c r="AF11" s="1684" t="str">
        <f t="shared" si="17"/>
        <v>--</v>
      </c>
      <c r="AG11" s="1685" t="str">
        <f t="shared" si="18"/>
        <v/>
      </c>
      <c r="AH11" s="1686" t="str">
        <f t="shared" si="44"/>
        <v/>
      </c>
      <c r="AI11" s="1684" t="str">
        <f t="shared" si="19"/>
        <v>--</v>
      </c>
      <c r="AJ11" s="1685">
        <f t="shared" si="20"/>
        <v>16</v>
      </c>
      <c r="AK11" s="1688" t="e">
        <f t="shared" si="45"/>
        <v>#VALUE!</v>
      </c>
      <c r="AL11" s="1685">
        <f>MIN(AI11,AF11)</f>
        <v>0</v>
      </c>
      <c r="AM11" s="1685">
        <f t="shared" si="47"/>
        <v>16</v>
      </c>
      <c r="AN11" s="1685">
        <f t="shared" si="21"/>
        <v>1.1999999999999999E-3</v>
      </c>
      <c r="AO11" s="1686" t="e">
        <f t="shared" si="48"/>
        <v>#DIV/0!</v>
      </c>
      <c r="AP11" s="1684" t="str">
        <f t="shared" si="22"/>
        <v>--</v>
      </c>
      <c r="AQ11" s="1685" t="str">
        <f t="shared" si="23"/>
        <v/>
      </c>
      <c r="AR11" s="1686" t="str">
        <f t="shared" si="49"/>
        <v/>
      </c>
      <c r="AS11" s="1684" t="str">
        <f t="shared" si="25"/>
        <v>--</v>
      </c>
      <c r="AT11" s="1685">
        <f t="shared" si="26"/>
        <v>3.1E-2</v>
      </c>
      <c r="AU11" s="1688" t="e">
        <f t="shared" si="50"/>
        <v>#VALUE!</v>
      </c>
      <c r="AV11" s="1685">
        <f t="shared" si="51"/>
        <v>0</v>
      </c>
      <c r="AW11" s="1685">
        <f t="shared" si="52"/>
        <v>3.1E-2</v>
      </c>
      <c r="AX11" s="1685">
        <f t="shared" si="27"/>
        <v>5.1000000000000004E-3</v>
      </c>
      <c r="AY11" s="1686" t="e">
        <f t="shared" si="53"/>
        <v>#DIV/0!</v>
      </c>
      <c r="BA11" s="1756" t="str">
        <f t="shared" si="28"/>
        <v>*</v>
      </c>
      <c r="BB11" s="1685" t="str">
        <f t="shared" si="29"/>
        <v>--</v>
      </c>
      <c r="BC11" s="1685" t="str">
        <f t="shared" si="30"/>
        <v>--</v>
      </c>
      <c r="BE11" s="1684" t="str">
        <f t="shared" si="31"/>
        <v>--</v>
      </c>
      <c r="BF11" s="1685" t="str">
        <f t="shared" si="32"/>
        <v>--</v>
      </c>
      <c r="BG11" s="1686" t="str">
        <f t="shared" si="54"/>
        <v/>
      </c>
      <c r="BH11" s="1684">
        <f t="shared" si="33"/>
        <v>2.4614762113497655</v>
      </c>
      <c r="BI11" s="1685">
        <f t="shared" si="34"/>
        <v>4</v>
      </c>
      <c r="BJ11" s="1688">
        <f t="shared" si="55"/>
        <v>-0.62504109589041112</v>
      </c>
      <c r="BK11" s="1691">
        <f t="shared" si="56"/>
        <v>2.4614762113497655</v>
      </c>
      <c r="BL11" s="1691">
        <f t="shared" si="57"/>
        <v>4</v>
      </c>
      <c r="BM11" s="1691">
        <f t="shared" si="35"/>
        <v>25</v>
      </c>
      <c r="BN11" s="1686">
        <f t="shared" si="58"/>
        <v>-9.1565068493150701</v>
      </c>
      <c r="BO11" s="727" t="s">
        <v>4198</v>
      </c>
      <c r="BP11" s="1756" t="str">
        <f t="shared" si="59"/>
        <v>*</v>
      </c>
      <c r="BQ11" s="1685" t="str">
        <f t="shared" si="36"/>
        <v>--</v>
      </c>
    </row>
    <row r="12" spans="1:69" ht="15">
      <c r="A12" t="s">
        <v>97</v>
      </c>
      <c r="B12" t="s">
        <v>98</v>
      </c>
      <c r="C12" s="1684">
        <f t="shared" si="37"/>
        <v>86.904761904761912</v>
      </c>
      <c r="D12" s="1685">
        <f t="shared" si="0"/>
        <v>56</v>
      </c>
      <c r="E12" s="1692">
        <f t="shared" si="1"/>
        <v>0.35561643835616447</v>
      </c>
      <c r="F12" s="1684">
        <f t="shared" si="2"/>
        <v>47.485937281195206</v>
      </c>
      <c r="G12" s="1685" t="str">
        <f t="shared" si="3"/>
        <v/>
      </c>
      <c r="H12" s="1688" t="str">
        <f t="shared" si="38"/>
        <v/>
      </c>
      <c r="I12" s="1685">
        <f t="shared" si="4"/>
        <v>47.485937281195206</v>
      </c>
      <c r="J12" s="1685">
        <f t="shared" si="39"/>
        <v>56</v>
      </c>
      <c r="K12" s="1685">
        <f t="shared" si="5"/>
        <v>47</v>
      </c>
      <c r="L12" s="1686">
        <f t="shared" si="40"/>
        <v>1.023328819051531E-2</v>
      </c>
      <c r="M12" s="1684">
        <f t="shared" si="6"/>
        <v>408.8</v>
      </c>
      <c r="N12" s="1685">
        <f t="shared" si="7"/>
        <v>260</v>
      </c>
      <c r="O12" s="1692">
        <f t="shared" si="8"/>
        <v>0.36399217221135033</v>
      </c>
      <c r="P12" s="1684">
        <f t="shared" si="9"/>
        <v>195.74037584820942</v>
      </c>
      <c r="Q12" s="1685" t="str">
        <f t="shared" si="10"/>
        <v/>
      </c>
      <c r="R12" s="1688" t="str">
        <f t="shared" si="60"/>
        <v/>
      </c>
      <c r="S12" s="1685">
        <f t="shared" si="41"/>
        <v>195.74037584820942</v>
      </c>
      <c r="T12" s="1685">
        <f t="shared" si="42"/>
        <v>260</v>
      </c>
      <c r="U12" s="1685">
        <f t="shared" si="11"/>
        <v>200</v>
      </c>
      <c r="V12" s="1686">
        <f t="shared" si="61"/>
        <v>-2.1761601985958081E-2</v>
      </c>
      <c r="W12" s="1756" t="str">
        <f t="shared" si="43"/>
        <v/>
      </c>
      <c r="X12" s="1685" t="str">
        <f t="shared" si="12"/>
        <v>Route IUR</v>
      </c>
      <c r="Z12" t="str">
        <f t="shared" si="13"/>
        <v>--</v>
      </c>
      <c r="AA12" t="str">
        <f t="shared" si="14"/>
        <v>--</v>
      </c>
      <c r="AB12" t="str">
        <f t="shared" si="15"/>
        <v>--</v>
      </c>
      <c r="AC12" t="str">
        <f t="shared" si="16"/>
        <v>--</v>
      </c>
      <c r="AF12" s="1684" t="str">
        <f t="shared" si="17"/>
        <v>--</v>
      </c>
      <c r="AG12" s="1685">
        <f t="shared" si="18"/>
        <v>1.4</v>
      </c>
      <c r="AH12" s="1686" t="e">
        <f t="shared" si="44"/>
        <v>#VALUE!</v>
      </c>
      <c r="AI12" s="1684">
        <f t="shared" si="19"/>
        <v>0.41714285714285715</v>
      </c>
      <c r="AJ12" s="1685" t="str">
        <f t="shared" si="20"/>
        <v/>
      </c>
      <c r="AK12" s="1688" t="str">
        <f t="shared" si="45"/>
        <v/>
      </c>
      <c r="AL12" s="1685">
        <f t="shared" si="46"/>
        <v>0.41714285714285715</v>
      </c>
      <c r="AM12" s="1685">
        <f t="shared" si="47"/>
        <v>1.4</v>
      </c>
      <c r="AN12" s="1685">
        <f t="shared" si="21"/>
        <v>0.42</v>
      </c>
      <c r="AO12" s="1686">
        <f t="shared" si="48"/>
        <v>-6.8493150684931E-3</v>
      </c>
      <c r="AP12" s="1684" t="str">
        <f t="shared" si="22"/>
        <v>--</v>
      </c>
      <c r="AQ12" s="1685">
        <f t="shared" si="23"/>
        <v>6.1</v>
      </c>
      <c r="AR12" s="1686" t="e">
        <f t="shared" si="49"/>
        <v>#VALUE!</v>
      </c>
      <c r="AS12" s="1684">
        <f t="shared" si="25"/>
        <v>1.7519999999999998</v>
      </c>
      <c r="AT12" s="1685" t="str">
        <f t="shared" si="26"/>
        <v/>
      </c>
      <c r="AU12" s="1688" t="str">
        <f t="shared" si="50"/>
        <v/>
      </c>
      <c r="AV12" s="1685">
        <f t="shared" si="51"/>
        <v>1.7519999999999998</v>
      </c>
      <c r="AW12" s="1685">
        <f t="shared" si="52"/>
        <v>6.1</v>
      </c>
      <c r="AX12" s="1685">
        <f t="shared" si="27"/>
        <v>1.8</v>
      </c>
      <c r="AY12" s="1686">
        <f t="shared" si="53"/>
        <v>-2.7397260273972757E-2</v>
      </c>
      <c r="BA12" s="1756" t="str">
        <f t="shared" si="28"/>
        <v/>
      </c>
      <c r="BB12" s="1685" t="str">
        <f t="shared" si="29"/>
        <v>V</v>
      </c>
      <c r="BC12" s="1685" t="str">
        <f t="shared" si="30"/>
        <v>Route IUR</v>
      </c>
      <c r="BE12" s="1684">
        <f t="shared" si="31"/>
        <v>3.9121541266834634</v>
      </c>
      <c r="BF12" s="1685">
        <f t="shared" si="32"/>
        <v>1.6</v>
      </c>
      <c r="BG12" s="1686">
        <f t="shared" si="54"/>
        <v>0.59101815823488446</v>
      </c>
      <c r="BH12" s="1684">
        <f t="shared" si="33"/>
        <v>0.83412125317780383</v>
      </c>
      <c r="BI12" s="1685" t="str">
        <f t="shared" si="34"/>
        <v/>
      </c>
      <c r="BJ12" s="1688" t="str">
        <f t="shared" si="55"/>
        <v/>
      </c>
      <c r="BK12" s="1685">
        <f t="shared" si="56"/>
        <v>0.83412125317780383</v>
      </c>
      <c r="BL12" s="1685">
        <f t="shared" si="57"/>
        <v>1.6</v>
      </c>
      <c r="BM12" s="1685">
        <f t="shared" si="35"/>
        <v>0.83</v>
      </c>
      <c r="BN12" s="1686">
        <f t="shared" si="58"/>
        <v>4.9408322376427631E-3</v>
      </c>
      <c r="BP12" s="1756" t="str">
        <f t="shared" si="59"/>
        <v/>
      </c>
      <c r="BQ12" s="1685" t="str">
        <f t="shared" si="36"/>
        <v>Route IUR</v>
      </c>
    </row>
    <row r="13" spans="1:69">
      <c r="A13" t="s">
        <v>99</v>
      </c>
      <c r="B13" t="s">
        <v>100</v>
      </c>
      <c r="C13" s="1684">
        <f t="shared" si="37"/>
        <v>0.10483935047691115</v>
      </c>
      <c r="D13" s="1685">
        <f t="shared" si="0"/>
        <v>0.1</v>
      </c>
      <c r="E13" s="1686">
        <f t="shared" si="1"/>
        <v>4.6159676256072528E-2</v>
      </c>
      <c r="F13" s="1684" t="str">
        <f t="shared" si="2"/>
        <v>--</v>
      </c>
      <c r="G13" s="1685" t="str">
        <f t="shared" si="3"/>
        <v>--</v>
      </c>
      <c r="H13" s="1688" t="str">
        <f t="shared" si="38"/>
        <v/>
      </c>
      <c r="I13" s="1685">
        <f t="shared" si="4"/>
        <v>0.10483935047691115</v>
      </c>
      <c r="J13" s="1685">
        <f t="shared" si="39"/>
        <v>0.1</v>
      </c>
      <c r="K13" s="1685">
        <f t="shared" si="5"/>
        <v>0.23</v>
      </c>
      <c r="L13" s="1686">
        <f t="shared" si="40"/>
        <v>-1.1938327446110331</v>
      </c>
      <c r="M13" s="1684">
        <f t="shared" si="6"/>
        <v>0.4647186620584528</v>
      </c>
      <c r="N13" s="1685">
        <f t="shared" si="7"/>
        <v>0.47</v>
      </c>
      <c r="O13" s="1686">
        <f t="shared" si="8"/>
        <v>-1.1364591897716556E-2</v>
      </c>
      <c r="P13" s="1684" t="str">
        <f t="shared" si="9"/>
        <v>--</v>
      </c>
      <c r="Q13" s="1685" t="str">
        <f t="shared" si="10"/>
        <v>--</v>
      </c>
      <c r="R13" s="1688" t="str">
        <f t="shared" si="60"/>
        <v/>
      </c>
      <c r="S13" s="1685">
        <f t="shared" si="41"/>
        <v>0.4647186620584528</v>
      </c>
      <c r="T13" s="1685">
        <f t="shared" si="42"/>
        <v>0.47</v>
      </c>
      <c r="U13" s="1685">
        <f t="shared" si="11"/>
        <v>1</v>
      </c>
      <c r="V13" s="1686">
        <f t="shared" si="61"/>
        <v>-1.1518395572291842</v>
      </c>
      <c r="W13" s="1756" t="str">
        <f t="shared" si="43"/>
        <v>*</v>
      </c>
      <c r="X13" s="1685" t="str">
        <f t="shared" si="12"/>
        <v>--</v>
      </c>
      <c r="Z13" t="str">
        <f t="shared" si="13"/>
        <v>x</v>
      </c>
      <c r="AA13" t="str">
        <f t="shared" si="14"/>
        <v>x</v>
      </c>
      <c r="AB13" t="str">
        <f t="shared" si="15"/>
        <v>--</v>
      </c>
      <c r="AC13" t="str">
        <f t="shared" si="16"/>
        <v>--</v>
      </c>
      <c r="AF13" s="1684">
        <f t="shared" si="17"/>
        <v>3.9544962080173343E-3</v>
      </c>
      <c r="AG13" s="1685">
        <f t="shared" si="18"/>
        <v>4.0000000000000001E-3</v>
      </c>
      <c r="AH13" s="1686">
        <f t="shared" si="44"/>
        <v>-1.1506849315068632E-2</v>
      </c>
      <c r="AI13" s="1684" t="str">
        <f t="shared" si="19"/>
        <v>--</v>
      </c>
      <c r="AJ13" s="1685" t="str">
        <f t="shared" si="20"/>
        <v>--</v>
      </c>
      <c r="AK13" s="1688" t="str">
        <f t="shared" si="45"/>
        <v/>
      </c>
      <c r="AL13" s="1685">
        <f t="shared" si="46"/>
        <v>3.9544962080173343E-3</v>
      </c>
      <c r="AM13" s="1685">
        <f t="shared" si="47"/>
        <v>4.0000000000000001E-3</v>
      </c>
      <c r="AN13" s="1685">
        <f t="shared" si="21"/>
        <v>8.5000000000000006E-3</v>
      </c>
      <c r="AO13" s="1686">
        <f t="shared" si="48"/>
        <v>-1.1494520547945211</v>
      </c>
      <c r="AP13" s="1684">
        <f t="shared" si="22"/>
        <v>1.7273239436619715E-2</v>
      </c>
      <c r="AQ13" s="1685">
        <f t="shared" si="23"/>
        <v>1.7000000000000001E-2</v>
      </c>
      <c r="AR13" s="1686">
        <f t="shared" si="49"/>
        <v>1.5818656229614893E-2</v>
      </c>
      <c r="AS13" s="1684" t="str">
        <f t="shared" si="25"/>
        <v>--</v>
      </c>
      <c r="AT13" s="1685" t="str">
        <f t="shared" si="26"/>
        <v>--</v>
      </c>
      <c r="AU13" s="1688" t="str">
        <f t="shared" si="50"/>
        <v/>
      </c>
      <c r="AV13" s="1685">
        <f t="shared" si="51"/>
        <v>1.7273239436619715E-2</v>
      </c>
      <c r="AW13" s="1685">
        <f t="shared" si="52"/>
        <v>1.7000000000000001E-2</v>
      </c>
      <c r="AX13" s="1685">
        <f t="shared" si="27"/>
        <v>3.6999999999999998E-2</v>
      </c>
      <c r="AY13" s="1686">
        <f t="shared" si="53"/>
        <v>-1.142041748206132</v>
      </c>
      <c r="BA13" s="1756" t="str">
        <f t="shared" si="28"/>
        <v>*</v>
      </c>
      <c r="BB13" s="1685" t="str">
        <f t="shared" si="29"/>
        <v>V</v>
      </c>
      <c r="BC13" s="1685" t="str">
        <f t="shared" si="30"/>
        <v>--</v>
      </c>
      <c r="BE13" s="1684">
        <f t="shared" si="31"/>
        <v>6.2748389659023776E-3</v>
      </c>
      <c r="BF13" s="1685">
        <f t="shared" si="32"/>
        <v>6.3E-3</v>
      </c>
      <c r="BG13" s="1686">
        <f t="shared" si="54"/>
        <v>-4.009829452890832E-3</v>
      </c>
      <c r="BH13" s="1684" t="str">
        <f t="shared" si="33"/>
        <v>--</v>
      </c>
      <c r="BI13" s="1685" t="str">
        <f t="shared" si="34"/>
        <v>--</v>
      </c>
      <c r="BJ13" s="1688" t="str">
        <f t="shared" si="55"/>
        <v/>
      </c>
      <c r="BK13" s="1685">
        <f t="shared" si="56"/>
        <v>6.2748389659023776E-3</v>
      </c>
      <c r="BL13" s="1685">
        <f t="shared" si="57"/>
        <v>6.3E-3</v>
      </c>
      <c r="BM13" s="1685">
        <f t="shared" si="35"/>
        <v>1.4E-2</v>
      </c>
      <c r="BN13" s="1686">
        <f t="shared" si="58"/>
        <v>-1.2311329543397573</v>
      </c>
      <c r="BP13" s="1756" t="str">
        <f t="shared" si="59"/>
        <v>*</v>
      </c>
      <c r="BQ13" s="1685" t="str">
        <f t="shared" si="36"/>
        <v>--</v>
      </c>
    </row>
    <row r="14" spans="1:69" ht="15">
      <c r="A14" t="s">
        <v>101</v>
      </c>
      <c r="B14" t="s">
        <v>102</v>
      </c>
      <c r="C14" s="1684" t="str">
        <f t="shared" si="37"/>
        <v>--</v>
      </c>
      <c r="D14" s="1685" t="str">
        <f t="shared" si="0"/>
        <v>--</v>
      </c>
      <c r="E14" s="1686" t="str">
        <f>IF(D14="","",IF(C14=D14,"",(C14-D14)/C14))</f>
        <v/>
      </c>
      <c r="F14" s="1684">
        <f t="shared" si="2"/>
        <v>3128.5714285714284</v>
      </c>
      <c r="G14" s="1685">
        <f t="shared" si="3"/>
        <v>2000</v>
      </c>
      <c r="H14" s="1693">
        <f t="shared" si="38"/>
        <v>0.36073059360730592</v>
      </c>
      <c r="I14" s="1685">
        <f t="shared" si="4"/>
        <v>3128.5714285714284</v>
      </c>
      <c r="J14" s="1685">
        <f t="shared" si="39"/>
        <v>2000</v>
      </c>
      <c r="K14" s="1685">
        <f t="shared" si="5"/>
        <v>3100</v>
      </c>
      <c r="L14" s="1686">
        <f t="shared" si="40"/>
        <v>9.1324200913241605E-3</v>
      </c>
      <c r="M14" s="1684" t="str">
        <f t="shared" si="6"/>
        <v>--</v>
      </c>
      <c r="N14" s="1685" t="str">
        <f t="shared" si="7"/>
        <v>--</v>
      </c>
      <c r="O14" s="1686" t="str">
        <f t="shared" si="8"/>
        <v/>
      </c>
      <c r="P14" s="1684">
        <f t="shared" si="9"/>
        <v>46720</v>
      </c>
      <c r="Q14" s="1685">
        <f t="shared" si="10"/>
        <v>16000</v>
      </c>
      <c r="R14" s="1693">
        <f t="shared" si="60"/>
        <v>0.65753424657534243</v>
      </c>
      <c r="S14" s="1685">
        <f t="shared" si="41"/>
        <v>46720</v>
      </c>
      <c r="T14" s="1685">
        <f t="shared" si="42"/>
        <v>16000</v>
      </c>
      <c r="U14" s="1685">
        <f t="shared" si="11"/>
        <v>47000</v>
      </c>
      <c r="V14" s="1686">
        <f t="shared" si="61"/>
        <v>-5.9931506849315065E-3</v>
      </c>
      <c r="W14" s="1756" t="str">
        <f t="shared" si="43"/>
        <v/>
      </c>
      <c r="X14" s="1685" t="str">
        <f t="shared" si="12"/>
        <v>Route RfC</v>
      </c>
      <c r="Z14" t="str">
        <f t="shared" si="13"/>
        <v>--</v>
      </c>
      <c r="AA14" t="str">
        <f t="shared" si="14"/>
        <v>--</v>
      </c>
      <c r="AB14" t="str">
        <f t="shared" si="15"/>
        <v>--</v>
      </c>
      <c r="AC14" t="str">
        <f t="shared" si="16"/>
        <v>--</v>
      </c>
      <c r="AF14" s="1684" t="str">
        <f t="shared" si="17"/>
        <v>--</v>
      </c>
      <c r="AG14" s="1685" t="str">
        <f t="shared" si="18"/>
        <v>--</v>
      </c>
      <c r="AH14" s="1686" t="str">
        <f t="shared" si="44"/>
        <v/>
      </c>
      <c r="AI14" s="1684" t="str">
        <f t="shared" si="19"/>
        <v>--</v>
      </c>
      <c r="AJ14" s="1685">
        <f t="shared" si="20"/>
        <v>2000</v>
      </c>
      <c r="AK14" s="1688" t="e">
        <f t="shared" si="45"/>
        <v>#VALUE!</v>
      </c>
      <c r="AL14" s="1685">
        <f t="shared" si="46"/>
        <v>0</v>
      </c>
      <c r="AM14" s="1685">
        <f t="shared" si="47"/>
        <v>2000</v>
      </c>
      <c r="AN14" s="1685" t="str">
        <f t="shared" si="21"/>
        <v>--</v>
      </c>
      <c r="AO14" s="1686" t="str">
        <f t="shared" si="48"/>
        <v>N</v>
      </c>
      <c r="AP14" s="1684" t="str">
        <f t="shared" si="22"/>
        <v>--</v>
      </c>
      <c r="AQ14" s="1685" t="str">
        <f t="shared" si="23"/>
        <v>--</v>
      </c>
      <c r="AR14" s="1686" t="str">
        <f t="shared" si="49"/>
        <v/>
      </c>
      <c r="AS14" s="1684" t="str">
        <f t="shared" si="25"/>
        <v>--</v>
      </c>
      <c r="AT14" s="1685">
        <f t="shared" si="26"/>
        <v>700</v>
      </c>
      <c r="AU14" s="1688" t="e">
        <f t="shared" si="50"/>
        <v>#VALUE!</v>
      </c>
      <c r="AV14" s="1685">
        <f t="shared" si="51"/>
        <v>0</v>
      </c>
      <c r="AW14" s="1685">
        <f t="shared" si="52"/>
        <v>700</v>
      </c>
      <c r="AX14" s="1685" t="str">
        <f t="shared" si="27"/>
        <v>--</v>
      </c>
      <c r="AY14" s="1686" t="str">
        <f t="shared" si="53"/>
        <v>N</v>
      </c>
      <c r="BA14" s="1756" t="str">
        <f t="shared" si="28"/>
        <v/>
      </c>
      <c r="BB14" s="1685" t="str">
        <f t="shared" si="29"/>
        <v>V</v>
      </c>
      <c r="BC14" s="1685" t="str">
        <f t="shared" si="30"/>
        <v>Route RfC</v>
      </c>
      <c r="BE14" s="1684" t="str">
        <f t="shared" si="31"/>
        <v>--</v>
      </c>
      <c r="BF14" s="1685" t="str">
        <f t="shared" si="32"/>
        <v>--</v>
      </c>
      <c r="BG14" s="1686" t="str">
        <f t="shared" si="54"/>
        <v/>
      </c>
      <c r="BH14" s="1684">
        <f t="shared" si="33"/>
        <v>713.87600680014839</v>
      </c>
      <c r="BI14" s="1685">
        <f t="shared" si="34"/>
        <v>230</v>
      </c>
      <c r="BJ14" s="1688">
        <f t="shared" si="55"/>
        <v>0.67781519786476152</v>
      </c>
      <c r="BK14" s="1685">
        <f t="shared" si="56"/>
        <v>713.87600680014839</v>
      </c>
      <c r="BL14" s="1685">
        <f t="shared" si="57"/>
        <v>230</v>
      </c>
      <c r="BM14" s="1685">
        <f t="shared" si="35"/>
        <v>710</v>
      </c>
      <c r="BN14" s="1686">
        <f t="shared" si="58"/>
        <v>5.4295238433941205E-3</v>
      </c>
      <c r="BP14" s="1756" t="str">
        <f t="shared" si="59"/>
        <v/>
      </c>
      <c r="BQ14" s="1685" t="str">
        <f t="shared" si="36"/>
        <v>Route RfC</v>
      </c>
    </row>
    <row r="15" spans="1:69">
      <c r="A15" t="s">
        <v>103</v>
      </c>
      <c r="B15" t="s">
        <v>104</v>
      </c>
      <c r="C15" s="1684">
        <f t="shared" si="37"/>
        <v>38.755453401329738</v>
      </c>
      <c r="D15" s="1685" t="str">
        <f t="shared" si="0"/>
        <v/>
      </c>
      <c r="E15" s="1686" t="str">
        <f t="shared" ref="E15:E80" si="62">IF(D15="","",IF(C15=D15,"",(C15-D15)/C15))</f>
        <v/>
      </c>
      <c r="F15" s="1684">
        <f t="shared" si="2"/>
        <v>1264.2735911142927</v>
      </c>
      <c r="G15" s="1685" t="str">
        <f t="shared" si="3"/>
        <v/>
      </c>
      <c r="H15" s="1688" t="str">
        <f t="shared" si="38"/>
        <v/>
      </c>
      <c r="I15" s="1685">
        <f t="shared" si="4"/>
        <v>38.755453401329738</v>
      </c>
      <c r="J15" s="1685" t="str">
        <f t="shared" si="39"/>
        <v/>
      </c>
      <c r="K15" s="1685">
        <f t="shared" si="5"/>
        <v>39</v>
      </c>
      <c r="L15" s="1686">
        <f t="shared" si="40"/>
        <v>-6.309991941982309E-3</v>
      </c>
      <c r="M15" s="1684">
        <f t="shared" si="6"/>
        <v>164.12866633177768</v>
      </c>
      <c r="N15" s="1685">
        <f t="shared" si="7"/>
        <v>140</v>
      </c>
      <c r="O15" s="1689">
        <f t="shared" si="8"/>
        <v>0.14701067687348912</v>
      </c>
      <c r="P15" s="1684">
        <f t="shared" si="9"/>
        <v>16413.254264916668</v>
      </c>
      <c r="Q15" s="1685">
        <f t="shared" si="10"/>
        <v>14000</v>
      </c>
      <c r="R15" s="1690">
        <f t="shared" si="60"/>
        <v>0.14703082191780817</v>
      </c>
      <c r="S15" s="1685">
        <f t="shared" si="41"/>
        <v>164.12866633177768</v>
      </c>
      <c r="T15" s="1685">
        <f t="shared" si="42"/>
        <v>140</v>
      </c>
      <c r="U15" s="1685">
        <f t="shared" si="11"/>
        <v>160</v>
      </c>
      <c r="V15" s="1686">
        <f t="shared" si="61"/>
        <v>2.5155059283987556E-2</v>
      </c>
      <c r="W15" s="1756" t="str">
        <f t="shared" si="43"/>
        <v/>
      </c>
      <c r="X15" s="1685" t="str">
        <f t="shared" si="12"/>
        <v>--</v>
      </c>
      <c r="Z15" t="str">
        <f t="shared" si="13"/>
        <v>--</v>
      </c>
      <c r="AA15" t="str">
        <f t="shared" si="14"/>
        <v>--</v>
      </c>
      <c r="AB15" t="str">
        <f t="shared" si="15"/>
        <v>--</v>
      </c>
      <c r="AC15" t="str">
        <f t="shared" si="16"/>
        <v>--</v>
      </c>
      <c r="AF15" s="1684" t="str">
        <f t="shared" si="17"/>
        <v>--</v>
      </c>
      <c r="AG15" s="1685" t="str">
        <f t="shared" si="18"/>
        <v/>
      </c>
      <c r="AH15" s="1686" t="str">
        <f t="shared" si="44"/>
        <v/>
      </c>
      <c r="AI15" s="1684" t="str">
        <f t="shared" si="19"/>
        <v>--</v>
      </c>
      <c r="AJ15" s="1685" t="str">
        <f t="shared" si="20"/>
        <v/>
      </c>
      <c r="AK15" s="1688" t="str">
        <f t="shared" si="45"/>
        <v/>
      </c>
      <c r="AL15" s="1685">
        <f t="shared" si="46"/>
        <v>0</v>
      </c>
      <c r="AM15" s="1685" t="str">
        <f t="shared" si="47"/>
        <v/>
      </c>
      <c r="AN15" s="1685">
        <f t="shared" si="21"/>
        <v>1.2</v>
      </c>
      <c r="AO15" s="1686" t="e">
        <f t="shared" si="48"/>
        <v>#DIV/0!</v>
      </c>
      <c r="AP15" s="1684" t="str">
        <f t="shared" si="22"/>
        <v>--</v>
      </c>
      <c r="AQ15" s="1685" t="str">
        <f t="shared" si="23"/>
        <v/>
      </c>
      <c r="AR15" s="1686" t="str">
        <f t="shared" si="49"/>
        <v/>
      </c>
      <c r="AS15" s="1684" t="str">
        <f t="shared" si="25"/>
        <v>--</v>
      </c>
      <c r="AT15" s="1685" t="str">
        <f t="shared" si="26"/>
        <v/>
      </c>
      <c r="AU15" s="1688" t="str">
        <f t="shared" si="50"/>
        <v/>
      </c>
      <c r="AV15" s="1685">
        <f t="shared" si="51"/>
        <v>0</v>
      </c>
      <c r="AW15" s="1685" t="str">
        <f t="shared" si="52"/>
        <v/>
      </c>
      <c r="AX15" s="1685">
        <f t="shared" si="27"/>
        <v>5.0999999999999996</v>
      </c>
      <c r="AY15" s="1686" t="e">
        <f t="shared" si="53"/>
        <v>#DIV/0!</v>
      </c>
      <c r="BA15" s="1756" t="str">
        <f t="shared" si="28"/>
        <v/>
      </c>
      <c r="BB15" s="1685" t="str">
        <f t="shared" si="29"/>
        <v>--</v>
      </c>
      <c r="BC15" s="1685" t="str">
        <f t="shared" si="30"/>
        <v>--</v>
      </c>
      <c r="BE15" s="1684">
        <f t="shared" si="31"/>
        <v>5.5648726940082334</v>
      </c>
      <c r="BF15" s="1685" t="str">
        <f t="shared" si="32"/>
        <v/>
      </c>
      <c r="BG15" s="1686" t="str">
        <f t="shared" si="54"/>
        <v/>
      </c>
      <c r="BH15" s="1684">
        <f t="shared" si="33"/>
        <v>401.09890109890108</v>
      </c>
      <c r="BI15" s="1685" t="str">
        <f t="shared" si="34"/>
        <v/>
      </c>
      <c r="BJ15" s="1688" t="str">
        <f t="shared" si="55"/>
        <v/>
      </c>
      <c r="BK15" s="1685">
        <f t="shared" si="56"/>
        <v>5.5648726940082334</v>
      </c>
      <c r="BL15" s="1685" t="str">
        <f t="shared" si="57"/>
        <v/>
      </c>
      <c r="BM15" s="1685">
        <f t="shared" si="35"/>
        <v>5.6</v>
      </c>
      <c r="BN15" s="1686">
        <f t="shared" si="58"/>
        <v>-6.3123287671231505E-3</v>
      </c>
      <c r="BP15" s="1756" t="str">
        <f t="shared" si="59"/>
        <v/>
      </c>
      <c r="BQ15" s="1685" t="str">
        <f t="shared" si="36"/>
        <v>--</v>
      </c>
    </row>
    <row r="16" spans="1:69">
      <c r="A16" t="s">
        <v>105</v>
      </c>
      <c r="B16" t="s">
        <v>106</v>
      </c>
      <c r="C16" s="1684" t="str">
        <f t="shared" si="37"/>
        <v>--</v>
      </c>
      <c r="D16" s="1685" t="str">
        <f t="shared" si="0"/>
        <v/>
      </c>
      <c r="E16" s="1686" t="str">
        <f t="shared" si="62"/>
        <v/>
      </c>
      <c r="F16" s="1684">
        <f t="shared" si="2"/>
        <v>15634.235321907563</v>
      </c>
      <c r="G16" s="1685" t="str">
        <f t="shared" si="3"/>
        <v/>
      </c>
      <c r="H16" s="1688" t="str">
        <f t="shared" si="38"/>
        <v/>
      </c>
      <c r="I16" s="1685">
        <f t="shared" si="4"/>
        <v>15634.235321907563</v>
      </c>
      <c r="J16" s="1685" t="str">
        <f t="shared" si="39"/>
        <v/>
      </c>
      <c r="K16" s="1685">
        <f t="shared" si="5"/>
        <v>16000</v>
      </c>
      <c r="L16" s="1686">
        <f t="shared" si="40"/>
        <v>-2.3395111469245129E-2</v>
      </c>
      <c r="M16" s="1684" t="str">
        <f t="shared" si="6"/>
        <v>--</v>
      </c>
      <c r="N16" s="1685" t="str">
        <f t="shared" si="7"/>
        <v/>
      </c>
      <c r="O16" s="1686" t="str">
        <f t="shared" si="8"/>
        <v/>
      </c>
      <c r="P16" s="1684">
        <f t="shared" si="9"/>
        <v>233142.85714285716</v>
      </c>
      <c r="Q16" s="1685" t="str">
        <f t="shared" si="10"/>
        <v/>
      </c>
      <c r="R16" s="1688" t="str">
        <f t="shared" si="60"/>
        <v/>
      </c>
      <c r="S16" s="1685">
        <f t="shared" si="41"/>
        <v>233142.85714285716</v>
      </c>
      <c r="T16" s="1685" t="str">
        <f t="shared" si="42"/>
        <v/>
      </c>
      <c r="U16" s="1685">
        <f t="shared" si="11"/>
        <v>230000</v>
      </c>
      <c r="V16" s="1686">
        <f t="shared" si="61"/>
        <v>1.3480392156862815E-2</v>
      </c>
      <c r="W16" s="1756" t="str">
        <f t="shared" si="43"/>
        <v/>
      </c>
      <c r="X16" s="1685" t="str">
        <f t="shared" si="12"/>
        <v>--</v>
      </c>
      <c r="Z16" t="str">
        <f t="shared" si="13"/>
        <v>--</v>
      </c>
      <c r="AA16" t="str">
        <f t="shared" si="14"/>
        <v>--</v>
      </c>
      <c r="AB16" t="str">
        <f t="shared" si="15"/>
        <v>--</v>
      </c>
      <c r="AC16" t="str">
        <f t="shared" si="16"/>
        <v>--</v>
      </c>
      <c r="AF16" s="1684" t="str">
        <f t="shared" si="17"/>
        <v>--</v>
      </c>
      <c r="AG16" s="1685" t="str">
        <f t="shared" si="18"/>
        <v/>
      </c>
      <c r="AH16" s="1686" t="str">
        <f t="shared" si="44"/>
        <v/>
      </c>
      <c r="AI16" s="1684" t="str">
        <f t="shared" si="19"/>
        <v>--</v>
      </c>
      <c r="AJ16" s="1685" t="str">
        <f t="shared" si="20"/>
        <v/>
      </c>
      <c r="AK16" s="1688" t="str">
        <f t="shared" si="45"/>
        <v/>
      </c>
      <c r="AL16" s="1685">
        <f t="shared" si="46"/>
        <v>0</v>
      </c>
      <c r="AM16" s="1685" t="str">
        <f t="shared" si="47"/>
        <v/>
      </c>
      <c r="AN16" s="1685">
        <f t="shared" si="21"/>
        <v>21</v>
      </c>
      <c r="AO16" s="1686" t="e">
        <f t="shared" si="48"/>
        <v>#DIV/0!</v>
      </c>
      <c r="AP16" s="1684" t="str">
        <f t="shared" si="22"/>
        <v>--</v>
      </c>
      <c r="AQ16" s="1685" t="str">
        <f t="shared" si="23"/>
        <v/>
      </c>
      <c r="AR16" s="1686" t="str">
        <f t="shared" si="49"/>
        <v/>
      </c>
      <c r="AS16" s="1684" t="str">
        <f t="shared" si="25"/>
        <v>--</v>
      </c>
      <c r="AT16" s="1685" t="str">
        <f t="shared" si="26"/>
        <v/>
      </c>
      <c r="AU16" s="1688" t="str">
        <f t="shared" si="50"/>
        <v/>
      </c>
      <c r="AV16" s="1685">
        <f t="shared" si="51"/>
        <v>0</v>
      </c>
      <c r="AW16" s="1685" t="str">
        <f t="shared" si="52"/>
        <v/>
      </c>
      <c r="AX16" s="1685">
        <f t="shared" si="27"/>
        <v>88</v>
      </c>
      <c r="AY16" s="1686" t="e">
        <f t="shared" si="53"/>
        <v>#DIV/0!</v>
      </c>
      <c r="BA16" s="1756" t="str">
        <f t="shared" si="28"/>
        <v/>
      </c>
      <c r="BB16" s="1685" t="str">
        <f t="shared" si="29"/>
        <v>--</v>
      </c>
      <c r="BC16" s="1685" t="str">
        <f t="shared" si="30"/>
        <v>--</v>
      </c>
      <c r="BE16" s="1684" t="str">
        <f t="shared" si="31"/>
        <v>--</v>
      </c>
      <c r="BF16" s="1685" t="str">
        <f t="shared" si="32"/>
        <v/>
      </c>
      <c r="BG16" s="1686" t="str">
        <f t="shared" si="54"/>
        <v/>
      </c>
      <c r="BH16" s="1684">
        <f t="shared" si="33"/>
        <v>3993.3919756562832</v>
      </c>
      <c r="BI16" s="1685" t="str">
        <f t="shared" si="34"/>
        <v/>
      </c>
      <c r="BJ16" s="1688" t="str">
        <f t="shared" si="55"/>
        <v/>
      </c>
      <c r="BK16" s="1685">
        <f t="shared" si="56"/>
        <v>3993.3919756562832</v>
      </c>
      <c r="BL16" s="1685" t="str">
        <f t="shared" si="57"/>
        <v/>
      </c>
      <c r="BM16" s="1685">
        <f t="shared" si="35"/>
        <v>4000</v>
      </c>
      <c r="BN16" s="1686">
        <f t="shared" si="58"/>
        <v>-1.6547397260272274E-3</v>
      </c>
      <c r="BP16" s="1756" t="str">
        <f t="shared" si="59"/>
        <v/>
      </c>
      <c r="BQ16" s="1685" t="str">
        <f t="shared" si="36"/>
        <v>--</v>
      </c>
    </row>
    <row r="17" spans="1:69" ht="15">
      <c r="A17" t="s">
        <v>107</v>
      </c>
      <c r="B17" t="s">
        <v>108</v>
      </c>
      <c r="C17" s="1684">
        <f t="shared" si="37"/>
        <v>0.29313407669460356</v>
      </c>
      <c r="D17" s="1685" t="str">
        <f t="shared" si="0"/>
        <v/>
      </c>
      <c r="E17" s="1686" t="str">
        <f t="shared" si="62"/>
        <v/>
      </c>
      <c r="F17" s="1684">
        <f t="shared" si="2"/>
        <v>625.71428571428567</v>
      </c>
      <c r="G17" s="1685">
        <f t="shared" si="3"/>
        <v>110</v>
      </c>
      <c r="H17" s="1693">
        <f t="shared" si="38"/>
        <v>0.82420091324200917</v>
      </c>
      <c r="I17" s="1685">
        <f t="shared" si="4"/>
        <v>0.29313407669460356</v>
      </c>
      <c r="J17" s="1685">
        <f t="shared" si="39"/>
        <v>110</v>
      </c>
      <c r="K17" s="1685">
        <f t="shared" si="5"/>
        <v>0.28999999999999998</v>
      </c>
      <c r="L17" s="1686">
        <f t="shared" si="40"/>
        <v>1.0691615010931545E-2</v>
      </c>
      <c r="M17" s="1684">
        <f t="shared" si="6"/>
        <v>1.2584881352220267</v>
      </c>
      <c r="N17" s="1685" t="str">
        <f t="shared" si="7"/>
        <v/>
      </c>
      <c r="O17" s="1686" t="str">
        <f t="shared" si="8"/>
        <v/>
      </c>
      <c r="P17" s="1684">
        <f t="shared" si="9"/>
        <v>9344</v>
      </c>
      <c r="Q17" s="1685">
        <f t="shared" si="10"/>
        <v>530</v>
      </c>
      <c r="R17" s="1693">
        <f t="shared" si="60"/>
        <v>0.94327910958904104</v>
      </c>
      <c r="S17" s="1685">
        <f t="shared" si="41"/>
        <v>1.2584881352220267</v>
      </c>
      <c r="T17" s="1685">
        <f t="shared" si="42"/>
        <v>530</v>
      </c>
      <c r="U17" s="1685">
        <f t="shared" si="11"/>
        <v>1.3</v>
      </c>
      <c r="V17" s="1686">
        <f t="shared" si="61"/>
        <v>-3.2985503491178833E-2</v>
      </c>
      <c r="W17" s="1756" t="str">
        <f t="shared" si="43"/>
        <v/>
      </c>
      <c r="X17" s="1685" t="str">
        <f t="shared" si="12"/>
        <v>Route RfC</v>
      </c>
      <c r="Z17" t="str">
        <f t="shared" si="13"/>
        <v>--</v>
      </c>
      <c r="AA17" t="str">
        <f t="shared" si="14"/>
        <v>--</v>
      </c>
      <c r="AB17" t="str">
        <f t="shared" si="15"/>
        <v>--</v>
      </c>
      <c r="AC17" t="str">
        <f t="shared" si="16"/>
        <v>--</v>
      </c>
      <c r="AF17" s="1684">
        <f t="shared" si="17"/>
        <v>7.5883575883575874E-2</v>
      </c>
      <c r="AG17" s="1685" t="str">
        <f t="shared" si="18"/>
        <v/>
      </c>
      <c r="AH17" s="1686" t="str">
        <f t="shared" si="44"/>
        <v/>
      </c>
      <c r="AI17" s="1684" t="str">
        <f t="shared" si="19"/>
        <v>--</v>
      </c>
      <c r="AJ17" s="1685">
        <f t="shared" si="20"/>
        <v>110</v>
      </c>
      <c r="AK17" s="1688" t="e">
        <f t="shared" si="45"/>
        <v>#VALUE!</v>
      </c>
      <c r="AL17" s="1685">
        <f t="shared" si="46"/>
        <v>7.5883575883575874E-2</v>
      </c>
      <c r="AM17" s="1685">
        <f t="shared" si="47"/>
        <v>110</v>
      </c>
      <c r="AN17" s="1685">
        <f t="shared" si="21"/>
        <v>7.5999999999999998E-2</v>
      </c>
      <c r="AO17" s="1686">
        <f t="shared" si="48"/>
        <v>-1.5342465753425685E-3</v>
      </c>
      <c r="AP17" s="1684">
        <f t="shared" si="22"/>
        <v>0.33145945945945937</v>
      </c>
      <c r="AQ17" s="1685" t="str">
        <f t="shared" si="23"/>
        <v/>
      </c>
      <c r="AR17" s="1686" t="str">
        <f t="shared" si="49"/>
        <v/>
      </c>
      <c r="AS17" s="1684" t="str">
        <f t="shared" si="25"/>
        <v>--</v>
      </c>
      <c r="AT17" s="1685">
        <f t="shared" si="26"/>
        <v>140</v>
      </c>
      <c r="AU17" s="1688" t="e">
        <f t="shared" si="50"/>
        <v>#VALUE!</v>
      </c>
      <c r="AV17" s="1685">
        <f t="shared" si="51"/>
        <v>0.33145945945945937</v>
      </c>
      <c r="AW17" s="1685">
        <f t="shared" si="52"/>
        <v>140</v>
      </c>
      <c r="AX17" s="1685">
        <f t="shared" si="27"/>
        <v>0.33</v>
      </c>
      <c r="AY17" s="1686">
        <f t="shared" si="53"/>
        <v>4.403131115459571E-3</v>
      </c>
      <c r="BA17" s="1756" t="str">
        <f t="shared" si="28"/>
        <v/>
      </c>
      <c r="BB17" s="1685" t="str">
        <f t="shared" si="29"/>
        <v>V</v>
      </c>
      <c r="BC17" s="1685" t="str">
        <f t="shared" si="30"/>
        <v>Route RfC</v>
      </c>
      <c r="BE17" s="1684">
        <f t="shared" si="31"/>
        <v>0.13443377109728602</v>
      </c>
      <c r="BF17" s="1685" t="str">
        <f t="shared" si="32"/>
        <v/>
      </c>
      <c r="BG17" s="1686" t="str">
        <f t="shared" si="54"/>
        <v/>
      </c>
      <c r="BH17" s="1684">
        <f t="shared" si="33"/>
        <v>151.05445134322525</v>
      </c>
      <c r="BI17" s="1685">
        <f t="shared" si="34"/>
        <v>46</v>
      </c>
      <c r="BJ17" s="1688">
        <f t="shared" si="55"/>
        <v>0.69547405196634027</v>
      </c>
      <c r="BK17" s="1685">
        <f t="shared" si="56"/>
        <v>0.13443377109728602</v>
      </c>
      <c r="BL17" s="1685">
        <f t="shared" si="57"/>
        <v>46</v>
      </c>
      <c r="BM17" s="1685">
        <f t="shared" si="35"/>
        <v>0.13</v>
      </c>
      <c r="BN17" s="1686">
        <f t="shared" si="58"/>
        <v>3.2981081026711788E-2</v>
      </c>
      <c r="BP17" s="1756" t="str">
        <f t="shared" si="59"/>
        <v/>
      </c>
      <c r="BQ17" s="1685" t="str">
        <f t="shared" si="36"/>
        <v>Route RfC</v>
      </c>
    </row>
    <row r="18" spans="1:69" ht="15">
      <c r="A18" t="s">
        <v>109</v>
      </c>
      <c r="B18" t="s">
        <v>110</v>
      </c>
      <c r="C18" s="1684">
        <f t="shared" si="37"/>
        <v>19.325719293075327</v>
      </c>
      <c r="D18" s="1685" t="str">
        <f t="shared" si="0"/>
        <v/>
      </c>
      <c r="E18" s="1686" t="str">
        <f t="shared" si="62"/>
        <v/>
      </c>
      <c r="F18" s="1684">
        <f t="shared" si="2"/>
        <v>1564.2857142857142</v>
      </c>
      <c r="G18" s="1685">
        <f t="shared" si="3"/>
        <v>530</v>
      </c>
      <c r="H18" s="1693">
        <f t="shared" si="38"/>
        <v>0.66118721461187213</v>
      </c>
      <c r="I18" s="1685">
        <f t="shared" si="4"/>
        <v>19.325719293075327</v>
      </c>
      <c r="J18" s="1685">
        <f t="shared" si="39"/>
        <v>530</v>
      </c>
      <c r="K18" s="1685">
        <f t="shared" si="5"/>
        <v>19</v>
      </c>
      <c r="L18" s="1686">
        <f t="shared" si="40"/>
        <v>1.6854187320832954E-2</v>
      </c>
      <c r="M18" s="1684">
        <f t="shared" si="6"/>
        <v>84.434222035761309</v>
      </c>
      <c r="N18" s="1685" t="str">
        <f t="shared" si="7"/>
        <v/>
      </c>
      <c r="O18" s="1686" t="str">
        <f t="shared" si="8"/>
        <v/>
      </c>
      <c r="P18" s="1684">
        <f t="shared" si="9"/>
        <v>23360</v>
      </c>
      <c r="Q18" s="1685">
        <f t="shared" si="10"/>
        <v>3000</v>
      </c>
      <c r="R18" s="1693">
        <f t="shared" si="60"/>
        <v>0.87157534246575341</v>
      </c>
      <c r="S18" s="1685">
        <f t="shared" si="41"/>
        <v>84.434222035761309</v>
      </c>
      <c r="T18" s="1685">
        <f t="shared" si="42"/>
        <v>3000</v>
      </c>
      <c r="U18" s="1685">
        <f t="shared" si="11"/>
        <v>86</v>
      </c>
      <c r="V18" s="1686">
        <f t="shared" si="61"/>
        <v>-1.8544352354848737E-2</v>
      </c>
      <c r="W18" s="1756" t="str">
        <f t="shared" si="43"/>
        <v/>
      </c>
      <c r="X18" s="1685" t="str">
        <f t="shared" si="12"/>
        <v>Route RfC</v>
      </c>
      <c r="Z18" t="str">
        <f t="shared" si="13"/>
        <v>--</v>
      </c>
      <c r="AA18" t="str">
        <f t="shared" si="14"/>
        <v>--</v>
      </c>
      <c r="AB18" t="str">
        <f t="shared" si="15"/>
        <v>--</v>
      </c>
      <c r="AC18" t="str">
        <f t="shared" si="16"/>
        <v>--</v>
      </c>
      <c r="AF18" s="1684">
        <f t="shared" si="17"/>
        <v>2.5524475524475521</v>
      </c>
      <c r="AG18" s="1685" t="str">
        <f t="shared" si="18"/>
        <v/>
      </c>
      <c r="AH18" s="1686" t="str">
        <f t="shared" si="44"/>
        <v/>
      </c>
      <c r="AI18" s="1684" t="str">
        <f t="shared" si="19"/>
        <v>--</v>
      </c>
      <c r="AJ18" s="1685">
        <f t="shared" si="20"/>
        <v>530</v>
      </c>
      <c r="AK18" s="1688" t="e">
        <f t="shared" si="45"/>
        <v>#VALUE!</v>
      </c>
      <c r="AL18" s="1685">
        <f t="shared" si="46"/>
        <v>2.5524475524475521</v>
      </c>
      <c r="AM18" s="1685">
        <f t="shared" si="47"/>
        <v>530</v>
      </c>
      <c r="AN18" s="1685">
        <f t="shared" si="21"/>
        <v>2.6</v>
      </c>
      <c r="AO18" s="1686">
        <f t="shared" si="48"/>
        <v>-1.863013698630156E-2</v>
      </c>
      <c r="AP18" s="1684">
        <f t="shared" si="22"/>
        <v>11.149090909090905</v>
      </c>
      <c r="AQ18" s="1685" t="str">
        <f t="shared" si="23"/>
        <v/>
      </c>
      <c r="AR18" s="1686" t="str">
        <f t="shared" si="49"/>
        <v/>
      </c>
      <c r="AS18" s="1684" t="str">
        <f t="shared" si="25"/>
        <v>--</v>
      </c>
      <c r="AT18" s="1685">
        <f t="shared" si="26"/>
        <v>350</v>
      </c>
      <c r="AU18" s="1688" t="e">
        <f t="shared" si="50"/>
        <v>#VALUE!</v>
      </c>
      <c r="AV18" s="1685">
        <f t="shared" si="51"/>
        <v>11.149090909090905</v>
      </c>
      <c r="AW18" s="1685">
        <f t="shared" si="52"/>
        <v>350</v>
      </c>
      <c r="AX18" s="1685">
        <f t="shared" si="27"/>
        <v>11</v>
      </c>
      <c r="AY18" s="1686">
        <f t="shared" si="53"/>
        <v>1.3372472276581499E-2</v>
      </c>
      <c r="BA18" s="1756" t="str">
        <f t="shared" si="28"/>
        <v/>
      </c>
      <c r="BB18" s="1685" t="str">
        <f t="shared" si="29"/>
        <v>V</v>
      </c>
      <c r="BC18" s="1685" t="str">
        <f t="shared" si="30"/>
        <v>Route RfC</v>
      </c>
      <c r="BE18" s="1684">
        <f t="shared" si="31"/>
        <v>3.2852080601873319</v>
      </c>
      <c r="BF18" s="1685" t="str">
        <f t="shared" si="32"/>
        <v/>
      </c>
      <c r="BG18" s="1686" t="str">
        <f t="shared" si="54"/>
        <v/>
      </c>
      <c r="BH18" s="1684">
        <f t="shared" si="33"/>
        <v>376.8214429008363</v>
      </c>
      <c r="BI18" s="1685">
        <f t="shared" si="34"/>
        <v>120</v>
      </c>
      <c r="BJ18" s="1688">
        <f t="shared" si="55"/>
        <v>0.68154678492757914</v>
      </c>
      <c r="BK18" s="1685">
        <f t="shared" si="56"/>
        <v>3.2852080601873319</v>
      </c>
      <c r="BL18" s="1685">
        <f t="shared" si="57"/>
        <v>120</v>
      </c>
      <c r="BM18" s="1685">
        <f t="shared" si="35"/>
        <v>3.3</v>
      </c>
      <c r="BN18" s="1686">
        <f t="shared" si="58"/>
        <v>-4.5025884332648416E-3</v>
      </c>
      <c r="BP18" s="1756" t="str">
        <f t="shared" si="59"/>
        <v/>
      </c>
      <c r="BQ18" s="1685" t="str">
        <f t="shared" si="36"/>
        <v>Route RfC</v>
      </c>
    </row>
    <row r="19" spans="1:69">
      <c r="A19" t="s">
        <v>111</v>
      </c>
      <c r="B19" t="s">
        <v>112</v>
      </c>
      <c r="C19" s="1684" t="str">
        <f t="shared" si="37"/>
        <v>--</v>
      </c>
      <c r="D19" s="1685" t="str">
        <f t="shared" si="0"/>
        <v/>
      </c>
      <c r="E19" s="1686" t="str">
        <f t="shared" si="62"/>
        <v/>
      </c>
      <c r="F19" s="1684">
        <f t="shared" si="2"/>
        <v>6.8358721225824537</v>
      </c>
      <c r="G19" s="1685" t="str">
        <f t="shared" si="3"/>
        <v/>
      </c>
      <c r="H19" s="1688" t="str">
        <f t="shared" si="38"/>
        <v/>
      </c>
      <c r="I19" s="1685">
        <f t="shared" si="4"/>
        <v>6.8358721225824537</v>
      </c>
      <c r="J19" s="1685" t="str">
        <f t="shared" si="39"/>
        <v/>
      </c>
      <c r="K19" s="1685">
        <f t="shared" si="5"/>
        <v>6.8</v>
      </c>
      <c r="L19" s="1686">
        <f t="shared" si="40"/>
        <v>5.2476292621024207E-3</v>
      </c>
      <c r="M19" s="1684" t="str">
        <f t="shared" si="6"/>
        <v>--</v>
      </c>
      <c r="N19" s="1685" t="str">
        <f t="shared" si="7"/>
        <v/>
      </c>
      <c r="O19" s="1686" t="str">
        <f t="shared" si="8"/>
        <v/>
      </c>
      <c r="P19" s="1684">
        <f t="shared" si="9"/>
        <v>29.48622737994976</v>
      </c>
      <c r="Q19" s="1685" t="str">
        <f t="shared" si="10"/>
        <v/>
      </c>
      <c r="R19" s="1688" t="str">
        <f t="shared" si="60"/>
        <v/>
      </c>
      <c r="S19" s="1685">
        <f t="shared" si="41"/>
        <v>29.48622737994976</v>
      </c>
      <c r="T19" s="1685" t="str">
        <f t="shared" si="42"/>
        <v/>
      </c>
      <c r="U19" s="1685">
        <f t="shared" si="11"/>
        <v>30</v>
      </c>
      <c r="V19" s="1686">
        <f t="shared" si="61"/>
        <v>-1.7424155807724606E-2</v>
      </c>
      <c r="W19" s="1756" t="str">
        <f t="shared" si="43"/>
        <v/>
      </c>
      <c r="X19" s="1685" t="str">
        <f t="shared" si="12"/>
        <v>--</v>
      </c>
      <c r="Z19" t="str">
        <f t="shared" si="13"/>
        <v>--</v>
      </c>
      <c r="AA19" t="str">
        <f t="shared" si="14"/>
        <v>--</v>
      </c>
      <c r="AB19" t="str">
        <f t="shared" si="15"/>
        <v>--</v>
      </c>
      <c r="AC19" t="str">
        <f t="shared" si="16"/>
        <v>--</v>
      </c>
      <c r="AF19" s="1684" t="str">
        <f t="shared" si="17"/>
        <v>--</v>
      </c>
      <c r="AG19" s="1685" t="str">
        <f t="shared" si="18"/>
        <v/>
      </c>
      <c r="AH19" s="1686" t="str">
        <f t="shared" si="44"/>
        <v/>
      </c>
      <c r="AI19" s="1684">
        <f t="shared" si="19"/>
        <v>5.2142857142857144</v>
      </c>
      <c r="AJ19" s="1685" t="str">
        <f t="shared" si="20"/>
        <v/>
      </c>
      <c r="AK19" s="1688" t="str">
        <f t="shared" si="45"/>
        <v/>
      </c>
      <c r="AL19" s="1685">
        <f t="shared" si="46"/>
        <v>5.2142857142857144</v>
      </c>
      <c r="AM19" s="1685" t="str">
        <f t="shared" si="47"/>
        <v/>
      </c>
      <c r="AN19" s="1685">
        <f t="shared" si="21"/>
        <v>5.2</v>
      </c>
      <c r="AO19" s="1686">
        <f t="shared" si="48"/>
        <v>2.7397260273972503E-3</v>
      </c>
      <c r="AP19" s="1684" t="str">
        <f t="shared" si="22"/>
        <v>--</v>
      </c>
      <c r="AQ19" s="1685" t="str">
        <f t="shared" si="23"/>
        <v/>
      </c>
      <c r="AR19" s="1686" t="str">
        <f t="shared" si="49"/>
        <v/>
      </c>
      <c r="AS19" s="1684">
        <f t="shared" si="25"/>
        <v>21.9</v>
      </c>
      <c r="AT19" s="1685" t="str">
        <f t="shared" si="26"/>
        <v/>
      </c>
      <c r="AU19" s="1688" t="str">
        <f t="shared" si="50"/>
        <v/>
      </c>
      <c r="AV19" s="1685">
        <f t="shared" si="51"/>
        <v>21.9</v>
      </c>
      <c r="AW19" s="1685" t="str">
        <f t="shared" si="52"/>
        <v/>
      </c>
      <c r="AX19" s="1685">
        <f t="shared" si="27"/>
        <v>22</v>
      </c>
      <c r="AY19" s="1686">
        <f t="shared" si="53"/>
        <v>-4.5662100456621653E-3</v>
      </c>
      <c r="BA19" s="1756" t="str">
        <f t="shared" si="28"/>
        <v/>
      </c>
      <c r="BB19" s="1685" t="str">
        <f t="shared" si="29"/>
        <v>V</v>
      </c>
      <c r="BC19" s="1685" t="str">
        <f t="shared" si="30"/>
        <v>--</v>
      </c>
      <c r="BE19" s="1684" t="str">
        <f t="shared" si="31"/>
        <v>--</v>
      </c>
      <c r="BF19" s="1685" t="str">
        <f t="shared" si="32"/>
        <v/>
      </c>
      <c r="BG19" s="1686" t="str">
        <f t="shared" si="54"/>
        <v/>
      </c>
      <c r="BH19" s="1684">
        <f t="shared" si="33"/>
        <v>7.5466281908805035</v>
      </c>
      <c r="BI19" s="1685" t="str">
        <f t="shared" si="34"/>
        <v/>
      </c>
      <c r="BJ19" s="1688" t="str">
        <f t="shared" si="55"/>
        <v/>
      </c>
      <c r="BK19" s="1685">
        <f t="shared" si="56"/>
        <v>7.5466281908805035</v>
      </c>
      <c r="BL19" s="1685" t="str">
        <f t="shared" si="57"/>
        <v/>
      </c>
      <c r="BM19" s="1685">
        <f t="shared" si="35"/>
        <v>7.5</v>
      </c>
      <c r="BN19" s="1686">
        <f t="shared" si="58"/>
        <v>6.1786787027417033E-3</v>
      </c>
      <c r="BP19" s="1756" t="str">
        <f t="shared" si="59"/>
        <v/>
      </c>
      <c r="BQ19" s="1685" t="str">
        <f t="shared" si="36"/>
        <v>--</v>
      </c>
    </row>
    <row r="20" spans="1:69">
      <c r="A20" t="s">
        <v>113</v>
      </c>
      <c r="B20" t="s">
        <v>114</v>
      </c>
      <c r="C20" s="1684">
        <f t="shared" si="37"/>
        <v>909.15750915750925</v>
      </c>
      <c r="D20" s="1760">
        <f t="shared" si="0"/>
        <v>910</v>
      </c>
      <c r="E20" s="1686">
        <f t="shared" si="62"/>
        <v>-9.2667203867838007E-4</v>
      </c>
      <c r="F20" s="1684">
        <f t="shared" si="2"/>
        <v>7.1397829897192109</v>
      </c>
      <c r="G20" s="1685" t="str">
        <f t="shared" si="3"/>
        <v/>
      </c>
      <c r="H20" s="1688" t="str">
        <f t="shared" si="38"/>
        <v/>
      </c>
      <c r="I20" s="1685">
        <f t="shared" si="4"/>
        <v>7.1397829897192109</v>
      </c>
      <c r="J20" s="1760">
        <f t="shared" si="39"/>
        <v>910</v>
      </c>
      <c r="K20" s="1685">
        <f t="shared" si="5"/>
        <v>7.1</v>
      </c>
      <c r="L20" s="1694">
        <f t="shared" si="40"/>
        <v>5.5720166532366548E-3</v>
      </c>
      <c r="M20" s="1684">
        <f t="shared" si="6"/>
        <v>3971.2000000000003</v>
      </c>
      <c r="N20" s="1760">
        <f t="shared" si="7"/>
        <v>4000</v>
      </c>
      <c r="O20" s="1686">
        <f t="shared" si="8"/>
        <v>-7.2522159548750317E-3</v>
      </c>
      <c r="P20" s="1684">
        <f t="shared" si="9"/>
        <v>99.721941050216969</v>
      </c>
      <c r="Q20" s="1685" t="str">
        <f t="shared" si="10"/>
        <v/>
      </c>
      <c r="R20" s="1688" t="str">
        <f t="shared" si="60"/>
        <v/>
      </c>
      <c r="S20" s="1685">
        <f t="shared" si="41"/>
        <v>99.721941050216969</v>
      </c>
      <c r="T20" s="1760">
        <f t="shared" si="42"/>
        <v>4000</v>
      </c>
      <c r="U20" s="1685">
        <f t="shared" si="11"/>
        <v>100</v>
      </c>
      <c r="V20" s="1694">
        <f t="shared" si="61"/>
        <v>-2.7883427343538014E-3</v>
      </c>
      <c r="W20" s="1756" t="str">
        <f t="shared" si="43"/>
        <v>*</v>
      </c>
      <c r="X20" s="1685" t="str">
        <f t="shared" si="12"/>
        <v>--</v>
      </c>
      <c r="Z20" t="str">
        <f t="shared" si="13"/>
        <v>--</v>
      </c>
      <c r="AA20" t="str">
        <f t="shared" si="14"/>
        <v>x</v>
      </c>
      <c r="AB20" t="str">
        <f t="shared" si="15"/>
        <v>--</v>
      </c>
      <c r="AC20" t="str">
        <f t="shared" si="16"/>
        <v>--</v>
      </c>
      <c r="AF20" s="1684" t="str">
        <f t="shared" si="17"/>
        <v>--</v>
      </c>
      <c r="AG20" s="1685">
        <f t="shared" si="18"/>
        <v>6.7000000000000002E-4</v>
      </c>
      <c r="AH20" s="1686" t="e">
        <f t="shared" si="44"/>
        <v>#VALUE!</v>
      </c>
      <c r="AI20" s="1684" t="str">
        <f t="shared" si="19"/>
        <v>--</v>
      </c>
      <c r="AJ20" s="1685" t="str">
        <f t="shared" si="20"/>
        <v/>
      </c>
      <c r="AK20" s="1688" t="str">
        <f t="shared" si="45"/>
        <v/>
      </c>
      <c r="AL20" s="1685">
        <f t="shared" si="46"/>
        <v>0</v>
      </c>
      <c r="AM20" s="1685">
        <f t="shared" si="47"/>
        <v>6.7000000000000002E-4</v>
      </c>
      <c r="AN20" s="1685">
        <f t="shared" si="21"/>
        <v>1.6000000000000001E-3</v>
      </c>
      <c r="AO20" s="1686" t="e">
        <f t="shared" si="48"/>
        <v>#DIV/0!</v>
      </c>
      <c r="AP20" s="1684" t="str">
        <f t="shared" si="22"/>
        <v>--</v>
      </c>
      <c r="AQ20" s="1685">
        <f t="shared" si="23"/>
        <v>2.8999999999999998E-3</v>
      </c>
      <c r="AR20" s="1686" t="e">
        <f t="shared" si="49"/>
        <v>#VALUE!</v>
      </c>
      <c r="AS20" s="1684" t="str">
        <f t="shared" si="25"/>
        <v>--</v>
      </c>
      <c r="AT20" s="1685" t="str">
        <f t="shared" si="26"/>
        <v/>
      </c>
      <c r="AU20" s="1688" t="str">
        <f t="shared" si="50"/>
        <v/>
      </c>
      <c r="AV20" s="1685">
        <f t="shared" si="51"/>
        <v>0</v>
      </c>
      <c r="AW20" s="1685">
        <f t="shared" si="52"/>
        <v>2.8999999999999998E-3</v>
      </c>
      <c r="AX20" s="1685">
        <f t="shared" si="27"/>
        <v>6.7999999999999996E-3</v>
      </c>
      <c r="AY20" s="1686" t="e">
        <f t="shared" si="53"/>
        <v>#DIV/0!</v>
      </c>
      <c r="BA20" s="1756" t="str">
        <f t="shared" si="28"/>
        <v>*</v>
      </c>
      <c r="BB20" s="1685" t="str">
        <f t="shared" si="29"/>
        <v>--</v>
      </c>
      <c r="BC20" s="1685" t="str">
        <f t="shared" si="30"/>
        <v>--</v>
      </c>
      <c r="BE20" s="1684" t="e">
        <f t="shared" si="31"/>
        <v>#N/A</v>
      </c>
      <c r="BF20" s="1685" t="str">
        <f t="shared" si="32"/>
        <v>--</v>
      </c>
      <c r="BG20" s="1686" t="e">
        <f>IF(BF20="","",IF(BE20=BF20,"",(BE20-BF20)/BE20))</f>
        <v>#N/A</v>
      </c>
      <c r="BH20" s="1684" t="e">
        <f t="shared" si="33"/>
        <v>#N/A</v>
      </c>
      <c r="BI20" s="1685">
        <f>IF(VLOOKUP($A20,Table_N3,MATCH("W-NC",Heading_N3,0),FALSE)=0,"",VLOOKUP($A20,Table_N3,MATCH("W-NC",Heading_N3,0),FALSE))</f>
        <v>2</v>
      </c>
      <c r="BJ20" s="1688" t="e">
        <f t="shared" si="55"/>
        <v>#N/A</v>
      </c>
      <c r="BK20" s="1685" t="e">
        <f t="shared" si="56"/>
        <v>#N/A</v>
      </c>
      <c r="BL20" s="1685">
        <f>IF(AND(BF20="",BI20=""),"",MIN(BI20,BF20))</f>
        <v>2</v>
      </c>
      <c r="BM20" s="1685" t="str">
        <f t="shared" si="35"/>
        <v>--</v>
      </c>
      <c r="BN20" s="1686" t="e">
        <f t="shared" si="58"/>
        <v>#N/A</v>
      </c>
      <c r="BP20" s="1756" t="str">
        <f t="shared" si="59"/>
        <v>*</v>
      </c>
      <c r="BQ20" s="1685" t="str">
        <f t="shared" si="36"/>
        <v>--</v>
      </c>
    </row>
    <row r="21" spans="1:69">
      <c r="A21" t="s">
        <v>116</v>
      </c>
      <c r="B21" t="s">
        <v>114</v>
      </c>
      <c r="C21" s="1747"/>
      <c r="D21" s="1748"/>
      <c r="E21" s="1749"/>
      <c r="F21" s="1747"/>
      <c r="G21" s="1748"/>
      <c r="H21" s="1750"/>
      <c r="I21" s="1748"/>
      <c r="J21" s="1748"/>
      <c r="K21" s="1748"/>
      <c r="L21" s="1749"/>
      <c r="M21" s="1747"/>
      <c r="N21" s="1748"/>
      <c r="O21" s="1749"/>
      <c r="P21" s="1747"/>
      <c r="Q21" s="1748"/>
      <c r="R21" s="1750"/>
      <c r="S21" s="1748"/>
      <c r="T21" s="1748"/>
      <c r="U21" s="1748"/>
      <c r="V21" s="1749"/>
      <c r="W21" s="1756" t="str">
        <f t="shared" si="43"/>
        <v>*</v>
      </c>
      <c r="X21" s="1685" t="str">
        <f t="shared" si="12"/>
        <v>--</v>
      </c>
      <c r="Z21" t="str">
        <f t="shared" si="13"/>
        <v>--</v>
      </c>
      <c r="AA21" t="str">
        <f t="shared" si="14"/>
        <v>x</v>
      </c>
      <c r="AB21" t="str">
        <f t="shared" si="15"/>
        <v>--</v>
      </c>
      <c r="AC21" t="str">
        <f t="shared" si="16"/>
        <v>--</v>
      </c>
      <c r="AF21" s="1684" t="str">
        <f t="shared" si="17"/>
        <v>--</v>
      </c>
      <c r="AG21" s="1685" t="e">
        <f t="shared" si="18"/>
        <v>#N/A</v>
      </c>
      <c r="AH21" s="1686" t="e">
        <f t="shared" si="44"/>
        <v>#N/A</v>
      </c>
      <c r="AI21" s="1684" t="str">
        <f t="shared" si="19"/>
        <v>--</v>
      </c>
      <c r="AJ21" s="1685" t="e">
        <f t="shared" si="20"/>
        <v>#N/A</v>
      </c>
      <c r="AK21" s="1688" t="e">
        <f t="shared" si="45"/>
        <v>#N/A</v>
      </c>
      <c r="AL21" s="1685">
        <f t="shared" si="46"/>
        <v>0</v>
      </c>
      <c r="AM21" s="1685" t="e">
        <f t="shared" si="47"/>
        <v>#N/A</v>
      </c>
      <c r="AN21" s="1685">
        <f t="shared" si="21"/>
        <v>1.6000000000000001E-3</v>
      </c>
      <c r="AO21" s="1686" t="e">
        <f t="shared" si="48"/>
        <v>#DIV/0!</v>
      </c>
      <c r="AP21" s="1684" t="str">
        <f t="shared" si="22"/>
        <v>--</v>
      </c>
      <c r="AQ21" s="1685" t="e">
        <f t="shared" si="23"/>
        <v>#N/A</v>
      </c>
      <c r="AR21" s="1686" t="e">
        <f t="shared" si="49"/>
        <v>#N/A</v>
      </c>
      <c r="AS21" s="1684" t="str">
        <f t="shared" si="25"/>
        <v>--</v>
      </c>
      <c r="AT21" s="1685" t="e">
        <f t="shared" si="26"/>
        <v>#N/A</v>
      </c>
      <c r="AU21" s="1688" t="e">
        <f t="shared" si="50"/>
        <v>#N/A</v>
      </c>
      <c r="AV21" s="1685">
        <f t="shared" si="51"/>
        <v>0</v>
      </c>
      <c r="AW21" s="1685" t="e">
        <f t="shared" si="52"/>
        <v>#N/A</v>
      </c>
      <c r="AX21" s="1685">
        <f t="shared" si="27"/>
        <v>6.7999999999999996E-3</v>
      </c>
      <c r="AY21" s="1686" t="e">
        <f t="shared" si="53"/>
        <v>#DIV/0!</v>
      </c>
      <c r="BA21" s="1756" t="str">
        <f t="shared" si="28"/>
        <v>*</v>
      </c>
      <c r="BB21" s="1685" t="str">
        <f t="shared" si="29"/>
        <v>--</v>
      </c>
      <c r="BC21" s="1685" t="str">
        <f t="shared" si="30"/>
        <v>--</v>
      </c>
      <c r="BE21" s="1684" t="str">
        <f t="shared" si="31"/>
        <v>--</v>
      </c>
      <c r="BF21" s="1685" t="str">
        <f>BF20</f>
        <v>--</v>
      </c>
      <c r="BG21" s="1686" t="str">
        <f t="shared" si="54"/>
        <v/>
      </c>
      <c r="BH21" s="1684">
        <f t="shared" si="33"/>
        <v>1.7049732903088384</v>
      </c>
      <c r="BI21" s="1685">
        <f>BI20</f>
        <v>2</v>
      </c>
      <c r="BJ21" s="1688">
        <f t="shared" si="55"/>
        <v>-0.17303890410958905</v>
      </c>
      <c r="BK21" s="1691">
        <f t="shared" si="56"/>
        <v>1.7049732903088384</v>
      </c>
      <c r="BL21" s="1691">
        <f t="shared" si="57"/>
        <v>2</v>
      </c>
      <c r="BM21" s="1691">
        <v>1.8</v>
      </c>
      <c r="BN21" s="1686">
        <f t="shared" si="58"/>
        <v>-5.5735013698630174E-2</v>
      </c>
      <c r="BO21" s="727" t="s">
        <v>4198</v>
      </c>
      <c r="BP21" s="1756" t="str">
        <f t="shared" si="59"/>
        <v>*</v>
      </c>
      <c r="BQ21" s="1685" t="str">
        <f t="shared" si="36"/>
        <v>--</v>
      </c>
    </row>
    <row r="22" spans="1:69">
      <c r="A22" t="s">
        <v>117</v>
      </c>
      <c r="B22" t="s">
        <v>118</v>
      </c>
      <c r="C22" s="1684">
        <f t="shared" ref="C22:C54" si="63">VLOOKUP($A22,Table_S_Summary,MATCH("S-Res-C",heading_S_Summary,0),FALSE)</f>
        <v>0.65347096479372602</v>
      </c>
      <c r="D22" s="1685" t="str">
        <f t="shared" si="0"/>
        <v/>
      </c>
      <c r="E22" s="1686" t="str">
        <f t="shared" si="62"/>
        <v/>
      </c>
      <c r="F22" s="1684">
        <f t="shared" ref="F22:F54" si="64">VLOOKUP($A22,Table_S_Summary,MATCH("S-Res-nC",heading_S_Summary,0),FALSE)</f>
        <v>51.992395499685863</v>
      </c>
      <c r="G22" s="1760">
        <f t="shared" si="3"/>
        <v>52</v>
      </c>
      <c r="H22" s="1688">
        <f t="shared" si="38"/>
        <v>-1.4626178003633903E-4</v>
      </c>
      <c r="I22" s="1685">
        <f t="shared" si="4"/>
        <v>0.65347096479372602</v>
      </c>
      <c r="J22" s="1760">
        <f t="shared" si="39"/>
        <v>52</v>
      </c>
      <c r="K22" s="1685">
        <f t="shared" ref="K22:K54" si="65">VLOOKUP($B22,Table_RSL_SL,MATCH("Res-s",Heading_RSL_SL,0),FALSE)</f>
        <v>0.65</v>
      </c>
      <c r="L22" s="1686">
        <f t="shared" si="40"/>
        <v>5.3115822748477214E-3</v>
      </c>
      <c r="M22" s="1684">
        <f t="shared" ref="M22:M54" si="66">VLOOKUP($A22,Table_S_Summary,MATCH("S-Com-C",heading_S_Summary,0),FALSE)</f>
        <v>2.8155036454000664</v>
      </c>
      <c r="N22" s="1685" t="str">
        <f t="shared" si="7"/>
        <v/>
      </c>
      <c r="O22" s="1686" t="str">
        <f t="shared" si="8"/>
        <v/>
      </c>
      <c r="P22" s="1684">
        <f t="shared" ref="P22:P54" si="67">VLOOKUP($A22,Table_S_Summary,MATCH("S-Com-nC",heading_S_Summary,0),FALSE)</f>
        <v>243.42453785952171</v>
      </c>
      <c r="Q22" s="1760">
        <f t="shared" si="10"/>
        <v>250</v>
      </c>
      <c r="R22" s="1688">
        <f t="shared" si="60"/>
        <v>-2.7012322579710261E-2</v>
      </c>
      <c r="S22" s="1685">
        <f t="shared" si="41"/>
        <v>2.8155036454000664</v>
      </c>
      <c r="T22" s="1760">
        <f t="shared" si="42"/>
        <v>250</v>
      </c>
      <c r="U22" s="1685">
        <f t="shared" ref="U22:U54" si="68">VLOOKUP($B22,Table_RSL_SL,MATCH("Com-s",Heading_RSL_SL,0),FALSE)</f>
        <v>2.9</v>
      </c>
      <c r="V22" s="1686">
        <f t="shared" si="61"/>
        <v>-3.0011097566143306E-2</v>
      </c>
      <c r="W22" s="1756" t="str">
        <f t="shared" si="43"/>
        <v>*</v>
      </c>
      <c r="X22" s="1685" t="str">
        <f t="shared" si="12"/>
        <v>--</v>
      </c>
      <c r="Z22" t="str">
        <f t="shared" si="13"/>
        <v>--</v>
      </c>
      <c r="AA22" t="str">
        <f t="shared" si="14"/>
        <v>--</v>
      </c>
      <c r="AB22" t="str">
        <f t="shared" si="15"/>
        <v>--</v>
      </c>
      <c r="AC22" t="str">
        <f t="shared" si="16"/>
        <v>x</v>
      </c>
      <c r="AF22" s="1684">
        <f t="shared" si="17"/>
        <v>0.46794871794871784</v>
      </c>
      <c r="AG22" s="1685" t="str">
        <f t="shared" si="18"/>
        <v/>
      </c>
      <c r="AH22" s="1686" t="str">
        <f t="shared" si="44"/>
        <v/>
      </c>
      <c r="AI22" s="1684">
        <f t="shared" si="19"/>
        <v>41.714285714285715</v>
      </c>
      <c r="AJ22" s="1685">
        <f t="shared" si="20"/>
        <v>52</v>
      </c>
      <c r="AK22" s="1688">
        <f t="shared" si="45"/>
        <v>-0.24657534246575338</v>
      </c>
      <c r="AL22" s="1685">
        <f t="shared" si="46"/>
        <v>0.46794871794871784</v>
      </c>
      <c r="AM22" s="1685">
        <f t="shared" si="47"/>
        <v>52</v>
      </c>
      <c r="AN22" s="1685">
        <f t="shared" si="21"/>
        <v>0.47</v>
      </c>
      <c r="AO22" s="1686">
        <f t="shared" si="48"/>
        <v>-4.3835616438357913E-3</v>
      </c>
      <c r="AP22" s="1684">
        <f t="shared" si="22"/>
        <v>2.0439999999999996</v>
      </c>
      <c r="AQ22" s="1685" t="str">
        <f t="shared" si="23"/>
        <v/>
      </c>
      <c r="AR22" s="1686" t="str">
        <f t="shared" si="49"/>
        <v/>
      </c>
      <c r="AS22" s="1684">
        <f t="shared" si="25"/>
        <v>175.2</v>
      </c>
      <c r="AT22" s="1760">
        <f t="shared" si="26"/>
        <v>180</v>
      </c>
      <c r="AU22" s="1688">
        <f t="shared" si="50"/>
        <v>-2.7397260273972671E-2</v>
      </c>
      <c r="AV22" s="1685">
        <f t="shared" si="51"/>
        <v>2.0439999999999996</v>
      </c>
      <c r="AW22" s="1760">
        <f t="shared" si="52"/>
        <v>180</v>
      </c>
      <c r="AX22" s="1685">
        <f t="shared" si="27"/>
        <v>2</v>
      </c>
      <c r="AY22" s="1686">
        <f t="shared" si="53"/>
        <v>2.1526418786692564E-2</v>
      </c>
      <c r="BA22" s="1756" t="str">
        <f t="shared" si="28"/>
        <v>*</v>
      </c>
      <c r="BB22" s="1685" t="str">
        <f t="shared" si="29"/>
        <v>V</v>
      </c>
      <c r="BC22" s="1685" t="str">
        <f t="shared" si="30"/>
        <v>--</v>
      </c>
      <c r="BE22" s="1684">
        <f t="shared" si="31"/>
        <v>0.45502031864573761</v>
      </c>
      <c r="BF22" s="1685" t="str">
        <f t="shared" si="32"/>
        <v/>
      </c>
      <c r="BG22" s="1686" t="str">
        <f t="shared" si="54"/>
        <v/>
      </c>
      <c r="BH22" s="1684">
        <f t="shared" si="33"/>
        <v>36.501424748469837</v>
      </c>
      <c r="BI22" s="1760">
        <f t="shared" si="34"/>
        <v>37</v>
      </c>
      <c r="BJ22" s="1688">
        <f t="shared" si="55"/>
        <v>-1.3659062761682016E-2</v>
      </c>
      <c r="BK22" s="1685">
        <f t="shared" si="56"/>
        <v>0.45502031864573761</v>
      </c>
      <c r="BL22" s="1760">
        <f t="shared" si="57"/>
        <v>37</v>
      </c>
      <c r="BM22" s="1685">
        <f t="shared" ref="BM22:BM30" si="69">IF(VLOOKUP($B22,Table_RSL_SL,MATCH("tap",Heading_RSL_SL,0),FALSE)=0,"--",VLOOKUP($B22,Table_RSL_SL,MATCH("tap",Heading_RSL_SL,0),FALSE))</f>
        <v>0.46</v>
      </c>
      <c r="BN22" s="1686">
        <f t="shared" si="58"/>
        <v>-1.0943865911490012E-2</v>
      </c>
      <c r="BP22" s="1756" t="str">
        <f t="shared" si="59"/>
        <v>*</v>
      </c>
      <c r="BQ22" s="1685" t="str">
        <f t="shared" si="36"/>
        <v>--</v>
      </c>
    </row>
    <row r="23" spans="1:69">
      <c r="A23" t="s">
        <v>119</v>
      </c>
      <c r="B23" t="s">
        <v>120</v>
      </c>
      <c r="C23" s="1684">
        <f t="shared" si="63"/>
        <v>1.7140547436720035</v>
      </c>
      <c r="D23" s="1685" t="str">
        <f t="shared" si="0"/>
        <v/>
      </c>
      <c r="E23" s="1686" t="str">
        <f t="shared" si="62"/>
        <v/>
      </c>
      <c r="F23" s="1684">
        <f t="shared" si="64"/>
        <v>34.607509119023106</v>
      </c>
      <c r="G23" s="1685" t="str">
        <f t="shared" si="3"/>
        <v/>
      </c>
      <c r="H23" s="1688" t="str">
        <f t="shared" si="38"/>
        <v/>
      </c>
      <c r="I23" s="1685">
        <f t="shared" si="4"/>
        <v>1.7140547436720035</v>
      </c>
      <c r="J23" s="1685" t="str">
        <f t="shared" si="39"/>
        <v/>
      </c>
      <c r="K23" s="1685">
        <f t="shared" si="65"/>
        <v>1.7</v>
      </c>
      <c r="L23" s="1686">
        <f t="shared" si="40"/>
        <v>8.199705245057809E-3</v>
      </c>
      <c r="M23" s="1684">
        <f t="shared" si="66"/>
        <v>7.6577481486312768</v>
      </c>
      <c r="N23" s="1685" t="str">
        <f t="shared" si="7"/>
        <v/>
      </c>
      <c r="O23" s="1686" t="str">
        <f t="shared" si="8"/>
        <v/>
      </c>
      <c r="P23" s="1684">
        <f t="shared" si="67"/>
        <v>450.42226484539822</v>
      </c>
      <c r="Q23" s="1685" t="str">
        <f t="shared" si="10"/>
        <v/>
      </c>
      <c r="R23" s="1688" t="str">
        <f t="shared" si="60"/>
        <v/>
      </c>
      <c r="S23" s="1685">
        <f t="shared" si="41"/>
        <v>7.6577481486312768</v>
      </c>
      <c r="T23" s="1685" t="str">
        <f t="shared" si="42"/>
        <v/>
      </c>
      <c r="U23" s="1685">
        <f t="shared" si="68"/>
        <v>7.7</v>
      </c>
      <c r="V23" s="1686">
        <f t="shared" si="61"/>
        <v>-5.5175295071926995E-3</v>
      </c>
      <c r="W23" s="1756" t="str">
        <f t="shared" si="43"/>
        <v/>
      </c>
      <c r="X23" s="1685" t="str">
        <f t="shared" si="12"/>
        <v>--</v>
      </c>
      <c r="Z23" t="str">
        <f t="shared" si="13"/>
        <v>--</v>
      </c>
      <c r="AA23" t="str">
        <f t="shared" si="14"/>
        <v>--</v>
      </c>
      <c r="AB23" t="str">
        <f t="shared" si="15"/>
        <v>--</v>
      </c>
      <c r="AC23" t="str">
        <f t="shared" si="16"/>
        <v>--</v>
      </c>
      <c r="AF23" s="1684">
        <f t="shared" si="17"/>
        <v>2.8076923076923072E-2</v>
      </c>
      <c r="AG23" s="1685" t="str">
        <f t="shared" si="18"/>
        <v/>
      </c>
      <c r="AH23" s="1686" t="str">
        <f t="shared" si="44"/>
        <v/>
      </c>
      <c r="AI23" s="1684">
        <f t="shared" si="19"/>
        <v>0.73</v>
      </c>
      <c r="AJ23" s="1685" t="str">
        <f t="shared" si="20"/>
        <v/>
      </c>
      <c r="AK23" s="1688" t="str">
        <f t="shared" si="45"/>
        <v/>
      </c>
      <c r="AL23" s="1685">
        <f t="shared" si="46"/>
        <v>2.8076923076923072E-2</v>
      </c>
      <c r="AM23" s="1685" t="str">
        <f t="shared" si="47"/>
        <v/>
      </c>
      <c r="AN23" s="1685">
        <f t="shared" si="21"/>
        <v>2.8000000000000001E-2</v>
      </c>
      <c r="AO23" s="1686">
        <f t="shared" si="48"/>
        <v>2.7397260273970729E-3</v>
      </c>
      <c r="AP23" s="1684">
        <f t="shared" si="22"/>
        <v>0.12263999999999996</v>
      </c>
      <c r="AQ23" s="1685" t="str">
        <f t="shared" si="23"/>
        <v/>
      </c>
      <c r="AR23" s="1686" t="str">
        <f t="shared" si="49"/>
        <v/>
      </c>
      <c r="AS23" s="1684">
        <f t="shared" si="25"/>
        <v>3.0659999999999998</v>
      </c>
      <c r="AT23" s="1685" t="str">
        <f t="shared" si="26"/>
        <v/>
      </c>
      <c r="AU23" s="1688" t="str">
        <f t="shared" si="50"/>
        <v/>
      </c>
      <c r="AV23" s="1685">
        <f t="shared" si="51"/>
        <v>0.12263999999999996</v>
      </c>
      <c r="AW23" s="1685" t="str">
        <f t="shared" si="52"/>
        <v/>
      </c>
      <c r="AX23" s="1685">
        <f t="shared" si="27"/>
        <v>0.12</v>
      </c>
      <c r="AY23" s="1686">
        <f t="shared" si="53"/>
        <v>2.1526418786692456E-2</v>
      </c>
      <c r="BA23" s="1756" t="str">
        <f t="shared" si="28"/>
        <v/>
      </c>
      <c r="BB23" s="1685" t="str">
        <f t="shared" si="29"/>
        <v>V</v>
      </c>
      <c r="BC23" s="1685" t="str">
        <f t="shared" si="30"/>
        <v>--</v>
      </c>
      <c r="BE23" s="1684">
        <f t="shared" si="31"/>
        <v>2.0036636538101203E-2</v>
      </c>
      <c r="BF23" s="1685" t="str">
        <f t="shared" si="32"/>
        <v/>
      </c>
      <c r="BG23" s="1686" t="str">
        <f t="shared" si="54"/>
        <v/>
      </c>
      <c r="BH23" s="1684">
        <f t="shared" si="33"/>
        <v>0.74165587167721603</v>
      </c>
      <c r="BI23" s="1685" t="str">
        <f t="shared" si="34"/>
        <v/>
      </c>
      <c r="BJ23" s="1688" t="str">
        <f t="shared" si="55"/>
        <v/>
      </c>
      <c r="BK23" s="1685">
        <f t="shared" si="56"/>
        <v>2.0036636538101203E-2</v>
      </c>
      <c r="BL23" s="1685" t="str">
        <f t="shared" si="57"/>
        <v/>
      </c>
      <c r="BM23" s="1685">
        <f t="shared" si="69"/>
        <v>0.02</v>
      </c>
      <c r="BN23" s="1686">
        <f t="shared" si="58"/>
        <v>1.8284774508703049E-3</v>
      </c>
      <c r="BP23" s="1756" t="str">
        <f t="shared" si="59"/>
        <v/>
      </c>
      <c r="BQ23" s="1685" t="str">
        <f t="shared" si="36"/>
        <v>--</v>
      </c>
    </row>
    <row r="24" spans="1:69">
      <c r="A24" t="s">
        <v>121</v>
      </c>
      <c r="B24" t="s">
        <v>122</v>
      </c>
      <c r="C24" s="1684">
        <f t="shared" si="63"/>
        <v>2.7129478222090082</v>
      </c>
      <c r="D24" s="1685" t="str">
        <f t="shared" si="0"/>
        <v/>
      </c>
      <c r="E24" s="1686" t="str">
        <f t="shared" si="62"/>
        <v/>
      </c>
      <c r="F24" s="1684">
        <f t="shared" si="64"/>
        <v>31.606839777857317</v>
      </c>
      <c r="G24" s="1685" t="str">
        <f t="shared" si="3"/>
        <v/>
      </c>
      <c r="H24" s="1688" t="str">
        <f t="shared" si="38"/>
        <v/>
      </c>
      <c r="I24" s="1685">
        <f t="shared" si="4"/>
        <v>2.7129478222090082</v>
      </c>
      <c r="J24" s="1685" t="str">
        <f t="shared" si="39"/>
        <v/>
      </c>
      <c r="K24" s="1685">
        <f t="shared" si="65"/>
        <v>2.7</v>
      </c>
      <c r="L24" s="1686">
        <f t="shared" si="40"/>
        <v>4.7726027397258647E-3</v>
      </c>
      <c r="M24" s="1684">
        <f t="shared" si="66"/>
        <v>11.489277985441669</v>
      </c>
      <c r="N24" s="1685">
        <f t="shared" si="7"/>
        <v>9.5</v>
      </c>
      <c r="O24" s="1689">
        <f t="shared" si="8"/>
        <v>0.17314212328767128</v>
      </c>
      <c r="P24" s="1684">
        <f t="shared" si="67"/>
        <v>410.33135662291681</v>
      </c>
      <c r="Q24" s="1685">
        <f t="shared" si="10"/>
        <v>340</v>
      </c>
      <c r="R24" s="1690">
        <f t="shared" si="60"/>
        <v>0.17140136986301388</v>
      </c>
      <c r="S24" s="1685">
        <f t="shared" si="41"/>
        <v>11.489277985441669</v>
      </c>
      <c r="T24" s="1685">
        <f t="shared" si="42"/>
        <v>9.5</v>
      </c>
      <c r="U24" s="1685">
        <f t="shared" si="68"/>
        <v>11</v>
      </c>
      <c r="V24" s="1686">
        <f t="shared" si="61"/>
        <v>4.2585616438356233E-2</v>
      </c>
      <c r="W24" s="1756" t="str">
        <f t="shared" si="43"/>
        <v/>
      </c>
      <c r="X24" s="1685" t="str">
        <f t="shared" si="12"/>
        <v>--</v>
      </c>
      <c r="Z24" t="str">
        <f t="shared" si="13"/>
        <v>--</v>
      </c>
      <c r="AA24" t="str">
        <f t="shared" si="14"/>
        <v>--</v>
      </c>
      <c r="AB24" t="str">
        <f t="shared" si="15"/>
        <v>--</v>
      </c>
      <c r="AC24" t="str">
        <f t="shared" si="16"/>
        <v>--</v>
      </c>
      <c r="AF24" s="1684" t="str">
        <f t="shared" si="17"/>
        <v>--</v>
      </c>
      <c r="AG24" s="1685" t="str">
        <f t="shared" si="18"/>
        <v/>
      </c>
      <c r="AH24" s="1686" t="str">
        <f t="shared" si="44"/>
        <v/>
      </c>
      <c r="AI24" s="1684" t="str">
        <f t="shared" si="19"/>
        <v>--</v>
      </c>
      <c r="AJ24" s="1685" t="str">
        <f t="shared" si="20"/>
        <v/>
      </c>
      <c r="AK24" s="1688" t="str">
        <f t="shared" si="45"/>
        <v/>
      </c>
      <c r="AL24" s="1685">
        <f t="shared" si="46"/>
        <v>0</v>
      </c>
      <c r="AM24" s="1685" t="str">
        <f t="shared" si="47"/>
        <v/>
      </c>
      <c r="AN24" s="1685" t="str">
        <f t="shared" si="21"/>
        <v>--</v>
      </c>
      <c r="AO24" s="1686" t="str">
        <f t="shared" si="48"/>
        <v>N</v>
      </c>
      <c r="AP24" s="1684" t="str">
        <f t="shared" si="22"/>
        <v>--</v>
      </c>
      <c r="AQ24" s="1685" t="str">
        <f t="shared" si="23"/>
        <v/>
      </c>
      <c r="AR24" s="1686" t="str">
        <f t="shared" si="49"/>
        <v/>
      </c>
      <c r="AS24" s="1684" t="str">
        <f t="shared" si="25"/>
        <v>--</v>
      </c>
      <c r="AT24" s="1685" t="str">
        <f t="shared" si="26"/>
        <v/>
      </c>
      <c r="AU24" s="1688" t="str">
        <f t="shared" si="50"/>
        <v/>
      </c>
      <c r="AV24" s="1685">
        <f t="shared" si="51"/>
        <v>0</v>
      </c>
      <c r="AW24" s="1685" t="str">
        <f t="shared" si="52"/>
        <v/>
      </c>
      <c r="AX24" s="1685" t="str">
        <f t="shared" si="27"/>
        <v>--</v>
      </c>
      <c r="AY24" s="1686" t="str">
        <f t="shared" si="53"/>
        <v>N</v>
      </c>
      <c r="BA24" s="1756" t="str">
        <f t="shared" si="28"/>
        <v/>
      </c>
      <c r="BB24" s="1685" t="str">
        <f t="shared" si="29"/>
        <v>--</v>
      </c>
      <c r="BC24" s="1685" t="str">
        <f t="shared" si="30"/>
        <v>--</v>
      </c>
      <c r="BE24" s="1684">
        <f t="shared" si="31"/>
        <v>0.36543272383745468</v>
      </c>
      <c r="BF24" s="1685" t="str">
        <f t="shared" si="32"/>
        <v/>
      </c>
      <c r="BG24" s="1686" t="str">
        <f t="shared" si="54"/>
        <v/>
      </c>
      <c r="BH24" s="1684">
        <f t="shared" si="33"/>
        <v>9.4538301632907622</v>
      </c>
      <c r="BI24" s="1685" t="str">
        <f t="shared" si="34"/>
        <v/>
      </c>
      <c r="BJ24" s="1688" t="str">
        <f t="shared" si="55"/>
        <v/>
      </c>
      <c r="BK24" s="1685">
        <f t="shared" si="56"/>
        <v>0.36543272383745468</v>
      </c>
      <c r="BL24" s="1685" t="str">
        <f t="shared" si="57"/>
        <v/>
      </c>
      <c r="BM24" s="1685">
        <f t="shared" si="69"/>
        <v>0.37</v>
      </c>
      <c r="BN24" s="1686">
        <f t="shared" si="58"/>
        <v>-1.249826812055522E-2</v>
      </c>
      <c r="BP24" s="1756" t="str">
        <f t="shared" si="59"/>
        <v/>
      </c>
      <c r="BQ24" s="1685" t="str">
        <f t="shared" si="36"/>
        <v>--</v>
      </c>
    </row>
    <row r="25" spans="1:69">
      <c r="A25" t="s">
        <v>123</v>
      </c>
      <c r="B25" t="s">
        <v>124</v>
      </c>
      <c r="C25" s="1684" t="str">
        <f t="shared" si="63"/>
        <v>--</v>
      </c>
      <c r="D25" s="1685" t="str">
        <f t="shared" si="0"/>
        <v/>
      </c>
      <c r="E25" s="1686" t="str">
        <f t="shared" si="62"/>
        <v/>
      </c>
      <c r="F25" s="1684">
        <f t="shared" si="64"/>
        <v>276.76399317271768</v>
      </c>
      <c r="G25" s="1685" t="str">
        <f t="shared" si="3"/>
        <v/>
      </c>
      <c r="H25" s="1688" t="str">
        <f t="shared" si="38"/>
        <v/>
      </c>
      <c r="I25" s="1685">
        <f t="shared" si="4"/>
        <v>276.76399317271768</v>
      </c>
      <c r="J25" s="1685" t="str">
        <f t="shared" si="39"/>
        <v/>
      </c>
      <c r="K25" s="1685">
        <f t="shared" si="65"/>
        <v>280</v>
      </c>
      <c r="L25" s="1686">
        <f t="shared" si="40"/>
        <v>-1.1692297072989757E-2</v>
      </c>
      <c r="M25" s="1684" t="str">
        <f t="shared" si="66"/>
        <v>--</v>
      </c>
      <c r="N25" s="1685" t="str">
        <f t="shared" si="7"/>
        <v/>
      </c>
      <c r="O25" s="1686" t="str">
        <f t="shared" si="8"/>
        <v/>
      </c>
      <c r="P25" s="1684">
        <f t="shared" si="67"/>
        <v>1307.3495410649878</v>
      </c>
      <c r="Q25" s="1685" t="str">
        <f t="shared" si="10"/>
        <v/>
      </c>
      <c r="R25" s="1688" t="str">
        <f t="shared" si="60"/>
        <v/>
      </c>
      <c r="S25" s="1685">
        <f t="shared" si="41"/>
        <v>1307.3495410649878</v>
      </c>
      <c r="T25" s="1685" t="str">
        <f t="shared" si="42"/>
        <v/>
      </c>
      <c r="U25" s="1685">
        <f t="shared" si="68"/>
        <v>1300</v>
      </c>
      <c r="V25" s="1686">
        <f t="shared" si="61"/>
        <v>5.6217108234120064E-3</v>
      </c>
      <c r="W25" s="1756" t="str">
        <f t="shared" si="43"/>
        <v/>
      </c>
      <c r="X25" s="1685" t="str">
        <f t="shared" si="12"/>
        <v>--</v>
      </c>
      <c r="Z25" t="str">
        <f t="shared" si="13"/>
        <v>--</v>
      </c>
      <c r="AA25" t="str">
        <f t="shared" si="14"/>
        <v>--</v>
      </c>
      <c r="AB25" t="str">
        <f t="shared" si="15"/>
        <v>--</v>
      </c>
      <c r="AC25" t="str">
        <f t="shared" si="16"/>
        <v>--</v>
      </c>
      <c r="AF25" s="1684" t="str">
        <f t="shared" si="17"/>
        <v>--</v>
      </c>
      <c r="AG25" s="1685" t="str">
        <f t="shared" si="18"/>
        <v/>
      </c>
      <c r="AH25" s="1686" t="str">
        <f t="shared" si="44"/>
        <v/>
      </c>
      <c r="AI25" s="1684">
        <f t="shared" si="19"/>
        <v>52.142857142857146</v>
      </c>
      <c r="AJ25" s="1685" t="str">
        <f t="shared" si="20"/>
        <v/>
      </c>
      <c r="AK25" s="1688" t="str">
        <f t="shared" si="45"/>
        <v/>
      </c>
      <c r="AL25" s="1685">
        <f t="shared" si="46"/>
        <v>52.142857142857146</v>
      </c>
      <c r="AM25" s="1685" t="str">
        <f t="shared" si="47"/>
        <v/>
      </c>
      <c r="AN25" s="1685">
        <f t="shared" si="21"/>
        <v>52</v>
      </c>
      <c r="AO25" s="1686">
        <f t="shared" si="48"/>
        <v>2.7397260273973184E-3</v>
      </c>
      <c r="AP25" s="1684" t="str">
        <f t="shared" si="22"/>
        <v>--</v>
      </c>
      <c r="AQ25" s="1685" t="str">
        <f t="shared" si="23"/>
        <v/>
      </c>
      <c r="AR25" s="1686" t="str">
        <f t="shared" si="49"/>
        <v/>
      </c>
      <c r="AS25" s="1684">
        <f t="shared" si="25"/>
        <v>218.99999999999997</v>
      </c>
      <c r="AT25" s="1685" t="str">
        <f t="shared" si="26"/>
        <v/>
      </c>
      <c r="AU25" s="1688" t="str">
        <f t="shared" si="50"/>
        <v/>
      </c>
      <c r="AV25" s="1685">
        <f t="shared" si="51"/>
        <v>218.99999999999997</v>
      </c>
      <c r="AW25" s="1685" t="str">
        <f t="shared" si="52"/>
        <v/>
      </c>
      <c r="AX25" s="1685">
        <f t="shared" si="27"/>
        <v>220</v>
      </c>
      <c r="AY25" s="1686">
        <f t="shared" si="53"/>
        <v>-4.5662100456622312E-3</v>
      </c>
      <c r="BA25" s="1756" t="str">
        <f t="shared" si="28"/>
        <v/>
      </c>
      <c r="BB25" s="1685" t="str">
        <f t="shared" si="29"/>
        <v>V</v>
      </c>
      <c r="BC25" s="1685" t="str">
        <f t="shared" si="30"/>
        <v>--</v>
      </c>
      <c r="BE25" s="1684" t="str">
        <f t="shared" si="31"/>
        <v>--</v>
      </c>
      <c r="BF25" s="1685" t="str">
        <f t="shared" si="32"/>
        <v/>
      </c>
      <c r="BG25" s="1686" t="str">
        <f t="shared" si="54"/>
        <v/>
      </c>
      <c r="BH25" s="1684">
        <f t="shared" si="33"/>
        <v>77.742611680378616</v>
      </c>
      <c r="BI25" s="1685" t="str">
        <f t="shared" si="34"/>
        <v/>
      </c>
      <c r="BJ25" s="1688" t="str">
        <f t="shared" si="55"/>
        <v/>
      </c>
      <c r="BK25" s="1685">
        <f t="shared" si="56"/>
        <v>77.742611680378616</v>
      </c>
      <c r="BL25" s="1685" t="str">
        <f t="shared" si="57"/>
        <v/>
      </c>
      <c r="BM25" s="1685">
        <f t="shared" si="69"/>
        <v>78</v>
      </c>
      <c r="BN25" s="1686">
        <f t="shared" si="58"/>
        <v>-3.3107753143099797E-3</v>
      </c>
      <c r="BP25" s="1756" t="str">
        <f t="shared" si="59"/>
        <v/>
      </c>
      <c r="BQ25" s="1685" t="str">
        <f t="shared" si="36"/>
        <v>--</v>
      </c>
    </row>
    <row r="26" spans="1:69">
      <c r="A26" t="s">
        <v>125</v>
      </c>
      <c r="B26" t="s">
        <v>126</v>
      </c>
      <c r="C26" s="1684" t="str">
        <f t="shared" si="63"/>
        <v>--</v>
      </c>
      <c r="D26" s="1685" t="str">
        <f t="shared" si="0"/>
        <v/>
      </c>
      <c r="E26" s="1686" t="str">
        <f t="shared" si="62"/>
        <v/>
      </c>
      <c r="F26" s="1684">
        <f t="shared" si="64"/>
        <v>5402.5982170191683</v>
      </c>
      <c r="G26" s="1685" t="str">
        <f t="shared" si="3"/>
        <v/>
      </c>
      <c r="H26" s="1688" t="str">
        <f t="shared" si="38"/>
        <v/>
      </c>
      <c r="I26" s="1685">
        <f t="shared" si="4"/>
        <v>5402.5982170191683</v>
      </c>
      <c r="J26" s="1685" t="str">
        <f t="shared" si="39"/>
        <v/>
      </c>
      <c r="K26" s="1685">
        <f t="shared" si="65"/>
        <v>5400</v>
      </c>
      <c r="L26" s="1686">
        <f t="shared" si="40"/>
        <v>4.8091990460874973E-4</v>
      </c>
      <c r="M26" s="1684" t="str">
        <f t="shared" si="66"/>
        <v>--</v>
      </c>
      <c r="N26" s="1685" t="str">
        <f t="shared" si="7"/>
        <v/>
      </c>
      <c r="O26" s="1686" t="str">
        <f t="shared" si="8"/>
        <v/>
      </c>
      <c r="P26" s="1684">
        <f t="shared" si="67"/>
        <v>22250.270734030768</v>
      </c>
      <c r="Q26" s="1685" t="str">
        <f t="shared" si="10"/>
        <v/>
      </c>
      <c r="R26" s="1688" t="str">
        <f t="shared" si="60"/>
        <v/>
      </c>
      <c r="S26" s="1685">
        <f t="shared" si="41"/>
        <v>22250.270734030768</v>
      </c>
      <c r="T26" s="1685" t="str">
        <f t="shared" si="42"/>
        <v/>
      </c>
      <c r="U26" s="1685">
        <f t="shared" si="68"/>
        <v>23000</v>
      </c>
      <c r="V26" s="1686">
        <f t="shared" si="61"/>
        <v>-3.3695287348686306E-2</v>
      </c>
      <c r="W26" s="1756" t="str">
        <f t="shared" si="43"/>
        <v/>
      </c>
      <c r="X26" s="1685" t="str">
        <f t="shared" si="12"/>
        <v>--</v>
      </c>
      <c r="Z26" t="str">
        <f t="shared" si="13"/>
        <v>--</v>
      </c>
      <c r="AA26" t="str">
        <f t="shared" si="14"/>
        <v>--</v>
      </c>
      <c r="AB26" t="str">
        <f t="shared" si="15"/>
        <v>--</v>
      </c>
      <c r="AC26" t="str">
        <f t="shared" si="16"/>
        <v>--</v>
      </c>
      <c r="AF26" s="1684" t="str">
        <f t="shared" si="17"/>
        <v>--</v>
      </c>
      <c r="AG26" s="1685" t="str">
        <f t="shared" si="18"/>
        <v/>
      </c>
      <c r="AH26" s="1686" t="str">
        <f t="shared" si="44"/>
        <v/>
      </c>
      <c r="AI26" s="1684">
        <f t="shared" si="19"/>
        <v>4171.4285714285716</v>
      </c>
      <c r="AJ26" s="1685" t="str">
        <f t="shared" si="20"/>
        <v/>
      </c>
      <c r="AK26" s="1688" t="str">
        <f t="shared" si="45"/>
        <v/>
      </c>
      <c r="AL26" s="1685">
        <f t="shared" si="46"/>
        <v>4171.4285714285716</v>
      </c>
      <c r="AM26" s="1685" t="str">
        <f t="shared" si="47"/>
        <v/>
      </c>
      <c r="AN26" s="1685">
        <f t="shared" si="21"/>
        <v>4200</v>
      </c>
      <c r="AO26" s="1686">
        <f t="shared" si="48"/>
        <v>-6.8493150684931191E-3</v>
      </c>
      <c r="AP26" s="1684" t="str">
        <f t="shared" si="22"/>
        <v>--</v>
      </c>
      <c r="AQ26" s="1685" t="str">
        <f t="shared" si="23"/>
        <v/>
      </c>
      <c r="AR26" s="1686" t="str">
        <f t="shared" si="49"/>
        <v/>
      </c>
      <c r="AS26" s="1684">
        <f t="shared" si="25"/>
        <v>17520</v>
      </c>
      <c r="AT26" s="1685" t="str">
        <f t="shared" si="26"/>
        <v/>
      </c>
      <c r="AU26" s="1688" t="str">
        <f t="shared" si="50"/>
        <v/>
      </c>
      <c r="AV26" s="1685">
        <f t="shared" si="51"/>
        <v>17520</v>
      </c>
      <c r="AW26" s="1685" t="str">
        <f t="shared" si="52"/>
        <v/>
      </c>
      <c r="AX26" s="1685">
        <f t="shared" si="27"/>
        <v>18000</v>
      </c>
      <c r="AY26" s="1686">
        <f t="shared" si="53"/>
        <v>-2.7397260273972601E-2</v>
      </c>
      <c r="BA26" s="1756" t="str">
        <f t="shared" si="28"/>
        <v/>
      </c>
      <c r="BB26" s="1685" t="str">
        <f t="shared" si="29"/>
        <v>V</v>
      </c>
      <c r="BC26" s="1685" t="str">
        <f t="shared" si="30"/>
        <v>--</v>
      </c>
      <c r="BE26" s="1684" t="str">
        <f t="shared" si="31"/>
        <v>--</v>
      </c>
      <c r="BF26" s="1685" t="str">
        <f t="shared" si="32"/>
        <v/>
      </c>
      <c r="BG26" s="1686" t="str">
        <f t="shared" si="54"/>
        <v/>
      </c>
      <c r="BH26" s="1684">
        <f t="shared" si="33"/>
        <v>8342.8571428571431</v>
      </c>
      <c r="BI26" s="1685" t="str">
        <f t="shared" si="34"/>
        <v/>
      </c>
      <c r="BJ26" s="1688" t="str">
        <f t="shared" si="55"/>
        <v/>
      </c>
      <c r="BK26" s="1685">
        <f t="shared" si="56"/>
        <v>8342.8571428571431</v>
      </c>
      <c r="BL26" s="1685" t="str">
        <f t="shared" si="57"/>
        <v/>
      </c>
      <c r="BM26" s="1685">
        <f t="shared" si="69"/>
        <v>8300</v>
      </c>
      <c r="BN26" s="1686">
        <f t="shared" si="58"/>
        <v>5.136986301369894E-3</v>
      </c>
      <c r="BP26" s="1756" t="str">
        <f t="shared" si="59"/>
        <v/>
      </c>
      <c r="BQ26" s="1685" t="str">
        <f t="shared" si="36"/>
        <v>--</v>
      </c>
    </row>
    <row r="27" spans="1:69">
      <c r="A27" t="s">
        <v>127</v>
      </c>
      <c r="B27" t="s">
        <v>128</v>
      </c>
      <c r="C27" s="1684">
        <f t="shared" si="63"/>
        <v>0.3163368840867225</v>
      </c>
      <c r="D27" s="1685" t="str">
        <f t="shared" si="0"/>
        <v/>
      </c>
      <c r="E27" s="1686" t="str">
        <f t="shared" si="62"/>
        <v/>
      </c>
      <c r="F27" s="1684">
        <f t="shared" si="64"/>
        <v>5.3088340297584082</v>
      </c>
      <c r="G27" s="1685" t="str">
        <f t="shared" si="3"/>
        <v/>
      </c>
      <c r="H27" s="1688" t="str">
        <f t="shared" si="38"/>
        <v/>
      </c>
      <c r="I27" s="1685">
        <f t="shared" si="4"/>
        <v>0.3163368840867225</v>
      </c>
      <c r="J27" s="1685" t="str">
        <f t="shared" si="39"/>
        <v/>
      </c>
      <c r="K27" s="1685">
        <f t="shared" si="65"/>
        <v>0.32</v>
      </c>
      <c r="L27" s="1686">
        <f t="shared" si="40"/>
        <v>-1.1579793876560013E-2</v>
      </c>
      <c r="M27" s="1684">
        <f t="shared" si="66"/>
        <v>1.3566386101729093</v>
      </c>
      <c r="N27" s="1685" t="str">
        <f t="shared" si="7"/>
        <v/>
      </c>
      <c r="O27" s="1686" t="str">
        <f t="shared" si="8"/>
        <v/>
      </c>
      <c r="P27" s="1684">
        <f t="shared" si="67"/>
        <v>21.972115714722005</v>
      </c>
      <c r="Q27" s="1685" t="str">
        <f t="shared" si="10"/>
        <v/>
      </c>
      <c r="R27" s="1688" t="str">
        <f t="shared" si="60"/>
        <v/>
      </c>
      <c r="S27" s="1685">
        <f t="shared" si="41"/>
        <v>1.3566386101729093</v>
      </c>
      <c r="T27" s="1685" t="str">
        <f t="shared" si="42"/>
        <v/>
      </c>
      <c r="U27" s="1685">
        <f t="shared" si="68"/>
        <v>1.4</v>
      </c>
      <c r="V27" s="1686">
        <f t="shared" si="61"/>
        <v>-3.1962373399916727E-2</v>
      </c>
      <c r="W27" s="1756" t="str">
        <f t="shared" si="43"/>
        <v/>
      </c>
      <c r="X27" s="1685" t="str">
        <f t="shared" si="12"/>
        <v>--</v>
      </c>
      <c r="Z27" t="str">
        <f t="shared" si="13"/>
        <v>--</v>
      </c>
      <c r="AA27" t="str">
        <f t="shared" si="14"/>
        <v>--</v>
      </c>
      <c r="AB27" t="str">
        <f t="shared" si="15"/>
        <v>--</v>
      </c>
      <c r="AC27" t="str">
        <f t="shared" si="16"/>
        <v>--</v>
      </c>
      <c r="AF27" s="1684">
        <f t="shared" si="17"/>
        <v>0.1220735785953177</v>
      </c>
      <c r="AG27" s="1685" t="str">
        <f t="shared" si="18"/>
        <v/>
      </c>
      <c r="AH27" s="1686" t="str">
        <f t="shared" si="44"/>
        <v/>
      </c>
      <c r="AI27" s="1684">
        <f t="shared" si="19"/>
        <v>2.0335714285714284</v>
      </c>
      <c r="AJ27" s="1685" t="str">
        <f t="shared" si="20"/>
        <v/>
      </c>
      <c r="AK27" s="1688" t="str">
        <f t="shared" si="45"/>
        <v/>
      </c>
      <c r="AL27" s="1685">
        <f t="shared" si="46"/>
        <v>0.1220735785953177</v>
      </c>
      <c r="AM27" s="1685" t="str">
        <f t="shared" si="47"/>
        <v/>
      </c>
      <c r="AN27" s="1685">
        <f t="shared" si="21"/>
        <v>0.12</v>
      </c>
      <c r="AO27" s="1686">
        <f t="shared" si="48"/>
        <v>1.6986301369862844E-2</v>
      </c>
      <c r="AP27" s="1684">
        <f t="shared" si="22"/>
        <v>0.53321739130434775</v>
      </c>
      <c r="AQ27" s="1685" t="str">
        <f t="shared" si="23"/>
        <v/>
      </c>
      <c r="AR27" s="1686" t="str">
        <f t="shared" si="49"/>
        <v/>
      </c>
      <c r="AS27" s="1684">
        <f t="shared" si="25"/>
        <v>8.5409999999999986</v>
      </c>
      <c r="AT27" s="1685" t="str">
        <f t="shared" si="26"/>
        <v/>
      </c>
      <c r="AU27" s="1688" t="str">
        <f t="shared" si="50"/>
        <v/>
      </c>
      <c r="AV27" s="1685">
        <f t="shared" si="51"/>
        <v>0.53321739130434775</v>
      </c>
      <c r="AW27" s="1685" t="str">
        <f t="shared" si="52"/>
        <v/>
      </c>
      <c r="AX27" s="1685">
        <f t="shared" si="27"/>
        <v>0.53</v>
      </c>
      <c r="AY27" s="1686">
        <f t="shared" si="53"/>
        <v>6.0339204174818771E-3</v>
      </c>
      <c r="BA27" s="1756" t="str">
        <f t="shared" si="28"/>
        <v/>
      </c>
      <c r="BB27" s="1685" t="str">
        <f t="shared" si="29"/>
        <v>V</v>
      </c>
      <c r="BC27" s="1685" t="str">
        <f t="shared" si="30"/>
        <v>--</v>
      </c>
      <c r="BE27" s="1684">
        <f t="shared" si="31"/>
        <v>0.22084401783876592</v>
      </c>
      <c r="BF27" s="1685" t="str">
        <f t="shared" si="32"/>
        <v/>
      </c>
      <c r="BG27" s="1686" t="str">
        <f t="shared" si="54"/>
        <v/>
      </c>
      <c r="BH27" s="1684">
        <f t="shared" si="33"/>
        <v>3.9800305654275552</v>
      </c>
      <c r="BI27" s="1685" t="str">
        <f t="shared" si="34"/>
        <v/>
      </c>
      <c r="BJ27" s="1688" t="str">
        <f t="shared" si="55"/>
        <v/>
      </c>
      <c r="BK27" s="1685">
        <f t="shared" si="56"/>
        <v>0.22084401783876592</v>
      </c>
      <c r="BL27" s="1685" t="str">
        <f t="shared" si="57"/>
        <v/>
      </c>
      <c r="BM27" s="1685">
        <f t="shared" si="69"/>
        <v>0.22</v>
      </c>
      <c r="BN27" s="1686">
        <f t="shared" si="58"/>
        <v>3.8217826637356412E-3</v>
      </c>
      <c r="BP27" s="1756" t="str">
        <f t="shared" si="59"/>
        <v/>
      </c>
      <c r="BQ27" s="1685" t="str">
        <f t="shared" si="36"/>
        <v>--</v>
      </c>
    </row>
    <row r="28" spans="1:69">
      <c r="A28" t="s">
        <v>129</v>
      </c>
      <c r="B28" t="s">
        <v>130</v>
      </c>
      <c r="C28" s="1684" t="str">
        <f t="shared" si="63"/>
        <v>--</v>
      </c>
      <c r="D28" s="1685" t="str">
        <f t="shared" si="0"/>
        <v/>
      </c>
      <c r="E28" s="1686" t="str">
        <f t="shared" si="62"/>
        <v/>
      </c>
      <c r="F28" s="1684">
        <f t="shared" si="64"/>
        <v>110.38084707318302</v>
      </c>
      <c r="G28" s="1685" t="str">
        <f t="shared" si="3"/>
        <v/>
      </c>
      <c r="H28" s="1688" t="str">
        <f t="shared" si="38"/>
        <v/>
      </c>
      <c r="I28" s="1685">
        <f t="shared" si="4"/>
        <v>110.38084707318302</v>
      </c>
      <c r="J28" s="1685" t="str">
        <f t="shared" si="39"/>
        <v/>
      </c>
      <c r="K28" s="1685">
        <f t="shared" si="65"/>
        <v>110</v>
      </c>
      <c r="L28" s="1686">
        <f t="shared" si="40"/>
        <v>3.4503003309126301E-3</v>
      </c>
      <c r="M28" s="1684" t="str">
        <f t="shared" si="66"/>
        <v>--</v>
      </c>
      <c r="N28" s="1685" t="str">
        <f t="shared" si="7"/>
        <v/>
      </c>
      <c r="O28" s="1686" t="str">
        <f t="shared" si="8"/>
        <v/>
      </c>
      <c r="P28" s="1684">
        <f t="shared" si="67"/>
        <v>454.59677518062915</v>
      </c>
      <c r="Q28" s="1685" t="str">
        <f t="shared" si="10"/>
        <v/>
      </c>
      <c r="R28" s="1688" t="str">
        <f t="shared" si="60"/>
        <v/>
      </c>
      <c r="S28" s="1685">
        <f t="shared" si="41"/>
        <v>454.59677518062915</v>
      </c>
      <c r="T28" s="1685" t="str">
        <f t="shared" si="42"/>
        <v/>
      </c>
      <c r="U28" s="1685">
        <f t="shared" si="68"/>
        <v>460</v>
      </c>
      <c r="V28" s="1686">
        <f t="shared" si="61"/>
        <v>-1.1885752636991178E-2</v>
      </c>
      <c r="W28" s="1756" t="str">
        <f t="shared" si="43"/>
        <v/>
      </c>
      <c r="X28" s="1685" t="str">
        <f t="shared" si="12"/>
        <v>--</v>
      </c>
      <c r="Z28" t="str">
        <f t="shared" si="13"/>
        <v>--</v>
      </c>
      <c r="AA28" t="str">
        <f t="shared" si="14"/>
        <v>--</v>
      </c>
      <c r="AB28" t="str">
        <f t="shared" si="15"/>
        <v>--</v>
      </c>
      <c r="AC28" t="str">
        <f t="shared" si="16"/>
        <v>--</v>
      </c>
      <c r="AF28" s="1684" t="str">
        <f t="shared" si="17"/>
        <v>--</v>
      </c>
      <c r="AG28" s="1685" t="str">
        <f t="shared" si="18"/>
        <v/>
      </c>
      <c r="AH28" s="1686" t="str">
        <f t="shared" si="44"/>
        <v/>
      </c>
      <c r="AI28" s="1684">
        <f t="shared" si="19"/>
        <v>93.857142857142861</v>
      </c>
      <c r="AJ28" s="1685" t="str">
        <f t="shared" si="20"/>
        <v/>
      </c>
      <c r="AK28" s="1688" t="str">
        <f t="shared" si="45"/>
        <v/>
      </c>
      <c r="AL28" s="1685">
        <f t="shared" si="46"/>
        <v>93.857142857142861</v>
      </c>
      <c r="AM28" s="1685" t="str">
        <f t="shared" si="47"/>
        <v/>
      </c>
      <c r="AN28" s="1685">
        <f t="shared" si="21"/>
        <v>94</v>
      </c>
      <c r="AO28" s="1686">
        <f t="shared" si="48"/>
        <v>-1.5220700152206569E-3</v>
      </c>
      <c r="AP28" s="1684" t="str">
        <f t="shared" si="22"/>
        <v>--</v>
      </c>
      <c r="AQ28" s="1685" t="str">
        <f t="shared" si="23"/>
        <v/>
      </c>
      <c r="AR28" s="1686" t="str">
        <f t="shared" si="49"/>
        <v/>
      </c>
      <c r="AS28" s="1684">
        <f t="shared" si="25"/>
        <v>394.2</v>
      </c>
      <c r="AT28" s="1685" t="str">
        <f t="shared" si="26"/>
        <v/>
      </c>
      <c r="AU28" s="1688" t="str">
        <f t="shared" si="50"/>
        <v/>
      </c>
      <c r="AV28" s="1685">
        <f t="shared" si="51"/>
        <v>394.2</v>
      </c>
      <c r="AW28" s="1685" t="str">
        <f t="shared" si="52"/>
        <v/>
      </c>
      <c r="AX28" s="1685">
        <f t="shared" si="27"/>
        <v>390</v>
      </c>
      <c r="AY28" s="1686">
        <f t="shared" si="53"/>
        <v>1.0654490106544873E-2</v>
      </c>
      <c r="BA28" s="1756" t="str">
        <f t="shared" si="28"/>
        <v/>
      </c>
      <c r="BB28" s="1685" t="str">
        <f t="shared" si="29"/>
        <v>V</v>
      </c>
      <c r="BC28" s="1685" t="str">
        <f t="shared" si="30"/>
        <v>--</v>
      </c>
      <c r="BE28" s="1684" t="str">
        <f t="shared" si="31"/>
        <v>--</v>
      </c>
      <c r="BF28" s="1685" t="str">
        <f t="shared" si="32"/>
        <v/>
      </c>
      <c r="BG28" s="1686" t="str">
        <f t="shared" si="54"/>
        <v/>
      </c>
      <c r="BH28" s="1684">
        <f t="shared" si="33"/>
        <v>187.71428571428572</v>
      </c>
      <c r="BI28" s="1685" t="str">
        <f t="shared" si="34"/>
        <v/>
      </c>
      <c r="BJ28" s="1688" t="str">
        <f t="shared" si="55"/>
        <v/>
      </c>
      <c r="BK28" s="1685">
        <f t="shared" si="56"/>
        <v>187.71428571428572</v>
      </c>
      <c r="BL28" s="1685" t="str">
        <f t="shared" si="57"/>
        <v/>
      </c>
      <c r="BM28" s="1685">
        <f t="shared" si="69"/>
        <v>190</v>
      </c>
      <c r="BN28" s="1686">
        <f t="shared" si="58"/>
        <v>-1.2176560121765557E-2</v>
      </c>
      <c r="BP28" s="1756" t="str">
        <f t="shared" si="59"/>
        <v/>
      </c>
      <c r="BQ28" s="1685" t="str">
        <f t="shared" si="36"/>
        <v>--</v>
      </c>
    </row>
    <row r="29" spans="1:69" ht="15">
      <c r="A29" t="s">
        <v>131</v>
      </c>
      <c r="B29" t="s">
        <v>132</v>
      </c>
      <c r="C29" s="1684" t="str">
        <f t="shared" si="63"/>
        <v>--</v>
      </c>
      <c r="D29" s="1685" t="str">
        <f t="shared" si="0"/>
        <v>--</v>
      </c>
      <c r="E29" s="1686" t="str">
        <f t="shared" si="62"/>
        <v/>
      </c>
      <c r="F29" s="1684">
        <f t="shared" si="64"/>
        <v>391.07142857142856</v>
      </c>
      <c r="G29" s="1685">
        <f t="shared" si="3"/>
        <v>340</v>
      </c>
      <c r="H29" s="1693">
        <f t="shared" si="38"/>
        <v>0.13059360730593603</v>
      </c>
      <c r="I29" s="1685">
        <f t="shared" si="4"/>
        <v>391.07142857142856</v>
      </c>
      <c r="J29" s="1685">
        <f t="shared" si="39"/>
        <v>340</v>
      </c>
      <c r="K29" s="1685">
        <f t="shared" si="65"/>
        <v>390</v>
      </c>
      <c r="L29" s="1686">
        <f t="shared" si="40"/>
        <v>2.7397260273972187E-3</v>
      </c>
      <c r="M29" s="1684" t="str">
        <f t="shared" si="66"/>
        <v>--</v>
      </c>
      <c r="N29" s="1685" t="str">
        <f t="shared" si="7"/>
        <v>--</v>
      </c>
      <c r="O29" s="1686" t="str">
        <f t="shared" si="8"/>
        <v/>
      </c>
      <c r="P29" s="1684">
        <f t="shared" si="67"/>
        <v>5840</v>
      </c>
      <c r="Q29" s="1685">
        <f t="shared" si="10"/>
        <v>3900</v>
      </c>
      <c r="R29" s="1693">
        <f t="shared" si="60"/>
        <v>0.3321917808219178</v>
      </c>
      <c r="S29" s="1685">
        <f t="shared" si="41"/>
        <v>5840</v>
      </c>
      <c r="T29" s="1685">
        <f t="shared" si="42"/>
        <v>3900</v>
      </c>
      <c r="U29" s="1685">
        <f t="shared" si="68"/>
        <v>5800</v>
      </c>
      <c r="V29" s="1686">
        <f t="shared" si="61"/>
        <v>6.8493150684931503E-3</v>
      </c>
      <c r="W29" s="1756" t="str">
        <f t="shared" si="43"/>
        <v/>
      </c>
      <c r="X29" s="1685" t="str">
        <f t="shared" si="12"/>
        <v>Route RfC</v>
      </c>
      <c r="Z29" t="str">
        <f t="shared" si="13"/>
        <v>--</v>
      </c>
      <c r="AA29" t="str">
        <f t="shared" si="14"/>
        <v>--</v>
      </c>
      <c r="AB29" t="str">
        <f t="shared" si="15"/>
        <v>--</v>
      </c>
      <c r="AC29" t="str">
        <f t="shared" si="16"/>
        <v>--</v>
      </c>
      <c r="AF29" s="1684" t="str">
        <f t="shared" si="17"/>
        <v>--</v>
      </c>
      <c r="AG29" s="1685" t="str">
        <f t="shared" si="18"/>
        <v>--</v>
      </c>
      <c r="AH29" s="1686" t="str">
        <f t="shared" si="44"/>
        <v/>
      </c>
      <c r="AI29" s="1684" t="str">
        <f t="shared" si="19"/>
        <v>--</v>
      </c>
      <c r="AJ29" s="1685">
        <f t="shared" si="20"/>
        <v>340</v>
      </c>
      <c r="AK29" s="1688" t="e">
        <f t="shared" si="45"/>
        <v>#VALUE!</v>
      </c>
      <c r="AL29" s="1685">
        <f t="shared" si="46"/>
        <v>0</v>
      </c>
      <c r="AM29" s="1685">
        <f t="shared" si="47"/>
        <v>340</v>
      </c>
      <c r="AN29" s="1685" t="str">
        <f t="shared" si="21"/>
        <v>--</v>
      </c>
      <c r="AO29" s="1686" t="str">
        <f t="shared" si="48"/>
        <v>N</v>
      </c>
      <c r="AP29" s="1684" t="str">
        <f t="shared" si="22"/>
        <v>--</v>
      </c>
      <c r="AQ29" s="1685" t="str">
        <f t="shared" si="23"/>
        <v>--</v>
      </c>
      <c r="AR29" s="1686" t="str">
        <f t="shared" si="49"/>
        <v/>
      </c>
      <c r="AS29" s="1684" t="str">
        <f t="shared" si="25"/>
        <v>--</v>
      </c>
      <c r="AT29" s="1685">
        <f t="shared" si="26"/>
        <v>88</v>
      </c>
      <c r="AU29" s="1688" t="e">
        <f t="shared" si="50"/>
        <v>#VALUE!</v>
      </c>
      <c r="AV29" s="1685">
        <f t="shared" si="51"/>
        <v>0</v>
      </c>
      <c r="AW29" s="1685">
        <f t="shared" si="52"/>
        <v>88</v>
      </c>
      <c r="AX29" s="1685" t="str">
        <f t="shared" si="27"/>
        <v>--</v>
      </c>
      <c r="AY29" s="1686" t="str">
        <f t="shared" si="53"/>
        <v>N</v>
      </c>
      <c r="BA29" s="1756" t="str">
        <f t="shared" si="28"/>
        <v/>
      </c>
      <c r="BB29" s="1685" t="str">
        <f t="shared" si="29"/>
        <v>V</v>
      </c>
      <c r="BC29" s="1685" t="str">
        <f t="shared" si="30"/>
        <v>Route RfC</v>
      </c>
      <c r="BE29" s="1684" t="str">
        <f t="shared" si="31"/>
        <v>--</v>
      </c>
      <c r="BF29" s="1685" t="str">
        <f t="shared" si="32"/>
        <v>--</v>
      </c>
      <c r="BG29" s="1686" t="str">
        <f t="shared" si="54"/>
        <v/>
      </c>
      <c r="BH29" s="1684">
        <f t="shared" si="33"/>
        <v>91.293974613088139</v>
      </c>
      <c r="BI29" s="1685">
        <f t="shared" si="34"/>
        <v>29</v>
      </c>
      <c r="BJ29" s="1688">
        <f t="shared" si="55"/>
        <v>0.68234486314234277</v>
      </c>
      <c r="BK29" s="1685">
        <f t="shared" si="56"/>
        <v>91.293974613088139</v>
      </c>
      <c r="BL29" s="1685">
        <f t="shared" si="57"/>
        <v>29</v>
      </c>
      <c r="BM29" s="1685">
        <f t="shared" si="69"/>
        <v>91</v>
      </c>
      <c r="BN29" s="1686">
        <f t="shared" si="58"/>
        <v>3.2200877914892964E-3</v>
      </c>
      <c r="BP29" s="1756" t="str">
        <f t="shared" si="59"/>
        <v/>
      </c>
      <c r="BQ29" s="1685" t="str">
        <f t="shared" si="36"/>
        <v>Route RfC</v>
      </c>
    </row>
    <row r="30" spans="1:69">
      <c r="A30" t="s">
        <v>133</v>
      </c>
      <c r="B30" t="s">
        <v>134</v>
      </c>
      <c r="C30" s="1684" t="str">
        <f t="shared" si="63"/>
        <v>--</v>
      </c>
      <c r="D30" s="1685" t="str">
        <f t="shared" si="0"/>
        <v/>
      </c>
      <c r="E30" s="1686" t="str">
        <f t="shared" si="62"/>
        <v/>
      </c>
      <c r="F30" s="1684" t="str">
        <f t="shared" si="64"/>
        <v>--</v>
      </c>
      <c r="G30" s="1685" t="str">
        <f t="shared" si="3"/>
        <v/>
      </c>
      <c r="H30" s="1688" t="str">
        <f t="shared" si="38"/>
        <v/>
      </c>
      <c r="I30" s="1685">
        <f t="shared" si="4"/>
        <v>0</v>
      </c>
      <c r="J30" s="1685" t="str">
        <f t="shared" si="39"/>
        <v/>
      </c>
      <c r="K30" s="1685">
        <f t="shared" si="65"/>
        <v>0</v>
      </c>
      <c r="L30" s="1686" t="str">
        <f t="shared" si="40"/>
        <v>--</v>
      </c>
      <c r="M30" s="1684" t="str">
        <f t="shared" si="66"/>
        <v>--</v>
      </c>
      <c r="N30" s="1685" t="str">
        <f t="shared" si="7"/>
        <v/>
      </c>
      <c r="O30" s="1686" t="str">
        <f t="shared" si="8"/>
        <v/>
      </c>
      <c r="P30" s="1684" t="str">
        <f t="shared" si="67"/>
        <v>--</v>
      </c>
      <c r="Q30" s="1685" t="str">
        <f t="shared" si="10"/>
        <v/>
      </c>
      <c r="R30" s="1688" t="str">
        <f t="shared" si="60"/>
        <v/>
      </c>
      <c r="S30" s="1685">
        <f t="shared" si="41"/>
        <v>0</v>
      </c>
      <c r="T30" s="1685" t="str">
        <f t="shared" si="42"/>
        <v/>
      </c>
      <c r="U30" s="1685">
        <f t="shared" si="68"/>
        <v>0</v>
      </c>
      <c r="V30" s="1686" t="str">
        <f t="shared" si="61"/>
        <v>--</v>
      </c>
      <c r="W30" s="1756" t="str">
        <f t="shared" si="43"/>
        <v/>
      </c>
      <c r="X30" s="1685" t="str">
        <f t="shared" si="12"/>
        <v>--</v>
      </c>
      <c r="Z30" t="str">
        <f t="shared" si="13"/>
        <v>--</v>
      </c>
      <c r="AA30" t="str">
        <f t="shared" si="14"/>
        <v>--</v>
      </c>
      <c r="AB30" t="str">
        <f t="shared" si="15"/>
        <v>--</v>
      </c>
      <c r="AC30" t="str">
        <f t="shared" si="16"/>
        <v>--</v>
      </c>
      <c r="AF30" s="1684" t="str">
        <f t="shared" si="17"/>
        <v>--</v>
      </c>
      <c r="AG30" s="1685" t="str">
        <f t="shared" si="18"/>
        <v/>
      </c>
      <c r="AH30" s="1686" t="str">
        <f t="shared" si="44"/>
        <v/>
      </c>
      <c r="AI30" s="1684" t="str">
        <f t="shared" si="19"/>
        <v>--</v>
      </c>
      <c r="AJ30" s="1685" t="str">
        <f t="shared" si="20"/>
        <v/>
      </c>
      <c r="AK30" s="1688" t="str">
        <f t="shared" si="45"/>
        <v/>
      </c>
      <c r="AL30" s="1685">
        <f t="shared" si="46"/>
        <v>0</v>
      </c>
      <c r="AM30" s="1685" t="str">
        <f t="shared" si="47"/>
        <v/>
      </c>
      <c r="AN30" s="1685" t="str">
        <f t="shared" si="21"/>
        <v>--</v>
      </c>
      <c r="AO30" s="1686" t="str">
        <f t="shared" si="48"/>
        <v>N</v>
      </c>
      <c r="AP30" s="1684" t="str">
        <f t="shared" si="22"/>
        <v>--</v>
      </c>
      <c r="AQ30" s="1685" t="str">
        <f t="shared" si="23"/>
        <v/>
      </c>
      <c r="AR30" s="1686" t="str">
        <f t="shared" si="49"/>
        <v/>
      </c>
      <c r="AS30" s="1684" t="str">
        <f t="shared" si="25"/>
        <v>--</v>
      </c>
      <c r="AT30" s="1685" t="str">
        <f t="shared" si="26"/>
        <v/>
      </c>
      <c r="AU30" s="1688" t="str">
        <f t="shared" si="50"/>
        <v/>
      </c>
      <c r="AV30" s="1685">
        <f t="shared" si="51"/>
        <v>0</v>
      </c>
      <c r="AW30" s="1685" t="str">
        <f t="shared" si="52"/>
        <v/>
      </c>
      <c r="AX30" s="1685" t="str">
        <f t="shared" si="27"/>
        <v>--</v>
      </c>
      <c r="AY30" s="1686" t="str">
        <f t="shared" si="53"/>
        <v>N</v>
      </c>
      <c r="BA30" s="1756" t="str">
        <f t="shared" si="28"/>
        <v/>
      </c>
      <c r="BB30" s="1685" t="str">
        <f t="shared" si="29"/>
        <v>--</v>
      </c>
      <c r="BC30" s="1685" t="str">
        <f t="shared" si="30"/>
        <v>--</v>
      </c>
      <c r="BE30" s="1684" t="str">
        <f t="shared" si="31"/>
        <v>--</v>
      </c>
      <c r="BF30" s="1685" t="str">
        <f t="shared" si="32"/>
        <v/>
      </c>
      <c r="BG30" s="1686" t="str">
        <f t="shared" si="54"/>
        <v/>
      </c>
      <c r="BH30" s="1684" t="str">
        <f t="shared" si="33"/>
        <v>--</v>
      </c>
      <c r="BI30" s="1685" t="str">
        <f t="shared" si="34"/>
        <v/>
      </c>
      <c r="BJ30" s="1688" t="str">
        <f t="shared" si="55"/>
        <v/>
      </c>
      <c r="BK30" s="1685">
        <f t="shared" si="56"/>
        <v>0</v>
      </c>
      <c r="BL30" s="1685" t="str">
        <f t="shared" si="57"/>
        <v/>
      </c>
      <c r="BM30" s="1685" t="str">
        <f t="shared" si="69"/>
        <v>--</v>
      </c>
      <c r="BN30" s="1686" t="str">
        <f t="shared" si="58"/>
        <v>N</v>
      </c>
      <c r="BP30" s="1756" t="str">
        <f t="shared" si="59"/>
        <v/>
      </c>
      <c r="BQ30" s="1685" t="str">
        <f t="shared" si="36"/>
        <v>--</v>
      </c>
    </row>
    <row r="31" spans="1:69">
      <c r="A31" t="s">
        <v>439</v>
      </c>
      <c r="B31" t="s">
        <v>136</v>
      </c>
      <c r="C31" s="1684" t="str">
        <f t="shared" si="63"/>
        <v>--</v>
      </c>
      <c r="D31" s="1685" t="e">
        <f>IF(VLOOKUP($A31,Table_N3,MATCH("S-Res-C",Heading_N3,0),FALSE)=0,"",VLOOKUP($A31,Table_N3,MATCH("S-Res-C",Heading_N3,0),FALSE))</f>
        <v>#N/A</v>
      </c>
      <c r="E31" s="1686" t="e">
        <f>IF(D31="","",IF(C31=D31,"",(C31-D31)/C31))</f>
        <v>#N/A</v>
      </c>
      <c r="F31" s="1684">
        <f t="shared" si="64"/>
        <v>85097.142857142855</v>
      </c>
      <c r="G31" s="1685" t="e">
        <f t="shared" si="3"/>
        <v>#N/A</v>
      </c>
      <c r="H31" s="1688" t="e">
        <f t="shared" ref="H31" si="70">IF(G31="","",IF(F31=G31,"",(F31-G31)/F31))</f>
        <v>#N/A</v>
      </c>
      <c r="I31" s="1685">
        <f t="shared" ref="I31" si="71">MIN(F31,C31)</f>
        <v>85097.142857142855</v>
      </c>
      <c r="J31" s="1685" t="e">
        <f t="shared" si="39"/>
        <v>#N/A</v>
      </c>
      <c r="K31" s="1685">
        <f t="shared" si="65"/>
        <v>85000</v>
      </c>
      <c r="L31" s="1686">
        <f t="shared" ref="L31" si="72">IF(AND(I31="--",K31="--"),"--",IF(AND(I31="--",K31&lt;&gt;"--"),"R",IF(AND(K31="--",I31&lt;&gt;"--"),"N",IF((I31-K31)=0,"--",(I31-K31)/I31))))</f>
        <v>1.1415525114155008E-3</v>
      </c>
      <c r="M31" s="1684" t="str">
        <f t="shared" si="66"/>
        <v>--</v>
      </c>
      <c r="N31" s="1685" t="e">
        <f t="shared" si="7"/>
        <v>#N/A</v>
      </c>
      <c r="O31" s="1686" t="e">
        <f t="shared" ref="O31" si="73">IF(N31="","",IF(M31=N31,"",(M31-N31)/M31))</f>
        <v>#N/A</v>
      </c>
      <c r="P31" s="1684">
        <f t="shared" si="67"/>
        <v>357408.00000000006</v>
      </c>
      <c r="Q31" s="1685" t="e">
        <f t="shared" si="10"/>
        <v>#N/A</v>
      </c>
      <c r="R31" s="1688" t="e">
        <f t="shared" ref="R31" si="74">IF(Q31="","",IF(P31=Q31,"",(P31-Q31)/P31))</f>
        <v>#N/A</v>
      </c>
      <c r="S31" s="1685">
        <f t="shared" ref="S31" si="75">MIN(P31,M31)</f>
        <v>357408.00000000006</v>
      </c>
      <c r="T31" s="1685" t="e">
        <f t="shared" si="42"/>
        <v>#N/A</v>
      </c>
      <c r="U31" s="1685">
        <f t="shared" si="68"/>
        <v>360000</v>
      </c>
      <c r="V31" s="1694">
        <f t="shared" ref="V31" si="76">IF(AND(S31="--",U31="--"),"--",IF(AND(S31="--",U31&lt;&gt;"--"),"R",IF(AND(U31="--",S31&lt;&gt;"--"),"N",IF((S31-U31)=0,"--",(S31-U31)/S31))))</f>
        <v>-7.2522159548749363E-3</v>
      </c>
      <c r="W31" s="1756" t="str">
        <f t="shared" ref="W31" si="77">IF(OR(Z31&lt;&gt;"--", AA31&lt;&gt;"--",AB31&lt;&gt;"--",AC31&lt;&gt;"--"),"*","")</f>
        <v/>
      </c>
      <c r="X31" s="1685" t="str">
        <f t="shared" si="12"/>
        <v>--</v>
      </c>
      <c r="Y31" s="55"/>
      <c r="Z31" t="str">
        <f t="shared" si="13"/>
        <v>--</v>
      </c>
      <c r="AA31" t="str">
        <f t="shared" si="14"/>
        <v>--</v>
      </c>
      <c r="AB31" t="str">
        <f t="shared" si="15"/>
        <v>--</v>
      </c>
      <c r="AC31" t="str">
        <f t="shared" si="16"/>
        <v>--</v>
      </c>
      <c r="AF31" s="1684" t="e">
        <f t="shared" si="17"/>
        <v>#N/A</v>
      </c>
      <c r="AG31" s="1685" t="e">
        <f t="shared" si="18"/>
        <v>#N/A</v>
      </c>
      <c r="AH31" s="1686" t="e">
        <f t="shared" ref="AH31" si="78">IF(AG31="","",IF(AF31=AG31,"",(AF31-AG31)/AF31))</f>
        <v>#N/A</v>
      </c>
      <c r="AI31" s="1684" t="e">
        <f t="shared" si="19"/>
        <v>#N/A</v>
      </c>
      <c r="AJ31" s="1685" t="e">
        <f t="shared" si="20"/>
        <v>#N/A</v>
      </c>
      <c r="AK31" s="1688" t="e">
        <f t="shared" ref="AK31" si="79">IF(AJ31="","",IF(AI31=AJ31,"",(AI31-AJ31)/AI31))</f>
        <v>#N/A</v>
      </c>
      <c r="AL31" s="1685" t="e">
        <f t="shared" ref="AL31" si="80">MIN(AI31,AF31)</f>
        <v>#N/A</v>
      </c>
      <c r="AM31" s="1685" t="e">
        <f t="shared" ref="AM31" si="81">IF(AND(AG31="",AJ31=""),"",MIN(AJ31,AG31))</f>
        <v>#N/A</v>
      </c>
      <c r="AN31" s="1685">
        <f t="shared" si="21"/>
        <v>6.3E-2</v>
      </c>
      <c r="AO31" s="1686" t="e">
        <f t="shared" ref="AO31" si="82">IF(AND(AL31="--",AN31="--"),"--",IF(AND(AL31="--",AN31&lt;&gt;"--"),"R",IF(AND(AN31="--",AL31&lt;&gt;"--"),"N",IF((AL31-AN31)=0,"--",(AL31-AN31)/AL31))))</f>
        <v>#N/A</v>
      </c>
      <c r="AP31" s="1684" t="e">
        <f t="shared" si="22"/>
        <v>#N/A</v>
      </c>
      <c r="AQ31" s="1685" t="e">
        <f t="shared" si="23"/>
        <v>#N/A</v>
      </c>
      <c r="AR31" s="1686" t="e">
        <f t="shared" ref="AR31" si="83">IF(AQ31="","",IF(AP31=AQ31,"",(AP31-AQ31)/AP31))</f>
        <v>#N/A</v>
      </c>
      <c r="AS31" s="1684" t="e">
        <f t="shared" si="25"/>
        <v>#N/A</v>
      </c>
      <c r="AT31" s="1685" t="e">
        <f t="shared" si="26"/>
        <v>#N/A</v>
      </c>
      <c r="AU31" s="1688" t="e">
        <f t="shared" ref="AU31" si="84">IF(AT31="","",IF(AS31=AT31,"",(AS31-AT31)/AS31))</f>
        <v>#N/A</v>
      </c>
      <c r="AV31" s="1685" t="e">
        <f t="shared" ref="AV31" si="85">MIN(AS31,AP31)</f>
        <v>#N/A</v>
      </c>
      <c r="AW31" s="1685" t="e">
        <f t="shared" ref="AW31" si="86">IF(AND(AQ31="",AT31=""),"",MIN(AT31,AQ31))</f>
        <v>#N/A</v>
      </c>
      <c r="AX31" s="1685">
        <f t="shared" si="27"/>
        <v>0.26</v>
      </c>
      <c r="AY31" s="1686" t="e">
        <f t="shared" ref="AY31" si="87">IF(AND(AV31="--",AX31="--"),"--",IF(AND(AV31="--",AX31&lt;&gt;"--"),"R",IF(AND(AX31="--",AV31&lt;&gt;"--"),"N",IF((AV31-AX31)=0,"--",(AV31-AX31)/AV31))))</f>
        <v>#N/A</v>
      </c>
      <c r="BA31" s="1756" t="str">
        <f t="shared" ref="BA31" si="88">IF(OR(Z31&lt;&gt;"--", AA31&lt;&gt;"--",AB31&lt;&gt;"--",AC31&lt;&gt;"--"),"*","")</f>
        <v/>
      </c>
      <c r="BB31" s="1685" t="str">
        <f t="shared" si="29"/>
        <v>--</v>
      </c>
      <c r="BC31" s="1685" t="str">
        <f t="shared" si="30"/>
        <v>--</v>
      </c>
      <c r="BE31" s="1684" t="str">
        <f t="shared" si="31"/>
        <v>--</v>
      </c>
      <c r="BF31" s="1685" t="e">
        <f t="shared" si="32"/>
        <v>#N/A</v>
      </c>
      <c r="BG31" s="1686" t="e">
        <f t="shared" ref="BG31" si="89">IF(BF31="","",IF(BE31=BF31,"",(BE31-BF31)/BE31))</f>
        <v>#N/A</v>
      </c>
      <c r="BH31" s="1684" t="str">
        <f t="shared" si="33"/>
        <v>--</v>
      </c>
      <c r="BI31" s="1685" t="e">
        <f t="shared" si="34"/>
        <v>#N/A</v>
      </c>
      <c r="BJ31" s="1688" t="e">
        <f t="shared" ref="BJ31" si="90">IF(BI31="","",IF(BH31=BI31,"",(BH31-BI31)/BH31))</f>
        <v>#N/A</v>
      </c>
      <c r="BK31" s="1685">
        <f t="shared" ref="BK31" si="91">MIN(BH31,BE31)</f>
        <v>0</v>
      </c>
      <c r="BL31" s="1685" t="e">
        <f t="shared" ref="BL31" si="92">IF(AND(BF31="",BI31=""),"",MIN(BI31,BF31))</f>
        <v>#N/A</v>
      </c>
      <c r="BM31" s="1685">
        <v>22466.926978936172</v>
      </c>
      <c r="BN31" s="1686" t="e">
        <f t="shared" ref="BN31" si="93">IF(AND(BK31="--",BM31="--"),"--",IF(AND(BK31="--",BM31&lt;&gt;"--"),"R",IF(AND(BM31="--",BK31&lt;&gt;"--"),"N",IF((BK31-BM31)=0,"--",(BK31-BM31)/BK31))))</f>
        <v>#DIV/0!</v>
      </c>
      <c r="BP31" s="1756" t="str">
        <f t="shared" ref="BP31" si="94">IF(OR(Z31&lt;&gt;"--", AA31&lt;&gt;"--",AB31&lt;&gt;"--",AC31&lt;&gt;"--"),"*","")</f>
        <v/>
      </c>
      <c r="BQ31" s="1685" t="str">
        <f t="shared" si="36"/>
        <v>--</v>
      </c>
    </row>
    <row r="32" spans="1:69">
      <c r="A32" t="s">
        <v>440</v>
      </c>
      <c r="B32" t="s">
        <v>136</v>
      </c>
      <c r="C32" s="1684" t="str">
        <f t="shared" si="63"/>
        <v>--</v>
      </c>
      <c r="D32" s="1685" t="e">
        <f t="shared" si="0"/>
        <v>#N/A</v>
      </c>
      <c r="E32" s="1686" t="e">
        <f t="shared" si="62"/>
        <v>#N/A</v>
      </c>
      <c r="F32" s="1684">
        <f t="shared" si="64"/>
        <v>117321.42857142858</v>
      </c>
      <c r="G32" s="1685" t="e">
        <f t="shared" si="3"/>
        <v>#N/A</v>
      </c>
      <c r="H32" s="1688" t="e">
        <f t="shared" si="38"/>
        <v>#N/A</v>
      </c>
      <c r="I32" s="1685">
        <f t="shared" si="4"/>
        <v>117321.42857142858</v>
      </c>
      <c r="J32" s="1685" t="e">
        <f t="shared" si="39"/>
        <v>#N/A</v>
      </c>
      <c r="K32" s="1685">
        <f>'Nov ''24 RSL-SL'!P167</f>
        <v>120000</v>
      </c>
      <c r="L32" s="1686">
        <f t="shared" si="40"/>
        <v>-2.2831050228310428E-2</v>
      </c>
      <c r="M32" s="1684" t="str">
        <f t="shared" si="66"/>
        <v>--</v>
      </c>
      <c r="N32" s="1685" t="e">
        <f t="shared" si="7"/>
        <v>#N/A</v>
      </c>
      <c r="O32" s="1686" t="e">
        <f t="shared" si="8"/>
        <v>#N/A</v>
      </c>
      <c r="P32" s="1684">
        <f t="shared" si="67"/>
        <v>1752000.0000000002</v>
      </c>
      <c r="Q32" s="1685" t="e">
        <f t="shared" si="10"/>
        <v>#N/A</v>
      </c>
      <c r="R32" s="1688" t="e">
        <f t="shared" si="60"/>
        <v>#N/A</v>
      </c>
      <c r="S32" s="1685">
        <f t="shared" si="41"/>
        <v>1752000.0000000002</v>
      </c>
      <c r="T32" s="1685" t="e">
        <f t="shared" si="42"/>
        <v>#N/A</v>
      </c>
      <c r="U32" s="1685">
        <f>'Nov ''24 RSL-SL'!R167</f>
        <v>1800000</v>
      </c>
      <c r="V32" s="1694">
        <f t="shared" si="61"/>
        <v>-2.7397260273972466E-2</v>
      </c>
      <c r="W32" s="1756" t="str">
        <f t="shared" si="43"/>
        <v>*</v>
      </c>
      <c r="X32" s="1685" t="str">
        <f t="shared" si="12"/>
        <v>--</v>
      </c>
      <c r="Y32" s="55"/>
      <c r="Z32" t="str">
        <f t="shared" si="13"/>
        <v>--</v>
      </c>
      <c r="AA32" t="str">
        <f t="shared" si="14"/>
        <v>--</v>
      </c>
      <c r="AB32" t="str">
        <f t="shared" si="15"/>
        <v>x</v>
      </c>
      <c r="AC32" t="str">
        <f t="shared" si="16"/>
        <v>x</v>
      </c>
      <c r="AF32" s="1684" t="e">
        <f t="shared" si="17"/>
        <v>#N/A</v>
      </c>
      <c r="AG32" s="1685" t="e">
        <f t="shared" si="18"/>
        <v>#N/A</v>
      </c>
      <c r="AH32" s="1686" t="e">
        <f t="shared" si="44"/>
        <v>#N/A</v>
      </c>
      <c r="AI32" s="1684" t="e">
        <f t="shared" si="19"/>
        <v>#N/A</v>
      </c>
      <c r="AJ32" s="1685" t="e">
        <f t="shared" si="20"/>
        <v>#N/A</v>
      </c>
      <c r="AK32" s="1688" t="e">
        <f t="shared" si="45"/>
        <v>#N/A</v>
      </c>
      <c r="AL32" s="1685" t="e">
        <f t="shared" si="46"/>
        <v>#N/A</v>
      </c>
      <c r="AM32" s="1685" t="e">
        <f t="shared" si="47"/>
        <v>#N/A</v>
      </c>
      <c r="AN32" s="1685">
        <f t="shared" si="21"/>
        <v>6.3E-2</v>
      </c>
      <c r="AO32" s="1686" t="e">
        <f t="shared" si="48"/>
        <v>#N/A</v>
      </c>
      <c r="AP32" s="1684" t="e">
        <f t="shared" si="22"/>
        <v>#N/A</v>
      </c>
      <c r="AQ32" s="1685" t="e">
        <f t="shared" si="23"/>
        <v>#N/A</v>
      </c>
      <c r="AR32" s="1686" t="e">
        <f t="shared" si="49"/>
        <v>#N/A</v>
      </c>
      <c r="AS32" s="1684" t="e">
        <f t="shared" si="25"/>
        <v>#N/A</v>
      </c>
      <c r="AT32" s="1685" t="e">
        <f t="shared" si="26"/>
        <v>#N/A</v>
      </c>
      <c r="AU32" s="1688" t="e">
        <f t="shared" si="50"/>
        <v>#N/A</v>
      </c>
      <c r="AV32" s="1685" t="e">
        <f t="shared" si="51"/>
        <v>#N/A</v>
      </c>
      <c r="AW32" s="1685" t="e">
        <f t="shared" si="52"/>
        <v>#N/A</v>
      </c>
      <c r="AX32" s="1685">
        <f t="shared" si="27"/>
        <v>0.26</v>
      </c>
      <c r="AY32" s="1686" t="e">
        <f t="shared" si="53"/>
        <v>#N/A</v>
      </c>
      <c r="BA32" s="1756" t="str">
        <f t="shared" si="28"/>
        <v>*</v>
      </c>
      <c r="BB32" s="1685" t="str">
        <f t="shared" si="29"/>
        <v>--</v>
      </c>
      <c r="BC32" s="1685" t="str">
        <f t="shared" si="30"/>
        <v>--</v>
      </c>
      <c r="BE32" s="1684" t="str">
        <f t="shared" si="31"/>
        <v>--</v>
      </c>
      <c r="BF32" s="1685" t="e">
        <f t="shared" si="32"/>
        <v>#N/A</v>
      </c>
      <c r="BG32" s="1686" t="e">
        <f t="shared" si="54"/>
        <v>#N/A</v>
      </c>
      <c r="BH32" s="1684">
        <f t="shared" si="33"/>
        <v>22466.926978936172</v>
      </c>
      <c r="BI32" s="1685" t="e">
        <f t="shared" si="34"/>
        <v>#N/A</v>
      </c>
      <c r="BJ32" s="1688" t="e">
        <f t="shared" si="55"/>
        <v>#N/A</v>
      </c>
      <c r="BK32" s="1685">
        <f t="shared" si="56"/>
        <v>22466.926978936172</v>
      </c>
      <c r="BL32" s="1685" t="e">
        <f t="shared" si="57"/>
        <v>#N/A</v>
      </c>
      <c r="BM32" s="1685">
        <v>22466.926978936172</v>
      </c>
      <c r="BN32" s="1686" t="str">
        <f t="shared" si="58"/>
        <v>--</v>
      </c>
      <c r="BP32" s="1756" t="str">
        <f t="shared" si="59"/>
        <v>*</v>
      </c>
      <c r="BQ32" s="1685" t="str">
        <f t="shared" si="36"/>
        <v>--</v>
      </c>
    </row>
    <row r="33" spans="1:69">
      <c r="A33" t="s">
        <v>137</v>
      </c>
      <c r="B33" t="s">
        <v>138</v>
      </c>
      <c r="C33" s="1684">
        <f t="shared" si="63"/>
        <v>0.29641719745222933</v>
      </c>
      <c r="D33" s="1685">
        <f t="shared" si="0"/>
        <v>0.3</v>
      </c>
      <c r="E33" s="1686">
        <f t="shared" si="62"/>
        <v>-1.2087026591458357E-2</v>
      </c>
      <c r="F33" s="1684">
        <f t="shared" si="64"/>
        <v>70.276590724379304</v>
      </c>
      <c r="G33" s="1685" t="str">
        <f t="shared" si="3"/>
        <v/>
      </c>
      <c r="H33" s="1688" t="str">
        <f t="shared" si="38"/>
        <v/>
      </c>
      <c r="I33" s="1685">
        <f t="shared" si="4"/>
        <v>0.29641719745222933</v>
      </c>
      <c r="J33" s="1685">
        <f t="shared" si="39"/>
        <v>0.3</v>
      </c>
      <c r="K33" s="1685">
        <f t="shared" si="65"/>
        <v>0.95</v>
      </c>
      <c r="L33" s="1686">
        <f t="shared" si="40"/>
        <v>-2.2049422508729513</v>
      </c>
      <c r="M33" s="1684">
        <f t="shared" si="66"/>
        <v>6.1774222222222219</v>
      </c>
      <c r="N33" s="1685">
        <f t="shared" si="7"/>
        <v>6.2</v>
      </c>
      <c r="O33" s="1686">
        <f t="shared" si="8"/>
        <v>-3.6548866121791953E-3</v>
      </c>
      <c r="P33" s="1684">
        <f t="shared" si="67"/>
        <v>1045.0526315789475</v>
      </c>
      <c r="Q33" s="1685" t="str">
        <f t="shared" si="10"/>
        <v/>
      </c>
      <c r="R33" s="1688" t="str">
        <f t="shared" si="60"/>
        <v/>
      </c>
      <c r="S33" s="1685">
        <f t="shared" si="41"/>
        <v>6.1774222222222219</v>
      </c>
      <c r="T33" s="1685">
        <f t="shared" si="42"/>
        <v>6.2</v>
      </c>
      <c r="U33" s="1685">
        <f t="shared" si="68"/>
        <v>20</v>
      </c>
      <c r="V33" s="1686">
        <f t="shared" si="61"/>
        <v>-2.2375964084263842</v>
      </c>
      <c r="W33" s="1756" t="str">
        <f t="shared" si="43"/>
        <v>*</v>
      </c>
      <c r="X33" s="1685" t="str">
        <f t="shared" si="12"/>
        <v>--</v>
      </c>
      <c r="Z33" t="str">
        <f t="shared" si="13"/>
        <v>x</v>
      </c>
      <c r="AA33" t="str">
        <f t="shared" si="14"/>
        <v>x</v>
      </c>
      <c r="AB33" t="str">
        <f t="shared" si="15"/>
        <v>--</v>
      </c>
      <c r="AC33" t="str">
        <f t="shared" si="16"/>
        <v>--</v>
      </c>
      <c r="AF33" s="1684" t="str">
        <f t="shared" si="17"/>
        <v>--</v>
      </c>
      <c r="AG33" s="1685">
        <f t="shared" si="18"/>
        <v>6.8000000000000001E-6</v>
      </c>
      <c r="AH33" s="1686" t="e">
        <f t="shared" si="44"/>
        <v>#VALUE!</v>
      </c>
      <c r="AI33" s="1684" t="str">
        <f t="shared" si="19"/>
        <v>--</v>
      </c>
      <c r="AJ33" s="1685" t="str">
        <f t="shared" si="20"/>
        <v/>
      </c>
      <c r="AK33" s="1688" t="str">
        <f t="shared" si="45"/>
        <v/>
      </c>
      <c r="AL33" s="1685">
        <f t="shared" si="46"/>
        <v>0</v>
      </c>
      <c r="AM33" s="1685">
        <f t="shared" si="47"/>
        <v>6.8000000000000001E-6</v>
      </c>
      <c r="AN33" s="1685">
        <f t="shared" si="21"/>
        <v>9.2E-5</v>
      </c>
      <c r="AO33" s="1686" t="e">
        <f t="shared" si="48"/>
        <v>#DIV/0!</v>
      </c>
      <c r="AP33" s="1684" t="str">
        <f t="shared" si="22"/>
        <v>--</v>
      </c>
      <c r="AQ33" s="1685">
        <f t="shared" si="23"/>
        <v>8.2000000000000001E-5</v>
      </c>
      <c r="AR33" s="1686" t="e">
        <f t="shared" si="49"/>
        <v>#VALUE!</v>
      </c>
      <c r="AS33" s="1684" t="str">
        <f t="shared" si="25"/>
        <v>--</v>
      </c>
      <c r="AT33" s="1685" t="str">
        <f t="shared" si="26"/>
        <v/>
      </c>
      <c r="AU33" s="1688" t="str">
        <f t="shared" si="50"/>
        <v/>
      </c>
      <c r="AV33" s="1685">
        <f t="shared" si="51"/>
        <v>0</v>
      </c>
      <c r="AW33" s="1685">
        <f t="shared" si="52"/>
        <v>8.2000000000000001E-5</v>
      </c>
      <c r="AX33" s="1685">
        <f t="shared" si="27"/>
        <v>1.1000000000000001E-3</v>
      </c>
      <c r="AY33" s="1686" t="e">
        <f t="shared" si="53"/>
        <v>#DIV/0!</v>
      </c>
      <c r="BA33" s="1756" t="str">
        <f t="shared" si="28"/>
        <v>*</v>
      </c>
      <c r="BB33" s="1685" t="str">
        <f t="shared" si="29"/>
        <v>--</v>
      </c>
      <c r="BC33" s="1685" t="str">
        <f t="shared" si="30"/>
        <v>--</v>
      </c>
      <c r="BE33" s="1684">
        <f t="shared" si="31"/>
        <v>3.5012574617982434E-2</v>
      </c>
      <c r="BF33" s="1685" t="str">
        <f t="shared" si="32"/>
        <v/>
      </c>
      <c r="BG33" s="1686" t="str">
        <f t="shared" si="54"/>
        <v/>
      </c>
      <c r="BH33" s="1684">
        <f t="shared" si="33"/>
        <v>13.345022245766152</v>
      </c>
      <c r="BI33" s="1685" t="str">
        <f t="shared" si="34"/>
        <v/>
      </c>
      <c r="BJ33" s="1688" t="str">
        <f t="shared" si="55"/>
        <v/>
      </c>
      <c r="BK33" s="1685">
        <f t="shared" si="56"/>
        <v>3.5012574617982434E-2</v>
      </c>
      <c r="BL33" s="1691" t="str">
        <f t="shared" si="57"/>
        <v/>
      </c>
      <c r="BM33" s="1685">
        <f t="shared" ref="BM33:BM64" si="95">IF(VLOOKUP($B33,Table_RSL_SL,MATCH("tap",Heading_RSL_SL,0),FALSE)=0,"--",VLOOKUP($B33,Table_RSL_SL,MATCH("tap",Heading_RSL_SL,0),FALSE))</f>
        <v>0.11</v>
      </c>
      <c r="BN33" s="1686">
        <f t="shared" si="58"/>
        <v>-2.1417283990165088</v>
      </c>
      <c r="BO33" s="727" t="s">
        <v>4197</v>
      </c>
      <c r="BP33" s="1756" t="str">
        <f t="shared" si="59"/>
        <v>*</v>
      </c>
      <c r="BQ33" s="1685" t="str">
        <f t="shared" si="36"/>
        <v>--</v>
      </c>
    </row>
    <row r="34" spans="1:69">
      <c r="A34" t="s">
        <v>139</v>
      </c>
      <c r="B34" t="s">
        <v>140</v>
      </c>
      <c r="C34" s="1684">
        <f t="shared" si="63"/>
        <v>424.27350427350439</v>
      </c>
      <c r="D34" s="1685" t="str">
        <f t="shared" si="0"/>
        <v/>
      </c>
      <c r="E34" s="1686" t="str">
        <f t="shared" si="62"/>
        <v/>
      </c>
      <c r="F34" s="1684">
        <f t="shared" si="64"/>
        <v>23.399764305355507</v>
      </c>
      <c r="G34" s="1685" t="str">
        <f t="shared" si="3"/>
        <v/>
      </c>
      <c r="H34" s="1688" t="str">
        <f t="shared" si="38"/>
        <v/>
      </c>
      <c r="I34" s="1685">
        <f t="shared" si="4"/>
        <v>23.399764305355507</v>
      </c>
      <c r="J34" s="1685" t="str">
        <f t="shared" si="39"/>
        <v/>
      </c>
      <c r="K34" s="1685">
        <f t="shared" si="65"/>
        <v>23</v>
      </c>
      <c r="L34" s="1686">
        <f t="shared" si="40"/>
        <v>1.7084116751723572E-2</v>
      </c>
      <c r="M34" s="1684">
        <f t="shared" si="66"/>
        <v>1853.2266666666669</v>
      </c>
      <c r="N34" s="1685" t="str">
        <f t="shared" si="7"/>
        <v/>
      </c>
      <c r="O34" s="1686" t="str">
        <f t="shared" si="8"/>
        <v/>
      </c>
      <c r="P34" s="1684">
        <f t="shared" si="67"/>
        <v>346.99805825242714</v>
      </c>
      <c r="Q34" s="1685" t="str">
        <f t="shared" si="10"/>
        <v/>
      </c>
      <c r="R34" s="1688" t="str">
        <f t="shared" si="60"/>
        <v/>
      </c>
      <c r="S34" s="1685">
        <f t="shared" si="41"/>
        <v>346.99805825242714</v>
      </c>
      <c r="T34" s="1685" t="str">
        <f t="shared" si="42"/>
        <v/>
      </c>
      <c r="U34" s="1685">
        <f t="shared" si="68"/>
        <v>350</v>
      </c>
      <c r="V34" s="1686">
        <f t="shared" si="61"/>
        <v>-8.6511773659236606E-3</v>
      </c>
      <c r="W34" s="1756" t="str">
        <f t="shared" si="43"/>
        <v/>
      </c>
      <c r="X34" s="1685" t="str">
        <f t="shared" si="12"/>
        <v>--</v>
      </c>
      <c r="Z34" t="str">
        <f t="shared" si="13"/>
        <v>--</v>
      </c>
      <c r="AA34" t="str">
        <f t="shared" si="14"/>
        <v>--</v>
      </c>
      <c r="AB34" t="str">
        <f t="shared" si="15"/>
        <v>--</v>
      </c>
      <c r="AC34" t="str">
        <f t="shared" si="16"/>
        <v>--</v>
      </c>
      <c r="AF34" s="1684" t="str">
        <f t="shared" si="17"/>
        <v>--</v>
      </c>
      <c r="AG34" s="1685" t="str">
        <f t="shared" si="18"/>
        <v/>
      </c>
      <c r="AH34" s="1686" t="str">
        <f t="shared" si="44"/>
        <v/>
      </c>
      <c r="AI34" s="1684" t="str">
        <f t="shared" si="19"/>
        <v>--</v>
      </c>
      <c r="AJ34" s="1685" t="str">
        <f t="shared" si="20"/>
        <v/>
      </c>
      <c r="AK34" s="1688" t="str">
        <f t="shared" si="45"/>
        <v/>
      </c>
      <c r="AL34" s="1685">
        <f t="shared" si="46"/>
        <v>0</v>
      </c>
      <c r="AM34" s="1685" t="str">
        <f t="shared" si="47"/>
        <v/>
      </c>
      <c r="AN34" s="1685">
        <f t="shared" si="21"/>
        <v>3.1E-4</v>
      </c>
      <c r="AO34" s="1686" t="e">
        <f t="shared" si="48"/>
        <v>#DIV/0!</v>
      </c>
      <c r="AP34" s="1684" t="str">
        <f t="shared" si="22"/>
        <v>--</v>
      </c>
      <c r="AQ34" s="1685" t="str">
        <f t="shared" si="23"/>
        <v/>
      </c>
      <c r="AR34" s="1686" t="str">
        <f t="shared" si="49"/>
        <v/>
      </c>
      <c r="AS34" s="1684" t="str">
        <f t="shared" si="25"/>
        <v>--</v>
      </c>
      <c r="AT34" s="1685" t="str">
        <f t="shared" si="26"/>
        <v/>
      </c>
      <c r="AU34" s="1688" t="str">
        <f t="shared" si="50"/>
        <v/>
      </c>
      <c r="AV34" s="1685">
        <f t="shared" si="51"/>
        <v>0</v>
      </c>
      <c r="AW34" s="1685" t="str">
        <f t="shared" si="52"/>
        <v/>
      </c>
      <c r="AX34" s="1685">
        <f t="shared" si="27"/>
        <v>1.4E-3</v>
      </c>
      <c r="AY34" s="1686" t="e">
        <f t="shared" si="53"/>
        <v>#DIV/0!</v>
      </c>
      <c r="BA34" s="1756" t="str">
        <f t="shared" si="28"/>
        <v/>
      </c>
      <c r="BB34" s="1685" t="str">
        <f t="shared" si="29"/>
        <v>--</v>
      </c>
      <c r="BC34" s="1685" t="str">
        <f t="shared" si="30"/>
        <v>--</v>
      </c>
      <c r="BE34" s="1684" t="str">
        <f t="shared" si="31"/>
        <v>--</v>
      </c>
      <c r="BF34" s="1685" t="str">
        <f t="shared" si="32"/>
        <v/>
      </c>
      <c r="BG34" s="1686" t="str">
        <f t="shared" si="54"/>
        <v/>
      </c>
      <c r="BH34" s="1684">
        <f t="shared" si="33"/>
        <v>6.0058974292762528</v>
      </c>
      <c r="BI34" s="1685" t="str">
        <f t="shared" si="34"/>
        <v/>
      </c>
      <c r="BJ34" s="1688" t="str">
        <f t="shared" si="55"/>
        <v/>
      </c>
      <c r="BK34" s="1685">
        <f t="shared" si="56"/>
        <v>6.0058974292762528</v>
      </c>
      <c r="BL34" s="1685" t="str">
        <f t="shared" si="57"/>
        <v/>
      </c>
      <c r="BM34" s="1685">
        <f t="shared" si="95"/>
        <v>6</v>
      </c>
      <c r="BN34" s="1686">
        <f t="shared" si="58"/>
        <v>9.8193972602750291E-4</v>
      </c>
      <c r="BP34" s="1756" t="str">
        <f t="shared" si="59"/>
        <v/>
      </c>
      <c r="BQ34" s="1685" t="str">
        <f t="shared" si="36"/>
        <v>--</v>
      </c>
    </row>
    <row r="35" spans="1:69">
      <c r="A35" t="s">
        <v>141</v>
      </c>
      <c r="B35" t="s">
        <v>142</v>
      </c>
      <c r="C35" s="1684" t="str">
        <f t="shared" si="63"/>
        <v>--</v>
      </c>
      <c r="D35" s="1685" t="str">
        <f t="shared" si="0"/>
        <v/>
      </c>
      <c r="E35" s="1686" t="str">
        <f t="shared" si="62"/>
        <v/>
      </c>
      <c r="F35" s="1684">
        <f t="shared" si="64"/>
        <v>3128.5714285714284</v>
      </c>
      <c r="G35" s="1685" t="str">
        <f t="shared" si="3"/>
        <v/>
      </c>
      <c r="H35" s="1688" t="str">
        <f t="shared" si="38"/>
        <v/>
      </c>
      <c r="I35" s="1685">
        <f t="shared" si="4"/>
        <v>3128.5714285714284</v>
      </c>
      <c r="J35" s="1685" t="str">
        <f t="shared" si="39"/>
        <v/>
      </c>
      <c r="K35" s="1685">
        <f t="shared" si="65"/>
        <v>3100</v>
      </c>
      <c r="L35" s="1686">
        <f t="shared" si="40"/>
        <v>9.1324200913241605E-3</v>
      </c>
      <c r="M35" s="1684" t="str">
        <f t="shared" si="66"/>
        <v>--</v>
      </c>
      <c r="N35" s="1685" t="str">
        <f t="shared" si="7"/>
        <v/>
      </c>
      <c r="O35" s="1686" t="str">
        <f t="shared" si="8"/>
        <v/>
      </c>
      <c r="P35" s="1684">
        <f t="shared" si="67"/>
        <v>46720</v>
      </c>
      <c r="Q35" s="1685" t="str">
        <f t="shared" si="10"/>
        <v/>
      </c>
      <c r="R35" s="1688" t="str">
        <f t="shared" si="60"/>
        <v/>
      </c>
      <c r="S35" s="1685">
        <f t="shared" si="41"/>
        <v>46720</v>
      </c>
      <c r="T35" s="1685" t="str">
        <f t="shared" si="42"/>
        <v/>
      </c>
      <c r="U35" s="1685">
        <f t="shared" si="68"/>
        <v>47000</v>
      </c>
      <c r="V35" s="1686">
        <f t="shared" si="61"/>
        <v>-5.9931506849315065E-3</v>
      </c>
      <c r="W35" s="1756" t="str">
        <f t="shared" si="43"/>
        <v/>
      </c>
      <c r="X35" s="1685" t="str">
        <f t="shared" si="12"/>
        <v>--</v>
      </c>
      <c r="Z35" t="str">
        <f t="shared" si="13"/>
        <v>--</v>
      </c>
      <c r="AA35" t="str">
        <f t="shared" si="14"/>
        <v>--</v>
      </c>
      <c r="AB35" t="str">
        <f t="shared" si="15"/>
        <v>--</v>
      </c>
      <c r="AC35" t="str">
        <f t="shared" si="16"/>
        <v>--</v>
      </c>
      <c r="AF35" s="1684" t="str">
        <f t="shared" si="17"/>
        <v>--</v>
      </c>
      <c r="AG35" s="1685" t="str">
        <f t="shared" si="18"/>
        <v/>
      </c>
      <c r="AH35" s="1686" t="str">
        <f t="shared" si="44"/>
        <v/>
      </c>
      <c r="AI35" s="1684" t="str">
        <f t="shared" si="19"/>
        <v>--</v>
      </c>
      <c r="AJ35" s="1685" t="str">
        <f t="shared" si="20"/>
        <v/>
      </c>
      <c r="AK35" s="1688" t="str">
        <f t="shared" si="45"/>
        <v/>
      </c>
      <c r="AL35" s="1685">
        <f t="shared" si="46"/>
        <v>0</v>
      </c>
      <c r="AM35" s="1685" t="str">
        <f t="shared" si="47"/>
        <v/>
      </c>
      <c r="AN35" s="1685" t="str">
        <f t="shared" si="21"/>
        <v>--</v>
      </c>
      <c r="AO35" s="1686" t="str">
        <f t="shared" si="48"/>
        <v>N</v>
      </c>
      <c r="AP35" s="1684" t="str">
        <f t="shared" si="22"/>
        <v>--</v>
      </c>
      <c r="AQ35" s="1685" t="str">
        <f t="shared" si="23"/>
        <v/>
      </c>
      <c r="AR35" s="1686" t="str">
        <f t="shared" si="49"/>
        <v/>
      </c>
      <c r="AS35" s="1684" t="str">
        <f t="shared" si="25"/>
        <v>--</v>
      </c>
      <c r="AT35" s="1685" t="str">
        <f t="shared" si="26"/>
        <v/>
      </c>
      <c r="AU35" s="1688" t="str">
        <f t="shared" si="50"/>
        <v/>
      </c>
      <c r="AV35" s="1685">
        <f t="shared" si="51"/>
        <v>0</v>
      </c>
      <c r="AW35" s="1685" t="str">
        <f t="shared" si="52"/>
        <v/>
      </c>
      <c r="AX35" s="1685" t="str">
        <f t="shared" si="27"/>
        <v>--</v>
      </c>
      <c r="AY35" s="1686" t="str">
        <f t="shared" si="53"/>
        <v>N</v>
      </c>
      <c r="BA35" s="1756" t="str">
        <f t="shared" si="28"/>
        <v/>
      </c>
      <c r="BB35" s="1685" t="str">
        <f t="shared" si="29"/>
        <v>--</v>
      </c>
      <c r="BC35" s="1685" t="str">
        <f t="shared" si="30"/>
        <v>--</v>
      </c>
      <c r="BE35" s="1684" t="str">
        <f t="shared" si="31"/>
        <v>--</v>
      </c>
      <c r="BF35" s="1685" t="str">
        <f t="shared" si="32"/>
        <v/>
      </c>
      <c r="BG35" s="1686" t="str">
        <f t="shared" si="54"/>
        <v/>
      </c>
      <c r="BH35" s="1684">
        <f t="shared" si="33"/>
        <v>798.67839513125648</v>
      </c>
      <c r="BI35" s="1685" t="str">
        <f t="shared" si="34"/>
        <v/>
      </c>
      <c r="BJ35" s="1688" t="str">
        <f t="shared" si="55"/>
        <v/>
      </c>
      <c r="BK35" s="1685">
        <f t="shared" si="56"/>
        <v>798.67839513125648</v>
      </c>
      <c r="BL35" s="1685" t="str">
        <f t="shared" si="57"/>
        <v/>
      </c>
      <c r="BM35" s="1685">
        <f t="shared" si="95"/>
        <v>800</v>
      </c>
      <c r="BN35" s="1686">
        <f t="shared" si="58"/>
        <v>-1.6547397260274271E-3</v>
      </c>
      <c r="BP35" s="1756" t="str">
        <f t="shared" si="59"/>
        <v/>
      </c>
      <c r="BQ35" s="1685" t="str">
        <f t="shared" si="36"/>
        <v>--</v>
      </c>
    </row>
    <row r="36" spans="1:69">
      <c r="A36" t="s">
        <v>143</v>
      </c>
      <c r="B36" t="s">
        <v>144</v>
      </c>
      <c r="C36" s="1684" t="str">
        <f t="shared" si="63"/>
        <v>--</v>
      </c>
      <c r="D36" s="1685" t="str">
        <f t="shared" si="0"/>
        <v/>
      </c>
      <c r="E36" s="1686" t="str">
        <f t="shared" si="62"/>
        <v/>
      </c>
      <c r="F36" s="1684">
        <f t="shared" si="64"/>
        <v>24.007383024290597</v>
      </c>
      <c r="G36" s="1685" t="str">
        <f t="shared" si="3"/>
        <v/>
      </c>
      <c r="H36" s="1688" t="str">
        <f t="shared" si="38"/>
        <v/>
      </c>
      <c r="I36" s="1685">
        <f t="shared" si="4"/>
        <v>24.007383024290597</v>
      </c>
      <c r="J36" s="1685" t="str">
        <f t="shared" si="39"/>
        <v/>
      </c>
      <c r="K36" s="1685">
        <f t="shared" si="65"/>
        <v>24</v>
      </c>
      <c r="L36" s="1686">
        <f t="shared" si="40"/>
        <v>3.0753140744773744E-4</v>
      </c>
      <c r="M36" s="1684" t="str">
        <f t="shared" si="66"/>
        <v>--</v>
      </c>
      <c r="N36" s="1685" t="str">
        <f t="shared" si="7"/>
        <v/>
      </c>
      <c r="O36" s="1686" t="str">
        <f t="shared" si="8"/>
        <v/>
      </c>
      <c r="P36" s="1684">
        <f t="shared" si="67"/>
        <v>157.06269570908614</v>
      </c>
      <c r="Q36" s="1685" t="str">
        <f t="shared" si="10"/>
        <v/>
      </c>
      <c r="R36" s="1688" t="str">
        <f t="shared" si="60"/>
        <v/>
      </c>
      <c r="S36" s="1685">
        <f t="shared" si="41"/>
        <v>157.06269570908614</v>
      </c>
      <c r="T36" s="1685" t="str">
        <f t="shared" si="42"/>
        <v/>
      </c>
      <c r="U36" s="1685">
        <f t="shared" si="68"/>
        <v>160</v>
      </c>
      <c r="V36" s="1686">
        <f t="shared" si="61"/>
        <v>-1.8701476360461662E-2</v>
      </c>
      <c r="W36" s="1756" t="str">
        <f t="shared" si="43"/>
        <v/>
      </c>
      <c r="X36" s="1685" t="str">
        <f t="shared" si="12"/>
        <v>--</v>
      </c>
      <c r="Z36" t="str">
        <f t="shared" si="13"/>
        <v>--</v>
      </c>
      <c r="AA36" t="str">
        <f t="shared" si="14"/>
        <v>--</v>
      </c>
      <c r="AB36" t="str">
        <f t="shared" si="15"/>
        <v>--</v>
      </c>
      <c r="AC36" t="str">
        <f t="shared" si="16"/>
        <v>--</v>
      </c>
      <c r="AF36" s="1684" t="str">
        <f t="shared" si="17"/>
        <v>--</v>
      </c>
      <c r="AG36" s="1685" t="str">
        <f t="shared" si="18"/>
        <v/>
      </c>
      <c r="AH36" s="1686" t="str">
        <f t="shared" si="44"/>
        <v/>
      </c>
      <c r="AI36" s="1684">
        <f t="shared" si="19"/>
        <v>0.8342857142857143</v>
      </c>
      <c r="AJ36" s="1685" t="str">
        <f t="shared" si="20"/>
        <v/>
      </c>
      <c r="AK36" s="1688" t="str">
        <f t="shared" si="45"/>
        <v/>
      </c>
      <c r="AL36" s="1685">
        <f t="shared" si="46"/>
        <v>0.8342857142857143</v>
      </c>
      <c r="AM36" s="1685" t="str">
        <f t="shared" si="47"/>
        <v/>
      </c>
      <c r="AN36" s="1685">
        <f t="shared" si="21"/>
        <v>0.83</v>
      </c>
      <c r="AO36" s="1686">
        <f t="shared" si="48"/>
        <v>5.1369863013699243E-3</v>
      </c>
      <c r="AP36" s="1684" t="str">
        <f t="shared" si="22"/>
        <v>--</v>
      </c>
      <c r="AQ36" s="1685" t="str">
        <f t="shared" si="23"/>
        <v/>
      </c>
      <c r="AR36" s="1686" t="str">
        <f t="shared" si="49"/>
        <v/>
      </c>
      <c r="AS36" s="1684">
        <f t="shared" si="25"/>
        <v>3.5039999999999996</v>
      </c>
      <c r="AT36" s="1685" t="str">
        <f t="shared" si="26"/>
        <v/>
      </c>
      <c r="AU36" s="1688" t="str">
        <f t="shared" si="50"/>
        <v/>
      </c>
      <c r="AV36" s="1685">
        <f t="shared" si="51"/>
        <v>3.5039999999999996</v>
      </c>
      <c r="AW36" s="1685" t="str">
        <f t="shared" si="52"/>
        <v/>
      </c>
      <c r="AX36" s="1685">
        <f t="shared" si="27"/>
        <v>3.5</v>
      </c>
      <c r="AY36" s="1686">
        <f t="shared" si="53"/>
        <v>1.1415525114153995E-3</v>
      </c>
      <c r="BA36" s="1756" t="str">
        <f t="shared" si="28"/>
        <v/>
      </c>
      <c r="BB36" s="1685" t="str">
        <f t="shared" si="29"/>
        <v>V</v>
      </c>
      <c r="BC36" s="1685" t="str">
        <f t="shared" si="30"/>
        <v>--</v>
      </c>
      <c r="BE36" s="1684" t="str">
        <f t="shared" si="31"/>
        <v>--</v>
      </c>
      <c r="BF36" s="1685" t="str">
        <f t="shared" si="32"/>
        <v/>
      </c>
      <c r="BG36" s="1686" t="str">
        <f t="shared" si="54"/>
        <v/>
      </c>
      <c r="BH36" s="1684">
        <f t="shared" si="33"/>
        <v>1.4645870965503094</v>
      </c>
      <c r="BI36" s="1685" t="str">
        <f t="shared" si="34"/>
        <v/>
      </c>
      <c r="BJ36" s="1688" t="str">
        <f t="shared" si="55"/>
        <v/>
      </c>
      <c r="BK36" s="1685">
        <f t="shared" si="56"/>
        <v>1.4645870965503094</v>
      </c>
      <c r="BL36" s="1685" t="str">
        <f t="shared" si="57"/>
        <v/>
      </c>
      <c r="BM36" s="1685">
        <f t="shared" si="95"/>
        <v>1.5</v>
      </c>
      <c r="BN36" s="1686">
        <f t="shared" si="58"/>
        <v>-2.4179445205479565E-2</v>
      </c>
      <c r="BP36" s="1756" t="str">
        <f t="shared" si="59"/>
        <v/>
      </c>
      <c r="BQ36" s="1685" t="str">
        <f t="shared" si="36"/>
        <v>--</v>
      </c>
    </row>
    <row r="37" spans="1:69" ht="15">
      <c r="A37" t="s">
        <v>145</v>
      </c>
      <c r="B37" t="s">
        <v>146</v>
      </c>
      <c r="C37" s="1684">
        <f t="shared" si="63"/>
        <v>8.2766439909297063</v>
      </c>
      <c r="D37" s="1685">
        <f t="shared" si="0"/>
        <v>0.94</v>
      </c>
      <c r="E37" s="1692">
        <f t="shared" si="62"/>
        <v>0.88642739726027409</v>
      </c>
      <c r="F37" s="1684">
        <f t="shared" si="64"/>
        <v>1564.2857142857142</v>
      </c>
      <c r="G37" s="1685">
        <f t="shared" si="3"/>
        <v>470</v>
      </c>
      <c r="H37" s="1693">
        <f t="shared" si="38"/>
        <v>0.69954337899543373</v>
      </c>
      <c r="I37" s="1685">
        <f t="shared" si="4"/>
        <v>8.2766439909297063</v>
      </c>
      <c r="J37" s="1685">
        <f t="shared" si="39"/>
        <v>0.94</v>
      </c>
      <c r="K37" s="1685">
        <f t="shared" si="65"/>
        <v>8.3000000000000007</v>
      </c>
      <c r="L37" s="1686">
        <f t="shared" si="40"/>
        <v>-2.8219178082191372E-3</v>
      </c>
      <c r="M37" s="1684">
        <f t="shared" si="66"/>
        <v>38.933333333333337</v>
      </c>
      <c r="N37" s="1685">
        <f t="shared" si="7"/>
        <v>4.0999999999999996</v>
      </c>
      <c r="O37" s="1692">
        <f t="shared" si="8"/>
        <v>0.8946917808219178</v>
      </c>
      <c r="P37" s="1684">
        <f t="shared" si="67"/>
        <v>23360</v>
      </c>
      <c r="Q37" s="1685">
        <f t="shared" si="10"/>
        <v>2500</v>
      </c>
      <c r="R37" s="1693">
        <f t="shared" si="60"/>
        <v>0.89297945205479456</v>
      </c>
      <c r="S37" s="1685">
        <f t="shared" si="41"/>
        <v>38.933333333333337</v>
      </c>
      <c r="T37" s="1685">
        <f t="shared" si="42"/>
        <v>4.0999999999999996</v>
      </c>
      <c r="U37" s="1685">
        <f t="shared" si="68"/>
        <v>39</v>
      </c>
      <c r="V37" s="1686">
        <f t="shared" si="61"/>
        <v>-1.7123287671231902E-3</v>
      </c>
      <c r="W37" s="1756" t="str">
        <f t="shared" si="43"/>
        <v/>
      </c>
      <c r="X37" s="1685" t="str">
        <f t="shared" si="12"/>
        <v>Route IUR &amp; RfC</v>
      </c>
      <c r="Z37" t="str">
        <f t="shared" si="13"/>
        <v>--</v>
      </c>
      <c r="AA37" t="str">
        <f t="shared" si="14"/>
        <v>--</v>
      </c>
      <c r="AB37" t="str">
        <f t="shared" si="15"/>
        <v>--</v>
      </c>
      <c r="AC37" t="str">
        <f t="shared" si="16"/>
        <v>--</v>
      </c>
      <c r="AF37" s="1684" t="str">
        <f t="shared" si="17"/>
        <v>--</v>
      </c>
      <c r="AG37" s="1685">
        <f t="shared" si="18"/>
        <v>0.13</v>
      </c>
      <c r="AH37" s="1686" t="e">
        <f t="shared" si="44"/>
        <v>#VALUE!</v>
      </c>
      <c r="AI37" s="1684" t="str">
        <f t="shared" si="19"/>
        <v>--</v>
      </c>
      <c r="AJ37" s="1685">
        <f t="shared" si="20"/>
        <v>470</v>
      </c>
      <c r="AK37" s="1688" t="e">
        <f t="shared" si="45"/>
        <v>#VALUE!</v>
      </c>
      <c r="AL37" s="1685">
        <f t="shared" si="46"/>
        <v>0</v>
      </c>
      <c r="AM37" s="1685">
        <f t="shared" si="47"/>
        <v>0.13</v>
      </c>
      <c r="AN37" s="1685" t="str">
        <f t="shared" si="21"/>
        <v>--</v>
      </c>
      <c r="AO37" s="1686" t="str">
        <f t="shared" si="48"/>
        <v>N</v>
      </c>
      <c r="AP37" s="1684" t="str">
        <f t="shared" si="22"/>
        <v>--</v>
      </c>
      <c r="AQ37" s="1685">
        <f t="shared" si="23"/>
        <v>0.57999999999999996</v>
      </c>
      <c r="AR37" s="1686" t="e">
        <f t="shared" si="49"/>
        <v>#VALUE!</v>
      </c>
      <c r="AS37" s="1684" t="str">
        <f t="shared" si="25"/>
        <v>--</v>
      </c>
      <c r="AT37" s="1685">
        <f t="shared" si="26"/>
        <v>350</v>
      </c>
      <c r="AU37" s="1688" t="e">
        <f t="shared" si="50"/>
        <v>#VALUE!</v>
      </c>
      <c r="AV37" s="1685">
        <f t="shared" si="51"/>
        <v>0</v>
      </c>
      <c r="AW37" s="1685">
        <f t="shared" si="52"/>
        <v>0.57999999999999996</v>
      </c>
      <c r="AX37" s="1685" t="str">
        <f t="shared" si="27"/>
        <v>--</v>
      </c>
      <c r="AY37" s="1686" t="str">
        <f t="shared" si="53"/>
        <v>N</v>
      </c>
      <c r="BA37" s="1756" t="str">
        <f t="shared" si="28"/>
        <v/>
      </c>
      <c r="BB37" s="1685" t="str">
        <f t="shared" si="29"/>
        <v>V</v>
      </c>
      <c r="BC37" s="1685" t="str">
        <f t="shared" si="30"/>
        <v>Route IUR &amp; RfC</v>
      </c>
      <c r="BE37" s="1684">
        <f t="shared" si="31"/>
        <v>0.87113451867625191</v>
      </c>
      <c r="BF37" s="1685">
        <f t="shared" si="32"/>
        <v>0.2</v>
      </c>
      <c r="BG37" s="1686">
        <f t="shared" si="54"/>
        <v>0.77041433244556345</v>
      </c>
      <c r="BH37" s="1684">
        <f t="shared" si="33"/>
        <v>378.5776477689576</v>
      </c>
      <c r="BI37" s="1685">
        <f t="shared" si="34"/>
        <v>120</v>
      </c>
      <c r="BJ37" s="1688">
        <f t="shared" si="55"/>
        <v>0.68302407522687425</v>
      </c>
      <c r="BK37" s="1685">
        <f t="shared" si="56"/>
        <v>0.87113451867625191</v>
      </c>
      <c r="BL37" s="1685">
        <f t="shared" si="57"/>
        <v>0.2</v>
      </c>
      <c r="BM37" s="1685">
        <f t="shared" si="95"/>
        <v>0.87</v>
      </c>
      <c r="BN37" s="1686">
        <f t="shared" si="58"/>
        <v>1.3023461382013592E-3</v>
      </c>
      <c r="BP37" s="1756" t="str">
        <f t="shared" si="59"/>
        <v/>
      </c>
      <c r="BQ37" s="1685" t="str">
        <f t="shared" si="36"/>
        <v>Route IUR &amp; RfC</v>
      </c>
    </row>
    <row r="38" spans="1:69">
      <c r="A38" s="55" t="s">
        <v>147</v>
      </c>
      <c r="B38" t="s">
        <v>148</v>
      </c>
      <c r="C38" s="1684">
        <f t="shared" si="63"/>
        <v>4.3349761963071068E-3</v>
      </c>
      <c r="D38" s="1685">
        <f t="shared" si="0"/>
        <v>4.3E-3</v>
      </c>
      <c r="E38" s="1686">
        <f t="shared" si="62"/>
        <v>8.0683710182543611E-3</v>
      </c>
      <c r="F38" s="1684">
        <f t="shared" si="64"/>
        <v>4.6774840923087861</v>
      </c>
      <c r="G38" s="1685" t="str">
        <f t="shared" si="3"/>
        <v/>
      </c>
      <c r="H38" s="1688" t="str">
        <f t="shared" si="38"/>
        <v/>
      </c>
      <c r="I38" s="1685">
        <f t="shared" si="4"/>
        <v>4.3349761963071068E-3</v>
      </c>
      <c r="J38" s="1685">
        <f t="shared" si="39"/>
        <v>4.3E-3</v>
      </c>
      <c r="K38" s="1685">
        <f t="shared" si="65"/>
        <v>5.3E-3</v>
      </c>
      <c r="L38" s="1686">
        <f t="shared" si="40"/>
        <v>-0.22261340316354697</v>
      </c>
      <c r="M38" s="1684">
        <f t="shared" si="66"/>
        <v>5.6384368128259144E-2</v>
      </c>
      <c r="N38" s="1685">
        <f t="shared" si="7"/>
        <v>5.7000000000000002E-2</v>
      </c>
      <c r="O38" s="1686">
        <f t="shared" si="8"/>
        <v>-1.0918484895325296E-2</v>
      </c>
      <c r="P38" s="1684">
        <f t="shared" si="67"/>
        <v>24.588657747922781</v>
      </c>
      <c r="Q38" s="1685" t="str">
        <f t="shared" si="10"/>
        <v/>
      </c>
      <c r="R38" s="1688" t="str">
        <f t="shared" si="60"/>
        <v/>
      </c>
      <c r="S38" s="1685">
        <f t="shared" si="41"/>
        <v>5.6384368128259144E-2</v>
      </c>
      <c r="T38" s="1685">
        <f t="shared" si="42"/>
        <v>5.7000000000000002E-2</v>
      </c>
      <c r="U38" s="1685">
        <f t="shared" si="68"/>
        <v>6.4000000000000001E-2</v>
      </c>
      <c r="V38" s="1686">
        <f t="shared" si="61"/>
        <v>-0.13506636900527752</v>
      </c>
      <c r="W38" s="1756" t="str">
        <f t="shared" si="43"/>
        <v>*</v>
      </c>
      <c r="X38" s="1685" t="str">
        <f t="shared" ref="X38:X69" si="96">VLOOKUP($B38,Table_N10,MATCH("r",Heading_N10,0),FALSE)</f>
        <v>--</v>
      </c>
      <c r="Z38" t="str">
        <f t="shared" ref="Z38:Z69" si="97">VLOOKUP($A38,Table_RSL_C,MATCH("sfo-c",Heading_RSL_C,0),FALSE)</f>
        <v>x</v>
      </c>
      <c r="AA38" t="str">
        <f t="shared" ref="AA38:AA69" si="98">VLOOKUP($A38,Table_RSL_C,MATCH("IUR-c",Heading_RSL_C,0),FALSE)</f>
        <v>--</v>
      </c>
      <c r="AB38" t="str">
        <f t="shared" ref="AB38:AB69" si="99">VLOOKUP($A38,Table_RSL_C,MATCH("rfdo-c",Heading_RSL_C,0),FALSE)</f>
        <v>--</v>
      </c>
      <c r="AC38" t="str">
        <f t="shared" ref="AC38:AC69" si="100">VLOOKUP($A38,Table_RSL_C,MATCH("rfc-c",Heading_RSL_C,0),FALSE)</f>
        <v>--</v>
      </c>
      <c r="AF38" s="1684">
        <f t="shared" ref="AF38:AF69" si="101">VLOOKUP($A38,Table_V_Summary,MATCH("IA-Res-C",heading_V_Summary,0),FALSE)</f>
        <v>1.6898148148148143E-4</v>
      </c>
      <c r="AG38" s="1685" t="str">
        <f t="shared" si="18"/>
        <v/>
      </c>
      <c r="AH38" s="1686" t="str">
        <f t="shared" si="44"/>
        <v/>
      </c>
      <c r="AI38" s="1684">
        <f t="shared" ref="AI38:AI69" si="102">VLOOKUP($A38,Table_V_Summary,MATCH("IA-Res-nC",heading_V_Summary,0),FALSE)</f>
        <v>0.20857142857142857</v>
      </c>
      <c r="AJ38" s="1685" t="str">
        <f t="shared" si="20"/>
        <v/>
      </c>
      <c r="AK38" s="1688" t="str">
        <f t="shared" si="45"/>
        <v/>
      </c>
      <c r="AL38" s="1685">
        <f t="shared" si="46"/>
        <v>1.6898148148148143E-4</v>
      </c>
      <c r="AM38" s="1685" t="str">
        <f t="shared" si="47"/>
        <v/>
      </c>
      <c r="AN38" s="1685">
        <f t="shared" ref="AN38:AN69" si="103">IF(VLOOKUP($B38,Table_RSL_SL,MATCH("Res-a",Heading_RSL_SL,0),FALSE)=0,"--",VLOOKUP($B38,Table_RSL_SL,MATCH("Res-a",Heading_RSL_SL,0),FALSE))</f>
        <v>1.7000000000000001E-4</v>
      </c>
      <c r="AO38" s="1686">
        <f t="shared" si="48"/>
        <v>-6.0273972602743224E-3</v>
      </c>
      <c r="AP38" s="1684">
        <f t="shared" ref="AP38:AP69" si="104">VLOOKUP($A38,Table_V_Summary,MATCH("ia-com-C",heading_V_Summary,0),FALSE)</f>
        <v>2.0439999999999994E-3</v>
      </c>
      <c r="AQ38" s="1685" t="str">
        <f t="shared" si="23"/>
        <v/>
      </c>
      <c r="AR38" s="1686" t="str">
        <f t="shared" si="49"/>
        <v/>
      </c>
      <c r="AS38" s="1684">
        <f t="shared" ref="AS38:AS69" si="105">VLOOKUP($A38,Table_V_Summary,MATCH("IA-com-NC",heading_V_Summary,0),FALSE)</f>
        <v>0.87599999999999989</v>
      </c>
      <c r="AT38" s="1685" t="str">
        <f t="shared" si="26"/>
        <v/>
      </c>
      <c r="AU38" s="1688" t="str">
        <f t="shared" si="50"/>
        <v/>
      </c>
      <c r="AV38" s="1685">
        <f t="shared" si="51"/>
        <v>2.0439999999999994E-3</v>
      </c>
      <c r="AW38" s="1685" t="str">
        <f t="shared" si="52"/>
        <v/>
      </c>
      <c r="AX38" s="1685">
        <f t="shared" ref="AX38:AX69" si="106">IF(VLOOKUP($B38,Table_RSL_SL,MATCH("Com-a",Heading_RSL_SL,0),FALSE)=0,"--",VLOOKUP($B38,Table_RSL_SL,MATCH("Com-a",Heading_RSL_SL,0),FALSE))</f>
        <v>2E-3</v>
      </c>
      <c r="AY38" s="1686">
        <f t="shared" si="53"/>
        <v>2.1526418786692439E-2</v>
      </c>
      <c r="BA38" s="1756" t="str">
        <f t="shared" ref="BA38:BA69" si="107">IF(OR(Z38&lt;&gt;"--", AA38&lt;&gt;"--",AB38&lt;&gt;"--",AC38&lt;&gt;"--"),"*","")</f>
        <v>*</v>
      </c>
      <c r="BB38" s="1685" t="str">
        <f t="shared" si="29"/>
        <v>V</v>
      </c>
      <c r="BC38" s="1685" t="str">
        <f t="shared" si="30"/>
        <v>--</v>
      </c>
      <c r="BE38" s="1684">
        <f t="shared" ref="BE38:BE69" si="108">VLOOKUP($A38,Table_W_1,MATCH("W-C",heading_W_1,0),FALSE)</f>
        <v>3.0394052871379507E-4</v>
      </c>
      <c r="BF38" s="1685" t="str">
        <f t="shared" si="32"/>
        <v/>
      </c>
      <c r="BG38" s="1686" t="str">
        <f t="shared" si="54"/>
        <v/>
      </c>
      <c r="BH38" s="1684">
        <f t="shared" ref="BH38:BH69" si="109">VLOOKUP($A38,Table_W_1,MATCH("W-NC",heading_W_1,0),FALSE)</f>
        <v>0.37192718887264564</v>
      </c>
      <c r="BI38" s="1685" t="str">
        <f t="shared" si="34"/>
        <v/>
      </c>
      <c r="BJ38" s="1688" t="str">
        <f t="shared" si="55"/>
        <v/>
      </c>
      <c r="BK38" s="1685">
        <f t="shared" si="56"/>
        <v>3.0394052871379507E-4</v>
      </c>
      <c r="BL38" s="1685" t="str">
        <f t="shared" si="57"/>
        <v/>
      </c>
      <c r="BM38" s="1685">
        <f t="shared" si="95"/>
        <v>3.3E-4</v>
      </c>
      <c r="BN38" s="1686">
        <f t="shared" si="58"/>
        <v>-8.5738718019878729E-2</v>
      </c>
      <c r="BP38" s="1756" t="str">
        <f t="shared" si="59"/>
        <v>*</v>
      </c>
      <c r="BQ38" s="1685" t="str">
        <f t="shared" si="36"/>
        <v>--</v>
      </c>
    </row>
    <row r="39" spans="1:69">
      <c r="A39" t="s">
        <v>149</v>
      </c>
      <c r="B39" t="s">
        <v>150</v>
      </c>
      <c r="C39" s="1684">
        <f t="shared" si="63"/>
        <v>3.6237174209690817E-2</v>
      </c>
      <c r="D39" s="1685" t="str">
        <f t="shared" ref="D39:D70" si="110">IF(VLOOKUP($A39,Table_N3,MATCH("S-Res-C",Heading_N3,0),FALSE)=0,"",VLOOKUP($A39,Table_N3,MATCH("S-Res-C",Heading_N3,0),FALSE))</f>
        <v/>
      </c>
      <c r="E39" s="1686" t="str">
        <f t="shared" si="62"/>
        <v/>
      </c>
      <c r="F39" s="1684">
        <f t="shared" si="64"/>
        <v>7.1392729520770022</v>
      </c>
      <c r="G39" s="1760">
        <f t="shared" ref="G39:G70" si="111">IF(VLOOKUP($A39,Table_N3,MATCH("S-Res-nC",Heading_N3,0),FALSE)=0,"",VLOOKUP($A39,Table_N3,MATCH("S-Res-nC",Heading_N3,0),FALSE))</f>
        <v>7.1</v>
      </c>
      <c r="H39" s="1688">
        <f t="shared" si="38"/>
        <v>5.5009736062237276E-3</v>
      </c>
      <c r="I39" s="1685">
        <f t="shared" si="4"/>
        <v>3.6237174209690817E-2</v>
      </c>
      <c r="J39" s="1760">
        <f t="shared" si="39"/>
        <v>7.1</v>
      </c>
      <c r="K39" s="1685">
        <f t="shared" si="65"/>
        <v>3.5999999999999997E-2</v>
      </c>
      <c r="L39" s="1686">
        <f t="shared" si="40"/>
        <v>6.5450525562060265E-3</v>
      </c>
      <c r="M39" s="1684">
        <f t="shared" si="66"/>
        <v>0.15667130302959201</v>
      </c>
      <c r="N39" s="1685" t="str">
        <f t="shared" ref="N39:N70" si="112">IF(VLOOKUP($A39,Table_N3,MATCH("S-com-C",Heading_N3,0),FALSE)=0,"",VLOOKUP($A39,Table_N3,MATCH("S-com-C",Heading_N3,0),FALSE))</f>
        <v/>
      </c>
      <c r="O39" s="1686" t="str">
        <f t="shared" si="8"/>
        <v/>
      </c>
      <c r="P39" s="1684">
        <f t="shared" si="67"/>
        <v>29.620222715071073</v>
      </c>
      <c r="Q39" s="1760">
        <f t="shared" ref="Q39:Q70" si="113">IF(VLOOKUP($A39,Table_N3,MATCH("S-com-nC",Heading_N3,0),FALSE)=0,"",VLOOKUP($A39,Table_N3,MATCH("S-com-nC",Heading_N3,0),FALSE))</f>
        <v>30</v>
      </c>
      <c r="R39" s="1688">
        <f t="shared" si="60"/>
        <v>-1.2821553996475955E-2</v>
      </c>
      <c r="S39" s="1685">
        <f t="shared" si="41"/>
        <v>0.15667130302959201</v>
      </c>
      <c r="T39" s="1760">
        <f t="shared" si="42"/>
        <v>30</v>
      </c>
      <c r="U39" s="1685">
        <f t="shared" si="68"/>
        <v>0.16</v>
      </c>
      <c r="V39" s="1686">
        <f t="shared" si="61"/>
        <v>-2.1246373177730406E-2</v>
      </c>
      <c r="W39" s="1756" t="str">
        <f t="shared" si="43"/>
        <v>*</v>
      </c>
      <c r="X39" s="1685" t="str">
        <f t="shared" si="96"/>
        <v>--</v>
      </c>
      <c r="Z39" t="str">
        <f t="shared" si="97"/>
        <v>--</v>
      </c>
      <c r="AA39" t="str">
        <f t="shared" si="98"/>
        <v>--</v>
      </c>
      <c r="AB39" t="str">
        <f t="shared" si="99"/>
        <v>--</v>
      </c>
      <c r="AC39" t="str">
        <f t="shared" si="100"/>
        <v>x</v>
      </c>
      <c r="AF39" s="1684">
        <f t="shared" si="101"/>
        <v>4.679487179487179E-3</v>
      </c>
      <c r="AG39" s="1685" t="str">
        <f t="shared" si="18"/>
        <v/>
      </c>
      <c r="AH39" s="1686" t="str">
        <f t="shared" si="44"/>
        <v/>
      </c>
      <c r="AI39" s="1684">
        <f t="shared" si="102"/>
        <v>0.8342857142857143</v>
      </c>
      <c r="AJ39" s="1760">
        <f t="shared" si="20"/>
        <v>7.1</v>
      </c>
      <c r="AK39" s="1688">
        <f t="shared" si="45"/>
        <v>-7.5102739726027385</v>
      </c>
      <c r="AL39" s="1685">
        <f t="shared" si="46"/>
        <v>4.679487179487179E-3</v>
      </c>
      <c r="AM39" s="1760">
        <f t="shared" si="47"/>
        <v>7.1</v>
      </c>
      <c r="AN39" s="1685">
        <f t="shared" si="103"/>
        <v>4.7000000000000002E-3</v>
      </c>
      <c r="AO39" s="1686">
        <f t="shared" si="48"/>
        <v>-4.3835616438357618E-3</v>
      </c>
      <c r="AP39" s="1684">
        <f t="shared" si="104"/>
        <v>2.0439999999999996E-2</v>
      </c>
      <c r="AQ39" s="1685" t="str">
        <f t="shared" si="23"/>
        <v/>
      </c>
      <c r="AR39" s="1686" t="str">
        <f t="shared" si="49"/>
        <v/>
      </c>
      <c r="AS39" s="1684">
        <f t="shared" si="105"/>
        <v>3.5039999999999996</v>
      </c>
      <c r="AT39" s="1760">
        <f t="shared" si="26"/>
        <v>3.5</v>
      </c>
      <c r="AU39" s="1688">
        <f t="shared" si="50"/>
        <v>1.1415525114153995E-3</v>
      </c>
      <c r="AV39" s="1685">
        <f t="shared" si="51"/>
        <v>2.0439999999999996E-2</v>
      </c>
      <c r="AW39" s="1760">
        <f t="shared" si="52"/>
        <v>3.5</v>
      </c>
      <c r="AX39" s="1685">
        <f t="shared" si="106"/>
        <v>0.02</v>
      </c>
      <c r="AY39" s="1686">
        <f t="shared" si="53"/>
        <v>2.1526418786692564E-2</v>
      </c>
      <c r="BA39" s="1756" t="str">
        <f t="shared" si="107"/>
        <v>*</v>
      </c>
      <c r="BB39" s="1685" t="str">
        <f t="shared" si="29"/>
        <v>V</v>
      </c>
      <c r="BC39" s="1685" t="str">
        <f t="shared" si="30"/>
        <v>--</v>
      </c>
      <c r="BE39" s="1684">
        <f t="shared" si="108"/>
        <v>7.4671042818152374E-3</v>
      </c>
      <c r="BF39" s="1685" t="str">
        <f t="shared" si="32"/>
        <v/>
      </c>
      <c r="BG39" s="1686" t="str">
        <f t="shared" si="54"/>
        <v/>
      </c>
      <c r="BH39" s="1684">
        <f t="shared" si="109"/>
        <v>1.6525283524111283</v>
      </c>
      <c r="BI39" s="1760">
        <f t="shared" si="34"/>
        <v>1.7</v>
      </c>
      <c r="BJ39" s="1688">
        <f t="shared" si="55"/>
        <v>-2.8726676622284862E-2</v>
      </c>
      <c r="BK39" s="1685">
        <f t="shared" si="56"/>
        <v>7.4671042818152374E-3</v>
      </c>
      <c r="BL39" s="1760">
        <f t="shared" si="57"/>
        <v>1.7</v>
      </c>
      <c r="BM39" s="1685">
        <f t="shared" si="95"/>
        <v>7.4999999999999997E-3</v>
      </c>
      <c r="BN39" s="1686">
        <f t="shared" si="58"/>
        <v>-4.405418344681996E-3</v>
      </c>
      <c r="BP39" s="1756" t="str">
        <f t="shared" si="59"/>
        <v>*</v>
      </c>
      <c r="BQ39" s="1685" t="str">
        <f t="shared" si="36"/>
        <v>--</v>
      </c>
    </row>
    <row r="40" spans="1:69">
      <c r="A40" s="55" t="s">
        <v>151</v>
      </c>
      <c r="B40" t="s">
        <v>152</v>
      </c>
      <c r="C40" s="1684" t="str">
        <f t="shared" si="63"/>
        <v>--</v>
      </c>
      <c r="D40" s="1685" t="str">
        <f t="shared" si="110"/>
        <v/>
      </c>
      <c r="E40" s="1686" t="str">
        <f t="shared" si="62"/>
        <v/>
      </c>
      <c r="F40" s="1684">
        <f t="shared" si="64"/>
        <v>1810.6211476547398</v>
      </c>
      <c r="G40" s="1685" t="str">
        <f t="shared" si="111"/>
        <v/>
      </c>
      <c r="H40" s="1688" t="str">
        <f t="shared" si="38"/>
        <v/>
      </c>
      <c r="I40" s="1685">
        <f t="shared" si="4"/>
        <v>1810.6211476547398</v>
      </c>
      <c r="J40" s="1685" t="str">
        <f t="shared" si="39"/>
        <v/>
      </c>
      <c r="K40" s="1685">
        <f t="shared" si="65"/>
        <v>1800</v>
      </c>
      <c r="L40" s="1686">
        <f t="shared" si="40"/>
        <v>5.8660243024871309E-3</v>
      </c>
      <c r="M40" s="1684" t="str">
        <f t="shared" si="66"/>
        <v>--</v>
      </c>
      <c r="N40" s="1685" t="str">
        <f t="shared" si="112"/>
        <v/>
      </c>
      <c r="O40" s="1686" t="str">
        <f t="shared" si="8"/>
        <v/>
      </c>
      <c r="P40" s="1684">
        <f t="shared" si="67"/>
        <v>9163.9960745855824</v>
      </c>
      <c r="Q40" s="1685" t="str">
        <f t="shared" si="113"/>
        <v/>
      </c>
      <c r="R40" s="1688" t="str">
        <f t="shared" si="60"/>
        <v/>
      </c>
      <c r="S40" s="1685">
        <f t="shared" si="41"/>
        <v>9163.9960745855824</v>
      </c>
      <c r="T40" s="1685" t="str">
        <f t="shared" si="42"/>
        <v/>
      </c>
      <c r="U40" s="1685">
        <f t="shared" si="68"/>
        <v>9300</v>
      </c>
      <c r="V40" s="1686">
        <f t="shared" si="61"/>
        <v>-1.484111563421507E-2</v>
      </c>
      <c r="W40" s="1756" t="str">
        <f t="shared" si="43"/>
        <v/>
      </c>
      <c r="X40" s="1685" t="str">
        <f t="shared" si="96"/>
        <v>--</v>
      </c>
      <c r="Z40" t="str">
        <f t="shared" si="97"/>
        <v>--</v>
      </c>
      <c r="AA40" t="str">
        <f t="shared" si="98"/>
        <v>--</v>
      </c>
      <c r="AB40" t="str">
        <f t="shared" si="99"/>
        <v>--</v>
      </c>
      <c r="AC40" t="str">
        <f t="shared" si="100"/>
        <v>--</v>
      </c>
      <c r="AF40" s="1684" t="str">
        <f t="shared" si="101"/>
        <v>--</v>
      </c>
      <c r="AG40" s="1685" t="str">
        <f t="shared" si="18"/>
        <v/>
      </c>
      <c r="AH40" s="1686" t="str">
        <f t="shared" si="44"/>
        <v/>
      </c>
      <c r="AI40" s="1684">
        <f t="shared" si="102"/>
        <v>208.57142857142858</v>
      </c>
      <c r="AJ40" s="1685" t="str">
        <f t="shared" si="20"/>
        <v/>
      </c>
      <c r="AK40" s="1688" t="str">
        <f t="shared" si="45"/>
        <v/>
      </c>
      <c r="AL40" s="1685">
        <f t="shared" si="46"/>
        <v>208.57142857142858</v>
      </c>
      <c r="AM40" s="1685" t="str">
        <f t="shared" si="47"/>
        <v/>
      </c>
      <c r="AN40" s="1685">
        <f t="shared" si="103"/>
        <v>210</v>
      </c>
      <c r="AO40" s="1686">
        <f t="shared" si="48"/>
        <v>-6.8493150684930922E-3</v>
      </c>
      <c r="AP40" s="1684" t="str">
        <f t="shared" si="104"/>
        <v>--</v>
      </c>
      <c r="AQ40" s="1685" t="str">
        <f t="shared" si="23"/>
        <v/>
      </c>
      <c r="AR40" s="1686" t="str">
        <f t="shared" si="49"/>
        <v/>
      </c>
      <c r="AS40" s="1684">
        <f t="shared" si="105"/>
        <v>875.99999999999989</v>
      </c>
      <c r="AT40" s="1685" t="str">
        <f t="shared" si="26"/>
        <v/>
      </c>
      <c r="AU40" s="1688" t="str">
        <f t="shared" si="50"/>
        <v/>
      </c>
      <c r="AV40" s="1685">
        <f t="shared" si="51"/>
        <v>875.99999999999989</v>
      </c>
      <c r="AW40" s="1685" t="str">
        <f t="shared" si="52"/>
        <v/>
      </c>
      <c r="AX40" s="1685">
        <f t="shared" si="106"/>
        <v>880</v>
      </c>
      <c r="AY40" s="1686">
        <f t="shared" si="53"/>
        <v>-4.5662100456622312E-3</v>
      </c>
      <c r="BA40" s="1756" t="str">
        <f t="shared" si="107"/>
        <v/>
      </c>
      <c r="BB40" s="1685" t="str">
        <f t="shared" si="29"/>
        <v>V</v>
      </c>
      <c r="BC40" s="1685" t="str">
        <f t="shared" si="30"/>
        <v>--</v>
      </c>
      <c r="BE40" s="1684" t="str">
        <f t="shared" si="108"/>
        <v>--</v>
      </c>
      <c r="BF40" s="1685" t="str">
        <f t="shared" si="32"/>
        <v/>
      </c>
      <c r="BG40" s="1686" t="str">
        <f t="shared" si="54"/>
        <v/>
      </c>
      <c r="BH40" s="1684">
        <f t="shared" si="109"/>
        <v>303.58920793298864</v>
      </c>
      <c r="BI40" s="1685" t="str">
        <f t="shared" si="34"/>
        <v/>
      </c>
      <c r="BJ40" s="1688" t="str">
        <f t="shared" si="55"/>
        <v/>
      </c>
      <c r="BK40" s="1685">
        <f t="shared" si="56"/>
        <v>303.58920793298864</v>
      </c>
      <c r="BL40" s="1685" t="str">
        <f t="shared" si="57"/>
        <v/>
      </c>
      <c r="BM40" s="1685">
        <f t="shared" si="95"/>
        <v>300</v>
      </c>
      <c r="BN40" s="1686">
        <f t="shared" si="58"/>
        <v>1.1822580774283947E-2</v>
      </c>
      <c r="BP40" s="1756" t="str">
        <f t="shared" si="59"/>
        <v/>
      </c>
      <c r="BQ40" s="1685" t="str">
        <f t="shared" si="36"/>
        <v>--</v>
      </c>
    </row>
    <row r="41" spans="1:69">
      <c r="A41" t="s">
        <v>153</v>
      </c>
      <c r="B41" t="s">
        <v>154</v>
      </c>
      <c r="C41" s="1684">
        <f t="shared" si="63"/>
        <v>2.6123103757021853</v>
      </c>
      <c r="D41" s="1685" t="str">
        <f t="shared" si="110"/>
        <v/>
      </c>
      <c r="E41" s="1686" t="str">
        <f t="shared" si="62"/>
        <v/>
      </c>
      <c r="F41" s="1684">
        <f t="shared" si="64"/>
        <v>3362.6062787952392</v>
      </c>
      <c r="G41" s="1685" t="str">
        <f t="shared" si="111"/>
        <v/>
      </c>
      <c r="H41" s="1688" t="str">
        <f t="shared" si="38"/>
        <v/>
      </c>
      <c r="I41" s="1685">
        <f t="shared" si="4"/>
        <v>2.6123103757021853</v>
      </c>
      <c r="J41" s="1685" t="str">
        <f t="shared" si="39"/>
        <v/>
      </c>
      <c r="K41" s="1685">
        <f t="shared" si="65"/>
        <v>2.6</v>
      </c>
      <c r="L41" s="1686">
        <f t="shared" si="40"/>
        <v>4.7124475777026199E-3</v>
      </c>
      <c r="M41" s="1684">
        <f t="shared" si="66"/>
        <v>11.20933463550173</v>
      </c>
      <c r="N41" s="1685" t="str">
        <f t="shared" si="112"/>
        <v/>
      </c>
      <c r="O41" s="1686" t="str">
        <f t="shared" si="8"/>
        <v/>
      </c>
      <c r="P41" s="1684">
        <f t="shared" si="67"/>
        <v>24943.26700846415</v>
      </c>
      <c r="Q41" s="1685" t="str">
        <f t="shared" si="113"/>
        <v/>
      </c>
      <c r="R41" s="1688" t="str">
        <f t="shared" si="60"/>
        <v/>
      </c>
      <c r="S41" s="1685">
        <f t="shared" si="41"/>
        <v>11.20933463550173</v>
      </c>
      <c r="T41" s="1685" t="str">
        <f t="shared" si="42"/>
        <v/>
      </c>
      <c r="U41" s="1685">
        <f t="shared" si="68"/>
        <v>11</v>
      </c>
      <c r="V41" s="1686">
        <f t="shared" si="61"/>
        <v>1.8675027761124539E-2</v>
      </c>
      <c r="W41" s="1756" t="str">
        <f t="shared" si="43"/>
        <v/>
      </c>
      <c r="X41" s="1685" t="str">
        <f t="shared" si="96"/>
        <v>--</v>
      </c>
      <c r="Z41" t="str">
        <f t="shared" si="97"/>
        <v>--</v>
      </c>
      <c r="AA41" t="str">
        <f t="shared" si="98"/>
        <v>--</v>
      </c>
      <c r="AB41" t="str">
        <f t="shared" si="99"/>
        <v>--</v>
      </c>
      <c r="AC41" t="str">
        <f t="shared" si="100"/>
        <v>--</v>
      </c>
      <c r="AF41" s="1684">
        <f t="shared" si="101"/>
        <v>0.25524475524475521</v>
      </c>
      <c r="AG41" s="1685" t="str">
        <f t="shared" si="18"/>
        <v/>
      </c>
      <c r="AH41" s="1686" t="str">
        <f t="shared" si="44"/>
        <v/>
      </c>
      <c r="AI41" s="1684">
        <f t="shared" si="102"/>
        <v>834.28571428571433</v>
      </c>
      <c r="AJ41" s="1685" t="str">
        <f t="shared" si="20"/>
        <v/>
      </c>
      <c r="AK41" s="1688" t="str">
        <f t="shared" si="45"/>
        <v/>
      </c>
      <c r="AL41" s="1685">
        <f t="shared" si="46"/>
        <v>0.25524475524475521</v>
      </c>
      <c r="AM41" s="1685" t="str">
        <f t="shared" si="47"/>
        <v/>
      </c>
      <c r="AN41" s="1685">
        <f t="shared" si="103"/>
        <v>0.26</v>
      </c>
      <c r="AO41" s="1686">
        <f t="shared" si="48"/>
        <v>-1.863013698630156E-2</v>
      </c>
      <c r="AP41" s="1684">
        <f t="shared" si="104"/>
        <v>1.1149090909090906</v>
      </c>
      <c r="AQ41" s="1685" t="str">
        <f t="shared" si="23"/>
        <v/>
      </c>
      <c r="AR41" s="1686" t="str">
        <f t="shared" si="49"/>
        <v/>
      </c>
      <c r="AS41" s="1684">
        <f t="shared" si="105"/>
        <v>3503.9999999999995</v>
      </c>
      <c r="AT41" s="1685" t="str">
        <f t="shared" si="26"/>
        <v/>
      </c>
      <c r="AU41" s="1688" t="str">
        <f t="shared" si="50"/>
        <v/>
      </c>
      <c r="AV41" s="1685">
        <f t="shared" si="51"/>
        <v>1.1149090909090906</v>
      </c>
      <c r="AW41" s="1685" t="str">
        <f t="shared" si="52"/>
        <v/>
      </c>
      <c r="AX41" s="1685">
        <f t="shared" si="106"/>
        <v>1.1000000000000001</v>
      </c>
      <c r="AY41" s="1686">
        <f t="shared" si="53"/>
        <v>1.3372472276581537E-2</v>
      </c>
      <c r="BA41" s="1756" t="str">
        <f t="shared" si="107"/>
        <v/>
      </c>
      <c r="BB41" s="1685" t="str">
        <f t="shared" si="29"/>
        <v>V</v>
      </c>
      <c r="BC41" s="1685" t="str">
        <f t="shared" si="30"/>
        <v>--</v>
      </c>
      <c r="BE41" s="1684">
        <f t="shared" si="108"/>
        <v>0.48179944441109085</v>
      </c>
      <c r="BF41" s="1685" t="str">
        <f t="shared" si="32"/>
        <v/>
      </c>
      <c r="BG41" s="1686" t="str">
        <f t="shared" si="54"/>
        <v/>
      </c>
      <c r="BH41" s="1684">
        <f t="shared" si="109"/>
        <v>568.47786337736659</v>
      </c>
      <c r="BI41" s="1685" t="str">
        <f t="shared" si="34"/>
        <v/>
      </c>
      <c r="BJ41" s="1688" t="str">
        <f t="shared" si="55"/>
        <v/>
      </c>
      <c r="BK41" s="1685">
        <f t="shared" si="56"/>
        <v>0.48179944441109085</v>
      </c>
      <c r="BL41" s="1685" t="str">
        <f t="shared" si="57"/>
        <v/>
      </c>
      <c r="BM41" s="1685">
        <f t="shared" si="95"/>
        <v>0.48</v>
      </c>
      <c r="BN41" s="1686">
        <f t="shared" si="58"/>
        <v>3.7348411916297438E-3</v>
      </c>
      <c r="BP41" s="1756" t="str">
        <f t="shared" si="59"/>
        <v/>
      </c>
      <c r="BQ41" s="1685" t="str">
        <f t="shared" si="36"/>
        <v>--</v>
      </c>
    </row>
    <row r="42" spans="1:69">
      <c r="A42" t="s">
        <v>155</v>
      </c>
      <c r="B42" t="s">
        <v>156</v>
      </c>
      <c r="C42" s="1684">
        <f t="shared" si="63"/>
        <v>0.45213976693124058</v>
      </c>
      <c r="D42" s="1685">
        <f t="shared" si="110"/>
        <v>0.45</v>
      </c>
      <c r="E42" s="1686">
        <f t="shared" si="62"/>
        <v>4.7325342465750824E-3</v>
      </c>
      <c r="F42" s="1684" t="str">
        <f t="shared" si="64"/>
        <v>--</v>
      </c>
      <c r="G42" s="1685" t="str">
        <f t="shared" si="111"/>
        <v>--</v>
      </c>
      <c r="H42" s="1688" t="str">
        <f t="shared" si="38"/>
        <v/>
      </c>
      <c r="I42" s="1685">
        <f t="shared" si="4"/>
        <v>0.45213976693124058</v>
      </c>
      <c r="J42" s="1685">
        <f t="shared" si="39"/>
        <v>0.45</v>
      </c>
      <c r="K42" s="1685">
        <f t="shared" si="65"/>
        <v>1.2</v>
      </c>
      <c r="L42" s="1686">
        <f t="shared" si="40"/>
        <v>-1.6540465753424662</v>
      </c>
      <c r="M42" s="1684">
        <f t="shared" si="66"/>
        <v>1.9148049206614384</v>
      </c>
      <c r="N42" s="1685">
        <f t="shared" si="112"/>
        <v>1.6</v>
      </c>
      <c r="O42" s="1689">
        <f t="shared" si="8"/>
        <v>0.1644057403783431</v>
      </c>
      <c r="P42" s="1684" t="str">
        <f t="shared" si="67"/>
        <v>--</v>
      </c>
      <c r="Q42" s="1685" t="str">
        <f t="shared" si="113"/>
        <v>--</v>
      </c>
      <c r="R42" s="1688" t="str">
        <f t="shared" si="60"/>
        <v/>
      </c>
      <c r="S42" s="1685">
        <f t="shared" si="41"/>
        <v>1.9148049206614384</v>
      </c>
      <c r="T42" s="1685">
        <f t="shared" si="42"/>
        <v>1.6</v>
      </c>
      <c r="U42" s="1685">
        <f t="shared" si="68"/>
        <v>5.0999999999999996</v>
      </c>
      <c r="V42" s="1686">
        <f t="shared" si="61"/>
        <v>-1.663456702544031</v>
      </c>
      <c r="W42" s="1756" t="str">
        <f t="shared" si="43"/>
        <v>*</v>
      </c>
      <c r="X42" s="1685" t="str">
        <f t="shared" si="96"/>
        <v>--</v>
      </c>
      <c r="Z42" t="str">
        <f t="shared" si="97"/>
        <v>x</v>
      </c>
      <c r="AA42" t="str">
        <f t="shared" si="98"/>
        <v>--</v>
      </c>
      <c r="AB42" t="str">
        <f t="shared" si="99"/>
        <v>--</v>
      </c>
      <c r="AC42" t="str">
        <f t="shared" si="100"/>
        <v>--</v>
      </c>
      <c r="AF42" s="1684" t="str">
        <f t="shared" si="101"/>
        <v>--</v>
      </c>
      <c r="AG42" s="1685" t="str">
        <f t="shared" si="18"/>
        <v/>
      </c>
      <c r="AH42" s="1686" t="str">
        <f t="shared" si="44"/>
        <v/>
      </c>
      <c r="AI42" s="1684" t="str">
        <f t="shared" si="102"/>
        <v>--</v>
      </c>
      <c r="AJ42" s="1685" t="str">
        <f t="shared" si="20"/>
        <v/>
      </c>
      <c r="AK42" s="1688" t="str">
        <f t="shared" si="45"/>
        <v/>
      </c>
      <c r="AL42" s="1685">
        <f t="shared" si="46"/>
        <v>0</v>
      </c>
      <c r="AM42" s="1685" t="str">
        <f t="shared" si="47"/>
        <v/>
      </c>
      <c r="AN42" s="1685">
        <f t="shared" si="103"/>
        <v>8.3000000000000001E-3</v>
      </c>
      <c r="AO42" s="1686" t="e">
        <f t="shared" si="48"/>
        <v>#DIV/0!</v>
      </c>
      <c r="AP42" s="1684" t="str">
        <f t="shared" si="104"/>
        <v>--</v>
      </c>
      <c r="AQ42" s="1685" t="str">
        <f t="shared" si="23"/>
        <v/>
      </c>
      <c r="AR42" s="1686" t="str">
        <f t="shared" si="49"/>
        <v/>
      </c>
      <c r="AS42" s="1684" t="str">
        <f t="shared" si="105"/>
        <v>--</v>
      </c>
      <c r="AT42" s="1685" t="str">
        <f t="shared" si="26"/>
        <v/>
      </c>
      <c r="AU42" s="1688" t="str">
        <f t="shared" si="50"/>
        <v/>
      </c>
      <c r="AV42" s="1685">
        <f t="shared" si="51"/>
        <v>0</v>
      </c>
      <c r="AW42" s="1685" t="str">
        <f t="shared" si="52"/>
        <v/>
      </c>
      <c r="AX42" s="1685">
        <f t="shared" si="106"/>
        <v>3.5999999999999997E-2</v>
      </c>
      <c r="AY42" s="1686" t="e">
        <f t="shared" si="53"/>
        <v>#DIV/0!</v>
      </c>
      <c r="BA42" s="1756" t="str">
        <f t="shared" si="107"/>
        <v>*</v>
      </c>
      <c r="BB42" s="1685" t="str">
        <f t="shared" si="29"/>
        <v>--</v>
      </c>
      <c r="BC42" s="1685" t="str">
        <f t="shared" si="30"/>
        <v>--</v>
      </c>
      <c r="BE42" s="1684">
        <f t="shared" si="108"/>
        <v>4.6960197920817265E-2</v>
      </c>
      <c r="BF42" s="1685">
        <f t="shared" si="32"/>
        <v>4.7E-2</v>
      </c>
      <c r="BG42" s="1686">
        <f t="shared" si="54"/>
        <v>-8.4757051598990734E-4</v>
      </c>
      <c r="BH42" s="1684" t="str">
        <f t="shared" si="109"/>
        <v>--</v>
      </c>
      <c r="BI42" s="1685" t="str">
        <f t="shared" si="34"/>
        <v>--</v>
      </c>
      <c r="BJ42" s="1688" t="str">
        <f t="shared" si="55"/>
        <v/>
      </c>
      <c r="BK42" s="1685">
        <f t="shared" si="56"/>
        <v>4.6960197920817265E-2</v>
      </c>
      <c r="BL42" s="1685">
        <f t="shared" si="57"/>
        <v>4.7E-2</v>
      </c>
      <c r="BM42" s="1685">
        <f t="shared" si="95"/>
        <v>0.13</v>
      </c>
      <c r="BN42" s="1686">
        <f t="shared" si="58"/>
        <v>-1.7683017907889083</v>
      </c>
      <c r="BP42" s="1756" t="str">
        <f t="shared" si="59"/>
        <v>*</v>
      </c>
      <c r="BQ42" s="1685" t="str">
        <f t="shared" si="36"/>
        <v>--</v>
      </c>
    </row>
    <row r="43" spans="1:69">
      <c r="A43" t="s">
        <v>157</v>
      </c>
      <c r="B43" t="s">
        <v>158</v>
      </c>
      <c r="C43" s="1684">
        <f t="shared" si="63"/>
        <v>2.2606974962228725</v>
      </c>
      <c r="D43" s="1685" t="str">
        <f t="shared" si="110"/>
        <v/>
      </c>
      <c r="E43" s="1686" t="str">
        <f t="shared" si="62"/>
        <v/>
      </c>
      <c r="F43" s="1684">
        <f t="shared" si="64"/>
        <v>31.606839777857317</v>
      </c>
      <c r="G43" s="1685" t="str">
        <f t="shared" si="111"/>
        <v/>
      </c>
      <c r="H43" s="1688" t="str">
        <f t="shared" si="38"/>
        <v/>
      </c>
      <c r="I43" s="1685">
        <f t="shared" si="4"/>
        <v>2.2606974962228725</v>
      </c>
      <c r="J43" s="1685" t="str">
        <f t="shared" si="39"/>
        <v/>
      </c>
      <c r="K43" s="1685">
        <f t="shared" si="65"/>
        <v>2.2999999999999998</v>
      </c>
      <c r="L43" s="1686">
        <f t="shared" si="40"/>
        <v>-1.738512288477035E-2</v>
      </c>
      <c r="M43" s="1684">
        <f t="shared" si="66"/>
        <v>9.5740191076734824</v>
      </c>
      <c r="N43" s="1685">
        <f t="shared" si="112"/>
        <v>7.9</v>
      </c>
      <c r="O43" s="1689">
        <f t="shared" si="8"/>
        <v>0.17485019497525048</v>
      </c>
      <c r="P43" s="1684">
        <f t="shared" si="67"/>
        <v>410.33135662291681</v>
      </c>
      <c r="Q43" s="1685">
        <f t="shared" si="113"/>
        <v>340</v>
      </c>
      <c r="R43" s="1690">
        <f t="shared" si="60"/>
        <v>0.17140136986301388</v>
      </c>
      <c r="S43" s="1685">
        <f t="shared" si="41"/>
        <v>9.5740191076734824</v>
      </c>
      <c r="T43" s="1685">
        <f t="shared" si="42"/>
        <v>7.9</v>
      </c>
      <c r="U43" s="1685">
        <f t="shared" si="68"/>
        <v>9.6</v>
      </c>
      <c r="V43" s="1686">
        <f t="shared" si="61"/>
        <v>-2.7136871186828741E-3</v>
      </c>
      <c r="W43" s="1756" t="str">
        <f t="shared" si="43"/>
        <v/>
      </c>
      <c r="X43" s="1685" t="str">
        <f t="shared" si="96"/>
        <v>--</v>
      </c>
      <c r="Z43" t="str">
        <f t="shared" si="97"/>
        <v>--</v>
      </c>
      <c r="AA43" t="str">
        <f t="shared" si="98"/>
        <v>--</v>
      </c>
      <c r="AB43" t="str">
        <f t="shared" si="99"/>
        <v>--</v>
      </c>
      <c r="AC43" t="str">
        <f t="shared" si="100"/>
        <v>--</v>
      </c>
      <c r="AF43" s="1684" t="str">
        <f t="shared" si="101"/>
        <v>--</v>
      </c>
      <c r="AG43" s="1685" t="str">
        <f t="shared" si="18"/>
        <v/>
      </c>
      <c r="AH43" s="1686" t="str">
        <f t="shared" si="44"/>
        <v/>
      </c>
      <c r="AI43" s="1684" t="str">
        <f t="shared" si="102"/>
        <v>--</v>
      </c>
      <c r="AJ43" s="1685" t="str">
        <f t="shared" si="20"/>
        <v/>
      </c>
      <c r="AK43" s="1688" t="str">
        <f t="shared" si="45"/>
        <v/>
      </c>
      <c r="AL43" s="1685">
        <f t="shared" si="46"/>
        <v>0</v>
      </c>
      <c r="AM43" s="1685" t="str">
        <f t="shared" si="47"/>
        <v/>
      </c>
      <c r="AN43" s="1685">
        <f t="shared" si="103"/>
        <v>4.1000000000000002E-2</v>
      </c>
      <c r="AO43" s="1686" t="e">
        <f t="shared" si="48"/>
        <v>#DIV/0!</v>
      </c>
      <c r="AP43" s="1684" t="str">
        <f t="shared" si="104"/>
        <v>--</v>
      </c>
      <c r="AQ43" s="1685" t="str">
        <f t="shared" si="23"/>
        <v/>
      </c>
      <c r="AR43" s="1686" t="str">
        <f t="shared" si="49"/>
        <v/>
      </c>
      <c r="AS43" s="1684" t="str">
        <f t="shared" si="105"/>
        <v>--</v>
      </c>
      <c r="AT43" s="1685" t="str">
        <f t="shared" si="26"/>
        <v/>
      </c>
      <c r="AU43" s="1688" t="str">
        <f t="shared" si="50"/>
        <v/>
      </c>
      <c r="AV43" s="1685">
        <f t="shared" si="51"/>
        <v>0</v>
      </c>
      <c r="AW43" s="1685" t="str">
        <f t="shared" si="52"/>
        <v/>
      </c>
      <c r="AX43" s="1685">
        <f t="shared" si="106"/>
        <v>0.18</v>
      </c>
      <c r="AY43" s="1686" t="e">
        <f t="shared" si="53"/>
        <v>#DIV/0!</v>
      </c>
      <c r="BA43" s="1756" t="str">
        <f t="shared" si="107"/>
        <v/>
      </c>
      <c r="BB43" s="1685" t="str">
        <f t="shared" si="29"/>
        <v>--</v>
      </c>
      <c r="BC43" s="1685" t="str">
        <f t="shared" si="30"/>
        <v>--</v>
      </c>
      <c r="BE43" s="1684">
        <f t="shared" si="108"/>
        <v>3.1706574873866973E-2</v>
      </c>
      <c r="BF43" s="1685" t="str">
        <f t="shared" si="32"/>
        <v/>
      </c>
      <c r="BG43" s="1686" t="str">
        <f t="shared" si="54"/>
        <v/>
      </c>
      <c r="BH43" s="1684">
        <f t="shared" si="109"/>
        <v>1.0558702631786985</v>
      </c>
      <c r="BI43" s="1685" t="str">
        <f t="shared" si="34"/>
        <v/>
      </c>
      <c r="BJ43" s="1688" t="str">
        <f t="shared" si="55"/>
        <v/>
      </c>
      <c r="BK43" s="1685">
        <f t="shared" si="56"/>
        <v>3.1706574873866973E-2</v>
      </c>
      <c r="BL43" s="1685" t="str">
        <f t="shared" si="57"/>
        <v/>
      </c>
      <c r="BM43" s="1685">
        <f t="shared" si="95"/>
        <v>3.2000000000000001E-2</v>
      </c>
      <c r="BN43" s="1686">
        <f t="shared" si="58"/>
        <v>-9.2543936801850173E-3</v>
      </c>
      <c r="BP43" s="1756" t="str">
        <f t="shared" si="59"/>
        <v/>
      </c>
      <c r="BQ43" s="1685" t="str">
        <f t="shared" si="36"/>
        <v>--</v>
      </c>
    </row>
    <row r="44" spans="1:69">
      <c r="A44" t="s">
        <v>159</v>
      </c>
      <c r="B44" t="s">
        <v>160</v>
      </c>
      <c r="C44" s="1684">
        <f t="shared" si="63"/>
        <v>1.9782657136977184</v>
      </c>
      <c r="D44" s="1685" t="str">
        <f t="shared" si="110"/>
        <v/>
      </c>
      <c r="E44" s="1686" t="str">
        <f t="shared" si="62"/>
        <v/>
      </c>
      <c r="F44" s="1684">
        <f t="shared" si="64"/>
        <v>39.107142857142854</v>
      </c>
      <c r="G44" s="1685" t="str">
        <f t="shared" si="111"/>
        <v/>
      </c>
      <c r="H44" s="1688" t="str">
        <f t="shared" si="38"/>
        <v/>
      </c>
      <c r="I44" s="1685">
        <f t="shared" si="4"/>
        <v>1.9782657136977184</v>
      </c>
      <c r="J44" s="1685" t="str">
        <f t="shared" si="39"/>
        <v/>
      </c>
      <c r="K44" s="1685">
        <f t="shared" si="65"/>
        <v>2</v>
      </c>
      <c r="L44" s="1686">
        <f t="shared" si="40"/>
        <v>-1.0986535404112355E-2</v>
      </c>
      <c r="M44" s="1684">
        <f t="shared" si="66"/>
        <v>9.2761093519666726</v>
      </c>
      <c r="N44" s="1685" t="str">
        <f t="shared" si="112"/>
        <v/>
      </c>
      <c r="O44" s="1686" t="str">
        <f t="shared" si="8"/>
        <v/>
      </c>
      <c r="P44" s="1684">
        <f t="shared" si="67"/>
        <v>584</v>
      </c>
      <c r="Q44" s="1685" t="str">
        <f t="shared" si="113"/>
        <v/>
      </c>
      <c r="R44" s="1688" t="str">
        <f t="shared" si="60"/>
        <v/>
      </c>
      <c r="S44" s="1685">
        <f t="shared" si="41"/>
        <v>9.2761093519666726</v>
      </c>
      <c r="T44" s="1685" t="str">
        <f t="shared" si="42"/>
        <v/>
      </c>
      <c r="U44" s="1685">
        <f t="shared" si="68"/>
        <v>9.3000000000000007</v>
      </c>
      <c r="V44" s="1686">
        <f t="shared" si="61"/>
        <v>-2.5755030613414348E-3</v>
      </c>
      <c r="W44" s="1756" t="str">
        <f t="shared" si="43"/>
        <v/>
      </c>
      <c r="X44" s="1685" t="str">
        <f t="shared" si="96"/>
        <v>Route RfC</v>
      </c>
      <c r="Z44" t="str">
        <f t="shared" si="97"/>
        <v>--</v>
      </c>
      <c r="AA44" t="str">
        <f t="shared" si="98"/>
        <v>--</v>
      </c>
      <c r="AB44" t="str">
        <f t="shared" si="99"/>
        <v>--</v>
      </c>
      <c r="AC44" t="str">
        <f t="shared" si="100"/>
        <v>--</v>
      </c>
      <c r="AF44" s="1684">
        <f t="shared" si="101"/>
        <v>2.8945281522601105E-2</v>
      </c>
      <c r="AG44" s="1685" t="str">
        <f t="shared" si="18"/>
        <v/>
      </c>
      <c r="AH44" s="1686" t="str">
        <f t="shared" si="44"/>
        <v/>
      </c>
      <c r="AI44" s="1684" t="str">
        <f t="shared" si="102"/>
        <v>--</v>
      </c>
      <c r="AJ44" s="1685">
        <f t="shared" si="20"/>
        <v>0</v>
      </c>
      <c r="AK44" s="1688" t="e">
        <f t="shared" si="45"/>
        <v>#VALUE!</v>
      </c>
      <c r="AL44" s="1685">
        <f t="shared" si="46"/>
        <v>2.8945281522601105E-2</v>
      </c>
      <c r="AM44" s="1685">
        <f t="shared" si="47"/>
        <v>0</v>
      </c>
      <c r="AN44" s="1685">
        <f t="shared" si="103"/>
        <v>2.9000000000000001E-2</v>
      </c>
      <c r="AO44" s="1686">
        <f t="shared" si="48"/>
        <v>-1.8904109589043573E-3</v>
      </c>
      <c r="AP44" s="1684">
        <f t="shared" si="104"/>
        <v>0.12643298969072164</v>
      </c>
      <c r="AQ44" s="1685" t="str">
        <f t="shared" si="23"/>
        <v/>
      </c>
      <c r="AR44" s="1686" t="str">
        <f t="shared" si="49"/>
        <v/>
      </c>
      <c r="AS44" s="1684" t="str">
        <f t="shared" si="105"/>
        <v>--</v>
      </c>
      <c r="AT44" s="1685">
        <f t="shared" si="26"/>
        <v>5.3</v>
      </c>
      <c r="AU44" s="1688" t="e">
        <f t="shared" si="50"/>
        <v>#VALUE!</v>
      </c>
      <c r="AV44" s="1685">
        <f t="shared" si="51"/>
        <v>0.12643298969072164</v>
      </c>
      <c r="AW44" s="1685">
        <f t="shared" si="52"/>
        <v>5.3</v>
      </c>
      <c r="AX44" s="1685">
        <f t="shared" si="106"/>
        <v>0.13</v>
      </c>
      <c r="AY44" s="1686">
        <f t="shared" si="53"/>
        <v>-2.8212654924983788E-2</v>
      </c>
      <c r="BA44" s="1756" t="str">
        <f t="shared" si="107"/>
        <v/>
      </c>
      <c r="BB44" s="1685" t="str">
        <f t="shared" si="29"/>
        <v>V</v>
      </c>
      <c r="BC44" s="1685" t="str">
        <f t="shared" si="30"/>
        <v>Route RfC</v>
      </c>
      <c r="BE44" s="1684">
        <f t="shared" si="108"/>
        <v>4.6214816596816873E-2</v>
      </c>
      <c r="BF44" s="1685" t="str">
        <f t="shared" si="32"/>
        <v/>
      </c>
      <c r="BG44" s="1686" t="str">
        <f t="shared" si="54"/>
        <v/>
      </c>
      <c r="BH44" s="1684">
        <f t="shared" si="109"/>
        <v>10.027472527472527</v>
      </c>
      <c r="BI44" s="1685">
        <f t="shared" si="34"/>
        <v>2</v>
      </c>
      <c r="BJ44" s="1688">
        <f t="shared" si="55"/>
        <v>0.80054794520547945</v>
      </c>
      <c r="BK44" s="1685">
        <f t="shared" si="56"/>
        <v>4.6214816596816873E-2</v>
      </c>
      <c r="BL44" s="1685">
        <f t="shared" si="57"/>
        <v>2</v>
      </c>
      <c r="BM44" s="1685">
        <f t="shared" si="95"/>
        <v>4.5999999999999999E-2</v>
      </c>
      <c r="BN44" s="1686">
        <f t="shared" si="58"/>
        <v>4.6482191780821474E-3</v>
      </c>
      <c r="BP44" s="1756" t="str">
        <f t="shared" si="59"/>
        <v/>
      </c>
      <c r="BQ44" s="1685" t="str">
        <f t="shared" si="36"/>
        <v>Route RfC</v>
      </c>
    </row>
    <row r="45" spans="1:69">
      <c r="A45" t="s">
        <v>161</v>
      </c>
      <c r="B45" t="s">
        <v>162</v>
      </c>
      <c r="C45" s="1684">
        <f t="shared" si="63"/>
        <v>1.8855772613117678</v>
      </c>
      <c r="D45" s="1685" t="str">
        <f t="shared" si="110"/>
        <v/>
      </c>
      <c r="E45" s="1686" t="str">
        <f t="shared" si="62"/>
        <v/>
      </c>
      <c r="F45" s="1684">
        <f t="shared" si="64"/>
        <v>36.5081291434226</v>
      </c>
      <c r="G45" s="1685" t="str">
        <f t="shared" si="111"/>
        <v/>
      </c>
      <c r="H45" s="1688" t="str">
        <f t="shared" si="38"/>
        <v/>
      </c>
      <c r="I45" s="1685">
        <f t="shared" si="4"/>
        <v>1.8855772613117678</v>
      </c>
      <c r="J45" s="1685" t="str">
        <f t="shared" si="39"/>
        <v/>
      </c>
      <c r="K45" s="1685">
        <f t="shared" si="65"/>
        <v>1.9</v>
      </c>
      <c r="L45" s="1686">
        <f t="shared" si="40"/>
        <v>-7.6489778404510407E-3</v>
      </c>
      <c r="M45" s="1684">
        <f t="shared" si="66"/>
        <v>8.5346806302023772</v>
      </c>
      <c r="N45" s="1685" t="str">
        <f t="shared" si="112"/>
        <v/>
      </c>
      <c r="O45" s="1686" t="str">
        <f t="shared" si="8"/>
        <v/>
      </c>
      <c r="P45" s="1684">
        <f t="shared" si="67"/>
        <v>518.20275925222631</v>
      </c>
      <c r="Q45" s="1685" t="str">
        <f t="shared" si="113"/>
        <v/>
      </c>
      <c r="R45" s="1688" t="str">
        <f t="shared" si="60"/>
        <v/>
      </c>
      <c r="S45" s="1685">
        <f t="shared" si="41"/>
        <v>8.5346806302023772</v>
      </c>
      <c r="T45" s="1685" t="str">
        <f t="shared" si="42"/>
        <v/>
      </c>
      <c r="U45" s="1685">
        <f t="shared" si="68"/>
        <v>8.5</v>
      </c>
      <c r="V45" s="1686">
        <f t="shared" si="61"/>
        <v>4.063494781474308E-3</v>
      </c>
      <c r="W45" s="1756" t="str">
        <f t="shared" si="43"/>
        <v/>
      </c>
      <c r="X45" s="1685" t="str">
        <f t="shared" si="96"/>
        <v>--</v>
      </c>
      <c r="Z45" t="str">
        <f t="shared" si="97"/>
        <v>--</v>
      </c>
      <c r="AA45" t="str">
        <f t="shared" si="98"/>
        <v>--</v>
      </c>
      <c r="AB45" t="str">
        <f t="shared" si="99"/>
        <v>--</v>
      </c>
      <c r="AC45" t="str">
        <f t="shared" si="100"/>
        <v>--</v>
      </c>
      <c r="AF45" s="1684" t="str">
        <f t="shared" si="101"/>
        <v>--</v>
      </c>
      <c r="AG45" s="1685" t="str">
        <f t="shared" si="18"/>
        <v/>
      </c>
      <c r="AH45" s="1686" t="str">
        <f t="shared" si="44"/>
        <v/>
      </c>
      <c r="AI45" s="1684" t="str">
        <f t="shared" si="102"/>
        <v>--</v>
      </c>
      <c r="AJ45" s="1685" t="str">
        <f t="shared" si="20"/>
        <v/>
      </c>
      <c r="AK45" s="1688" t="str">
        <f t="shared" si="45"/>
        <v/>
      </c>
      <c r="AL45" s="1685">
        <f t="shared" si="46"/>
        <v>0</v>
      </c>
      <c r="AM45" s="1685" t="str">
        <f t="shared" si="47"/>
        <v/>
      </c>
      <c r="AN45" s="1685">
        <f t="shared" si="103"/>
        <v>2.9000000000000001E-2</v>
      </c>
      <c r="AO45" s="1686" t="e">
        <f t="shared" si="48"/>
        <v>#DIV/0!</v>
      </c>
      <c r="AP45" s="1684" t="str">
        <f t="shared" si="104"/>
        <v>--</v>
      </c>
      <c r="AQ45" s="1685" t="str">
        <f t="shared" si="23"/>
        <v/>
      </c>
      <c r="AR45" s="1686" t="str">
        <f t="shared" si="49"/>
        <v/>
      </c>
      <c r="AS45" s="1684" t="str">
        <f t="shared" si="105"/>
        <v>--</v>
      </c>
      <c r="AT45" s="1685" t="str">
        <f t="shared" si="26"/>
        <v/>
      </c>
      <c r="AU45" s="1688" t="str">
        <f t="shared" si="50"/>
        <v/>
      </c>
      <c r="AV45" s="1685">
        <f t="shared" si="51"/>
        <v>0</v>
      </c>
      <c r="AW45" s="1685" t="str">
        <f t="shared" si="52"/>
        <v/>
      </c>
      <c r="AX45" s="1685">
        <f t="shared" si="106"/>
        <v>0.13</v>
      </c>
      <c r="AY45" s="1686" t="e">
        <f t="shared" si="53"/>
        <v>#DIV/0!</v>
      </c>
      <c r="BA45" s="1756" t="str">
        <f t="shared" si="107"/>
        <v/>
      </c>
      <c r="BB45" s="1685" t="str">
        <f t="shared" si="29"/>
        <v>--</v>
      </c>
      <c r="BC45" s="1685" t="str">
        <f t="shared" si="30"/>
        <v>--</v>
      </c>
      <c r="BE45" s="1684">
        <f t="shared" si="108"/>
        <v>0.22914181681210372</v>
      </c>
      <c r="BF45" s="1685" t="str">
        <f t="shared" si="32"/>
        <v/>
      </c>
      <c r="BG45" s="1686" t="str">
        <f t="shared" si="54"/>
        <v/>
      </c>
      <c r="BH45" s="1684">
        <f t="shared" si="109"/>
        <v>10.027472527472527</v>
      </c>
      <c r="BI45" s="1685" t="str">
        <f t="shared" si="34"/>
        <v/>
      </c>
      <c r="BJ45" s="1688" t="str">
        <f t="shared" si="55"/>
        <v/>
      </c>
      <c r="BK45" s="1685">
        <f t="shared" si="56"/>
        <v>0.22914181681210372</v>
      </c>
      <c r="BL45" s="1685" t="str">
        <f t="shared" si="57"/>
        <v/>
      </c>
      <c r="BM45" s="1685">
        <f t="shared" si="95"/>
        <v>0.23</v>
      </c>
      <c r="BN45" s="1686">
        <f t="shared" si="58"/>
        <v>-3.7452054794520741E-3</v>
      </c>
      <c r="BP45" s="1756" t="str">
        <f t="shared" si="59"/>
        <v/>
      </c>
      <c r="BQ45" s="1685" t="str">
        <f t="shared" si="36"/>
        <v>--</v>
      </c>
    </row>
    <row r="46" spans="1:69" ht="15">
      <c r="A46" t="s">
        <v>163</v>
      </c>
      <c r="B46" t="s">
        <v>164</v>
      </c>
      <c r="C46" s="1684">
        <f t="shared" si="63"/>
        <v>3.551377623775954</v>
      </c>
      <c r="D46" s="1685" t="str">
        <f t="shared" si="110"/>
        <v/>
      </c>
      <c r="E46" s="1686" t="str">
        <f t="shared" si="62"/>
        <v/>
      </c>
      <c r="F46" s="1684">
        <f t="shared" si="64"/>
        <v>15642.857142857141</v>
      </c>
      <c r="G46" s="1685">
        <f t="shared" si="111"/>
        <v>1600</v>
      </c>
      <c r="H46" s="1693">
        <f t="shared" si="38"/>
        <v>0.89771689497716889</v>
      </c>
      <c r="I46" s="1685">
        <f t="shared" si="4"/>
        <v>3.551377623775954</v>
      </c>
      <c r="J46" s="1685">
        <f t="shared" si="39"/>
        <v>1600</v>
      </c>
      <c r="K46" s="1685">
        <f t="shared" si="65"/>
        <v>3.6</v>
      </c>
      <c r="L46" s="1686">
        <f t="shared" si="40"/>
        <v>-1.3691130984924381E-2</v>
      </c>
      <c r="M46" s="1684">
        <f t="shared" si="66"/>
        <v>15.25090247092445</v>
      </c>
      <c r="N46" s="1685" t="str">
        <f t="shared" si="112"/>
        <v/>
      </c>
      <c r="O46" s="1686" t="str">
        <f t="shared" si="8"/>
        <v/>
      </c>
      <c r="P46" s="1684">
        <f t="shared" si="67"/>
        <v>233600</v>
      </c>
      <c r="Q46" s="1685">
        <f t="shared" si="113"/>
        <v>7100</v>
      </c>
      <c r="R46" s="1693">
        <f t="shared" si="60"/>
        <v>0.96960616438356162</v>
      </c>
      <c r="S46" s="1685">
        <f t="shared" si="41"/>
        <v>15.25090247092445</v>
      </c>
      <c r="T46" s="1685">
        <f t="shared" si="42"/>
        <v>7100</v>
      </c>
      <c r="U46" s="1685">
        <f t="shared" si="68"/>
        <v>16</v>
      </c>
      <c r="V46" s="1686">
        <f t="shared" si="61"/>
        <v>-4.9118242707517822E-2</v>
      </c>
      <c r="W46" s="1756" t="str">
        <f t="shared" si="43"/>
        <v/>
      </c>
      <c r="X46" s="1685" t="str">
        <f t="shared" si="96"/>
        <v>Route RfC</v>
      </c>
      <c r="Z46" t="str">
        <f t="shared" si="97"/>
        <v>--</v>
      </c>
      <c r="AA46" t="str">
        <f t="shared" si="98"/>
        <v>--</v>
      </c>
      <c r="AB46" t="str">
        <f t="shared" si="99"/>
        <v>--</v>
      </c>
      <c r="AC46" t="str">
        <f t="shared" si="100"/>
        <v>--</v>
      </c>
      <c r="AF46" s="1684">
        <f t="shared" si="101"/>
        <v>1.7548076923076921</v>
      </c>
      <c r="AG46" s="1685" t="str">
        <f t="shared" si="18"/>
        <v/>
      </c>
      <c r="AH46" s="1686" t="str">
        <f t="shared" si="44"/>
        <v/>
      </c>
      <c r="AI46" s="1684" t="str">
        <f t="shared" si="102"/>
        <v>--</v>
      </c>
      <c r="AJ46" s="1685">
        <f t="shared" si="20"/>
        <v>1600</v>
      </c>
      <c r="AK46" s="1688" t="e">
        <f t="shared" si="45"/>
        <v>#VALUE!</v>
      </c>
      <c r="AL46" s="1685">
        <f t="shared" si="46"/>
        <v>1.7548076923076921</v>
      </c>
      <c r="AM46" s="1685">
        <f t="shared" si="47"/>
        <v>1600</v>
      </c>
      <c r="AN46" s="1685">
        <f t="shared" si="103"/>
        <v>1.8</v>
      </c>
      <c r="AO46" s="1686">
        <f t="shared" si="48"/>
        <v>-2.5753424657534413E-2</v>
      </c>
      <c r="AP46" s="1684">
        <f t="shared" si="104"/>
        <v>7.6649999999999983</v>
      </c>
      <c r="AQ46" s="1685" t="str">
        <f t="shared" si="23"/>
        <v/>
      </c>
      <c r="AR46" s="1686" t="str">
        <f t="shared" si="49"/>
        <v/>
      </c>
      <c r="AS46" s="1684" t="str">
        <f t="shared" si="105"/>
        <v>--</v>
      </c>
      <c r="AT46" s="1685">
        <f t="shared" si="26"/>
        <v>3500</v>
      </c>
      <c r="AU46" s="1688" t="e">
        <f t="shared" si="50"/>
        <v>#VALUE!</v>
      </c>
      <c r="AV46" s="1685">
        <f t="shared" si="51"/>
        <v>7.6649999999999983</v>
      </c>
      <c r="AW46" s="1685">
        <f t="shared" si="52"/>
        <v>3500</v>
      </c>
      <c r="AX46" s="1685">
        <f t="shared" si="106"/>
        <v>7.7</v>
      </c>
      <c r="AY46" s="1686">
        <f t="shared" si="53"/>
        <v>-4.5662100456623517E-3</v>
      </c>
      <c r="BA46" s="1756" t="str">
        <f t="shared" si="107"/>
        <v/>
      </c>
      <c r="BB46" s="1685" t="str">
        <f t="shared" si="29"/>
        <v>V</v>
      </c>
      <c r="BC46" s="1685" t="str">
        <f t="shared" si="30"/>
        <v>Route RfC</v>
      </c>
      <c r="BE46" s="1684">
        <f t="shared" si="108"/>
        <v>2.7506025847406992</v>
      </c>
      <c r="BF46" s="1685" t="str">
        <f t="shared" si="32"/>
        <v/>
      </c>
      <c r="BG46" s="1686" t="str">
        <f t="shared" si="54"/>
        <v/>
      </c>
      <c r="BH46" s="1684">
        <f t="shared" si="109"/>
        <v>3753.2639645857175</v>
      </c>
      <c r="BI46" s="1685">
        <f t="shared" si="34"/>
        <v>1200</v>
      </c>
      <c r="BJ46" s="1688">
        <f t="shared" si="55"/>
        <v>0.68027828276329216</v>
      </c>
      <c r="BK46" s="1685">
        <f t="shared" si="56"/>
        <v>2.7506025847406992</v>
      </c>
      <c r="BL46" s="1685">
        <f t="shared" si="57"/>
        <v>1200</v>
      </c>
      <c r="BM46" s="1685">
        <f t="shared" si="95"/>
        <v>2.8</v>
      </c>
      <c r="BN46" s="1686">
        <f t="shared" si="58"/>
        <v>-1.7958761303191809E-2</v>
      </c>
      <c r="BP46" s="1756" t="str">
        <f t="shared" si="59"/>
        <v/>
      </c>
      <c r="BQ46" s="1685" t="str">
        <f t="shared" si="36"/>
        <v>Route RfC</v>
      </c>
    </row>
    <row r="47" spans="1:69">
      <c r="A47" t="s">
        <v>165</v>
      </c>
      <c r="B47" t="s">
        <v>166</v>
      </c>
      <c r="C47" s="1684">
        <f t="shared" si="63"/>
        <v>0.46404590903502718</v>
      </c>
      <c r="D47" s="1685" t="str">
        <f t="shared" si="110"/>
        <v/>
      </c>
      <c r="E47" s="1686" t="str">
        <f t="shared" si="62"/>
        <v/>
      </c>
      <c r="F47" s="1684">
        <f t="shared" si="64"/>
        <v>31.179122075907717</v>
      </c>
      <c r="G47" s="1685" t="str">
        <f t="shared" si="111"/>
        <v/>
      </c>
      <c r="H47" s="1688" t="str">
        <f t="shared" si="38"/>
        <v/>
      </c>
      <c r="I47" s="1685">
        <f t="shared" si="4"/>
        <v>0.46404590903502718</v>
      </c>
      <c r="J47" s="1685" t="str">
        <f t="shared" si="39"/>
        <v/>
      </c>
      <c r="K47" s="1685">
        <f t="shared" si="65"/>
        <v>0.46</v>
      </c>
      <c r="L47" s="1686">
        <f t="shared" si="40"/>
        <v>8.7187688895707261E-3</v>
      </c>
      <c r="M47" s="1684">
        <f t="shared" si="66"/>
        <v>1.9984497286943805</v>
      </c>
      <c r="N47" s="1685" t="str">
        <f t="shared" si="112"/>
        <v/>
      </c>
      <c r="O47" s="1686" t="str">
        <f t="shared" si="8"/>
        <v/>
      </c>
      <c r="P47" s="1684">
        <f t="shared" si="67"/>
        <v>134.90021239836574</v>
      </c>
      <c r="Q47" s="1685" t="str">
        <f t="shared" si="113"/>
        <v/>
      </c>
      <c r="R47" s="1688" t="str">
        <f t="shared" si="60"/>
        <v/>
      </c>
      <c r="S47" s="1685">
        <f t="shared" si="41"/>
        <v>1.9984497286943805</v>
      </c>
      <c r="T47" s="1685" t="str">
        <f t="shared" si="42"/>
        <v/>
      </c>
      <c r="U47" s="1685">
        <f t="shared" si="68"/>
        <v>2</v>
      </c>
      <c r="V47" s="1686">
        <f t="shared" si="61"/>
        <v>-7.7573695418012008E-4</v>
      </c>
      <c r="W47" s="1756" t="str">
        <f t="shared" si="43"/>
        <v/>
      </c>
      <c r="X47" s="1685" t="str">
        <f t="shared" si="96"/>
        <v>--</v>
      </c>
      <c r="Z47" t="str">
        <f t="shared" si="97"/>
        <v>--</v>
      </c>
      <c r="AA47" t="str">
        <f t="shared" si="98"/>
        <v>--</v>
      </c>
      <c r="AB47" t="str">
        <f t="shared" si="99"/>
        <v>--</v>
      </c>
      <c r="AC47" t="str">
        <f t="shared" si="100"/>
        <v>--</v>
      </c>
      <c r="AF47" s="1684">
        <f t="shared" si="101"/>
        <v>0.10798816568047337</v>
      </c>
      <c r="AG47" s="1685" t="str">
        <f t="shared" si="18"/>
        <v/>
      </c>
      <c r="AH47" s="1686" t="str">
        <f t="shared" si="44"/>
        <v/>
      </c>
      <c r="AI47" s="1684">
        <f t="shared" si="102"/>
        <v>7.3</v>
      </c>
      <c r="AJ47" s="1685" t="str">
        <f t="shared" si="20"/>
        <v/>
      </c>
      <c r="AK47" s="1688" t="str">
        <f t="shared" si="45"/>
        <v/>
      </c>
      <c r="AL47" s="1685">
        <f t="shared" si="46"/>
        <v>0.10798816568047337</v>
      </c>
      <c r="AM47" s="1685" t="str">
        <f t="shared" si="47"/>
        <v/>
      </c>
      <c r="AN47" s="1685">
        <f t="shared" si="103"/>
        <v>0.11</v>
      </c>
      <c r="AO47" s="1686">
        <f t="shared" si="48"/>
        <v>-1.8630136986301411E-2</v>
      </c>
      <c r="AP47" s="1684">
        <f t="shared" si="104"/>
        <v>0.47169230769230763</v>
      </c>
      <c r="AQ47" s="1685" t="str">
        <f t="shared" si="23"/>
        <v/>
      </c>
      <c r="AR47" s="1686" t="str">
        <f t="shared" si="49"/>
        <v/>
      </c>
      <c r="AS47" s="1684">
        <f t="shared" si="105"/>
        <v>30.659999999999997</v>
      </c>
      <c r="AT47" s="1685" t="str">
        <f t="shared" si="26"/>
        <v/>
      </c>
      <c r="AU47" s="1688" t="str">
        <f t="shared" si="50"/>
        <v/>
      </c>
      <c r="AV47" s="1685">
        <f t="shared" si="51"/>
        <v>0.47169230769230763</v>
      </c>
      <c r="AW47" s="1685" t="str">
        <f t="shared" si="52"/>
        <v/>
      </c>
      <c r="AX47" s="1685">
        <f t="shared" si="106"/>
        <v>0.47</v>
      </c>
      <c r="AY47" s="1686">
        <f t="shared" si="53"/>
        <v>3.5877364644487245E-3</v>
      </c>
      <c r="BA47" s="1756" t="str">
        <f t="shared" si="107"/>
        <v/>
      </c>
      <c r="BB47" s="1685" t="str">
        <f t="shared" si="29"/>
        <v>V</v>
      </c>
      <c r="BC47" s="1685" t="str">
        <f t="shared" si="30"/>
        <v>--</v>
      </c>
      <c r="BE47" s="1684">
        <f t="shared" si="108"/>
        <v>0.17086896486121286</v>
      </c>
      <c r="BF47" s="1685" t="str">
        <f t="shared" si="32"/>
        <v/>
      </c>
      <c r="BG47" s="1686" t="str">
        <f t="shared" si="54"/>
        <v/>
      </c>
      <c r="BH47" s="1684">
        <f t="shared" si="109"/>
        <v>12.960296574149602</v>
      </c>
      <c r="BI47" s="1685" t="str">
        <f t="shared" si="34"/>
        <v/>
      </c>
      <c r="BJ47" s="1688" t="str">
        <f t="shared" si="55"/>
        <v/>
      </c>
      <c r="BK47" s="1685">
        <f t="shared" si="56"/>
        <v>0.17086896486121286</v>
      </c>
      <c r="BL47" s="1685" t="str">
        <f t="shared" si="57"/>
        <v/>
      </c>
      <c r="BM47" s="1685">
        <f t="shared" si="95"/>
        <v>0.17</v>
      </c>
      <c r="BN47" s="1686">
        <f t="shared" si="58"/>
        <v>5.0855628575889227E-3</v>
      </c>
      <c r="BP47" s="1756" t="str">
        <f t="shared" si="59"/>
        <v/>
      </c>
      <c r="BQ47" s="1685" t="str">
        <f t="shared" si="36"/>
        <v>--</v>
      </c>
    </row>
    <row r="48" spans="1:69">
      <c r="A48" t="s">
        <v>167</v>
      </c>
      <c r="B48" t="s">
        <v>168</v>
      </c>
      <c r="C48" s="1684" t="str">
        <f t="shared" si="63"/>
        <v>--</v>
      </c>
      <c r="D48" s="1685" t="str">
        <f t="shared" si="110"/>
        <v>--</v>
      </c>
      <c r="E48" s="1686" t="str">
        <f t="shared" si="62"/>
        <v/>
      </c>
      <c r="F48" s="1684">
        <f t="shared" si="64"/>
        <v>4.7684973243458142</v>
      </c>
      <c r="G48" s="1685" t="str">
        <f t="shared" si="111"/>
        <v>--a</v>
      </c>
      <c r="H48" s="1688" t="e">
        <f t="shared" si="38"/>
        <v>#VALUE!</v>
      </c>
      <c r="I48" s="1685">
        <f t="shared" si="4"/>
        <v>4.7684973243458142</v>
      </c>
      <c r="J48" s="1685">
        <f t="shared" si="39"/>
        <v>0</v>
      </c>
      <c r="K48" s="1685">
        <f t="shared" si="65"/>
        <v>4.8</v>
      </c>
      <c r="L48" s="1686">
        <f t="shared" si="40"/>
        <v>-6.6064157136771495E-3</v>
      </c>
      <c r="M48" s="1684" t="str">
        <f t="shared" si="66"/>
        <v>--</v>
      </c>
      <c r="N48" s="1685" t="str">
        <f t="shared" si="112"/>
        <v>--</v>
      </c>
      <c r="O48" s="1686" t="str">
        <f t="shared" si="8"/>
        <v/>
      </c>
      <c r="P48" s="1684">
        <f t="shared" si="67"/>
        <v>19.656122469391416</v>
      </c>
      <c r="Q48" s="1685" t="str">
        <f t="shared" si="113"/>
        <v>--a</v>
      </c>
      <c r="R48" s="1688" t="e">
        <f t="shared" si="60"/>
        <v>#VALUE!</v>
      </c>
      <c r="S48" s="1685">
        <f t="shared" si="41"/>
        <v>19.656122469391416</v>
      </c>
      <c r="T48" s="1685">
        <f t="shared" si="42"/>
        <v>0</v>
      </c>
      <c r="U48" s="1685">
        <f t="shared" si="68"/>
        <v>20</v>
      </c>
      <c r="V48" s="1686">
        <f t="shared" si="61"/>
        <v>-1.749467786151979E-2</v>
      </c>
      <c r="W48" s="1756" t="str">
        <f t="shared" si="43"/>
        <v/>
      </c>
      <c r="X48" s="1685" t="str">
        <f t="shared" si="96"/>
        <v>--</v>
      </c>
      <c r="Z48" t="str">
        <f t="shared" si="97"/>
        <v>--</v>
      </c>
      <c r="AA48" t="str">
        <f t="shared" si="98"/>
        <v>--</v>
      </c>
      <c r="AB48" t="str">
        <f t="shared" si="99"/>
        <v>--</v>
      </c>
      <c r="AC48" t="str">
        <f t="shared" si="100"/>
        <v>--</v>
      </c>
      <c r="AF48" s="1684" t="str">
        <f t="shared" si="101"/>
        <v>--</v>
      </c>
      <c r="AG48" s="1685" t="str">
        <f t="shared" si="18"/>
        <v>--</v>
      </c>
      <c r="AH48" s="1686" t="str">
        <f t="shared" si="44"/>
        <v/>
      </c>
      <c r="AI48" s="1684">
        <f t="shared" si="102"/>
        <v>4.1297142857142859</v>
      </c>
      <c r="AJ48" s="1685" t="str">
        <f t="shared" si="20"/>
        <v>--a</v>
      </c>
      <c r="AK48" s="1688" t="e">
        <f t="shared" si="45"/>
        <v>#VALUE!</v>
      </c>
      <c r="AL48" s="1685">
        <f t="shared" si="46"/>
        <v>4.1297142857142859</v>
      </c>
      <c r="AM48" s="1685">
        <f t="shared" si="47"/>
        <v>0</v>
      </c>
      <c r="AN48" s="1685">
        <f t="shared" si="103"/>
        <v>4.0999999999999996</v>
      </c>
      <c r="AO48" s="1686">
        <f t="shared" si="48"/>
        <v>7.1952400719525293E-3</v>
      </c>
      <c r="AP48" s="1684" t="str">
        <f t="shared" si="104"/>
        <v>--</v>
      </c>
      <c r="AQ48" s="1685" t="str">
        <f t="shared" si="23"/>
        <v>--</v>
      </c>
      <c r="AR48" s="1686" t="str">
        <f t="shared" si="49"/>
        <v/>
      </c>
      <c r="AS48" s="1684">
        <f t="shared" si="105"/>
        <v>17.344799999999999</v>
      </c>
      <c r="AT48" s="1685" t="str">
        <f t="shared" si="26"/>
        <v>--a</v>
      </c>
      <c r="AU48" s="1688" t="e">
        <f t="shared" si="50"/>
        <v>#VALUE!</v>
      </c>
      <c r="AV48" s="1685">
        <f t="shared" si="51"/>
        <v>17.344799999999999</v>
      </c>
      <c r="AW48" s="1685">
        <f t="shared" si="52"/>
        <v>0</v>
      </c>
      <c r="AX48" s="1685">
        <f t="shared" si="106"/>
        <v>17</v>
      </c>
      <c r="AY48" s="1686">
        <f t="shared" si="53"/>
        <v>1.9879156865458197E-2</v>
      </c>
      <c r="BA48" s="1756" t="str">
        <f t="shared" si="107"/>
        <v/>
      </c>
      <c r="BB48" s="1685" t="str">
        <f t="shared" si="29"/>
        <v>V</v>
      </c>
      <c r="BC48" s="1685" t="str">
        <f t="shared" si="30"/>
        <v>--</v>
      </c>
      <c r="BE48" s="1684" t="str">
        <f t="shared" si="108"/>
        <v>--</v>
      </c>
      <c r="BF48" s="1685" t="str">
        <f t="shared" si="32"/>
        <v>--</v>
      </c>
      <c r="BG48" s="1686" t="str">
        <f t="shared" si="54"/>
        <v/>
      </c>
      <c r="BH48" s="1684">
        <f t="shared" si="109"/>
        <v>8.1840979942799947</v>
      </c>
      <c r="BI48" s="1685" t="str">
        <f t="shared" si="34"/>
        <v>--a</v>
      </c>
      <c r="BJ48" s="1688" t="e">
        <f t="shared" si="55"/>
        <v>#VALUE!</v>
      </c>
      <c r="BK48" s="1685">
        <f t="shared" si="56"/>
        <v>8.1840979942799947</v>
      </c>
      <c r="BL48" s="1685">
        <f t="shared" si="57"/>
        <v>0</v>
      </c>
      <c r="BM48" s="1685">
        <f t="shared" si="95"/>
        <v>8.1999999999999993</v>
      </c>
      <c r="BN48" s="1686">
        <f t="shared" si="58"/>
        <v>-1.943037061765235E-3</v>
      </c>
      <c r="BP48" s="1756" t="str">
        <f t="shared" si="59"/>
        <v/>
      </c>
      <c r="BQ48" s="1685" t="str">
        <f t="shared" si="36"/>
        <v>--</v>
      </c>
    </row>
    <row r="49" spans="1:69">
      <c r="A49" t="s">
        <v>169</v>
      </c>
      <c r="B49" t="s">
        <v>170</v>
      </c>
      <c r="C49" s="1684" t="str">
        <f t="shared" si="63"/>
        <v>--</v>
      </c>
      <c r="D49" s="1685" t="str">
        <f t="shared" si="110"/>
        <v/>
      </c>
      <c r="E49" s="1686" t="str">
        <f t="shared" si="62"/>
        <v/>
      </c>
      <c r="F49" s="1684">
        <f t="shared" si="64"/>
        <v>62.575353556524746</v>
      </c>
      <c r="G49" s="1685" t="str">
        <f t="shared" si="111"/>
        <v/>
      </c>
      <c r="H49" s="1688" t="str">
        <f t="shared" si="38"/>
        <v/>
      </c>
      <c r="I49" s="1685">
        <f t="shared" si="4"/>
        <v>62.575353556524746</v>
      </c>
      <c r="J49" s="1685" t="str">
        <f t="shared" si="39"/>
        <v/>
      </c>
      <c r="K49" s="1685">
        <f t="shared" si="65"/>
        <v>63</v>
      </c>
      <c r="L49" s="1686">
        <f t="shared" si="40"/>
        <v>-6.786161313362263E-3</v>
      </c>
      <c r="M49" s="1684" t="str">
        <f t="shared" si="66"/>
        <v>--</v>
      </c>
      <c r="N49" s="1685" t="str">
        <f t="shared" si="112"/>
        <v/>
      </c>
      <c r="O49" s="1686" t="str">
        <f t="shared" si="8"/>
        <v/>
      </c>
      <c r="P49" s="1684">
        <f t="shared" si="67"/>
        <v>362.8238864053107</v>
      </c>
      <c r="Q49" s="1685" t="str">
        <f t="shared" si="113"/>
        <v/>
      </c>
      <c r="R49" s="1688" t="str">
        <f t="shared" si="60"/>
        <v/>
      </c>
      <c r="S49" s="1685">
        <f t="shared" si="41"/>
        <v>362.8238864053107</v>
      </c>
      <c r="T49" s="1685" t="str">
        <f t="shared" si="42"/>
        <v/>
      </c>
      <c r="U49" s="1685">
        <f t="shared" si="68"/>
        <v>370</v>
      </c>
      <c r="V49" s="1686">
        <f t="shared" si="61"/>
        <v>-1.9778503741269278E-2</v>
      </c>
      <c r="W49" s="1756" t="str">
        <f t="shared" si="43"/>
        <v/>
      </c>
      <c r="X49" s="1685" t="str">
        <f t="shared" si="96"/>
        <v>--</v>
      </c>
      <c r="Z49" t="str">
        <f t="shared" si="97"/>
        <v>--</v>
      </c>
      <c r="AA49" t="str">
        <f t="shared" si="98"/>
        <v>--</v>
      </c>
      <c r="AB49" t="str">
        <f t="shared" si="99"/>
        <v>--</v>
      </c>
      <c r="AC49" t="str">
        <f t="shared" si="100"/>
        <v>--</v>
      </c>
      <c r="AF49" s="1684" t="str">
        <f t="shared" si="101"/>
        <v>--</v>
      </c>
      <c r="AG49" s="1685" t="str">
        <f t="shared" si="18"/>
        <v/>
      </c>
      <c r="AH49" s="1686" t="str">
        <f t="shared" si="44"/>
        <v/>
      </c>
      <c r="AI49" s="1684">
        <f t="shared" si="102"/>
        <v>41.714285714285715</v>
      </c>
      <c r="AJ49" s="1685" t="str">
        <f t="shared" si="20"/>
        <v/>
      </c>
      <c r="AK49" s="1688" t="str">
        <f t="shared" si="45"/>
        <v/>
      </c>
      <c r="AL49" s="1685">
        <f t="shared" si="46"/>
        <v>41.714285714285715</v>
      </c>
      <c r="AM49" s="1685" t="str">
        <f t="shared" si="47"/>
        <v/>
      </c>
      <c r="AN49" s="1685">
        <f t="shared" si="103"/>
        <v>42</v>
      </c>
      <c r="AO49" s="1686">
        <f t="shared" si="48"/>
        <v>-6.849315068493126E-3</v>
      </c>
      <c r="AP49" s="1684" t="str">
        <f t="shared" si="104"/>
        <v>--</v>
      </c>
      <c r="AQ49" s="1685" t="str">
        <f t="shared" si="23"/>
        <v/>
      </c>
      <c r="AR49" s="1686" t="str">
        <f t="shared" si="49"/>
        <v/>
      </c>
      <c r="AS49" s="1684">
        <f t="shared" si="105"/>
        <v>175.2</v>
      </c>
      <c r="AT49" s="1685" t="str">
        <f t="shared" si="26"/>
        <v/>
      </c>
      <c r="AU49" s="1688" t="str">
        <f t="shared" si="50"/>
        <v/>
      </c>
      <c r="AV49" s="1685">
        <f t="shared" si="51"/>
        <v>175.2</v>
      </c>
      <c r="AW49" s="1685" t="str">
        <f t="shared" si="52"/>
        <v/>
      </c>
      <c r="AX49" s="1685">
        <f t="shared" si="106"/>
        <v>180</v>
      </c>
      <c r="AY49" s="1686">
        <f t="shared" si="53"/>
        <v>-2.7397260273972671E-2</v>
      </c>
      <c r="BA49" s="1756" t="str">
        <f t="shared" si="107"/>
        <v/>
      </c>
      <c r="BB49" s="1685" t="str">
        <f t="shared" si="29"/>
        <v>V</v>
      </c>
      <c r="BC49" s="1685" t="str">
        <f t="shared" si="30"/>
        <v>--</v>
      </c>
      <c r="BE49" s="1684" t="str">
        <f t="shared" si="108"/>
        <v>--</v>
      </c>
      <c r="BF49" s="1685" t="str">
        <f t="shared" si="32"/>
        <v/>
      </c>
      <c r="BG49" s="1686" t="str">
        <f t="shared" si="54"/>
        <v/>
      </c>
      <c r="BH49" s="1684">
        <f t="shared" si="109"/>
        <v>25.206912556814419</v>
      </c>
      <c r="BI49" s="1685" t="str">
        <f t="shared" si="34"/>
        <v/>
      </c>
      <c r="BJ49" s="1688" t="str">
        <f t="shared" si="55"/>
        <v/>
      </c>
      <c r="BK49" s="1685">
        <f t="shared" si="56"/>
        <v>25.206912556814419</v>
      </c>
      <c r="BL49" s="1685" t="str">
        <f t="shared" si="57"/>
        <v/>
      </c>
      <c r="BM49" s="1685">
        <f t="shared" si="95"/>
        <v>25</v>
      </c>
      <c r="BN49" s="1686">
        <f t="shared" si="58"/>
        <v>8.2085640733689479E-3</v>
      </c>
      <c r="BP49" s="1756" t="str">
        <f t="shared" si="59"/>
        <v/>
      </c>
      <c r="BQ49" s="1685" t="str">
        <f t="shared" si="36"/>
        <v>--</v>
      </c>
    </row>
    <row r="50" spans="1:69">
      <c r="A50" t="s">
        <v>171</v>
      </c>
      <c r="B50" t="s">
        <v>172</v>
      </c>
      <c r="C50" s="1684" t="str">
        <f t="shared" si="63"/>
        <v>--</v>
      </c>
      <c r="D50" s="1685" t="str">
        <f t="shared" si="110"/>
        <v/>
      </c>
      <c r="E50" s="1686" t="str">
        <f t="shared" si="62"/>
        <v/>
      </c>
      <c r="F50" s="1684">
        <f t="shared" si="64"/>
        <v>69.59664520563706</v>
      </c>
      <c r="G50" s="1685" t="str">
        <f t="shared" si="111"/>
        <v/>
      </c>
      <c r="H50" s="1688" t="str">
        <f t="shared" si="38"/>
        <v/>
      </c>
      <c r="I50" s="1685">
        <f t="shared" si="4"/>
        <v>69.59664520563706</v>
      </c>
      <c r="J50" s="1685" t="str">
        <f t="shared" si="39"/>
        <v/>
      </c>
      <c r="K50" s="1685">
        <f t="shared" si="65"/>
        <v>70</v>
      </c>
      <c r="L50" s="1686">
        <f t="shared" si="40"/>
        <v>-5.7956068596575101E-3</v>
      </c>
      <c r="M50" s="1684" t="str">
        <f t="shared" si="66"/>
        <v>--</v>
      </c>
      <c r="N50" s="1685" t="str">
        <f t="shared" si="112"/>
        <v/>
      </c>
      <c r="O50" s="1686" t="str">
        <f t="shared" si="8"/>
        <v/>
      </c>
      <c r="P50" s="1684">
        <f t="shared" si="67"/>
        <v>296.17247941654023</v>
      </c>
      <c r="Q50" s="1685" t="str">
        <f t="shared" si="113"/>
        <v/>
      </c>
      <c r="R50" s="1688" t="str">
        <f t="shared" si="60"/>
        <v/>
      </c>
      <c r="S50" s="1685">
        <f t="shared" si="41"/>
        <v>296.17247941654023</v>
      </c>
      <c r="T50" s="1685" t="str">
        <f t="shared" si="42"/>
        <v/>
      </c>
      <c r="U50" s="1685">
        <f t="shared" si="68"/>
        <v>300</v>
      </c>
      <c r="V50" s="1686">
        <f t="shared" si="61"/>
        <v>-1.2923282375864186E-2</v>
      </c>
      <c r="W50" s="1756" t="str">
        <f t="shared" si="43"/>
        <v/>
      </c>
      <c r="X50" s="1685" t="str">
        <f t="shared" si="96"/>
        <v>--</v>
      </c>
      <c r="Z50" t="str">
        <f t="shared" si="97"/>
        <v>--</v>
      </c>
      <c r="AA50" t="str">
        <f t="shared" si="98"/>
        <v>--</v>
      </c>
      <c r="AB50" t="str">
        <f t="shared" si="99"/>
        <v>--</v>
      </c>
      <c r="AC50" t="str">
        <f t="shared" si="100"/>
        <v>--</v>
      </c>
      <c r="AF50" s="1684" t="str">
        <f t="shared" si="101"/>
        <v>--</v>
      </c>
      <c r="AG50" s="1685" t="str">
        <f t="shared" si="18"/>
        <v/>
      </c>
      <c r="AH50" s="1686" t="str">
        <f t="shared" si="44"/>
        <v/>
      </c>
      <c r="AI50" s="1684">
        <f t="shared" si="102"/>
        <v>41.714285714285715</v>
      </c>
      <c r="AJ50" s="1685" t="str">
        <f t="shared" si="20"/>
        <v/>
      </c>
      <c r="AK50" s="1688" t="str">
        <f t="shared" si="45"/>
        <v/>
      </c>
      <c r="AL50" s="1685">
        <f t="shared" si="46"/>
        <v>41.714285714285715</v>
      </c>
      <c r="AM50" s="1685" t="str">
        <f t="shared" si="47"/>
        <v/>
      </c>
      <c r="AN50" s="1685">
        <f t="shared" si="103"/>
        <v>42</v>
      </c>
      <c r="AO50" s="1686">
        <f t="shared" si="48"/>
        <v>-6.849315068493126E-3</v>
      </c>
      <c r="AP50" s="1684" t="str">
        <f t="shared" si="104"/>
        <v>--</v>
      </c>
      <c r="AQ50" s="1685" t="str">
        <f t="shared" si="23"/>
        <v/>
      </c>
      <c r="AR50" s="1686" t="str">
        <f t="shared" si="49"/>
        <v/>
      </c>
      <c r="AS50" s="1684">
        <f t="shared" si="105"/>
        <v>175.2</v>
      </c>
      <c r="AT50" s="1685" t="str">
        <f t="shared" si="26"/>
        <v/>
      </c>
      <c r="AU50" s="1688" t="str">
        <f t="shared" si="50"/>
        <v/>
      </c>
      <c r="AV50" s="1685">
        <f t="shared" si="51"/>
        <v>175.2</v>
      </c>
      <c r="AW50" s="1685" t="str">
        <f t="shared" si="52"/>
        <v/>
      </c>
      <c r="AX50" s="1685">
        <f t="shared" si="106"/>
        <v>180</v>
      </c>
      <c r="AY50" s="1686">
        <f t="shared" si="53"/>
        <v>-2.7397260273972671E-2</v>
      </c>
      <c r="BA50" s="1756" t="str">
        <f t="shared" si="107"/>
        <v/>
      </c>
      <c r="BB50" s="1685" t="str">
        <f t="shared" si="29"/>
        <v>V</v>
      </c>
      <c r="BC50" s="1685" t="str">
        <f t="shared" si="30"/>
        <v>--</v>
      </c>
      <c r="BE50" s="1684" t="str">
        <f t="shared" si="108"/>
        <v>--</v>
      </c>
      <c r="BF50" s="1685" t="str">
        <f t="shared" si="32"/>
        <v/>
      </c>
      <c r="BG50" s="1686" t="str">
        <f t="shared" si="54"/>
        <v/>
      </c>
      <c r="BH50" s="1684">
        <f t="shared" si="109"/>
        <v>67.774384873723562</v>
      </c>
      <c r="BI50" s="1685" t="str">
        <f t="shared" si="34"/>
        <v/>
      </c>
      <c r="BJ50" s="1688" t="str">
        <f t="shared" si="55"/>
        <v/>
      </c>
      <c r="BK50" s="1685">
        <f t="shared" si="56"/>
        <v>67.774384873723562</v>
      </c>
      <c r="BL50" s="1685" t="str">
        <f t="shared" si="57"/>
        <v/>
      </c>
      <c r="BM50" s="1685">
        <f t="shared" si="95"/>
        <v>68</v>
      </c>
      <c r="BN50" s="1686">
        <f t="shared" si="58"/>
        <v>-3.3289144076600785E-3</v>
      </c>
      <c r="BP50" s="1756" t="str">
        <f t="shared" si="59"/>
        <v/>
      </c>
      <c r="BQ50" s="1685" t="str">
        <f t="shared" si="36"/>
        <v>--</v>
      </c>
    </row>
    <row r="51" spans="1:69">
      <c r="A51" t="s">
        <v>173</v>
      </c>
      <c r="B51" t="s">
        <v>174</v>
      </c>
      <c r="C51" s="1684" t="str">
        <f t="shared" si="63"/>
        <v>--</v>
      </c>
      <c r="D51" s="1685" t="str">
        <f t="shared" si="110"/>
        <v>--</v>
      </c>
      <c r="E51" s="1686" t="str">
        <f t="shared" si="62"/>
        <v/>
      </c>
      <c r="F51" s="1684">
        <f t="shared" si="64"/>
        <v>189.6410386671439</v>
      </c>
      <c r="G51" s="1685" t="str">
        <f t="shared" si="111"/>
        <v/>
      </c>
      <c r="H51" s="1688" t="str">
        <f t="shared" si="38"/>
        <v/>
      </c>
      <c r="I51" s="1685">
        <f t="shared" si="4"/>
        <v>189.6410386671439</v>
      </c>
      <c r="J51" s="1685">
        <f t="shared" si="39"/>
        <v>0</v>
      </c>
      <c r="K51" s="1685">
        <f t="shared" si="65"/>
        <v>190</v>
      </c>
      <c r="L51" s="1686">
        <f t="shared" si="40"/>
        <v>-1.8928462709284282E-3</v>
      </c>
      <c r="M51" s="1684" t="str">
        <f t="shared" si="66"/>
        <v>--</v>
      </c>
      <c r="N51" s="1685" t="str">
        <f t="shared" si="112"/>
        <v>--</v>
      </c>
      <c r="O51" s="1686" t="str">
        <f t="shared" si="8"/>
        <v/>
      </c>
      <c r="P51" s="1684">
        <f t="shared" si="67"/>
        <v>2461.9881397375007</v>
      </c>
      <c r="Q51" s="1685">
        <f t="shared" si="113"/>
        <v>2000</v>
      </c>
      <c r="R51" s="1690">
        <f t="shared" si="60"/>
        <v>0.18764840182648412</v>
      </c>
      <c r="S51" s="1685">
        <f t="shared" si="41"/>
        <v>2461.9881397375007</v>
      </c>
      <c r="T51" s="1685">
        <f t="shared" si="42"/>
        <v>2000</v>
      </c>
      <c r="U51" s="1685">
        <f t="shared" si="68"/>
        <v>2500</v>
      </c>
      <c r="V51" s="1686">
        <f t="shared" si="61"/>
        <v>-1.5439497716894851E-2</v>
      </c>
      <c r="W51" s="1756" t="str">
        <f t="shared" si="43"/>
        <v/>
      </c>
      <c r="X51" s="1685" t="str">
        <f t="shared" si="96"/>
        <v>--</v>
      </c>
      <c r="Z51" t="str">
        <f t="shared" si="97"/>
        <v>--</v>
      </c>
      <c r="AA51" t="str">
        <f t="shared" si="98"/>
        <v>--</v>
      </c>
      <c r="AB51" t="str">
        <f t="shared" si="99"/>
        <v>--</v>
      </c>
      <c r="AC51" t="str">
        <f t="shared" si="100"/>
        <v>--</v>
      </c>
      <c r="AF51" s="1684" t="str">
        <f t="shared" si="101"/>
        <v>--</v>
      </c>
      <c r="AG51" s="1685" t="str">
        <f t="shared" si="18"/>
        <v/>
      </c>
      <c r="AH51" s="1686" t="str">
        <f t="shared" si="44"/>
        <v/>
      </c>
      <c r="AI51" s="1684" t="str">
        <f t="shared" si="102"/>
        <v>--</v>
      </c>
      <c r="AJ51" s="1685" t="str">
        <f t="shared" si="20"/>
        <v/>
      </c>
      <c r="AK51" s="1688" t="str">
        <f t="shared" si="45"/>
        <v/>
      </c>
      <c r="AL51" s="1685">
        <f t="shared" si="46"/>
        <v>0</v>
      </c>
      <c r="AM51" s="1685" t="str">
        <f t="shared" si="47"/>
        <v/>
      </c>
      <c r="AN51" s="1685" t="str">
        <f t="shared" si="103"/>
        <v>--</v>
      </c>
      <c r="AO51" s="1686" t="str">
        <f t="shared" si="48"/>
        <v>N</v>
      </c>
      <c r="AP51" s="1684" t="str">
        <f t="shared" si="104"/>
        <v>--</v>
      </c>
      <c r="AQ51" s="1685" t="str">
        <f t="shared" si="23"/>
        <v/>
      </c>
      <c r="AR51" s="1686" t="str">
        <f t="shared" si="49"/>
        <v/>
      </c>
      <c r="AS51" s="1684" t="str">
        <f t="shared" si="105"/>
        <v>--</v>
      </c>
      <c r="AT51" s="1685" t="str">
        <f t="shared" si="26"/>
        <v/>
      </c>
      <c r="AU51" s="1688" t="str">
        <f t="shared" si="50"/>
        <v/>
      </c>
      <c r="AV51" s="1685">
        <f t="shared" si="51"/>
        <v>0</v>
      </c>
      <c r="AW51" s="1685" t="str">
        <f t="shared" si="52"/>
        <v/>
      </c>
      <c r="AX51" s="1685" t="str">
        <f t="shared" si="106"/>
        <v>--</v>
      </c>
      <c r="AY51" s="1686" t="str">
        <f t="shared" si="53"/>
        <v>N</v>
      </c>
      <c r="BA51" s="1756" t="str">
        <f t="shared" si="107"/>
        <v/>
      </c>
      <c r="BB51" s="1685" t="str">
        <f t="shared" si="29"/>
        <v>--</v>
      </c>
      <c r="BC51" s="1685" t="str">
        <f t="shared" si="30"/>
        <v>--</v>
      </c>
      <c r="BE51" s="1684" t="str">
        <f t="shared" si="108"/>
        <v>--</v>
      </c>
      <c r="BF51" s="1685" t="str">
        <f t="shared" si="32"/>
        <v/>
      </c>
      <c r="BG51" s="1686" t="str">
        <f t="shared" si="54"/>
        <v/>
      </c>
      <c r="BH51" s="1684">
        <f t="shared" si="109"/>
        <v>45.694289862312644</v>
      </c>
      <c r="BI51" s="1685" t="str">
        <f t="shared" si="34"/>
        <v/>
      </c>
      <c r="BJ51" s="1688" t="str">
        <f t="shared" si="55"/>
        <v/>
      </c>
      <c r="BK51" s="1685">
        <f t="shared" si="56"/>
        <v>45.694289862312644</v>
      </c>
      <c r="BL51" s="1685" t="str">
        <f t="shared" si="57"/>
        <v/>
      </c>
      <c r="BM51" s="1685">
        <f t="shared" si="95"/>
        <v>46</v>
      </c>
      <c r="BN51" s="1686">
        <f t="shared" si="58"/>
        <v>-6.6903356767011972E-3</v>
      </c>
      <c r="BP51" s="1756" t="str">
        <f t="shared" si="59"/>
        <v/>
      </c>
      <c r="BQ51" s="1685" t="str">
        <f t="shared" si="36"/>
        <v>--</v>
      </c>
    </row>
    <row r="52" spans="1:69">
      <c r="A52" t="s">
        <v>175</v>
      </c>
      <c r="B52" t="s">
        <v>176</v>
      </c>
      <c r="C52" s="1684">
        <f t="shared" si="63"/>
        <v>2.4933421146470378</v>
      </c>
      <c r="D52" s="1685" t="str">
        <f t="shared" si="110"/>
        <v/>
      </c>
      <c r="E52" s="1686" t="str">
        <f t="shared" si="62"/>
        <v/>
      </c>
      <c r="F52" s="1684">
        <f t="shared" si="64"/>
        <v>15.723822723366808</v>
      </c>
      <c r="G52" s="1685" t="str">
        <f t="shared" si="111"/>
        <v/>
      </c>
      <c r="H52" s="1688" t="str">
        <f t="shared" si="38"/>
        <v/>
      </c>
      <c r="I52" s="1685">
        <f t="shared" si="4"/>
        <v>2.4933421146470378</v>
      </c>
      <c r="J52" s="1685" t="str">
        <f t="shared" si="39"/>
        <v/>
      </c>
      <c r="K52" s="1685">
        <f t="shared" si="65"/>
        <v>2.5</v>
      </c>
      <c r="L52" s="1686">
        <f t="shared" si="40"/>
        <v>-2.6702654697286468E-3</v>
      </c>
      <c r="M52" s="1684">
        <f t="shared" si="66"/>
        <v>10.807721727577171</v>
      </c>
      <c r="N52" s="1685" t="str">
        <f t="shared" si="112"/>
        <v/>
      </c>
      <c r="O52" s="1686" t="str">
        <f t="shared" si="8"/>
        <v/>
      </c>
      <c r="P52" s="1684">
        <f t="shared" si="67"/>
        <v>64.994171506532524</v>
      </c>
      <c r="Q52" s="1685" t="str">
        <f t="shared" si="113"/>
        <v/>
      </c>
      <c r="R52" s="1688" t="str">
        <f t="shared" si="60"/>
        <v/>
      </c>
      <c r="S52" s="1685">
        <f t="shared" si="41"/>
        <v>10.807721727577171</v>
      </c>
      <c r="T52" s="1685" t="str">
        <f t="shared" si="42"/>
        <v/>
      </c>
      <c r="U52" s="1685">
        <f t="shared" si="68"/>
        <v>11</v>
      </c>
      <c r="V52" s="1686">
        <f t="shared" si="61"/>
        <v>-1.7790823752633134E-2</v>
      </c>
      <c r="W52" s="1756" t="str">
        <f t="shared" si="43"/>
        <v/>
      </c>
      <c r="X52" s="1685" t="str">
        <f t="shared" si="96"/>
        <v>--</v>
      </c>
      <c r="Z52" t="str">
        <f t="shared" si="97"/>
        <v>--</v>
      </c>
      <c r="AA52" t="str">
        <f t="shared" si="98"/>
        <v>--</v>
      </c>
      <c r="AB52" t="str">
        <f t="shared" si="99"/>
        <v>--</v>
      </c>
      <c r="AC52" t="str">
        <f t="shared" si="100"/>
        <v>--</v>
      </c>
      <c r="AF52" s="1684">
        <f t="shared" si="101"/>
        <v>0.75883575883575871</v>
      </c>
      <c r="AG52" s="1685" t="str">
        <f t="shared" si="18"/>
        <v/>
      </c>
      <c r="AH52" s="1686" t="str">
        <f t="shared" si="44"/>
        <v/>
      </c>
      <c r="AI52" s="1684">
        <f t="shared" si="102"/>
        <v>4.1714285714285717</v>
      </c>
      <c r="AJ52" s="1685" t="str">
        <f t="shared" si="20"/>
        <v/>
      </c>
      <c r="AK52" s="1688" t="str">
        <f t="shared" si="45"/>
        <v/>
      </c>
      <c r="AL52" s="1685">
        <f t="shared" si="46"/>
        <v>0.75883575883575871</v>
      </c>
      <c r="AM52" s="1685" t="str">
        <f t="shared" si="47"/>
        <v/>
      </c>
      <c r="AN52" s="1685">
        <f t="shared" si="103"/>
        <v>0.76</v>
      </c>
      <c r="AO52" s="1686">
        <f t="shared" si="48"/>
        <v>-1.5342465753426418E-3</v>
      </c>
      <c r="AP52" s="1684">
        <f t="shared" si="104"/>
        <v>3.3145945945945936</v>
      </c>
      <c r="AQ52" s="1685" t="str">
        <f t="shared" si="23"/>
        <v/>
      </c>
      <c r="AR52" s="1686" t="str">
        <f t="shared" si="49"/>
        <v/>
      </c>
      <c r="AS52" s="1684">
        <f t="shared" si="105"/>
        <v>17.52</v>
      </c>
      <c r="AT52" s="1685" t="str">
        <f t="shared" si="26"/>
        <v/>
      </c>
      <c r="AU52" s="1688" t="str">
        <f t="shared" si="50"/>
        <v/>
      </c>
      <c r="AV52" s="1685">
        <f t="shared" si="51"/>
        <v>3.3145945945945936</v>
      </c>
      <c r="AW52" s="1685" t="str">
        <f t="shared" si="52"/>
        <v/>
      </c>
      <c r="AX52" s="1685">
        <f t="shared" si="106"/>
        <v>3.3</v>
      </c>
      <c r="AY52" s="1686">
        <f t="shared" si="53"/>
        <v>4.4031311154596377E-3</v>
      </c>
      <c r="BA52" s="1756" t="str">
        <f t="shared" si="107"/>
        <v/>
      </c>
      <c r="BB52" s="1685" t="str">
        <f t="shared" si="29"/>
        <v>V</v>
      </c>
      <c r="BC52" s="1685" t="str">
        <f t="shared" si="30"/>
        <v>--</v>
      </c>
      <c r="BE52" s="1684">
        <f t="shared" si="108"/>
        <v>0.84953110113319263</v>
      </c>
      <c r="BF52" s="1685" t="str">
        <f t="shared" si="32"/>
        <v/>
      </c>
      <c r="BG52" s="1686" t="str">
        <f t="shared" si="54"/>
        <v/>
      </c>
      <c r="BH52" s="1684">
        <f t="shared" si="109"/>
        <v>8.249864020050655</v>
      </c>
      <c r="BI52" s="1685" t="str">
        <f t="shared" si="34"/>
        <v/>
      </c>
      <c r="BJ52" s="1688" t="str">
        <f t="shared" si="55"/>
        <v/>
      </c>
      <c r="BK52" s="1685">
        <f t="shared" si="56"/>
        <v>0.84953110113319263</v>
      </c>
      <c r="BL52" s="1685" t="str">
        <f t="shared" si="57"/>
        <v/>
      </c>
      <c r="BM52" s="1685">
        <f t="shared" si="95"/>
        <v>0.85</v>
      </c>
      <c r="BN52" s="1686">
        <f t="shared" si="58"/>
        <v>-5.5195020662795937E-4</v>
      </c>
      <c r="BP52" s="1756" t="str">
        <f t="shared" si="59"/>
        <v/>
      </c>
      <c r="BQ52" s="1685" t="str">
        <f t="shared" si="36"/>
        <v>--</v>
      </c>
    </row>
    <row r="53" spans="1:69">
      <c r="A53" t="s">
        <v>177</v>
      </c>
      <c r="B53" t="s">
        <v>178</v>
      </c>
      <c r="C53" s="1684">
        <f t="shared" si="63"/>
        <v>1.836522550036086</v>
      </c>
      <c r="D53" s="1685" t="str">
        <f t="shared" si="110"/>
        <v/>
      </c>
      <c r="E53" s="1686" t="str">
        <f t="shared" si="62"/>
        <v/>
      </c>
      <c r="F53" s="1684">
        <f t="shared" si="64"/>
        <v>71.889051664628056</v>
      </c>
      <c r="G53" s="1685" t="str">
        <f t="shared" si="111"/>
        <v/>
      </c>
      <c r="H53" s="1688" t="str">
        <f t="shared" si="38"/>
        <v/>
      </c>
      <c r="I53" s="1685">
        <f t="shared" si="4"/>
        <v>1.836522550036086</v>
      </c>
      <c r="J53" s="1685" t="str">
        <f t="shared" si="39"/>
        <v/>
      </c>
      <c r="K53" s="1685">
        <f t="shared" si="65"/>
        <v>1.8</v>
      </c>
      <c r="L53" s="1686">
        <f t="shared" si="40"/>
        <v>1.9886796399732919E-2</v>
      </c>
      <c r="M53" s="1684">
        <f t="shared" si="66"/>
        <v>8.0565403021589557</v>
      </c>
      <c r="N53" s="1685" t="str">
        <f t="shared" si="112"/>
        <v/>
      </c>
      <c r="O53" s="1686" t="str">
        <f t="shared" si="8"/>
        <v/>
      </c>
      <c r="P53" s="1684">
        <f t="shared" si="67"/>
        <v>302.78900280396647</v>
      </c>
      <c r="Q53" s="1685" t="str">
        <f t="shared" si="113"/>
        <v/>
      </c>
      <c r="R53" s="1688" t="str">
        <f t="shared" si="60"/>
        <v/>
      </c>
      <c r="S53" s="1685">
        <f t="shared" si="41"/>
        <v>8.0565403021589557</v>
      </c>
      <c r="T53" s="1685" t="str">
        <f t="shared" si="42"/>
        <v/>
      </c>
      <c r="U53" s="1685">
        <f t="shared" si="68"/>
        <v>8.1999999999999993</v>
      </c>
      <c r="V53" s="1686">
        <f t="shared" si="61"/>
        <v>-1.7806613317952365E-2</v>
      </c>
      <c r="W53" s="1756" t="str">
        <f t="shared" si="43"/>
        <v/>
      </c>
      <c r="X53" s="1685" t="str">
        <f t="shared" si="96"/>
        <v>--</v>
      </c>
      <c r="Z53" t="str">
        <f t="shared" si="97"/>
        <v>--</v>
      </c>
      <c r="AA53" t="str">
        <f t="shared" si="98"/>
        <v>--</v>
      </c>
      <c r="AB53" t="str">
        <f t="shared" si="99"/>
        <v>--</v>
      </c>
      <c r="AC53" t="str">
        <f t="shared" si="100"/>
        <v>--</v>
      </c>
      <c r="AF53" s="1684">
        <f t="shared" si="101"/>
        <v>0.70192307692307676</v>
      </c>
      <c r="AG53" s="1685" t="str">
        <f t="shared" si="18"/>
        <v/>
      </c>
      <c r="AH53" s="1686" t="str">
        <f t="shared" si="44"/>
        <v/>
      </c>
      <c r="AI53" s="1684">
        <f t="shared" si="102"/>
        <v>20.857142857142858</v>
      </c>
      <c r="AJ53" s="1685" t="str">
        <f t="shared" si="20"/>
        <v/>
      </c>
      <c r="AK53" s="1688" t="str">
        <f t="shared" si="45"/>
        <v/>
      </c>
      <c r="AL53" s="1685">
        <f t="shared" si="46"/>
        <v>0.70192307692307676</v>
      </c>
      <c r="AM53" s="1685" t="str">
        <f t="shared" si="47"/>
        <v/>
      </c>
      <c r="AN53" s="1685">
        <f t="shared" si="103"/>
        <v>0.7</v>
      </c>
      <c r="AO53" s="1686">
        <f t="shared" si="48"/>
        <v>2.7397260273970929E-3</v>
      </c>
      <c r="AP53" s="1684">
        <f t="shared" si="104"/>
        <v>3.0659999999999994</v>
      </c>
      <c r="AQ53" s="1685" t="str">
        <f t="shared" si="23"/>
        <v/>
      </c>
      <c r="AR53" s="1686" t="str">
        <f t="shared" si="49"/>
        <v/>
      </c>
      <c r="AS53" s="1684">
        <f t="shared" si="105"/>
        <v>87.6</v>
      </c>
      <c r="AT53" s="1685" t="str">
        <f t="shared" si="26"/>
        <v/>
      </c>
      <c r="AU53" s="1688" t="str">
        <f t="shared" si="50"/>
        <v/>
      </c>
      <c r="AV53" s="1685">
        <f t="shared" si="51"/>
        <v>3.0659999999999994</v>
      </c>
      <c r="AW53" s="1685" t="str">
        <f t="shared" si="52"/>
        <v/>
      </c>
      <c r="AX53" s="1685">
        <f t="shared" si="106"/>
        <v>3.1</v>
      </c>
      <c r="AY53" s="1686">
        <f t="shared" si="53"/>
        <v>-1.1089367253751045E-2</v>
      </c>
      <c r="BA53" s="1756" t="str">
        <f t="shared" si="107"/>
        <v/>
      </c>
      <c r="BB53" s="1685" t="str">
        <f t="shared" si="29"/>
        <v>V</v>
      </c>
      <c r="BC53" s="1685" t="str">
        <f t="shared" si="30"/>
        <v>--</v>
      </c>
      <c r="BE53" s="1684">
        <f t="shared" si="108"/>
        <v>0.4708490149633397</v>
      </c>
      <c r="BF53" s="1685" t="str">
        <f t="shared" si="32"/>
        <v/>
      </c>
      <c r="BG53" s="1686" t="str">
        <f t="shared" si="54"/>
        <v/>
      </c>
      <c r="BH53" s="1684">
        <f t="shared" si="109"/>
        <v>38.779122093390228</v>
      </c>
      <c r="BI53" s="1685" t="str">
        <f t="shared" si="34"/>
        <v/>
      </c>
      <c r="BJ53" s="1688" t="str">
        <f t="shared" si="55"/>
        <v/>
      </c>
      <c r="BK53" s="1685">
        <f t="shared" si="56"/>
        <v>0.4708490149633397</v>
      </c>
      <c r="BL53" s="1685" t="str">
        <f t="shared" si="57"/>
        <v/>
      </c>
      <c r="BM53" s="1685">
        <f t="shared" si="95"/>
        <v>0.47</v>
      </c>
      <c r="BN53" s="1686">
        <f t="shared" si="58"/>
        <v>1.803157565075987E-3</v>
      </c>
      <c r="BP53" s="1756" t="str">
        <f t="shared" si="59"/>
        <v/>
      </c>
      <c r="BQ53" s="1685" t="str">
        <f t="shared" si="36"/>
        <v>--</v>
      </c>
    </row>
    <row r="54" spans="1:69" ht="15">
      <c r="A54" t="s">
        <v>179</v>
      </c>
      <c r="B54" t="s">
        <v>180</v>
      </c>
      <c r="C54" s="1684">
        <f t="shared" si="63"/>
        <v>3.3910462443343101E-2</v>
      </c>
      <c r="D54" s="1685" t="str">
        <f t="shared" si="110"/>
        <v/>
      </c>
      <c r="E54" s="1686" t="str">
        <f t="shared" si="62"/>
        <v/>
      </c>
      <c r="F54" s="1684">
        <f t="shared" si="64"/>
        <v>3.1606839777857316</v>
      </c>
      <c r="G54" s="1685" t="str">
        <f t="shared" si="111"/>
        <v/>
      </c>
      <c r="H54" s="1688" t="str">
        <f t="shared" si="38"/>
        <v/>
      </c>
      <c r="I54" s="1685">
        <f t="shared" si="4"/>
        <v>3.3910462443343101E-2</v>
      </c>
      <c r="J54" s="1685" t="str">
        <f t="shared" si="39"/>
        <v/>
      </c>
      <c r="K54" s="1685">
        <f t="shared" si="65"/>
        <v>3.4000000000000002E-2</v>
      </c>
      <c r="L54" s="1686">
        <f t="shared" si="40"/>
        <v>-2.6404109589038861E-3</v>
      </c>
      <c r="M54" s="1684">
        <f t="shared" si="66"/>
        <v>0.1436102866151022</v>
      </c>
      <c r="N54" s="1685">
        <f t="shared" si="112"/>
        <v>0.12</v>
      </c>
      <c r="O54" s="1689">
        <f t="shared" si="8"/>
        <v>0.16440526073443071</v>
      </c>
      <c r="P54" s="1684">
        <f t="shared" si="67"/>
        <v>41.03313566229167</v>
      </c>
      <c r="Q54" s="1685">
        <f t="shared" si="113"/>
        <v>34</v>
      </c>
      <c r="R54" s="1693">
        <f t="shared" si="60"/>
        <v>0.17140136986301366</v>
      </c>
      <c r="S54" s="1685">
        <f t="shared" si="41"/>
        <v>0.1436102866151022</v>
      </c>
      <c r="T54" s="1685">
        <f t="shared" si="42"/>
        <v>0.12</v>
      </c>
      <c r="U54" s="1685">
        <f t="shared" si="68"/>
        <v>0.14000000000000001</v>
      </c>
      <c r="V54" s="1686">
        <f t="shared" si="61"/>
        <v>2.5139470856835686E-2</v>
      </c>
      <c r="W54" s="1756" t="str">
        <f t="shared" si="43"/>
        <v/>
      </c>
      <c r="X54" s="1685" t="str">
        <f t="shared" si="96"/>
        <v>Route RfC</v>
      </c>
      <c r="Z54" t="str">
        <f t="shared" si="97"/>
        <v>--</v>
      </c>
      <c r="AA54" t="str">
        <f t="shared" si="98"/>
        <v>--</v>
      </c>
      <c r="AB54" t="str">
        <f t="shared" si="99"/>
        <v>--</v>
      </c>
      <c r="AC54" t="str">
        <f t="shared" si="100"/>
        <v>--</v>
      </c>
      <c r="AF54" s="1684" t="str">
        <f t="shared" si="101"/>
        <v>--</v>
      </c>
      <c r="AG54" s="1685" t="str">
        <f t="shared" si="18"/>
        <v/>
      </c>
      <c r="AH54" s="1686" t="str">
        <f t="shared" si="44"/>
        <v/>
      </c>
      <c r="AI54" s="1684" t="str">
        <f t="shared" si="102"/>
        <v>--</v>
      </c>
      <c r="AJ54" s="1685">
        <f t="shared" si="20"/>
        <v>0</v>
      </c>
      <c r="AK54" s="1688" t="e">
        <f t="shared" si="45"/>
        <v>#VALUE!</v>
      </c>
      <c r="AL54" s="1685">
        <f t="shared" si="46"/>
        <v>0</v>
      </c>
      <c r="AM54" s="1685">
        <f t="shared" si="47"/>
        <v>0</v>
      </c>
      <c r="AN54" s="1685">
        <f t="shared" si="103"/>
        <v>6.0999999999999997E-4</v>
      </c>
      <c r="AO54" s="1686" t="e">
        <f t="shared" si="48"/>
        <v>#DIV/0!</v>
      </c>
      <c r="AP54" s="1684" t="str">
        <f t="shared" si="104"/>
        <v>--</v>
      </c>
      <c r="AQ54" s="1685" t="str">
        <f t="shared" si="23"/>
        <v/>
      </c>
      <c r="AR54" s="1686" t="str">
        <f t="shared" si="49"/>
        <v/>
      </c>
      <c r="AS54" s="1684" t="str">
        <f t="shared" si="105"/>
        <v>--</v>
      </c>
      <c r="AT54" s="1685">
        <f t="shared" si="26"/>
        <v>0.88</v>
      </c>
      <c r="AU54" s="1688" t="e">
        <f t="shared" si="50"/>
        <v>#VALUE!</v>
      </c>
      <c r="AV54" s="1685">
        <f t="shared" si="51"/>
        <v>0</v>
      </c>
      <c r="AW54" s="1685">
        <f t="shared" si="52"/>
        <v>0.88</v>
      </c>
      <c r="AX54" s="1685">
        <f t="shared" si="106"/>
        <v>2.7000000000000001E-3</v>
      </c>
      <c r="AY54" s="1686" t="e">
        <f t="shared" si="53"/>
        <v>#DIV/0!</v>
      </c>
      <c r="BA54" s="1756" t="str">
        <f t="shared" si="107"/>
        <v/>
      </c>
      <c r="BB54" s="1685" t="str">
        <f t="shared" si="29"/>
        <v>--</v>
      </c>
      <c r="BC54" s="1685" t="str">
        <f t="shared" si="30"/>
        <v>Route RfC</v>
      </c>
      <c r="BE54" s="1684">
        <f t="shared" si="108"/>
        <v>1.7538113370915019E-3</v>
      </c>
      <c r="BF54" s="1685">
        <f t="shared" si="32"/>
        <v>7.2000000000000005E-4</v>
      </c>
      <c r="BG54" s="1686">
        <f t="shared" si="54"/>
        <v>0.58946553442057292</v>
      </c>
      <c r="BH54" s="1684">
        <f t="shared" si="109"/>
        <v>0.38071586135302871</v>
      </c>
      <c r="BI54" s="1685">
        <f t="shared" si="34"/>
        <v>0.2</v>
      </c>
      <c r="BJ54" s="1688">
        <f t="shared" si="55"/>
        <v>0.47467384392859641</v>
      </c>
      <c r="BK54" s="1685">
        <f t="shared" si="56"/>
        <v>1.7538113370915019E-3</v>
      </c>
      <c r="BL54" s="1685">
        <f t="shared" si="57"/>
        <v>7.2000000000000005E-4</v>
      </c>
      <c r="BM54" s="1685">
        <f t="shared" si="95"/>
        <v>1.8E-3</v>
      </c>
      <c r="BN54" s="1686">
        <f t="shared" si="58"/>
        <v>-2.6336163948567411E-2</v>
      </c>
      <c r="BP54" s="1756" t="str">
        <f t="shared" si="59"/>
        <v/>
      </c>
      <c r="BQ54" s="1685" t="str">
        <f t="shared" si="36"/>
        <v>Route RfC</v>
      </c>
    </row>
    <row r="55" spans="1:69">
      <c r="A55" t="s">
        <v>181</v>
      </c>
      <c r="B55" t="s">
        <v>182</v>
      </c>
      <c r="C55" s="1684" t="str">
        <f t="shared" ref="C55:C86" si="114">VLOOKUP($A55,Table_S_Summary,MATCH("S-Res-C",heading_S_Summary,0),FALSE)</f>
        <v>--</v>
      </c>
      <c r="D55" s="1685" t="str">
        <f t="shared" si="110"/>
        <v>--</v>
      </c>
      <c r="E55" s="1686" t="str">
        <f t="shared" si="62"/>
        <v/>
      </c>
      <c r="F55" s="1684">
        <f t="shared" ref="F55:F86" si="115">VLOOKUP($A55,Table_S_Summary,MATCH("S-Res-nC",heading_S_Summary,0),FALSE)</f>
        <v>50570.9436445717</v>
      </c>
      <c r="G55" s="1685" t="str">
        <f t="shared" si="111"/>
        <v/>
      </c>
      <c r="H55" s="1688" t="str">
        <f t="shared" si="38"/>
        <v/>
      </c>
      <c r="I55" s="1685">
        <f t="shared" si="4"/>
        <v>50570.9436445717</v>
      </c>
      <c r="J55" s="1685">
        <f t="shared" si="39"/>
        <v>0</v>
      </c>
      <c r="K55" s="1685">
        <f t="shared" ref="K55:K86" si="116">VLOOKUP($B55,Table_RSL_SL,MATCH("Res-s",Heading_RSL_SL,0),FALSE)</f>
        <v>51000</v>
      </c>
      <c r="L55" s="1686">
        <f t="shared" si="40"/>
        <v>-8.4842465753425765E-3</v>
      </c>
      <c r="M55" s="1684" t="str">
        <f t="shared" ref="M55:M86" si="117">VLOOKUP($A55,Table_S_Summary,MATCH("S-Com-C",heading_S_Summary,0),FALSE)</f>
        <v>--</v>
      </c>
      <c r="N55" s="1685" t="str">
        <f t="shared" si="112"/>
        <v>--</v>
      </c>
      <c r="O55" s="1686" t="str">
        <f t="shared" si="8"/>
        <v/>
      </c>
      <c r="P55" s="1684">
        <f t="shared" ref="P55:P86" si="118">VLOOKUP($A55,Table_S_Summary,MATCH("S-Com-nC",heading_S_Summary,0),FALSE)</f>
        <v>656530.17059666687</v>
      </c>
      <c r="Q55" s="1685">
        <f t="shared" si="113"/>
        <v>540000</v>
      </c>
      <c r="R55" s="1690">
        <f t="shared" si="60"/>
        <v>0.17749400684931521</v>
      </c>
      <c r="S55" s="1685">
        <f t="shared" si="41"/>
        <v>656530.17059666687</v>
      </c>
      <c r="T55" s="1685">
        <f t="shared" si="42"/>
        <v>540000</v>
      </c>
      <c r="U55" s="1685">
        <f t="shared" ref="U55:U86" si="119">VLOOKUP($B55,Table_RSL_SL,MATCH("Com-s",Heading_RSL_SL,0),FALSE)</f>
        <v>660000</v>
      </c>
      <c r="V55" s="1686">
        <f t="shared" si="61"/>
        <v>-5.2851027397258646E-3</v>
      </c>
      <c r="W55" s="1756" t="str">
        <f t="shared" si="43"/>
        <v/>
      </c>
      <c r="X55" s="1685" t="str">
        <f t="shared" si="96"/>
        <v>--</v>
      </c>
      <c r="Z55" t="str">
        <f t="shared" si="97"/>
        <v>--</v>
      </c>
      <c r="AA55" t="str">
        <f t="shared" si="98"/>
        <v>--</v>
      </c>
      <c r="AB55" t="str">
        <f t="shared" si="99"/>
        <v>--</v>
      </c>
      <c r="AC55" t="str">
        <f t="shared" si="100"/>
        <v>--</v>
      </c>
      <c r="AF55" s="1684" t="str">
        <f t="shared" si="101"/>
        <v>--</v>
      </c>
      <c r="AG55" s="1685" t="str">
        <f t="shared" si="18"/>
        <v/>
      </c>
      <c r="AH55" s="1686" t="str">
        <f t="shared" si="44"/>
        <v/>
      </c>
      <c r="AI55" s="1684" t="str">
        <f t="shared" si="102"/>
        <v>--</v>
      </c>
      <c r="AJ55" s="1685" t="str">
        <f t="shared" si="20"/>
        <v/>
      </c>
      <c r="AK55" s="1688" t="str">
        <f t="shared" si="45"/>
        <v/>
      </c>
      <c r="AL55" s="1685">
        <f t="shared" si="46"/>
        <v>0</v>
      </c>
      <c r="AM55" s="1685" t="str">
        <f t="shared" si="47"/>
        <v/>
      </c>
      <c r="AN55" s="1685" t="str">
        <f t="shared" si="103"/>
        <v>--</v>
      </c>
      <c r="AO55" s="1686" t="str">
        <f t="shared" si="48"/>
        <v>N</v>
      </c>
      <c r="AP55" s="1684" t="str">
        <f t="shared" si="104"/>
        <v>--</v>
      </c>
      <c r="AQ55" s="1685" t="str">
        <f t="shared" si="23"/>
        <v/>
      </c>
      <c r="AR55" s="1686" t="str">
        <f t="shared" si="49"/>
        <v/>
      </c>
      <c r="AS55" s="1684" t="str">
        <f t="shared" si="105"/>
        <v>--</v>
      </c>
      <c r="AT55" s="1685" t="str">
        <f t="shared" si="26"/>
        <v/>
      </c>
      <c r="AU55" s="1688" t="str">
        <f t="shared" si="50"/>
        <v/>
      </c>
      <c r="AV55" s="1685">
        <f t="shared" si="51"/>
        <v>0</v>
      </c>
      <c r="AW55" s="1685" t="str">
        <f t="shared" si="52"/>
        <v/>
      </c>
      <c r="AX55" s="1685" t="str">
        <f t="shared" si="106"/>
        <v>--</v>
      </c>
      <c r="AY55" s="1686" t="str">
        <f t="shared" si="53"/>
        <v>N</v>
      </c>
      <c r="BA55" s="1756" t="str">
        <f t="shared" si="107"/>
        <v/>
      </c>
      <c r="BB55" s="1685" t="str">
        <f t="shared" si="29"/>
        <v>--</v>
      </c>
      <c r="BC55" s="1685" t="str">
        <f t="shared" si="30"/>
        <v>--</v>
      </c>
      <c r="BE55" s="1684" t="str">
        <f t="shared" si="108"/>
        <v>--</v>
      </c>
      <c r="BF55" s="1685" t="str">
        <f t="shared" si="32"/>
        <v/>
      </c>
      <c r="BG55" s="1686" t="str">
        <f t="shared" si="54"/>
        <v/>
      </c>
      <c r="BH55" s="1684">
        <f t="shared" si="109"/>
        <v>14840.631879910537</v>
      </c>
      <c r="BI55" s="1685" t="str">
        <f t="shared" si="34"/>
        <v/>
      </c>
      <c r="BJ55" s="1688" t="str">
        <f t="shared" si="55"/>
        <v/>
      </c>
      <c r="BK55" s="1685">
        <f t="shared" si="56"/>
        <v>14840.631879910537</v>
      </c>
      <c r="BL55" s="1685" t="str">
        <f t="shared" si="57"/>
        <v/>
      </c>
      <c r="BM55" s="1685">
        <f t="shared" si="95"/>
        <v>15000</v>
      </c>
      <c r="BN55" s="1686">
        <f t="shared" si="58"/>
        <v>-1.0738634404455239E-2</v>
      </c>
      <c r="BP55" s="1756" t="str">
        <f t="shared" si="59"/>
        <v/>
      </c>
      <c r="BQ55" s="1685" t="str">
        <f t="shared" si="36"/>
        <v>--</v>
      </c>
    </row>
    <row r="56" spans="1:69">
      <c r="A56" t="s">
        <v>183</v>
      </c>
      <c r="B56" t="s">
        <v>184</v>
      </c>
      <c r="C56" s="1684" t="str">
        <f t="shared" si="114"/>
        <v>--</v>
      </c>
      <c r="D56" s="1685" t="str">
        <f t="shared" si="110"/>
        <v>--</v>
      </c>
      <c r="E56" s="1686" t="str">
        <f t="shared" si="62"/>
        <v/>
      </c>
      <c r="F56" s="1684">
        <f t="shared" si="115"/>
        <v>1264.2735911142927</v>
      </c>
      <c r="G56" s="1685" t="str">
        <f t="shared" si="111"/>
        <v/>
      </c>
      <c r="H56" s="1688" t="str">
        <f t="shared" si="38"/>
        <v/>
      </c>
      <c r="I56" s="1685">
        <f t="shared" si="4"/>
        <v>1264.2735911142927</v>
      </c>
      <c r="J56" s="1685">
        <f t="shared" si="39"/>
        <v>0</v>
      </c>
      <c r="K56" s="1685">
        <f t="shared" si="116"/>
        <v>1300</v>
      </c>
      <c r="L56" s="1686">
        <f t="shared" si="40"/>
        <v>-2.8258447488584439E-2</v>
      </c>
      <c r="M56" s="1684" t="str">
        <f t="shared" si="117"/>
        <v>--</v>
      </c>
      <c r="N56" s="1685" t="str">
        <f t="shared" si="112"/>
        <v>--</v>
      </c>
      <c r="O56" s="1686" t="str">
        <f t="shared" si="8"/>
        <v/>
      </c>
      <c r="P56" s="1684">
        <f t="shared" si="118"/>
        <v>16413.254264916668</v>
      </c>
      <c r="Q56" s="1685">
        <f t="shared" si="113"/>
        <v>14000</v>
      </c>
      <c r="R56" s="1690">
        <f t="shared" si="60"/>
        <v>0.14703082191780817</v>
      </c>
      <c r="S56" s="1685">
        <f t="shared" si="41"/>
        <v>16413.254264916668</v>
      </c>
      <c r="T56" s="1685">
        <f t="shared" si="42"/>
        <v>14000</v>
      </c>
      <c r="U56" s="1685">
        <f t="shared" si="119"/>
        <v>16000</v>
      </c>
      <c r="V56" s="1686">
        <f t="shared" si="61"/>
        <v>2.5178082191780762E-2</v>
      </c>
      <c r="W56" s="1756" t="str">
        <f t="shared" si="43"/>
        <v/>
      </c>
      <c r="X56" s="1685" t="str">
        <f t="shared" si="96"/>
        <v>--</v>
      </c>
      <c r="Z56" t="str">
        <f t="shared" si="97"/>
        <v>--</v>
      </c>
      <c r="AA56" t="str">
        <f t="shared" si="98"/>
        <v>--</v>
      </c>
      <c r="AB56" t="str">
        <f t="shared" si="99"/>
        <v>--</v>
      </c>
      <c r="AC56" t="str">
        <f t="shared" si="100"/>
        <v>--</v>
      </c>
      <c r="AF56" s="1684" t="str">
        <f t="shared" si="101"/>
        <v>--</v>
      </c>
      <c r="AG56" s="1685" t="str">
        <f t="shared" si="18"/>
        <v/>
      </c>
      <c r="AH56" s="1686" t="str">
        <f t="shared" si="44"/>
        <v/>
      </c>
      <c r="AI56" s="1684" t="str">
        <f t="shared" si="102"/>
        <v>--</v>
      </c>
      <c r="AJ56" s="1685" t="str">
        <f t="shared" si="20"/>
        <v/>
      </c>
      <c r="AK56" s="1688" t="str">
        <f t="shared" si="45"/>
        <v/>
      </c>
      <c r="AL56" s="1685">
        <f t="shared" si="46"/>
        <v>0</v>
      </c>
      <c r="AM56" s="1685" t="str">
        <f t="shared" si="47"/>
        <v/>
      </c>
      <c r="AN56" s="1685" t="str">
        <f t="shared" si="103"/>
        <v>--</v>
      </c>
      <c r="AO56" s="1686" t="str">
        <f t="shared" si="48"/>
        <v>N</v>
      </c>
      <c r="AP56" s="1684" t="str">
        <f t="shared" si="104"/>
        <v>--</v>
      </c>
      <c r="AQ56" s="1685" t="str">
        <f t="shared" si="23"/>
        <v/>
      </c>
      <c r="AR56" s="1686" t="str">
        <f t="shared" si="49"/>
        <v/>
      </c>
      <c r="AS56" s="1684" t="str">
        <f t="shared" si="105"/>
        <v>--</v>
      </c>
      <c r="AT56" s="1685" t="str">
        <f t="shared" si="26"/>
        <v/>
      </c>
      <c r="AU56" s="1688" t="str">
        <f t="shared" si="50"/>
        <v/>
      </c>
      <c r="AV56" s="1685">
        <f t="shared" si="51"/>
        <v>0</v>
      </c>
      <c r="AW56" s="1685" t="str">
        <f t="shared" si="52"/>
        <v/>
      </c>
      <c r="AX56" s="1685" t="str">
        <f t="shared" si="106"/>
        <v>--</v>
      </c>
      <c r="AY56" s="1686" t="str">
        <f t="shared" si="53"/>
        <v>N</v>
      </c>
      <c r="BA56" s="1756" t="str">
        <f t="shared" si="107"/>
        <v/>
      </c>
      <c r="BB56" s="1685" t="str">
        <f t="shared" si="29"/>
        <v>--</v>
      </c>
      <c r="BC56" s="1685" t="str">
        <f t="shared" si="30"/>
        <v>--</v>
      </c>
      <c r="BE56" s="1684" t="str">
        <f t="shared" si="108"/>
        <v>--</v>
      </c>
      <c r="BF56" s="1685" t="str">
        <f t="shared" si="32"/>
        <v/>
      </c>
      <c r="BG56" s="1686" t="str">
        <f t="shared" si="54"/>
        <v/>
      </c>
      <c r="BH56" s="1684">
        <f t="shared" si="109"/>
        <v>355.33750261483362</v>
      </c>
      <c r="BI56" s="1685" t="str">
        <f t="shared" si="34"/>
        <v/>
      </c>
      <c r="BJ56" s="1688" t="str">
        <f t="shared" si="55"/>
        <v/>
      </c>
      <c r="BK56" s="1685">
        <f t="shared" si="56"/>
        <v>355.33750261483362</v>
      </c>
      <c r="BL56" s="1685" t="str">
        <f t="shared" si="57"/>
        <v/>
      </c>
      <c r="BM56" s="1685">
        <f t="shared" si="95"/>
        <v>360</v>
      </c>
      <c r="BN56" s="1686">
        <f t="shared" si="58"/>
        <v>-1.3121320859341624E-2</v>
      </c>
      <c r="BP56" s="1756" t="str">
        <f t="shared" si="59"/>
        <v/>
      </c>
      <c r="BQ56" s="1685" t="str">
        <f t="shared" si="36"/>
        <v>--</v>
      </c>
    </row>
    <row r="57" spans="1:69">
      <c r="A57" t="s">
        <v>185</v>
      </c>
      <c r="B57" t="s">
        <v>186</v>
      </c>
      <c r="C57" s="1684" t="str">
        <f t="shared" si="114"/>
        <v>--</v>
      </c>
      <c r="D57" s="1685" t="str">
        <f t="shared" si="110"/>
        <v>--</v>
      </c>
      <c r="E57" s="1686" t="str">
        <f t="shared" si="62"/>
        <v/>
      </c>
      <c r="F57" s="1684">
        <f t="shared" si="115"/>
        <v>126.42735911142927</v>
      </c>
      <c r="G57" s="1685" t="str">
        <f t="shared" si="111"/>
        <v/>
      </c>
      <c r="H57" s="1688" t="str">
        <f t="shared" si="38"/>
        <v/>
      </c>
      <c r="I57" s="1685">
        <f t="shared" si="4"/>
        <v>126.42735911142927</v>
      </c>
      <c r="J57" s="1685">
        <f t="shared" si="39"/>
        <v>0</v>
      </c>
      <c r="K57" s="1685">
        <f t="shared" si="116"/>
        <v>130</v>
      </c>
      <c r="L57" s="1686">
        <f t="shared" si="40"/>
        <v>-2.8258447488584439E-2</v>
      </c>
      <c r="M57" s="1684" t="str">
        <f t="shared" si="117"/>
        <v>--</v>
      </c>
      <c r="N57" s="1685" t="str">
        <f t="shared" si="112"/>
        <v>--</v>
      </c>
      <c r="O57" s="1686" t="str">
        <f t="shared" si="8"/>
        <v/>
      </c>
      <c r="P57" s="1684">
        <f t="shared" si="118"/>
        <v>1641.3254264916673</v>
      </c>
      <c r="Q57" s="1685">
        <f t="shared" si="113"/>
        <v>1400</v>
      </c>
      <c r="R57" s="1690">
        <f t="shared" si="60"/>
        <v>0.14703082191780842</v>
      </c>
      <c r="S57" s="1685">
        <f t="shared" si="41"/>
        <v>1641.3254264916673</v>
      </c>
      <c r="T57" s="1685">
        <f t="shared" si="42"/>
        <v>1400</v>
      </c>
      <c r="U57" s="1685">
        <f t="shared" si="119"/>
        <v>1600</v>
      </c>
      <c r="V57" s="1686">
        <f t="shared" si="61"/>
        <v>2.5178082191781033E-2</v>
      </c>
      <c r="W57" s="1756" t="str">
        <f t="shared" si="43"/>
        <v/>
      </c>
      <c r="X57" s="1685" t="str">
        <f t="shared" si="96"/>
        <v>--</v>
      </c>
      <c r="Z57" t="str">
        <f t="shared" si="97"/>
        <v>--</v>
      </c>
      <c r="AA57" t="str">
        <f t="shared" si="98"/>
        <v>--</v>
      </c>
      <c r="AB57" t="str">
        <f t="shared" si="99"/>
        <v>--</v>
      </c>
      <c r="AC57" t="str">
        <f t="shared" si="100"/>
        <v>--</v>
      </c>
      <c r="AF57" s="1684" t="str">
        <f t="shared" si="101"/>
        <v>--</v>
      </c>
      <c r="AG57" s="1685" t="str">
        <f t="shared" si="18"/>
        <v/>
      </c>
      <c r="AH57" s="1686" t="str">
        <f t="shared" si="44"/>
        <v/>
      </c>
      <c r="AI57" s="1684" t="str">
        <f t="shared" si="102"/>
        <v>--</v>
      </c>
      <c r="AJ57" s="1685" t="str">
        <f t="shared" si="20"/>
        <v/>
      </c>
      <c r="AK57" s="1688" t="str">
        <f t="shared" si="45"/>
        <v/>
      </c>
      <c r="AL57" s="1685">
        <f t="shared" si="46"/>
        <v>0</v>
      </c>
      <c r="AM57" s="1685" t="str">
        <f t="shared" si="47"/>
        <v/>
      </c>
      <c r="AN57" s="1685" t="str">
        <f t="shared" si="103"/>
        <v>--</v>
      </c>
      <c r="AO57" s="1686" t="str">
        <f t="shared" si="48"/>
        <v>N</v>
      </c>
      <c r="AP57" s="1684" t="str">
        <f t="shared" si="104"/>
        <v>--</v>
      </c>
      <c r="AQ57" s="1685" t="str">
        <f t="shared" si="23"/>
        <v/>
      </c>
      <c r="AR57" s="1686" t="str">
        <f t="shared" si="49"/>
        <v/>
      </c>
      <c r="AS57" s="1684" t="str">
        <f t="shared" si="105"/>
        <v>--</v>
      </c>
      <c r="AT57" s="1685" t="str">
        <f t="shared" si="26"/>
        <v/>
      </c>
      <c r="AU57" s="1688" t="str">
        <f t="shared" si="50"/>
        <v/>
      </c>
      <c r="AV57" s="1685">
        <f t="shared" si="51"/>
        <v>0</v>
      </c>
      <c r="AW57" s="1685" t="str">
        <f t="shared" si="52"/>
        <v/>
      </c>
      <c r="AX57" s="1685" t="str">
        <f t="shared" si="106"/>
        <v>--</v>
      </c>
      <c r="AY57" s="1686" t="str">
        <f t="shared" si="53"/>
        <v>N</v>
      </c>
      <c r="BA57" s="1756" t="str">
        <f t="shared" si="107"/>
        <v/>
      </c>
      <c r="BB57" s="1685" t="str">
        <f t="shared" si="29"/>
        <v>--</v>
      </c>
      <c r="BC57" s="1685" t="str">
        <f t="shared" si="30"/>
        <v>--</v>
      </c>
      <c r="BE57" s="1684" t="str">
        <f t="shared" si="108"/>
        <v>--</v>
      </c>
      <c r="BF57" s="1685" t="str">
        <f t="shared" si="32"/>
        <v/>
      </c>
      <c r="BG57" s="1686" t="str">
        <f t="shared" si="54"/>
        <v/>
      </c>
      <c r="BH57" s="1684">
        <f t="shared" si="109"/>
        <v>38.830855461586651</v>
      </c>
      <c r="BI57" s="1685" t="str">
        <f t="shared" si="34"/>
        <v/>
      </c>
      <c r="BJ57" s="1688" t="str">
        <f t="shared" si="55"/>
        <v/>
      </c>
      <c r="BK57" s="1685">
        <f t="shared" si="56"/>
        <v>38.830855461586651</v>
      </c>
      <c r="BL57" s="1685" t="str">
        <f t="shared" si="57"/>
        <v/>
      </c>
      <c r="BM57" s="1685">
        <f t="shared" si="95"/>
        <v>39</v>
      </c>
      <c r="BN57" s="1686">
        <f t="shared" si="58"/>
        <v>-4.3559312923372156E-3</v>
      </c>
      <c r="BP57" s="1756" t="str">
        <f t="shared" si="59"/>
        <v/>
      </c>
      <c r="BQ57" s="1685" t="str">
        <f t="shared" si="36"/>
        <v>--</v>
      </c>
    </row>
    <row r="58" spans="1:69">
      <c r="A58" t="s">
        <v>187</v>
      </c>
      <c r="B58" t="s">
        <v>188</v>
      </c>
      <c r="C58" s="1684">
        <f t="shared" si="114"/>
        <v>1.7425657710563367</v>
      </c>
      <c r="D58" s="1685" t="str">
        <f t="shared" si="110"/>
        <v/>
      </c>
      <c r="E58" s="1686" t="str">
        <f t="shared" si="62"/>
        <v/>
      </c>
      <c r="F58" s="1684">
        <f t="shared" si="115"/>
        <v>125.94426569432326</v>
      </c>
      <c r="G58" s="1685" t="str">
        <f t="shared" si="111"/>
        <v/>
      </c>
      <c r="H58" s="1688" t="str">
        <f t="shared" si="38"/>
        <v/>
      </c>
      <c r="I58" s="1685">
        <f t="shared" si="4"/>
        <v>1.7425657710563367</v>
      </c>
      <c r="J58" s="1685" t="str">
        <f t="shared" si="39"/>
        <v/>
      </c>
      <c r="K58" s="1685">
        <f t="shared" si="116"/>
        <v>1.7</v>
      </c>
      <c r="L58" s="1686">
        <f t="shared" si="40"/>
        <v>2.442706712328771E-2</v>
      </c>
      <c r="M58" s="1684">
        <f t="shared" si="117"/>
        <v>7.3683224578167819</v>
      </c>
      <c r="N58" s="1685">
        <f t="shared" si="112"/>
        <v>6.1</v>
      </c>
      <c r="O58" s="1689">
        <f t="shared" si="8"/>
        <v>0.17213177966597615</v>
      </c>
      <c r="P58" s="1684">
        <f t="shared" si="118"/>
        <v>1631.621267177424</v>
      </c>
      <c r="Q58" s="1685">
        <f t="shared" si="113"/>
        <v>1300</v>
      </c>
      <c r="R58" s="1690">
        <f t="shared" si="60"/>
        <v>0.20324647260273984</v>
      </c>
      <c r="S58" s="1685">
        <f t="shared" si="41"/>
        <v>7.3683224578167819</v>
      </c>
      <c r="T58" s="1685">
        <f t="shared" si="42"/>
        <v>6.1</v>
      </c>
      <c r="U58" s="1685">
        <f t="shared" si="119"/>
        <v>7.4</v>
      </c>
      <c r="V58" s="1686">
        <f t="shared" si="61"/>
        <v>-4.2991525363568961E-3</v>
      </c>
      <c r="W58" s="1756" t="str">
        <f t="shared" si="43"/>
        <v/>
      </c>
      <c r="X58" s="1685" t="str">
        <f t="shared" si="96"/>
        <v>--</v>
      </c>
      <c r="Z58" t="str">
        <f t="shared" si="97"/>
        <v>--</v>
      </c>
      <c r="AA58" t="str">
        <f t="shared" si="98"/>
        <v>--</v>
      </c>
      <c r="AB58" t="str">
        <f t="shared" si="99"/>
        <v>--</v>
      </c>
      <c r="AC58" t="str">
        <f t="shared" si="100"/>
        <v>--</v>
      </c>
      <c r="AF58" s="1684" t="str">
        <f t="shared" si="101"/>
        <v>--</v>
      </c>
      <c r="AG58" s="1685" t="str">
        <f t="shared" si="18"/>
        <v/>
      </c>
      <c r="AH58" s="1686" t="str">
        <f t="shared" si="44"/>
        <v/>
      </c>
      <c r="AI58" s="1684" t="str">
        <f t="shared" si="102"/>
        <v>--</v>
      </c>
      <c r="AJ58" s="1685" t="str">
        <f t="shared" si="20"/>
        <v/>
      </c>
      <c r="AK58" s="1688" t="str">
        <f t="shared" si="45"/>
        <v/>
      </c>
      <c r="AL58" s="1685">
        <f t="shared" si="46"/>
        <v>0</v>
      </c>
      <c r="AM58" s="1685" t="str">
        <f t="shared" si="47"/>
        <v/>
      </c>
      <c r="AN58" s="1685">
        <f t="shared" si="103"/>
        <v>3.2000000000000001E-2</v>
      </c>
      <c r="AO58" s="1686" t="e">
        <f t="shared" si="48"/>
        <v>#DIV/0!</v>
      </c>
      <c r="AP58" s="1684" t="str">
        <f t="shared" si="104"/>
        <v>--</v>
      </c>
      <c r="AQ58" s="1685" t="str">
        <f t="shared" si="23"/>
        <v/>
      </c>
      <c r="AR58" s="1686" t="str">
        <f t="shared" si="49"/>
        <v/>
      </c>
      <c r="AS58" s="1684" t="str">
        <f t="shared" si="105"/>
        <v>--</v>
      </c>
      <c r="AT58" s="1685" t="str">
        <f t="shared" si="26"/>
        <v/>
      </c>
      <c r="AU58" s="1688" t="str">
        <f t="shared" si="50"/>
        <v/>
      </c>
      <c r="AV58" s="1685">
        <f t="shared" si="51"/>
        <v>0</v>
      </c>
      <c r="AW58" s="1685" t="str">
        <f t="shared" si="52"/>
        <v/>
      </c>
      <c r="AX58" s="1685">
        <f t="shared" si="106"/>
        <v>0.14000000000000001</v>
      </c>
      <c r="AY58" s="1686" t="e">
        <f t="shared" si="53"/>
        <v>#DIV/0!</v>
      </c>
      <c r="BA58" s="1756" t="str">
        <f t="shared" si="107"/>
        <v/>
      </c>
      <c r="BB58" s="1685" t="str">
        <f t="shared" si="29"/>
        <v>--</v>
      </c>
      <c r="BC58" s="1685" t="str">
        <f t="shared" si="30"/>
        <v>--</v>
      </c>
      <c r="BE58" s="1684">
        <f t="shared" si="108"/>
        <v>0.23748554600466867</v>
      </c>
      <c r="BF58" s="1685" t="str">
        <f t="shared" si="32"/>
        <v/>
      </c>
      <c r="BG58" s="1686" t="str">
        <f t="shared" si="54"/>
        <v/>
      </c>
      <c r="BH58" s="1684">
        <f t="shared" si="109"/>
        <v>38.070559132271825</v>
      </c>
      <c r="BI58" s="1685" t="str">
        <f t="shared" si="34"/>
        <v/>
      </c>
      <c r="BJ58" s="1688" t="str">
        <f t="shared" si="55"/>
        <v/>
      </c>
      <c r="BK58" s="1685">
        <f t="shared" si="56"/>
        <v>0.23748554600466867</v>
      </c>
      <c r="BL58" s="1685" t="str">
        <f t="shared" si="57"/>
        <v/>
      </c>
      <c r="BM58" s="1685">
        <f t="shared" si="95"/>
        <v>0.24</v>
      </c>
      <c r="BN58" s="1686">
        <f t="shared" si="58"/>
        <v>-1.058781908050053E-2</v>
      </c>
      <c r="BP58" s="1756" t="str">
        <f t="shared" si="59"/>
        <v/>
      </c>
      <c r="BQ58" s="1685" t="str">
        <f t="shared" si="36"/>
        <v>--</v>
      </c>
    </row>
    <row r="59" spans="1:69">
      <c r="A59" t="s">
        <v>189</v>
      </c>
      <c r="B59" t="s">
        <v>190</v>
      </c>
      <c r="C59" s="1684">
        <f t="shared" si="114"/>
        <v>5.2979209804336538</v>
      </c>
      <c r="D59" s="1685" t="str">
        <f t="shared" si="110"/>
        <v/>
      </c>
      <c r="E59" s="1686" t="str">
        <f t="shared" si="62"/>
        <v/>
      </c>
      <c r="F59" s="1684">
        <f t="shared" si="115"/>
        <v>811.42867665523727</v>
      </c>
      <c r="G59" s="1685" t="str">
        <f t="shared" si="111"/>
        <v/>
      </c>
      <c r="H59" s="1688" t="str">
        <f t="shared" si="38"/>
        <v/>
      </c>
      <c r="I59" s="1685">
        <f t="shared" si="4"/>
        <v>5.2979209804336538</v>
      </c>
      <c r="J59" s="1685" t="str">
        <f t="shared" si="39"/>
        <v/>
      </c>
      <c r="K59" s="1685">
        <f t="shared" si="116"/>
        <v>5.3</v>
      </c>
      <c r="L59" s="1686">
        <f t="shared" si="40"/>
        <v>-3.9242177715075429E-4</v>
      </c>
      <c r="M59" s="1684">
        <f t="shared" si="117"/>
        <v>24.352056642713794</v>
      </c>
      <c r="N59" s="1685" t="str">
        <f t="shared" si="112"/>
        <v/>
      </c>
      <c r="O59" s="1686" t="str">
        <f t="shared" si="8"/>
        <v/>
      </c>
      <c r="P59" s="1684">
        <f t="shared" si="118"/>
        <v>4458.3935741065661</v>
      </c>
      <c r="Q59" s="1685" t="str">
        <f t="shared" si="113"/>
        <v/>
      </c>
      <c r="R59" s="1688" t="str">
        <f t="shared" si="60"/>
        <v/>
      </c>
      <c r="S59" s="1685">
        <f t="shared" si="41"/>
        <v>24.352056642713794</v>
      </c>
      <c r="T59" s="1685" t="str">
        <f t="shared" si="42"/>
        <v/>
      </c>
      <c r="U59" s="1685">
        <f t="shared" si="119"/>
        <v>24</v>
      </c>
      <c r="V59" s="1686">
        <f t="shared" si="61"/>
        <v>1.4456957286157212E-2</v>
      </c>
      <c r="W59" s="1756" t="str">
        <f t="shared" si="43"/>
        <v/>
      </c>
      <c r="X59" s="1685" t="str">
        <f t="shared" si="96"/>
        <v>--</v>
      </c>
      <c r="Z59" t="str">
        <f t="shared" si="97"/>
        <v>--</v>
      </c>
      <c r="AA59" t="str">
        <f t="shared" si="98"/>
        <v>--</v>
      </c>
      <c r="AB59" t="str">
        <f t="shared" si="99"/>
        <v>--</v>
      </c>
      <c r="AC59" t="str">
        <f t="shared" si="100"/>
        <v>--</v>
      </c>
      <c r="AF59" s="1684">
        <f t="shared" si="101"/>
        <v>0.56153846153846143</v>
      </c>
      <c r="AG59" s="1685" t="str">
        <f t="shared" si="18"/>
        <v/>
      </c>
      <c r="AH59" s="1686" t="str">
        <f t="shared" si="44"/>
        <v/>
      </c>
      <c r="AI59" s="1684">
        <f t="shared" si="102"/>
        <v>31.285714285714285</v>
      </c>
      <c r="AJ59" s="1685" t="str">
        <f t="shared" si="20"/>
        <v/>
      </c>
      <c r="AK59" s="1688" t="str">
        <f t="shared" si="45"/>
        <v/>
      </c>
      <c r="AL59" s="1685">
        <f t="shared" si="46"/>
        <v>0.56153846153846143</v>
      </c>
      <c r="AM59" s="1685" t="str">
        <f t="shared" si="47"/>
        <v/>
      </c>
      <c r="AN59" s="1685">
        <f t="shared" si="103"/>
        <v>0.56000000000000005</v>
      </c>
      <c r="AO59" s="1686">
        <f t="shared" si="48"/>
        <v>2.7397260273969741E-3</v>
      </c>
      <c r="AP59" s="1684">
        <f t="shared" si="104"/>
        <v>2.4527999999999994</v>
      </c>
      <c r="AQ59" s="1685" t="str">
        <f t="shared" si="23"/>
        <v/>
      </c>
      <c r="AR59" s="1686" t="str">
        <f t="shared" si="49"/>
        <v/>
      </c>
      <c r="AS59" s="1684">
        <f t="shared" si="105"/>
        <v>131.39999999999998</v>
      </c>
      <c r="AT59" s="1685" t="str">
        <f t="shared" si="26"/>
        <v/>
      </c>
      <c r="AU59" s="1688" t="str">
        <f t="shared" si="50"/>
        <v/>
      </c>
      <c r="AV59" s="1685">
        <f t="shared" si="51"/>
        <v>2.4527999999999994</v>
      </c>
      <c r="AW59" s="1685" t="str">
        <f t="shared" si="52"/>
        <v/>
      </c>
      <c r="AX59" s="1685">
        <f t="shared" si="106"/>
        <v>2.5</v>
      </c>
      <c r="AY59" s="1686">
        <f t="shared" si="53"/>
        <v>-1.9243313763861947E-2</v>
      </c>
      <c r="BA59" s="1756" t="str">
        <f t="shared" si="107"/>
        <v/>
      </c>
      <c r="BB59" s="1685" t="str">
        <f t="shared" si="29"/>
        <v>V</v>
      </c>
      <c r="BC59" s="1685" t="str">
        <f t="shared" si="30"/>
        <v>--</v>
      </c>
      <c r="BE59" s="1684">
        <f t="shared" si="108"/>
        <v>0.4590593892974133</v>
      </c>
      <c r="BF59" s="1685" t="str">
        <f t="shared" si="32"/>
        <v/>
      </c>
      <c r="BG59" s="1686" t="str">
        <f t="shared" si="54"/>
        <v/>
      </c>
      <c r="BH59" s="1684">
        <f t="shared" si="109"/>
        <v>56.660209865928671</v>
      </c>
      <c r="BI59" s="1685" t="str">
        <f t="shared" si="34"/>
        <v/>
      </c>
      <c r="BJ59" s="1688" t="str">
        <f t="shared" si="55"/>
        <v/>
      </c>
      <c r="BK59" s="1685">
        <f t="shared" si="56"/>
        <v>0.4590593892974133</v>
      </c>
      <c r="BL59" s="1685" t="str">
        <f t="shared" si="57"/>
        <v/>
      </c>
      <c r="BM59" s="1685">
        <f t="shared" si="95"/>
        <v>0.46</v>
      </c>
      <c r="BN59" s="1686">
        <f t="shared" si="58"/>
        <v>-2.0489956735800928E-3</v>
      </c>
      <c r="BP59" s="1756" t="str">
        <f t="shared" si="59"/>
        <v/>
      </c>
      <c r="BQ59" s="1685" t="str">
        <f t="shared" si="36"/>
        <v>--</v>
      </c>
    </row>
    <row r="60" spans="1:69">
      <c r="A60" t="s">
        <v>191</v>
      </c>
      <c r="B60" t="s">
        <v>192</v>
      </c>
      <c r="C60" s="1684">
        <f t="shared" si="114"/>
        <v>4.7692840206178896E-6</v>
      </c>
      <c r="D60" s="1685" t="str">
        <f t="shared" si="110"/>
        <v/>
      </c>
      <c r="E60" s="1686" t="str">
        <f t="shared" si="62"/>
        <v/>
      </c>
      <c r="F60" s="1684">
        <f t="shared" si="115"/>
        <v>5.1079440230529036E-5</v>
      </c>
      <c r="G60" s="1685" t="str">
        <f t="shared" si="111"/>
        <v/>
      </c>
      <c r="H60" s="1688" t="str">
        <f t="shared" si="38"/>
        <v/>
      </c>
      <c r="I60" s="1685">
        <f t="shared" si="4"/>
        <v>4.7692840206178896E-6</v>
      </c>
      <c r="J60" s="1685" t="str">
        <f t="shared" si="39"/>
        <v/>
      </c>
      <c r="K60" s="1685">
        <f t="shared" si="116"/>
        <v>4.7999999999999998E-6</v>
      </c>
      <c r="L60" s="1686">
        <f t="shared" si="40"/>
        <v>-6.440375379055471E-3</v>
      </c>
      <c r="M60" s="1684">
        <f t="shared" si="117"/>
        <v>2.1546958472457743E-5</v>
      </c>
      <c r="N60" s="1685" t="str">
        <f t="shared" si="112"/>
        <v/>
      </c>
      <c r="O60" s="1686" t="str">
        <f t="shared" si="8"/>
        <v/>
      </c>
      <c r="P60" s="1684">
        <f t="shared" si="118"/>
        <v>7.239237546970836E-4</v>
      </c>
      <c r="Q60" s="1685" t="str">
        <f t="shared" si="113"/>
        <v/>
      </c>
      <c r="R60" s="1688" t="str">
        <f t="shared" si="60"/>
        <v/>
      </c>
      <c r="S60" s="1685">
        <f t="shared" si="41"/>
        <v>2.1546958472457743E-5</v>
      </c>
      <c r="T60" s="1685" t="str">
        <f t="shared" si="42"/>
        <v/>
      </c>
      <c r="U60" s="1685">
        <f t="shared" si="119"/>
        <v>2.1999999999999999E-5</v>
      </c>
      <c r="V60" s="1686">
        <f t="shared" si="61"/>
        <v>-2.1025776242217832E-2</v>
      </c>
      <c r="W60" s="1756" t="str">
        <f t="shared" si="43"/>
        <v/>
      </c>
      <c r="X60" s="1685" t="str">
        <f t="shared" si="96"/>
        <v>--</v>
      </c>
      <c r="Z60" t="str">
        <f t="shared" si="97"/>
        <v>--</v>
      </c>
      <c r="AA60" t="str">
        <f t="shared" si="98"/>
        <v>--</v>
      </c>
      <c r="AB60" t="str">
        <f t="shared" si="99"/>
        <v>--</v>
      </c>
      <c r="AC60" t="str">
        <f t="shared" si="100"/>
        <v>--</v>
      </c>
      <c r="AF60" s="1684">
        <f t="shared" si="101"/>
        <v>7.3886639676113351E-8</v>
      </c>
      <c r="AG60" s="1685" t="str">
        <f t="shared" si="18"/>
        <v/>
      </c>
      <c r="AH60" s="1686" t="str">
        <f t="shared" si="44"/>
        <v/>
      </c>
      <c r="AI60" s="1684">
        <f t="shared" si="102"/>
        <v>4.1714285714285721E-5</v>
      </c>
      <c r="AJ60" s="1685" t="str">
        <f t="shared" si="20"/>
        <v/>
      </c>
      <c r="AK60" s="1688" t="str">
        <f t="shared" si="45"/>
        <v/>
      </c>
      <c r="AL60" s="1685">
        <f t="shared" si="46"/>
        <v>7.3886639676113351E-8</v>
      </c>
      <c r="AM60" s="1685" t="str">
        <f t="shared" si="47"/>
        <v/>
      </c>
      <c r="AN60" s="1685">
        <f t="shared" si="103"/>
        <v>7.4000000000000001E-8</v>
      </c>
      <c r="AO60" s="1686">
        <f t="shared" si="48"/>
        <v>-1.5342465753426036E-3</v>
      </c>
      <c r="AP60" s="1684">
        <f t="shared" si="104"/>
        <v>3.2273684210526308E-7</v>
      </c>
      <c r="AQ60" s="1685" t="str">
        <f t="shared" si="23"/>
        <v/>
      </c>
      <c r="AR60" s="1686" t="str">
        <f t="shared" si="49"/>
        <v/>
      </c>
      <c r="AS60" s="1684">
        <f t="shared" si="105"/>
        <v>1.752E-4</v>
      </c>
      <c r="AT60" s="1685" t="str">
        <f t="shared" si="26"/>
        <v/>
      </c>
      <c r="AU60" s="1688" t="str">
        <f t="shared" si="50"/>
        <v/>
      </c>
      <c r="AV60" s="1685">
        <f t="shared" si="51"/>
        <v>3.2273684210526308E-7</v>
      </c>
      <c r="AW60" s="1685" t="str">
        <f t="shared" si="52"/>
        <v/>
      </c>
      <c r="AX60" s="1685">
        <f t="shared" si="106"/>
        <v>3.2000000000000001E-7</v>
      </c>
      <c r="AY60" s="1686">
        <f t="shared" si="53"/>
        <v>8.4801043705150791E-3</v>
      </c>
      <c r="BA60" s="1756" t="str">
        <f t="shared" si="107"/>
        <v/>
      </c>
      <c r="BB60" s="1685" t="str">
        <f t="shared" si="29"/>
        <v>V</v>
      </c>
      <c r="BC60" s="1685" t="str">
        <f t="shared" si="30"/>
        <v>--</v>
      </c>
      <c r="BE60" s="1684">
        <f t="shared" si="108"/>
        <v>1.1854305711177148E-7</v>
      </c>
      <c r="BF60" s="1685" t="str">
        <f t="shared" si="32"/>
        <v/>
      </c>
      <c r="BG60" s="1686" t="str">
        <f t="shared" si="54"/>
        <v/>
      </c>
      <c r="BH60" s="1684">
        <f t="shared" si="109"/>
        <v>1.2016460905349795E-5</v>
      </c>
      <c r="BI60" s="1685" t="str">
        <f t="shared" si="34"/>
        <v/>
      </c>
      <c r="BJ60" s="1688" t="str">
        <f t="shared" si="55"/>
        <v/>
      </c>
      <c r="BK60" s="1685">
        <f t="shared" si="56"/>
        <v>1.1854305711177148E-7</v>
      </c>
      <c r="BL60" s="1685" t="str">
        <f t="shared" si="57"/>
        <v/>
      </c>
      <c r="BM60" s="1685">
        <f t="shared" si="95"/>
        <v>1.1999999999999999E-7</v>
      </c>
      <c r="BN60" s="1686">
        <f t="shared" si="58"/>
        <v>-1.2290410958904117E-2</v>
      </c>
      <c r="BP60" s="1756" t="str">
        <f t="shared" si="59"/>
        <v/>
      </c>
      <c r="BQ60" s="1685" t="str">
        <f t="shared" si="36"/>
        <v>--</v>
      </c>
    </row>
    <row r="61" spans="1:69" ht="15">
      <c r="A61" t="s">
        <v>193</v>
      </c>
      <c r="B61" t="s">
        <v>194</v>
      </c>
      <c r="C61" s="1684" t="str">
        <f t="shared" si="114"/>
        <v>--</v>
      </c>
      <c r="D61" s="1685" t="str">
        <f t="shared" si="110"/>
        <v>--</v>
      </c>
      <c r="E61" s="1686" t="str">
        <f t="shared" si="62"/>
        <v/>
      </c>
      <c r="F61" s="1684">
        <f t="shared" si="115"/>
        <v>469.28571428571428</v>
      </c>
      <c r="G61" s="1685" t="str">
        <f t="shared" si="111"/>
        <v/>
      </c>
      <c r="H61" s="1688" t="str">
        <f t="shared" si="38"/>
        <v/>
      </c>
      <c r="I61" s="1685">
        <f t="shared" si="4"/>
        <v>469.28571428571428</v>
      </c>
      <c r="J61" s="1685">
        <f t="shared" si="39"/>
        <v>0</v>
      </c>
      <c r="K61" s="1685">
        <f t="shared" si="116"/>
        <v>470</v>
      </c>
      <c r="L61" s="1686">
        <f t="shared" si="40"/>
        <v>-1.5220700152207174E-3</v>
      </c>
      <c r="M61" s="1684" t="str">
        <f t="shared" si="117"/>
        <v>--</v>
      </c>
      <c r="N61" s="1685" t="str">
        <f t="shared" si="112"/>
        <v>--</v>
      </c>
      <c r="O61" s="1686" t="str">
        <f t="shared" si="8"/>
        <v/>
      </c>
      <c r="P61" s="1684">
        <f t="shared" si="118"/>
        <v>7008.0000000000009</v>
      </c>
      <c r="Q61" s="1685">
        <f t="shared" si="113"/>
        <v>6000</v>
      </c>
      <c r="R61" s="1693">
        <f t="shared" si="60"/>
        <v>0.14383561643835627</v>
      </c>
      <c r="S61" s="1685">
        <f t="shared" si="41"/>
        <v>7008.0000000000009</v>
      </c>
      <c r="T61" s="1685">
        <f t="shared" si="42"/>
        <v>6000</v>
      </c>
      <c r="U61" s="1685">
        <f t="shared" si="119"/>
        <v>7000</v>
      </c>
      <c r="V61" s="1686">
        <f t="shared" si="61"/>
        <v>1.1415525114156547E-3</v>
      </c>
      <c r="W61" s="1756" t="str">
        <f t="shared" si="43"/>
        <v/>
      </c>
      <c r="X61" s="1685" t="str">
        <f t="shared" si="96"/>
        <v>Route RfC</v>
      </c>
      <c r="Z61" t="str">
        <f t="shared" si="97"/>
        <v>--</v>
      </c>
      <c r="AA61" t="str">
        <f t="shared" si="98"/>
        <v>--</v>
      </c>
      <c r="AB61" t="str">
        <f t="shared" si="99"/>
        <v>--</v>
      </c>
      <c r="AC61" t="str">
        <f t="shared" si="100"/>
        <v>--</v>
      </c>
      <c r="AF61" s="1684" t="str">
        <f t="shared" si="101"/>
        <v>--</v>
      </c>
      <c r="AG61" s="1685" t="str">
        <f t="shared" si="18"/>
        <v>--</v>
      </c>
      <c r="AH61" s="1686" t="str">
        <f t="shared" si="44"/>
        <v/>
      </c>
      <c r="AI61" s="1684" t="str">
        <f t="shared" si="102"/>
        <v>--</v>
      </c>
      <c r="AJ61" s="1685">
        <f t="shared" si="20"/>
        <v>0</v>
      </c>
      <c r="AK61" s="1688" t="e">
        <f t="shared" si="45"/>
        <v>#VALUE!</v>
      </c>
      <c r="AL61" s="1685">
        <f t="shared" si="46"/>
        <v>0</v>
      </c>
      <c r="AM61" s="1685">
        <f t="shared" si="47"/>
        <v>0</v>
      </c>
      <c r="AN61" s="1685" t="str">
        <f t="shared" si="103"/>
        <v>--</v>
      </c>
      <c r="AO61" s="1686" t="str">
        <f t="shared" si="48"/>
        <v>N</v>
      </c>
      <c r="AP61" s="1684" t="str">
        <f t="shared" si="104"/>
        <v>--</v>
      </c>
      <c r="AQ61" s="1685" t="str">
        <f t="shared" si="23"/>
        <v>--</v>
      </c>
      <c r="AR61" s="1686" t="str">
        <f t="shared" si="49"/>
        <v/>
      </c>
      <c r="AS61" s="1684" t="str">
        <f t="shared" si="105"/>
        <v>--</v>
      </c>
      <c r="AT61" s="1685">
        <f t="shared" si="26"/>
        <v>110</v>
      </c>
      <c r="AU61" s="1688" t="e">
        <f t="shared" si="50"/>
        <v>#VALUE!</v>
      </c>
      <c r="AV61" s="1685">
        <f t="shared" si="51"/>
        <v>0</v>
      </c>
      <c r="AW61" s="1685">
        <f t="shared" si="52"/>
        <v>110</v>
      </c>
      <c r="AX61" s="1685" t="str">
        <f t="shared" si="106"/>
        <v>--</v>
      </c>
      <c r="AY61" s="1686" t="str">
        <f t="shared" si="53"/>
        <v>N</v>
      </c>
      <c r="BA61" s="1756" t="str">
        <f t="shared" si="107"/>
        <v/>
      </c>
      <c r="BB61" s="1685" t="str">
        <f t="shared" si="29"/>
        <v>V</v>
      </c>
      <c r="BC61" s="1685" t="str">
        <f t="shared" si="30"/>
        <v>Route RfC</v>
      </c>
      <c r="BE61" s="1684" t="str">
        <f t="shared" si="108"/>
        <v>--</v>
      </c>
      <c r="BF61" s="1685" t="str">
        <f t="shared" si="32"/>
        <v>--</v>
      </c>
      <c r="BG61" s="1686" t="str">
        <f t="shared" si="54"/>
        <v/>
      </c>
      <c r="BH61" s="1684">
        <f t="shared" si="109"/>
        <v>101.05726848563953</v>
      </c>
      <c r="BI61" s="1685">
        <f t="shared" si="34"/>
        <v>33</v>
      </c>
      <c r="BJ61" s="1688">
        <f t="shared" si="55"/>
        <v>0.67345248397754409</v>
      </c>
      <c r="BK61" s="1685">
        <f t="shared" si="56"/>
        <v>101.05726848563953</v>
      </c>
      <c r="BL61" s="1685">
        <f t="shared" si="57"/>
        <v>33</v>
      </c>
      <c r="BM61" s="1685">
        <f t="shared" si="95"/>
        <v>100</v>
      </c>
      <c r="BN61" s="1686">
        <f t="shared" si="58"/>
        <v>1.0462072659224565E-2</v>
      </c>
      <c r="BP61" s="1756" t="str">
        <f t="shared" si="59"/>
        <v/>
      </c>
      <c r="BQ61" s="1685" t="str">
        <f t="shared" si="36"/>
        <v>Route RfC</v>
      </c>
    </row>
    <row r="62" spans="1:69">
      <c r="A62" t="s">
        <v>195</v>
      </c>
      <c r="B62" t="s">
        <v>196</v>
      </c>
      <c r="C62" s="1684" t="str">
        <f t="shared" si="114"/>
        <v>--</v>
      </c>
      <c r="D62" s="1685" t="str">
        <f t="shared" si="110"/>
        <v>--</v>
      </c>
      <c r="E62" s="1686" t="str">
        <f t="shared" si="62"/>
        <v/>
      </c>
      <c r="F62" s="1684">
        <f t="shared" si="115"/>
        <v>18.964103866714392</v>
      </c>
      <c r="G62" s="1685" t="str">
        <f t="shared" si="111"/>
        <v/>
      </c>
      <c r="H62" s="1688" t="str">
        <f t="shared" si="38"/>
        <v/>
      </c>
      <c r="I62" s="1685">
        <f t="shared" si="4"/>
        <v>18.964103866714392</v>
      </c>
      <c r="J62" s="1685">
        <f t="shared" si="39"/>
        <v>0</v>
      </c>
      <c r="K62" s="1685">
        <f t="shared" si="116"/>
        <v>19</v>
      </c>
      <c r="L62" s="1686">
        <f t="shared" si="40"/>
        <v>-1.8928462709283157E-3</v>
      </c>
      <c r="M62" s="1684" t="str">
        <f t="shared" si="117"/>
        <v>--</v>
      </c>
      <c r="N62" s="1685" t="str">
        <f t="shared" si="112"/>
        <v>--</v>
      </c>
      <c r="O62" s="1686" t="str">
        <f t="shared" si="8"/>
        <v/>
      </c>
      <c r="P62" s="1684">
        <f t="shared" si="118"/>
        <v>246.19881397375005</v>
      </c>
      <c r="Q62" s="1685">
        <f t="shared" si="113"/>
        <v>200</v>
      </c>
      <c r="R62" s="1690">
        <f t="shared" si="60"/>
        <v>0.18764840182648407</v>
      </c>
      <c r="S62" s="1685">
        <f t="shared" si="41"/>
        <v>246.19881397375005</v>
      </c>
      <c r="T62" s="1685">
        <f t="shared" si="42"/>
        <v>200</v>
      </c>
      <c r="U62" s="1685">
        <f t="shared" si="119"/>
        <v>250</v>
      </c>
      <c r="V62" s="1686">
        <f t="shared" si="61"/>
        <v>-1.543949771689492E-2</v>
      </c>
      <c r="W62" s="1756" t="str">
        <f t="shared" si="43"/>
        <v/>
      </c>
      <c r="X62" s="1685" t="str">
        <f t="shared" si="96"/>
        <v>--</v>
      </c>
      <c r="Z62" t="str">
        <f t="shared" si="97"/>
        <v>--</v>
      </c>
      <c r="AA62" t="str">
        <f t="shared" si="98"/>
        <v>--</v>
      </c>
      <c r="AB62" t="str">
        <f t="shared" si="99"/>
        <v>--</v>
      </c>
      <c r="AC62" t="str">
        <f t="shared" si="100"/>
        <v>--</v>
      </c>
      <c r="AF62" s="1684" t="str">
        <f t="shared" si="101"/>
        <v>--</v>
      </c>
      <c r="AG62" s="1685" t="str">
        <f t="shared" si="18"/>
        <v/>
      </c>
      <c r="AH62" s="1686" t="str">
        <f t="shared" si="44"/>
        <v/>
      </c>
      <c r="AI62" s="1684" t="str">
        <f t="shared" si="102"/>
        <v>--</v>
      </c>
      <c r="AJ62" s="1685" t="str">
        <f t="shared" si="20"/>
        <v/>
      </c>
      <c r="AK62" s="1688" t="str">
        <f t="shared" si="45"/>
        <v/>
      </c>
      <c r="AL62" s="1685">
        <f t="shared" si="46"/>
        <v>0</v>
      </c>
      <c r="AM62" s="1685" t="str">
        <f t="shared" si="47"/>
        <v/>
      </c>
      <c r="AN62" s="1685" t="str">
        <f t="shared" si="103"/>
        <v>--</v>
      </c>
      <c r="AO62" s="1686" t="str">
        <f t="shared" si="48"/>
        <v>N</v>
      </c>
      <c r="AP62" s="1684" t="str">
        <f t="shared" si="104"/>
        <v>--</v>
      </c>
      <c r="AQ62" s="1685" t="str">
        <f t="shared" si="23"/>
        <v/>
      </c>
      <c r="AR62" s="1686" t="str">
        <f t="shared" si="49"/>
        <v/>
      </c>
      <c r="AS62" s="1684" t="str">
        <f t="shared" si="105"/>
        <v>--</v>
      </c>
      <c r="AT62" s="1685" t="str">
        <f t="shared" si="26"/>
        <v/>
      </c>
      <c r="AU62" s="1688" t="str">
        <f t="shared" si="50"/>
        <v/>
      </c>
      <c r="AV62" s="1685">
        <f t="shared" si="51"/>
        <v>0</v>
      </c>
      <c r="AW62" s="1685" t="str">
        <f t="shared" si="52"/>
        <v/>
      </c>
      <c r="AX62" s="1685" t="str">
        <f t="shared" si="106"/>
        <v>--</v>
      </c>
      <c r="AY62" s="1686" t="str">
        <f t="shared" si="53"/>
        <v>N</v>
      </c>
      <c r="BA62" s="1756" t="str">
        <f t="shared" si="107"/>
        <v/>
      </c>
      <c r="BB62" s="1685" t="str">
        <f t="shared" si="29"/>
        <v>--</v>
      </c>
      <c r="BC62" s="1685" t="str">
        <f t="shared" si="30"/>
        <v>--</v>
      </c>
      <c r="BE62" s="1684" t="str">
        <f t="shared" si="108"/>
        <v>--</v>
      </c>
      <c r="BF62" s="1685" t="str">
        <f t="shared" si="32"/>
        <v/>
      </c>
      <c r="BG62" s="1686" t="str">
        <f t="shared" si="54"/>
        <v/>
      </c>
      <c r="BH62" s="1684">
        <f t="shared" si="109"/>
        <v>2.284295168118172</v>
      </c>
      <c r="BI62" s="1685" t="str">
        <f t="shared" si="34"/>
        <v/>
      </c>
      <c r="BJ62" s="1688" t="str">
        <f t="shared" si="55"/>
        <v/>
      </c>
      <c r="BK62" s="1685">
        <f t="shared" si="56"/>
        <v>2.284295168118172</v>
      </c>
      <c r="BL62" s="1685" t="str">
        <f t="shared" si="57"/>
        <v/>
      </c>
      <c r="BM62" s="1685">
        <f t="shared" si="95"/>
        <v>2.2999999999999998</v>
      </c>
      <c r="BN62" s="1686">
        <f t="shared" si="58"/>
        <v>-6.8751324701901923E-3</v>
      </c>
      <c r="BP62" s="1756" t="str">
        <f t="shared" si="59"/>
        <v/>
      </c>
      <c r="BQ62" s="1685" t="str">
        <f t="shared" si="36"/>
        <v>--</v>
      </c>
    </row>
    <row r="63" spans="1:69">
      <c r="A63" t="s">
        <v>197</v>
      </c>
      <c r="B63" t="s">
        <v>198</v>
      </c>
      <c r="C63" s="1684">
        <f t="shared" si="114"/>
        <v>5.7830690438689025</v>
      </c>
      <c r="D63" s="1685" t="str">
        <f t="shared" si="110"/>
        <v/>
      </c>
      <c r="E63" s="1686" t="str">
        <f t="shared" si="62"/>
        <v/>
      </c>
      <c r="F63" s="1684">
        <f t="shared" si="115"/>
        <v>2353.5571596521831</v>
      </c>
      <c r="G63" s="1685" t="str">
        <f t="shared" si="111"/>
        <v/>
      </c>
      <c r="H63" s="1688" t="str">
        <f t="shared" si="38"/>
        <v/>
      </c>
      <c r="I63" s="1685">
        <f t="shared" si="4"/>
        <v>5.7830690438689025</v>
      </c>
      <c r="J63" s="1685" t="str">
        <f t="shared" si="39"/>
        <v/>
      </c>
      <c r="K63" s="1685">
        <f t="shared" si="116"/>
        <v>5.8</v>
      </c>
      <c r="L63" s="1686">
        <f t="shared" si="40"/>
        <v>-2.9276766372082603E-3</v>
      </c>
      <c r="M63" s="1684">
        <f t="shared" si="117"/>
        <v>24.974336453276511</v>
      </c>
      <c r="N63" s="1685" t="str">
        <f t="shared" si="112"/>
        <v/>
      </c>
      <c r="O63" s="1686" t="str">
        <f t="shared" si="8"/>
        <v/>
      </c>
      <c r="P63" s="1684">
        <f t="shared" si="118"/>
        <v>17181.480900585193</v>
      </c>
      <c r="Q63" s="1685" t="str">
        <f t="shared" si="113"/>
        <v/>
      </c>
      <c r="R63" s="1688" t="str">
        <f t="shared" si="60"/>
        <v/>
      </c>
      <c r="S63" s="1685">
        <f t="shared" si="41"/>
        <v>24.974336453276511</v>
      </c>
      <c r="T63" s="1685" t="str">
        <f t="shared" si="42"/>
        <v/>
      </c>
      <c r="U63" s="1685">
        <f t="shared" si="119"/>
        <v>25</v>
      </c>
      <c r="V63" s="1686">
        <f t="shared" si="61"/>
        <v>-1.0275967400175884E-3</v>
      </c>
      <c r="W63" s="1756" t="str">
        <f t="shared" si="43"/>
        <v/>
      </c>
      <c r="X63" s="1685" t="str">
        <f t="shared" si="96"/>
        <v>--</v>
      </c>
      <c r="Z63" t="str">
        <f t="shared" si="97"/>
        <v>--</v>
      </c>
      <c r="AA63" t="str">
        <f t="shared" si="98"/>
        <v>--</v>
      </c>
      <c r="AB63" t="str">
        <f t="shared" si="99"/>
        <v>--</v>
      </c>
      <c r="AC63" t="str">
        <f t="shared" si="100"/>
        <v>--</v>
      </c>
      <c r="AF63" s="1684">
        <f t="shared" si="101"/>
        <v>1.1230769230769229</v>
      </c>
      <c r="AG63" s="1685" t="str">
        <f t="shared" si="18"/>
        <v/>
      </c>
      <c r="AH63" s="1686" t="str">
        <f t="shared" si="44"/>
        <v/>
      </c>
      <c r="AI63" s="1684">
        <f t="shared" si="102"/>
        <v>1042.8571428571429</v>
      </c>
      <c r="AJ63" s="1685" t="str">
        <f t="shared" si="20"/>
        <v/>
      </c>
      <c r="AK63" s="1688" t="str">
        <f t="shared" si="45"/>
        <v/>
      </c>
      <c r="AL63" s="1685">
        <f t="shared" si="46"/>
        <v>1.1230769230769229</v>
      </c>
      <c r="AM63" s="1685" t="str">
        <f t="shared" si="47"/>
        <v/>
      </c>
      <c r="AN63" s="1685">
        <f t="shared" si="103"/>
        <v>1.1000000000000001</v>
      </c>
      <c r="AO63" s="1686">
        <f t="shared" si="48"/>
        <v>2.0547945205479184E-2</v>
      </c>
      <c r="AP63" s="1684">
        <f t="shared" si="104"/>
        <v>4.9055999999999989</v>
      </c>
      <c r="AQ63" s="1685" t="str">
        <f t="shared" si="23"/>
        <v/>
      </c>
      <c r="AR63" s="1686" t="str">
        <f t="shared" si="49"/>
        <v/>
      </c>
      <c r="AS63" s="1684">
        <f t="shared" si="105"/>
        <v>4380</v>
      </c>
      <c r="AT63" s="1685" t="str">
        <f t="shared" si="26"/>
        <v/>
      </c>
      <c r="AU63" s="1688" t="str">
        <f t="shared" si="50"/>
        <v/>
      </c>
      <c r="AV63" s="1685">
        <f t="shared" si="51"/>
        <v>4.9055999999999989</v>
      </c>
      <c r="AW63" s="1685" t="str">
        <f t="shared" si="52"/>
        <v/>
      </c>
      <c r="AX63" s="1685">
        <f t="shared" si="106"/>
        <v>4.9000000000000004</v>
      </c>
      <c r="AY63" s="1686">
        <f t="shared" si="53"/>
        <v>1.1415525114152187E-3</v>
      </c>
      <c r="BA63" s="1756" t="str">
        <f t="shared" si="107"/>
        <v/>
      </c>
      <c r="BB63" s="1685" t="str">
        <f t="shared" si="29"/>
        <v>V</v>
      </c>
      <c r="BC63" s="1685" t="str">
        <f t="shared" si="30"/>
        <v>--</v>
      </c>
      <c r="BE63" s="1684">
        <f t="shared" si="108"/>
        <v>1.4991397267199893</v>
      </c>
      <c r="BF63" s="1685" t="str">
        <f t="shared" si="32"/>
        <v/>
      </c>
      <c r="BG63" s="1686" t="str">
        <f t="shared" si="54"/>
        <v/>
      </c>
      <c r="BH63" s="1684">
        <f t="shared" si="109"/>
        <v>499.83527488611799</v>
      </c>
      <c r="BI63" s="1685" t="str">
        <f t="shared" si="34"/>
        <v/>
      </c>
      <c r="BJ63" s="1688" t="str">
        <f t="shared" si="55"/>
        <v/>
      </c>
      <c r="BK63" s="1685">
        <f t="shared" si="56"/>
        <v>1.4991397267199893</v>
      </c>
      <c r="BL63" s="1685" t="str">
        <f t="shared" si="57"/>
        <v/>
      </c>
      <c r="BM63" s="1685">
        <f t="shared" si="95"/>
        <v>1.5</v>
      </c>
      <c r="BN63" s="1686">
        <f t="shared" si="58"/>
        <v>-5.7384462880782992E-4</v>
      </c>
      <c r="BP63" s="1756" t="str">
        <f t="shared" si="59"/>
        <v/>
      </c>
      <c r="BQ63" s="1685" t="str">
        <f t="shared" si="36"/>
        <v>--</v>
      </c>
    </row>
    <row r="64" spans="1:69">
      <c r="A64" t="s">
        <v>199</v>
      </c>
      <c r="B64" t="s">
        <v>200</v>
      </c>
      <c r="C64" s="1684">
        <f t="shared" si="114"/>
        <v>0.13442642614676834</v>
      </c>
      <c r="D64" s="1685" t="str">
        <f t="shared" si="110"/>
        <v/>
      </c>
      <c r="E64" s="1686" t="str">
        <f t="shared" si="62"/>
        <v/>
      </c>
      <c r="F64" s="1684">
        <f t="shared" si="115"/>
        <v>7.8214285714285712</v>
      </c>
      <c r="G64" s="1685" t="str">
        <f t="shared" si="111"/>
        <v/>
      </c>
      <c r="H64" s="1688" t="str">
        <f t="shared" si="38"/>
        <v/>
      </c>
      <c r="I64" s="1685">
        <f t="shared" si="4"/>
        <v>0.13442642614676834</v>
      </c>
      <c r="J64" s="1685" t="str">
        <f t="shared" si="39"/>
        <v/>
      </c>
      <c r="K64" s="1685">
        <f t="shared" si="116"/>
        <v>0.13</v>
      </c>
      <c r="L64" s="1686">
        <f t="shared" si="40"/>
        <v>3.2928243900016411E-2</v>
      </c>
      <c r="M64" s="1684">
        <f t="shared" si="117"/>
        <v>0.62437313395438043</v>
      </c>
      <c r="N64" s="1685" t="str">
        <f t="shared" si="112"/>
        <v/>
      </c>
      <c r="O64" s="1686" t="str">
        <f t="shared" si="8"/>
        <v/>
      </c>
      <c r="P64" s="1684">
        <f t="shared" si="118"/>
        <v>116.8</v>
      </c>
      <c r="Q64" s="1685" t="str">
        <f t="shared" si="113"/>
        <v/>
      </c>
      <c r="R64" s="1688" t="str">
        <f t="shared" si="60"/>
        <v/>
      </c>
      <c r="S64" s="1685">
        <f t="shared" si="41"/>
        <v>0.62437313395438043</v>
      </c>
      <c r="T64" s="1685" t="str">
        <f t="shared" si="42"/>
        <v/>
      </c>
      <c r="U64" s="1685">
        <f t="shared" si="119"/>
        <v>0.63</v>
      </c>
      <c r="V64" s="1686">
        <f t="shared" si="61"/>
        <v>-9.0120246045543289E-3</v>
      </c>
      <c r="W64" s="1756" t="str">
        <f t="shared" si="43"/>
        <v/>
      </c>
      <c r="X64" s="1685" t="str">
        <f t="shared" si="96"/>
        <v>Route RfC</v>
      </c>
      <c r="Z64" t="str">
        <f t="shared" si="97"/>
        <v>--</v>
      </c>
      <c r="AA64" t="str">
        <f t="shared" si="98"/>
        <v>--</v>
      </c>
      <c r="AB64" t="str">
        <f t="shared" si="99"/>
        <v>--</v>
      </c>
      <c r="AC64" t="str">
        <f t="shared" si="100"/>
        <v>--</v>
      </c>
      <c r="AF64" s="1684">
        <f t="shared" si="101"/>
        <v>2.1597633136094673E-3</v>
      </c>
      <c r="AG64" s="1685" t="str">
        <f t="shared" si="18"/>
        <v/>
      </c>
      <c r="AH64" s="1686" t="str">
        <f t="shared" si="44"/>
        <v/>
      </c>
      <c r="AI64" s="1684" t="str">
        <f t="shared" si="102"/>
        <v>--</v>
      </c>
      <c r="AJ64" s="1685">
        <f t="shared" si="20"/>
        <v>0</v>
      </c>
      <c r="AK64" s="1688" t="e">
        <f t="shared" si="45"/>
        <v>#VALUE!</v>
      </c>
      <c r="AL64" s="1685">
        <f t="shared" si="46"/>
        <v>2.1597633136094673E-3</v>
      </c>
      <c r="AM64" s="1685">
        <f t="shared" si="47"/>
        <v>0</v>
      </c>
      <c r="AN64" s="1685">
        <f t="shared" si="103"/>
        <v>2.2000000000000001E-3</v>
      </c>
      <c r="AO64" s="1686">
        <f t="shared" si="48"/>
        <v>-1.8630136986301522E-2</v>
      </c>
      <c r="AP64" s="1684">
        <f t="shared" si="104"/>
        <v>9.433846153846152E-3</v>
      </c>
      <c r="AQ64" s="1685" t="str">
        <f t="shared" si="23"/>
        <v/>
      </c>
      <c r="AR64" s="1686" t="str">
        <f t="shared" si="49"/>
        <v/>
      </c>
      <c r="AS64" s="1684" t="str">
        <f t="shared" si="105"/>
        <v>--</v>
      </c>
      <c r="AT64" s="1685">
        <f t="shared" si="26"/>
        <v>8.8000000000000007</v>
      </c>
      <c r="AU64" s="1688" t="e">
        <f t="shared" si="50"/>
        <v>#VALUE!</v>
      </c>
      <c r="AV64" s="1685">
        <f t="shared" si="51"/>
        <v>9.433846153846152E-3</v>
      </c>
      <c r="AW64" s="1685">
        <f t="shared" si="52"/>
        <v>8.8000000000000007</v>
      </c>
      <c r="AX64" s="1685">
        <f t="shared" si="106"/>
        <v>9.4000000000000004E-3</v>
      </c>
      <c r="AY64" s="1686">
        <f t="shared" si="53"/>
        <v>3.5877364644485627E-3</v>
      </c>
      <c r="BA64" s="1756" t="str">
        <f t="shared" si="107"/>
        <v/>
      </c>
      <c r="BB64" s="1685" t="str">
        <f t="shared" si="29"/>
        <v>V</v>
      </c>
      <c r="BC64" s="1685" t="str">
        <f t="shared" si="30"/>
        <v>Route RfC</v>
      </c>
      <c r="BE64" s="1684">
        <f t="shared" si="108"/>
        <v>1.3930504195594853E-3</v>
      </c>
      <c r="BF64" s="1685" t="str">
        <f t="shared" si="32"/>
        <v/>
      </c>
      <c r="BG64" s="1686" t="str">
        <f t="shared" si="54"/>
        <v/>
      </c>
      <c r="BH64" s="1684">
        <f t="shared" si="109"/>
        <v>0.25630603751169218</v>
      </c>
      <c r="BI64" s="1685" t="str">
        <f t="shared" si="34"/>
        <v/>
      </c>
      <c r="BJ64" s="1688" t="str">
        <f t="shared" si="55"/>
        <v/>
      </c>
      <c r="BK64" s="1685">
        <f t="shared" si="56"/>
        <v>1.3930504195594853E-3</v>
      </c>
      <c r="BL64" s="1685" t="str">
        <f t="shared" si="57"/>
        <v/>
      </c>
      <c r="BM64" s="1685">
        <f t="shared" si="95"/>
        <v>1.4E-3</v>
      </c>
      <c r="BN64" s="1686">
        <f t="shared" si="58"/>
        <v>-4.9887501148108467E-3</v>
      </c>
      <c r="BP64" s="1756" t="str">
        <f t="shared" si="59"/>
        <v/>
      </c>
      <c r="BQ64" s="1685" t="str">
        <f t="shared" si="36"/>
        <v>Route RfC</v>
      </c>
    </row>
    <row r="65" spans="1:69">
      <c r="A65" t="s">
        <v>201</v>
      </c>
      <c r="B65" t="s">
        <v>202</v>
      </c>
      <c r="C65" s="1684">
        <f t="shared" si="114"/>
        <v>7.048121201676584E-2</v>
      </c>
      <c r="D65" s="1685" t="str">
        <f t="shared" si="110"/>
        <v/>
      </c>
      <c r="E65" s="1686" t="str">
        <f t="shared" si="62"/>
        <v/>
      </c>
      <c r="F65" s="1684">
        <f t="shared" si="115"/>
        <v>1.0167857142857144</v>
      </c>
      <c r="G65" s="1685" t="str">
        <f t="shared" si="111"/>
        <v/>
      </c>
      <c r="H65" s="1688" t="str">
        <f t="shared" si="38"/>
        <v/>
      </c>
      <c r="I65" s="1685">
        <f t="shared" si="4"/>
        <v>7.048121201676584E-2</v>
      </c>
      <c r="J65" s="1685" t="str">
        <f t="shared" si="39"/>
        <v/>
      </c>
      <c r="K65" s="1685">
        <f t="shared" si="116"/>
        <v>7.0000000000000007E-2</v>
      </c>
      <c r="L65" s="1686">
        <f t="shared" si="40"/>
        <v>6.8275218742175478E-3</v>
      </c>
      <c r="M65" s="1684">
        <f t="shared" si="117"/>
        <v>0.3290395362982575</v>
      </c>
      <c r="N65" s="1685" t="str">
        <f t="shared" si="112"/>
        <v/>
      </c>
      <c r="O65" s="1686" t="str">
        <f t="shared" si="8"/>
        <v/>
      </c>
      <c r="P65" s="1684">
        <f t="shared" si="118"/>
        <v>15.183999999999999</v>
      </c>
      <c r="Q65" s="1685" t="str">
        <f t="shared" si="113"/>
        <v/>
      </c>
      <c r="R65" s="1688" t="str">
        <f t="shared" si="60"/>
        <v/>
      </c>
      <c r="S65" s="1685">
        <f t="shared" si="41"/>
        <v>0.3290395362982575</v>
      </c>
      <c r="T65" s="1685" t="str">
        <f t="shared" si="42"/>
        <v/>
      </c>
      <c r="U65" s="1685">
        <f t="shared" si="119"/>
        <v>0.33</v>
      </c>
      <c r="V65" s="1686">
        <f t="shared" si="61"/>
        <v>-2.9189917799784058E-3</v>
      </c>
      <c r="W65" s="1756" t="str">
        <f t="shared" si="43"/>
        <v/>
      </c>
      <c r="X65" s="1685" t="str">
        <f t="shared" si="96"/>
        <v>Route RfC</v>
      </c>
      <c r="Z65" t="str">
        <f t="shared" si="97"/>
        <v>--</v>
      </c>
      <c r="AA65" t="str">
        <f t="shared" si="98"/>
        <v>--</v>
      </c>
      <c r="AB65" t="str">
        <f t="shared" si="99"/>
        <v>--</v>
      </c>
      <c r="AC65" t="str">
        <f t="shared" si="100"/>
        <v>--</v>
      </c>
      <c r="AF65" s="1684">
        <f t="shared" si="101"/>
        <v>1.0798816568047336E-3</v>
      </c>
      <c r="AG65" s="1685" t="str">
        <f t="shared" si="18"/>
        <v/>
      </c>
      <c r="AH65" s="1686" t="str">
        <f t="shared" si="44"/>
        <v/>
      </c>
      <c r="AI65" s="1684" t="str">
        <f t="shared" si="102"/>
        <v>--</v>
      </c>
      <c r="AJ65" s="1685">
        <f t="shared" si="20"/>
        <v>0</v>
      </c>
      <c r="AK65" s="1688" t="e">
        <f t="shared" si="45"/>
        <v>#VALUE!</v>
      </c>
      <c r="AL65" s="1685">
        <f t="shared" si="46"/>
        <v>1.0798816568047336E-3</v>
      </c>
      <c r="AM65" s="1685">
        <f t="shared" si="47"/>
        <v>0</v>
      </c>
      <c r="AN65" s="1685">
        <f t="shared" si="103"/>
        <v>1.1000000000000001E-3</v>
      </c>
      <c r="AO65" s="1686">
        <f t="shared" si="48"/>
        <v>-1.8630136986301522E-2</v>
      </c>
      <c r="AP65" s="1684">
        <f t="shared" si="104"/>
        <v>4.716923076923076E-3</v>
      </c>
      <c r="AQ65" s="1685" t="str">
        <f t="shared" si="23"/>
        <v/>
      </c>
      <c r="AR65" s="1686" t="str">
        <f t="shared" si="49"/>
        <v/>
      </c>
      <c r="AS65" s="1684" t="str">
        <f t="shared" si="105"/>
        <v>--</v>
      </c>
      <c r="AT65" s="1685">
        <f t="shared" si="26"/>
        <v>0.23</v>
      </c>
      <c r="AU65" s="1688" t="e">
        <f t="shared" si="50"/>
        <v>#VALUE!</v>
      </c>
      <c r="AV65" s="1685">
        <f t="shared" si="51"/>
        <v>4.716923076923076E-3</v>
      </c>
      <c r="AW65" s="1685">
        <f t="shared" si="52"/>
        <v>0.23</v>
      </c>
      <c r="AX65" s="1685">
        <f t="shared" si="106"/>
        <v>4.7000000000000002E-3</v>
      </c>
      <c r="AY65" s="1686">
        <f t="shared" si="53"/>
        <v>3.5877364644485627E-3</v>
      </c>
      <c r="BA65" s="1756" t="str">
        <f t="shared" si="107"/>
        <v/>
      </c>
      <c r="BB65" s="1685" t="str">
        <f t="shared" si="29"/>
        <v>V</v>
      </c>
      <c r="BC65" s="1685" t="str">
        <f t="shared" si="30"/>
        <v>Route RfC</v>
      </c>
      <c r="BE65" s="1684">
        <f t="shared" si="108"/>
        <v>1.3884028363364219E-3</v>
      </c>
      <c r="BF65" s="1685" t="str">
        <f t="shared" si="32"/>
        <v/>
      </c>
      <c r="BG65" s="1686" t="str">
        <f t="shared" si="54"/>
        <v/>
      </c>
      <c r="BH65" s="1684">
        <f t="shared" si="109"/>
        <v>0.12380600336940729</v>
      </c>
      <c r="BI65" s="1685">
        <f t="shared" si="34"/>
        <v>5.8000000000000003E-2</v>
      </c>
      <c r="BJ65" s="1688">
        <f t="shared" si="55"/>
        <v>0.53152514077251989</v>
      </c>
      <c r="BK65" s="1685">
        <f t="shared" si="56"/>
        <v>1.3884028363364219E-3</v>
      </c>
      <c r="BL65" s="1685">
        <f t="shared" si="57"/>
        <v>5.8000000000000003E-2</v>
      </c>
      <c r="BM65" s="1685">
        <f t="shared" ref="BM65:BM96" si="120">IF(VLOOKUP($B65,Table_RSL_SL,MATCH("tap",Heading_RSL_SL,0),FALSE)=0,"--",VLOOKUP($B65,Table_RSL_SL,MATCH("tap",Heading_RSL_SL,0),FALSE))</f>
        <v>1.4E-3</v>
      </c>
      <c r="BN65" s="1686">
        <f t="shared" si="58"/>
        <v>-8.352880993948035E-3</v>
      </c>
      <c r="BP65" s="1756" t="str">
        <f t="shared" si="59"/>
        <v/>
      </c>
      <c r="BQ65" s="1685" t="str">
        <f t="shared" si="36"/>
        <v>Route RfC</v>
      </c>
    </row>
    <row r="66" spans="1:69">
      <c r="A66" t="s">
        <v>203</v>
      </c>
      <c r="B66" t="s">
        <v>204</v>
      </c>
      <c r="C66" s="1684">
        <f t="shared" si="114"/>
        <v>0.19007108124524141</v>
      </c>
      <c r="D66" s="1685">
        <f t="shared" si="110"/>
        <v>0.19</v>
      </c>
      <c r="E66" s="1686">
        <f t="shared" si="62"/>
        <v>3.739719097493728E-4</v>
      </c>
      <c r="F66" s="1684">
        <f t="shared" si="115"/>
        <v>0.78214285714285725</v>
      </c>
      <c r="G66" s="1685" t="str">
        <f t="shared" si="111"/>
        <v/>
      </c>
      <c r="H66" s="1688" t="str">
        <f t="shared" si="38"/>
        <v/>
      </c>
      <c r="I66" s="1685">
        <f t="shared" si="4"/>
        <v>0.19007108124524141</v>
      </c>
      <c r="J66" s="1685">
        <f t="shared" si="39"/>
        <v>0.19</v>
      </c>
      <c r="K66" s="1685">
        <f t="shared" si="116"/>
        <v>0.21</v>
      </c>
      <c r="L66" s="1686">
        <f t="shared" si="40"/>
        <v>-0.10484982052080327</v>
      </c>
      <c r="M66" s="1684">
        <f t="shared" si="117"/>
        <v>0.85159903447870477</v>
      </c>
      <c r="N66" s="1685">
        <f t="shared" si="112"/>
        <v>0.86</v>
      </c>
      <c r="O66" s="1686">
        <f t="shared" si="8"/>
        <v>-9.8649307727758911E-3</v>
      </c>
      <c r="P66" s="1684">
        <f t="shared" si="118"/>
        <v>11.680000000000003</v>
      </c>
      <c r="Q66" s="1685" t="str">
        <f t="shared" si="113"/>
        <v/>
      </c>
      <c r="R66" s="1688" t="str">
        <f t="shared" si="60"/>
        <v/>
      </c>
      <c r="S66" s="1685">
        <f t="shared" si="41"/>
        <v>0.85159903447870477</v>
      </c>
      <c r="T66" s="1685">
        <f t="shared" si="42"/>
        <v>0.86</v>
      </c>
      <c r="U66" s="1685">
        <f t="shared" si="119"/>
        <v>0.96</v>
      </c>
      <c r="V66" s="1686">
        <f t="shared" si="61"/>
        <v>-0.12729108551379631</v>
      </c>
      <c r="W66" s="1756" t="str">
        <f t="shared" si="43"/>
        <v>*</v>
      </c>
      <c r="X66" s="1685" t="str">
        <f t="shared" si="96"/>
        <v>--</v>
      </c>
      <c r="Z66" t="str">
        <f t="shared" si="97"/>
        <v>x</v>
      </c>
      <c r="AA66" t="str">
        <f t="shared" si="98"/>
        <v>x</v>
      </c>
      <c r="AB66" t="str">
        <f t="shared" si="99"/>
        <v>--</v>
      </c>
      <c r="AC66" t="str">
        <f t="shared" si="100"/>
        <v>--</v>
      </c>
      <c r="AF66" s="1684">
        <f t="shared" si="101"/>
        <v>5.5052790346907989E-3</v>
      </c>
      <c r="AG66" s="1685">
        <f t="shared" si="18"/>
        <v>5.4999999999999997E-3</v>
      </c>
      <c r="AH66" s="1686">
        <f t="shared" si="44"/>
        <v>9.5890410958901257E-4</v>
      </c>
      <c r="AI66" s="1684" t="str">
        <f t="shared" si="102"/>
        <v>--</v>
      </c>
      <c r="AJ66" s="1685">
        <f t="shared" si="20"/>
        <v>0</v>
      </c>
      <c r="AK66" s="1688" t="e">
        <f t="shared" si="45"/>
        <v>#VALUE!</v>
      </c>
      <c r="AL66" s="1685">
        <f t="shared" si="46"/>
        <v>5.5052790346907989E-3</v>
      </c>
      <c r="AM66" s="1685">
        <f>IF(AND(AG66="",AJ66=""),"",MIN(AJ66,AG66))</f>
        <v>0</v>
      </c>
      <c r="AN66" s="1685">
        <f t="shared" si="103"/>
        <v>6.1000000000000004E-3</v>
      </c>
      <c r="AO66" s="1686">
        <f t="shared" si="48"/>
        <v>-0.10802739726027413</v>
      </c>
      <c r="AP66" s="1684">
        <f t="shared" si="104"/>
        <v>2.4047058823529404E-2</v>
      </c>
      <c r="AQ66" s="1685">
        <f t="shared" si="23"/>
        <v>2.4E-2</v>
      </c>
      <c r="AR66" s="1686">
        <f t="shared" si="49"/>
        <v>1.9569471624262722E-3</v>
      </c>
      <c r="AS66" s="1684" t="str">
        <f t="shared" si="105"/>
        <v>--</v>
      </c>
      <c r="AT66" s="1685">
        <f t="shared" si="26"/>
        <v>14</v>
      </c>
      <c r="AU66" s="1688" t="e">
        <f t="shared" si="50"/>
        <v>#VALUE!</v>
      </c>
      <c r="AV66" s="1685">
        <f t="shared" si="51"/>
        <v>2.4047058823529404E-2</v>
      </c>
      <c r="AW66" s="1685">
        <f t="shared" si="52"/>
        <v>2.4E-2</v>
      </c>
      <c r="AX66" s="1685">
        <f t="shared" si="106"/>
        <v>2.7E-2</v>
      </c>
      <c r="AY66" s="1686">
        <f t="shared" si="53"/>
        <v>-0.12279843444227041</v>
      </c>
      <c r="BA66" s="1756" t="str">
        <f t="shared" si="107"/>
        <v>*</v>
      </c>
      <c r="BB66" s="1685" t="str">
        <f t="shared" si="29"/>
        <v>V</v>
      </c>
      <c r="BC66" s="1685" t="str">
        <f t="shared" si="30"/>
        <v>--</v>
      </c>
      <c r="BE66" s="1684">
        <f t="shared" si="108"/>
        <v>8.7776254719476709E-3</v>
      </c>
      <c r="BF66" s="1685">
        <f t="shared" si="32"/>
        <v>8.8000000000000005E-3</v>
      </c>
      <c r="BG66" s="1686">
        <f t="shared" si="54"/>
        <v>-2.5490410958904758E-3</v>
      </c>
      <c r="BH66" s="1684">
        <f t="shared" si="109"/>
        <v>0.20054945054945059</v>
      </c>
      <c r="BI66" s="1685" t="str">
        <f t="shared" si="34"/>
        <v/>
      </c>
      <c r="BJ66" s="1688" t="str">
        <f t="shared" si="55"/>
        <v/>
      </c>
      <c r="BK66" s="1685">
        <f t="shared" si="56"/>
        <v>8.7776254719476709E-3</v>
      </c>
      <c r="BL66" s="1685">
        <f t="shared" si="57"/>
        <v>8.8000000000000005E-3</v>
      </c>
      <c r="BM66" s="1685">
        <f t="shared" si="120"/>
        <v>9.7999999999999997E-3</v>
      </c>
      <c r="BN66" s="1686">
        <f t="shared" si="58"/>
        <v>-0.11647506849315066</v>
      </c>
      <c r="BP66" s="1756" t="str">
        <f t="shared" si="59"/>
        <v>*</v>
      </c>
      <c r="BQ66" s="1685" t="str">
        <f t="shared" si="36"/>
        <v>--</v>
      </c>
    </row>
    <row r="67" spans="1:69" ht="15">
      <c r="A67" t="s">
        <v>205</v>
      </c>
      <c r="B67" t="s">
        <v>206</v>
      </c>
      <c r="C67" s="1684">
        <f t="shared" si="114"/>
        <v>1.192768743795942</v>
      </c>
      <c r="D67" s="1685" t="str">
        <f t="shared" si="110"/>
        <v/>
      </c>
      <c r="E67" s="1686" t="str">
        <f t="shared" si="62"/>
        <v/>
      </c>
      <c r="F67" s="1684">
        <f t="shared" si="115"/>
        <v>78.214285714285708</v>
      </c>
      <c r="G67" s="1685">
        <f t="shared" si="111"/>
        <v>29</v>
      </c>
      <c r="H67" s="1693">
        <f t="shared" si="38"/>
        <v>0.62922374429223737</v>
      </c>
      <c r="I67" s="1685">
        <f t="shared" si="4"/>
        <v>1.192768743795942</v>
      </c>
      <c r="J67" s="1685">
        <f t="shared" si="39"/>
        <v>29</v>
      </c>
      <c r="K67" s="1685">
        <f t="shared" si="116"/>
        <v>1.2</v>
      </c>
      <c r="L67" s="1686">
        <f t="shared" si="40"/>
        <v>-6.0625802291270252E-3</v>
      </c>
      <c r="M67" s="1684">
        <f t="shared" si="117"/>
        <v>5.1707413585609912</v>
      </c>
      <c r="N67" s="1685" t="str">
        <f t="shared" si="112"/>
        <v/>
      </c>
      <c r="O67" s="1686" t="str">
        <f t="shared" si="8"/>
        <v/>
      </c>
      <c r="P67" s="1684">
        <f t="shared" si="118"/>
        <v>1168</v>
      </c>
      <c r="Q67" s="1685">
        <f t="shared" si="113"/>
        <v>160</v>
      </c>
      <c r="R67" s="1693">
        <f t="shared" si="60"/>
        <v>0.86301369863013699</v>
      </c>
      <c r="S67" s="1685">
        <f t="shared" si="41"/>
        <v>5.1707413585609912</v>
      </c>
      <c r="T67" s="1685">
        <f t="shared" si="42"/>
        <v>160</v>
      </c>
      <c r="U67" s="1685">
        <f t="shared" si="119"/>
        <v>5.3</v>
      </c>
      <c r="V67" s="1686">
        <f t="shared" si="61"/>
        <v>-2.4998086826563133E-2</v>
      </c>
      <c r="W67" s="1756" t="str">
        <f t="shared" si="43"/>
        <v/>
      </c>
      <c r="X67" s="1685" t="str">
        <f t="shared" si="96"/>
        <v>Route RfC</v>
      </c>
      <c r="Z67" t="str">
        <f t="shared" si="97"/>
        <v>--</v>
      </c>
      <c r="AA67" t="str">
        <f t="shared" si="98"/>
        <v>--</v>
      </c>
      <c r="AB67" t="str">
        <f t="shared" si="99"/>
        <v>--</v>
      </c>
      <c r="AC67" t="str">
        <f t="shared" si="100"/>
        <v>--</v>
      </c>
      <c r="AF67" s="1684">
        <f t="shared" si="101"/>
        <v>0.1276223776223776</v>
      </c>
      <c r="AG67" s="1685" t="str">
        <f t="shared" si="18"/>
        <v/>
      </c>
      <c r="AH67" s="1686" t="str">
        <f t="shared" si="44"/>
        <v/>
      </c>
      <c r="AI67" s="1684" t="str">
        <f t="shared" si="102"/>
        <v>--</v>
      </c>
      <c r="AJ67" s="1685">
        <f t="shared" si="20"/>
        <v>29</v>
      </c>
      <c r="AK67" s="1688" t="e">
        <f t="shared" si="45"/>
        <v>#VALUE!</v>
      </c>
      <c r="AL67" s="1685">
        <f t="shared" si="46"/>
        <v>0.1276223776223776</v>
      </c>
      <c r="AM67" s="1685">
        <f t="shared" si="47"/>
        <v>29</v>
      </c>
      <c r="AN67" s="1685">
        <f t="shared" si="103"/>
        <v>0.13</v>
      </c>
      <c r="AO67" s="1686">
        <f t="shared" si="48"/>
        <v>-1.863013698630156E-2</v>
      </c>
      <c r="AP67" s="1684">
        <f t="shared" si="104"/>
        <v>0.55745454545454531</v>
      </c>
      <c r="AQ67" s="1685" t="str">
        <f t="shared" si="23"/>
        <v/>
      </c>
      <c r="AR67" s="1686" t="str">
        <f t="shared" si="49"/>
        <v/>
      </c>
      <c r="AS67" s="1684" t="str">
        <f t="shared" si="105"/>
        <v>--</v>
      </c>
      <c r="AT67" s="1685">
        <f t="shared" si="26"/>
        <v>18</v>
      </c>
      <c r="AU67" s="1688" t="e">
        <f t="shared" si="50"/>
        <v>#VALUE!</v>
      </c>
      <c r="AV67" s="1685">
        <f t="shared" si="51"/>
        <v>0.55745454545454531</v>
      </c>
      <c r="AW67" s="1685">
        <f t="shared" si="52"/>
        <v>18</v>
      </c>
      <c r="AX67" s="1685">
        <f t="shared" si="106"/>
        <v>0.56000000000000005</v>
      </c>
      <c r="AY67" s="1686">
        <f t="shared" si="53"/>
        <v>-4.5662100456624497E-3</v>
      </c>
      <c r="BA67" s="1756" t="str">
        <f t="shared" si="107"/>
        <v/>
      </c>
      <c r="BB67" s="1685" t="str">
        <f t="shared" si="29"/>
        <v>V</v>
      </c>
      <c r="BC67" s="1685" t="str">
        <f t="shared" si="30"/>
        <v>Route RfC</v>
      </c>
      <c r="BE67" s="1684">
        <f t="shared" si="108"/>
        <v>0.13869404115936773</v>
      </c>
      <c r="BF67" s="1685" t="str">
        <f t="shared" si="32"/>
        <v/>
      </c>
      <c r="BG67" s="1686" t="str">
        <f t="shared" si="54"/>
        <v/>
      </c>
      <c r="BH67" s="1684">
        <f t="shared" si="109"/>
        <v>6.4593311487380403</v>
      </c>
      <c r="BI67" s="1685">
        <f t="shared" si="34"/>
        <v>3.6</v>
      </c>
      <c r="BJ67" s="1688">
        <f t="shared" si="55"/>
        <v>0.44266675339855704</v>
      </c>
      <c r="BK67" s="1685">
        <f t="shared" si="56"/>
        <v>0.13869404115936773</v>
      </c>
      <c r="BL67" s="1685">
        <f t="shared" si="57"/>
        <v>3.6</v>
      </c>
      <c r="BM67" s="1685">
        <f t="shared" si="120"/>
        <v>0.14000000000000001</v>
      </c>
      <c r="BN67" s="1686">
        <f t="shared" si="58"/>
        <v>-9.4161135526482885E-3</v>
      </c>
      <c r="BP67" s="1756" t="str">
        <f t="shared" si="59"/>
        <v/>
      </c>
      <c r="BQ67" s="1685" t="str">
        <f t="shared" si="36"/>
        <v>Route RfC</v>
      </c>
    </row>
    <row r="68" spans="1:69">
      <c r="A68" t="s">
        <v>207</v>
      </c>
      <c r="B68" t="s">
        <v>208</v>
      </c>
      <c r="C68" s="1684">
        <f t="shared" si="114"/>
        <v>0.56807779525574476</v>
      </c>
      <c r="D68" s="1685" t="str">
        <f t="shared" si="110"/>
        <v/>
      </c>
      <c r="E68" s="1686" t="str">
        <f t="shared" si="62"/>
        <v/>
      </c>
      <c r="F68" s="1684">
        <f t="shared" si="115"/>
        <v>5.7147032268502325E-2</v>
      </c>
      <c r="G68" s="1685" t="str">
        <f t="shared" si="111"/>
        <v/>
      </c>
      <c r="H68" s="1688" t="str">
        <f t="shared" si="38"/>
        <v/>
      </c>
      <c r="I68" s="1685">
        <f t="shared" si="4"/>
        <v>5.7147032268502325E-2</v>
      </c>
      <c r="J68" s="1685" t="str">
        <f t="shared" si="39"/>
        <v/>
      </c>
      <c r="K68" s="1685">
        <f t="shared" si="116"/>
        <v>5.7000000000000002E-2</v>
      </c>
      <c r="L68" s="1686">
        <f t="shared" si="40"/>
        <v>2.5728767123286383E-3</v>
      </c>
      <c r="M68" s="1684">
        <f t="shared" si="117"/>
        <v>2.5425131136289387</v>
      </c>
      <c r="N68" s="1685" t="str">
        <f t="shared" si="112"/>
        <v/>
      </c>
      <c r="O68" s="1686" t="str">
        <f t="shared" si="8"/>
        <v/>
      </c>
      <c r="P68" s="1684">
        <f t="shared" si="118"/>
        <v>0.79911331262571672</v>
      </c>
      <c r="Q68" s="1685" t="str">
        <f t="shared" si="113"/>
        <v/>
      </c>
      <c r="R68" s="1688" t="str">
        <f t="shared" si="60"/>
        <v/>
      </c>
      <c r="S68" s="1685">
        <f t="shared" si="41"/>
        <v>0.79911331262571672</v>
      </c>
      <c r="T68" s="1685" t="str">
        <f t="shared" si="42"/>
        <v/>
      </c>
      <c r="U68" s="1685">
        <f t="shared" si="119"/>
        <v>0.8</v>
      </c>
      <c r="V68" s="1686">
        <f t="shared" si="61"/>
        <v>-1.109589041095883E-3</v>
      </c>
      <c r="W68" s="1756" t="str">
        <f t="shared" si="43"/>
        <v/>
      </c>
      <c r="X68" s="1685" t="str">
        <f t="shared" si="96"/>
        <v>--</v>
      </c>
      <c r="Z68" t="str">
        <f t="shared" si="97"/>
        <v>--</v>
      </c>
      <c r="AA68" t="str">
        <f t="shared" si="98"/>
        <v>--</v>
      </c>
      <c r="AB68" t="str">
        <f t="shared" si="99"/>
        <v>--</v>
      </c>
      <c r="AC68" t="str">
        <f t="shared" si="100"/>
        <v>--</v>
      </c>
      <c r="AF68" s="1684" t="str">
        <f t="shared" si="101"/>
        <v>--</v>
      </c>
      <c r="AG68" s="1685" t="str">
        <f t="shared" si="18"/>
        <v/>
      </c>
      <c r="AH68" s="1686" t="str">
        <f t="shared" si="44"/>
        <v/>
      </c>
      <c r="AI68" s="1684" t="str">
        <f t="shared" si="102"/>
        <v>--</v>
      </c>
      <c r="AJ68" s="1685" t="str">
        <f t="shared" si="20"/>
        <v/>
      </c>
      <c r="AK68" s="1688" t="str">
        <f t="shared" si="45"/>
        <v/>
      </c>
      <c r="AL68" s="1685">
        <f t="shared" si="46"/>
        <v>0</v>
      </c>
      <c r="AM68" s="1685" t="str">
        <f t="shared" si="47"/>
        <v/>
      </c>
      <c r="AN68" s="1685">
        <f t="shared" si="103"/>
        <v>9.1000000000000004E-3</v>
      </c>
      <c r="AO68" s="1686" t="e">
        <f t="shared" si="48"/>
        <v>#DIV/0!</v>
      </c>
      <c r="AP68" s="1684" t="str">
        <f t="shared" si="104"/>
        <v>--</v>
      </c>
      <c r="AQ68" s="1685" t="str">
        <f t="shared" si="23"/>
        <v/>
      </c>
      <c r="AR68" s="1686" t="str">
        <f t="shared" si="49"/>
        <v/>
      </c>
      <c r="AS68" s="1684" t="str">
        <f t="shared" si="105"/>
        <v>--</v>
      </c>
      <c r="AT68" s="1685" t="str">
        <f t="shared" si="26"/>
        <v/>
      </c>
      <c r="AU68" s="1688" t="str">
        <f t="shared" si="50"/>
        <v/>
      </c>
      <c r="AV68" s="1685">
        <f t="shared" si="51"/>
        <v>0</v>
      </c>
      <c r="AW68" s="1685" t="str">
        <f t="shared" si="52"/>
        <v/>
      </c>
      <c r="AX68" s="1685">
        <f t="shared" si="106"/>
        <v>0.04</v>
      </c>
      <c r="AY68" s="1686" t="e">
        <f t="shared" si="53"/>
        <v>#DIV/0!</v>
      </c>
      <c r="BA68" s="1756" t="str">
        <f t="shared" si="107"/>
        <v/>
      </c>
      <c r="BB68" s="1685" t="str">
        <f t="shared" si="29"/>
        <v>--</v>
      </c>
      <c r="BC68" s="1685" t="str">
        <f t="shared" si="30"/>
        <v>--</v>
      </c>
      <c r="BE68" s="1684">
        <f t="shared" si="108"/>
        <v>4.1503292426404596E-2</v>
      </c>
      <c r="BF68" s="1685" t="str">
        <f t="shared" si="32"/>
        <v/>
      </c>
      <c r="BG68" s="1686" t="str">
        <f t="shared" si="54"/>
        <v/>
      </c>
      <c r="BH68" s="1684">
        <f t="shared" si="109"/>
        <v>9.7247023426446713E-3</v>
      </c>
      <c r="BI68" s="1685" t="str">
        <f t="shared" si="34"/>
        <v/>
      </c>
      <c r="BJ68" s="1688" t="str">
        <f t="shared" si="55"/>
        <v/>
      </c>
      <c r="BK68" s="1685">
        <f t="shared" si="56"/>
        <v>9.7247023426446713E-3</v>
      </c>
      <c r="BL68" s="1685" t="str">
        <f t="shared" si="57"/>
        <v/>
      </c>
      <c r="BM68" s="1685">
        <f t="shared" si="120"/>
        <v>9.7000000000000003E-3</v>
      </c>
      <c r="BN68" s="1686">
        <f t="shared" si="58"/>
        <v>2.5401643951966069E-3</v>
      </c>
      <c r="BP68" s="1756" t="str">
        <f t="shared" si="59"/>
        <v/>
      </c>
      <c r="BQ68" s="1685" t="str">
        <f t="shared" si="36"/>
        <v>--</v>
      </c>
    </row>
    <row r="69" spans="1:69">
      <c r="A69" t="s">
        <v>209</v>
      </c>
      <c r="B69" t="s">
        <v>210</v>
      </c>
      <c r="C69" s="1684">
        <f t="shared" si="114"/>
        <v>1.8288729212574506</v>
      </c>
      <c r="D69" s="1685" t="str">
        <f t="shared" si="110"/>
        <v/>
      </c>
      <c r="E69" s="1686" t="str">
        <f t="shared" si="62"/>
        <v/>
      </c>
      <c r="F69" s="1684">
        <f t="shared" si="115"/>
        <v>44.930905980089442</v>
      </c>
      <c r="G69" s="1685" t="str">
        <f t="shared" si="111"/>
        <v/>
      </c>
      <c r="H69" s="1688" t="str">
        <f t="shared" si="38"/>
        <v/>
      </c>
      <c r="I69" s="1685">
        <f t="shared" si="4"/>
        <v>1.8288729212574506</v>
      </c>
      <c r="J69" s="1685" t="str">
        <f t="shared" si="39"/>
        <v/>
      </c>
      <c r="K69" s="1685">
        <f t="shared" si="116"/>
        <v>1.8</v>
      </c>
      <c r="L69" s="1686">
        <f t="shared" si="40"/>
        <v>1.5787275825374918E-2</v>
      </c>
      <c r="M69" s="1684">
        <f t="shared" si="117"/>
        <v>7.9078250019153149</v>
      </c>
      <c r="N69" s="1685" t="str">
        <f t="shared" si="112"/>
        <v/>
      </c>
      <c r="O69" s="1686" t="str">
        <f t="shared" si="8"/>
        <v/>
      </c>
      <c r="P69" s="1684">
        <f t="shared" si="118"/>
        <v>456.14545798443783</v>
      </c>
      <c r="Q69" s="1685" t="str">
        <f t="shared" si="113"/>
        <v/>
      </c>
      <c r="R69" s="1688" t="str">
        <f t="shared" si="60"/>
        <v/>
      </c>
      <c r="S69" s="1685">
        <f t="shared" si="41"/>
        <v>7.9078250019153149</v>
      </c>
      <c r="T69" s="1685" t="str">
        <f t="shared" si="42"/>
        <v/>
      </c>
      <c r="U69" s="1685">
        <f t="shared" si="119"/>
        <v>8</v>
      </c>
      <c r="V69" s="1686">
        <f t="shared" si="61"/>
        <v>-1.1656175757855018E-2</v>
      </c>
      <c r="W69" s="1756" t="str">
        <f t="shared" si="43"/>
        <v/>
      </c>
      <c r="X69" s="1685" t="str">
        <f t="shared" si="96"/>
        <v>--</v>
      </c>
      <c r="Z69" t="str">
        <f t="shared" si="97"/>
        <v>--</v>
      </c>
      <c r="AA69" t="str">
        <f t="shared" si="98"/>
        <v>--</v>
      </c>
      <c r="AB69" t="str">
        <f t="shared" si="99"/>
        <v>--</v>
      </c>
      <c r="AC69" t="str">
        <f t="shared" si="100"/>
        <v>--</v>
      </c>
      <c r="AF69" s="1684">
        <f t="shared" si="101"/>
        <v>0.25524475524475521</v>
      </c>
      <c r="AG69" s="1685" t="str">
        <f t="shared" si="18"/>
        <v/>
      </c>
      <c r="AH69" s="1686" t="str">
        <f t="shared" si="44"/>
        <v/>
      </c>
      <c r="AI69" s="1684">
        <f t="shared" si="102"/>
        <v>31.285714285714285</v>
      </c>
      <c r="AJ69" s="1685" t="str">
        <f t="shared" si="20"/>
        <v/>
      </c>
      <c r="AK69" s="1688" t="str">
        <f t="shared" si="45"/>
        <v/>
      </c>
      <c r="AL69" s="1685">
        <f t="shared" si="46"/>
        <v>0.25524475524475521</v>
      </c>
      <c r="AM69" s="1685" t="str">
        <f t="shared" si="47"/>
        <v/>
      </c>
      <c r="AN69" s="1685">
        <f t="shared" si="103"/>
        <v>0.26</v>
      </c>
      <c r="AO69" s="1686">
        <f t="shared" si="48"/>
        <v>-1.863013698630156E-2</v>
      </c>
      <c r="AP69" s="1684">
        <f t="shared" si="104"/>
        <v>1.1149090909090906</v>
      </c>
      <c r="AQ69" s="1685" t="str">
        <f t="shared" si="23"/>
        <v/>
      </c>
      <c r="AR69" s="1686" t="str">
        <f t="shared" si="49"/>
        <v/>
      </c>
      <c r="AS69" s="1684">
        <f t="shared" si="105"/>
        <v>131.39999999999998</v>
      </c>
      <c r="AT69" s="1685" t="str">
        <f t="shared" si="26"/>
        <v/>
      </c>
      <c r="AU69" s="1688" t="str">
        <f t="shared" si="50"/>
        <v/>
      </c>
      <c r="AV69" s="1685">
        <f t="shared" si="51"/>
        <v>1.1149090909090906</v>
      </c>
      <c r="AW69" s="1685" t="str">
        <f t="shared" si="52"/>
        <v/>
      </c>
      <c r="AX69" s="1685">
        <f t="shared" si="106"/>
        <v>1.1000000000000001</v>
      </c>
      <c r="AY69" s="1686">
        <f t="shared" si="53"/>
        <v>1.3372472276581537E-2</v>
      </c>
      <c r="BA69" s="1756" t="str">
        <f t="shared" si="107"/>
        <v/>
      </c>
      <c r="BB69" s="1685" t="str">
        <f t="shared" si="29"/>
        <v>V</v>
      </c>
      <c r="BC69" s="1685" t="str">
        <f t="shared" si="30"/>
        <v>--</v>
      </c>
      <c r="BE69" s="1684">
        <f t="shared" si="108"/>
        <v>0.32838246315927444</v>
      </c>
      <c r="BF69" s="1685" t="str">
        <f t="shared" si="32"/>
        <v/>
      </c>
      <c r="BG69" s="1686" t="str">
        <f t="shared" si="54"/>
        <v/>
      </c>
      <c r="BH69" s="1684">
        <f t="shared" si="109"/>
        <v>6.2374795144245558</v>
      </c>
      <c r="BI69" s="1685" t="str">
        <f t="shared" si="34"/>
        <v/>
      </c>
      <c r="BJ69" s="1688" t="str">
        <f t="shared" si="55"/>
        <v/>
      </c>
      <c r="BK69" s="1685">
        <f t="shared" si="56"/>
        <v>0.32838246315927444</v>
      </c>
      <c r="BL69" s="1685" t="str">
        <f t="shared" si="57"/>
        <v/>
      </c>
      <c r="BM69" s="1685">
        <f t="shared" si="120"/>
        <v>0.33</v>
      </c>
      <c r="BN69" s="1686">
        <f t="shared" si="58"/>
        <v>-4.9257710815727267E-3</v>
      </c>
      <c r="BP69" s="1756" t="str">
        <f t="shared" si="59"/>
        <v/>
      </c>
      <c r="BQ69" s="1685" t="str">
        <f t="shared" si="36"/>
        <v>--</v>
      </c>
    </row>
    <row r="70" spans="1:69">
      <c r="A70" t="s">
        <v>211</v>
      </c>
      <c r="B70" t="s">
        <v>212</v>
      </c>
      <c r="C70" s="1684" t="str">
        <f t="shared" si="114"/>
        <v>--</v>
      </c>
      <c r="D70" s="1685" t="str">
        <f t="shared" si="110"/>
        <v>--</v>
      </c>
      <c r="E70" s="1686" t="str">
        <f t="shared" si="62"/>
        <v/>
      </c>
      <c r="F70" s="1684">
        <f t="shared" si="115"/>
        <v>80</v>
      </c>
      <c r="G70" s="1685">
        <f t="shared" si="111"/>
        <v>80</v>
      </c>
      <c r="H70" s="1688" t="str">
        <f t="shared" si="38"/>
        <v/>
      </c>
      <c r="I70" s="1685">
        <f t="shared" ref="I70:I138" si="121">MIN(F70,C70)</f>
        <v>80</v>
      </c>
      <c r="J70" s="1685">
        <f t="shared" ref="J70:J138" si="122">IF(AND(D70="",G70=""),"",MIN(G70,D70))</f>
        <v>80</v>
      </c>
      <c r="K70" s="1685">
        <f t="shared" si="116"/>
        <v>200</v>
      </c>
      <c r="L70" s="1686">
        <f t="shared" si="40"/>
        <v>-1.5</v>
      </c>
      <c r="M70" s="1684" t="str">
        <f t="shared" si="117"/>
        <v>--</v>
      </c>
      <c r="N70" s="1685" t="str">
        <f t="shared" si="112"/>
        <v>--</v>
      </c>
      <c r="O70" s="1686" t="str">
        <f t="shared" ref="O70:O139" si="123">IF(N70="","",IF(M70=N70,"",(M70-N70)/M70))</f>
        <v/>
      </c>
      <c r="P70" s="1684">
        <f t="shared" si="118"/>
        <v>499</v>
      </c>
      <c r="Q70" s="1685">
        <f t="shared" si="113"/>
        <v>500</v>
      </c>
      <c r="R70" s="1688">
        <f t="shared" si="60"/>
        <v>-2.004008016032064E-3</v>
      </c>
      <c r="S70" s="1685">
        <f t="shared" si="41"/>
        <v>499</v>
      </c>
      <c r="T70" s="1685">
        <f t="shared" si="42"/>
        <v>500</v>
      </c>
      <c r="U70" s="1685">
        <f t="shared" si="119"/>
        <v>800</v>
      </c>
      <c r="V70" s="1686">
        <f t="shared" si="61"/>
        <v>-0.60320641282565135</v>
      </c>
      <c r="W70" s="1756" t="str">
        <f t="shared" si="43"/>
        <v/>
      </c>
      <c r="X70" s="1685" t="str">
        <f t="shared" ref="X70:X106" si="124">VLOOKUP($B70,Table_N10,MATCH("r",Heading_N10,0),FALSE)</f>
        <v>--</v>
      </c>
      <c r="Z70" t="str">
        <f t="shared" ref="Z70:Z106" si="125">VLOOKUP($A70,Table_RSL_C,MATCH("sfo-c",Heading_RSL_C,0),FALSE)</f>
        <v>--</v>
      </c>
      <c r="AA70" t="str">
        <f t="shared" ref="AA70:AA106" si="126">VLOOKUP($A70,Table_RSL_C,MATCH("IUR-c",Heading_RSL_C,0),FALSE)</f>
        <v>--</v>
      </c>
      <c r="AB70" t="str">
        <f t="shared" ref="AB70:AB106" si="127">VLOOKUP($A70,Table_RSL_C,MATCH("rfdo-c",Heading_RSL_C,0),FALSE)</f>
        <v>--</v>
      </c>
      <c r="AC70" t="str">
        <f t="shared" ref="AC70:AC106" si="128">VLOOKUP($A70,Table_RSL_C,MATCH("rfc-c",Heading_RSL_C,0),FALSE)</f>
        <v>--</v>
      </c>
      <c r="AF70" s="1684" t="str">
        <f t="shared" ref="AF70:AF106" si="129">VLOOKUP($A70,Table_V_Summary,MATCH("IA-Res-C",heading_V_Summary,0),FALSE)</f>
        <v>--</v>
      </c>
      <c r="AG70" s="1685" t="str">
        <f t="shared" ref="AG70:AG138" si="130">IF(VLOOKUP($A70,Table_N3,MATCH("A-Res-C",Heading_N3,0),FALSE)=0,"",VLOOKUP($A70,Table_N3,MATCH("a-Res-C",Heading_N3,0),FALSE))</f>
        <v/>
      </c>
      <c r="AH70" s="1686" t="str">
        <f t="shared" si="44"/>
        <v/>
      </c>
      <c r="AI70" s="1684" t="str">
        <f t="shared" ref="AI70:AI101" si="131">VLOOKUP($A70,Table_V_Summary,MATCH("IA-Res-nC",heading_V_Summary,0),FALSE)</f>
        <v>--</v>
      </c>
      <c r="AJ70" s="1685" t="str">
        <f t="shared" ref="AJ70:AJ138" si="132">IF(VLOOKUP($A70,Table_N3,MATCH("a-Res-nC",Heading_N3,0),FALSE)=0,"",VLOOKUP($A70,Table_N3,MATCH("S-Res-nC",Heading_N3,0),FALSE))</f>
        <v/>
      </c>
      <c r="AK70" s="1688" t="str">
        <f t="shared" si="45"/>
        <v/>
      </c>
      <c r="AL70" s="1685">
        <f t="shared" si="46"/>
        <v>0</v>
      </c>
      <c r="AM70" s="1685" t="str">
        <f t="shared" si="47"/>
        <v/>
      </c>
      <c r="AN70" s="1685">
        <f t="shared" ref="AN70:AN106" si="133">IF(VLOOKUP($B70,Table_RSL_SL,MATCH("Res-a",Heading_RSL_SL,0),FALSE)=0,"--",VLOOKUP($B70,Table_RSL_SL,MATCH("Res-a",Heading_RSL_SL,0),FALSE))</f>
        <v>0.15</v>
      </c>
      <c r="AO70" s="1686" t="e">
        <f t="shared" si="48"/>
        <v>#DIV/0!</v>
      </c>
      <c r="AP70" s="1684" t="str">
        <f t="shared" ref="AP70:AP106" si="134">VLOOKUP($A70,Table_V_Summary,MATCH("ia-com-C",heading_V_Summary,0),FALSE)</f>
        <v>--</v>
      </c>
      <c r="AQ70" s="1685" t="str">
        <f t="shared" ref="AQ70:AQ138" si="135">IF(VLOOKUP($A70,Table_N3,MATCH("a-com-C",Heading_N3,0),FALSE)=0,"",VLOOKUP($A70,Table_N3,MATCH("a-com-C",Heading_N3,0),FALSE))</f>
        <v/>
      </c>
      <c r="AR70" s="1686" t="str">
        <f t="shared" si="49"/>
        <v/>
      </c>
      <c r="AS70" s="1684" t="str">
        <f t="shared" ref="AS70:AS101" si="136">VLOOKUP($A70,Table_V_Summary,MATCH("IA-com-NC",heading_V_Summary,0),FALSE)</f>
        <v>--</v>
      </c>
      <c r="AT70" s="1685" t="str">
        <f t="shared" ref="AT70:AT138" si="137">IF(VLOOKUP($A70,Table_N3,MATCH("a-com-nC",Heading_N3,0),FALSE)=0,"",VLOOKUP($A70,Table_N3,MATCH("a-com-nC",Heading_N3,0),FALSE))</f>
        <v/>
      </c>
      <c r="AU70" s="1688" t="str">
        <f t="shared" si="50"/>
        <v/>
      </c>
      <c r="AV70" s="1685">
        <f t="shared" si="51"/>
        <v>0</v>
      </c>
      <c r="AW70" s="1685" t="str">
        <f t="shared" si="52"/>
        <v/>
      </c>
      <c r="AX70" s="1685" t="str">
        <f t="shared" ref="AX70:AX106" si="138">IF(VLOOKUP($B70,Table_RSL_SL,MATCH("Com-a",Heading_RSL_SL,0),FALSE)=0,"--",VLOOKUP($B70,Table_RSL_SL,MATCH("Com-a",Heading_RSL_SL,0),FALSE))</f>
        <v>--</v>
      </c>
      <c r="AY70" s="1686" t="str">
        <f t="shared" si="53"/>
        <v>N</v>
      </c>
      <c r="BA70" s="1756" t="str">
        <f t="shared" ref="BA70:BA101" si="139">IF(OR(Z70&lt;&gt;"--", AA70&lt;&gt;"--",AB70&lt;&gt;"--",AC70&lt;&gt;"--"),"*","")</f>
        <v/>
      </c>
      <c r="BB70" s="1685" t="str">
        <f t="shared" ref="BB70:BB138" si="140">IF(VLOOKUP($B70,Table_RSL,MATCH("V",Heading_RSL,0),FALSE)=0,"--",VLOOKUP($B70,Table_RSL,MATCH("V",Heading_RSL,0),FALSE))</f>
        <v>--</v>
      </c>
      <c r="BC70" s="1685" t="str">
        <f t="shared" ref="BC70:BC138" si="141">VLOOKUP($B70,Table_N10,MATCH("r",Heading_N10,0),FALSE)</f>
        <v>--</v>
      </c>
      <c r="BE70" s="1684" t="str">
        <f t="shared" ref="BE70:BE106" si="142">VLOOKUP($A70,Table_W_1,MATCH("W-C",heading_W_1,0),FALSE)</f>
        <v>--</v>
      </c>
      <c r="BF70" s="1685" t="str">
        <f t="shared" ref="BF70:BF138" si="143">IF(VLOOKUP($A70,Table_N3,MATCH("W-C",Heading_N3,0),FALSE)=0,"",VLOOKUP($A70,Table_N3,MATCH("W-C",Heading_N3,0),FALSE))</f>
        <v/>
      </c>
      <c r="BG70" s="1686" t="str">
        <f t="shared" si="54"/>
        <v/>
      </c>
      <c r="BH70" s="1684" t="str">
        <f t="shared" ref="BH70:BH106" si="144">VLOOKUP($A70,Table_W_1,MATCH("W-NC",heading_W_1,0),FALSE)</f>
        <v>--</v>
      </c>
      <c r="BI70" s="1685" t="str">
        <f t="shared" ref="BI70:BI138" si="145">IF(VLOOKUP($A70,Table_N3,MATCH("W-NC",Heading_N3,0),FALSE)=0,"",VLOOKUP($A70,Table_N3,MATCH("W-NC",Heading_N3,0),FALSE))</f>
        <v/>
      </c>
      <c r="BJ70" s="1688" t="str">
        <f t="shared" si="55"/>
        <v/>
      </c>
      <c r="BK70" s="1685">
        <f t="shared" si="56"/>
        <v>0</v>
      </c>
      <c r="BL70" s="1685" t="str">
        <f t="shared" si="57"/>
        <v/>
      </c>
      <c r="BM70" s="1685">
        <f t="shared" si="120"/>
        <v>10</v>
      </c>
      <c r="BN70" s="1686" t="e">
        <f t="shared" si="58"/>
        <v>#DIV/0!</v>
      </c>
      <c r="BP70" s="1756" t="str">
        <f t="shared" si="59"/>
        <v/>
      </c>
      <c r="BQ70" s="1685" t="str">
        <f t="shared" ref="BQ70:BQ138" si="146">VLOOKUP($B70,Table_N10,MATCH("r",Heading_N10,0),FALSE)</f>
        <v>--</v>
      </c>
    </row>
    <row r="71" spans="1:69">
      <c r="A71" t="s">
        <v>213</v>
      </c>
      <c r="B71" t="s">
        <v>214</v>
      </c>
      <c r="C71" s="1684" t="str">
        <f t="shared" si="114"/>
        <v>--</v>
      </c>
      <c r="D71" s="1685" t="str">
        <f t="shared" ref="D71:D107" si="147">IF(VLOOKUP($A71,Table_N3,MATCH("S-Res-C",Heading_N3,0),FALSE)=0,"",VLOOKUP($A71,Table_N3,MATCH("S-Res-C",Heading_N3,0),FALSE))</f>
        <v>--</v>
      </c>
      <c r="E71" s="1686" t="str">
        <f t="shared" si="62"/>
        <v/>
      </c>
      <c r="F71" s="1684">
        <f t="shared" si="115"/>
        <v>0.67343406898547586</v>
      </c>
      <c r="G71" s="1685">
        <f t="shared" ref="G71:G107" si="148">IF(VLOOKUP($A71,Table_N3,MATCH("S-Res-nC",Heading_N3,0),FALSE)=0,"",VLOOKUP($A71,Table_N3,MATCH("S-Res-nC",Heading_N3,0),FALSE))</f>
        <v>1</v>
      </c>
      <c r="H71" s="1688">
        <f t="shared" si="38"/>
        <v>-0.4849263588735474</v>
      </c>
      <c r="I71" s="1691">
        <f t="shared" si="121"/>
        <v>0.67343406898547586</v>
      </c>
      <c r="J71" s="1691">
        <f t="shared" ref="J71" si="149">IF(AND(D71="",G71=""),"",MIN(G71,D71))</f>
        <v>1</v>
      </c>
      <c r="K71" s="1691">
        <f t="shared" si="116"/>
        <v>7.1</v>
      </c>
      <c r="L71" s="1686">
        <f t="shared" ref="L71:L139" si="150">IF(AND(I71="--",K71="--"),"--",IF(AND(I71="--",K71&lt;&gt;"--"),"R",IF(AND(K71="--",I71&lt;&gt;"--"),"N",IF((I71-K71)=0,"--",(I71-K71)/I71))))</f>
        <v>-9.542977148002187</v>
      </c>
      <c r="M71" s="1684" t="str">
        <f t="shared" si="117"/>
        <v>--</v>
      </c>
      <c r="N71" s="1685" t="str">
        <f t="shared" ref="N71:N107" si="151">IF(VLOOKUP($A71,Table_N3,MATCH("S-com-C",Heading_N3,0),FALSE)=0,"",VLOOKUP($A71,Table_N3,MATCH("S-com-C",Heading_N3,0),FALSE))</f>
        <v>--</v>
      </c>
      <c r="O71" s="1686" t="str">
        <f t="shared" si="123"/>
        <v/>
      </c>
      <c r="P71" s="1684">
        <f t="shared" si="118"/>
        <v>2.8859704305571778</v>
      </c>
      <c r="Q71" s="1685">
        <f t="shared" ref="Q71:Q107" si="152">IF(VLOOKUP($A71,Table_N3,MATCH("S-com-nC",Heading_N3,0),FALSE)=0,"",VLOOKUP($A71,Table_N3,MATCH("S-com-nC",Heading_N3,0),FALSE))</f>
        <v>4.5</v>
      </c>
      <c r="R71" s="1688">
        <f t="shared" si="60"/>
        <v>-0.55926753522946204</v>
      </c>
      <c r="S71" s="1691">
        <f t="shared" ref="S71:S139" si="153">MIN(P71,M71)</f>
        <v>2.8859704305571778</v>
      </c>
      <c r="T71" s="1691">
        <f t="shared" si="42"/>
        <v>4.5</v>
      </c>
      <c r="U71" s="1691">
        <f t="shared" si="119"/>
        <v>30</v>
      </c>
      <c r="V71" s="1686">
        <f t="shared" si="61"/>
        <v>-9.3951169015297467</v>
      </c>
      <c r="W71" s="1756" t="str">
        <f t="shared" ref="W71:W139" si="154">IF(OR(Z71&lt;&gt;"--", AA71&lt;&gt;"--",AB71&lt;&gt;"--",AC71&lt;&gt;"--"),"*","")</f>
        <v>*</v>
      </c>
      <c r="X71" s="1685" t="str">
        <f t="shared" si="124"/>
        <v>--</v>
      </c>
      <c r="Y71" s="727" t="s">
        <v>4199</v>
      </c>
      <c r="Z71" t="str">
        <f t="shared" si="125"/>
        <v>--</v>
      </c>
      <c r="AA71" t="str">
        <f t="shared" si="126"/>
        <v>--</v>
      </c>
      <c r="AB71" t="str">
        <f t="shared" si="127"/>
        <v>x</v>
      </c>
      <c r="AC71" t="str">
        <f t="shared" si="128"/>
        <v>x</v>
      </c>
      <c r="AF71" s="1684" t="str">
        <f t="shared" si="129"/>
        <v>--</v>
      </c>
      <c r="AG71" s="1685" t="str">
        <f t="shared" si="130"/>
        <v>--</v>
      </c>
      <c r="AH71" s="1686" t="str">
        <f t="shared" ref="AH71:AH139" si="155">IF(AG71="","",IF(AF71=AG71,"",(AF71-AG71)/AF71))</f>
        <v/>
      </c>
      <c r="AI71" s="1684">
        <f t="shared" si="131"/>
        <v>3.1285714285714285E-2</v>
      </c>
      <c r="AJ71" s="1685">
        <f t="shared" si="132"/>
        <v>1</v>
      </c>
      <c r="AK71" s="1688">
        <f t="shared" ref="AK71:AK139" si="156">IF(AJ71="","",IF(AI71=AJ71,"",(AI71-AJ71)/AI71))</f>
        <v>-30.963470319634705</v>
      </c>
      <c r="AL71" s="1685">
        <f t="shared" ref="AL71:AL139" si="157">MIN(AI71,AF71)</f>
        <v>3.1285714285714285E-2</v>
      </c>
      <c r="AM71" s="1685">
        <f t="shared" ref="AM71:AM139" si="158">IF(AND(AG71="",AJ71=""),"",MIN(AJ71,AG71))</f>
        <v>1</v>
      </c>
      <c r="AN71" s="1685">
        <f t="shared" si="133"/>
        <v>0.31</v>
      </c>
      <c r="AO71" s="1686">
        <f t="shared" ref="AO71:AO139" si="159">IF(AND(AL71="--",AN71="--"),"--",IF(AND(AL71="--",AN71&lt;&gt;"--"),"R",IF(AND(AN71="--",AL71&lt;&gt;"--"),"N",IF((AL71-AN71)=0,"--",(AL71-AN71)/AL71))))</f>
        <v>-8.9086757990867582</v>
      </c>
      <c r="AP71" s="1684" t="str">
        <f t="shared" si="134"/>
        <v>--</v>
      </c>
      <c r="AQ71" s="1685" t="str">
        <f t="shared" si="135"/>
        <v>--</v>
      </c>
      <c r="AR71" s="1686" t="str">
        <f t="shared" ref="AR71:AR139" si="160">IF(AQ71="","",IF(AP71=AQ71,"",(AP71-AQ71)/AP71))</f>
        <v/>
      </c>
      <c r="AS71" s="1684">
        <f t="shared" si="136"/>
        <v>0.13139999999999999</v>
      </c>
      <c r="AT71" s="1685">
        <f t="shared" si="137"/>
        <v>0.13</v>
      </c>
      <c r="AU71" s="1688">
        <f t="shared" ref="AU71:AU139" si="161">IF(AT71="","",IF(AS71=AT71,"",(AS71-AT71)/AS71))</f>
        <v>1.0654490106544784E-2</v>
      </c>
      <c r="AV71" s="1685">
        <f t="shared" ref="AV71:AV139" si="162">MIN(AS71,AP71)</f>
        <v>0.13139999999999999</v>
      </c>
      <c r="AW71" s="1685">
        <f t="shared" ref="AW71:AW139" si="163">IF(AND(AQ71="",AT71=""),"",MIN(AT71,AQ71))</f>
        <v>0.13</v>
      </c>
      <c r="AX71" s="1685">
        <f t="shared" si="138"/>
        <v>1.3</v>
      </c>
      <c r="AY71" s="1686">
        <f t="shared" ref="AY71:AY139" si="164">IF(AND(AV71="--",AX71="--"),"--",IF(AND(AV71="--",AX71&lt;&gt;"--"),"R",IF(AND(AX71="--",AV71&lt;&gt;"--"),"N",IF((AV71-AX71)=0,"--",(AV71-AX71)/AV71))))</f>
        <v>-8.8934550989345524</v>
      </c>
      <c r="BA71" s="1756" t="str">
        <f t="shared" si="139"/>
        <v>*</v>
      </c>
      <c r="BB71" s="1685" t="str">
        <f t="shared" si="140"/>
        <v>V</v>
      </c>
      <c r="BC71" s="1685" t="str">
        <f t="shared" si="141"/>
        <v>--</v>
      </c>
      <c r="BE71" s="1684" t="str">
        <f t="shared" si="142"/>
        <v>--</v>
      </c>
      <c r="BF71" s="1685" t="str">
        <f t="shared" si="143"/>
        <v>--</v>
      </c>
      <c r="BG71" s="1686" t="str">
        <f t="shared" ref="BG71:BG139" si="165">IF(BF71="","",IF(BE71=BF71,"",(BE71-BF71)/BE71))</f>
        <v/>
      </c>
      <c r="BH71" s="1684">
        <f t="shared" si="144"/>
        <v>6.1369450954322405E-2</v>
      </c>
      <c r="BI71" s="1685">
        <f t="shared" si="145"/>
        <v>6.0999999999999999E-2</v>
      </c>
      <c r="BJ71" s="1688">
        <f t="shared" ref="BJ71:BJ139" si="166">IF(BI71="","",IF(BH71=BI71,"",(BH71-BI71)/BH71))</f>
        <v>6.0201117751141429E-3</v>
      </c>
      <c r="BK71" s="1685">
        <f t="shared" ref="BK71:BK139" si="167">MIN(BH71,BE71)</f>
        <v>6.1369450954322405E-2</v>
      </c>
      <c r="BL71" s="1685">
        <f t="shared" ref="BL71:BL139" si="168">IF(AND(BF71="",BI71=""),"",MIN(BI71,BF71))</f>
        <v>6.0999999999999999E-2</v>
      </c>
      <c r="BM71" s="1685">
        <f t="shared" si="120"/>
        <v>0.63</v>
      </c>
      <c r="BN71" s="1686">
        <f t="shared" ref="BN71:BN139" si="169">IF(AND(BK71="--",BM71="--"),"--",IF(AND(BK71="--",BM71&lt;&gt;"--"),"R",IF(AND(BM71="--",BK71&lt;&gt;"--"),"N",IF((BK71-BM71)=0,"--",(BK71-BM71)/BK71))))</f>
        <v>-9.2656939275684937</v>
      </c>
      <c r="BP71" s="1756" t="str">
        <f t="shared" ref="BP71:BP139" si="170">IF(OR(Z71&lt;&gt;"--", AA71&lt;&gt;"--",AB71&lt;&gt;"--",AC71&lt;&gt;"--"),"*","")</f>
        <v>*</v>
      </c>
      <c r="BQ71" s="1685" t="str">
        <f t="shared" si="146"/>
        <v>--</v>
      </c>
    </row>
    <row r="72" spans="1:69" ht="15">
      <c r="A72" t="s">
        <v>215</v>
      </c>
      <c r="B72" t="s">
        <v>216</v>
      </c>
      <c r="C72" s="1684" t="str">
        <f t="shared" si="114"/>
        <v>--</v>
      </c>
      <c r="D72" s="1685" t="str">
        <f t="shared" si="147"/>
        <v>--</v>
      </c>
      <c r="E72" s="1686" t="str">
        <f t="shared" si="62"/>
        <v/>
      </c>
      <c r="F72" s="1684">
        <f t="shared" si="115"/>
        <v>316.06839777857317</v>
      </c>
      <c r="G72" s="1685" t="str">
        <f t="shared" si="148"/>
        <v/>
      </c>
      <c r="H72" s="1688" t="str">
        <f t="shared" ref="H72:H140" si="171">IF(G72="","",IF(F72=G72,"",(F72-G72)/F72))</f>
        <v/>
      </c>
      <c r="I72" s="1685">
        <f t="shared" si="121"/>
        <v>316.06839777857317</v>
      </c>
      <c r="J72" s="1685">
        <f t="shared" si="122"/>
        <v>0</v>
      </c>
      <c r="K72" s="1685">
        <f t="shared" si="116"/>
        <v>320</v>
      </c>
      <c r="L72" s="1686">
        <f t="shared" si="150"/>
        <v>-1.2439086757990834E-2</v>
      </c>
      <c r="M72" s="1684" t="str">
        <f t="shared" si="117"/>
        <v>--</v>
      </c>
      <c r="N72" s="1685" t="str">
        <f t="shared" si="151"/>
        <v>--</v>
      </c>
      <c r="O72" s="1686" t="str">
        <f t="shared" si="123"/>
        <v/>
      </c>
      <c r="P72" s="1684">
        <f t="shared" si="118"/>
        <v>4103.313566229167</v>
      </c>
      <c r="Q72" s="1685">
        <f t="shared" si="152"/>
        <v>3400</v>
      </c>
      <c r="R72" s="1693">
        <f t="shared" si="60"/>
        <v>0.17140136986301366</v>
      </c>
      <c r="S72" s="1685">
        <f t="shared" si="153"/>
        <v>4103.313566229167</v>
      </c>
      <c r="T72" s="1685">
        <f t="shared" si="42"/>
        <v>3400</v>
      </c>
      <c r="U72" s="1685">
        <f t="shared" si="119"/>
        <v>4100</v>
      </c>
      <c r="V72" s="1686">
        <f t="shared" ref="V72:V140" si="172">IF(AND(S72="--",U72="--"),"--",IF(AND(S72="--",U72&lt;&gt;"--"),"R",IF(AND(U72="--",S72&lt;&gt;"--"),"N",IF((S72-U72)=0,"--",(S72-U72)/S72))))</f>
        <v>8.0753424657528314E-4</v>
      </c>
      <c r="W72" s="1756" t="str">
        <f t="shared" si="154"/>
        <v/>
      </c>
      <c r="X72" s="1685" t="str">
        <f t="shared" si="124"/>
        <v>Route RfC</v>
      </c>
      <c r="Z72" t="str">
        <f t="shared" si="125"/>
        <v>--</v>
      </c>
      <c r="AA72" t="str">
        <f t="shared" si="126"/>
        <v>--</v>
      </c>
      <c r="AB72" t="str">
        <f t="shared" si="127"/>
        <v>--</v>
      </c>
      <c r="AC72" t="str">
        <f t="shared" si="128"/>
        <v>--</v>
      </c>
      <c r="AF72" s="1684" t="str">
        <f t="shared" si="129"/>
        <v>--</v>
      </c>
      <c r="AG72" s="1685" t="str">
        <f t="shared" si="130"/>
        <v>--</v>
      </c>
      <c r="AH72" s="1686" t="str">
        <f t="shared" si="155"/>
        <v/>
      </c>
      <c r="AI72" s="1684" t="str">
        <f t="shared" si="131"/>
        <v>--</v>
      </c>
      <c r="AJ72" s="1685">
        <f t="shared" si="132"/>
        <v>0</v>
      </c>
      <c r="AK72" s="1688" t="e">
        <f t="shared" si="156"/>
        <v>#VALUE!</v>
      </c>
      <c r="AL72" s="1685">
        <f t="shared" si="157"/>
        <v>0</v>
      </c>
      <c r="AM72" s="1685">
        <f t="shared" si="158"/>
        <v>0</v>
      </c>
      <c r="AN72" s="1685" t="str">
        <f t="shared" si="133"/>
        <v>--</v>
      </c>
      <c r="AO72" s="1686" t="str">
        <f t="shared" si="159"/>
        <v>N</v>
      </c>
      <c r="AP72" s="1684" t="str">
        <f t="shared" si="134"/>
        <v>--</v>
      </c>
      <c r="AQ72" s="1685" t="str">
        <f t="shared" si="135"/>
        <v>--</v>
      </c>
      <c r="AR72" s="1686" t="str">
        <f t="shared" si="160"/>
        <v/>
      </c>
      <c r="AS72" s="1684" t="str">
        <f t="shared" si="136"/>
        <v>--</v>
      </c>
      <c r="AT72" s="1685">
        <f t="shared" si="137"/>
        <v>88</v>
      </c>
      <c r="AU72" s="1688" t="e">
        <f t="shared" si="161"/>
        <v>#VALUE!</v>
      </c>
      <c r="AV72" s="1685">
        <f t="shared" si="162"/>
        <v>0</v>
      </c>
      <c r="AW72" s="1685">
        <f t="shared" si="163"/>
        <v>88</v>
      </c>
      <c r="AX72" s="1685" t="str">
        <f t="shared" si="138"/>
        <v>--</v>
      </c>
      <c r="AY72" s="1686" t="str">
        <f t="shared" si="164"/>
        <v>N</v>
      </c>
      <c r="BA72" s="1756" t="str">
        <f t="shared" si="139"/>
        <v/>
      </c>
      <c r="BB72" s="1685" t="str">
        <f t="shared" si="140"/>
        <v>--</v>
      </c>
      <c r="BC72" s="1685" t="str">
        <f t="shared" si="141"/>
        <v>Route RfC</v>
      </c>
      <c r="BE72" s="1684" t="str">
        <f t="shared" si="142"/>
        <v>--</v>
      </c>
      <c r="BF72" s="1685" t="str">
        <f t="shared" si="143"/>
        <v>--</v>
      </c>
      <c r="BG72" s="1686" t="str">
        <f t="shared" si="165"/>
        <v/>
      </c>
      <c r="BH72" s="1684">
        <f t="shared" si="144"/>
        <v>37.015647768116303</v>
      </c>
      <c r="BI72" s="1685">
        <f t="shared" si="145"/>
        <v>20</v>
      </c>
      <c r="BJ72" s="1688">
        <f t="shared" si="166"/>
        <v>0.45968796425529135</v>
      </c>
      <c r="BK72" s="1685">
        <f t="shared" si="167"/>
        <v>37.015647768116303</v>
      </c>
      <c r="BL72" s="1685">
        <f t="shared" si="168"/>
        <v>20</v>
      </c>
      <c r="BM72" s="1685">
        <f t="shared" si="120"/>
        <v>37</v>
      </c>
      <c r="BN72" s="1686">
        <f t="shared" si="169"/>
        <v>4.2273387228902823E-4</v>
      </c>
      <c r="BP72" s="1756" t="str">
        <f t="shared" si="170"/>
        <v/>
      </c>
      <c r="BQ72" s="1685" t="str">
        <f t="shared" si="146"/>
        <v>Route RfC</v>
      </c>
    </row>
    <row r="73" spans="1:69">
      <c r="A73" t="s">
        <v>217</v>
      </c>
      <c r="B73" t="s">
        <v>218</v>
      </c>
      <c r="C73" s="1684">
        <f t="shared" si="114"/>
        <v>2.1598273885543602</v>
      </c>
      <c r="D73" s="1685">
        <f t="shared" si="147"/>
        <v>2.2000000000000002</v>
      </c>
      <c r="E73" s="1686">
        <f t="shared" si="62"/>
        <v>-1.8599917594585545E-2</v>
      </c>
      <c r="F73" s="1684">
        <f t="shared" si="115"/>
        <v>310.12524975077446</v>
      </c>
      <c r="G73" s="1685">
        <f t="shared" si="148"/>
        <v>310</v>
      </c>
      <c r="H73" s="1688">
        <f t="shared" si="171"/>
        <v>4.0386827862327293E-4</v>
      </c>
      <c r="I73" s="1685">
        <f t="shared" si="121"/>
        <v>2.1598273885543602</v>
      </c>
      <c r="J73" s="1685">
        <f t="shared" si="122"/>
        <v>2.2000000000000002</v>
      </c>
      <c r="K73" s="1685">
        <f t="shared" si="116"/>
        <v>57</v>
      </c>
      <c r="L73" s="1686">
        <f t="shared" si="150"/>
        <v>-25.390997864950624</v>
      </c>
      <c r="M73" s="1684">
        <f t="shared" si="117"/>
        <v>25.943251029166181</v>
      </c>
      <c r="N73" s="1685">
        <f t="shared" si="151"/>
        <v>26</v>
      </c>
      <c r="O73" s="1686">
        <f t="shared" si="123"/>
        <v>-2.1874271181364455E-3</v>
      </c>
      <c r="P73" s="1684">
        <f t="shared" si="118"/>
        <v>2449.5818854790441</v>
      </c>
      <c r="Q73" s="1685">
        <f t="shared" si="152"/>
        <v>2500</v>
      </c>
      <c r="R73" s="1688">
        <f t="shared" ref="R73:R141" si="173">IF(Q73="","",IF(P73=Q73,"",(P73-Q73)/P73))</f>
        <v>-2.0582334813884391E-2</v>
      </c>
      <c r="S73" s="1685">
        <f t="shared" si="153"/>
        <v>25.943251029166181</v>
      </c>
      <c r="T73" s="1685">
        <f t="shared" si="42"/>
        <v>26</v>
      </c>
      <c r="U73" s="1685">
        <f t="shared" si="119"/>
        <v>1000</v>
      </c>
      <c r="V73" s="1686">
        <f t="shared" si="172"/>
        <v>-37.545670273774476</v>
      </c>
      <c r="W73" s="1756" t="str">
        <f t="shared" si="154"/>
        <v>*</v>
      </c>
      <c r="X73" s="1685" t="str">
        <f t="shared" si="124"/>
        <v>--</v>
      </c>
      <c r="Z73" t="str">
        <f t="shared" si="125"/>
        <v>--</v>
      </c>
      <c r="AA73" t="str">
        <f t="shared" si="126"/>
        <v>x</v>
      </c>
      <c r="AB73" t="str">
        <f t="shared" si="127"/>
        <v>--</v>
      </c>
      <c r="AC73" t="str">
        <f t="shared" si="128"/>
        <v>x</v>
      </c>
      <c r="AF73" s="1684">
        <f t="shared" si="129"/>
        <v>1.0138888888888888</v>
      </c>
      <c r="AG73" s="1685">
        <f t="shared" si="130"/>
        <v>1</v>
      </c>
      <c r="AH73" s="1686">
        <f t="shared" si="155"/>
        <v>1.3698630136986254E-2</v>
      </c>
      <c r="AI73" s="1684">
        <f t="shared" si="131"/>
        <v>417.14285714285717</v>
      </c>
      <c r="AJ73" s="1685">
        <f t="shared" si="132"/>
        <v>310</v>
      </c>
      <c r="AK73" s="1688">
        <f t="shared" si="156"/>
        <v>0.25684931506849318</v>
      </c>
      <c r="AL73" s="1685">
        <f t="shared" si="157"/>
        <v>1.0138888888888888</v>
      </c>
      <c r="AM73" s="1685">
        <f t="shared" si="158"/>
        <v>1</v>
      </c>
      <c r="AN73" s="1685">
        <f t="shared" si="133"/>
        <v>100</v>
      </c>
      <c r="AO73" s="1686">
        <f t="shared" si="159"/>
        <v>-97.63013698630138</v>
      </c>
      <c r="AP73" s="1684">
        <f t="shared" si="134"/>
        <v>12.263999999999998</v>
      </c>
      <c r="AQ73" s="1685">
        <f t="shared" si="135"/>
        <v>12</v>
      </c>
      <c r="AR73" s="1686">
        <f t="shared" si="160"/>
        <v>2.1526418786692564E-2</v>
      </c>
      <c r="AS73" s="1684">
        <f t="shared" si="136"/>
        <v>1751.9999999999998</v>
      </c>
      <c r="AT73" s="1685">
        <f t="shared" si="137"/>
        <v>1800</v>
      </c>
      <c r="AU73" s="1688">
        <f t="shared" si="161"/>
        <v>-2.7397260273972737E-2</v>
      </c>
      <c r="AV73" s="1685">
        <f t="shared" si="162"/>
        <v>12.263999999999998</v>
      </c>
      <c r="AW73" s="1685">
        <f t="shared" si="163"/>
        <v>12</v>
      </c>
      <c r="AX73" s="1685">
        <f t="shared" si="138"/>
        <v>1200</v>
      </c>
      <c r="AY73" s="1686">
        <f t="shared" si="164"/>
        <v>-96.847358121330757</v>
      </c>
      <c r="BA73" s="1756" t="str">
        <f t="shared" si="139"/>
        <v>*</v>
      </c>
      <c r="BB73" s="1685" t="str">
        <f t="shared" si="140"/>
        <v>V</v>
      </c>
      <c r="BC73" s="1685" t="str">
        <f t="shared" si="141"/>
        <v>--</v>
      </c>
      <c r="BE73" s="1684">
        <f t="shared" si="142"/>
        <v>1.7365106951938476</v>
      </c>
      <c r="BF73" s="1685">
        <f t="shared" si="143"/>
        <v>1.7</v>
      </c>
      <c r="BG73" s="1686">
        <f t="shared" si="165"/>
        <v>2.1025321234645164E-2</v>
      </c>
      <c r="BH73" s="1684">
        <f t="shared" si="144"/>
        <v>102.22301814616738</v>
      </c>
      <c r="BI73" s="1685">
        <f t="shared" si="145"/>
        <v>100</v>
      </c>
      <c r="BJ73" s="1688">
        <f t="shared" si="166"/>
        <v>2.1746747322493567E-2</v>
      </c>
      <c r="BK73" s="1685">
        <f t="shared" si="167"/>
        <v>1.7365106951938476</v>
      </c>
      <c r="BL73" s="1685">
        <f t="shared" si="168"/>
        <v>1.7</v>
      </c>
      <c r="BM73" s="1685">
        <f t="shared" si="120"/>
        <v>11</v>
      </c>
      <c r="BN73" s="1686">
        <f t="shared" si="169"/>
        <v>-5.3345420390699427</v>
      </c>
      <c r="BP73" s="1756" t="str">
        <f t="shared" si="170"/>
        <v>*</v>
      </c>
      <c r="BQ73" s="1685" t="str">
        <f t="shared" si="146"/>
        <v>--</v>
      </c>
    </row>
    <row r="74" spans="1:69">
      <c r="A74" t="s">
        <v>219</v>
      </c>
      <c r="B74" t="s">
        <v>220</v>
      </c>
      <c r="C74" s="1684" t="str">
        <f t="shared" si="114"/>
        <v>--</v>
      </c>
      <c r="D74" s="1685" t="str">
        <f t="shared" si="147"/>
        <v/>
      </c>
      <c r="E74" s="1686" t="str">
        <f t="shared" si="62"/>
        <v/>
      </c>
      <c r="F74" s="1684">
        <f t="shared" si="115"/>
        <v>27005.421525424645</v>
      </c>
      <c r="G74" s="1685" t="str">
        <f t="shared" si="148"/>
        <v/>
      </c>
      <c r="H74" s="1688" t="str">
        <f t="shared" si="171"/>
        <v/>
      </c>
      <c r="I74" s="1685">
        <f t="shared" si="121"/>
        <v>27005.421525424645</v>
      </c>
      <c r="J74" s="1685" t="str">
        <f t="shared" si="122"/>
        <v/>
      </c>
      <c r="K74" s="1685">
        <f t="shared" si="116"/>
        <v>27000</v>
      </c>
      <c r="L74" s="1686">
        <f t="shared" si="150"/>
        <v>2.0075692651345836E-4</v>
      </c>
      <c r="M74" s="1684" t="str">
        <f t="shared" si="117"/>
        <v>--</v>
      </c>
      <c r="N74" s="1685" t="str">
        <f t="shared" si="151"/>
        <v/>
      </c>
      <c r="O74" s="1686" t="str">
        <f t="shared" si="123"/>
        <v/>
      </c>
      <c r="P74" s="1684">
        <f t="shared" si="118"/>
        <v>190691.53846490011</v>
      </c>
      <c r="Q74" s="1685" t="str">
        <f t="shared" si="152"/>
        <v/>
      </c>
      <c r="R74" s="1688" t="str">
        <f t="shared" si="173"/>
        <v/>
      </c>
      <c r="S74" s="1685">
        <f t="shared" si="153"/>
        <v>190691.53846490011</v>
      </c>
      <c r="T74" s="1685" t="str">
        <f t="shared" ref="T74:T82" si="174">IF(AND(N74="",Q74=""),"",MIN(Q74,N74))</f>
        <v/>
      </c>
      <c r="U74" s="1685">
        <f t="shared" si="119"/>
        <v>190000</v>
      </c>
      <c r="V74" s="1686">
        <f t="shared" si="172"/>
        <v>3.6264769295329545E-3</v>
      </c>
      <c r="W74" s="1756" t="str">
        <f t="shared" si="154"/>
        <v/>
      </c>
      <c r="X74" s="1685" t="str">
        <f t="shared" si="124"/>
        <v>--</v>
      </c>
      <c r="Z74" t="str">
        <f t="shared" si="125"/>
        <v>--</v>
      </c>
      <c r="AA74" t="str">
        <f t="shared" si="126"/>
        <v>--</v>
      </c>
      <c r="AB74" t="str">
        <f t="shared" si="127"/>
        <v>--</v>
      </c>
      <c r="AC74" t="str">
        <f t="shared" si="128"/>
        <v>--</v>
      </c>
      <c r="AF74" s="1684" t="str">
        <f t="shared" si="129"/>
        <v>--</v>
      </c>
      <c r="AG74" s="1685" t="str">
        <f t="shared" si="130"/>
        <v/>
      </c>
      <c r="AH74" s="1686" t="str">
        <f t="shared" si="155"/>
        <v/>
      </c>
      <c r="AI74" s="1684">
        <f t="shared" si="131"/>
        <v>5214.2857142857147</v>
      </c>
      <c r="AJ74" s="1685" t="str">
        <f t="shared" si="132"/>
        <v/>
      </c>
      <c r="AK74" s="1688" t="str">
        <f t="shared" si="156"/>
        <v/>
      </c>
      <c r="AL74" s="1685">
        <f t="shared" si="157"/>
        <v>5214.2857142857147</v>
      </c>
      <c r="AM74" s="1685" t="str">
        <f t="shared" si="158"/>
        <v/>
      </c>
      <c r="AN74" s="1685">
        <f t="shared" si="133"/>
        <v>5200</v>
      </c>
      <c r="AO74" s="1686">
        <f t="shared" si="159"/>
        <v>2.7397260273973349E-3</v>
      </c>
      <c r="AP74" s="1684" t="str">
        <f t="shared" si="134"/>
        <v>--</v>
      </c>
      <c r="AQ74" s="1685" t="str">
        <f t="shared" si="135"/>
        <v/>
      </c>
      <c r="AR74" s="1686" t="str">
        <f t="shared" si="160"/>
        <v/>
      </c>
      <c r="AS74" s="1684">
        <f t="shared" si="136"/>
        <v>21900</v>
      </c>
      <c r="AT74" s="1685" t="str">
        <f t="shared" si="137"/>
        <v/>
      </c>
      <c r="AU74" s="1688" t="str">
        <f t="shared" si="161"/>
        <v/>
      </c>
      <c r="AV74" s="1685">
        <f t="shared" si="162"/>
        <v>21900</v>
      </c>
      <c r="AW74" s="1685" t="str">
        <f t="shared" si="163"/>
        <v/>
      </c>
      <c r="AX74" s="1685">
        <f t="shared" si="138"/>
        <v>22000</v>
      </c>
      <c r="AY74" s="1686">
        <f t="shared" si="164"/>
        <v>-4.5662100456621002E-3</v>
      </c>
      <c r="BA74" s="1756" t="str">
        <f t="shared" si="139"/>
        <v/>
      </c>
      <c r="BB74" s="1685" t="str">
        <f t="shared" si="140"/>
        <v>V</v>
      </c>
      <c r="BC74" s="1685" t="str">
        <f t="shared" si="141"/>
        <v>--</v>
      </c>
      <c r="BE74" s="1684" t="str">
        <f t="shared" si="142"/>
        <v>--</v>
      </c>
      <c r="BF74" s="1685" t="str">
        <f t="shared" si="143"/>
        <v/>
      </c>
      <c r="BG74" s="1686" t="str">
        <f t="shared" si="165"/>
        <v/>
      </c>
      <c r="BH74" s="1684">
        <f t="shared" si="144"/>
        <v>5565.4670122467714</v>
      </c>
      <c r="BI74" s="1685" t="str">
        <f t="shared" si="145"/>
        <v/>
      </c>
      <c r="BJ74" s="1688" t="str">
        <f t="shared" si="166"/>
        <v/>
      </c>
      <c r="BK74" s="1685">
        <f t="shared" si="167"/>
        <v>5565.4670122467714</v>
      </c>
      <c r="BL74" s="1685" t="str">
        <f t="shared" si="168"/>
        <v/>
      </c>
      <c r="BM74" s="1685">
        <f t="shared" si="120"/>
        <v>5600</v>
      </c>
      <c r="BN74" s="1686">
        <f t="shared" si="169"/>
        <v>-6.2048679252323215E-3</v>
      </c>
      <c r="BP74" s="1756" t="str">
        <f t="shared" si="170"/>
        <v/>
      </c>
      <c r="BQ74" s="1685" t="str">
        <f t="shared" si="146"/>
        <v>--</v>
      </c>
    </row>
    <row r="75" spans="1:69">
      <c r="A75" t="s">
        <v>221</v>
      </c>
      <c r="B75" t="s">
        <v>222</v>
      </c>
      <c r="C75" s="1684" t="str">
        <f t="shared" si="114"/>
        <v>--</v>
      </c>
      <c r="D75" s="1685" t="str">
        <f t="shared" si="147"/>
        <v/>
      </c>
      <c r="E75" s="1686" t="str">
        <f t="shared" si="62"/>
        <v/>
      </c>
      <c r="F75" s="1684">
        <f t="shared" si="115"/>
        <v>33077.188292159881</v>
      </c>
      <c r="G75" s="1685" t="str">
        <f t="shared" si="148"/>
        <v/>
      </c>
      <c r="H75" s="1688" t="str">
        <f t="shared" si="171"/>
        <v/>
      </c>
      <c r="I75" s="1685">
        <f t="shared" si="121"/>
        <v>33077.188292159881</v>
      </c>
      <c r="J75" s="1685" t="str">
        <f t="shared" si="122"/>
        <v/>
      </c>
      <c r="K75" s="1685">
        <f t="shared" si="116"/>
        <v>33000</v>
      </c>
      <c r="L75" s="1686">
        <f t="shared" si="150"/>
        <v>2.3335808194488027E-3</v>
      </c>
      <c r="M75" s="1684" t="str">
        <f t="shared" si="117"/>
        <v>--</v>
      </c>
      <c r="N75" s="1685" t="str">
        <f t="shared" si="151"/>
        <v/>
      </c>
      <c r="O75" s="1686" t="str">
        <f t="shared" si="123"/>
        <v/>
      </c>
      <c r="P75" s="1684">
        <f t="shared" si="118"/>
        <v>136226.3974765107</v>
      </c>
      <c r="Q75" s="1685" t="str">
        <f t="shared" si="152"/>
        <v/>
      </c>
      <c r="R75" s="1688" t="str">
        <f t="shared" si="173"/>
        <v/>
      </c>
      <c r="S75" s="1685">
        <f t="shared" si="153"/>
        <v>136226.3974765107</v>
      </c>
      <c r="T75" s="1685" t="str">
        <f t="shared" si="174"/>
        <v/>
      </c>
      <c r="U75" s="1685">
        <f t="shared" si="119"/>
        <v>140000</v>
      </c>
      <c r="V75" s="1686">
        <f t="shared" si="172"/>
        <v>-2.7700963934981681E-2</v>
      </c>
      <c r="W75" s="1756" t="str">
        <f t="shared" si="154"/>
        <v/>
      </c>
      <c r="X75" s="1685" t="str">
        <f t="shared" si="124"/>
        <v>--</v>
      </c>
      <c r="Z75" t="str">
        <f t="shared" si="125"/>
        <v>--</v>
      </c>
      <c r="AA75" t="str">
        <f t="shared" si="126"/>
        <v>--</v>
      </c>
      <c r="AB75" t="str">
        <f t="shared" si="127"/>
        <v>--</v>
      </c>
      <c r="AC75" t="str">
        <f t="shared" si="128"/>
        <v>--</v>
      </c>
      <c r="AF75" s="1684" t="str">
        <f t="shared" si="129"/>
        <v>--</v>
      </c>
      <c r="AG75" s="1685" t="str">
        <f t="shared" si="130"/>
        <v/>
      </c>
      <c r="AH75" s="1686" t="str">
        <f t="shared" si="155"/>
        <v/>
      </c>
      <c r="AI75" s="1684">
        <f t="shared" si="131"/>
        <v>3128.5714285714284</v>
      </c>
      <c r="AJ75" s="1685" t="str">
        <f t="shared" si="132"/>
        <v/>
      </c>
      <c r="AK75" s="1688" t="str">
        <f t="shared" si="156"/>
        <v/>
      </c>
      <c r="AL75" s="1685">
        <f t="shared" si="157"/>
        <v>3128.5714285714284</v>
      </c>
      <c r="AM75" s="1685" t="str">
        <f t="shared" si="158"/>
        <v/>
      </c>
      <c r="AN75" s="1685">
        <f t="shared" si="133"/>
        <v>3100</v>
      </c>
      <c r="AO75" s="1686">
        <f t="shared" si="159"/>
        <v>9.1324200913241605E-3</v>
      </c>
      <c r="AP75" s="1684" t="str">
        <f t="shared" si="134"/>
        <v>--</v>
      </c>
      <c r="AQ75" s="1685" t="str">
        <f t="shared" si="135"/>
        <v/>
      </c>
      <c r="AR75" s="1686" t="str">
        <f t="shared" si="160"/>
        <v/>
      </c>
      <c r="AS75" s="1684">
        <f t="shared" si="136"/>
        <v>13139.999999999998</v>
      </c>
      <c r="AT75" s="1685" t="str">
        <f t="shared" si="137"/>
        <v/>
      </c>
      <c r="AU75" s="1688" t="str">
        <f t="shared" si="161"/>
        <v/>
      </c>
      <c r="AV75" s="1685">
        <f t="shared" si="162"/>
        <v>13139.999999999998</v>
      </c>
      <c r="AW75" s="1685" t="str">
        <f t="shared" si="163"/>
        <v/>
      </c>
      <c r="AX75" s="1685">
        <f t="shared" si="138"/>
        <v>13000</v>
      </c>
      <c r="AY75" s="1686">
        <f t="shared" si="164"/>
        <v>1.0654490106544763E-2</v>
      </c>
      <c r="BA75" s="1756" t="str">
        <f t="shared" si="139"/>
        <v/>
      </c>
      <c r="BB75" s="1685" t="str">
        <f t="shared" si="140"/>
        <v>V</v>
      </c>
      <c r="BC75" s="1685" t="str">
        <f t="shared" si="141"/>
        <v>--</v>
      </c>
      <c r="BE75" s="1684" t="str">
        <f t="shared" si="142"/>
        <v>--</v>
      </c>
      <c r="BF75" s="1685" t="str">
        <f t="shared" si="143"/>
        <v/>
      </c>
      <c r="BG75" s="1686" t="str">
        <f t="shared" si="165"/>
        <v/>
      </c>
      <c r="BH75" s="1684">
        <f t="shared" si="144"/>
        <v>6257.1428571428569</v>
      </c>
      <c r="BI75" s="1685" t="str">
        <f t="shared" si="145"/>
        <v/>
      </c>
      <c r="BJ75" s="1688" t="str">
        <f t="shared" si="166"/>
        <v/>
      </c>
      <c r="BK75" s="1685">
        <f t="shared" si="167"/>
        <v>6257.1428571428569</v>
      </c>
      <c r="BL75" s="1685" t="str">
        <f t="shared" si="168"/>
        <v/>
      </c>
      <c r="BM75" s="1685">
        <f t="shared" si="120"/>
        <v>6300</v>
      </c>
      <c r="BN75" s="1686">
        <f t="shared" si="169"/>
        <v>-6.8493150684931928E-3</v>
      </c>
      <c r="BP75" s="1756" t="str">
        <f t="shared" si="170"/>
        <v/>
      </c>
      <c r="BQ75" s="1685" t="str">
        <f t="shared" si="146"/>
        <v>--</v>
      </c>
    </row>
    <row r="76" spans="1:69">
      <c r="A76" t="s">
        <v>223</v>
      </c>
      <c r="B76" t="s">
        <v>224</v>
      </c>
      <c r="C76" s="1684" t="str">
        <f t="shared" si="114"/>
        <v>--</v>
      </c>
      <c r="D76" s="1685" t="str">
        <f t="shared" si="147"/>
        <v/>
      </c>
      <c r="E76" s="1686" t="str">
        <f t="shared" si="62"/>
        <v/>
      </c>
      <c r="F76" s="1684">
        <f t="shared" si="115"/>
        <v>7.8214285714285712</v>
      </c>
      <c r="G76" s="1685" t="str">
        <f t="shared" si="148"/>
        <v/>
      </c>
      <c r="H76" s="1688" t="str">
        <f t="shared" si="171"/>
        <v/>
      </c>
      <c r="I76" s="1685">
        <f t="shared" si="121"/>
        <v>7.8214285714285712</v>
      </c>
      <c r="J76" s="1685" t="str">
        <f t="shared" si="122"/>
        <v/>
      </c>
      <c r="K76" s="1685">
        <f t="shared" si="116"/>
        <v>7.8</v>
      </c>
      <c r="L76" s="1686">
        <f t="shared" si="150"/>
        <v>2.7397260273972508E-3</v>
      </c>
      <c r="M76" s="1684" t="str">
        <f t="shared" si="117"/>
        <v>--</v>
      </c>
      <c r="N76" s="1685" t="str">
        <f t="shared" si="151"/>
        <v/>
      </c>
      <c r="O76" s="1686" t="str">
        <f t="shared" si="123"/>
        <v/>
      </c>
      <c r="P76" s="1684">
        <f t="shared" si="118"/>
        <v>116.8</v>
      </c>
      <c r="Q76" s="1685" t="str">
        <f t="shared" si="152"/>
        <v/>
      </c>
      <c r="R76" s="1688" t="str">
        <f t="shared" si="173"/>
        <v/>
      </c>
      <c r="S76" s="1685">
        <f t="shared" si="153"/>
        <v>116.8</v>
      </c>
      <c r="T76" s="1685" t="str">
        <f t="shared" si="174"/>
        <v/>
      </c>
      <c r="U76" s="1685">
        <f t="shared" si="119"/>
        <v>120</v>
      </c>
      <c r="V76" s="1686">
        <f t="shared" si="172"/>
        <v>-2.7397260273972629E-2</v>
      </c>
      <c r="W76" s="1756" t="str">
        <f t="shared" si="154"/>
        <v/>
      </c>
      <c r="X76" s="1685" t="str">
        <f t="shared" si="124"/>
        <v>--</v>
      </c>
      <c r="Z76" t="str">
        <f t="shared" si="125"/>
        <v>--</v>
      </c>
      <c r="AA76" t="str">
        <f t="shared" si="126"/>
        <v>--</v>
      </c>
      <c r="AB76" t="str">
        <f t="shared" si="127"/>
        <v>--</v>
      </c>
      <c r="AC76" t="str">
        <f t="shared" si="128"/>
        <v>--</v>
      </c>
      <c r="AF76" s="1684" t="str">
        <f t="shared" si="129"/>
        <v>--</v>
      </c>
      <c r="AG76" s="1685" t="str">
        <f t="shared" si="130"/>
        <v/>
      </c>
      <c r="AH76" s="1686" t="str">
        <f t="shared" si="155"/>
        <v/>
      </c>
      <c r="AI76" s="1684" t="str">
        <f t="shared" si="131"/>
        <v>--</v>
      </c>
      <c r="AJ76" s="1685" t="str">
        <f t="shared" si="132"/>
        <v/>
      </c>
      <c r="AK76" s="1688" t="str">
        <f t="shared" si="156"/>
        <v/>
      </c>
      <c r="AL76" s="1685">
        <f t="shared" si="157"/>
        <v>0</v>
      </c>
      <c r="AM76" s="1685" t="str">
        <f t="shared" si="158"/>
        <v/>
      </c>
      <c r="AN76" s="1685" t="str">
        <f t="shared" si="133"/>
        <v>--</v>
      </c>
      <c r="AO76" s="1686" t="str">
        <f t="shared" si="159"/>
        <v>N</v>
      </c>
      <c r="AP76" s="1684" t="str">
        <f t="shared" si="134"/>
        <v>--</v>
      </c>
      <c r="AQ76" s="1685" t="str">
        <f t="shared" si="135"/>
        <v/>
      </c>
      <c r="AR76" s="1686" t="str">
        <f t="shared" si="160"/>
        <v/>
      </c>
      <c r="AS76" s="1684" t="str">
        <f t="shared" si="136"/>
        <v>--</v>
      </c>
      <c r="AT76" s="1685" t="str">
        <f t="shared" si="137"/>
        <v/>
      </c>
      <c r="AU76" s="1688" t="str">
        <f t="shared" si="161"/>
        <v/>
      </c>
      <c r="AV76" s="1685">
        <f t="shared" si="162"/>
        <v>0</v>
      </c>
      <c r="AW76" s="1685" t="str">
        <f t="shared" si="163"/>
        <v/>
      </c>
      <c r="AX76" s="1685" t="str">
        <f t="shared" si="138"/>
        <v>--</v>
      </c>
      <c r="AY76" s="1686" t="str">
        <f t="shared" si="164"/>
        <v>N</v>
      </c>
      <c r="BA76" s="1756" t="str">
        <f t="shared" si="139"/>
        <v/>
      </c>
      <c r="BB76" s="1685" t="str">
        <f t="shared" si="140"/>
        <v>--</v>
      </c>
      <c r="BC76" s="1685" t="str">
        <f t="shared" si="141"/>
        <v>--</v>
      </c>
      <c r="BE76" s="1684" t="str">
        <f t="shared" si="142"/>
        <v>--</v>
      </c>
      <c r="BF76" s="1685" t="str">
        <f t="shared" si="143"/>
        <v/>
      </c>
      <c r="BG76" s="1686" t="str">
        <f t="shared" si="165"/>
        <v/>
      </c>
      <c r="BH76" s="1684">
        <f t="shared" si="144"/>
        <v>1.9966959878281414</v>
      </c>
      <c r="BI76" s="1685" t="str">
        <f t="shared" si="145"/>
        <v/>
      </c>
      <c r="BJ76" s="1688" t="str">
        <f t="shared" si="166"/>
        <v/>
      </c>
      <c r="BK76" s="1685">
        <f t="shared" si="167"/>
        <v>1.9966959878281414</v>
      </c>
      <c r="BL76" s="1685" t="str">
        <f t="shared" si="168"/>
        <v/>
      </c>
      <c r="BM76" s="1685">
        <f t="shared" si="120"/>
        <v>2</v>
      </c>
      <c r="BN76" s="1686">
        <f t="shared" si="169"/>
        <v>-1.6547397260273291E-3</v>
      </c>
      <c r="BP76" s="1756" t="str">
        <f t="shared" si="170"/>
        <v/>
      </c>
      <c r="BQ76" s="1685" t="str">
        <f t="shared" si="146"/>
        <v>--</v>
      </c>
    </row>
    <row r="77" spans="1:69" ht="15">
      <c r="A77" t="s">
        <v>225</v>
      </c>
      <c r="B77" t="s">
        <v>226</v>
      </c>
      <c r="C77" s="1684" t="str">
        <f t="shared" si="114"/>
        <v>--</v>
      </c>
      <c r="D77" s="1685" t="str">
        <f t="shared" si="147"/>
        <v>--</v>
      </c>
      <c r="E77" s="1686" t="str">
        <f t="shared" si="62"/>
        <v/>
      </c>
      <c r="F77" s="1684">
        <f t="shared" si="115"/>
        <v>239.09784779183855</v>
      </c>
      <c r="G77" s="1685">
        <f t="shared" si="148"/>
        <v>190</v>
      </c>
      <c r="H77" s="1693">
        <f t="shared" si="171"/>
        <v>0.20534625570776247</v>
      </c>
      <c r="I77" s="1685">
        <f t="shared" si="121"/>
        <v>239.09784779183855</v>
      </c>
      <c r="J77" s="1685">
        <f t="shared" si="122"/>
        <v>190</v>
      </c>
      <c r="K77" s="1685">
        <f t="shared" si="116"/>
        <v>240</v>
      </c>
      <c r="L77" s="1686">
        <f t="shared" si="150"/>
        <v>-3.7731506849316269E-3</v>
      </c>
      <c r="M77" s="1684" t="str">
        <f t="shared" si="117"/>
        <v>--</v>
      </c>
      <c r="N77" s="1685" t="str">
        <f t="shared" si="151"/>
        <v>--</v>
      </c>
      <c r="O77" s="1686" t="str">
        <f t="shared" si="123"/>
        <v/>
      </c>
      <c r="P77" s="1684">
        <f t="shared" si="118"/>
        <v>3013.7813408746674</v>
      </c>
      <c r="Q77" s="1685">
        <f t="shared" si="152"/>
        <v>1500</v>
      </c>
      <c r="R77" s="1693">
        <f t="shared" si="173"/>
        <v>0.50228638698630135</v>
      </c>
      <c r="S77" s="1685">
        <f t="shared" si="153"/>
        <v>3013.7813408746674</v>
      </c>
      <c r="T77" s="1685">
        <f t="shared" si="174"/>
        <v>1500</v>
      </c>
      <c r="U77" s="1685">
        <f t="shared" si="119"/>
        <v>3000</v>
      </c>
      <c r="V77" s="1686">
        <f t="shared" si="172"/>
        <v>4.5727739726027254E-3</v>
      </c>
      <c r="W77" s="1756" t="str">
        <f t="shared" si="154"/>
        <v/>
      </c>
      <c r="X77" s="1685" t="str">
        <f t="shared" si="124"/>
        <v>Route RfC</v>
      </c>
      <c r="Z77" t="str">
        <f t="shared" si="125"/>
        <v>--</v>
      </c>
      <c r="AA77" t="str">
        <f t="shared" si="126"/>
        <v>--</v>
      </c>
      <c r="AB77" t="str">
        <f t="shared" si="127"/>
        <v>--</v>
      </c>
      <c r="AC77" t="str">
        <f t="shared" si="128"/>
        <v>--</v>
      </c>
      <c r="AF77" s="1684" t="str">
        <f t="shared" si="129"/>
        <v>--</v>
      </c>
      <c r="AG77" s="1685" t="str">
        <f t="shared" si="130"/>
        <v>--</v>
      </c>
      <c r="AH77" s="1686" t="str">
        <f t="shared" si="155"/>
        <v/>
      </c>
      <c r="AI77" s="1684" t="str">
        <f t="shared" si="131"/>
        <v>--</v>
      </c>
      <c r="AJ77" s="1685">
        <f t="shared" si="132"/>
        <v>190</v>
      </c>
      <c r="AK77" s="1688" t="e">
        <f t="shared" si="156"/>
        <v>#VALUE!</v>
      </c>
      <c r="AL77" s="1685">
        <f t="shared" si="157"/>
        <v>0</v>
      </c>
      <c r="AM77" s="1685">
        <f t="shared" si="158"/>
        <v>190</v>
      </c>
      <c r="AN77" s="1685" t="str">
        <f t="shared" si="133"/>
        <v>--</v>
      </c>
      <c r="AO77" s="1686" t="str">
        <f t="shared" si="159"/>
        <v>N</v>
      </c>
      <c r="AP77" s="1684" t="str">
        <f t="shared" si="134"/>
        <v>--</v>
      </c>
      <c r="AQ77" s="1685" t="str">
        <f t="shared" si="135"/>
        <v>--</v>
      </c>
      <c r="AR77" s="1686" t="str">
        <f t="shared" si="160"/>
        <v/>
      </c>
      <c r="AS77" s="1684" t="str">
        <f t="shared" si="136"/>
        <v>--</v>
      </c>
      <c r="AT77" s="1685">
        <f t="shared" si="137"/>
        <v>70</v>
      </c>
      <c r="AU77" s="1688" t="e">
        <f t="shared" si="161"/>
        <v>#VALUE!</v>
      </c>
      <c r="AV77" s="1685">
        <f t="shared" si="162"/>
        <v>0</v>
      </c>
      <c r="AW77" s="1685">
        <f t="shared" si="163"/>
        <v>70</v>
      </c>
      <c r="AX77" s="1685" t="str">
        <f t="shared" si="138"/>
        <v>--</v>
      </c>
      <c r="AY77" s="1686" t="str">
        <f t="shared" si="164"/>
        <v>N</v>
      </c>
      <c r="BA77" s="1756" t="str">
        <f t="shared" si="139"/>
        <v/>
      </c>
      <c r="BB77" s="1685" t="str">
        <f t="shared" si="140"/>
        <v>V</v>
      </c>
      <c r="BC77" s="1685" t="str">
        <f t="shared" si="141"/>
        <v>Route RfC</v>
      </c>
      <c r="BE77" s="1684" t="str">
        <f t="shared" si="142"/>
        <v>--</v>
      </c>
      <c r="BF77" s="1685" t="str">
        <f t="shared" si="143"/>
        <v>--</v>
      </c>
      <c r="BG77" s="1686" t="str">
        <f t="shared" si="165"/>
        <v/>
      </c>
      <c r="BH77" s="1684">
        <f t="shared" si="144"/>
        <v>35.928229020099174</v>
      </c>
      <c r="BI77" s="1685">
        <f t="shared" si="145"/>
        <v>17</v>
      </c>
      <c r="BJ77" s="1688">
        <f t="shared" si="166"/>
        <v>0.52683445681417351</v>
      </c>
      <c r="BK77" s="1685">
        <f t="shared" si="167"/>
        <v>35.928229020099174</v>
      </c>
      <c r="BL77" s="1685">
        <f t="shared" si="168"/>
        <v>17</v>
      </c>
      <c r="BM77" s="1685">
        <f t="shared" si="120"/>
        <v>36</v>
      </c>
      <c r="BN77" s="1686">
        <f t="shared" si="169"/>
        <v>-1.9976208641031435E-3</v>
      </c>
      <c r="BP77" s="1756" t="str">
        <f t="shared" si="170"/>
        <v/>
      </c>
      <c r="BQ77" s="1685" t="str">
        <f t="shared" si="146"/>
        <v>Route RfC</v>
      </c>
    </row>
    <row r="78" spans="1:69">
      <c r="A78" t="s">
        <v>227</v>
      </c>
      <c r="B78" t="s">
        <v>228</v>
      </c>
      <c r="C78" s="1684">
        <f t="shared" si="114"/>
        <v>46.554562773029197</v>
      </c>
      <c r="D78" s="1685" t="str">
        <f t="shared" si="147"/>
        <v/>
      </c>
      <c r="E78" s="1686" t="str">
        <f t="shared" si="62"/>
        <v/>
      </c>
      <c r="F78" s="1684">
        <f t="shared" si="115"/>
        <v>15335.995095955135</v>
      </c>
      <c r="G78" s="1685" t="str">
        <f t="shared" si="148"/>
        <v/>
      </c>
      <c r="H78" s="1688" t="str">
        <f t="shared" si="171"/>
        <v/>
      </c>
      <c r="I78" s="1685">
        <f t="shared" si="121"/>
        <v>46.554562773029197</v>
      </c>
      <c r="J78" s="1685" t="str">
        <f t="shared" si="122"/>
        <v/>
      </c>
      <c r="K78" s="1685">
        <f t="shared" si="116"/>
        <v>47</v>
      </c>
      <c r="L78" s="1686">
        <f t="shared" si="150"/>
        <v>-9.5680680998439446E-3</v>
      </c>
      <c r="M78" s="1684">
        <f t="shared" si="117"/>
        <v>201.5749713503472</v>
      </c>
      <c r="N78" s="1685" t="str">
        <f t="shared" si="151"/>
        <v/>
      </c>
      <c r="O78" s="1686" t="str">
        <f t="shared" si="123"/>
        <v/>
      </c>
      <c r="P78" s="1684">
        <f t="shared" si="118"/>
        <v>63160.362241903415</v>
      </c>
      <c r="Q78" s="1685" t="str">
        <f t="shared" si="152"/>
        <v/>
      </c>
      <c r="R78" s="1688" t="str">
        <f t="shared" si="173"/>
        <v/>
      </c>
      <c r="S78" s="1685">
        <f t="shared" si="153"/>
        <v>201.5749713503472</v>
      </c>
      <c r="T78" s="1685" t="str">
        <f t="shared" si="174"/>
        <v/>
      </c>
      <c r="U78" s="1685">
        <f t="shared" si="119"/>
        <v>210</v>
      </c>
      <c r="V78" s="1686">
        <f t="shared" si="172"/>
        <v>-4.1796005690655356E-2</v>
      </c>
      <c r="W78" s="1756" t="str">
        <f t="shared" si="154"/>
        <v/>
      </c>
      <c r="X78" s="1685" t="str">
        <f t="shared" si="124"/>
        <v>--</v>
      </c>
      <c r="Z78" t="str">
        <f t="shared" si="125"/>
        <v>--</v>
      </c>
      <c r="AA78" t="str">
        <f t="shared" si="126"/>
        <v>--</v>
      </c>
      <c r="AB78" t="str">
        <f t="shared" si="127"/>
        <v>--</v>
      </c>
      <c r="AC78" t="str">
        <f t="shared" si="128"/>
        <v>--</v>
      </c>
      <c r="AF78" s="1684">
        <f t="shared" si="129"/>
        <v>10.798816568047336</v>
      </c>
      <c r="AG78" s="1685" t="str">
        <f t="shared" si="130"/>
        <v/>
      </c>
      <c r="AH78" s="1686" t="str">
        <f t="shared" si="155"/>
        <v/>
      </c>
      <c r="AI78" s="1684">
        <f t="shared" si="131"/>
        <v>3128.5714285714284</v>
      </c>
      <c r="AJ78" s="1685" t="str">
        <f t="shared" si="132"/>
        <v/>
      </c>
      <c r="AK78" s="1688" t="str">
        <f t="shared" si="156"/>
        <v/>
      </c>
      <c r="AL78" s="1685">
        <f t="shared" si="157"/>
        <v>10.798816568047336</v>
      </c>
      <c r="AM78" s="1685" t="str">
        <f t="shared" si="158"/>
        <v/>
      </c>
      <c r="AN78" s="1685">
        <f t="shared" si="133"/>
        <v>11</v>
      </c>
      <c r="AO78" s="1686">
        <f t="shared" si="159"/>
        <v>-1.8630136986301508E-2</v>
      </c>
      <c r="AP78" s="1684">
        <f t="shared" si="134"/>
        <v>47.169230769230758</v>
      </c>
      <c r="AQ78" s="1685" t="str">
        <f t="shared" si="135"/>
        <v/>
      </c>
      <c r="AR78" s="1686" t="str">
        <f t="shared" si="160"/>
        <v/>
      </c>
      <c r="AS78" s="1684">
        <f t="shared" si="136"/>
        <v>13139.999999999998</v>
      </c>
      <c r="AT78" s="1685" t="str">
        <f t="shared" si="137"/>
        <v/>
      </c>
      <c r="AU78" s="1688" t="str">
        <f t="shared" si="161"/>
        <v/>
      </c>
      <c r="AV78" s="1685">
        <f t="shared" si="162"/>
        <v>47.169230769230758</v>
      </c>
      <c r="AW78" s="1685" t="str">
        <f t="shared" si="163"/>
        <v/>
      </c>
      <c r="AX78" s="1685">
        <f t="shared" si="138"/>
        <v>47</v>
      </c>
      <c r="AY78" s="1686">
        <f t="shared" si="164"/>
        <v>3.5877364644485554E-3</v>
      </c>
      <c r="BA78" s="1756" t="str">
        <f t="shared" si="139"/>
        <v/>
      </c>
      <c r="BB78" s="1685" t="str">
        <f t="shared" si="140"/>
        <v>V</v>
      </c>
      <c r="BC78" s="1685" t="str">
        <f t="shared" si="141"/>
        <v>--</v>
      </c>
      <c r="BE78" s="1684">
        <f t="shared" si="142"/>
        <v>14.304437928879793</v>
      </c>
      <c r="BF78" s="1685" t="str">
        <f t="shared" si="143"/>
        <v/>
      </c>
      <c r="BG78" s="1686" t="str">
        <f t="shared" si="165"/>
        <v/>
      </c>
      <c r="BH78" s="1684">
        <f t="shared" si="144"/>
        <v>6257.1428571428569</v>
      </c>
      <c r="BI78" s="1685" t="str">
        <f t="shared" si="145"/>
        <v/>
      </c>
      <c r="BJ78" s="1688" t="str">
        <f t="shared" si="166"/>
        <v/>
      </c>
      <c r="BK78" s="1685">
        <f t="shared" si="167"/>
        <v>14.304437928879793</v>
      </c>
      <c r="BL78" s="1685" t="str">
        <f t="shared" si="168"/>
        <v/>
      </c>
      <c r="BM78" s="1685">
        <f t="shared" si="120"/>
        <v>14</v>
      </c>
      <c r="BN78" s="1686">
        <f t="shared" si="169"/>
        <v>2.1282760664447429E-2</v>
      </c>
      <c r="BP78" s="1756" t="str">
        <f t="shared" si="170"/>
        <v/>
      </c>
      <c r="BQ78" s="1685" t="str">
        <f t="shared" si="146"/>
        <v>--</v>
      </c>
    </row>
    <row r="79" spans="1:69">
      <c r="A79" t="s">
        <v>229</v>
      </c>
      <c r="B79" t="s">
        <v>230</v>
      </c>
      <c r="C79" s="1684" t="str">
        <f t="shared" si="114"/>
        <v>--</v>
      </c>
      <c r="D79" s="1685" t="str">
        <f t="shared" si="147"/>
        <v/>
      </c>
      <c r="E79" s="1686" t="str">
        <f t="shared" si="62"/>
        <v/>
      </c>
      <c r="F79" s="1684">
        <f t="shared" si="115"/>
        <v>391.01751990600036</v>
      </c>
      <c r="G79" s="1685" t="str">
        <f t="shared" si="148"/>
        <v/>
      </c>
      <c r="H79" s="1688" t="str">
        <f t="shared" si="171"/>
        <v/>
      </c>
      <c r="I79" s="1685">
        <f t="shared" si="121"/>
        <v>391.01751990600036</v>
      </c>
      <c r="J79" s="1685" t="str">
        <f t="shared" si="122"/>
        <v/>
      </c>
      <c r="K79" s="1685">
        <f t="shared" si="116"/>
        <v>390</v>
      </c>
      <c r="L79" s="1686">
        <f t="shared" si="150"/>
        <v>2.6022360999194321E-3</v>
      </c>
      <c r="M79" s="1684" t="str">
        <f t="shared" si="117"/>
        <v>--</v>
      </c>
      <c r="N79" s="1685" t="str">
        <f t="shared" si="151"/>
        <v/>
      </c>
      <c r="O79" s="1686" t="str">
        <f t="shared" si="123"/>
        <v/>
      </c>
      <c r="P79" s="1684">
        <f t="shared" si="118"/>
        <v>5837.1386575208226</v>
      </c>
      <c r="Q79" s="1685" t="str">
        <f t="shared" si="152"/>
        <v/>
      </c>
      <c r="R79" s="1688" t="str">
        <f t="shared" si="173"/>
        <v/>
      </c>
      <c r="S79" s="1685">
        <f t="shared" si="153"/>
        <v>5837.1386575208226</v>
      </c>
      <c r="T79" s="1685" t="str">
        <f t="shared" si="174"/>
        <v/>
      </c>
      <c r="U79" s="1685">
        <f t="shared" si="119"/>
        <v>5800</v>
      </c>
      <c r="V79" s="1686">
        <f t="shared" si="172"/>
        <v>6.3624764974481987E-3</v>
      </c>
      <c r="W79" s="1756" t="str">
        <f t="shared" si="154"/>
        <v/>
      </c>
      <c r="X79" s="1685" t="str">
        <f t="shared" si="124"/>
        <v>--</v>
      </c>
      <c r="Z79" t="str">
        <f t="shared" si="125"/>
        <v>--</v>
      </c>
      <c r="AA79" t="str">
        <f t="shared" si="126"/>
        <v>--</v>
      </c>
      <c r="AB79" t="str">
        <f t="shared" si="127"/>
        <v>--</v>
      </c>
      <c r="AC79" t="str">
        <f t="shared" si="128"/>
        <v>--</v>
      </c>
      <c r="AF79" s="1684" t="str">
        <f t="shared" si="129"/>
        <v>--</v>
      </c>
      <c r="AG79" s="1685" t="str">
        <f t="shared" si="130"/>
        <v/>
      </c>
      <c r="AH79" s="1686" t="str">
        <f t="shared" si="155"/>
        <v/>
      </c>
      <c r="AI79" s="1684" t="str">
        <f t="shared" si="131"/>
        <v>--</v>
      </c>
      <c r="AJ79" s="1685" t="str">
        <f t="shared" si="132"/>
        <v/>
      </c>
      <c r="AK79" s="1688" t="str">
        <f t="shared" si="156"/>
        <v/>
      </c>
      <c r="AL79" s="1685">
        <f t="shared" si="157"/>
        <v>0</v>
      </c>
      <c r="AM79" s="1685" t="str">
        <f t="shared" si="158"/>
        <v/>
      </c>
      <c r="AN79" s="1685">
        <f t="shared" si="133"/>
        <v>2.1</v>
      </c>
      <c r="AO79" s="1686" t="e">
        <f t="shared" si="159"/>
        <v>#DIV/0!</v>
      </c>
      <c r="AP79" s="1684" t="str">
        <f t="shared" si="134"/>
        <v>--</v>
      </c>
      <c r="AQ79" s="1685" t="str">
        <f t="shared" si="135"/>
        <v/>
      </c>
      <c r="AR79" s="1686" t="str">
        <f t="shared" si="160"/>
        <v/>
      </c>
      <c r="AS79" s="1684" t="str">
        <f t="shared" si="136"/>
        <v>--</v>
      </c>
      <c r="AT79" s="1685" t="str">
        <f t="shared" si="137"/>
        <v/>
      </c>
      <c r="AU79" s="1688" t="str">
        <f t="shared" si="161"/>
        <v/>
      </c>
      <c r="AV79" s="1685">
        <f t="shared" si="162"/>
        <v>0</v>
      </c>
      <c r="AW79" s="1685" t="str">
        <f t="shared" si="163"/>
        <v/>
      </c>
      <c r="AX79" s="1685">
        <f t="shared" si="138"/>
        <v>8.8000000000000007</v>
      </c>
      <c r="AY79" s="1686" t="e">
        <f t="shared" si="164"/>
        <v>#DIV/0!</v>
      </c>
      <c r="BA79" s="1756" t="str">
        <f t="shared" si="139"/>
        <v/>
      </c>
      <c r="BB79" s="1685" t="str">
        <f t="shared" si="140"/>
        <v>--</v>
      </c>
      <c r="BC79" s="1685" t="str">
        <f t="shared" si="141"/>
        <v>--</v>
      </c>
      <c r="BE79" s="1684" t="str">
        <f t="shared" si="142"/>
        <v>--</v>
      </c>
      <c r="BF79" s="1685" t="str">
        <f t="shared" si="143"/>
        <v/>
      </c>
      <c r="BG79" s="1686" t="str">
        <f t="shared" si="165"/>
        <v/>
      </c>
      <c r="BH79" s="1684">
        <f t="shared" si="144"/>
        <v>99.83479939140706</v>
      </c>
      <c r="BI79" s="1685" t="str">
        <f t="shared" si="145"/>
        <v/>
      </c>
      <c r="BJ79" s="1688" t="str">
        <f t="shared" si="166"/>
        <v/>
      </c>
      <c r="BK79" s="1685">
        <f t="shared" si="167"/>
        <v>99.83479939140706</v>
      </c>
      <c r="BL79" s="1685" t="str">
        <f t="shared" si="168"/>
        <v/>
      </c>
      <c r="BM79" s="1685">
        <f t="shared" si="120"/>
        <v>100</v>
      </c>
      <c r="BN79" s="1686">
        <f t="shared" si="169"/>
        <v>-1.6547397260274271E-3</v>
      </c>
      <c r="BP79" s="1756" t="str">
        <f t="shared" si="170"/>
        <v/>
      </c>
      <c r="BQ79" s="1685" t="str">
        <f t="shared" si="146"/>
        <v>--</v>
      </c>
    </row>
    <row r="80" spans="1:69">
      <c r="A80" t="s">
        <v>231</v>
      </c>
      <c r="B80" t="s">
        <v>232</v>
      </c>
      <c r="C80" s="1684">
        <f t="shared" si="114"/>
        <v>14686.390532544381</v>
      </c>
      <c r="D80" s="1685">
        <f t="shared" si="147"/>
        <v>15000</v>
      </c>
      <c r="E80" s="1686">
        <f t="shared" si="62"/>
        <v>-2.1353746978243184E-2</v>
      </c>
      <c r="F80" s="1684">
        <f t="shared" si="115"/>
        <v>824.62622703246905</v>
      </c>
      <c r="G80" s="1685">
        <f t="shared" si="148"/>
        <v>820</v>
      </c>
      <c r="H80" s="1688">
        <f t="shared" si="171"/>
        <v>5.6100896149242803E-3</v>
      </c>
      <c r="I80" s="1685">
        <f t="shared" si="121"/>
        <v>824.62622703246905</v>
      </c>
      <c r="J80" s="1685">
        <f t="shared" si="122"/>
        <v>820</v>
      </c>
      <c r="K80" s="1685">
        <f t="shared" si="116"/>
        <v>1400</v>
      </c>
      <c r="L80" s="1686">
        <f t="shared" si="150"/>
        <v>-0.69773887138915369</v>
      </c>
      <c r="M80" s="1684">
        <f t="shared" si="117"/>
        <v>64150.153846153866</v>
      </c>
      <c r="N80" s="1685">
        <f t="shared" si="151"/>
        <v>64000</v>
      </c>
      <c r="O80" s="1686">
        <f t="shared" si="123"/>
        <v>2.3406622923144906E-3</v>
      </c>
      <c r="P80" s="1684">
        <f t="shared" si="118"/>
        <v>11132.85436893204</v>
      </c>
      <c r="Q80" s="1685">
        <f t="shared" si="152"/>
        <v>11000</v>
      </c>
      <c r="R80" s="1688">
        <f t="shared" si="173"/>
        <v>1.1933540539503532E-2</v>
      </c>
      <c r="S80" s="1685">
        <f t="shared" si="153"/>
        <v>11132.85436893204</v>
      </c>
      <c r="T80" s="1685">
        <f t="shared" si="174"/>
        <v>11000</v>
      </c>
      <c r="U80" s="1685">
        <f t="shared" si="119"/>
        <v>17000</v>
      </c>
      <c r="V80" s="1686">
        <f t="shared" si="172"/>
        <v>-0.52701180098440359</v>
      </c>
      <c r="W80" s="1756" t="str">
        <f t="shared" si="154"/>
        <v>*</v>
      </c>
      <c r="X80" s="1685" t="str">
        <f t="shared" si="124"/>
        <v>--</v>
      </c>
      <c r="Z80" t="str">
        <f t="shared" si="125"/>
        <v>--</v>
      </c>
      <c r="AA80" t="str">
        <f t="shared" si="126"/>
        <v>--</v>
      </c>
      <c r="AB80" t="str">
        <f t="shared" si="127"/>
        <v>x</v>
      </c>
      <c r="AC80" t="str">
        <f t="shared" si="128"/>
        <v>x</v>
      </c>
      <c r="AF80" s="1684" t="str">
        <f t="shared" si="129"/>
        <v>--</v>
      </c>
      <c r="AG80" s="1685">
        <f t="shared" si="130"/>
        <v>1.0999999999999999E-2</v>
      </c>
      <c r="AH80" s="1686" t="e">
        <f t="shared" si="155"/>
        <v>#VALUE!</v>
      </c>
      <c r="AI80" s="1684" t="str">
        <f t="shared" si="131"/>
        <v>--</v>
      </c>
      <c r="AJ80" s="1685">
        <f t="shared" si="132"/>
        <v>820</v>
      </c>
      <c r="AK80" s="1688" t="e">
        <f t="shared" si="156"/>
        <v>#VALUE!</v>
      </c>
      <c r="AL80" s="1685">
        <f t="shared" si="157"/>
        <v>0</v>
      </c>
      <c r="AM80" s="1685">
        <f t="shared" si="158"/>
        <v>1.0999999999999999E-2</v>
      </c>
      <c r="AN80" s="1685">
        <f t="shared" si="133"/>
        <v>0.01</v>
      </c>
      <c r="AO80" s="1686" t="e">
        <f t="shared" si="159"/>
        <v>#DIV/0!</v>
      </c>
      <c r="AP80" s="1684" t="str">
        <f t="shared" si="134"/>
        <v>--</v>
      </c>
      <c r="AQ80" s="1685">
        <f t="shared" si="135"/>
        <v>4.7E-2</v>
      </c>
      <c r="AR80" s="1686" t="e">
        <f t="shared" si="160"/>
        <v>#VALUE!</v>
      </c>
      <c r="AS80" s="1684" t="str">
        <f t="shared" si="136"/>
        <v>--</v>
      </c>
      <c r="AT80" s="1685">
        <f t="shared" si="137"/>
        <v>6.0999999999999999E-2</v>
      </c>
      <c r="AU80" s="1688" t="e">
        <f t="shared" si="161"/>
        <v>#VALUE!</v>
      </c>
      <c r="AV80" s="1685">
        <f t="shared" si="162"/>
        <v>0</v>
      </c>
      <c r="AW80" s="1685">
        <f t="shared" si="163"/>
        <v>4.7E-2</v>
      </c>
      <c r="AX80" s="1685">
        <f t="shared" si="138"/>
        <v>4.3999999999999997E-2</v>
      </c>
      <c r="AY80" s="1686" t="e">
        <f t="shared" si="164"/>
        <v>#DIV/0!</v>
      </c>
      <c r="BA80" s="1756" t="str">
        <f t="shared" si="139"/>
        <v>*</v>
      </c>
      <c r="BB80" s="1685" t="str">
        <f t="shared" si="140"/>
        <v>--</v>
      </c>
      <c r="BC80" s="1685" t="str">
        <f t="shared" si="141"/>
        <v>--</v>
      </c>
      <c r="BE80" s="1684" t="str">
        <f t="shared" si="142"/>
        <v>--</v>
      </c>
      <c r="BF80" s="1685" t="str">
        <f t="shared" si="143"/>
        <v>--</v>
      </c>
      <c r="BG80" s="1686" t="str">
        <f t="shared" si="165"/>
        <v/>
      </c>
      <c r="BH80" s="1684">
        <f t="shared" si="144"/>
        <v>215.84866831048549</v>
      </c>
      <c r="BI80" s="1685">
        <f t="shared" si="145"/>
        <v>220</v>
      </c>
      <c r="BJ80" s="1688">
        <f t="shared" si="166"/>
        <v>-1.9232602739726254E-2</v>
      </c>
      <c r="BK80" s="1685">
        <f t="shared" si="167"/>
        <v>215.84866831048549</v>
      </c>
      <c r="BL80" s="1685">
        <f t="shared" si="168"/>
        <v>220</v>
      </c>
      <c r="BM80" s="1685">
        <f t="shared" si="120"/>
        <v>390</v>
      </c>
      <c r="BN80" s="1686">
        <f t="shared" si="169"/>
        <v>-0.80682143212951474</v>
      </c>
      <c r="BP80" s="1756" t="str">
        <f t="shared" si="170"/>
        <v>*</v>
      </c>
      <c r="BQ80" s="1685" t="str">
        <f t="shared" si="146"/>
        <v>--</v>
      </c>
    </row>
    <row r="81" spans="1:69" ht="15">
      <c r="A81" s="55" t="s">
        <v>233</v>
      </c>
      <c r="B81" t="s">
        <v>234</v>
      </c>
      <c r="C81" s="1684" t="str">
        <f t="shared" si="114"/>
        <v>--</v>
      </c>
      <c r="D81" s="1685" t="str">
        <f t="shared" si="147"/>
        <v>--</v>
      </c>
      <c r="E81" s="1686" t="str">
        <f t="shared" ref="E81:E145" si="175">IF(D81="","",IF(C81=D81,"",(C81-D81)/C81))</f>
        <v/>
      </c>
      <c r="F81" s="1684">
        <f t="shared" si="115"/>
        <v>3586.4677168775784</v>
      </c>
      <c r="G81" s="1685" t="str">
        <f t="shared" si="148"/>
        <v/>
      </c>
      <c r="H81" s="1688" t="str">
        <f t="shared" si="171"/>
        <v/>
      </c>
      <c r="I81" s="1685">
        <f t="shared" si="121"/>
        <v>3586.4677168775784</v>
      </c>
      <c r="J81" s="1685">
        <f t="shared" si="122"/>
        <v>0</v>
      </c>
      <c r="K81" s="1685">
        <f t="shared" si="116"/>
        <v>3600</v>
      </c>
      <c r="L81" s="1686">
        <f t="shared" si="150"/>
        <v>-3.7731506849315792E-3</v>
      </c>
      <c r="M81" s="1684" t="str">
        <f t="shared" si="117"/>
        <v>--</v>
      </c>
      <c r="N81" s="1685" t="str">
        <f t="shared" si="151"/>
        <v>--</v>
      </c>
      <c r="O81" s="1686" t="str">
        <f t="shared" si="123"/>
        <v/>
      </c>
      <c r="P81" s="1684">
        <f t="shared" si="118"/>
        <v>45206.720113120005</v>
      </c>
      <c r="Q81" s="1685">
        <f t="shared" si="152"/>
        <v>29000</v>
      </c>
      <c r="R81" s="1693">
        <f t="shared" si="173"/>
        <v>0.35850245433789946</v>
      </c>
      <c r="S81" s="1685">
        <f t="shared" si="153"/>
        <v>45206.720113120005</v>
      </c>
      <c r="T81" s="1685">
        <f t="shared" si="174"/>
        <v>29000</v>
      </c>
      <c r="U81" s="1685">
        <f t="shared" si="119"/>
        <v>45000</v>
      </c>
      <c r="V81" s="1686">
        <f t="shared" si="172"/>
        <v>4.5727739726025953E-3</v>
      </c>
      <c r="W81" s="1756" t="str">
        <f>IF(OR(Z81&lt;&gt;"--", AA81&lt;&gt;"--",AB81&lt;&gt;"--",AC81&lt;&gt;"--"),"*","")</f>
        <v/>
      </c>
      <c r="X81" s="1685" t="str">
        <f t="shared" si="124"/>
        <v>Route RfC</v>
      </c>
      <c r="Z81" t="str">
        <f t="shared" si="125"/>
        <v>--</v>
      </c>
      <c r="AA81" t="str">
        <f t="shared" si="126"/>
        <v>--</v>
      </c>
      <c r="AB81" t="str">
        <f t="shared" si="127"/>
        <v>--</v>
      </c>
      <c r="AC81" t="str">
        <f t="shared" si="128"/>
        <v>--</v>
      </c>
      <c r="AF81" s="1684" t="str">
        <f t="shared" si="129"/>
        <v>--</v>
      </c>
      <c r="AG81" s="1685" t="str">
        <f t="shared" si="130"/>
        <v>--</v>
      </c>
      <c r="AH81" s="1686" t="str">
        <f t="shared" si="155"/>
        <v/>
      </c>
      <c r="AI81" s="1684" t="str">
        <f t="shared" si="131"/>
        <v>--</v>
      </c>
      <c r="AJ81" s="1685">
        <f t="shared" si="132"/>
        <v>0</v>
      </c>
      <c r="AK81" s="1688" t="e">
        <f t="shared" si="156"/>
        <v>#VALUE!</v>
      </c>
      <c r="AL81" s="1685">
        <f t="shared" si="157"/>
        <v>0</v>
      </c>
      <c r="AM81" s="1685">
        <f t="shared" si="158"/>
        <v>0</v>
      </c>
      <c r="AN81" s="1685" t="str">
        <f t="shared" si="133"/>
        <v>--</v>
      </c>
      <c r="AO81" s="1686" t="str">
        <f t="shared" si="159"/>
        <v>N</v>
      </c>
      <c r="AP81" s="1684" t="str">
        <f t="shared" si="134"/>
        <v>--</v>
      </c>
      <c r="AQ81" s="1685" t="str">
        <f t="shared" si="135"/>
        <v>--</v>
      </c>
      <c r="AR81" s="1686" t="str">
        <f t="shared" si="160"/>
        <v/>
      </c>
      <c r="AS81" s="1684" t="str">
        <f t="shared" si="136"/>
        <v>--</v>
      </c>
      <c r="AT81" s="1685">
        <f t="shared" si="137"/>
        <v>1100</v>
      </c>
      <c r="AU81" s="1688" t="e">
        <f t="shared" si="161"/>
        <v>#VALUE!</v>
      </c>
      <c r="AV81" s="1685">
        <f t="shared" si="162"/>
        <v>0</v>
      </c>
      <c r="AW81" s="1685">
        <f t="shared" si="163"/>
        <v>1100</v>
      </c>
      <c r="AX81" s="1685" t="str">
        <f t="shared" si="138"/>
        <v>--</v>
      </c>
      <c r="AY81" s="1686" t="str">
        <f t="shared" si="164"/>
        <v>N</v>
      </c>
      <c r="BA81" s="1756" t="str">
        <f t="shared" si="139"/>
        <v/>
      </c>
      <c r="BB81" s="1685" t="str">
        <f t="shared" si="140"/>
        <v>V</v>
      </c>
      <c r="BC81" s="1685" t="str">
        <f t="shared" si="141"/>
        <v>Route RfC</v>
      </c>
      <c r="BE81" s="1684" t="str">
        <f t="shared" si="142"/>
        <v>--</v>
      </c>
      <c r="BF81" s="1685" t="str">
        <f t="shared" si="143"/>
        <v>--</v>
      </c>
      <c r="BG81" s="1686" t="str">
        <f t="shared" si="165"/>
        <v/>
      </c>
      <c r="BH81" s="1684">
        <f t="shared" si="144"/>
        <v>534.98176066436667</v>
      </c>
      <c r="BI81" s="1685">
        <f t="shared" si="145"/>
        <v>260</v>
      </c>
      <c r="BJ81" s="1688">
        <f t="shared" si="166"/>
        <v>0.51400212284411495</v>
      </c>
      <c r="BK81" s="1685">
        <f t="shared" si="167"/>
        <v>534.98176066436667</v>
      </c>
      <c r="BL81" s="1685">
        <f t="shared" si="168"/>
        <v>260</v>
      </c>
      <c r="BM81" s="1685">
        <f t="shared" si="120"/>
        <v>530</v>
      </c>
      <c r="BN81" s="1686">
        <f t="shared" si="169"/>
        <v>9.312019643772677E-3</v>
      </c>
      <c r="BP81" s="1756" t="str">
        <f t="shared" si="170"/>
        <v/>
      </c>
      <c r="BQ81" s="1685" t="str">
        <f t="shared" si="146"/>
        <v>Route RfC</v>
      </c>
    </row>
    <row r="82" spans="1:69" ht="15">
      <c r="A82" t="s">
        <v>235</v>
      </c>
      <c r="B82" t="s">
        <v>236</v>
      </c>
      <c r="C82" s="1684" t="str">
        <f t="shared" si="114"/>
        <v>--</v>
      </c>
      <c r="D82" s="1685" t="str">
        <f t="shared" si="147"/>
        <v>--</v>
      </c>
      <c r="E82" s="1686" t="str">
        <f t="shared" si="175"/>
        <v/>
      </c>
      <c r="F82" s="1684">
        <f t="shared" si="115"/>
        <v>17932.338584387893</v>
      </c>
      <c r="G82" s="1685" t="str">
        <f t="shared" si="148"/>
        <v/>
      </c>
      <c r="H82" s="1688" t="str">
        <f t="shared" si="171"/>
        <v/>
      </c>
      <c r="I82" s="1685">
        <f t="shared" si="121"/>
        <v>17932.338584387893</v>
      </c>
      <c r="J82" s="1685">
        <f t="shared" si="122"/>
        <v>0</v>
      </c>
      <c r="K82" s="1685">
        <f t="shared" si="116"/>
        <v>18000</v>
      </c>
      <c r="L82" s="1686">
        <f t="shared" si="150"/>
        <v>-3.7731506849315029E-3</v>
      </c>
      <c r="M82" s="1684" t="str">
        <f t="shared" si="117"/>
        <v>--</v>
      </c>
      <c r="N82" s="1685" t="str">
        <f t="shared" si="151"/>
        <v>--</v>
      </c>
      <c r="O82" s="1686" t="str">
        <f t="shared" si="123"/>
        <v/>
      </c>
      <c r="P82" s="1684">
        <f t="shared" si="118"/>
        <v>226033.60056560003</v>
      </c>
      <c r="Q82" s="1685">
        <f t="shared" si="152"/>
        <v>170000</v>
      </c>
      <c r="R82" s="1693">
        <f t="shared" si="173"/>
        <v>0.24789942922374419</v>
      </c>
      <c r="S82" s="1685">
        <f t="shared" si="153"/>
        <v>226033.60056560003</v>
      </c>
      <c r="T82" s="1685">
        <f t="shared" si="174"/>
        <v>170000</v>
      </c>
      <c r="U82" s="1685">
        <f t="shared" si="119"/>
        <v>230000</v>
      </c>
      <c r="V82" s="1686">
        <f t="shared" si="172"/>
        <v>-1.7547831050228425E-2</v>
      </c>
      <c r="W82" s="1756" t="str">
        <f t="shared" si="154"/>
        <v/>
      </c>
      <c r="X82" s="1685" t="str">
        <f t="shared" si="124"/>
        <v>Route RfC</v>
      </c>
      <c r="Z82" t="str">
        <f t="shared" si="125"/>
        <v>--</v>
      </c>
      <c r="AA82" t="str">
        <f t="shared" si="126"/>
        <v>--</v>
      </c>
      <c r="AB82" t="str">
        <f t="shared" si="127"/>
        <v>--</v>
      </c>
      <c r="AC82" t="str">
        <f t="shared" si="128"/>
        <v>--</v>
      </c>
      <c r="AF82" s="1684" t="str">
        <f t="shared" si="129"/>
        <v>--</v>
      </c>
      <c r="AG82" s="1685" t="str">
        <f t="shared" si="130"/>
        <v>--</v>
      </c>
      <c r="AH82" s="1686" t="str">
        <f t="shared" si="155"/>
        <v/>
      </c>
      <c r="AI82" s="1684" t="str">
        <f t="shared" si="131"/>
        <v>--</v>
      </c>
      <c r="AJ82" s="1685">
        <f t="shared" si="132"/>
        <v>0</v>
      </c>
      <c r="AK82" s="1688" t="e">
        <f t="shared" si="156"/>
        <v>#VALUE!</v>
      </c>
      <c r="AL82" s="1685">
        <f t="shared" si="157"/>
        <v>0</v>
      </c>
      <c r="AM82" s="1685">
        <f t="shared" si="158"/>
        <v>0</v>
      </c>
      <c r="AN82" s="1685" t="str">
        <f t="shared" si="133"/>
        <v>--</v>
      </c>
      <c r="AO82" s="1686" t="str">
        <f t="shared" si="159"/>
        <v>N</v>
      </c>
      <c r="AP82" s="1684" t="str">
        <f t="shared" si="134"/>
        <v>--</v>
      </c>
      <c r="AQ82" s="1685" t="str">
        <f t="shared" si="135"/>
        <v>--</v>
      </c>
      <c r="AR82" s="1686" t="str">
        <f t="shared" si="160"/>
        <v/>
      </c>
      <c r="AS82" s="1684" t="str">
        <f t="shared" si="136"/>
        <v>--</v>
      </c>
      <c r="AT82" s="1685">
        <f t="shared" si="137"/>
        <v>5300</v>
      </c>
      <c r="AU82" s="1688" t="e">
        <f t="shared" si="161"/>
        <v>#VALUE!</v>
      </c>
      <c r="AV82" s="1685">
        <f t="shared" si="162"/>
        <v>0</v>
      </c>
      <c r="AW82" s="1685">
        <f t="shared" si="163"/>
        <v>5300</v>
      </c>
      <c r="AX82" s="1685" t="str">
        <f t="shared" si="138"/>
        <v>--</v>
      </c>
      <c r="AY82" s="1686" t="str">
        <f t="shared" si="164"/>
        <v>N</v>
      </c>
      <c r="BA82" s="1756" t="str">
        <f t="shared" si="139"/>
        <v/>
      </c>
      <c r="BB82" s="1685" t="str">
        <f t="shared" si="140"/>
        <v>V</v>
      </c>
      <c r="BC82" s="1685" t="str">
        <f t="shared" si="141"/>
        <v>Route RfC</v>
      </c>
      <c r="BE82" s="1684" t="str">
        <f t="shared" si="142"/>
        <v>--</v>
      </c>
      <c r="BF82" s="1685" t="str">
        <f t="shared" si="143"/>
        <v>--</v>
      </c>
      <c r="BG82" s="1686" t="str">
        <f t="shared" si="165"/>
        <v/>
      </c>
      <c r="BH82" s="1684">
        <f t="shared" si="144"/>
        <v>1765.228896017758</v>
      </c>
      <c r="BI82" s="1685">
        <f t="shared" si="145"/>
        <v>1000</v>
      </c>
      <c r="BJ82" s="1688">
        <f t="shared" si="166"/>
        <v>0.43350122907236832</v>
      </c>
      <c r="BK82" s="1685">
        <f t="shared" si="167"/>
        <v>1765.228896017758</v>
      </c>
      <c r="BL82" s="1685">
        <f t="shared" si="168"/>
        <v>1000</v>
      </c>
      <c r="BM82" s="1685">
        <f t="shared" si="120"/>
        <v>1800</v>
      </c>
      <c r="BN82" s="1686">
        <f t="shared" si="169"/>
        <v>-1.9697787669736993E-2</v>
      </c>
      <c r="BP82" s="1756" t="str">
        <f t="shared" si="170"/>
        <v/>
      </c>
      <c r="BQ82" s="1685" t="str">
        <f t="shared" si="146"/>
        <v>Route RfC</v>
      </c>
    </row>
    <row r="83" spans="1:69">
      <c r="A83" t="s">
        <v>237</v>
      </c>
      <c r="B83" t="s">
        <v>238</v>
      </c>
      <c r="C83" s="1684">
        <f t="shared" si="114"/>
        <v>1.1166477833160362</v>
      </c>
      <c r="D83" s="1685">
        <f t="shared" si="147"/>
        <v>1.1000000000000001</v>
      </c>
      <c r="E83" s="1686">
        <f t="shared" si="175"/>
        <v>1.4908714784350598E-2</v>
      </c>
      <c r="F83" s="1684" t="str">
        <f t="shared" si="115"/>
        <v>--</v>
      </c>
      <c r="G83" s="1685" t="str">
        <f t="shared" si="148"/>
        <v>--</v>
      </c>
      <c r="H83" s="1688" t="str">
        <f t="shared" si="171"/>
        <v/>
      </c>
      <c r="I83" s="1685">
        <f t="shared" si="121"/>
        <v>1.1166477833160362</v>
      </c>
      <c r="J83" s="1685">
        <f t="shared" si="122"/>
        <v>1.1000000000000001</v>
      </c>
      <c r="K83" s="1685">
        <f t="shared" si="116"/>
        <v>1.1000000000000001</v>
      </c>
      <c r="L83" s="1686">
        <f t="shared" si="150"/>
        <v>1.4908714784350598E-2</v>
      </c>
      <c r="M83" s="1684">
        <f t="shared" si="117"/>
        <v>20.209812028790335</v>
      </c>
      <c r="N83" s="1685">
        <f t="shared" si="151"/>
        <v>16</v>
      </c>
      <c r="O83" s="1689">
        <f t="shared" si="123"/>
        <v>0.2083053530034398</v>
      </c>
      <c r="P83" s="1684" t="str">
        <f t="shared" si="118"/>
        <v>--</v>
      </c>
      <c r="Q83" s="1685" t="str">
        <f t="shared" si="152"/>
        <v>--</v>
      </c>
      <c r="R83" s="1688" t="str">
        <f t="shared" si="173"/>
        <v/>
      </c>
      <c r="S83" s="1685">
        <f t="shared" si="153"/>
        <v>20.209812028790335</v>
      </c>
      <c r="T83" s="1685">
        <f t="shared" ref="T83:T143" si="176">IF(AND(N83="",Q83=""),"",MIN(Q83,N83))</f>
        <v>16</v>
      </c>
      <c r="U83" s="1685">
        <f t="shared" si="119"/>
        <v>21</v>
      </c>
      <c r="V83" s="1686">
        <f t="shared" si="172"/>
        <v>-3.909922418298524E-2</v>
      </c>
      <c r="W83" s="1756" t="str">
        <f t="shared" si="154"/>
        <v>*</v>
      </c>
      <c r="X83" s="1685" t="str">
        <f t="shared" si="124"/>
        <v>--</v>
      </c>
      <c r="Z83" t="str">
        <f t="shared" si="125"/>
        <v>--</v>
      </c>
      <c r="AA83" t="str">
        <f t="shared" si="126"/>
        <v>x</v>
      </c>
      <c r="AB83" t="str">
        <f t="shared" si="127"/>
        <v>--</v>
      </c>
      <c r="AC83" t="str">
        <f t="shared" si="128"/>
        <v>--</v>
      </c>
      <c r="AF83" s="1684">
        <f t="shared" si="129"/>
        <v>9.2171717171717158E-3</v>
      </c>
      <c r="AG83" s="1685">
        <f t="shared" si="130"/>
        <v>9.1999999999999998E-3</v>
      </c>
      <c r="AH83" s="1686">
        <f t="shared" si="155"/>
        <v>1.8630136986300062E-3</v>
      </c>
      <c r="AI83" s="1684" t="str">
        <f t="shared" si="131"/>
        <v>--</v>
      </c>
      <c r="AJ83" s="1685" t="str">
        <f t="shared" si="132"/>
        <v>--</v>
      </c>
      <c r="AK83" s="1688" t="str">
        <f t="shared" si="156"/>
        <v/>
      </c>
      <c r="AL83" s="1685">
        <f t="shared" si="157"/>
        <v>9.2171717171717158E-3</v>
      </c>
      <c r="AM83" s="1685">
        <f t="shared" si="158"/>
        <v>9.1999999999999998E-3</v>
      </c>
      <c r="AN83" s="1685">
        <f t="shared" si="133"/>
        <v>1.7000000000000001E-2</v>
      </c>
      <c r="AO83" s="1686">
        <f t="shared" si="159"/>
        <v>-0.84438356164383599</v>
      </c>
      <c r="AP83" s="1684">
        <f t="shared" si="134"/>
        <v>0.11149090909090907</v>
      </c>
      <c r="AQ83" s="1685">
        <f t="shared" si="135"/>
        <v>0.11</v>
      </c>
      <c r="AR83" s="1686">
        <f t="shared" si="160"/>
        <v>1.3372472276581684E-2</v>
      </c>
      <c r="AS83" s="1684" t="str">
        <f t="shared" si="136"/>
        <v>--</v>
      </c>
      <c r="AT83" s="1685" t="str">
        <f t="shared" si="137"/>
        <v>--</v>
      </c>
      <c r="AU83" s="1688" t="str">
        <f t="shared" si="161"/>
        <v/>
      </c>
      <c r="AV83" s="1685">
        <f t="shared" si="162"/>
        <v>0.11149090909090907</v>
      </c>
      <c r="AW83" s="1685">
        <f t="shared" si="163"/>
        <v>0.11</v>
      </c>
      <c r="AX83" s="1685">
        <f t="shared" si="138"/>
        <v>0.2</v>
      </c>
      <c r="AY83" s="1686">
        <f t="shared" si="164"/>
        <v>-0.79386823222439706</v>
      </c>
      <c r="BA83" s="1756" t="str">
        <f t="shared" si="139"/>
        <v>*</v>
      </c>
      <c r="BB83" s="1685" t="str">
        <f t="shared" si="140"/>
        <v>V</v>
      </c>
      <c r="BC83" s="1685" t="str">
        <f t="shared" si="141"/>
        <v>--</v>
      </c>
      <c r="BE83" s="1684">
        <f t="shared" si="142"/>
        <v>1.7170814319988709E-2</v>
      </c>
      <c r="BF83" s="1685">
        <f t="shared" si="143"/>
        <v>1.7000000000000001E-2</v>
      </c>
      <c r="BG83" s="1686">
        <f t="shared" si="165"/>
        <v>9.947945205479326E-3</v>
      </c>
      <c r="BH83" s="1684" t="str">
        <f t="shared" si="144"/>
        <v>--</v>
      </c>
      <c r="BI83" s="1685" t="str">
        <f t="shared" si="145"/>
        <v>--</v>
      </c>
      <c r="BJ83" s="1688" t="str">
        <f t="shared" si="166"/>
        <v/>
      </c>
      <c r="BK83" s="1685">
        <f t="shared" si="167"/>
        <v>1.7170814319988709E-2</v>
      </c>
      <c r="BL83" s="1685">
        <f t="shared" si="168"/>
        <v>1.7000000000000001E-2</v>
      </c>
      <c r="BM83" s="1685">
        <f t="shared" si="120"/>
        <v>0.03</v>
      </c>
      <c r="BN83" s="1686">
        <f t="shared" si="169"/>
        <v>-0.74715068493150683</v>
      </c>
      <c r="BP83" s="1756" t="str">
        <f t="shared" si="170"/>
        <v>*</v>
      </c>
      <c r="BQ83" s="1685" t="str">
        <f t="shared" si="146"/>
        <v>--</v>
      </c>
    </row>
    <row r="84" spans="1:69">
      <c r="A84" t="s">
        <v>239</v>
      </c>
      <c r="B84" t="s">
        <v>240</v>
      </c>
      <c r="C84" s="1684">
        <f t="shared" si="114"/>
        <v>0.11481726168201646</v>
      </c>
      <c r="D84" s="1685">
        <f t="shared" si="147"/>
        <v>0.11</v>
      </c>
      <c r="E84" s="1686">
        <f t="shared" si="175"/>
        <v>4.1955901154982655E-2</v>
      </c>
      <c r="F84" s="1684">
        <f t="shared" si="115"/>
        <v>17.819685460294966</v>
      </c>
      <c r="G84" s="1685" t="str">
        <f t="shared" si="148"/>
        <v/>
      </c>
      <c r="H84" s="1688" t="str">
        <f t="shared" si="171"/>
        <v/>
      </c>
      <c r="I84" s="1685">
        <f t="shared" si="121"/>
        <v>0.11481726168201646</v>
      </c>
      <c r="J84" s="1685">
        <f t="shared" si="122"/>
        <v>0.11</v>
      </c>
      <c r="K84" s="1685">
        <f t="shared" si="116"/>
        <v>0.11</v>
      </c>
      <c r="L84" s="1686">
        <f t="shared" si="150"/>
        <v>4.1955901154982655E-2</v>
      </c>
      <c r="M84" s="1684">
        <f t="shared" si="117"/>
        <v>2.1093534570827845</v>
      </c>
      <c r="N84" s="1685">
        <f t="shared" si="151"/>
        <v>1.7</v>
      </c>
      <c r="O84" s="1689">
        <f t="shared" si="123"/>
        <v>0.19406584311806921</v>
      </c>
      <c r="P84" s="1684">
        <f t="shared" si="118"/>
        <v>221.82497366089112</v>
      </c>
      <c r="Q84" s="1685">
        <f t="shared" si="152"/>
        <v>180</v>
      </c>
      <c r="R84" s="1690">
        <f t="shared" si="173"/>
        <v>0.18854943593875911</v>
      </c>
      <c r="S84" s="1685">
        <f t="shared" si="153"/>
        <v>2.1093534570827845</v>
      </c>
      <c r="T84" s="1685">
        <f t="shared" si="176"/>
        <v>1.7</v>
      </c>
      <c r="U84" s="1685">
        <f t="shared" si="119"/>
        <v>2.1</v>
      </c>
      <c r="V84" s="1686">
        <f t="shared" si="172"/>
        <v>4.4342767929089495E-3</v>
      </c>
      <c r="W84" s="1756" t="str">
        <f t="shared" si="154"/>
        <v>*</v>
      </c>
      <c r="X84" s="1685" t="str">
        <f t="shared" si="124"/>
        <v>--</v>
      </c>
      <c r="Z84" t="str">
        <f t="shared" si="125"/>
        <v>--</v>
      </c>
      <c r="AA84" t="str">
        <f t="shared" si="126"/>
        <v>x</v>
      </c>
      <c r="AB84" t="str">
        <f t="shared" si="127"/>
        <v>--</v>
      </c>
      <c r="AC84" t="str">
        <f t="shared" si="128"/>
        <v>--</v>
      </c>
      <c r="AF84" s="1684" t="str">
        <f t="shared" si="129"/>
        <v>--</v>
      </c>
      <c r="AG84" s="1685">
        <f t="shared" si="130"/>
        <v>9.2000000000000003E-4</v>
      </c>
      <c r="AH84" s="1686" t="e">
        <f t="shared" si="155"/>
        <v>#VALUE!</v>
      </c>
      <c r="AI84" s="1684" t="str">
        <f t="shared" si="131"/>
        <v>--</v>
      </c>
      <c r="AJ84" s="1685" t="str">
        <f t="shared" si="132"/>
        <v/>
      </c>
      <c r="AK84" s="1688" t="str">
        <f t="shared" si="156"/>
        <v/>
      </c>
      <c r="AL84" s="1685">
        <f t="shared" si="157"/>
        <v>0</v>
      </c>
      <c r="AM84" s="1685">
        <f t="shared" si="158"/>
        <v>9.2000000000000003E-4</v>
      </c>
      <c r="AN84" s="1685">
        <f t="shared" si="133"/>
        <v>1.6999999999999999E-3</v>
      </c>
      <c r="AO84" s="1686" t="e">
        <f t="shared" si="159"/>
        <v>#DIV/0!</v>
      </c>
      <c r="AP84" s="1684" t="str">
        <f t="shared" si="134"/>
        <v>--</v>
      </c>
      <c r="AQ84" s="1685">
        <f t="shared" si="135"/>
        <v>1.0999999999999999E-2</v>
      </c>
      <c r="AR84" s="1686" t="e">
        <f t="shared" si="160"/>
        <v>#VALUE!</v>
      </c>
      <c r="AS84" s="1684" t="str">
        <f t="shared" si="136"/>
        <v>--</v>
      </c>
      <c r="AT84" s="1685" t="str">
        <f t="shared" si="137"/>
        <v/>
      </c>
      <c r="AU84" s="1688" t="str">
        <f t="shared" si="161"/>
        <v/>
      </c>
      <c r="AV84" s="1685">
        <f t="shared" si="162"/>
        <v>0</v>
      </c>
      <c r="AW84" s="1685">
        <f t="shared" si="163"/>
        <v>1.0999999999999999E-2</v>
      </c>
      <c r="AX84" s="1685">
        <f t="shared" si="138"/>
        <v>8.8000000000000005E-3</v>
      </c>
      <c r="AY84" s="1686" t="e">
        <f t="shared" si="164"/>
        <v>#DIV/0!</v>
      </c>
      <c r="BA84" s="1756" t="str">
        <f t="shared" si="139"/>
        <v>*</v>
      </c>
      <c r="BB84" s="1685" t="str">
        <f t="shared" si="140"/>
        <v>--</v>
      </c>
      <c r="BC84" s="1685" t="str">
        <f t="shared" si="141"/>
        <v>--</v>
      </c>
      <c r="BE84" s="1684">
        <f t="shared" si="142"/>
        <v>2.5051475634866163E-2</v>
      </c>
      <c r="BF84" s="1685" t="str">
        <f t="shared" si="143"/>
        <v/>
      </c>
      <c r="BG84" s="1686" t="str">
        <f t="shared" si="165"/>
        <v/>
      </c>
      <c r="BH84" s="1684">
        <f t="shared" si="144"/>
        <v>6.0164835164835164</v>
      </c>
      <c r="BI84" s="1685" t="str">
        <f t="shared" si="145"/>
        <v/>
      </c>
      <c r="BJ84" s="1688" t="str">
        <f t="shared" si="166"/>
        <v/>
      </c>
      <c r="BK84" s="1685">
        <f t="shared" si="167"/>
        <v>2.5051475634866163E-2</v>
      </c>
      <c r="BL84" s="1685" t="str">
        <f t="shared" si="168"/>
        <v/>
      </c>
      <c r="BM84" s="1685">
        <f t="shared" si="120"/>
        <v>2.5000000000000001E-2</v>
      </c>
      <c r="BN84" s="1686">
        <f t="shared" si="169"/>
        <v>2.0547945205478856E-3</v>
      </c>
      <c r="BP84" s="1756" t="str">
        <f t="shared" si="170"/>
        <v>*</v>
      </c>
      <c r="BQ84" s="1685" t="str">
        <f t="shared" si="146"/>
        <v>--</v>
      </c>
    </row>
    <row r="85" spans="1:69">
      <c r="A85" t="s">
        <v>241</v>
      </c>
      <c r="B85" t="s">
        <v>242</v>
      </c>
      <c r="C85" s="1684">
        <f t="shared" si="114"/>
        <v>1.1481726168201645</v>
      </c>
      <c r="D85" s="1685">
        <f t="shared" si="147"/>
        <v>1.1000000000000001</v>
      </c>
      <c r="E85" s="1686">
        <f t="shared" si="175"/>
        <v>4.1955901154982468E-2</v>
      </c>
      <c r="F85" s="1684" t="str">
        <f t="shared" si="115"/>
        <v>--</v>
      </c>
      <c r="G85" s="1685" t="str">
        <f t="shared" si="148"/>
        <v>--</v>
      </c>
      <c r="H85" s="1688" t="str">
        <f t="shared" si="171"/>
        <v/>
      </c>
      <c r="I85" s="1685">
        <f t="shared" si="121"/>
        <v>1.1481726168201645</v>
      </c>
      <c r="J85" s="1685">
        <f t="shared" si="122"/>
        <v>1.1000000000000001</v>
      </c>
      <c r="K85" s="1685">
        <f t="shared" si="116"/>
        <v>1.1000000000000001</v>
      </c>
      <c r="L85" s="1686">
        <f t="shared" si="150"/>
        <v>4.1955901154982468E-2</v>
      </c>
      <c r="M85" s="1684">
        <f t="shared" si="117"/>
        <v>21.093534570827845</v>
      </c>
      <c r="N85" s="1685">
        <f t="shared" si="151"/>
        <v>17</v>
      </c>
      <c r="O85" s="1689">
        <f t="shared" si="123"/>
        <v>0.19406584311806918</v>
      </c>
      <c r="P85" s="1684" t="str">
        <f t="shared" si="118"/>
        <v>--</v>
      </c>
      <c r="Q85" s="1685" t="str">
        <f t="shared" si="152"/>
        <v>--</v>
      </c>
      <c r="R85" s="1688" t="str">
        <f t="shared" si="173"/>
        <v/>
      </c>
      <c r="S85" s="1685">
        <f t="shared" si="153"/>
        <v>21.093534570827845</v>
      </c>
      <c r="T85" s="1685">
        <f t="shared" si="176"/>
        <v>17</v>
      </c>
      <c r="U85" s="1685">
        <f t="shared" si="119"/>
        <v>21</v>
      </c>
      <c r="V85" s="1686">
        <f t="shared" si="172"/>
        <v>4.434276792908992E-3</v>
      </c>
      <c r="W85" s="1756" t="str">
        <f t="shared" si="154"/>
        <v>*</v>
      </c>
      <c r="X85" s="1685" t="str">
        <f t="shared" si="124"/>
        <v>--</v>
      </c>
      <c r="Z85" t="str">
        <f t="shared" si="125"/>
        <v>--</v>
      </c>
      <c r="AA85" t="str">
        <f t="shared" si="126"/>
        <v>x</v>
      </c>
      <c r="AB85" t="str">
        <f t="shared" si="127"/>
        <v>--</v>
      </c>
      <c r="AC85" t="str">
        <f t="shared" si="128"/>
        <v>--</v>
      </c>
      <c r="AF85" s="1684" t="str">
        <f t="shared" si="129"/>
        <v>--</v>
      </c>
      <c r="AG85" s="1685">
        <f t="shared" si="130"/>
        <v>9.1999999999999998E-3</v>
      </c>
      <c r="AH85" s="1686" t="e">
        <f t="shared" si="155"/>
        <v>#VALUE!</v>
      </c>
      <c r="AI85" s="1684" t="str">
        <f t="shared" si="131"/>
        <v>--</v>
      </c>
      <c r="AJ85" s="1685" t="str">
        <f t="shared" si="132"/>
        <v>--</v>
      </c>
      <c r="AK85" s="1688" t="str">
        <f t="shared" si="156"/>
        <v/>
      </c>
      <c r="AL85" s="1685">
        <f t="shared" si="157"/>
        <v>0</v>
      </c>
      <c r="AM85" s="1685">
        <f t="shared" si="158"/>
        <v>9.1999999999999998E-3</v>
      </c>
      <c r="AN85" s="1685">
        <f t="shared" si="133"/>
        <v>1.7000000000000001E-2</v>
      </c>
      <c r="AO85" s="1686" t="e">
        <f t="shared" si="159"/>
        <v>#DIV/0!</v>
      </c>
      <c r="AP85" s="1684" t="str">
        <f t="shared" si="134"/>
        <v>--</v>
      </c>
      <c r="AQ85" s="1685">
        <f t="shared" si="135"/>
        <v>0.11</v>
      </c>
      <c r="AR85" s="1686" t="e">
        <f t="shared" si="160"/>
        <v>#VALUE!</v>
      </c>
      <c r="AS85" s="1684" t="str">
        <f t="shared" si="136"/>
        <v>--</v>
      </c>
      <c r="AT85" s="1685" t="str">
        <f t="shared" si="137"/>
        <v>--</v>
      </c>
      <c r="AU85" s="1688" t="str">
        <f t="shared" si="161"/>
        <v/>
      </c>
      <c r="AV85" s="1685">
        <f t="shared" si="162"/>
        <v>0</v>
      </c>
      <c r="AW85" s="1685">
        <f t="shared" si="163"/>
        <v>0.11</v>
      </c>
      <c r="AX85" s="1685">
        <f t="shared" si="138"/>
        <v>0.2</v>
      </c>
      <c r="AY85" s="1686" t="e">
        <f t="shared" si="164"/>
        <v>#DIV/0!</v>
      </c>
      <c r="BA85" s="1756" t="str">
        <f t="shared" si="139"/>
        <v>*</v>
      </c>
      <c r="BB85" s="1685" t="str">
        <f t="shared" si="140"/>
        <v>--</v>
      </c>
      <c r="BC85" s="1685" t="str">
        <f t="shared" si="141"/>
        <v>--</v>
      </c>
      <c r="BE85" s="1684">
        <f t="shared" si="142"/>
        <v>0.2505147563486616</v>
      </c>
      <c r="BF85" s="1685" t="str">
        <f t="shared" si="143"/>
        <v/>
      </c>
      <c r="BG85" s="1686" t="str">
        <f t="shared" si="165"/>
        <v/>
      </c>
      <c r="BH85" s="1684" t="str">
        <f t="shared" si="144"/>
        <v>--</v>
      </c>
      <c r="BI85" s="1685" t="str">
        <f t="shared" si="145"/>
        <v/>
      </c>
      <c r="BJ85" s="1688" t="str">
        <f t="shared" si="166"/>
        <v/>
      </c>
      <c r="BK85" s="1685">
        <f t="shared" si="167"/>
        <v>0.2505147563486616</v>
      </c>
      <c r="BL85" s="1685" t="str">
        <f t="shared" si="168"/>
        <v/>
      </c>
      <c r="BM85" s="1685">
        <f t="shared" si="120"/>
        <v>0.25</v>
      </c>
      <c r="BN85" s="1686">
        <f t="shared" si="169"/>
        <v>2.0547945205478305E-3</v>
      </c>
      <c r="BP85" s="1756" t="str">
        <f t="shared" si="170"/>
        <v>*</v>
      </c>
      <c r="BQ85" s="1685" t="str">
        <f t="shared" si="146"/>
        <v>--</v>
      </c>
    </row>
    <row r="86" spans="1:69">
      <c r="A86" t="s">
        <v>243</v>
      </c>
      <c r="B86" t="s">
        <v>244</v>
      </c>
      <c r="C86" s="1684">
        <f t="shared" si="114"/>
        <v>11.472268971367336</v>
      </c>
      <c r="D86" s="1685">
        <f t="shared" si="147"/>
        <v>11</v>
      </c>
      <c r="E86" s="1686">
        <f t="shared" si="175"/>
        <v>4.1166134837496628E-2</v>
      </c>
      <c r="F86" s="1684" t="str">
        <f t="shared" si="115"/>
        <v>--</v>
      </c>
      <c r="G86" s="1685" t="str">
        <f t="shared" si="148"/>
        <v>--</v>
      </c>
      <c r="H86" s="1688" t="str">
        <f t="shared" si="171"/>
        <v/>
      </c>
      <c r="I86" s="1685">
        <f t="shared" si="121"/>
        <v>11.472268971367336</v>
      </c>
      <c r="J86" s="1685">
        <f t="shared" si="122"/>
        <v>11</v>
      </c>
      <c r="K86" s="1685">
        <f t="shared" si="116"/>
        <v>11</v>
      </c>
      <c r="L86" s="1686">
        <f t="shared" si="150"/>
        <v>4.1166134837496628E-2</v>
      </c>
      <c r="M86" s="1684">
        <f t="shared" si="117"/>
        <v>210.67157931890355</v>
      </c>
      <c r="N86" s="1685">
        <f t="shared" si="151"/>
        <v>170</v>
      </c>
      <c r="O86" s="1689">
        <f t="shared" si="123"/>
        <v>0.19305679223744299</v>
      </c>
      <c r="P86" s="1684" t="str">
        <f t="shared" si="118"/>
        <v>--</v>
      </c>
      <c r="Q86" s="1685" t="str">
        <f t="shared" si="152"/>
        <v>--</v>
      </c>
      <c r="R86" s="1688" t="str">
        <f t="shared" si="173"/>
        <v/>
      </c>
      <c r="S86" s="1685">
        <f t="shared" si="153"/>
        <v>210.67157931890355</v>
      </c>
      <c r="T86" s="1685">
        <f t="shared" si="176"/>
        <v>170</v>
      </c>
      <c r="U86" s="1685">
        <f t="shared" si="119"/>
        <v>210</v>
      </c>
      <c r="V86" s="1686">
        <f t="shared" si="172"/>
        <v>3.1878021756648642E-3</v>
      </c>
      <c r="W86" s="1756" t="str">
        <f t="shared" si="154"/>
        <v>*</v>
      </c>
      <c r="X86" s="1685" t="str">
        <f t="shared" si="124"/>
        <v>--</v>
      </c>
      <c r="Z86" t="str">
        <f t="shared" si="125"/>
        <v>--</v>
      </c>
      <c r="AA86" t="str">
        <f t="shared" si="126"/>
        <v>x</v>
      </c>
      <c r="AB86" t="str">
        <f t="shared" si="127"/>
        <v>--</v>
      </c>
      <c r="AC86" t="str">
        <f t="shared" si="128"/>
        <v>--</v>
      </c>
      <c r="AF86" s="1684" t="str">
        <f t="shared" si="129"/>
        <v>--</v>
      </c>
      <c r="AG86" s="1685">
        <f t="shared" si="130"/>
        <v>9.1999999999999998E-3</v>
      </c>
      <c r="AH86" s="1686" t="e">
        <f t="shared" si="155"/>
        <v>#VALUE!</v>
      </c>
      <c r="AI86" s="1684" t="str">
        <f t="shared" si="131"/>
        <v>--</v>
      </c>
      <c r="AJ86" s="1685" t="str">
        <f t="shared" si="132"/>
        <v>--</v>
      </c>
      <c r="AK86" s="1688" t="str">
        <f t="shared" si="156"/>
        <v/>
      </c>
      <c r="AL86" s="1685">
        <f t="shared" si="157"/>
        <v>0</v>
      </c>
      <c r="AM86" s="1685">
        <f t="shared" si="158"/>
        <v>9.1999999999999998E-3</v>
      </c>
      <c r="AN86" s="1685">
        <f t="shared" si="133"/>
        <v>0.17</v>
      </c>
      <c r="AO86" s="1686" t="e">
        <f t="shared" si="159"/>
        <v>#DIV/0!</v>
      </c>
      <c r="AP86" s="1684" t="str">
        <f t="shared" si="134"/>
        <v>--</v>
      </c>
      <c r="AQ86" s="1685">
        <f t="shared" si="135"/>
        <v>0.11</v>
      </c>
      <c r="AR86" s="1686" t="e">
        <f t="shared" si="160"/>
        <v>#VALUE!</v>
      </c>
      <c r="AS86" s="1684" t="str">
        <f t="shared" si="136"/>
        <v>--</v>
      </c>
      <c r="AT86" s="1685" t="str">
        <f t="shared" si="137"/>
        <v>--</v>
      </c>
      <c r="AU86" s="1688" t="str">
        <f t="shared" si="161"/>
        <v/>
      </c>
      <c r="AV86" s="1685">
        <f t="shared" si="162"/>
        <v>0</v>
      </c>
      <c r="AW86" s="1685">
        <f t="shared" si="163"/>
        <v>0.11</v>
      </c>
      <c r="AX86" s="1685">
        <f t="shared" si="138"/>
        <v>2</v>
      </c>
      <c r="AY86" s="1686" t="e">
        <f t="shared" si="164"/>
        <v>#DIV/0!</v>
      </c>
      <c r="BA86" s="1756" t="str">
        <f t="shared" si="139"/>
        <v>*</v>
      </c>
      <c r="BB86" s="1685" t="str">
        <f t="shared" si="140"/>
        <v>--</v>
      </c>
      <c r="BC86" s="1685" t="str">
        <f t="shared" si="141"/>
        <v>--</v>
      </c>
      <c r="BE86" s="1684">
        <f t="shared" si="142"/>
        <v>2.5051475634866165</v>
      </c>
      <c r="BF86" s="1685" t="str">
        <f t="shared" si="143"/>
        <v/>
      </c>
      <c r="BG86" s="1686" t="str">
        <f t="shared" si="165"/>
        <v/>
      </c>
      <c r="BH86" s="1684" t="str">
        <f t="shared" si="144"/>
        <v>--</v>
      </c>
      <c r="BI86" s="1685" t="str">
        <f t="shared" si="145"/>
        <v/>
      </c>
      <c r="BJ86" s="1688" t="str">
        <f t="shared" si="166"/>
        <v/>
      </c>
      <c r="BK86" s="1685">
        <f t="shared" si="167"/>
        <v>2.5051475634866165</v>
      </c>
      <c r="BL86" s="1685" t="str">
        <f t="shared" si="168"/>
        <v/>
      </c>
      <c r="BM86" s="1685">
        <f t="shared" si="120"/>
        <v>2.5</v>
      </c>
      <c r="BN86" s="1686">
        <f t="shared" si="169"/>
        <v>2.0547945205480075E-3</v>
      </c>
      <c r="BP86" s="1756" t="str">
        <f t="shared" si="170"/>
        <v>*</v>
      </c>
      <c r="BQ86" s="1685" t="str">
        <f t="shared" si="146"/>
        <v>--</v>
      </c>
    </row>
    <row r="87" spans="1:69">
      <c r="A87" t="s">
        <v>245</v>
      </c>
      <c r="B87" t="s">
        <v>246</v>
      </c>
      <c r="C87" s="1684">
        <f t="shared" ref="C87:C123" si="177">VLOOKUP($A87,Table_S_Summary,MATCH("S-Res-C",heading_S_Summary,0),FALSE)</f>
        <v>114.72268971367338</v>
      </c>
      <c r="D87" s="1685">
        <f t="shared" si="147"/>
        <v>110</v>
      </c>
      <c r="E87" s="1686">
        <f t="shared" si="175"/>
        <v>4.1166134837496711E-2</v>
      </c>
      <c r="F87" s="1684" t="str">
        <f t="shared" ref="F87:F123" si="178">VLOOKUP($A87,Table_S_Summary,MATCH("S-Res-nC",heading_S_Summary,0),FALSE)</f>
        <v>--</v>
      </c>
      <c r="G87" s="1685" t="str">
        <f t="shared" si="148"/>
        <v>--</v>
      </c>
      <c r="H87" s="1688" t="str">
        <f t="shared" si="171"/>
        <v/>
      </c>
      <c r="I87" s="1685">
        <f t="shared" si="121"/>
        <v>114.72268971367338</v>
      </c>
      <c r="J87" s="1685">
        <f t="shared" si="122"/>
        <v>110</v>
      </c>
      <c r="K87" s="1685">
        <f t="shared" ref="K87:K123" si="179">VLOOKUP($B87,Table_RSL_SL,MATCH("Res-s",Heading_RSL_SL,0),FALSE)</f>
        <v>110</v>
      </c>
      <c r="L87" s="1686">
        <f t="shared" si="150"/>
        <v>4.1166134837496711E-2</v>
      </c>
      <c r="M87" s="1684">
        <f t="shared" ref="M87:M123" si="180">VLOOKUP($A87,Table_S_Summary,MATCH("S-Com-C",heading_S_Summary,0),FALSE)</f>
        <v>2106.7157931890356</v>
      </c>
      <c r="N87" s="1685">
        <f t="shared" si="151"/>
        <v>1700</v>
      </c>
      <c r="O87" s="1689">
        <f t="shared" si="123"/>
        <v>0.19305679223744301</v>
      </c>
      <c r="P87" s="1684" t="str">
        <f t="shared" ref="P87:P123" si="181">VLOOKUP($A87,Table_S_Summary,MATCH("S-Com-nC",heading_S_Summary,0),FALSE)</f>
        <v>--</v>
      </c>
      <c r="Q87" s="1685" t="str">
        <f t="shared" si="152"/>
        <v>--</v>
      </c>
      <c r="R87" s="1688" t="str">
        <f t="shared" si="173"/>
        <v/>
      </c>
      <c r="S87" s="1685">
        <f t="shared" si="153"/>
        <v>2106.7157931890356</v>
      </c>
      <c r="T87" s="1685">
        <f t="shared" si="176"/>
        <v>1700</v>
      </c>
      <c r="U87" s="1685">
        <f t="shared" ref="U87:U123" si="182">VLOOKUP($B87,Table_RSL_SL,MATCH("Com-s",Heading_RSL_SL,0),FALSE)</f>
        <v>2100</v>
      </c>
      <c r="V87" s="1686">
        <f t="shared" si="172"/>
        <v>3.1878021756648911E-3</v>
      </c>
      <c r="W87" s="1756" t="str">
        <f t="shared" si="154"/>
        <v>*</v>
      </c>
      <c r="X87" s="1685" t="str">
        <f t="shared" si="124"/>
        <v>--</v>
      </c>
      <c r="Z87" t="str">
        <f t="shared" si="125"/>
        <v>--</v>
      </c>
      <c r="AA87" t="str">
        <f t="shared" si="126"/>
        <v>x</v>
      </c>
      <c r="AB87" t="str">
        <f t="shared" si="127"/>
        <v>--</v>
      </c>
      <c r="AC87" t="str">
        <f t="shared" si="128"/>
        <v>--</v>
      </c>
      <c r="AF87" s="1684" t="str">
        <f t="shared" si="129"/>
        <v>--</v>
      </c>
      <c r="AG87" s="1685">
        <f t="shared" si="130"/>
        <v>9.1999999999999998E-2</v>
      </c>
      <c r="AH87" s="1686" t="e">
        <f t="shared" si="155"/>
        <v>#VALUE!</v>
      </c>
      <c r="AI87" s="1684" t="str">
        <f t="shared" si="131"/>
        <v>--</v>
      </c>
      <c r="AJ87" s="1685" t="str">
        <f t="shared" si="132"/>
        <v>--</v>
      </c>
      <c r="AK87" s="1688" t="str">
        <f t="shared" si="156"/>
        <v/>
      </c>
      <c r="AL87" s="1685">
        <f t="shared" si="157"/>
        <v>0</v>
      </c>
      <c r="AM87" s="1685">
        <f t="shared" si="158"/>
        <v>9.1999999999999998E-2</v>
      </c>
      <c r="AN87" s="1685">
        <f t="shared" si="133"/>
        <v>1.7</v>
      </c>
      <c r="AO87" s="1686" t="e">
        <f t="shared" si="159"/>
        <v>#DIV/0!</v>
      </c>
      <c r="AP87" s="1684" t="str">
        <f t="shared" si="134"/>
        <v>--</v>
      </c>
      <c r="AQ87" s="1685">
        <f t="shared" si="135"/>
        <v>1.1000000000000001</v>
      </c>
      <c r="AR87" s="1686" t="e">
        <f t="shared" si="160"/>
        <v>#VALUE!</v>
      </c>
      <c r="AS87" s="1684" t="str">
        <f t="shared" si="136"/>
        <v>--</v>
      </c>
      <c r="AT87" s="1685" t="str">
        <f t="shared" si="137"/>
        <v>--</v>
      </c>
      <c r="AU87" s="1688" t="str">
        <f t="shared" si="161"/>
        <v/>
      </c>
      <c r="AV87" s="1685">
        <f t="shared" si="162"/>
        <v>0</v>
      </c>
      <c r="AW87" s="1685">
        <f t="shared" si="163"/>
        <v>1.1000000000000001</v>
      </c>
      <c r="AX87" s="1685">
        <f t="shared" si="138"/>
        <v>20</v>
      </c>
      <c r="AY87" s="1686" t="e">
        <f t="shared" si="164"/>
        <v>#DIV/0!</v>
      </c>
      <c r="BA87" s="1756" t="str">
        <f t="shared" si="139"/>
        <v>*</v>
      </c>
      <c r="BB87" s="1685" t="str">
        <f t="shared" si="140"/>
        <v>--</v>
      </c>
      <c r="BC87" s="1685" t="str">
        <f t="shared" si="141"/>
        <v>--</v>
      </c>
      <c r="BE87" s="1684">
        <f t="shared" si="142"/>
        <v>25.051475634866165</v>
      </c>
      <c r="BF87" s="1685" t="str">
        <f t="shared" si="143"/>
        <v/>
      </c>
      <c r="BG87" s="1686" t="str">
        <f t="shared" si="165"/>
        <v/>
      </c>
      <c r="BH87" s="1684" t="str">
        <f t="shared" si="144"/>
        <v>--</v>
      </c>
      <c r="BI87" s="1685" t="str">
        <f t="shared" si="145"/>
        <v/>
      </c>
      <c r="BJ87" s="1688" t="str">
        <f t="shared" si="166"/>
        <v/>
      </c>
      <c r="BK87" s="1685">
        <f t="shared" si="167"/>
        <v>25.051475634866165</v>
      </c>
      <c r="BL87" s="1685" t="str">
        <f t="shared" si="168"/>
        <v/>
      </c>
      <c r="BM87" s="1685">
        <f t="shared" si="120"/>
        <v>25</v>
      </c>
      <c r="BN87" s="1686">
        <f t="shared" si="169"/>
        <v>2.0547945205480075E-3</v>
      </c>
      <c r="BP87" s="1756" t="str">
        <f t="shared" si="170"/>
        <v>*</v>
      </c>
      <c r="BQ87" s="1685" t="str">
        <f t="shared" si="146"/>
        <v>--</v>
      </c>
    </row>
    <row r="88" spans="1:69">
      <c r="A88" t="s">
        <v>247</v>
      </c>
      <c r="B88" t="s">
        <v>248</v>
      </c>
      <c r="C88" s="1684">
        <f t="shared" si="177"/>
        <v>2.8006092837957575E-2</v>
      </c>
      <c r="D88" s="1685">
        <f t="shared" si="147"/>
        <v>2.8000000000000001E-2</v>
      </c>
      <c r="E88" s="1686">
        <f t="shared" si="175"/>
        <v>2.1755401557893298E-4</v>
      </c>
      <c r="F88" s="1684" t="str">
        <f t="shared" si="178"/>
        <v>--</v>
      </c>
      <c r="G88" s="1685" t="str">
        <f t="shared" si="148"/>
        <v>--</v>
      </c>
      <c r="H88" s="1688" t="str">
        <f t="shared" si="171"/>
        <v/>
      </c>
      <c r="I88" s="1685">
        <f t="shared" si="121"/>
        <v>2.8006092837957575E-2</v>
      </c>
      <c r="J88" s="1685">
        <f t="shared" si="122"/>
        <v>2.8000000000000001E-2</v>
      </c>
      <c r="K88" s="1685">
        <f t="shared" si="179"/>
        <v>0.11</v>
      </c>
      <c r="L88" s="1686">
        <f t="shared" si="150"/>
        <v>-2.9277167520816541</v>
      </c>
      <c r="M88" s="1684">
        <f t="shared" si="180"/>
        <v>0.51452898595777352</v>
      </c>
      <c r="N88" s="1685">
        <f t="shared" si="151"/>
        <v>0.41</v>
      </c>
      <c r="O88" s="1689">
        <f t="shared" si="123"/>
        <v>0.20315470811269717</v>
      </c>
      <c r="P88" s="1684" t="str">
        <f t="shared" si="181"/>
        <v>--</v>
      </c>
      <c r="Q88" s="1685" t="str">
        <f t="shared" si="152"/>
        <v>--</v>
      </c>
      <c r="R88" s="1688" t="str">
        <f t="shared" si="173"/>
        <v/>
      </c>
      <c r="S88" s="1685">
        <f t="shared" si="153"/>
        <v>0.51452898595777352</v>
      </c>
      <c r="T88" s="1685">
        <f t="shared" si="176"/>
        <v>0.41</v>
      </c>
      <c r="U88" s="1685">
        <f t="shared" si="182"/>
        <v>2.1</v>
      </c>
      <c r="V88" s="1686">
        <f t="shared" si="172"/>
        <v>-3.0814027145447223</v>
      </c>
      <c r="W88" s="1756" t="str">
        <f t="shared" si="154"/>
        <v>*</v>
      </c>
      <c r="X88" s="1685" t="str">
        <f t="shared" si="124"/>
        <v>--</v>
      </c>
      <c r="Z88" t="str">
        <f t="shared" si="125"/>
        <v>x</v>
      </c>
      <c r="AA88" t="str">
        <f t="shared" si="126"/>
        <v>x</v>
      </c>
      <c r="AB88" t="str">
        <f t="shared" si="127"/>
        <v>--</v>
      </c>
      <c r="AC88" t="str">
        <f t="shared" si="128"/>
        <v>--</v>
      </c>
      <c r="AF88" s="1684" t="str">
        <f t="shared" si="129"/>
        <v>--</v>
      </c>
      <c r="AG88" s="1685">
        <f t="shared" si="130"/>
        <v>8.4000000000000003E-4</v>
      </c>
      <c r="AH88" s="1686" t="e">
        <f t="shared" si="155"/>
        <v>#VALUE!</v>
      </c>
      <c r="AI88" s="1684" t="str">
        <f t="shared" si="131"/>
        <v>--</v>
      </c>
      <c r="AJ88" s="1685" t="str">
        <f t="shared" si="132"/>
        <v>--</v>
      </c>
      <c r="AK88" s="1688" t="str">
        <f t="shared" si="156"/>
        <v/>
      </c>
      <c r="AL88" s="1685">
        <f t="shared" si="157"/>
        <v>0</v>
      </c>
      <c r="AM88" s="1685">
        <f t="shared" si="158"/>
        <v>8.4000000000000003E-4</v>
      </c>
      <c r="AN88" s="1685">
        <f t="shared" si="133"/>
        <v>1.6999999999999999E-3</v>
      </c>
      <c r="AO88" s="1686" t="e">
        <f t="shared" si="159"/>
        <v>#DIV/0!</v>
      </c>
      <c r="AP88" s="1684" t="str">
        <f t="shared" si="134"/>
        <v>--</v>
      </c>
      <c r="AQ88" s="1685">
        <f t="shared" si="135"/>
        <v>0.01</v>
      </c>
      <c r="AR88" s="1686" t="e">
        <f t="shared" si="160"/>
        <v>#VALUE!</v>
      </c>
      <c r="AS88" s="1684" t="str">
        <f t="shared" si="136"/>
        <v>--</v>
      </c>
      <c r="AT88" s="1685" t="str">
        <f t="shared" si="137"/>
        <v>--</v>
      </c>
      <c r="AU88" s="1688" t="str">
        <f t="shared" si="161"/>
        <v/>
      </c>
      <c r="AV88" s="1685">
        <f t="shared" si="162"/>
        <v>0</v>
      </c>
      <c r="AW88" s="1685">
        <f t="shared" si="163"/>
        <v>0.01</v>
      </c>
      <c r="AX88" s="1685">
        <f t="shared" si="138"/>
        <v>0.02</v>
      </c>
      <c r="AY88" s="1686" t="e">
        <f t="shared" si="164"/>
        <v>#DIV/0!</v>
      </c>
      <c r="BA88" s="1756" t="str">
        <f t="shared" si="139"/>
        <v>*</v>
      </c>
      <c r="BB88" s="1685" t="str">
        <f t="shared" si="140"/>
        <v>--</v>
      </c>
      <c r="BC88" s="1685" t="str">
        <f t="shared" si="141"/>
        <v>--</v>
      </c>
      <c r="BE88" s="1684">
        <f t="shared" si="142"/>
        <v>6.1101160085039437E-3</v>
      </c>
      <c r="BF88" s="1685">
        <f t="shared" si="143"/>
        <v>6.1000000000000004E-3</v>
      </c>
      <c r="BG88" s="1686">
        <f t="shared" si="165"/>
        <v>1.6556164383563353E-3</v>
      </c>
      <c r="BH88" s="1684" t="str">
        <f t="shared" si="144"/>
        <v>--</v>
      </c>
      <c r="BI88" s="1685" t="str">
        <f t="shared" si="145"/>
        <v>--</v>
      </c>
      <c r="BJ88" s="1688" t="str">
        <f t="shared" si="166"/>
        <v/>
      </c>
      <c r="BK88" s="1685">
        <f t="shared" si="167"/>
        <v>6.1101160085039437E-3</v>
      </c>
      <c r="BL88" s="1685">
        <f t="shared" si="168"/>
        <v>6.1000000000000004E-3</v>
      </c>
      <c r="BM88" s="1685">
        <f t="shared" si="120"/>
        <v>2.5000000000000001E-2</v>
      </c>
      <c r="BN88" s="1686">
        <f t="shared" si="169"/>
        <v>-3.0915753424657528</v>
      </c>
      <c r="BP88" s="1756" t="str">
        <f t="shared" si="170"/>
        <v>*</v>
      </c>
      <c r="BQ88" s="1685" t="str">
        <f t="shared" si="146"/>
        <v>--</v>
      </c>
    </row>
    <row r="89" spans="1:69">
      <c r="A89" t="s">
        <v>249</v>
      </c>
      <c r="B89" t="s">
        <v>250</v>
      </c>
      <c r="C89" s="1684" t="str">
        <f t="shared" si="177"/>
        <v>--</v>
      </c>
      <c r="D89" s="1685" t="str">
        <f t="shared" si="147"/>
        <v>--</v>
      </c>
      <c r="E89" s="1686" t="str">
        <f t="shared" si="175"/>
        <v/>
      </c>
      <c r="F89" s="1684">
        <f t="shared" si="178"/>
        <v>2390.9784779183856</v>
      </c>
      <c r="G89" s="1685" t="str">
        <f t="shared" si="148"/>
        <v/>
      </c>
      <c r="H89" s="1688" t="str">
        <f t="shared" si="171"/>
        <v/>
      </c>
      <c r="I89" s="1685">
        <f t="shared" si="121"/>
        <v>2390.9784779183856</v>
      </c>
      <c r="J89" s="1685">
        <f t="shared" si="122"/>
        <v>0</v>
      </c>
      <c r="K89" s="1685">
        <f t="shared" si="179"/>
        <v>2400</v>
      </c>
      <c r="L89" s="1686">
        <f t="shared" si="150"/>
        <v>-3.7731506849315792E-3</v>
      </c>
      <c r="M89" s="1684" t="str">
        <f t="shared" si="180"/>
        <v>--</v>
      </c>
      <c r="N89" s="1685" t="str">
        <f t="shared" si="151"/>
        <v>--</v>
      </c>
      <c r="O89" s="1686" t="str">
        <f t="shared" si="123"/>
        <v/>
      </c>
      <c r="P89" s="1684">
        <f t="shared" si="181"/>
        <v>30137.813408746675</v>
      </c>
      <c r="Q89" s="1685">
        <f t="shared" si="152"/>
        <v>24000</v>
      </c>
      <c r="R89" s="1690">
        <f t="shared" si="173"/>
        <v>0.20365821917808222</v>
      </c>
      <c r="S89" s="1685">
        <f t="shared" si="153"/>
        <v>30137.813408746675</v>
      </c>
      <c r="T89" s="1685">
        <f t="shared" si="176"/>
        <v>24000</v>
      </c>
      <c r="U89" s="1685">
        <f t="shared" si="182"/>
        <v>30000</v>
      </c>
      <c r="V89" s="1686">
        <f t="shared" si="172"/>
        <v>4.5727739726027557E-3</v>
      </c>
      <c r="W89" s="1756" t="str">
        <f t="shared" si="154"/>
        <v/>
      </c>
      <c r="X89" s="1685" t="str">
        <f t="shared" si="124"/>
        <v>--</v>
      </c>
      <c r="Z89" t="str">
        <f t="shared" si="125"/>
        <v>--</v>
      </c>
      <c r="AA89" t="str">
        <f t="shared" si="126"/>
        <v>--</v>
      </c>
      <c r="AB89" t="str">
        <f t="shared" si="127"/>
        <v>--</v>
      </c>
      <c r="AC89" t="str">
        <f t="shared" si="128"/>
        <v>--</v>
      </c>
      <c r="AF89" s="1684" t="str">
        <f t="shared" si="129"/>
        <v>--</v>
      </c>
      <c r="AG89" s="1685" t="str">
        <f t="shared" si="130"/>
        <v/>
      </c>
      <c r="AH89" s="1686" t="str">
        <f t="shared" si="155"/>
        <v/>
      </c>
      <c r="AI89" s="1684" t="str">
        <f t="shared" si="131"/>
        <v>--</v>
      </c>
      <c r="AJ89" s="1685" t="str">
        <f t="shared" si="132"/>
        <v/>
      </c>
      <c r="AK89" s="1688" t="str">
        <f t="shared" si="156"/>
        <v/>
      </c>
      <c r="AL89" s="1685">
        <f t="shared" si="157"/>
        <v>0</v>
      </c>
      <c r="AM89" s="1685" t="str">
        <f t="shared" si="158"/>
        <v/>
      </c>
      <c r="AN89" s="1685" t="str">
        <f t="shared" si="133"/>
        <v>--</v>
      </c>
      <c r="AO89" s="1686" t="str">
        <f t="shared" si="159"/>
        <v>N</v>
      </c>
      <c r="AP89" s="1684" t="str">
        <f t="shared" si="134"/>
        <v>--</v>
      </c>
      <c r="AQ89" s="1685" t="str">
        <f t="shared" si="135"/>
        <v/>
      </c>
      <c r="AR89" s="1686" t="str">
        <f t="shared" si="160"/>
        <v/>
      </c>
      <c r="AS89" s="1684" t="str">
        <f t="shared" si="136"/>
        <v>--</v>
      </c>
      <c r="AT89" s="1685" t="str">
        <f t="shared" si="137"/>
        <v/>
      </c>
      <c r="AU89" s="1688" t="str">
        <f t="shared" si="161"/>
        <v/>
      </c>
      <c r="AV89" s="1685">
        <f t="shared" si="162"/>
        <v>0</v>
      </c>
      <c r="AW89" s="1685" t="str">
        <f t="shared" si="163"/>
        <v/>
      </c>
      <c r="AX89" s="1685" t="str">
        <f t="shared" si="138"/>
        <v>--</v>
      </c>
      <c r="AY89" s="1686" t="str">
        <f t="shared" si="164"/>
        <v>N</v>
      </c>
      <c r="BA89" s="1756" t="str">
        <f t="shared" si="139"/>
        <v/>
      </c>
      <c r="BB89" s="1685" t="str">
        <f t="shared" si="140"/>
        <v>--</v>
      </c>
      <c r="BC89" s="1685" t="str">
        <f t="shared" si="141"/>
        <v>--</v>
      </c>
      <c r="BE89" s="1684" t="str">
        <f t="shared" si="142"/>
        <v>--</v>
      </c>
      <c r="BF89" s="1685" t="str">
        <f t="shared" si="143"/>
        <v/>
      </c>
      <c r="BG89" s="1686" t="str">
        <f t="shared" si="165"/>
        <v/>
      </c>
      <c r="BH89" s="1684">
        <f t="shared" si="144"/>
        <v>802.19780219780216</v>
      </c>
      <c r="BI89" s="1685" t="str">
        <f t="shared" si="145"/>
        <v/>
      </c>
      <c r="BJ89" s="1688" t="str">
        <f t="shared" si="166"/>
        <v/>
      </c>
      <c r="BK89" s="1685">
        <f t="shared" si="167"/>
        <v>802.19780219780216</v>
      </c>
      <c r="BL89" s="1685" t="str">
        <f t="shared" si="168"/>
        <v/>
      </c>
      <c r="BM89" s="1685">
        <f t="shared" si="120"/>
        <v>800</v>
      </c>
      <c r="BN89" s="1686">
        <f t="shared" si="169"/>
        <v>2.7397260273972152E-3</v>
      </c>
      <c r="BP89" s="1756" t="str">
        <f t="shared" si="170"/>
        <v/>
      </c>
      <c r="BQ89" s="1685" t="str">
        <f t="shared" si="146"/>
        <v>--</v>
      </c>
    </row>
    <row r="90" spans="1:69" ht="15">
      <c r="A90" t="s">
        <v>251</v>
      </c>
      <c r="B90" t="s">
        <v>252</v>
      </c>
      <c r="C90" s="1684" t="str">
        <f t="shared" si="177"/>
        <v>--</v>
      </c>
      <c r="D90" s="1685" t="str">
        <f t="shared" si="147"/>
        <v>--</v>
      </c>
      <c r="E90" s="1686" t="str">
        <f t="shared" si="175"/>
        <v/>
      </c>
      <c r="F90" s="1684">
        <f t="shared" si="178"/>
        <v>2390.9784779183856</v>
      </c>
      <c r="G90" s="1685" t="str">
        <f t="shared" si="148"/>
        <v/>
      </c>
      <c r="H90" s="1688" t="str">
        <f t="shared" si="171"/>
        <v/>
      </c>
      <c r="I90" s="1685">
        <f t="shared" si="121"/>
        <v>2390.9784779183856</v>
      </c>
      <c r="J90" s="1685">
        <f t="shared" si="122"/>
        <v>0</v>
      </c>
      <c r="K90" s="1685">
        <f t="shared" si="179"/>
        <v>2400</v>
      </c>
      <c r="L90" s="1686">
        <f t="shared" si="150"/>
        <v>-3.7731506849315792E-3</v>
      </c>
      <c r="M90" s="1684" t="str">
        <f t="shared" si="180"/>
        <v>--</v>
      </c>
      <c r="N90" s="1685" t="str">
        <f t="shared" si="151"/>
        <v>--</v>
      </c>
      <c r="O90" s="1686" t="str">
        <f t="shared" si="123"/>
        <v/>
      </c>
      <c r="P90" s="1684">
        <f t="shared" si="181"/>
        <v>30137.813408746675</v>
      </c>
      <c r="Q90" s="1685">
        <f t="shared" si="152"/>
        <v>21000</v>
      </c>
      <c r="R90" s="1693">
        <f t="shared" si="173"/>
        <v>0.30320094178082191</v>
      </c>
      <c r="S90" s="1685">
        <f t="shared" si="153"/>
        <v>30137.813408746675</v>
      </c>
      <c r="T90" s="1685">
        <f t="shared" si="176"/>
        <v>21000</v>
      </c>
      <c r="U90" s="1685">
        <f t="shared" si="182"/>
        <v>30000</v>
      </c>
      <c r="V90" s="1686">
        <f t="shared" si="172"/>
        <v>4.5727739726027557E-3</v>
      </c>
      <c r="W90" s="1756" t="str">
        <f t="shared" si="154"/>
        <v/>
      </c>
      <c r="X90" s="1685" t="str">
        <f t="shared" si="124"/>
        <v>Route RfC</v>
      </c>
      <c r="Z90" t="str">
        <f t="shared" si="125"/>
        <v>--</v>
      </c>
      <c r="AA90" t="str">
        <f t="shared" si="126"/>
        <v>--</v>
      </c>
      <c r="AB90" t="str">
        <f t="shared" si="127"/>
        <v>--</v>
      </c>
      <c r="AC90" t="str">
        <f t="shared" si="128"/>
        <v>--</v>
      </c>
      <c r="AF90" s="1684" t="str">
        <f t="shared" si="129"/>
        <v>--</v>
      </c>
      <c r="AG90" s="1685" t="str">
        <f t="shared" si="130"/>
        <v>--</v>
      </c>
      <c r="AH90" s="1686" t="str">
        <f t="shared" si="155"/>
        <v/>
      </c>
      <c r="AI90" s="1684" t="str">
        <f t="shared" si="131"/>
        <v>--</v>
      </c>
      <c r="AJ90" s="1685">
        <f t="shared" si="132"/>
        <v>0</v>
      </c>
      <c r="AK90" s="1688" t="e">
        <f t="shared" si="156"/>
        <v>#VALUE!</v>
      </c>
      <c r="AL90" s="1685">
        <f t="shared" si="157"/>
        <v>0</v>
      </c>
      <c r="AM90" s="1685">
        <f t="shared" si="158"/>
        <v>0</v>
      </c>
      <c r="AN90" s="1685" t="str">
        <f t="shared" si="133"/>
        <v>--</v>
      </c>
      <c r="AO90" s="1686" t="str">
        <f t="shared" si="159"/>
        <v>N</v>
      </c>
      <c r="AP90" s="1684" t="str">
        <f t="shared" si="134"/>
        <v>--</v>
      </c>
      <c r="AQ90" s="1685" t="str">
        <f t="shared" si="135"/>
        <v>--</v>
      </c>
      <c r="AR90" s="1686" t="str">
        <f t="shared" si="160"/>
        <v/>
      </c>
      <c r="AS90" s="1684" t="str">
        <f t="shared" si="136"/>
        <v>--</v>
      </c>
      <c r="AT90" s="1685">
        <f t="shared" si="137"/>
        <v>700</v>
      </c>
      <c r="AU90" s="1688" t="e">
        <f t="shared" si="161"/>
        <v>#VALUE!</v>
      </c>
      <c r="AV90" s="1685">
        <f t="shared" si="162"/>
        <v>0</v>
      </c>
      <c r="AW90" s="1685">
        <f t="shared" si="163"/>
        <v>700</v>
      </c>
      <c r="AX90" s="1685" t="str">
        <f t="shared" si="138"/>
        <v>--</v>
      </c>
      <c r="AY90" s="1686" t="str">
        <f t="shared" si="164"/>
        <v>N</v>
      </c>
      <c r="BA90" s="1756" t="str">
        <f t="shared" si="139"/>
        <v/>
      </c>
      <c r="BB90" s="1685" t="str">
        <f t="shared" si="140"/>
        <v>V</v>
      </c>
      <c r="BC90" s="1685" t="str">
        <f t="shared" si="141"/>
        <v>Route RfC</v>
      </c>
      <c r="BE90" s="1684" t="str">
        <f t="shared" si="142"/>
        <v>--</v>
      </c>
      <c r="BF90" s="1685" t="str">
        <f t="shared" si="143"/>
        <v>--</v>
      </c>
      <c r="BG90" s="1686" t="str">
        <f t="shared" si="165"/>
        <v/>
      </c>
      <c r="BH90" s="1684">
        <f t="shared" si="144"/>
        <v>294.22348082483762</v>
      </c>
      <c r="BI90" s="1685">
        <f t="shared" si="145"/>
        <v>160</v>
      </c>
      <c r="BJ90" s="1688">
        <f t="shared" si="166"/>
        <v>0.45619567972124542</v>
      </c>
      <c r="BK90" s="1685">
        <f t="shared" si="167"/>
        <v>294.22348082483762</v>
      </c>
      <c r="BL90" s="1685">
        <f t="shared" si="168"/>
        <v>160</v>
      </c>
      <c r="BM90" s="1685">
        <f t="shared" si="120"/>
        <v>290</v>
      </c>
      <c r="BN90" s="1686">
        <f t="shared" si="169"/>
        <v>1.4354669494757355E-2</v>
      </c>
      <c r="BP90" s="1756" t="str">
        <f t="shared" si="170"/>
        <v/>
      </c>
      <c r="BQ90" s="1685" t="str">
        <f t="shared" si="146"/>
        <v>Route RfC</v>
      </c>
    </row>
    <row r="91" spans="1:69">
      <c r="A91" t="s">
        <v>253</v>
      </c>
      <c r="B91" t="s">
        <v>254</v>
      </c>
      <c r="C91" s="1684">
        <f t="shared" si="177"/>
        <v>1.1481726168201645</v>
      </c>
      <c r="D91" s="1685">
        <f t="shared" si="147"/>
        <v>1.1000000000000001</v>
      </c>
      <c r="E91" s="1686">
        <f t="shared" si="175"/>
        <v>4.1955901154982468E-2</v>
      </c>
      <c r="F91" s="1684" t="str">
        <f t="shared" si="178"/>
        <v>--</v>
      </c>
      <c r="G91" s="1685" t="str">
        <f t="shared" si="148"/>
        <v>--</v>
      </c>
      <c r="H91" s="1688" t="str">
        <f t="shared" si="171"/>
        <v/>
      </c>
      <c r="I91" s="1685">
        <f t="shared" si="121"/>
        <v>1.1481726168201645</v>
      </c>
      <c r="J91" s="1685">
        <f t="shared" si="122"/>
        <v>1.1000000000000001</v>
      </c>
      <c r="K91" s="1685">
        <f t="shared" si="179"/>
        <v>1.1000000000000001</v>
      </c>
      <c r="L91" s="1686">
        <f t="shared" si="150"/>
        <v>4.1955901154982468E-2</v>
      </c>
      <c r="M91" s="1684">
        <f t="shared" si="180"/>
        <v>21.093534570827845</v>
      </c>
      <c r="N91" s="1685">
        <f t="shared" si="151"/>
        <v>17</v>
      </c>
      <c r="O91" s="1689">
        <f t="shared" si="123"/>
        <v>0.19406584311806918</v>
      </c>
      <c r="P91" s="1684" t="str">
        <f t="shared" si="181"/>
        <v>--</v>
      </c>
      <c r="Q91" s="1685" t="str">
        <f t="shared" si="152"/>
        <v>--</v>
      </c>
      <c r="R91" s="1688" t="str">
        <f t="shared" si="173"/>
        <v/>
      </c>
      <c r="S91" s="1685">
        <f t="shared" si="153"/>
        <v>21.093534570827845</v>
      </c>
      <c r="T91" s="1685">
        <f t="shared" si="176"/>
        <v>17</v>
      </c>
      <c r="U91" s="1685">
        <f t="shared" si="182"/>
        <v>21</v>
      </c>
      <c r="V91" s="1686">
        <f t="shared" si="172"/>
        <v>4.434276792908992E-3</v>
      </c>
      <c r="W91" s="1756" t="str">
        <f t="shared" si="154"/>
        <v>*</v>
      </c>
      <c r="X91" s="1685" t="str">
        <f t="shared" si="124"/>
        <v>--</v>
      </c>
      <c r="Z91" t="str">
        <f t="shared" si="125"/>
        <v>--</v>
      </c>
      <c r="AA91" t="str">
        <f t="shared" si="126"/>
        <v>x</v>
      </c>
      <c r="AB91" t="str">
        <f t="shared" si="127"/>
        <v>--</v>
      </c>
      <c r="AC91" t="str">
        <f t="shared" si="128"/>
        <v>--</v>
      </c>
      <c r="AF91" s="1684" t="str">
        <f t="shared" si="129"/>
        <v>--</v>
      </c>
      <c r="AG91" s="1685">
        <f t="shared" si="130"/>
        <v>9.1999999999999998E-3</v>
      </c>
      <c r="AH91" s="1686" t="e">
        <f t="shared" si="155"/>
        <v>#VALUE!</v>
      </c>
      <c r="AI91" s="1684" t="str">
        <f t="shared" si="131"/>
        <v>--</v>
      </c>
      <c r="AJ91" s="1685" t="str">
        <f t="shared" si="132"/>
        <v>--</v>
      </c>
      <c r="AK91" s="1688" t="str">
        <f t="shared" si="156"/>
        <v/>
      </c>
      <c r="AL91" s="1685">
        <f t="shared" si="157"/>
        <v>0</v>
      </c>
      <c r="AM91" s="1685">
        <f t="shared" si="158"/>
        <v>9.1999999999999998E-3</v>
      </c>
      <c r="AN91" s="1685">
        <f t="shared" si="133"/>
        <v>1.7000000000000001E-2</v>
      </c>
      <c r="AO91" s="1686" t="e">
        <f t="shared" si="159"/>
        <v>#DIV/0!</v>
      </c>
      <c r="AP91" s="1684" t="str">
        <f t="shared" si="134"/>
        <v>--</v>
      </c>
      <c r="AQ91" s="1685">
        <f t="shared" si="135"/>
        <v>0.11</v>
      </c>
      <c r="AR91" s="1686" t="e">
        <f t="shared" si="160"/>
        <v>#VALUE!</v>
      </c>
      <c r="AS91" s="1684" t="str">
        <f t="shared" si="136"/>
        <v>--</v>
      </c>
      <c r="AT91" s="1685" t="str">
        <f t="shared" si="137"/>
        <v>--</v>
      </c>
      <c r="AU91" s="1688" t="str">
        <f t="shared" si="161"/>
        <v/>
      </c>
      <c r="AV91" s="1685">
        <f t="shared" si="162"/>
        <v>0</v>
      </c>
      <c r="AW91" s="1685">
        <f t="shared" si="163"/>
        <v>0.11</v>
      </c>
      <c r="AX91" s="1685">
        <f t="shared" si="138"/>
        <v>0.2</v>
      </c>
      <c r="AY91" s="1686" t="e">
        <f t="shared" si="164"/>
        <v>#DIV/0!</v>
      </c>
      <c r="BA91" s="1756" t="str">
        <f t="shared" si="139"/>
        <v>*</v>
      </c>
      <c r="BB91" s="1685" t="str">
        <f t="shared" si="140"/>
        <v>--</v>
      </c>
      <c r="BC91" s="1685" t="str">
        <f t="shared" si="141"/>
        <v>--</v>
      </c>
      <c r="BE91" s="1684">
        <f t="shared" si="142"/>
        <v>0.2505147563486616</v>
      </c>
      <c r="BF91" s="1685" t="str">
        <f t="shared" si="143"/>
        <v/>
      </c>
      <c r="BG91" s="1686" t="str">
        <f t="shared" si="165"/>
        <v/>
      </c>
      <c r="BH91" s="1684" t="str">
        <f t="shared" si="144"/>
        <v>--</v>
      </c>
      <c r="BI91" s="1685" t="str">
        <f t="shared" si="145"/>
        <v/>
      </c>
      <c r="BJ91" s="1688" t="str">
        <f t="shared" si="166"/>
        <v/>
      </c>
      <c r="BK91" s="1685">
        <f t="shared" si="167"/>
        <v>0.2505147563486616</v>
      </c>
      <c r="BL91" s="1685" t="str">
        <f t="shared" si="168"/>
        <v/>
      </c>
      <c r="BM91" s="1685">
        <f t="shared" si="120"/>
        <v>0.25</v>
      </c>
      <c r="BN91" s="1686">
        <f t="shared" si="169"/>
        <v>2.0547945205478305E-3</v>
      </c>
      <c r="BP91" s="1756" t="str">
        <f t="shared" si="170"/>
        <v>*</v>
      </c>
      <c r="BQ91" s="1685" t="str">
        <f t="shared" si="146"/>
        <v>--</v>
      </c>
    </row>
    <row r="92" spans="1:69">
      <c r="A92" t="s">
        <v>255</v>
      </c>
      <c r="B92" t="s">
        <v>256</v>
      </c>
      <c r="C92" s="1684">
        <f t="shared" si="177"/>
        <v>2.0118628924729687</v>
      </c>
      <c r="D92" s="1685" t="str">
        <f t="shared" si="147"/>
        <v/>
      </c>
      <c r="E92" s="1686" t="str">
        <f t="shared" si="175"/>
        <v/>
      </c>
      <c r="F92" s="1684">
        <f t="shared" si="178"/>
        <v>129.29704176597917</v>
      </c>
      <c r="G92" s="1685" t="str">
        <f t="shared" si="148"/>
        <v/>
      </c>
      <c r="H92" s="1688" t="str">
        <f t="shared" si="171"/>
        <v/>
      </c>
      <c r="I92" s="1685">
        <f t="shared" si="121"/>
        <v>2.0118628924729687</v>
      </c>
      <c r="J92" s="1685" t="str">
        <f t="shared" si="122"/>
        <v/>
      </c>
      <c r="K92" s="1685">
        <f t="shared" si="179"/>
        <v>2</v>
      </c>
      <c r="L92" s="1686">
        <f t="shared" si="150"/>
        <v>5.8964716320140925E-3</v>
      </c>
      <c r="M92" s="1684">
        <f t="shared" si="180"/>
        <v>8.4822762402421077</v>
      </c>
      <c r="N92" s="1685">
        <f t="shared" si="151"/>
        <v>7.6</v>
      </c>
      <c r="O92" s="1689">
        <f t="shared" si="123"/>
        <v>0.10401408952662516</v>
      </c>
      <c r="P92" s="1684">
        <f t="shared" si="181"/>
        <v>574.3223153207183</v>
      </c>
      <c r="Q92" s="1685" t="str">
        <f t="shared" si="152"/>
        <v/>
      </c>
      <c r="R92" s="1688" t="str">
        <f t="shared" si="173"/>
        <v/>
      </c>
      <c r="S92" s="1685">
        <f t="shared" si="153"/>
        <v>8.4822762402421077</v>
      </c>
      <c r="T92" s="1685">
        <f t="shared" si="176"/>
        <v>7.6</v>
      </c>
      <c r="U92" s="1685">
        <f t="shared" si="182"/>
        <v>8.6</v>
      </c>
      <c r="V92" s="1686">
        <f t="shared" si="172"/>
        <v>-1.3878793430397851E-2</v>
      </c>
      <c r="W92" s="1756" t="str">
        <f t="shared" si="154"/>
        <v/>
      </c>
      <c r="X92" s="1685" t="str">
        <f t="shared" si="124"/>
        <v>--</v>
      </c>
      <c r="Z92" t="str">
        <f t="shared" si="125"/>
        <v>--</v>
      </c>
      <c r="AA92" t="str">
        <f t="shared" si="126"/>
        <v>--</v>
      </c>
      <c r="AB92" t="str">
        <f t="shared" si="127"/>
        <v>--</v>
      </c>
      <c r="AC92" t="str">
        <f t="shared" si="128"/>
        <v>--</v>
      </c>
      <c r="AF92" s="1684">
        <f t="shared" si="129"/>
        <v>8.2579185520361975E-2</v>
      </c>
      <c r="AG92" s="1685" t="str">
        <f t="shared" si="130"/>
        <v/>
      </c>
      <c r="AH92" s="1686" t="str">
        <f t="shared" si="155"/>
        <v/>
      </c>
      <c r="AI92" s="1684">
        <f t="shared" si="131"/>
        <v>3.1285714285714286</v>
      </c>
      <c r="AJ92" s="1685" t="str">
        <f t="shared" si="132"/>
        <v/>
      </c>
      <c r="AK92" s="1688" t="str">
        <f t="shared" si="156"/>
        <v/>
      </c>
      <c r="AL92" s="1685">
        <f t="shared" si="157"/>
        <v>8.2579185520361975E-2</v>
      </c>
      <c r="AM92" s="1685" t="str">
        <f t="shared" si="158"/>
        <v/>
      </c>
      <c r="AN92" s="1685">
        <f t="shared" si="133"/>
        <v>8.3000000000000004E-2</v>
      </c>
      <c r="AO92" s="1686">
        <f t="shared" si="159"/>
        <v>-5.0958904109591491E-3</v>
      </c>
      <c r="AP92" s="1684">
        <f t="shared" si="134"/>
        <v>0.36070588235294115</v>
      </c>
      <c r="AQ92" s="1685" t="str">
        <f t="shared" si="135"/>
        <v/>
      </c>
      <c r="AR92" s="1686" t="str">
        <f t="shared" si="160"/>
        <v/>
      </c>
      <c r="AS92" s="1684">
        <f t="shared" si="136"/>
        <v>13.139999999999999</v>
      </c>
      <c r="AT92" s="1685" t="str">
        <f t="shared" si="137"/>
        <v/>
      </c>
      <c r="AU92" s="1688" t="str">
        <f t="shared" si="161"/>
        <v/>
      </c>
      <c r="AV92" s="1685">
        <f t="shared" si="162"/>
        <v>0.36070588235294115</v>
      </c>
      <c r="AW92" s="1685" t="str">
        <f t="shared" si="163"/>
        <v/>
      </c>
      <c r="AX92" s="1685">
        <f t="shared" si="138"/>
        <v>0.36</v>
      </c>
      <c r="AY92" s="1686">
        <f t="shared" si="164"/>
        <v>1.9569471624265892E-3</v>
      </c>
      <c r="BA92" s="1756" t="str">
        <f t="shared" si="139"/>
        <v/>
      </c>
      <c r="BB92" s="1685" t="str">
        <f t="shared" si="140"/>
        <v>V</v>
      </c>
      <c r="BC92" s="1685" t="str">
        <f t="shared" si="141"/>
        <v>--</v>
      </c>
      <c r="BE92" s="1684">
        <f t="shared" si="142"/>
        <v>0.11691092078404149</v>
      </c>
      <c r="BF92" s="1685" t="str">
        <f t="shared" si="143"/>
        <v/>
      </c>
      <c r="BG92" s="1686" t="str">
        <f t="shared" si="165"/>
        <v/>
      </c>
      <c r="BH92" s="1684">
        <f t="shared" si="144"/>
        <v>6.1073400028997504</v>
      </c>
      <c r="BI92" s="1685" t="str">
        <f t="shared" si="145"/>
        <v/>
      </c>
      <c r="BJ92" s="1688" t="str">
        <f t="shared" si="166"/>
        <v/>
      </c>
      <c r="BK92" s="1685">
        <f t="shared" si="167"/>
        <v>0.11691092078404149</v>
      </c>
      <c r="BL92" s="1685" t="str">
        <f t="shared" si="168"/>
        <v/>
      </c>
      <c r="BM92" s="1685">
        <f t="shared" si="120"/>
        <v>0.12</v>
      </c>
      <c r="BN92" s="1686">
        <f t="shared" si="169"/>
        <v>-2.6422503520134567E-2</v>
      </c>
      <c r="BP92" s="1756" t="str">
        <f t="shared" si="170"/>
        <v/>
      </c>
      <c r="BQ92" s="1685" t="str">
        <f t="shared" si="146"/>
        <v>--</v>
      </c>
    </row>
    <row r="93" spans="1:69" ht="15">
      <c r="A93" t="s">
        <v>257</v>
      </c>
      <c r="B93" t="s">
        <v>258</v>
      </c>
      <c r="C93" s="1684" t="str">
        <f t="shared" si="177"/>
        <v>--</v>
      </c>
      <c r="D93" s="1685" t="str">
        <f t="shared" si="147"/>
        <v>--</v>
      </c>
      <c r="E93" s="1686" t="str">
        <f t="shared" si="175"/>
        <v/>
      </c>
      <c r="F93" s="1684">
        <f t="shared" si="178"/>
        <v>1793.2338584387892</v>
      </c>
      <c r="G93" s="1685" t="str">
        <f t="shared" si="148"/>
        <v/>
      </c>
      <c r="H93" s="1688" t="str">
        <f t="shared" si="171"/>
        <v/>
      </c>
      <c r="I93" s="1685">
        <f t="shared" si="121"/>
        <v>1793.2338584387892</v>
      </c>
      <c r="J93" s="1685">
        <f t="shared" si="122"/>
        <v>0</v>
      </c>
      <c r="K93" s="1685">
        <f t="shared" si="179"/>
        <v>1800</v>
      </c>
      <c r="L93" s="1686">
        <f t="shared" si="150"/>
        <v>-3.7731506849315792E-3</v>
      </c>
      <c r="M93" s="1684" t="str">
        <f t="shared" si="180"/>
        <v>--</v>
      </c>
      <c r="N93" s="1685" t="str">
        <f t="shared" si="151"/>
        <v>--</v>
      </c>
      <c r="O93" s="1686" t="str">
        <f t="shared" si="123"/>
        <v/>
      </c>
      <c r="P93" s="1684">
        <f t="shared" si="181"/>
        <v>22603.360056560003</v>
      </c>
      <c r="Q93" s="1685">
        <f t="shared" si="152"/>
        <v>18000</v>
      </c>
      <c r="R93" s="1693">
        <f t="shared" si="173"/>
        <v>0.20365821917808208</v>
      </c>
      <c r="S93" s="1685">
        <f t="shared" si="153"/>
        <v>22603.360056560003</v>
      </c>
      <c r="T93" s="1685">
        <f t="shared" si="176"/>
        <v>18000</v>
      </c>
      <c r="U93" s="1685">
        <f t="shared" si="182"/>
        <v>23000</v>
      </c>
      <c r="V93" s="1686">
        <f t="shared" si="172"/>
        <v>-1.7547831050228457E-2</v>
      </c>
      <c r="W93" s="1756" t="str">
        <f t="shared" si="154"/>
        <v/>
      </c>
      <c r="X93" s="1685" t="str">
        <f t="shared" si="124"/>
        <v>Route RfC</v>
      </c>
      <c r="Z93" t="str">
        <f t="shared" si="125"/>
        <v>--</v>
      </c>
      <c r="AA93" t="str">
        <f t="shared" si="126"/>
        <v>--</v>
      </c>
      <c r="AB93" t="str">
        <f t="shared" si="127"/>
        <v>--</v>
      </c>
      <c r="AC93" t="str">
        <f t="shared" si="128"/>
        <v>--</v>
      </c>
      <c r="AF93" s="1684" t="str">
        <f t="shared" si="129"/>
        <v>--</v>
      </c>
      <c r="AG93" s="1685" t="str">
        <f t="shared" si="130"/>
        <v>--</v>
      </c>
      <c r="AH93" s="1686" t="str">
        <f t="shared" si="155"/>
        <v/>
      </c>
      <c r="AI93" s="1684" t="str">
        <f t="shared" si="131"/>
        <v>--</v>
      </c>
      <c r="AJ93" s="1685">
        <f t="shared" si="132"/>
        <v>0</v>
      </c>
      <c r="AK93" s="1688" t="e">
        <f t="shared" si="156"/>
        <v>#VALUE!</v>
      </c>
      <c r="AL93" s="1685">
        <f t="shared" si="157"/>
        <v>0</v>
      </c>
      <c r="AM93" s="1685">
        <f t="shared" si="158"/>
        <v>0</v>
      </c>
      <c r="AN93" s="1685" t="str">
        <f t="shared" si="133"/>
        <v>--</v>
      </c>
      <c r="AO93" s="1686" t="str">
        <f t="shared" si="159"/>
        <v>N</v>
      </c>
      <c r="AP93" s="1684" t="str">
        <f t="shared" si="134"/>
        <v>--</v>
      </c>
      <c r="AQ93" s="1685" t="str">
        <f t="shared" si="135"/>
        <v>--</v>
      </c>
      <c r="AR93" s="1686" t="str">
        <f t="shared" si="160"/>
        <v/>
      </c>
      <c r="AS93" s="1684" t="str">
        <f t="shared" si="136"/>
        <v>--</v>
      </c>
      <c r="AT93" s="1685">
        <f t="shared" si="137"/>
        <v>530</v>
      </c>
      <c r="AU93" s="1688" t="e">
        <f t="shared" si="161"/>
        <v>#VALUE!</v>
      </c>
      <c r="AV93" s="1685">
        <f t="shared" si="162"/>
        <v>0</v>
      </c>
      <c r="AW93" s="1685">
        <f t="shared" si="163"/>
        <v>530</v>
      </c>
      <c r="AX93" s="1685" t="str">
        <f t="shared" si="138"/>
        <v>--</v>
      </c>
      <c r="AY93" s="1686" t="str">
        <f t="shared" si="164"/>
        <v>N</v>
      </c>
      <c r="BA93" s="1756" t="str">
        <f t="shared" si="139"/>
        <v/>
      </c>
      <c r="BB93" s="1685" t="str">
        <f t="shared" si="140"/>
        <v>V</v>
      </c>
      <c r="BC93" s="1685" t="str">
        <f t="shared" si="141"/>
        <v>Route RfC</v>
      </c>
      <c r="BE93" s="1684" t="str">
        <f t="shared" si="142"/>
        <v>--</v>
      </c>
      <c r="BF93" s="1685" t="str">
        <f t="shared" si="143"/>
        <v>--</v>
      </c>
      <c r="BG93" s="1686" t="str">
        <f t="shared" si="165"/>
        <v/>
      </c>
      <c r="BH93" s="1684">
        <f t="shared" si="144"/>
        <v>120.81364904085669</v>
      </c>
      <c r="BI93" s="1685">
        <f t="shared" si="145"/>
        <v>81</v>
      </c>
      <c r="BJ93" s="1688">
        <f t="shared" si="166"/>
        <v>0.3295459524394676</v>
      </c>
      <c r="BK93" s="1685">
        <f t="shared" si="167"/>
        <v>120.81364904085669</v>
      </c>
      <c r="BL93" s="1685">
        <f t="shared" si="168"/>
        <v>81</v>
      </c>
      <c r="BM93" s="1685">
        <f t="shared" si="120"/>
        <v>120</v>
      </c>
      <c r="BN93" s="1686">
        <f t="shared" si="169"/>
        <v>6.7347443547668131E-3</v>
      </c>
      <c r="BP93" s="1756" t="str">
        <f t="shared" si="170"/>
        <v/>
      </c>
      <c r="BQ93" s="1685" t="str">
        <f t="shared" si="146"/>
        <v>Route RfC</v>
      </c>
    </row>
    <row r="94" spans="1:69">
      <c r="A94" t="s">
        <v>259</v>
      </c>
      <c r="B94" t="s">
        <v>260</v>
      </c>
      <c r="C94" s="1684">
        <f t="shared" si="177"/>
        <v>1.0204067725795314</v>
      </c>
      <c r="D94" s="1685" t="str">
        <f t="shared" si="147"/>
        <v/>
      </c>
      <c r="E94" s="1686" t="str">
        <f t="shared" si="175"/>
        <v/>
      </c>
      <c r="F94" s="1684">
        <f t="shared" si="178"/>
        <v>245.45515679989242</v>
      </c>
      <c r="G94" s="1685" t="str">
        <f t="shared" si="148"/>
        <v/>
      </c>
      <c r="H94" s="1688" t="str">
        <f t="shared" si="171"/>
        <v/>
      </c>
      <c r="I94" s="1685">
        <f t="shared" si="121"/>
        <v>1.0204067725795314</v>
      </c>
      <c r="J94" s="1685" t="str">
        <f t="shared" si="122"/>
        <v/>
      </c>
      <c r="K94" s="1685">
        <f t="shared" si="179"/>
        <v>1</v>
      </c>
      <c r="L94" s="1686">
        <f t="shared" si="150"/>
        <v>1.9998664383561668E-2</v>
      </c>
      <c r="M94" s="1684">
        <f t="shared" si="180"/>
        <v>3.9725912582099285</v>
      </c>
      <c r="N94" s="1685">
        <f t="shared" si="151"/>
        <v>2.9</v>
      </c>
      <c r="O94" s="1689">
        <f t="shared" si="123"/>
        <v>0.26999789016634046</v>
      </c>
      <c r="P94" s="1684">
        <f t="shared" si="181"/>
        <v>2837.5686312618436</v>
      </c>
      <c r="Q94" s="1685">
        <f t="shared" si="152"/>
        <v>2100</v>
      </c>
      <c r="R94" s="1690">
        <f t="shared" si="173"/>
        <v>0.25992979452054799</v>
      </c>
      <c r="S94" s="1685">
        <f t="shared" si="153"/>
        <v>3.9725912582099285</v>
      </c>
      <c r="T94" s="1685">
        <f t="shared" si="176"/>
        <v>2.9</v>
      </c>
      <c r="U94" s="1685">
        <f t="shared" si="182"/>
        <v>4</v>
      </c>
      <c r="V94" s="1686">
        <f t="shared" si="172"/>
        <v>-6.8994618395304018E-3</v>
      </c>
      <c r="W94" s="1756" t="str">
        <f t="shared" si="154"/>
        <v/>
      </c>
      <c r="X94" s="1685" t="str">
        <f t="shared" si="124"/>
        <v>--</v>
      </c>
      <c r="Z94" t="str">
        <f t="shared" si="125"/>
        <v>--</v>
      </c>
      <c r="AA94" t="str">
        <f t="shared" si="126"/>
        <v>--</v>
      </c>
      <c r="AB94" t="str">
        <f t="shared" si="127"/>
        <v>--</v>
      </c>
      <c r="AC94" t="str">
        <f t="shared" si="128"/>
        <v>--</v>
      </c>
      <c r="AF94" s="1684" t="str">
        <f t="shared" si="129"/>
        <v>--</v>
      </c>
      <c r="AG94" s="1685" t="str">
        <f t="shared" si="130"/>
        <v/>
      </c>
      <c r="AH94" s="1686" t="str">
        <f t="shared" si="155"/>
        <v/>
      </c>
      <c r="AI94" s="1684" t="str">
        <f t="shared" si="131"/>
        <v>--</v>
      </c>
      <c r="AJ94" s="1685" t="str">
        <f t="shared" si="132"/>
        <v/>
      </c>
      <c r="AK94" s="1688" t="str">
        <f t="shared" si="156"/>
        <v/>
      </c>
      <c r="AL94" s="1685">
        <f t="shared" si="157"/>
        <v>0</v>
      </c>
      <c r="AM94" s="1685" t="str">
        <f t="shared" si="158"/>
        <v/>
      </c>
      <c r="AN94" s="1685">
        <f t="shared" si="133"/>
        <v>0.55000000000000004</v>
      </c>
      <c r="AO94" s="1686" t="e">
        <f t="shared" si="159"/>
        <v>#DIV/0!</v>
      </c>
      <c r="AP94" s="1684" t="str">
        <f t="shared" si="134"/>
        <v>--</v>
      </c>
      <c r="AQ94" s="1685" t="str">
        <f t="shared" si="135"/>
        <v/>
      </c>
      <c r="AR94" s="1686" t="str">
        <f t="shared" si="160"/>
        <v/>
      </c>
      <c r="AS94" s="1684" t="str">
        <f t="shared" si="136"/>
        <v>--</v>
      </c>
      <c r="AT94" s="1685" t="str">
        <f t="shared" si="137"/>
        <v/>
      </c>
      <c r="AU94" s="1688" t="str">
        <f t="shared" si="161"/>
        <v/>
      </c>
      <c r="AV94" s="1685">
        <f t="shared" si="162"/>
        <v>0</v>
      </c>
      <c r="AW94" s="1685" t="str">
        <f t="shared" si="163"/>
        <v/>
      </c>
      <c r="AX94" s="1685">
        <f t="shared" si="138"/>
        <v>2.4</v>
      </c>
      <c r="AY94" s="1686" t="e">
        <f t="shared" si="164"/>
        <v>#DIV/0!</v>
      </c>
      <c r="BA94" s="1756" t="str">
        <f t="shared" si="139"/>
        <v/>
      </c>
      <c r="BB94" s="1685" t="str">
        <f t="shared" si="140"/>
        <v>--</v>
      </c>
      <c r="BC94" s="1685" t="str">
        <f t="shared" si="141"/>
        <v>--</v>
      </c>
      <c r="BE94" s="1684">
        <f t="shared" si="142"/>
        <v>4.1269593980201587E-2</v>
      </c>
      <c r="BF94" s="1685" t="str">
        <f t="shared" si="143"/>
        <v/>
      </c>
      <c r="BG94" s="1686" t="str">
        <f t="shared" si="165"/>
        <v/>
      </c>
      <c r="BH94" s="1684">
        <f t="shared" si="144"/>
        <v>22.681421475775775</v>
      </c>
      <c r="BI94" s="1685" t="str">
        <f t="shared" si="145"/>
        <v/>
      </c>
      <c r="BJ94" s="1688" t="str">
        <f t="shared" si="166"/>
        <v/>
      </c>
      <c r="BK94" s="1685">
        <f t="shared" si="167"/>
        <v>4.1269593980201587E-2</v>
      </c>
      <c r="BL94" s="1685" t="str">
        <f t="shared" si="168"/>
        <v/>
      </c>
      <c r="BM94" s="1685">
        <f t="shared" si="120"/>
        <v>4.1000000000000002E-2</v>
      </c>
      <c r="BN94" s="1686">
        <f t="shared" si="169"/>
        <v>6.5325086631799287E-3</v>
      </c>
      <c r="BP94" s="1756" t="str">
        <f t="shared" si="170"/>
        <v/>
      </c>
      <c r="BQ94" s="1685" t="str">
        <f t="shared" si="146"/>
        <v>--</v>
      </c>
    </row>
    <row r="95" spans="1:69">
      <c r="A95" t="s">
        <v>261</v>
      </c>
      <c r="B95" t="s">
        <v>262</v>
      </c>
      <c r="C95" s="1684" t="str">
        <f t="shared" si="177"/>
        <v>--</v>
      </c>
      <c r="D95" s="1685" t="str">
        <f t="shared" si="147"/>
        <v/>
      </c>
      <c r="E95" s="1686" t="str">
        <f t="shared" si="175"/>
        <v/>
      </c>
      <c r="F95" s="1684">
        <f t="shared" si="178"/>
        <v>54.75</v>
      </c>
      <c r="G95" s="1685" t="str">
        <f t="shared" si="148"/>
        <v/>
      </c>
      <c r="H95" s="1688" t="str">
        <f t="shared" si="171"/>
        <v/>
      </c>
      <c r="I95" s="1685">
        <f t="shared" si="121"/>
        <v>54.75</v>
      </c>
      <c r="J95" s="1685" t="str">
        <f t="shared" si="122"/>
        <v/>
      </c>
      <c r="K95" s="1685">
        <f t="shared" si="179"/>
        <v>55</v>
      </c>
      <c r="L95" s="1686">
        <f t="shared" si="150"/>
        <v>-4.5662100456621002E-3</v>
      </c>
      <c r="M95" s="1684" t="str">
        <f t="shared" si="180"/>
        <v>--</v>
      </c>
      <c r="N95" s="1685" t="str">
        <f t="shared" si="151"/>
        <v/>
      </c>
      <c r="O95" s="1686" t="str">
        <f t="shared" si="123"/>
        <v/>
      </c>
      <c r="P95" s="1684">
        <f t="shared" si="181"/>
        <v>817.6</v>
      </c>
      <c r="Q95" s="1685" t="str">
        <f t="shared" si="152"/>
        <v/>
      </c>
      <c r="R95" s="1688" t="str">
        <f t="shared" si="173"/>
        <v/>
      </c>
      <c r="S95" s="1685">
        <f t="shared" si="153"/>
        <v>817.6</v>
      </c>
      <c r="T95" s="1685" t="str">
        <f t="shared" si="176"/>
        <v/>
      </c>
      <c r="U95" s="1685">
        <f t="shared" si="182"/>
        <v>820</v>
      </c>
      <c r="V95" s="1686">
        <f t="shared" si="172"/>
        <v>-2.9354207436398938E-3</v>
      </c>
      <c r="W95" s="1756" t="str">
        <f t="shared" si="154"/>
        <v/>
      </c>
      <c r="X95" s="1685" t="str">
        <f t="shared" si="124"/>
        <v>--</v>
      </c>
      <c r="Z95" t="str">
        <f t="shared" si="125"/>
        <v>--</v>
      </c>
      <c r="AA95" t="str">
        <f t="shared" si="126"/>
        <v>--</v>
      </c>
      <c r="AB95" t="str">
        <f t="shared" si="127"/>
        <v>--</v>
      </c>
      <c r="AC95" t="str">
        <f t="shared" si="128"/>
        <v>--</v>
      </c>
      <c r="AF95" s="1684" t="str">
        <f t="shared" si="129"/>
        <v>--</v>
      </c>
      <c r="AG95" s="1685" t="str">
        <f t="shared" si="130"/>
        <v/>
      </c>
      <c r="AH95" s="1686" t="str">
        <f t="shared" si="155"/>
        <v/>
      </c>
      <c r="AI95" s="1684" t="str">
        <f t="shared" si="131"/>
        <v>--</v>
      </c>
      <c r="AJ95" s="1685" t="str">
        <f t="shared" si="132"/>
        <v/>
      </c>
      <c r="AK95" s="1688" t="str">
        <f t="shared" si="156"/>
        <v/>
      </c>
      <c r="AL95" s="1685">
        <f t="shared" si="157"/>
        <v>0</v>
      </c>
      <c r="AM95" s="1685" t="str">
        <f t="shared" si="158"/>
        <v/>
      </c>
      <c r="AN95" s="1685" t="str">
        <f t="shared" si="133"/>
        <v>--</v>
      </c>
      <c r="AO95" s="1686" t="str">
        <f t="shared" si="159"/>
        <v>N</v>
      </c>
      <c r="AP95" s="1684" t="str">
        <f t="shared" si="134"/>
        <v>--</v>
      </c>
      <c r="AQ95" s="1685" t="str">
        <f t="shared" si="135"/>
        <v/>
      </c>
      <c r="AR95" s="1686" t="str">
        <f t="shared" si="160"/>
        <v/>
      </c>
      <c r="AS95" s="1684" t="str">
        <f t="shared" si="136"/>
        <v>--</v>
      </c>
      <c r="AT95" s="1685" t="str">
        <f t="shared" si="137"/>
        <v/>
      </c>
      <c r="AU95" s="1688" t="str">
        <f t="shared" si="161"/>
        <v/>
      </c>
      <c r="AV95" s="1685">
        <f t="shared" si="162"/>
        <v>0</v>
      </c>
      <c r="AW95" s="1685" t="str">
        <f t="shared" si="163"/>
        <v/>
      </c>
      <c r="AX95" s="1685" t="str">
        <f t="shared" si="138"/>
        <v>--</v>
      </c>
      <c r="AY95" s="1686" t="str">
        <f t="shared" si="164"/>
        <v>N</v>
      </c>
      <c r="BA95" s="1756" t="str">
        <f t="shared" si="139"/>
        <v/>
      </c>
      <c r="BB95" s="1685" t="str">
        <f t="shared" si="140"/>
        <v>--</v>
      </c>
      <c r="BC95" s="1685" t="str">
        <f t="shared" si="141"/>
        <v>--</v>
      </c>
      <c r="BE95" s="1684" t="str">
        <f t="shared" si="142"/>
        <v>--</v>
      </c>
      <c r="BF95" s="1685" t="str">
        <f t="shared" si="143"/>
        <v/>
      </c>
      <c r="BG95" s="1686" t="str">
        <f t="shared" si="165"/>
        <v/>
      </c>
      <c r="BH95" s="1684">
        <f t="shared" si="144"/>
        <v>13.976871914796989</v>
      </c>
      <c r="BI95" s="1685" t="str">
        <f t="shared" si="145"/>
        <v/>
      </c>
      <c r="BJ95" s="1688" t="str">
        <f t="shared" si="166"/>
        <v/>
      </c>
      <c r="BK95" s="1685">
        <f t="shared" si="167"/>
        <v>13.976871914796989</v>
      </c>
      <c r="BL95" s="1685" t="str">
        <f t="shared" si="168"/>
        <v/>
      </c>
      <c r="BM95" s="1685">
        <f t="shared" si="120"/>
        <v>14</v>
      </c>
      <c r="BN95" s="1686">
        <f t="shared" si="169"/>
        <v>-1.6547397260273608E-3</v>
      </c>
      <c r="BP95" s="1756" t="str">
        <f t="shared" si="170"/>
        <v/>
      </c>
      <c r="BQ95" s="1685" t="str">
        <f t="shared" si="146"/>
        <v>--</v>
      </c>
    </row>
    <row r="96" spans="1:69">
      <c r="A96" t="s">
        <v>263</v>
      </c>
      <c r="B96" t="s">
        <v>115</v>
      </c>
      <c r="C96" s="1684" t="str">
        <f t="shared" si="177"/>
        <v>--</v>
      </c>
      <c r="D96" s="1685" t="str">
        <f t="shared" si="147"/>
        <v/>
      </c>
      <c r="E96" s="1686" t="str">
        <f t="shared" si="175"/>
        <v/>
      </c>
      <c r="F96" s="1684">
        <f t="shared" si="178"/>
        <v>455.69192283268859</v>
      </c>
      <c r="G96" s="1685" t="str">
        <f t="shared" si="148"/>
        <v/>
      </c>
      <c r="H96" s="1688" t="str">
        <f t="shared" si="171"/>
        <v/>
      </c>
      <c r="I96" s="1685">
        <f t="shared" si="121"/>
        <v>455.69192283268859</v>
      </c>
      <c r="J96" s="1685" t="str">
        <f t="shared" si="122"/>
        <v/>
      </c>
      <c r="K96" s="1685" t="e">
        <f t="shared" si="179"/>
        <v>#N/A</v>
      </c>
      <c r="L96" s="1686" t="e">
        <f t="shared" si="150"/>
        <v>#N/A</v>
      </c>
      <c r="M96" s="1684" t="str">
        <f t="shared" si="180"/>
        <v>--</v>
      </c>
      <c r="N96" s="1685" t="str">
        <f t="shared" si="151"/>
        <v/>
      </c>
      <c r="O96" s="1686" t="str">
        <f t="shared" si="123"/>
        <v/>
      </c>
      <c r="P96" s="1684">
        <f t="shared" si="181"/>
        <v>2105.4724843068316</v>
      </c>
      <c r="Q96" s="1685" t="str">
        <f t="shared" si="152"/>
        <v/>
      </c>
      <c r="R96" s="1688" t="str">
        <f t="shared" si="173"/>
        <v/>
      </c>
      <c r="S96" s="1685">
        <f t="shared" si="153"/>
        <v>2105.4724843068316</v>
      </c>
      <c r="T96" s="1685" t="str">
        <f t="shared" si="176"/>
        <v/>
      </c>
      <c r="U96" s="1685" t="e">
        <f t="shared" si="182"/>
        <v>#N/A</v>
      </c>
      <c r="V96" s="1686" t="e">
        <f t="shared" si="172"/>
        <v>#N/A</v>
      </c>
      <c r="W96" s="1756" t="e">
        <f t="shared" si="154"/>
        <v>#N/A</v>
      </c>
      <c r="X96" s="1685" t="e">
        <f t="shared" si="124"/>
        <v>#N/A</v>
      </c>
      <c r="Z96" t="e">
        <f t="shared" si="125"/>
        <v>#N/A</v>
      </c>
      <c r="AA96" t="e">
        <f t="shared" si="126"/>
        <v>#N/A</v>
      </c>
      <c r="AB96" t="e">
        <f t="shared" si="127"/>
        <v>#N/A</v>
      </c>
      <c r="AC96" t="e">
        <f t="shared" si="128"/>
        <v>#N/A</v>
      </c>
      <c r="AF96" s="1684" t="str">
        <f t="shared" si="129"/>
        <v>--</v>
      </c>
      <c r="AG96" s="1685" t="str">
        <f t="shared" si="130"/>
        <v/>
      </c>
      <c r="AH96" s="1686" t="str">
        <f t="shared" si="155"/>
        <v/>
      </c>
      <c r="AI96" s="1684">
        <f t="shared" si="131"/>
        <v>646.01769911504425</v>
      </c>
      <c r="AJ96" s="1685" t="str">
        <f t="shared" si="132"/>
        <v/>
      </c>
      <c r="AK96" s="1688" t="str">
        <f t="shared" si="156"/>
        <v/>
      </c>
      <c r="AL96" s="1685">
        <f t="shared" si="157"/>
        <v>646.01769911504425</v>
      </c>
      <c r="AM96" s="1685" t="str">
        <f t="shared" si="158"/>
        <v/>
      </c>
      <c r="AN96" s="1685" t="e">
        <f t="shared" si="133"/>
        <v>#N/A</v>
      </c>
      <c r="AO96" s="1686" t="e">
        <f t="shared" si="159"/>
        <v>#N/A</v>
      </c>
      <c r="AP96" s="1684" t="str">
        <f t="shared" si="134"/>
        <v>--</v>
      </c>
      <c r="AQ96" s="1685" t="str">
        <f t="shared" si="135"/>
        <v/>
      </c>
      <c r="AR96" s="1686" t="str">
        <f t="shared" si="160"/>
        <v/>
      </c>
      <c r="AS96" s="1684">
        <f t="shared" si="136"/>
        <v>2713.2743362831852</v>
      </c>
      <c r="AT96" s="1685" t="str">
        <f t="shared" si="137"/>
        <v/>
      </c>
      <c r="AU96" s="1688" t="str">
        <f t="shared" si="161"/>
        <v/>
      </c>
      <c r="AV96" s="1685">
        <f t="shared" si="162"/>
        <v>2713.2743362831852</v>
      </c>
      <c r="AW96" s="1685" t="str">
        <f t="shared" si="163"/>
        <v/>
      </c>
      <c r="AX96" s="1685" t="e">
        <f t="shared" si="138"/>
        <v>#N/A</v>
      </c>
      <c r="AY96" s="1686" t="e">
        <f t="shared" si="164"/>
        <v>#N/A</v>
      </c>
      <c r="BA96" s="1756" t="e">
        <f t="shared" si="139"/>
        <v>#N/A</v>
      </c>
      <c r="BB96" s="1685" t="e">
        <f t="shared" si="140"/>
        <v>#N/A</v>
      </c>
      <c r="BC96" s="1685" t="e">
        <f t="shared" si="141"/>
        <v>#N/A</v>
      </c>
      <c r="BE96" s="1684" t="str">
        <f t="shared" si="142"/>
        <v>--</v>
      </c>
      <c r="BF96" s="1685" t="str">
        <f t="shared" si="143"/>
        <v/>
      </c>
      <c r="BG96" s="1686" t="str">
        <f t="shared" si="165"/>
        <v/>
      </c>
      <c r="BH96" s="1684">
        <f t="shared" si="144"/>
        <v>798.81669063090976</v>
      </c>
      <c r="BI96" s="1685" t="str">
        <f t="shared" si="145"/>
        <v/>
      </c>
      <c r="BJ96" s="1688" t="str">
        <f t="shared" si="166"/>
        <v/>
      </c>
      <c r="BK96" s="1685">
        <f t="shared" si="167"/>
        <v>798.81669063090976</v>
      </c>
      <c r="BL96" s="1685" t="str">
        <f t="shared" si="168"/>
        <v/>
      </c>
      <c r="BM96" s="1685" t="e">
        <f t="shared" si="120"/>
        <v>#N/A</v>
      </c>
      <c r="BN96" s="1686" t="e">
        <f t="shared" si="169"/>
        <v>#N/A</v>
      </c>
      <c r="BP96" s="1756" t="e">
        <f t="shared" si="170"/>
        <v>#N/A</v>
      </c>
      <c r="BQ96" s="1685" t="e">
        <f t="shared" si="146"/>
        <v>#N/A</v>
      </c>
    </row>
    <row r="97" spans="1:69">
      <c r="A97" t="s">
        <v>264</v>
      </c>
      <c r="B97" t="s">
        <v>115</v>
      </c>
      <c r="C97" s="1684" t="str">
        <f t="shared" si="177"/>
        <v>--</v>
      </c>
      <c r="D97" s="1685" t="str">
        <f t="shared" si="147"/>
        <v/>
      </c>
      <c r="E97" s="1686" t="str">
        <f t="shared" si="175"/>
        <v/>
      </c>
      <c r="F97" s="1684">
        <f t="shared" si="178"/>
        <v>245.14598701027165</v>
      </c>
      <c r="G97" s="1685" t="str">
        <f t="shared" si="148"/>
        <v/>
      </c>
      <c r="H97" s="1688" t="str">
        <f t="shared" si="171"/>
        <v/>
      </c>
      <c r="I97" s="1685">
        <f t="shared" si="121"/>
        <v>245.14598701027165</v>
      </c>
      <c r="J97" s="1685" t="str">
        <f t="shared" si="122"/>
        <v/>
      </c>
      <c r="K97" s="1685" t="e">
        <f t="shared" si="179"/>
        <v>#N/A</v>
      </c>
      <c r="L97" s="1686" t="e">
        <f t="shared" si="150"/>
        <v>#N/A</v>
      </c>
      <c r="M97" s="1684" t="str">
        <f t="shared" si="180"/>
        <v>--</v>
      </c>
      <c r="N97" s="1685" t="str">
        <f t="shared" si="151"/>
        <v/>
      </c>
      <c r="O97" s="1686" t="str">
        <f t="shared" si="123"/>
        <v/>
      </c>
      <c r="P97" s="1684">
        <f t="shared" si="181"/>
        <v>1271.2448889936204</v>
      </c>
      <c r="Q97" s="1685" t="str">
        <f t="shared" si="152"/>
        <v/>
      </c>
      <c r="R97" s="1688" t="str">
        <f t="shared" si="173"/>
        <v/>
      </c>
      <c r="S97" s="1685">
        <f t="shared" si="153"/>
        <v>1271.2448889936204</v>
      </c>
      <c r="T97" s="1685" t="str">
        <f t="shared" si="176"/>
        <v/>
      </c>
      <c r="U97" s="1685" t="e">
        <f t="shared" si="182"/>
        <v>#N/A</v>
      </c>
      <c r="V97" s="1686" t="e">
        <f t="shared" si="172"/>
        <v>#N/A</v>
      </c>
      <c r="W97" s="1756" t="e">
        <f t="shared" si="154"/>
        <v>#N/A</v>
      </c>
      <c r="X97" s="1685" t="e">
        <f t="shared" si="124"/>
        <v>#N/A</v>
      </c>
      <c r="Z97" t="e">
        <f t="shared" si="125"/>
        <v>#N/A</v>
      </c>
      <c r="AA97" t="e">
        <f t="shared" si="126"/>
        <v>#N/A</v>
      </c>
      <c r="AB97" t="e">
        <f t="shared" si="127"/>
        <v>#N/A</v>
      </c>
      <c r="AC97" t="e">
        <f t="shared" si="128"/>
        <v>#N/A</v>
      </c>
      <c r="AF97" s="1684" t="str">
        <f t="shared" si="129"/>
        <v>--</v>
      </c>
      <c r="AG97" s="1685" t="str">
        <f t="shared" si="130"/>
        <v/>
      </c>
      <c r="AH97" s="1686" t="str">
        <f t="shared" si="155"/>
        <v/>
      </c>
      <c r="AI97" s="1684">
        <f t="shared" si="131"/>
        <v>309.32203389830511</v>
      </c>
      <c r="AJ97" s="1685" t="str">
        <f t="shared" si="132"/>
        <v/>
      </c>
      <c r="AK97" s="1688" t="str">
        <f t="shared" si="156"/>
        <v/>
      </c>
      <c r="AL97" s="1685">
        <f t="shared" si="157"/>
        <v>309.32203389830511</v>
      </c>
      <c r="AM97" s="1685" t="str">
        <f t="shared" si="158"/>
        <v/>
      </c>
      <c r="AN97" s="1685" t="e">
        <f t="shared" si="133"/>
        <v>#N/A</v>
      </c>
      <c r="AO97" s="1686" t="e">
        <f t="shared" si="159"/>
        <v>#N/A</v>
      </c>
      <c r="AP97" s="1684" t="str">
        <f t="shared" si="134"/>
        <v>--</v>
      </c>
      <c r="AQ97" s="1685" t="str">
        <f t="shared" si="135"/>
        <v/>
      </c>
      <c r="AR97" s="1686" t="str">
        <f t="shared" si="160"/>
        <v/>
      </c>
      <c r="AS97" s="1684">
        <f t="shared" si="136"/>
        <v>1299.1525423728813</v>
      </c>
      <c r="AT97" s="1685" t="str">
        <f t="shared" si="137"/>
        <v/>
      </c>
      <c r="AU97" s="1688" t="str">
        <f t="shared" si="161"/>
        <v/>
      </c>
      <c r="AV97" s="1685">
        <f t="shared" si="162"/>
        <v>1299.1525423728813</v>
      </c>
      <c r="AW97" s="1685" t="str">
        <f t="shared" si="163"/>
        <v/>
      </c>
      <c r="AX97" s="1685" t="e">
        <f t="shared" si="138"/>
        <v>#N/A</v>
      </c>
      <c r="AY97" s="1686" t="e">
        <f t="shared" si="164"/>
        <v>#N/A</v>
      </c>
      <c r="BA97" s="1756" t="e">
        <f t="shared" si="139"/>
        <v>#N/A</v>
      </c>
      <c r="BB97" s="1685" t="e">
        <f t="shared" si="140"/>
        <v>#N/A</v>
      </c>
      <c r="BC97" s="1685" t="e">
        <f t="shared" si="141"/>
        <v>#N/A</v>
      </c>
      <c r="BE97" s="1684" t="str">
        <f t="shared" si="142"/>
        <v>--</v>
      </c>
      <c r="BF97" s="1685" t="str">
        <f t="shared" si="143"/>
        <v/>
      </c>
      <c r="BG97" s="1686" t="str">
        <f t="shared" si="165"/>
        <v/>
      </c>
      <c r="BH97" s="1684">
        <f t="shared" si="144"/>
        <v>210.48658526371332</v>
      </c>
      <c r="BI97" s="1685" t="str">
        <f t="shared" si="145"/>
        <v/>
      </c>
      <c r="BJ97" s="1688" t="str">
        <f t="shared" si="166"/>
        <v/>
      </c>
      <c r="BK97" s="1685">
        <f t="shared" si="167"/>
        <v>210.48658526371332</v>
      </c>
      <c r="BL97" s="1685" t="str">
        <f t="shared" si="168"/>
        <v/>
      </c>
      <c r="BM97" s="1685" t="e">
        <f t="shared" ref="BM97:BM133" si="183">IF(VLOOKUP($B97,Table_RSL_SL,MATCH("tap",Heading_RSL_SL,0),FALSE)=0,"--",VLOOKUP($B97,Table_RSL_SL,MATCH("tap",Heading_RSL_SL,0),FALSE))</f>
        <v>#N/A</v>
      </c>
      <c r="BN97" s="1686" t="e">
        <f t="shared" si="169"/>
        <v>#N/A</v>
      </c>
      <c r="BP97" s="1756" t="e">
        <f t="shared" si="170"/>
        <v>#N/A</v>
      </c>
      <c r="BQ97" s="1685" t="e">
        <f t="shared" si="146"/>
        <v>#N/A</v>
      </c>
    </row>
    <row r="98" spans="1:69">
      <c r="A98" t="s">
        <v>265</v>
      </c>
      <c r="B98" t="s">
        <v>115</v>
      </c>
      <c r="C98" s="1684" t="str">
        <f t="shared" si="177"/>
        <v>--</v>
      </c>
      <c r="D98" s="1685" t="str">
        <f t="shared" si="147"/>
        <v/>
      </c>
      <c r="E98" s="1686" t="str">
        <f t="shared" si="175"/>
        <v/>
      </c>
      <c r="F98" s="1684">
        <f t="shared" si="178"/>
        <v>251.99102513542775</v>
      </c>
      <c r="G98" s="1685" t="str">
        <f t="shared" si="148"/>
        <v/>
      </c>
      <c r="H98" s="1688" t="str">
        <f t="shared" si="171"/>
        <v/>
      </c>
      <c r="I98" s="1685">
        <f t="shared" si="121"/>
        <v>251.99102513542775</v>
      </c>
      <c r="J98" s="1685" t="str">
        <f t="shared" si="122"/>
        <v/>
      </c>
      <c r="K98" s="1685" t="e">
        <f t="shared" si="179"/>
        <v>#N/A</v>
      </c>
      <c r="L98" s="1686" t="e">
        <f t="shared" si="150"/>
        <v>#N/A</v>
      </c>
      <c r="M98" s="1684" t="str">
        <f t="shared" si="180"/>
        <v>--</v>
      </c>
      <c r="N98" s="1685" t="str">
        <f t="shared" si="151"/>
        <v/>
      </c>
      <c r="O98" s="1686" t="str">
        <f t="shared" si="123"/>
        <v/>
      </c>
      <c r="P98" s="1684">
        <f t="shared" si="181"/>
        <v>1283.3504167072908</v>
      </c>
      <c r="Q98" s="1685" t="str">
        <f t="shared" si="152"/>
        <v/>
      </c>
      <c r="R98" s="1688" t="str">
        <f t="shared" si="173"/>
        <v/>
      </c>
      <c r="S98" s="1685">
        <f t="shared" si="153"/>
        <v>1283.3504167072908</v>
      </c>
      <c r="T98" s="1685" t="str">
        <f t="shared" si="176"/>
        <v/>
      </c>
      <c r="U98" s="1685" t="e">
        <f t="shared" si="182"/>
        <v>#N/A</v>
      </c>
      <c r="V98" s="1686" t="e">
        <f t="shared" si="172"/>
        <v>#N/A</v>
      </c>
      <c r="W98" s="1756" t="e">
        <f t="shared" si="154"/>
        <v>#N/A</v>
      </c>
      <c r="X98" s="1685" t="e">
        <f t="shared" si="124"/>
        <v>#N/A</v>
      </c>
      <c r="Z98" t="e">
        <f t="shared" si="125"/>
        <v>#N/A</v>
      </c>
      <c r="AA98" t="e">
        <f t="shared" si="126"/>
        <v>#N/A</v>
      </c>
      <c r="AB98" t="e">
        <f t="shared" si="127"/>
        <v>#N/A</v>
      </c>
      <c r="AC98" t="e">
        <f t="shared" si="128"/>
        <v>#N/A</v>
      </c>
      <c r="AF98" s="1684" t="str">
        <f t="shared" si="129"/>
        <v>--</v>
      </c>
      <c r="AG98" s="1685" t="str">
        <f t="shared" si="130"/>
        <v/>
      </c>
      <c r="AH98" s="1686" t="str">
        <f t="shared" si="155"/>
        <v/>
      </c>
      <c r="AI98" s="1684">
        <f t="shared" si="131"/>
        <v>309.32203389830511</v>
      </c>
      <c r="AJ98" s="1685" t="str">
        <f t="shared" si="132"/>
        <v/>
      </c>
      <c r="AK98" s="1688" t="str">
        <f t="shared" si="156"/>
        <v/>
      </c>
      <c r="AL98" s="1685">
        <f t="shared" si="157"/>
        <v>309.32203389830511</v>
      </c>
      <c r="AM98" s="1685" t="str">
        <f t="shared" si="158"/>
        <v/>
      </c>
      <c r="AN98" s="1685" t="e">
        <f t="shared" si="133"/>
        <v>#N/A</v>
      </c>
      <c r="AO98" s="1686" t="e">
        <f t="shared" si="159"/>
        <v>#N/A</v>
      </c>
      <c r="AP98" s="1684" t="str">
        <f t="shared" si="134"/>
        <v>--</v>
      </c>
      <c r="AQ98" s="1685" t="str">
        <f t="shared" si="135"/>
        <v/>
      </c>
      <c r="AR98" s="1686" t="str">
        <f t="shared" si="160"/>
        <v/>
      </c>
      <c r="AS98" s="1684">
        <f t="shared" si="136"/>
        <v>1299.1525423728813</v>
      </c>
      <c r="AT98" s="1685" t="str">
        <f t="shared" si="137"/>
        <v/>
      </c>
      <c r="AU98" s="1688" t="str">
        <f t="shared" si="161"/>
        <v/>
      </c>
      <c r="AV98" s="1685">
        <f t="shared" si="162"/>
        <v>1299.1525423728813</v>
      </c>
      <c r="AW98" s="1685" t="str">
        <f t="shared" si="163"/>
        <v/>
      </c>
      <c r="AX98" s="1685" t="e">
        <f t="shared" si="138"/>
        <v>#N/A</v>
      </c>
      <c r="AY98" s="1686" t="e">
        <f t="shared" si="164"/>
        <v>#N/A</v>
      </c>
      <c r="BA98" s="1756" t="e">
        <f t="shared" si="139"/>
        <v>#N/A</v>
      </c>
      <c r="BB98" s="1685" t="e">
        <f t="shared" si="140"/>
        <v>#N/A</v>
      </c>
      <c r="BC98" s="1685" t="e">
        <f t="shared" si="141"/>
        <v>#N/A</v>
      </c>
      <c r="BE98" s="1684" t="str">
        <f t="shared" si="142"/>
        <v>--</v>
      </c>
      <c r="BF98" s="1685" t="str">
        <f t="shared" si="143"/>
        <v/>
      </c>
      <c r="BG98" s="1686" t="str">
        <f t="shared" si="165"/>
        <v/>
      </c>
      <c r="BH98" s="1684">
        <f t="shared" si="144"/>
        <v>210.48658526371332</v>
      </c>
      <c r="BI98" s="1685" t="str">
        <f t="shared" si="145"/>
        <v/>
      </c>
      <c r="BJ98" s="1688" t="str">
        <f t="shared" si="166"/>
        <v/>
      </c>
      <c r="BK98" s="1685">
        <f t="shared" si="167"/>
        <v>210.48658526371332</v>
      </c>
      <c r="BL98" s="1685" t="str">
        <f t="shared" si="168"/>
        <v/>
      </c>
      <c r="BM98" s="1685" t="e">
        <f t="shared" si="183"/>
        <v>#N/A</v>
      </c>
      <c r="BN98" s="1686" t="e">
        <f t="shared" si="169"/>
        <v>#N/A</v>
      </c>
      <c r="BP98" s="1756" t="e">
        <f t="shared" si="170"/>
        <v>#N/A</v>
      </c>
      <c r="BQ98" s="1685" t="e">
        <f t="shared" si="146"/>
        <v>#N/A</v>
      </c>
    </row>
    <row r="99" spans="1:69">
      <c r="A99" t="s">
        <v>266</v>
      </c>
      <c r="B99" t="s">
        <v>115</v>
      </c>
      <c r="C99" s="1684" t="str">
        <f t="shared" si="177"/>
        <v>--</v>
      </c>
      <c r="D99" s="1685" t="str">
        <f t="shared" si="147"/>
        <v/>
      </c>
      <c r="E99" s="1686" t="str">
        <f t="shared" si="175"/>
        <v/>
      </c>
      <c r="F99" s="1684">
        <f t="shared" si="178"/>
        <v>201.31571747633836</v>
      </c>
      <c r="G99" s="1685" t="str">
        <f t="shared" si="148"/>
        <v/>
      </c>
      <c r="H99" s="1688" t="str">
        <f t="shared" si="171"/>
        <v/>
      </c>
      <c r="I99" s="1685">
        <f t="shared" si="121"/>
        <v>201.31571747633836</v>
      </c>
      <c r="J99" s="1685" t="str">
        <f t="shared" si="122"/>
        <v/>
      </c>
      <c r="K99" s="1685" t="e">
        <f t="shared" si="179"/>
        <v>#N/A</v>
      </c>
      <c r="L99" s="1686" t="e">
        <f t="shared" si="150"/>
        <v>#N/A</v>
      </c>
      <c r="M99" s="1684" t="str">
        <f t="shared" si="180"/>
        <v>--</v>
      </c>
      <c r="N99" s="1685" t="str">
        <f t="shared" si="151"/>
        <v/>
      </c>
      <c r="O99" s="1686" t="str">
        <f t="shared" si="123"/>
        <v/>
      </c>
      <c r="P99" s="1684">
        <f t="shared" si="181"/>
        <v>917.68778945095642</v>
      </c>
      <c r="Q99" s="1685" t="str">
        <f t="shared" si="152"/>
        <v/>
      </c>
      <c r="R99" s="1688" t="str">
        <f t="shared" si="173"/>
        <v/>
      </c>
      <c r="S99" s="1685">
        <f t="shared" si="153"/>
        <v>917.68778945095642</v>
      </c>
      <c r="T99" s="1685" t="str">
        <f t="shared" si="176"/>
        <v/>
      </c>
      <c r="U99" s="1685" t="e">
        <f t="shared" si="182"/>
        <v>#N/A</v>
      </c>
      <c r="V99" s="1686" t="e">
        <f t="shared" si="172"/>
        <v>#N/A</v>
      </c>
      <c r="W99" s="1756" t="e">
        <f t="shared" si="154"/>
        <v>#N/A</v>
      </c>
      <c r="X99" s="1685" t="e">
        <f t="shared" si="124"/>
        <v>#N/A</v>
      </c>
      <c r="Z99" t="e">
        <f t="shared" si="125"/>
        <v>#N/A</v>
      </c>
      <c r="AA99" t="e">
        <f t="shared" si="126"/>
        <v>#N/A</v>
      </c>
      <c r="AB99" t="e">
        <f t="shared" si="127"/>
        <v>#N/A</v>
      </c>
      <c r="AC99" t="e">
        <f t="shared" si="128"/>
        <v>#N/A</v>
      </c>
      <c r="AF99" s="1684" t="str">
        <f t="shared" si="129"/>
        <v>--</v>
      </c>
      <c r="AG99" s="1685" t="str">
        <f t="shared" si="130"/>
        <v/>
      </c>
      <c r="AH99" s="1686" t="str">
        <f t="shared" si="155"/>
        <v/>
      </c>
      <c r="AI99" s="1684">
        <f t="shared" si="131"/>
        <v>202.77777777777774</v>
      </c>
      <c r="AJ99" s="1685" t="str">
        <f t="shared" si="132"/>
        <v/>
      </c>
      <c r="AK99" s="1688" t="str">
        <f t="shared" si="156"/>
        <v/>
      </c>
      <c r="AL99" s="1685">
        <f t="shared" si="157"/>
        <v>202.77777777777774</v>
      </c>
      <c r="AM99" s="1685" t="str">
        <f t="shared" si="158"/>
        <v/>
      </c>
      <c r="AN99" s="1685" t="e">
        <f t="shared" si="133"/>
        <v>#N/A</v>
      </c>
      <c r="AO99" s="1686" t="e">
        <f t="shared" si="159"/>
        <v>#N/A</v>
      </c>
      <c r="AP99" s="1684" t="str">
        <f t="shared" si="134"/>
        <v>--</v>
      </c>
      <c r="AQ99" s="1685" t="str">
        <f t="shared" si="135"/>
        <v/>
      </c>
      <c r="AR99" s="1686" t="str">
        <f t="shared" si="160"/>
        <v/>
      </c>
      <c r="AS99" s="1684">
        <f t="shared" si="136"/>
        <v>851.66666666666663</v>
      </c>
      <c r="AT99" s="1685" t="str">
        <f t="shared" si="137"/>
        <v/>
      </c>
      <c r="AU99" s="1688" t="str">
        <f t="shared" si="161"/>
        <v/>
      </c>
      <c r="AV99" s="1685">
        <f t="shared" si="162"/>
        <v>851.66666666666663</v>
      </c>
      <c r="AW99" s="1685" t="str">
        <f t="shared" si="163"/>
        <v/>
      </c>
      <c r="AX99" s="1685" t="e">
        <f t="shared" si="138"/>
        <v>#N/A</v>
      </c>
      <c r="AY99" s="1686" t="e">
        <f t="shared" si="164"/>
        <v>#N/A</v>
      </c>
      <c r="BA99" s="1756" t="e">
        <f t="shared" si="139"/>
        <v>#N/A</v>
      </c>
      <c r="BB99" s="1685" t="e">
        <f t="shared" si="140"/>
        <v>#N/A</v>
      </c>
      <c r="BC99" s="1685" t="e">
        <f t="shared" si="141"/>
        <v>#N/A</v>
      </c>
      <c r="BE99" s="1684" t="str">
        <f t="shared" si="142"/>
        <v>--</v>
      </c>
      <c r="BF99" s="1685" t="str">
        <f t="shared" si="143"/>
        <v/>
      </c>
      <c r="BG99" s="1686" t="str">
        <f t="shared" si="165"/>
        <v/>
      </c>
      <c r="BH99" s="1684">
        <f t="shared" si="144"/>
        <v>178.56467953809269</v>
      </c>
      <c r="BI99" s="1685" t="str">
        <f t="shared" si="145"/>
        <v/>
      </c>
      <c r="BJ99" s="1688" t="str">
        <f t="shared" si="166"/>
        <v/>
      </c>
      <c r="BK99" s="1685">
        <f t="shared" si="167"/>
        <v>178.56467953809269</v>
      </c>
      <c r="BL99" s="1685" t="str">
        <f t="shared" si="168"/>
        <v/>
      </c>
      <c r="BM99" s="1685" t="e">
        <f t="shared" si="183"/>
        <v>#N/A</v>
      </c>
      <c r="BN99" s="1686" t="e">
        <f t="shared" si="169"/>
        <v>#N/A</v>
      </c>
      <c r="BP99" s="1756" t="e">
        <f t="shared" si="170"/>
        <v>#N/A</v>
      </c>
      <c r="BQ99" s="1685" t="e">
        <f t="shared" si="146"/>
        <v>#N/A</v>
      </c>
    </row>
    <row r="100" spans="1:69">
      <c r="A100" t="s">
        <v>267</v>
      </c>
      <c r="B100" t="s">
        <v>115</v>
      </c>
      <c r="C100" s="1684" t="str">
        <f t="shared" si="177"/>
        <v>--</v>
      </c>
      <c r="D100" s="1685" t="str">
        <f t="shared" si="147"/>
        <v/>
      </c>
      <c r="E100" s="1686" t="str">
        <f t="shared" si="175"/>
        <v/>
      </c>
      <c r="F100" s="1684" t="str">
        <f t="shared" si="178"/>
        <v>--</v>
      </c>
      <c r="G100" s="1685" t="str">
        <f t="shared" si="148"/>
        <v/>
      </c>
      <c r="H100" s="1688" t="str">
        <f t="shared" si="171"/>
        <v/>
      </c>
      <c r="I100" s="1685">
        <f t="shared" si="121"/>
        <v>0</v>
      </c>
      <c r="J100" s="1685" t="str">
        <f t="shared" si="122"/>
        <v/>
      </c>
      <c r="K100" s="1685" t="e">
        <f t="shared" si="179"/>
        <v>#N/A</v>
      </c>
      <c r="L100" s="1686" t="e">
        <f t="shared" si="150"/>
        <v>#N/A</v>
      </c>
      <c r="M100" s="1684" t="str">
        <f t="shared" si="180"/>
        <v>--</v>
      </c>
      <c r="N100" s="1685" t="str">
        <f t="shared" si="151"/>
        <v/>
      </c>
      <c r="O100" s="1686" t="str">
        <f t="shared" si="123"/>
        <v/>
      </c>
      <c r="P100" s="1684" t="str">
        <f t="shared" si="181"/>
        <v>--</v>
      </c>
      <c r="Q100" s="1685" t="str">
        <f t="shared" si="152"/>
        <v/>
      </c>
      <c r="R100" s="1688" t="str">
        <f t="shared" si="173"/>
        <v/>
      </c>
      <c r="S100" s="1685">
        <f t="shared" si="153"/>
        <v>0</v>
      </c>
      <c r="T100" s="1685" t="str">
        <f t="shared" si="176"/>
        <v/>
      </c>
      <c r="U100" s="1685" t="e">
        <f t="shared" si="182"/>
        <v>#N/A</v>
      </c>
      <c r="V100" s="1686" t="e">
        <f t="shared" si="172"/>
        <v>#N/A</v>
      </c>
      <c r="W100" s="1756" t="e">
        <f t="shared" si="154"/>
        <v>#N/A</v>
      </c>
      <c r="X100" s="1685" t="e">
        <f t="shared" si="124"/>
        <v>#N/A</v>
      </c>
      <c r="Z100" t="e">
        <f t="shared" si="125"/>
        <v>#N/A</v>
      </c>
      <c r="AA100" t="e">
        <f t="shared" si="126"/>
        <v>#N/A</v>
      </c>
      <c r="AB100" t="e">
        <f t="shared" si="127"/>
        <v>#N/A</v>
      </c>
      <c r="AC100" t="e">
        <f t="shared" si="128"/>
        <v>#N/A</v>
      </c>
      <c r="AF100" s="1684" t="str">
        <f t="shared" si="129"/>
        <v>--</v>
      </c>
      <c r="AG100" s="1685" t="str">
        <f t="shared" si="130"/>
        <v/>
      </c>
      <c r="AH100" s="1686" t="str">
        <f t="shared" si="155"/>
        <v/>
      </c>
      <c r="AI100" s="1684" t="str">
        <f t="shared" si="131"/>
        <v>--</v>
      </c>
      <c r="AJ100" s="1685" t="str">
        <f t="shared" si="132"/>
        <v/>
      </c>
      <c r="AK100" s="1688" t="str">
        <f t="shared" si="156"/>
        <v/>
      </c>
      <c r="AL100" s="1685">
        <f t="shared" si="157"/>
        <v>0</v>
      </c>
      <c r="AM100" s="1685" t="str">
        <f t="shared" si="158"/>
        <v/>
      </c>
      <c r="AN100" s="1685" t="e">
        <f t="shared" si="133"/>
        <v>#N/A</v>
      </c>
      <c r="AO100" s="1686" t="e">
        <f t="shared" si="159"/>
        <v>#N/A</v>
      </c>
      <c r="AP100" s="1684" t="str">
        <f t="shared" si="134"/>
        <v>--</v>
      </c>
      <c r="AQ100" s="1685" t="str">
        <f t="shared" si="135"/>
        <v/>
      </c>
      <c r="AR100" s="1686" t="str">
        <f t="shared" si="160"/>
        <v/>
      </c>
      <c r="AS100" s="1684" t="str">
        <f t="shared" si="136"/>
        <v>--</v>
      </c>
      <c r="AT100" s="1685" t="str">
        <f t="shared" si="137"/>
        <v/>
      </c>
      <c r="AU100" s="1688" t="str">
        <f t="shared" si="161"/>
        <v/>
      </c>
      <c r="AV100" s="1685">
        <f t="shared" si="162"/>
        <v>0</v>
      </c>
      <c r="AW100" s="1685" t="str">
        <f t="shared" si="163"/>
        <v/>
      </c>
      <c r="AX100" s="1685" t="e">
        <f t="shared" si="138"/>
        <v>#N/A</v>
      </c>
      <c r="AY100" s="1686" t="e">
        <f t="shared" si="164"/>
        <v>#N/A</v>
      </c>
      <c r="BA100" s="1756" t="e">
        <f t="shared" si="139"/>
        <v>#N/A</v>
      </c>
      <c r="BB100" s="1685" t="e">
        <f t="shared" si="140"/>
        <v>#N/A</v>
      </c>
      <c r="BC100" s="1685" t="e">
        <f t="shared" si="141"/>
        <v>#N/A</v>
      </c>
      <c r="BE100" s="1684" t="str">
        <f t="shared" si="142"/>
        <v>--</v>
      </c>
      <c r="BF100" s="1685" t="str">
        <f t="shared" si="143"/>
        <v/>
      </c>
      <c r="BG100" s="1686" t="str">
        <f t="shared" si="165"/>
        <v/>
      </c>
      <c r="BH100" s="1684">
        <f t="shared" si="144"/>
        <v>409.72309098470822</v>
      </c>
      <c r="BI100" s="1685" t="str">
        <f t="shared" si="145"/>
        <v/>
      </c>
      <c r="BJ100" s="1688" t="str">
        <f t="shared" si="166"/>
        <v/>
      </c>
      <c r="BK100" s="1685">
        <f t="shared" si="167"/>
        <v>409.72309098470822</v>
      </c>
      <c r="BL100" s="1685" t="str">
        <f t="shared" si="168"/>
        <v/>
      </c>
      <c r="BM100" s="1685" t="e">
        <f t="shared" si="183"/>
        <v>#N/A</v>
      </c>
      <c r="BN100" s="1686" t="e">
        <f t="shared" si="169"/>
        <v>#N/A</v>
      </c>
      <c r="BP100" s="1756" t="e">
        <f t="shared" si="170"/>
        <v>#N/A</v>
      </c>
      <c r="BQ100" s="1685" t="e">
        <f t="shared" si="146"/>
        <v>#N/A</v>
      </c>
    </row>
    <row r="101" spans="1:69">
      <c r="A101" t="s">
        <v>268</v>
      </c>
      <c r="B101" t="s">
        <v>115</v>
      </c>
      <c r="C101" s="1684" t="str">
        <f t="shared" si="177"/>
        <v>--</v>
      </c>
      <c r="D101" s="1685" t="str">
        <f t="shared" si="147"/>
        <v/>
      </c>
      <c r="E101" s="1686" t="str">
        <f t="shared" si="175"/>
        <v/>
      </c>
      <c r="F101" s="1684">
        <f>VLOOKUP($A101,Table_S_Summary,MATCH("S-Res-nC",heading_S_Summary,0),FALSE)</f>
        <v>12032.967032967033</v>
      </c>
      <c r="G101" s="1685" t="str">
        <f t="shared" si="148"/>
        <v/>
      </c>
      <c r="H101" s="1688" t="str">
        <f t="shared" si="171"/>
        <v/>
      </c>
      <c r="I101" s="1685">
        <f t="shared" si="121"/>
        <v>12032.967032967033</v>
      </c>
      <c r="J101" s="1685" t="str">
        <f t="shared" si="122"/>
        <v/>
      </c>
      <c r="K101" s="1685" t="e">
        <f t="shared" si="179"/>
        <v>#N/A</v>
      </c>
      <c r="L101" s="1686" t="e">
        <f t="shared" si="150"/>
        <v>#N/A</v>
      </c>
      <c r="M101" s="1684" t="str">
        <f t="shared" si="180"/>
        <v>--</v>
      </c>
      <c r="N101" s="1685" t="str">
        <f t="shared" si="151"/>
        <v/>
      </c>
      <c r="O101" s="1686" t="str">
        <f t="shared" si="123"/>
        <v/>
      </c>
      <c r="P101" s="1684">
        <f t="shared" si="181"/>
        <v>179692.30769230769</v>
      </c>
      <c r="Q101" s="1685" t="str">
        <f t="shared" si="152"/>
        <v/>
      </c>
      <c r="R101" s="1688" t="str">
        <f t="shared" si="173"/>
        <v/>
      </c>
      <c r="S101" s="1685">
        <f t="shared" si="153"/>
        <v>179692.30769230769</v>
      </c>
      <c r="T101" s="1685" t="str">
        <f t="shared" si="176"/>
        <v/>
      </c>
      <c r="U101" s="1685" t="e">
        <f t="shared" si="182"/>
        <v>#N/A</v>
      </c>
      <c r="V101" s="1686" t="e">
        <f t="shared" si="172"/>
        <v>#N/A</v>
      </c>
      <c r="W101" s="1756" t="e">
        <f t="shared" si="154"/>
        <v>#N/A</v>
      </c>
      <c r="X101" s="1685" t="e">
        <f t="shared" si="124"/>
        <v>#N/A</v>
      </c>
      <c r="Z101" t="e">
        <f t="shared" si="125"/>
        <v>#N/A</v>
      </c>
      <c r="AA101" t="e">
        <f t="shared" si="126"/>
        <v>#N/A</v>
      </c>
      <c r="AB101" t="e">
        <f t="shared" si="127"/>
        <v>#N/A</v>
      </c>
      <c r="AC101" t="e">
        <f t="shared" si="128"/>
        <v>#N/A</v>
      </c>
      <c r="AF101" s="1684" t="str">
        <f t="shared" si="129"/>
        <v>--</v>
      </c>
      <c r="AG101" s="1685" t="str">
        <f t="shared" si="130"/>
        <v/>
      </c>
      <c r="AH101" s="1686" t="str">
        <f t="shared" si="155"/>
        <v/>
      </c>
      <c r="AI101" s="1684" t="str">
        <f t="shared" si="131"/>
        <v>--</v>
      </c>
      <c r="AJ101" s="1685" t="str">
        <f t="shared" si="132"/>
        <v/>
      </c>
      <c r="AK101" s="1688" t="str">
        <f t="shared" si="156"/>
        <v/>
      </c>
      <c r="AL101" s="1685">
        <f t="shared" si="157"/>
        <v>0</v>
      </c>
      <c r="AM101" s="1685" t="str">
        <f t="shared" si="158"/>
        <v/>
      </c>
      <c r="AN101" s="1685" t="e">
        <f t="shared" si="133"/>
        <v>#N/A</v>
      </c>
      <c r="AO101" s="1686" t="e">
        <f t="shared" si="159"/>
        <v>#N/A</v>
      </c>
      <c r="AP101" s="1684" t="str">
        <f t="shared" si="134"/>
        <v>--</v>
      </c>
      <c r="AQ101" s="1685" t="str">
        <f t="shared" si="135"/>
        <v/>
      </c>
      <c r="AR101" s="1686" t="str">
        <f t="shared" si="160"/>
        <v/>
      </c>
      <c r="AS101" s="1684" t="str">
        <f t="shared" si="136"/>
        <v>--</v>
      </c>
      <c r="AT101" s="1685" t="str">
        <f t="shared" si="137"/>
        <v/>
      </c>
      <c r="AU101" s="1688" t="str">
        <f t="shared" si="161"/>
        <v/>
      </c>
      <c r="AV101" s="1685">
        <f t="shared" si="162"/>
        <v>0</v>
      </c>
      <c r="AW101" s="1685" t="str">
        <f t="shared" si="163"/>
        <v/>
      </c>
      <c r="AX101" s="1685" t="e">
        <f t="shared" si="138"/>
        <v>#N/A</v>
      </c>
      <c r="AY101" s="1686" t="e">
        <f t="shared" si="164"/>
        <v>#N/A</v>
      </c>
      <c r="BA101" s="1756" t="e">
        <f t="shared" si="139"/>
        <v>#N/A</v>
      </c>
      <c r="BB101" s="1685" t="e">
        <f t="shared" si="140"/>
        <v>#N/A</v>
      </c>
      <c r="BC101" s="1685" t="e">
        <f t="shared" si="141"/>
        <v>#N/A</v>
      </c>
      <c r="BE101" s="1684" t="str">
        <f t="shared" si="142"/>
        <v>--</v>
      </c>
      <c r="BF101" s="1685" t="str">
        <f t="shared" si="143"/>
        <v/>
      </c>
      <c r="BG101" s="1686" t="str">
        <f t="shared" si="165"/>
        <v/>
      </c>
      <c r="BH101" s="1684" t="str">
        <f t="shared" si="144"/>
        <v>--</v>
      </c>
      <c r="BI101" s="1685" t="str">
        <f t="shared" si="145"/>
        <v/>
      </c>
      <c r="BJ101" s="1688" t="str">
        <f t="shared" si="166"/>
        <v/>
      </c>
      <c r="BK101" s="1685">
        <f t="shared" si="167"/>
        <v>0</v>
      </c>
      <c r="BL101" s="1685" t="str">
        <f t="shared" si="168"/>
        <v/>
      </c>
      <c r="BM101" s="1685" t="e">
        <f t="shared" si="183"/>
        <v>#N/A</v>
      </c>
      <c r="BN101" s="1686" t="e">
        <f t="shared" si="169"/>
        <v>#N/A</v>
      </c>
      <c r="BP101" s="1756" t="e">
        <f t="shared" si="170"/>
        <v>#N/A</v>
      </c>
      <c r="BQ101" s="1685" t="e">
        <f t="shared" si="146"/>
        <v>#N/A</v>
      </c>
    </row>
    <row r="102" spans="1:69">
      <c r="A102" t="s">
        <v>719</v>
      </c>
      <c r="B102" t="s">
        <v>3413</v>
      </c>
      <c r="C102" s="1684" t="e">
        <f t="shared" si="177"/>
        <v>#N/A</v>
      </c>
      <c r="D102" s="1685" t="e">
        <f t="shared" si="147"/>
        <v>#N/A</v>
      </c>
      <c r="E102" s="1686" t="e">
        <f t="shared" ref="E102:E106" si="184">IF(D102="","",IF(C102=D102,"",(C102-D102)/C102))</f>
        <v>#N/A</v>
      </c>
      <c r="F102" s="1684">
        <f>VLOOKUP($A102,Table_S_1,MATCH("S-Res-nC",heading_S_1,0),FALSE)</f>
        <v>593.37328971552336</v>
      </c>
      <c r="G102" s="1685" t="e">
        <f t="shared" si="148"/>
        <v>#N/A</v>
      </c>
      <c r="H102" s="1688" t="e">
        <f t="shared" ref="H102:H106" si="185">IF(G102="","",IF(F102=G102,"",(F102-G102)/F102))</f>
        <v>#N/A</v>
      </c>
      <c r="I102" s="1684">
        <f>VLOOKUP($A102,Table_S_1,MATCH("S-Res-nC",heading_S_1,0),FALSE)</f>
        <v>593.37328971552336</v>
      </c>
      <c r="J102" s="1685" t="e">
        <f t="shared" ref="J102:J106" si="186">IF(AND(D102="",G102=""),"",MIN(G102,D102))</f>
        <v>#N/A</v>
      </c>
      <c r="K102" s="1685">
        <f t="shared" si="179"/>
        <v>250</v>
      </c>
      <c r="L102" s="1686">
        <f t="shared" ref="L102:L106" si="187">IF(AND(I102="--",K102="--"),"--",IF(AND(I102="--",K102&lt;&gt;"--"),"R",IF(AND(K102="--",I102&lt;&gt;"--"),"N",IF((I102-K102)=0,"--",(I102-K102)/I102))))</f>
        <v>0.57868005801229161</v>
      </c>
      <c r="M102" s="1684" t="e">
        <f t="shared" si="180"/>
        <v>#N/A</v>
      </c>
      <c r="N102" s="1685" t="e">
        <f t="shared" si="151"/>
        <v>#N/A</v>
      </c>
      <c r="O102" s="1686" t="e">
        <f t="shared" ref="O102:O106" si="188">IF(N102="","",IF(M102=N102,"",(M102-N102)/M102))</f>
        <v>#N/A</v>
      </c>
      <c r="P102" s="1684">
        <f>VLOOKUP($A102,Table_S_1,MATCH("S-Com-nC",heading_S_1,0),FALSE)</f>
        <v>2489.362120562751</v>
      </c>
      <c r="Q102" s="1685" t="e">
        <f t="shared" si="152"/>
        <v>#N/A</v>
      </c>
      <c r="R102" s="1688" t="e">
        <f t="shared" ref="R102:R106" si="189">IF(Q102="","",IF(P102=Q102,"",(P102-Q102)/P102))</f>
        <v>#N/A</v>
      </c>
      <c r="S102" s="1684">
        <f>VLOOKUP($A102,Table_S_1,MATCH("S-Com-nC",heading_S_1,0),FALSE)</f>
        <v>2489.362120562751</v>
      </c>
      <c r="T102" s="1685" t="e">
        <f t="shared" ref="T102:T106" si="190">IF(AND(N102="",Q102=""),"",MIN(Q102,N102))</f>
        <v>#N/A</v>
      </c>
      <c r="U102" s="1685">
        <f t="shared" si="182"/>
        <v>1900</v>
      </c>
      <c r="V102" s="1686">
        <f t="shared" ref="V102:V106" si="191">IF(AND(S102="--",U102="--"),"--",IF(AND(S102="--",U102&lt;&gt;"--"),"R",IF(AND(U102="--",S102&lt;&gt;"--"),"N",IF((S102-U102)=0,"--",(S102-U102)/S102))))</f>
        <v>0.23675226504592206</v>
      </c>
      <c r="W102" s="1756" t="str">
        <f>IF(OR(Z102&lt;&gt;"--", AA102&lt;&gt;"--",AB102&lt;&gt;"--",AC102&lt;&gt;"--"),"*","")</f>
        <v>*</v>
      </c>
      <c r="X102" s="1685" t="e">
        <f t="shared" si="124"/>
        <v>#N/A</v>
      </c>
      <c r="Z102" t="str">
        <f t="shared" si="125"/>
        <v>--</v>
      </c>
      <c r="AA102" t="str">
        <f t="shared" si="126"/>
        <v>--</v>
      </c>
      <c r="AB102" t="str">
        <f t="shared" si="127"/>
        <v>x</v>
      </c>
      <c r="AC102" t="str">
        <f t="shared" si="128"/>
        <v>x</v>
      </c>
      <c r="AF102" s="1684" t="e">
        <f t="shared" si="129"/>
        <v>#N/A</v>
      </c>
      <c r="AG102" s="1685" t="e">
        <f t="shared" si="130"/>
        <v>#N/A</v>
      </c>
      <c r="AH102" s="1686" t="e">
        <f t="shared" ref="AH102:AH106" si="192">IF(AG102="","",IF(AF102=AG102,"",(AF102-AG102)/AF102))</f>
        <v>#N/A</v>
      </c>
      <c r="AI102" s="1684">
        <f>VLOOKUP($A102,Table_IA_1,MATCH("IA-Res-nC",heading_IA_1,0),FALSE)</f>
        <v>730</v>
      </c>
      <c r="AJ102" s="1685" t="e">
        <f t="shared" si="132"/>
        <v>#N/A</v>
      </c>
      <c r="AK102" s="1688" t="e">
        <f t="shared" ref="AK102:AK106" si="193">IF(AJ102="","",IF(AI102=AJ102,"",(AI102-AJ102)/AI102))</f>
        <v>#N/A</v>
      </c>
      <c r="AL102" s="1684">
        <f>VLOOKUP($A102,Table_IA_1,MATCH("IA-Res-nC",heading_IA_1,0),FALSE)</f>
        <v>730</v>
      </c>
      <c r="AM102" s="1685" t="e">
        <f t="shared" ref="AM102:AM106" si="194">IF(AND(AG102="",AJ102=""),"",MIN(AJ102,AG102))</f>
        <v>#N/A</v>
      </c>
      <c r="AN102" s="1685">
        <f t="shared" si="133"/>
        <v>420</v>
      </c>
      <c r="AO102" s="1686">
        <f t="shared" ref="AO102:AO106" si="195">IF(AND(AL102="--",AN102="--"),"--",IF(AND(AL102="--",AN102&lt;&gt;"--"),"R",IF(AND(AN102="--",AL102&lt;&gt;"--"),"N",IF((AL102-AN102)=0,"--",(AL102-AN102)/AL102))))</f>
        <v>0.42465753424657532</v>
      </c>
      <c r="AP102" s="1684" t="e">
        <f t="shared" si="134"/>
        <v>#N/A</v>
      </c>
      <c r="AQ102" s="1685" t="e">
        <f t="shared" si="135"/>
        <v>#N/A</v>
      </c>
      <c r="AR102" s="1686" t="e">
        <f t="shared" ref="AR102:AR106" si="196">IF(AQ102="","",IF(AP102=AQ102,"",(AP102-AQ102)/AP102))</f>
        <v>#N/A</v>
      </c>
      <c r="AS102" s="1684">
        <f>VLOOKUP($A102,Table_IA_1,MATCH("IA-com-NC",heading_IA_1,0),FALSE)</f>
        <v>3066</v>
      </c>
      <c r="AT102" s="1685" t="e">
        <f t="shared" si="137"/>
        <v>#N/A</v>
      </c>
      <c r="AU102" s="1688" t="e">
        <f t="shared" ref="AU102:AU106" si="197">IF(AT102="","",IF(AS102=AT102,"",(AS102-AT102)/AS102))</f>
        <v>#N/A</v>
      </c>
      <c r="AV102" s="1684">
        <f>VLOOKUP($A102,Table_IA_1,MATCH("IA-com-NC",heading_IA_1,0),FALSE)</f>
        <v>3066</v>
      </c>
      <c r="AW102" s="1685" t="e">
        <f t="shared" ref="AW102:AW106" si="198">IF(AND(AQ102="",AT102=""),"",MIN(AT102,AQ102))</f>
        <v>#N/A</v>
      </c>
      <c r="AX102" s="1685">
        <f t="shared" si="138"/>
        <v>1800</v>
      </c>
      <c r="AY102" s="1686">
        <f t="shared" ref="AY102:AY106" si="199">IF(AND(AV102="--",AX102="--"),"--",IF(AND(AV102="--",AX102&lt;&gt;"--"),"R",IF(AND(AX102="--",AV102&lt;&gt;"--"),"N",IF((AV102-AX102)=0,"--",(AV102-AX102)/AV102))))</f>
        <v>0.41291585127201563</v>
      </c>
      <c r="BA102" s="1756" t="str">
        <f>IF(OR(Z102&lt;&gt;"--", AA102&lt;&gt;"--",AB102&lt;&gt;"--",AC102&lt;&gt;"--"),"*","")</f>
        <v>*</v>
      </c>
      <c r="BB102" s="1685" t="str">
        <f t="shared" si="140"/>
        <v>V</v>
      </c>
      <c r="BC102" s="1685" t="e">
        <f t="shared" si="141"/>
        <v>#N/A</v>
      </c>
      <c r="BE102" s="1684" t="str">
        <f t="shared" si="142"/>
        <v>--</v>
      </c>
      <c r="BF102" s="1685" t="e">
        <f t="shared" si="143"/>
        <v>#N/A</v>
      </c>
      <c r="BG102" s="1686" t="e">
        <f t="shared" ref="BG102:BG106" si="200">IF(BF102="","",IF(BE102=BF102,"",(BE102-BF102)/BE102))</f>
        <v>#N/A</v>
      </c>
      <c r="BH102" s="1684">
        <f t="shared" si="144"/>
        <v>790.67190217625296</v>
      </c>
      <c r="BI102" s="1685" t="e">
        <f t="shared" si="145"/>
        <v>#N/A</v>
      </c>
      <c r="BJ102" s="1688" t="e">
        <f t="shared" ref="BJ102:BJ106" si="201">IF(BI102="","",IF(BH102=BI102,"",(BH102-BI102)/BH102))</f>
        <v>#N/A</v>
      </c>
      <c r="BK102" s="1685">
        <f t="shared" ref="BK102:BK106" si="202">MIN(BH102,BE102)</f>
        <v>790.67190217625296</v>
      </c>
      <c r="BL102" s="1685" t="e">
        <f t="shared" ref="BL102:BL106" si="203">IF(AND(BF102="",BI102=""),"",MIN(BI102,BF102))</f>
        <v>#N/A</v>
      </c>
      <c r="BM102" s="1685">
        <f t="shared" si="183"/>
        <v>28</v>
      </c>
      <c r="BN102" s="1686">
        <f t="shared" ref="BN102:BN106" si="204">IF(AND(BK102="--",BM102="--"),"--",IF(AND(BK102="--",BM102&lt;&gt;"--"),"R",IF(AND(BM102="--",BK102&lt;&gt;"--"),"N",IF((BK102-BM102)=0,"--",(BK102-BM102)/BK102))))</f>
        <v>0.96458708103458268</v>
      </c>
      <c r="BP102" s="1756" t="str">
        <f t="shared" ref="BP102:BP106" si="205">IF(OR(Z102&lt;&gt;"--", AA102&lt;&gt;"--",AB102&lt;&gt;"--",AC102&lt;&gt;"--"),"*","")</f>
        <v>*</v>
      </c>
      <c r="BQ102" s="1685" t="e">
        <f t="shared" si="146"/>
        <v>#N/A</v>
      </c>
    </row>
    <row r="103" spans="1:69">
      <c r="A103" t="s">
        <v>720</v>
      </c>
      <c r="B103" t="s">
        <v>3416</v>
      </c>
      <c r="C103" s="1684" t="e">
        <f t="shared" si="177"/>
        <v>#N/A</v>
      </c>
      <c r="D103" s="1685" t="e">
        <f t="shared" si="147"/>
        <v>#N/A</v>
      </c>
      <c r="E103" s="1686" t="e">
        <f t="shared" si="184"/>
        <v>#N/A</v>
      </c>
      <c r="F103" s="1684">
        <f>VLOOKUP($A103,Table_S_1,MATCH("S-Res-nC",heading_S_1,0),FALSE)</f>
        <v>95.507007396229454</v>
      </c>
      <c r="G103" s="1685" t="e">
        <f t="shared" si="148"/>
        <v>#N/A</v>
      </c>
      <c r="H103" s="1688" t="e">
        <f t="shared" si="185"/>
        <v>#N/A</v>
      </c>
      <c r="I103" s="1684">
        <f>VLOOKUP($A103,Table_S_1,MATCH("S-Res-nC",heading_S_1,0),FALSE)</f>
        <v>95.507007396229454</v>
      </c>
      <c r="J103" s="1685" t="e">
        <f t="shared" si="186"/>
        <v>#N/A</v>
      </c>
      <c r="K103" s="1685">
        <f t="shared" si="179"/>
        <v>96</v>
      </c>
      <c r="L103" s="1686">
        <f t="shared" si="187"/>
        <v>-5.16184746240943E-3</v>
      </c>
      <c r="M103" s="1684" t="e">
        <f t="shared" si="180"/>
        <v>#N/A</v>
      </c>
      <c r="N103" s="1685" t="e">
        <f t="shared" si="151"/>
        <v>#N/A</v>
      </c>
      <c r="O103" s="1686" t="e">
        <f t="shared" si="188"/>
        <v>#N/A</v>
      </c>
      <c r="P103" s="1684">
        <f>VLOOKUP($A103,Table_S_1,MATCH("S-Com-nC",heading_S_1,0),FALSE)</f>
        <v>431.4985103546411</v>
      </c>
      <c r="Q103" s="1685" t="e">
        <f t="shared" si="152"/>
        <v>#N/A</v>
      </c>
      <c r="R103" s="1688" t="e">
        <f t="shared" si="189"/>
        <v>#N/A</v>
      </c>
      <c r="S103" s="1684">
        <f>VLOOKUP($A103,Table_S_1,MATCH("S-Com-nC",heading_S_1,0),FALSE)</f>
        <v>431.4985103546411</v>
      </c>
      <c r="T103" s="1685" t="e">
        <f t="shared" si="190"/>
        <v>#N/A</v>
      </c>
      <c r="U103" s="1685">
        <f t="shared" si="182"/>
        <v>440</v>
      </c>
      <c r="V103" s="1686">
        <f t="shared" si="191"/>
        <v>-1.9702245642451176E-2</v>
      </c>
      <c r="W103" s="1756" t="str">
        <f t="shared" ref="W103:W106" si="206">IF(OR(Z103&lt;&gt;"--", AA103&lt;&gt;"--",AB103&lt;&gt;"--",AC103&lt;&gt;"--"),"*","")</f>
        <v/>
      </c>
      <c r="X103" s="1685" t="e">
        <f t="shared" si="124"/>
        <v>#N/A</v>
      </c>
      <c r="Z103" t="str">
        <f t="shared" si="125"/>
        <v>--</v>
      </c>
      <c r="AA103" t="str">
        <f t="shared" si="126"/>
        <v>--</v>
      </c>
      <c r="AB103" t="str">
        <f t="shared" si="127"/>
        <v>--</v>
      </c>
      <c r="AC103" t="str">
        <f t="shared" si="128"/>
        <v>--</v>
      </c>
      <c r="AF103" s="1684" t="e">
        <f t="shared" si="129"/>
        <v>#N/A</v>
      </c>
      <c r="AG103" s="1685" t="e">
        <f t="shared" si="130"/>
        <v>#N/A</v>
      </c>
      <c r="AH103" s="1686" t="e">
        <f t="shared" si="192"/>
        <v>#N/A</v>
      </c>
      <c r="AI103" s="1684">
        <f>VLOOKUP($A103,Table_IA_1,MATCH("IA-Res-nC",heading_IA_1,0),FALSE)</f>
        <v>104.28571428571429</v>
      </c>
      <c r="AJ103" s="1685" t="e">
        <f t="shared" si="132"/>
        <v>#N/A</v>
      </c>
      <c r="AK103" s="1688" t="e">
        <f t="shared" si="193"/>
        <v>#N/A</v>
      </c>
      <c r="AL103" s="1684">
        <f>VLOOKUP($A103,Table_IA_1,MATCH("IA-Res-nC",heading_IA_1,0),FALSE)</f>
        <v>104.28571428571429</v>
      </c>
      <c r="AM103" s="1685" t="e">
        <f t="shared" si="194"/>
        <v>#N/A</v>
      </c>
      <c r="AN103" s="1685">
        <f t="shared" si="133"/>
        <v>100</v>
      </c>
      <c r="AO103" s="1686">
        <f t="shared" si="195"/>
        <v>4.1095890410958957E-2</v>
      </c>
      <c r="AP103" s="1684" t="e">
        <f t="shared" si="134"/>
        <v>#N/A</v>
      </c>
      <c r="AQ103" s="1685" t="e">
        <f t="shared" si="135"/>
        <v>#N/A</v>
      </c>
      <c r="AR103" s="1686" t="e">
        <f t="shared" si="196"/>
        <v>#N/A</v>
      </c>
      <c r="AS103" s="1684">
        <f>VLOOKUP($A103,Table_IA_1,MATCH("IA-com-NC",heading_IA_1,0),FALSE)</f>
        <v>437.99999999999994</v>
      </c>
      <c r="AT103" s="1685" t="e">
        <f t="shared" si="137"/>
        <v>#N/A</v>
      </c>
      <c r="AU103" s="1688" t="e">
        <f t="shared" si="197"/>
        <v>#N/A</v>
      </c>
      <c r="AV103" s="1684">
        <f>VLOOKUP($A103,Table_IA_1,MATCH("IA-com-NC",heading_IA_1,0),FALSE)</f>
        <v>437.99999999999994</v>
      </c>
      <c r="AW103" s="1685" t="e">
        <f t="shared" si="198"/>
        <v>#N/A</v>
      </c>
      <c r="AX103" s="1685">
        <f t="shared" si="138"/>
        <v>440</v>
      </c>
      <c r="AY103" s="1686">
        <f t="shared" si="199"/>
        <v>-4.5662100456622312E-3</v>
      </c>
      <c r="BA103" s="1756" t="str">
        <f t="shared" ref="BA103:BA106" si="207">IF(OR(Z103&lt;&gt;"--", AA103&lt;&gt;"--",AB103&lt;&gt;"--",AC103&lt;&gt;"--"),"*","")</f>
        <v/>
      </c>
      <c r="BB103" s="1685" t="str">
        <f t="shared" si="140"/>
        <v>V</v>
      </c>
      <c r="BC103" s="1685" t="e">
        <f t="shared" si="141"/>
        <v>#N/A</v>
      </c>
      <c r="BE103" s="1684" t="str">
        <f t="shared" si="142"/>
        <v>--</v>
      </c>
      <c r="BF103" s="1685" t="e">
        <f t="shared" si="143"/>
        <v>#N/A</v>
      </c>
      <c r="BG103" s="1686" t="e">
        <f t="shared" si="200"/>
        <v>#N/A</v>
      </c>
      <c r="BH103" s="1684">
        <f t="shared" si="144"/>
        <v>102.24089635854342</v>
      </c>
      <c r="BI103" s="1685" t="e">
        <f t="shared" si="145"/>
        <v>#N/A</v>
      </c>
      <c r="BJ103" s="1688" t="e">
        <f t="shared" si="201"/>
        <v>#N/A</v>
      </c>
      <c r="BK103" s="1685">
        <f t="shared" si="202"/>
        <v>102.24089635854342</v>
      </c>
      <c r="BL103" s="1685" t="e">
        <f t="shared" si="203"/>
        <v>#N/A</v>
      </c>
      <c r="BM103" s="1685">
        <f t="shared" si="183"/>
        <v>100</v>
      </c>
      <c r="BN103" s="1686">
        <f t="shared" si="204"/>
        <v>2.1917808219178141E-2</v>
      </c>
      <c r="BP103" s="1756" t="str">
        <f t="shared" si="205"/>
        <v/>
      </c>
      <c r="BQ103" s="1685" t="e">
        <f t="shared" si="146"/>
        <v>#N/A</v>
      </c>
    </row>
    <row r="104" spans="1:69">
      <c r="A104" t="s">
        <v>721</v>
      </c>
      <c r="B104" t="s">
        <v>3411</v>
      </c>
      <c r="C104" s="1684" t="e">
        <f t="shared" si="177"/>
        <v>#N/A</v>
      </c>
      <c r="D104" s="1685" t="e">
        <f t="shared" si="147"/>
        <v>#N/A</v>
      </c>
      <c r="E104" s="1686" t="e">
        <f t="shared" si="184"/>
        <v>#N/A</v>
      </c>
      <c r="F104" s="1684">
        <f>VLOOKUP($A104,Table_S_1,MATCH("S-Res-nC",heading_S_1,0),FALSE)</f>
        <v>234642.85714285716</v>
      </c>
      <c r="G104" s="1685" t="e">
        <f t="shared" si="148"/>
        <v>#N/A</v>
      </c>
      <c r="H104" s="1688" t="e">
        <f t="shared" si="185"/>
        <v>#N/A</v>
      </c>
      <c r="I104" s="1684">
        <f>VLOOKUP($A104,Table_S_1,MATCH("S-Res-nC",heading_S_1,0),FALSE)</f>
        <v>234642.85714285716</v>
      </c>
      <c r="J104" s="1685" t="e">
        <f t="shared" si="186"/>
        <v>#N/A</v>
      </c>
      <c r="K104" s="1685">
        <f t="shared" si="179"/>
        <v>230000</v>
      </c>
      <c r="L104" s="1686">
        <f t="shared" si="187"/>
        <v>1.978691019786917E-2</v>
      </c>
      <c r="M104" s="1684" t="e">
        <f t="shared" si="180"/>
        <v>#N/A</v>
      </c>
      <c r="N104" s="1685" t="e">
        <f t="shared" si="151"/>
        <v>#N/A</v>
      </c>
      <c r="O104" s="1686" t="e">
        <f t="shared" si="188"/>
        <v>#N/A</v>
      </c>
      <c r="P104" s="1684">
        <f>VLOOKUP($A104,Table_S_1,MATCH("S-Com-nC",heading_S_1,0),FALSE)</f>
        <v>3504000.0000000005</v>
      </c>
      <c r="Q104" s="1685" t="e">
        <f t="shared" si="152"/>
        <v>#N/A</v>
      </c>
      <c r="R104" s="1688" t="e">
        <f t="shared" si="189"/>
        <v>#N/A</v>
      </c>
      <c r="S104" s="1684">
        <f>VLOOKUP($A104,Table_S_1,MATCH("S-Com-nC",heading_S_1,0),FALSE)</f>
        <v>3504000.0000000005</v>
      </c>
      <c r="T104" s="1685" t="e">
        <f t="shared" si="190"/>
        <v>#N/A</v>
      </c>
      <c r="U104" s="1685">
        <f t="shared" si="182"/>
        <v>3500000</v>
      </c>
      <c r="V104" s="1686">
        <f t="shared" si="191"/>
        <v>1.1415525114156578E-3</v>
      </c>
      <c r="W104" s="1756" t="str">
        <f t="shared" si="206"/>
        <v/>
      </c>
      <c r="X104" s="1685" t="e">
        <f t="shared" si="124"/>
        <v>#N/A</v>
      </c>
      <c r="Z104" t="str">
        <f t="shared" si="125"/>
        <v>--</v>
      </c>
      <c r="AA104" t="str">
        <f t="shared" si="126"/>
        <v>--</v>
      </c>
      <c r="AB104" t="str">
        <f t="shared" si="127"/>
        <v>--</v>
      </c>
      <c r="AC104" t="str">
        <f t="shared" si="128"/>
        <v>--</v>
      </c>
      <c r="AF104" s="1684" t="e">
        <f t="shared" si="129"/>
        <v>#N/A</v>
      </c>
      <c r="AG104" s="1685" t="e">
        <f t="shared" si="130"/>
        <v>#N/A</v>
      </c>
      <c r="AH104" s="1686" t="e">
        <f t="shared" si="192"/>
        <v>#N/A</v>
      </c>
      <c r="AI104" s="1684" t="str">
        <f>VLOOKUP($A104,Table_IA_1,MATCH("IA-Res-nC",heading_IA_1,0),FALSE)</f>
        <v>--</v>
      </c>
      <c r="AJ104" s="1685" t="e">
        <f t="shared" si="132"/>
        <v>#N/A</v>
      </c>
      <c r="AK104" s="1688" t="e">
        <f t="shared" si="193"/>
        <v>#N/A</v>
      </c>
      <c r="AL104" s="1684" t="str">
        <f>VLOOKUP($A104,Table_IA_1,MATCH("IA-Res-nC",heading_IA_1,0),FALSE)</f>
        <v>--</v>
      </c>
      <c r="AM104" s="1685" t="e">
        <f t="shared" si="194"/>
        <v>#N/A</v>
      </c>
      <c r="AN104" s="1685" t="str">
        <f t="shared" si="133"/>
        <v>--</v>
      </c>
      <c r="AO104" s="1686" t="str">
        <f t="shared" si="195"/>
        <v>--</v>
      </c>
      <c r="AP104" s="1684" t="e">
        <f t="shared" si="134"/>
        <v>#N/A</v>
      </c>
      <c r="AQ104" s="1685" t="e">
        <f t="shared" si="135"/>
        <v>#N/A</v>
      </c>
      <c r="AR104" s="1686" t="e">
        <f t="shared" si="196"/>
        <v>#N/A</v>
      </c>
      <c r="AS104" s="1684" t="str">
        <f>VLOOKUP($A104,Table_IA_1,MATCH("IA-com-NC",heading_IA_1,0),FALSE)</f>
        <v>--</v>
      </c>
      <c r="AT104" s="1685" t="e">
        <f t="shared" si="137"/>
        <v>#N/A</v>
      </c>
      <c r="AU104" s="1688" t="e">
        <f t="shared" si="197"/>
        <v>#N/A</v>
      </c>
      <c r="AV104" s="1684" t="str">
        <f>VLOOKUP($A104,Table_IA_1,MATCH("IA-com-NC",heading_IA_1,0),FALSE)</f>
        <v>--</v>
      </c>
      <c r="AW104" s="1685" t="e">
        <f t="shared" si="198"/>
        <v>#N/A</v>
      </c>
      <c r="AX104" s="1685" t="str">
        <f t="shared" si="138"/>
        <v>--</v>
      </c>
      <c r="AY104" s="1686" t="str">
        <f t="shared" si="199"/>
        <v>--</v>
      </c>
      <c r="BA104" s="1756" t="str">
        <f t="shared" si="207"/>
        <v/>
      </c>
      <c r="BB104" s="1685" t="str">
        <f t="shared" si="140"/>
        <v>V</v>
      </c>
      <c r="BC104" s="1685" t="e">
        <f t="shared" si="141"/>
        <v>#N/A</v>
      </c>
      <c r="BE104" s="1684" t="str">
        <f t="shared" si="142"/>
        <v>--</v>
      </c>
      <c r="BF104" s="1685" t="e">
        <f t="shared" si="143"/>
        <v>#N/A</v>
      </c>
      <c r="BG104" s="1686" t="e">
        <f t="shared" si="200"/>
        <v>#N/A</v>
      </c>
      <c r="BH104" s="1684">
        <f t="shared" si="144"/>
        <v>60164.835164835167</v>
      </c>
      <c r="BI104" s="1685" t="e">
        <f t="shared" si="145"/>
        <v>#N/A</v>
      </c>
      <c r="BJ104" s="1688" t="e">
        <f t="shared" si="201"/>
        <v>#N/A</v>
      </c>
      <c r="BK104" s="1685">
        <f t="shared" si="202"/>
        <v>60164.835164835167</v>
      </c>
      <c r="BL104" s="1685" t="e">
        <f t="shared" si="203"/>
        <v>#N/A</v>
      </c>
      <c r="BM104" s="1685">
        <f t="shared" si="183"/>
        <v>60000</v>
      </c>
      <c r="BN104" s="1686">
        <f t="shared" si="204"/>
        <v>2.7397260273973002E-3</v>
      </c>
      <c r="BP104" s="1756" t="str">
        <f t="shared" si="205"/>
        <v/>
      </c>
      <c r="BQ104" s="1685" t="e">
        <f t="shared" si="146"/>
        <v>#N/A</v>
      </c>
    </row>
    <row r="105" spans="1:69">
      <c r="A105" t="s">
        <v>722</v>
      </c>
      <c r="B105" t="s">
        <v>3420</v>
      </c>
      <c r="C105" s="1684" t="e">
        <f t="shared" si="177"/>
        <v>#N/A</v>
      </c>
      <c r="D105" s="1685" t="e">
        <f t="shared" si="147"/>
        <v>#N/A</v>
      </c>
      <c r="E105" s="1686" t="e">
        <f t="shared" si="184"/>
        <v>#N/A</v>
      </c>
      <c r="F105" s="1684">
        <f>VLOOKUP($A105,Table_S_1,MATCH("S-Res-nC",heading_S_1,0),FALSE)</f>
        <v>346.22093007435171</v>
      </c>
      <c r="G105" s="1685" t="e">
        <f t="shared" si="148"/>
        <v>#N/A</v>
      </c>
      <c r="H105" s="1688" t="e">
        <f t="shared" si="185"/>
        <v>#N/A</v>
      </c>
      <c r="I105" s="1684">
        <f>VLOOKUP($A105,Table_S_1,MATCH("S-Res-nC",heading_S_1,0),FALSE)</f>
        <v>346.22093007435171</v>
      </c>
      <c r="J105" s="1685" t="e">
        <f t="shared" si="186"/>
        <v>#N/A</v>
      </c>
      <c r="K105" s="1685">
        <f t="shared" si="179"/>
        <v>300</v>
      </c>
      <c r="L105" s="1686">
        <f t="shared" si="187"/>
        <v>0.13350125904989529</v>
      </c>
      <c r="M105" s="1684" t="e">
        <f t="shared" si="180"/>
        <v>#N/A</v>
      </c>
      <c r="N105" s="1685" t="e">
        <f t="shared" si="151"/>
        <v>#N/A</v>
      </c>
      <c r="O105" s="1686" t="e">
        <f t="shared" si="188"/>
        <v>#N/A</v>
      </c>
      <c r="P105" s="1684">
        <f>VLOOKUP($A105,Table_S_1,MATCH("S-Com-nC",heading_S_1,0),FALSE)</f>
        <v>1596.4892826719533</v>
      </c>
      <c r="Q105" s="1685" t="e">
        <f t="shared" si="152"/>
        <v>#N/A</v>
      </c>
      <c r="R105" s="1688" t="e">
        <f t="shared" si="189"/>
        <v>#N/A</v>
      </c>
      <c r="S105" s="1684">
        <f>VLOOKUP($A105,Table_S_1,MATCH("S-Com-nC",heading_S_1,0),FALSE)</f>
        <v>1596.4892826719533</v>
      </c>
      <c r="T105" s="1685" t="e">
        <f t="shared" si="190"/>
        <v>#N/A</v>
      </c>
      <c r="U105" s="1685">
        <f t="shared" si="182"/>
        <v>1700</v>
      </c>
      <c r="V105" s="1686">
        <f t="shared" si="191"/>
        <v>-6.4836462387524871E-2</v>
      </c>
      <c r="W105" s="1756" t="str">
        <f t="shared" si="206"/>
        <v>*</v>
      </c>
      <c r="X105" s="1685" t="e">
        <f t="shared" si="124"/>
        <v>#N/A</v>
      </c>
      <c r="Z105" t="str">
        <f t="shared" si="125"/>
        <v>--</v>
      </c>
      <c r="AA105" t="str">
        <f t="shared" si="126"/>
        <v>--</v>
      </c>
      <c r="AB105" t="str">
        <f t="shared" si="127"/>
        <v>x</v>
      </c>
      <c r="AC105" t="str">
        <f t="shared" si="128"/>
        <v>x</v>
      </c>
      <c r="AF105" s="1684" t="e">
        <f t="shared" si="129"/>
        <v>#N/A</v>
      </c>
      <c r="AG105" s="1685" t="e">
        <f t="shared" si="130"/>
        <v>#N/A</v>
      </c>
      <c r="AH105" s="1686" t="e">
        <f t="shared" si="192"/>
        <v>#N/A</v>
      </c>
      <c r="AI105" s="1684">
        <f>VLOOKUP($A105,Table_IA_1,MATCH("IA-Res-nC",heading_IA_1,0),FALSE)</f>
        <v>52.142857142857146</v>
      </c>
      <c r="AJ105" s="1685" t="e">
        <f t="shared" si="132"/>
        <v>#N/A</v>
      </c>
      <c r="AK105" s="1688" t="e">
        <f t="shared" si="193"/>
        <v>#N/A</v>
      </c>
      <c r="AL105" s="1684">
        <f>VLOOKUP($A105,Table_IA_1,MATCH("IA-Res-nC",heading_IA_1,0),FALSE)</f>
        <v>52.142857142857146</v>
      </c>
      <c r="AM105" s="1685" t="e">
        <f t="shared" si="194"/>
        <v>#N/A</v>
      </c>
      <c r="AN105" s="1685">
        <f t="shared" si="133"/>
        <v>63</v>
      </c>
      <c r="AO105" s="1686">
        <f t="shared" si="195"/>
        <v>-0.2082191780821917</v>
      </c>
      <c r="AP105" s="1684" t="e">
        <f t="shared" si="134"/>
        <v>#N/A</v>
      </c>
      <c r="AQ105" s="1685" t="e">
        <f t="shared" si="135"/>
        <v>#N/A</v>
      </c>
      <c r="AR105" s="1686" t="e">
        <f t="shared" si="196"/>
        <v>#N/A</v>
      </c>
      <c r="AS105" s="1684">
        <f>VLOOKUP($A105,Table_IA_1,MATCH("IA-com-NC",heading_IA_1,0),FALSE)</f>
        <v>218.99999999999997</v>
      </c>
      <c r="AT105" s="1685" t="e">
        <f t="shared" si="137"/>
        <v>#N/A</v>
      </c>
      <c r="AU105" s="1688" t="e">
        <f t="shared" si="197"/>
        <v>#N/A</v>
      </c>
      <c r="AV105" s="1684">
        <f>VLOOKUP($A105,Table_IA_1,MATCH("IA-com-NC",heading_IA_1,0),FALSE)</f>
        <v>218.99999999999997</v>
      </c>
      <c r="AW105" s="1685" t="e">
        <f t="shared" si="198"/>
        <v>#N/A</v>
      </c>
      <c r="AX105" s="1685">
        <f t="shared" si="138"/>
        <v>260</v>
      </c>
      <c r="AY105" s="1686">
        <f t="shared" si="199"/>
        <v>-0.18721461187214627</v>
      </c>
      <c r="BA105" s="1756" t="str">
        <f t="shared" si="207"/>
        <v>*</v>
      </c>
      <c r="BB105" s="1685" t="str">
        <f t="shared" si="140"/>
        <v>V</v>
      </c>
      <c r="BC105" s="1685" t="e">
        <f t="shared" si="141"/>
        <v>#N/A</v>
      </c>
      <c r="BE105" s="1684" t="str">
        <f t="shared" si="142"/>
        <v>--</v>
      </c>
      <c r="BF105" s="1685" t="e">
        <f t="shared" si="143"/>
        <v>#N/A</v>
      </c>
      <c r="BG105" s="1686" t="e">
        <f t="shared" si="200"/>
        <v>#N/A</v>
      </c>
      <c r="BH105" s="1684">
        <f t="shared" si="144"/>
        <v>78.209525709426927</v>
      </c>
      <c r="BI105" s="1685" t="e">
        <f t="shared" si="145"/>
        <v>#N/A</v>
      </c>
      <c r="BJ105" s="1688" t="e">
        <f t="shared" si="201"/>
        <v>#N/A</v>
      </c>
      <c r="BK105" s="1685">
        <f t="shared" si="202"/>
        <v>78.209525709426927</v>
      </c>
      <c r="BL105" s="1685" t="e">
        <f t="shared" si="203"/>
        <v>#N/A</v>
      </c>
      <c r="BM105" s="1685">
        <f t="shared" si="183"/>
        <v>57</v>
      </c>
      <c r="BN105" s="1686">
        <f t="shared" si="204"/>
        <v>0.27118852233201118</v>
      </c>
      <c r="BP105" s="1756" t="str">
        <f t="shared" si="205"/>
        <v>*</v>
      </c>
      <c r="BQ105" s="1685" t="e">
        <f t="shared" si="146"/>
        <v>#N/A</v>
      </c>
    </row>
    <row r="106" spans="1:69">
      <c r="A106" t="s">
        <v>723</v>
      </c>
      <c r="B106" t="s">
        <v>3418</v>
      </c>
      <c r="C106" s="1684" t="e">
        <f t="shared" si="177"/>
        <v>#N/A</v>
      </c>
      <c r="D106" s="1685" t="e">
        <f t="shared" si="147"/>
        <v>#N/A</v>
      </c>
      <c r="E106" s="1686" t="e">
        <f t="shared" si="184"/>
        <v>#N/A</v>
      </c>
      <c r="F106" s="1684">
        <f>VLOOKUP($A106,Table_S_1,MATCH("S-Res-nC",heading_S_1,0),FALSE)</f>
        <v>2390.9784779183856</v>
      </c>
      <c r="G106" s="1685" t="e">
        <f t="shared" si="148"/>
        <v>#N/A</v>
      </c>
      <c r="H106" s="1688" t="e">
        <f t="shared" si="185"/>
        <v>#N/A</v>
      </c>
      <c r="I106" s="1684">
        <f>VLOOKUP($A106,Table_S_1,MATCH("S-Res-nC",heading_S_1,0),FALSE)</f>
        <v>2390.9784779183856</v>
      </c>
      <c r="J106" s="1685" t="e">
        <f t="shared" si="186"/>
        <v>#N/A</v>
      </c>
      <c r="K106" s="1685">
        <f t="shared" si="179"/>
        <v>18</v>
      </c>
      <c r="L106" s="1686">
        <f t="shared" si="187"/>
        <v>0.99247170136986307</v>
      </c>
      <c r="M106" s="1684" t="e">
        <f t="shared" si="180"/>
        <v>#N/A</v>
      </c>
      <c r="N106" s="1685" t="e">
        <f t="shared" si="151"/>
        <v>#N/A</v>
      </c>
      <c r="O106" s="1686" t="e">
        <f t="shared" si="188"/>
        <v>#N/A</v>
      </c>
      <c r="P106" s="1684">
        <f>VLOOKUP($A106,Table_S_1,MATCH("S-Com-nC",heading_S_1,0),FALSE)</f>
        <v>30137.813408746675</v>
      </c>
      <c r="Q106" s="1685" t="e">
        <f t="shared" si="152"/>
        <v>#N/A</v>
      </c>
      <c r="R106" s="1688" t="e">
        <f t="shared" si="189"/>
        <v>#N/A</v>
      </c>
      <c r="S106" s="1684">
        <f>VLOOKUP($A106,Table_S_1,MATCH("S-Com-nC",heading_S_1,0),FALSE)</f>
        <v>30137.813408746675</v>
      </c>
      <c r="T106" s="1685" t="e">
        <f t="shared" si="190"/>
        <v>#N/A</v>
      </c>
      <c r="U106" s="1685">
        <f t="shared" si="182"/>
        <v>220</v>
      </c>
      <c r="V106" s="1686">
        <f t="shared" si="191"/>
        <v>0.99270020034246576</v>
      </c>
      <c r="W106" s="1756" t="str">
        <f t="shared" si="206"/>
        <v>*</v>
      </c>
      <c r="X106" s="1685" t="e">
        <f t="shared" si="124"/>
        <v>#N/A</v>
      </c>
      <c r="Z106" t="str">
        <f t="shared" si="125"/>
        <v>--</v>
      </c>
      <c r="AA106" t="str">
        <f t="shared" si="126"/>
        <v>--</v>
      </c>
      <c r="AB106" t="str">
        <f t="shared" si="127"/>
        <v>x</v>
      </c>
      <c r="AC106" t="str">
        <f t="shared" si="128"/>
        <v>x</v>
      </c>
      <c r="AF106" s="1684" t="e">
        <f t="shared" si="129"/>
        <v>#N/A</v>
      </c>
      <c r="AG106" s="1685" t="e">
        <f t="shared" si="130"/>
        <v>#N/A</v>
      </c>
      <c r="AH106" s="1686" t="e">
        <f t="shared" si="192"/>
        <v>#N/A</v>
      </c>
      <c r="AI106" s="1684" t="str">
        <f>VLOOKUP($A106,Table_IA_1,MATCH("IA-Res-nC",heading_IA_1,0),FALSE)</f>
        <v>--</v>
      </c>
      <c r="AJ106" s="1685" t="e">
        <f t="shared" si="132"/>
        <v>#N/A</v>
      </c>
      <c r="AK106" s="1688" t="e">
        <f t="shared" si="193"/>
        <v>#N/A</v>
      </c>
      <c r="AL106" s="1684" t="str">
        <f>VLOOKUP($A106,Table_IA_1,MATCH("IA-Res-nC",heading_IA_1,0),FALSE)</f>
        <v>--</v>
      </c>
      <c r="AM106" s="1685" t="e">
        <f t="shared" si="194"/>
        <v>#N/A</v>
      </c>
      <c r="AN106" s="1685">
        <f t="shared" si="133"/>
        <v>2.0999999999999999E-3</v>
      </c>
      <c r="AO106" s="1686" t="str">
        <f t="shared" si="195"/>
        <v>R</v>
      </c>
      <c r="AP106" s="1684" t="e">
        <f t="shared" si="134"/>
        <v>#N/A</v>
      </c>
      <c r="AQ106" s="1685" t="e">
        <f t="shared" si="135"/>
        <v>#N/A</v>
      </c>
      <c r="AR106" s="1686" t="e">
        <f t="shared" si="196"/>
        <v>#N/A</v>
      </c>
      <c r="AS106" s="1684" t="str">
        <f>VLOOKUP($A106,Table_IA_1,MATCH("IA-com-NC",heading_IA_1,0),FALSE)</f>
        <v>--</v>
      </c>
      <c r="AT106" s="1685" t="e">
        <f t="shared" si="137"/>
        <v>#N/A</v>
      </c>
      <c r="AU106" s="1688" t="e">
        <f t="shared" si="197"/>
        <v>#N/A</v>
      </c>
      <c r="AV106" s="1684" t="str">
        <f>VLOOKUP($A106,Table_IA_1,MATCH("IA-com-NC",heading_IA_1,0),FALSE)</f>
        <v>--</v>
      </c>
      <c r="AW106" s="1685" t="e">
        <f t="shared" si="198"/>
        <v>#N/A</v>
      </c>
      <c r="AX106" s="1685">
        <f t="shared" si="138"/>
        <v>8.8000000000000005E-3</v>
      </c>
      <c r="AY106" s="1686" t="str">
        <f t="shared" si="199"/>
        <v>R</v>
      </c>
      <c r="BA106" s="1756" t="str">
        <f t="shared" si="207"/>
        <v>*</v>
      </c>
      <c r="BB106" s="1685" t="str">
        <f t="shared" si="140"/>
        <v>--</v>
      </c>
      <c r="BC106" s="1685" t="e">
        <f t="shared" si="141"/>
        <v>#N/A</v>
      </c>
      <c r="BE106" s="1684" t="str">
        <f t="shared" si="142"/>
        <v>--</v>
      </c>
      <c r="BF106" s="1685" t="e">
        <f t="shared" si="143"/>
        <v>#N/A</v>
      </c>
      <c r="BG106" s="1686" t="e">
        <f t="shared" si="200"/>
        <v>#N/A</v>
      </c>
      <c r="BH106" s="1684">
        <f t="shared" si="144"/>
        <v>802.19780219780216</v>
      </c>
      <c r="BI106" s="1685" t="e">
        <f t="shared" si="145"/>
        <v>#N/A</v>
      </c>
      <c r="BJ106" s="1688" t="e">
        <f t="shared" si="201"/>
        <v>#N/A</v>
      </c>
      <c r="BK106" s="1685">
        <f t="shared" si="202"/>
        <v>802.19780219780216</v>
      </c>
      <c r="BL106" s="1685" t="e">
        <f t="shared" si="203"/>
        <v>#N/A</v>
      </c>
      <c r="BM106" s="1685">
        <f t="shared" si="183"/>
        <v>6</v>
      </c>
      <c r="BN106" s="1686">
        <f t="shared" si="204"/>
        <v>0.9925205479452055</v>
      </c>
      <c r="BP106" s="1756" t="str">
        <f t="shared" si="205"/>
        <v>*</v>
      </c>
      <c r="BQ106" s="1685" t="e">
        <f t="shared" si="146"/>
        <v>#N/A</v>
      </c>
    </row>
    <row r="107" spans="1:69">
      <c r="A107" t="s">
        <v>269</v>
      </c>
      <c r="B107" t="s">
        <v>270</v>
      </c>
      <c r="C107" s="1684" t="str">
        <f t="shared" si="177"/>
        <v>--</v>
      </c>
      <c r="D107" s="1685" t="str">
        <f t="shared" si="147"/>
        <v/>
      </c>
      <c r="E107" s="1686" t="str">
        <f t="shared" si="175"/>
        <v/>
      </c>
      <c r="F107" s="1684">
        <f t="shared" si="178"/>
        <v>39.107142857142854</v>
      </c>
      <c r="G107" s="1685" t="str">
        <f t="shared" si="148"/>
        <v/>
      </c>
      <c r="H107" s="1688" t="str">
        <f t="shared" si="171"/>
        <v/>
      </c>
      <c r="I107" s="1685">
        <f t="shared" si="121"/>
        <v>39.107142857142854</v>
      </c>
      <c r="J107" s="1685" t="str">
        <f t="shared" si="122"/>
        <v/>
      </c>
      <c r="K107" s="1685">
        <f t="shared" si="179"/>
        <v>39</v>
      </c>
      <c r="L107" s="1686">
        <f t="shared" si="150"/>
        <v>2.7397260273971827E-3</v>
      </c>
      <c r="M107" s="1684" t="str">
        <f t="shared" si="180"/>
        <v>--</v>
      </c>
      <c r="N107" s="1685" t="str">
        <f t="shared" si="151"/>
        <v/>
      </c>
      <c r="O107" s="1686" t="str">
        <f t="shared" si="123"/>
        <v/>
      </c>
      <c r="P107" s="1684">
        <f t="shared" si="181"/>
        <v>584</v>
      </c>
      <c r="Q107" s="1685" t="str">
        <f t="shared" si="152"/>
        <v/>
      </c>
      <c r="R107" s="1688" t="str">
        <f t="shared" si="173"/>
        <v/>
      </c>
      <c r="S107" s="1685">
        <f t="shared" si="153"/>
        <v>584</v>
      </c>
      <c r="T107" s="1685" t="str">
        <f t="shared" si="176"/>
        <v/>
      </c>
      <c r="U107" s="1685">
        <f t="shared" si="182"/>
        <v>580</v>
      </c>
      <c r="V107" s="1686">
        <f t="shared" si="172"/>
        <v>6.8493150684931503E-3</v>
      </c>
      <c r="W107" s="1756" t="str">
        <f t="shared" si="154"/>
        <v/>
      </c>
      <c r="X107" s="1685" t="e">
        <f t="shared" ref="X107:X138" si="208">VLOOKUP($B107,Table_N10,MATCH("r",Heading_N10,0),FALSE)</f>
        <v>#N/A</v>
      </c>
      <c r="Z107" t="str">
        <f t="shared" ref="Z107:Z138" si="209">VLOOKUP($A107,Table_RSL_C,MATCH("sfo-c",Heading_RSL_C,0),FALSE)</f>
        <v>--</v>
      </c>
      <c r="AA107" t="str">
        <f t="shared" ref="AA107:AA138" si="210">VLOOKUP($A107,Table_RSL_C,MATCH("IUR-c",Heading_RSL_C,0),FALSE)</f>
        <v>--</v>
      </c>
      <c r="AB107" t="str">
        <f t="shared" ref="AB107:AB138" si="211">VLOOKUP($A107,Table_RSL_C,MATCH("rfdo-c",Heading_RSL_C,0),FALSE)</f>
        <v>--</v>
      </c>
      <c r="AC107" t="str">
        <f t="shared" ref="AC107:AC138" si="212">VLOOKUP($A107,Table_RSL_C,MATCH("rfc-c",Heading_RSL_C,0),FALSE)</f>
        <v>--</v>
      </c>
      <c r="AF107" s="1684" t="str">
        <f t="shared" ref="AF107:AF138" si="213">VLOOKUP($A107,Table_V_Summary,MATCH("IA-Res-C",heading_V_Summary,0),FALSE)</f>
        <v>--</v>
      </c>
      <c r="AG107" s="1685" t="str">
        <f t="shared" si="130"/>
        <v/>
      </c>
      <c r="AH107" s="1686" t="str">
        <f t="shared" si="155"/>
        <v/>
      </c>
      <c r="AI107" s="1684" t="str">
        <f t="shared" ref="AI107:AI138" si="214">VLOOKUP($A107,Table_V_Summary,MATCH("IA-Res-nC",heading_V_Summary,0),FALSE)</f>
        <v>--</v>
      </c>
      <c r="AJ107" s="1685" t="str">
        <f t="shared" si="132"/>
        <v/>
      </c>
      <c r="AK107" s="1688" t="str">
        <f t="shared" si="156"/>
        <v/>
      </c>
      <c r="AL107" s="1685">
        <f t="shared" si="157"/>
        <v>0</v>
      </c>
      <c r="AM107" s="1685" t="str">
        <f t="shared" si="158"/>
        <v/>
      </c>
      <c r="AN107" s="1685" t="str">
        <f t="shared" ref="AN107:AN138" si="215">IF(VLOOKUP($B107,Table_RSL_SL,MATCH("Res-a",Heading_RSL_SL,0),FALSE)=0,"--",VLOOKUP($B107,Table_RSL_SL,MATCH("Res-a",Heading_RSL_SL,0),FALSE))</f>
        <v>--</v>
      </c>
      <c r="AO107" s="1686" t="str">
        <f t="shared" si="159"/>
        <v>N</v>
      </c>
      <c r="AP107" s="1684" t="str">
        <f t="shared" ref="AP107:AP138" si="216">VLOOKUP($A107,Table_V_Summary,MATCH("ia-com-C",heading_V_Summary,0),FALSE)</f>
        <v>--</v>
      </c>
      <c r="AQ107" s="1685" t="str">
        <f t="shared" si="135"/>
        <v/>
      </c>
      <c r="AR107" s="1686" t="str">
        <f t="shared" si="160"/>
        <v/>
      </c>
      <c r="AS107" s="1684" t="str">
        <f t="shared" ref="AS107:AS138" si="217">VLOOKUP($A107,Table_V_Summary,MATCH("IA-com-NC",heading_V_Summary,0),FALSE)</f>
        <v>--</v>
      </c>
      <c r="AT107" s="1685" t="str">
        <f t="shared" si="137"/>
        <v/>
      </c>
      <c r="AU107" s="1688" t="str">
        <f t="shared" si="161"/>
        <v/>
      </c>
      <c r="AV107" s="1685">
        <f t="shared" si="162"/>
        <v>0</v>
      </c>
      <c r="AW107" s="1685" t="str">
        <f t="shared" si="163"/>
        <v/>
      </c>
      <c r="AX107" s="1685" t="str">
        <f t="shared" ref="AX107:AX138" si="218">IF(VLOOKUP($B107,Table_RSL_SL,MATCH("Com-a",Heading_RSL_SL,0),FALSE)=0,"--",VLOOKUP($B107,Table_RSL_SL,MATCH("Com-a",Heading_RSL_SL,0),FALSE))</f>
        <v>--</v>
      </c>
      <c r="AY107" s="1686" t="str">
        <f t="shared" si="164"/>
        <v>N</v>
      </c>
      <c r="BA107" s="1756" t="str">
        <f t="shared" ref="BA107:BA138" si="219">IF(OR(Z107&lt;&gt;"--", AA107&lt;&gt;"--",AB107&lt;&gt;"--",AC107&lt;&gt;"--"),"*","")</f>
        <v/>
      </c>
      <c r="BB107" s="1685" t="str">
        <f t="shared" si="140"/>
        <v>V</v>
      </c>
      <c r="BC107" s="1685" t="e">
        <f t="shared" si="141"/>
        <v>#N/A</v>
      </c>
      <c r="BE107" s="1684" t="str">
        <f t="shared" ref="BE107:BE138" si="220">VLOOKUP($A107,Table_W_1,MATCH("W-C",heading_W_1,0),FALSE)</f>
        <v>--</v>
      </c>
      <c r="BF107" s="1685" t="str">
        <f t="shared" si="143"/>
        <v/>
      </c>
      <c r="BG107" s="1686" t="str">
        <f t="shared" si="165"/>
        <v/>
      </c>
      <c r="BH107" s="1684">
        <f t="shared" ref="BH107:BH138" si="221">VLOOKUP($A107,Table_W_1,MATCH("W-NC",heading_W_1,0),FALSE)</f>
        <v>9.7587103357656151</v>
      </c>
      <c r="BI107" s="1685" t="str">
        <f t="shared" si="145"/>
        <v/>
      </c>
      <c r="BJ107" s="1688" t="str">
        <f t="shared" si="166"/>
        <v/>
      </c>
      <c r="BK107" s="1685">
        <f t="shared" si="167"/>
        <v>9.7587103357656151</v>
      </c>
      <c r="BL107" s="1685" t="str">
        <f t="shared" si="168"/>
        <v/>
      </c>
      <c r="BM107" s="1685">
        <f t="shared" si="183"/>
        <v>9.8000000000000007</v>
      </c>
      <c r="BN107" s="1686">
        <f t="shared" si="169"/>
        <v>-4.231057466995332E-3</v>
      </c>
      <c r="BP107" s="1756" t="str">
        <f t="shared" si="170"/>
        <v/>
      </c>
      <c r="BQ107" s="1685" t="e">
        <f t="shared" si="146"/>
        <v>#N/A</v>
      </c>
    </row>
    <row r="108" spans="1:69">
      <c r="A108" t="s">
        <v>271</v>
      </c>
      <c r="B108" t="s">
        <v>272</v>
      </c>
      <c r="C108" s="1684" t="str">
        <f t="shared" si="177"/>
        <v>--</v>
      </c>
      <c r="D108" s="1685" t="str">
        <f t="shared" ref="D108:D139" si="222">IF(VLOOKUP($A108,Table_N3,MATCH("S-Res-C",Heading_N3,0),FALSE)=0,"",VLOOKUP($A108,Table_N3,MATCH("S-Res-C",Heading_N3,0),FALSE))</f>
        <v/>
      </c>
      <c r="E108" s="1686" t="str">
        <f t="shared" si="175"/>
        <v/>
      </c>
      <c r="F108" s="1684">
        <f t="shared" si="178"/>
        <v>78.214285714285708</v>
      </c>
      <c r="G108" s="1685" t="str">
        <f t="shared" ref="G108:G139" si="223">IF(VLOOKUP($A108,Table_N3,MATCH("S-Res-nC",Heading_N3,0),FALSE)=0,"",VLOOKUP($A108,Table_N3,MATCH("S-Res-nC",Heading_N3,0),FALSE))</f>
        <v/>
      </c>
      <c r="H108" s="1688" t="str">
        <f t="shared" si="171"/>
        <v/>
      </c>
      <c r="I108" s="1685">
        <f t="shared" si="121"/>
        <v>78.214285714285708</v>
      </c>
      <c r="J108" s="1685" t="str">
        <f t="shared" si="122"/>
        <v/>
      </c>
      <c r="K108" s="1685">
        <f t="shared" si="179"/>
        <v>78</v>
      </c>
      <c r="L108" s="1686">
        <f t="shared" si="150"/>
        <v>2.7397260273971827E-3</v>
      </c>
      <c r="M108" s="1684" t="str">
        <f t="shared" si="180"/>
        <v>--</v>
      </c>
      <c r="N108" s="1685" t="str">
        <f t="shared" ref="N108:N139" si="224">IF(VLOOKUP($A108,Table_N3,MATCH("S-com-C",Heading_N3,0),FALSE)=0,"",VLOOKUP($A108,Table_N3,MATCH("S-com-C",Heading_N3,0),FALSE))</f>
        <v/>
      </c>
      <c r="O108" s="1686" t="str">
        <f t="shared" si="123"/>
        <v/>
      </c>
      <c r="P108" s="1684">
        <f t="shared" si="181"/>
        <v>1168</v>
      </c>
      <c r="Q108" s="1685" t="str">
        <f t="shared" ref="Q108:Q139" si="225">IF(VLOOKUP($A108,Table_N3,MATCH("S-com-nC",Heading_N3,0),FALSE)=0,"",VLOOKUP($A108,Table_N3,MATCH("S-com-nC",Heading_N3,0),FALSE))</f>
        <v/>
      </c>
      <c r="R108" s="1688" t="str">
        <f t="shared" si="173"/>
        <v/>
      </c>
      <c r="S108" s="1685">
        <f t="shared" si="153"/>
        <v>1168</v>
      </c>
      <c r="T108" s="1685" t="str">
        <f t="shared" si="176"/>
        <v/>
      </c>
      <c r="U108" s="1685">
        <f t="shared" si="182"/>
        <v>1200</v>
      </c>
      <c r="V108" s="1686">
        <f t="shared" si="172"/>
        <v>-2.7397260273972601E-2</v>
      </c>
      <c r="W108" s="1756" t="str">
        <f t="shared" si="154"/>
        <v/>
      </c>
      <c r="X108" s="1685" t="e">
        <f t="shared" si="208"/>
        <v>#N/A</v>
      </c>
      <c r="Z108" t="str">
        <f t="shared" si="209"/>
        <v>--</v>
      </c>
      <c r="AA108" t="str">
        <f t="shared" si="210"/>
        <v>--</v>
      </c>
      <c r="AB108" t="str">
        <f t="shared" si="211"/>
        <v>--</v>
      </c>
      <c r="AC108" t="str">
        <f t="shared" si="212"/>
        <v>--</v>
      </c>
      <c r="AF108" s="1684" t="str">
        <f t="shared" si="213"/>
        <v>--</v>
      </c>
      <c r="AG108" s="1685" t="str">
        <f t="shared" si="130"/>
        <v/>
      </c>
      <c r="AH108" s="1686" t="str">
        <f t="shared" si="155"/>
        <v/>
      </c>
      <c r="AI108" s="1684" t="str">
        <f t="shared" si="214"/>
        <v>--</v>
      </c>
      <c r="AJ108" s="1685" t="str">
        <f t="shared" si="132"/>
        <v/>
      </c>
      <c r="AK108" s="1688" t="str">
        <f t="shared" si="156"/>
        <v/>
      </c>
      <c r="AL108" s="1685">
        <f t="shared" si="157"/>
        <v>0</v>
      </c>
      <c r="AM108" s="1685" t="str">
        <f t="shared" si="158"/>
        <v/>
      </c>
      <c r="AN108" s="1685" t="str">
        <f t="shared" si="215"/>
        <v>--</v>
      </c>
      <c r="AO108" s="1686" t="str">
        <f t="shared" si="159"/>
        <v>N</v>
      </c>
      <c r="AP108" s="1684" t="str">
        <f t="shared" si="216"/>
        <v>--</v>
      </c>
      <c r="AQ108" s="1685" t="str">
        <f t="shared" si="135"/>
        <v/>
      </c>
      <c r="AR108" s="1686" t="str">
        <f t="shared" si="160"/>
        <v/>
      </c>
      <c r="AS108" s="1684" t="str">
        <f t="shared" si="217"/>
        <v>--</v>
      </c>
      <c r="AT108" s="1685" t="str">
        <f t="shared" si="137"/>
        <v/>
      </c>
      <c r="AU108" s="1688" t="str">
        <f t="shared" si="161"/>
        <v/>
      </c>
      <c r="AV108" s="1685">
        <f t="shared" si="162"/>
        <v>0</v>
      </c>
      <c r="AW108" s="1685" t="str">
        <f t="shared" si="163"/>
        <v/>
      </c>
      <c r="AX108" s="1685" t="str">
        <f t="shared" si="218"/>
        <v>--</v>
      </c>
      <c r="AY108" s="1686" t="str">
        <f t="shared" si="164"/>
        <v>N</v>
      </c>
      <c r="BA108" s="1756" t="str">
        <f t="shared" si="219"/>
        <v/>
      </c>
      <c r="BB108" s="1685" t="str">
        <f t="shared" si="140"/>
        <v>V</v>
      </c>
      <c r="BC108" s="1685" t="e">
        <f t="shared" si="141"/>
        <v>#N/A</v>
      </c>
      <c r="BE108" s="1684" t="str">
        <f t="shared" si="220"/>
        <v>--</v>
      </c>
      <c r="BF108" s="1685" t="str">
        <f t="shared" si="143"/>
        <v/>
      </c>
      <c r="BG108" s="1686" t="str">
        <f t="shared" si="165"/>
        <v/>
      </c>
      <c r="BH108" s="1684">
        <f t="shared" si="221"/>
        <v>18.453992005678288</v>
      </c>
      <c r="BI108" s="1685" t="str">
        <f t="shared" si="145"/>
        <v/>
      </c>
      <c r="BJ108" s="1688" t="str">
        <f t="shared" si="166"/>
        <v/>
      </c>
      <c r="BK108" s="1685">
        <f t="shared" si="167"/>
        <v>18.453992005678288</v>
      </c>
      <c r="BL108" s="1685" t="str">
        <f t="shared" si="168"/>
        <v/>
      </c>
      <c r="BM108" s="1685">
        <f t="shared" si="183"/>
        <v>18</v>
      </c>
      <c r="BN108" s="1686">
        <f t="shared" si="169"/>
        <v>2.4601289820576185E-2</v>
      </c>
      <c r="BP108" s="1756" t="str">
        <f t="shared" si="170"/>
        <v/>
      </c>
      <c r="BQ108" s="1685" t="e">
        <f t="shared" si="146"/>
        <v>#N/A</v>
      </c>
    </row>
    <row r="109" spans="1:69">
      <c r="A109" t="s">
        <v>273</v>
      </c>
      <c r="B109" t="s">
        <v>274</v>
      </c>
      <c r="C109" s="1684" t="str">
        <f t="shared" si="177"/>
        <v>--</v>
      </c>
      <c r="D109" s="1685" t="str">
        <f t="shared" si="222"/>
        <v/>
      </c>
      <c r="E109" s="1686" t="str">
        <f t="shared" si="175"/>
        <v/>
      </c>
      <c r="F109" s="1684" t="str">
        <f t="shared" si="178"/>
        <v>--</v>
      </c>
      <c r="G109" s="1685" t="str">
        <f t="shared" si="223"/>
        <v/>
      </c>
      <c r="H109" s="1688" t="str">
        <f t="shared" si="171"/>
        <v/>
      </c>
      <c r="I109" s="1685">
        <f t="shared" si="121"/>
        <v>0</v>
      </c>
      <c r="J109" s="1685" t="str">
        <f t="shared" si="122"/>
        <v/>
      </c>
      <c r="K109" s="1685" t="e">
        <f t="shared" si="179"/>
        <v>#N/A</v>
      </c>
      <c r="L109" s="1686" t="e">
        <f t="shared" si="150"/>
        <v>#N/A</v>
      </c>
      <c r="M109" s="1684" t="str">
        <f t="shared" si="180"/>
        <v>--</v>
      </c>
      <c r="N109" s="1685" t="str">
        <f t="shared" si="224"/>
        <v/>
      </c>
      <c r="O109" s="1686" t="str">
        <f t="shared" si="123"/>
        <v/>
      </c>
      <c r="P109" s="1684" t="str">
        <f t="shared" si="181"/>
        <v>--</v>
      </c>
      <c r="Q109" s="1685" t="str">
        <f t="shared" si="225"/>
        <v/>
      </c>
      <c r="R109" s="1688" t="str">
        <f t="shared" si="173"/>
        <v/>
      </c>
      <c r="S109" s="1685">
        <f t="shared" si="153"/>
        <v>0</v>
      </c>
      <c r="T109" s="1685" t="str">
        <f t="shared" si="176"/>
        <v/>
      </c>
      <c r="U109" s="1685" t="e">
        <f t="shared" si="182"/>
        <v>#N/A</v>
      </c>
      <c r="V109" s="1686" t="e">
        <f t="shared" si="172"/>
        <v>#N/A</v>
      </c>
      <c r="W109" s="1756" t="e">
        <f t="shared" si="154"/>
        <v>#N/A</v>
      </c>
      <c r="X109" s="1685" t="e">
        <f t="shared" si="208"/>
        <v>#N/A</v>
      </c>
      <c r="Z109" t="e">
        <f t="shared" si="209"/>
        <v>#N/A</v>
      </c>
      <c r="AA109" t="e">
        <f t="shared" si="210"/>
        <v>#N/A</v>
      </c>
      <c r="AB109" t="e">
        <f t="shared" si="211"/>
        <v>#N/A</v>
      </c>
      <c r="AC109" t="e">
        <f t="shared" si="212"/>
        <v>#N/A</v>
      </c>
      <c r="AF109" s="1684" t="str">
        <f t="shared" si="213"/>
        <v>--</v>
      </c>
      <c r="AG109" s="1685" t="str">
        <f t="shared" si="130"/>
        <v/>
      </c>
      <c r="AH109" s="1686" t="str">
        <f t="shared" si="155"/>
        <v/>
      </c>
      <c r="AI109" s="1684" t="str">
        <f t="shared" si="214"/>
        <v>--</v>
      </c>
      <c r="AJ109" s="1685" t="str">
        <f t="shared" si="132"/>
        <v/>
      </c>
      <c r="AK109" s="1688" t="str">
        <f t="shared" si="156"/>
        <v/>
      </c>
      <c r="AL109" s="1685">
        <f t="shared" si="157"/>
        <v>0</v>
      </c>
      <c r="AM109" s="1685" t="str">
        <f t="shared" si="158"/>
        <v/>
      </c>
      <c r="AN109" s="1685" t="e">
        <f t="shared" si="215"/>
        <v>#N/A</v>
      </c>
      <c r="AO109" s="1686" t="e">
        <f t="shared" si="159"/>
        <v>#N/A</v>
      </c>
      <c r="AP109" s="1684" t="str">
        <f t="shared" si="216"/>
        <v>--</v>
      </c>
      <c r="AQ109" s="1685" t="str">
        <f t="shared" si="135"/>
        <v/>
      </c>
      <c r="AR109" s="1686" t="str">
        <f t="shared" si="160"/>
        <v/>
      </c>
      <c r="AS109" s="1684" t="str">
        <f t="shared" si="217"/>
        <v>--</v>
      </c>
      <c r="AT109" s="1685" t="str">
        <f t="shared" si="137"/>
        <v/>
      </c>
      <c r="AU109" s="1688" t="str">
        <f t="shared" si="161"/>
        <v/>
      </c>
      <c r="AV109" s="1685">
        <f t="shared" si="162"/>
        <v>0</v>
      </c>
      <c r="AW109" s="1685" t="str">
        <f t="shared" si="163"/>
        <v/>
      </c>
      <c r="AX109" s="1685" t="e">
        <f t="shared" si="218"/>
        <v>#N/A</v>
      </c>
      <c r="AY109" s="1686" t="e">
        <f t="shared" si="164"/>
        <v>#N/A</v>
      </c>
      <c r="BA109" s="1756" t="e">
        <f t="shared" si="219"/>
        <v>#N/A</v>
      </c>
      <c r="BB109" s="1685" t="e">
        <f t="shared" si="140"/>
        <v>#N/A</v>
      </c>
      <c r="BC109" s="1685" t="e">
        <f t="shared" si="141"/>
        <v>#N/A</v>
      </c>
      <c r="BE109" s="1684" t="str">
        <f t="shared" si="220"/>
        <v>--</v>
      </c>
      <c r="BF109" s="1685" t="str">
        <f t="shared" si="143"/>
        <v/>
      </c>
      <c r="BG109" s="1686" t="str">
        <f t="shared" si="165"/>
        <v/>
      </c>
      <c r="BH109" s="1684" t="str">
        <f t="shared" si="221"/>
        <v>--</v>
      </c>
      <c r="BI109" s="1685" t="str">
        <f t="shared" si="145"/>
        <v/>
      </c>
      <c r="BJ109" s="1688" t="str">
        <f t="shared" si="166"/>
        <v/>
      </c>
      <c r="BK109" s="1685">
        <f t="shared" si="167"/>
        <v>0</v>
      </c>
      <c r="BL109" s="1685" t="str">
        <f t="shared" si="168"/>
        <v/>
      </c>
      <c r="BM109" s="1685" t="e">
        <f t="shared" si="183"/>
        <v>#N/A</v>
      </c>
      <c r="BN109" s="1686" t="e">
        <f t="shared" si="169"/>
        <v>#N/A</v>
      </c>
      <c r="BP109" s="1756" t="e">
        <f t="shared" si="170"/>
        <v>#N/A</v>
      </c>
      <c r="BQ109" s="1685" t="e">
        <f t="shared" si="146"/>
        <v>#N/A</v>
      </c>
    </row>
    <row r="110" spans="1:69">
      <c r="A110" t="s">
        <v>275</v>
      </c>
      <c r="B110" t="s">
        <v>276</v>
      </c>
      <c r="C110" s="1684" t="str">
        <f t="shared" si="177"/>
        <v>--</v>
      </c>
      <c r="D110" s="1685" t="str">
        <f t="shared" si="222"/>
        <v/>
      </c>
      <c r="E110" s="1686" t="str">
        <f t="shared" si="175"/>
        <v/>
      </c>
      <c r="F110" s="1684">
        <f t="shared" si="178"/>
        <v>31.606839777857317</v>
      </c>
      <c r="G110" s="1685" t="str">
        <f t="shared" si="223"/>
        <v/>
      </c>
      <c r="H110" s="1688" t="str">
        <f t="shared" si="171"/>
        <v/>
      </c>
      <c r="I110" s="1685">
        <f t="shared" si="121"/>
        <v>31.606839777857317</v>
      </c>
      <c r="J110" s="1685" t="str">
        <f t="shared" si="122"/>
        <v/>
      </c>
      <c r="K110" s="1685">
        <f t="shared" si="179"/>
        <v>32</v>
      </c>
      <c r="L110" s="1686">
        <f t="shared" si="150"/>
        <v>-1.2439086757990834E-2</v>
      </c>
      <c r="M110" s="1684" t="str">
        <f t="shared" si="180"/>
        <v>--</v>
      </c>
      <c r="N110" s="1685" t="str">
        <f t="shared" si="224"/>
        <v/>
      </c>
      <c r="O110" s="1686" t="str">
        <f t="shared" si="123"/>
        <v/>
      </c>
      <c r="P110" s="1684">
        <f t="shared" si="181"/>
        <v>410.33135662291681</v>
      </c>
      <c r="Q110" s="1685" t="str">
        <f t="shared" si="225"/>
        <v/>
      </c>
      <c r="R110" s="1688" t="str">
        <f t="shared" si="173"/>
        <v/>
      </c>
      <c r="S110" s="1685">
        <f t="shared" si="153"/>
        <v>410.33135662291681</v>
      </c>
      <c r="T110" s="1685" t="str">
        <f t="shared" si="176"/>
        <v/>
      </c>
      <c r="U110" s="1685">
        <f t="shared" si="182"/>
        <v>410</v>
      </c>
      <c r="V110" s="1686">
        <f t="shared" si="172"/>
        <v>8.0753424657556004E-4</v>
      </c>
      <c r="W110" s="1756" t="str">
        <f t="shared" si="154"/>
        <v/>
      </c>
      <c r="X110" s="1685" t="e">
        <f t="shared" si="208"/>
        <v>#N/A</v>
      </c>
      <c r="Z110" t="str">
        <f t="shared" si="209"/>
        <v>--</v>
      </c>
      <c r="AA110" t="str">
        <f t="shared" si="210"/>
        <v>--</v>
      </c>
      <c r="AB110" t="str">
        <f t="shared" si="211"/>
        <v>--</v>
      </c>
      <c r="AC110" t="str">
        <f t="shared" si="212"/>
        <v>--</v>
      </c>
      <c r="AF110" s="1684" t="str">
        <f t="shared" si="213"/>
        <v>--</v>
      </c>
      <c r="AG110" s="1685" t="str">
        <f t="shared" si="130"/>
        <v/>
      </c>
      <c r="AH110" s="1686" t="str">
        <f t="shared" si="155"/>
        <v/>
      </c>
      <c r="AI110" s="1684" t="str">
        <f t="shared" si="214"/>
        <v>--</v>
      </c>
      <c r="AJ110" s="1685" t="str">
        <f t="shared" si="132"/>
        <v/>
      </c>
      <c r="AK110" s="1688" t="str">
        <f t="shared" si="156"/>
        <v/>
      </c>
      <c r="AL110" s="1685">
        <f t="shared" si="157"/>
        <v>0</v>
      </c>
      <c r="AM110" s="1685" t="str">
        <f t="shared" si="158"/>
        <v/>
      </c>
      <c r="AN110" s="1685" t="str">
        <f t="shared" si="215"/>
        <v>--</v>
      </c>
      <c r="AO110" s="1686" t="str">
        <f t="shared" si="159"/>
        <v>N</v>
      </c>
      <c r="AP110" s="1684" t="str">
        <f t="shared" si="216"/>
        <v>--</v>
      </c>
      <c r="AQ110" s="1685" t="str">
        <f t="shared" si="135"/>
        <v/>
      </c>
      <c r="AR110" s="1686" t="str">
        <f t="shared" si="160"/>
        <v/>
      </c>
      <c r="AS110" s="1684" t="str">
        <f t="shared" si="217"/>
        <v>--</v>
      </c>
      <c r="AT110" s="1685" t="str">
        <f t="shared" si="137"/>
        <v/>
      </c>
      <c r="AU110" s="1688" t="str">
        <f t="shared" si="161"/>
        <v/>
      </c>
      <c r="AV110" s="1685">
        <f t="shared" si="162"/>
        <v>0</v>
      </c>
      <c r="AW110" s="1685" t="str">
        <f t="shared" si="163"/>
        <v/>
      </c>
      <c r="AX110" s="1685" t="str">
        <f t="shared" si="218"/>
        <v>--</v>
      </c>
      <c r="AY110" s="1686" t="str">
        <f t="shared" si="164"/>
        <v>N</v>
      </c>
      <c r="BA110" s="1756" t="str">
        <f t="shared" si="219"/>
        <v/>
      </c>
      <c r="BB110" s="1685" t="str">
        <f t="shared" si="140"/>
        <v>--</v>
      </c>
      <c r="BC110" s="1685" t="e">
        <f t="shared" si="141"/>
        <v>#N/A</v>
      </c>
      <c r="BE110" s="1684" t="str">
        <f t="shared" si="220"/>
        <v>--</v>
      </c>
      <c r="BF110" s="1685" t="str">
        <f t="shared" si="143"/>
        <v/>
      </c>
      <c r="BG110" s="1686" t="str">
        <f t="shared" si="165"/>
        <v/>
      </c>
      <c r="BH110" s="1684">
        <f t="shared" si="221"/>
        <v>9.9189668276470293</v>
      </c>
      <c r="BI110" s="1685" t="str">
        <f t="shared" si="145"/>
        <v/>
      </c>
      <c r="BJ110" s="1688" t="str">
        <f t="shared" si="166"/>
        <v/>
      </c>
      <c r="BK110" s="1685">
        <f t="shared" si="167"/>
        <v>9.9189668276470293</v>
      </c>
      <c r="BL110" s="1685" t="str">
        <f t="shared" si="168"/>
        <v/>
      </c>
      <c r="BM110" s="1685">
        <f t="shared" si="183"/>
        <v>9.9</v>
      </c>
      <c r="BN110" s="1686">
        <f t="shared" si="169"/>
        <v>1.9121777476019898E-3</v>
      </c>
      <c r="BP110" s="1756" t="str">
        <f t="shared" si="170"/>
        <v/>
      </c>
      <c r="BQ110" s="1685" t="e">
        <f t="shared" si="146"/>
        <v>#N/A</v>
      </c>
    </row>
    <row r="111" spans="1:69">
      <c r="A111" t="s">
        <v>277</v>
      </c>
      <c r="B111" t="s">
        <v>278</v>
      </c>
      <c r="C111" s="1684" t="str">
        <f t="shared" si="177"/>
        <v>--</v>
      </c>
      <c r="D111" s="1685" t="str">
        <f t="shared" si="222"/>
        <v/>
      </c>
      <c r="E111" s="1686" t="str">
        <f t="shared" si="175"/>
        <v/>
      </c>
      <c r="F111" s="1684" t="str">
        <f t="shared" si="178"/>
        <v>--</v>
      </c>
      <c r="G111" s="1685" t="str">
        <f t="shared" si="223"/>
        <v/>
      </c>
      <c r="H111" s="1688" t="str">
        <f t="shared" si="171"/>
        <v/>
      </c>
      <c r="I111" s="1685">
        <f t="shared" si="121"/>
        <v>0</v>
      </c>
      <c r="J111" s="1685" t="str">
        <f t="shared" si="122"/>
        <v/>
      </c>
      <c r="K111" s="1685" t="e">
        <f t="shared" si="179"/>
        <v>#N/A</v>
      </c>
      <c r="L111" s="1686" t="e">
        <f t="shared" si="150"/>
        <v>#N/A</v>
      </c>
      <c r="M111" s="1684" t="str">
        <f t="shared" si="180"/>
        <v>--</v>
      </c>
      <c r="N111" s="1685" t="str">
        <f t="shared" si="224"/>
        <v/>
      </c>
      <c r="O111" s="1686" t="str">
        <f t="shared" si="123"/>
        <v/>
      </c>
      <c r="P111" s="1684" t="str">
        <f t="shared" si="181"/>
        <v>--</v>
      </c>
      <c r="Q111" s="1685" t="str">
        <f t="shared" si="225"/>
        <v/>
      </c>
      <c r="R111" s="1688" t="str">
        <f t="shared" si="173"/>
        <v/>
      </c>
      <c r="S111" s="1685">
        <f t="shared" si="153"/>
        <v>0</v>
      </c>
      <c r="T111" s="1685" t="str">
        <f t="shared" si="176"/>
        <v/>
      </c>
      <c r="U111" s="1685" t="e">
        <f t="shared" si="182"/>
        <v>#N/A</v>
      </c>
      <c r="V111" s="1686" t="e">
        <f t="shared" si="172"/>
        <v>#N/A</v>
      </c>
      <c r="W111" s="1756" t="e">
        <f t="shared" si="154"/>
        <v>#N/A</v>
      </c>
      <c r="X111" s="1685" t="e">
        <f t="shared" si="208"/>
        <v>#N/A</v>
      </c>
      <c r="Z111" t="e">
        <f t="shared" si="209"/>
        <v>#N/A</v>
      </c>
      <c r="AA111" t="e">
        <f t="shared" si="210"/>
        <v>#N/A</v>
      </c>
      <c r="AB111" t="e">
        <f t="shared" si="211"/>
        <v>#N/A</v>
      </c>
      <c r="AC111" t="e">
        <f t="shared" si="212"/>
        <v>#N/A</v>
      </c>
      <c r="AF111" s="1684" t="str">
        <f t="shared" si="213"/>
        <v>--</v>
      </c>
      <c r="AG111" s="1685" t="str">
        <f t="shared" si="130"/>
        <v/>
      </c>
      <c r="AH111" s="1686" t="str">
        <f t="shared" si="155"/>
        <v/>
      </c>
      <c r="AI111" s="1684" t="str">
        <f t="shared" si="214"/>
        <v>--</v>
      </c>
      <c r="AJ111" s="1685" t="str">
        <f t="shared" si="132"/>
        <v/>
      </c>
      <c r="AK111" s="1688" t="str">
        <f t="shared" si="156"/>
        <v/>
      </c>
      <c r="AL111" s="1685">
        <f t="shared" si="157"/>
        <v>0</v>
      </c>
      <c r="AM111" s="1685" t="str">
        <f t="shared" si="158"/>
        <v/>
      </c>
      <c r="AN111" s="1685" t="e">
        <f t="shared" si="215"/>
        <v>#N/A</v>
      </c>
      <c r="AO111" s="1686" t="e">
        <f t="shared" si="159"/>
        <v>#N/A</v>
      </c>
      <c r="AP111" s="1684" t="str">
        <f t="shared" si="216"/>
        <v>--</v>
      </c>
      <c r="AQ111" s="1685" t="str">
        <f t="shared" si="135"/>
        <v/>
      </c>
      <c r="AR111" s="1686" t="str">
        <f t="shared" si="160"/>
        <v/>
      </c>
      <c r="AS111" s="1684" t="str">
        <f t="shared" si="217"/>
        <v>--</v>
      </c>
      <c r="AT111" s="1685" t="str">
        <f t="shared" si="137"/>
        <v/>
      </c>
      <c r="AU111" s="1688" t="str">
        <f t="shared" si="161"/>
        <v/>
      </c>
      <c r="AV111" s="1685">
        <f t="shared" si="162"/>
        <v>0</v>
      </c>
      <c r="AW111" s="1685" t="str">
        <f t="shared" si="163"/>
        <v/>
      </c>
      <c r="AX111" s="1685" t="e">
        <f t="shared" si="218"/>
        <v>#N/A</v>
      </c>
      <c r="AY111" s="1686" t="e">
        <f t="shared" si="164"/>
        <v>#N/A</v>
      </c>
      <c r="BA111" s="1756" t="e">
        <f t="shared" si="219"/>
        <v>#N/A</v>
      </c>
      <c r="BB111" s="1685" t="e">
        <f t="shared" si="140"/>
        <v>#N/A</v>
      </c>
      <c r="BC111" s="1685" t="e">
        <f t="shared" si="141"/>
        <v>#N/A</v>
      </c>
      <c r="BE111" s="1684" t="str">
        <f t="shared" si="220"/>
        <v>--</v>
      </c>
      <c r="BF111" s="1685" t="str">
        <f t="shared" si="143"/>
        <v/>
      </c>
      <c r="BG111" s="1686" t="str">
        <f t="shared" si="165"/>
        <v/>
      </c>
      <c r="BH111" s="1684" t="str">
        <f t="shared" si="221"/>
        <v>--</v>
      </c>
      <c r="BI111" s="1685" t="str">
        <f t="shared" si="145"/>
        <v/>
      </c>
      <c r="BJ111" s="1688" t="str">
        <f t="shared" si="166"/>
        <v/>
      </c>
      <c r="BK111" s="1685">
        <f t="shared" si="167"/>
        <v>0</v>
      </c>
      <c r="BL111" s="1685" t="str">
        <f t="shared" si="168"/>
        <v/>
      </c>
      <c r="BM111" s="1685" t="e">
        <f t="shared" si="183"/>
        <v>#N/A</v>
      </c>
      <c r="BN111" s="1686" t="e">
        <f t="shared" si="169"/>
        <v>#N/A</v>
      </c>
      <c r="BP111" s="1756" t="e">
        <f t="shared" si="170"/>
        <v>#N/A</v>
      </c>
      <c r="BQ111" s="1685" t="e">
        <f t="shared" si="146"/>
        <v>#N/A</v>
      </c>
    </row>
    <row r="112" spans="1:69">
      <c r="A112" t="s">
        <v>279</v>
      </c>
      <c r="B112" t="s">
        <v>280</v>
      </c>
      <c r="C112" s="1684">
        <f t="shared" si="177"/>
        <v>1.8518415168662176E-5</v>
      </c>
      <c r="D112" s="1685" t="str">
        <f t="shared" si="222"/>
        <v/>
      </c>
      <c r="E112" s="1686" t="str">
        <f t="shared" si="175"/>
        <v/>
      </c>
      <c r="F112" s="1684">
        <f t="shared" si="178"/>
        <v>1.8964103866714389E-3</v>
      </c>
      <c r="G112" s="1685" t="str">
        <f t="shared" si="223"/>
        <v/>
      </c>
      <c r="H112" s="1688" t="str">
        <f t="shared" si="171"/>
        <v/>
      </c>
      <c r="I112" s="1685">
        <f t="shared" si="121"/>
        <v>1.8518415168662176E-5</v>
      </c>
      <c r="J112" s="1685" t="str">
        <f t="shared" si="122"/>
        <v/>
      </c>
      <c r="K112" s="1685">
        <f t="shared" si="179"/>
        <v>1.9000000000000001E-5</v>
      </c>
      <c r="L112" s="1686">
        <f t="shared" si="150"/>
        <v>-2.6005726027397199E-2</v>
      </c>
      <c r="M112" s="1684">
        <f t="shared" si="180"/>
        <v>7.8425105702673511E-5</v>
      </c>
      <c r="N112" s="1685" t="str">
        <f t="shared" si="224"/>
        <v/>
      </c>
      <c r="O112" s="1686" t="str">
        <f t="shared" si="123"/>
        <v/>
      </c>
      <c r="P112" s="1684">
        <f t="shared" si="181"/>
        <v>2.4619881397374997E-2</v>
      </c>
      <c r="Q112" s="1685" t="str">
        <f t="shared" si="225"/>
        <v/>
      </c>
      <c r="R112" s="1688" t="str">
        <f t="shared" si="173"/>
        <v/>
      </c>
      <c r="S112" s="1685">
        <f t="shared" si="153"/>
        <v>7.8425105702673511E-5</v>
      </c>
      <c r="T112" s="1685" t="str">
        <f t="shared" si="176"/>
        <v/>
      </c>
      <c r="U112" s="1685">
        <f t="shared" si="182"/>
        <v>7.7999999999999999E-5</v>
      </c>
      <c r="V112" s="1686">
        <f t="shared" si="172"/>
        <v>5.4205308219179181E-3</v>
      </c>
      <c r="W112" s="1756" t="str">
        <f t="shared" si="154"/>
        <v/>
      </c>
      <c r="X112" s="1685" t="e">
        <f t="shared" si="208"/>
        <v>#N/A</v>
      </c>
      <c r="Z112" t="str">
        <f t="shared" si="209"/>
        <v>--</v>
      </c>
      <c r="AA112" t="str">
        <f t="shared" si="210"/>
        <v>--</v>
      </c>
      <c r="AB112" t="str">
        <f t="shared" si="211"/>
        <v>--</v>
      </c>
      <c r="AC112" t="str">
        <f t="shared" si="212"/>
        <v>--</v>
      </c>
      <c r="AF112" s="1684" t="str">
        <f t="shared" si="213"/>
        <v>--</v>
      </c>
      <c r="AG112" s="1685" t="str">
        <f t="shared" si="130"/>
        <v/>
      </c>
      <c r="AH112" s="1686" t="str">
        <f t="shared" si="155"/>
        <v/>
      </c>
      <c r="AI112" s="1684" t="str">
        <f t="shared" si="214"/>
        <v>--</v>
      </c>
      <c r="AJ112" s="1685" t="str">
        <f t="shared" si="132"/>
        <v/>
      </c>
      <c r="AK112" s="1688" t="str">
        <f t="shared" si="156"/>
        <v/>
      </c>
      <c r="AL112" s="1685">
        <f t="shared" si="157"/>
        <v>0</v>
      </c>
      <c r="AM112" s="1685" t="str">
        <f t="shared" si="158"/>
        <v/>
      </c>
      <c r="AN112" s="1685" t="str">
        <f t="shared" si="215"/>
        <v>--</v>
      </c>
      <c r="AO112" s="1686" t="str">
        <f t="shared" si="159"/>
        <v>N</v>
      </c>
      <c r="AP112" s="1684" t="str">
        <f t="shared" si="216"/>
        <v>--</v>
      </c>
      <c r="AQ112" s="1685" t="str">
        <f t="shared" si="135"/>
        <v/>
      </c>
      <c r="AR112" s="1686" t="str">
        <f t="shared" si="160"/>
        <v/>
      </c>
      <c r="AS112" s="1684" t="str">
        <f t="shared" si="217"/>
        <v>--</v>
      </c>
      <c r="AT112" s="1685" t="str">
        <f t="shared" si="137"/>
        <v/>
      </c>
      <c r="AU112" s="1688" t="str">
        <f t="shared" si="161"/>
        <v/>
      </c>
      <c r="AV112" s="1685">
        <f t="shared" si="162"/>
        <v>0</v>
      </c>
      <c r="AW112" s="1685" t="str">
        <f t="shared" si="163"/>
        <v/>
      </c>
      <c r="AX112" s="1685" t="str">
        <f t="shared" si="218"/>
        <v>--</v>
      </c>
      <c r="AY112" s="1686" t="str">
        <f t="shared" si="164"/>
        <v>N</v>
      </c>
      <c r="BA112" s="1756" t="str">
        <f t="shared" si="219"/>
        <v/>
      </c>
      <c r="BB112" s="1685" t="str">
        <f t="shared" si="140"/>
        <v>--</v>
      </c>
      <c r="BC112" s="1685" t="e">
        <f t="shared" si="141"/>
        <v>#N/A</v>
      </c>
      <c r="BE112" s="1684">
        <f t="shared" si="220"/>
        <v>2.6541431534365369E-6</v>
      </c>
      <c r="BF112" s="1685" t="str">
        <f t="shared" si="143"/>
        <v/>
      </c>
      <c r="BG112" s="1686" t="str">
        <f t="shared" si="165"/>
        <v/>
      </c>
      <c r="BH112" s="1684">
        <f t="shared" si="221"/>
        <v>6.0064085489063045E-4</v>
      </c>
      <c r="BI112" s="1685" t="str">
        <f t="shared" si="145"/>
        <v/>
      </c>
      <c r="BJ112" s="1688" t="str">
        <f t="shared" si="166"/>
        <v/>
      </c>
      <c r="BK112" s="1685">
        <f t="shared" si="167"/>
        <v>2.6541431534365369E-6</v>
      </c>
      <c r="BL112" s="1685" t="str">
        <f t="shared" si="168"/>
        <v/>
      </c>
      <c r="BM112" s="1685">
        <f t="shared" si="183"/>
        <v>2.7E-6</v>
      </c>
      <c r="BN112" s="1686">
        <f t="shared" si="169"/>
        <v>-1.7277457888467105E-2</v>
      </c>
      <c r="BP112" s="1756" t="str">
        <f t="shared" si="170"/>
        <v/>
      </c>
      <c r="BQ112" s="1685" t="e">
        <f t="shared" si="146"/>
        <v>#N/A</v>
      </c>
    </row>
    <row r="113" spans="1:69">
      <c r="A113" t="s">
        <v>281</v>
      </c>
      <c r="B113" t="s">
        <v>282</v>
      </c>
      <c r="C113" s="1684" t="str">
        <f t="shared" si="177"/>
        <v>--</v>
      </c>
      <c r="D113" s="1685" t="str">
        <f t="shared" si="222"/>
        <v/>
      </c>
      <c r="E113" s="1686" t="str">
        <f t="shared" si="175"/>
        <v/>
      </c>
      <c r="F113" s="1684">
        <f t="shared" si="178"/>
        <v>0.18964103866714391</v>
      </c>
      <c r="G113" s="1685" t="str">
        <f t="shared" si="223"/>
        <v/>
      </c>
      <c r="H113" s="1688" t="str">
        <f t="shared" si="171"/>
        <v/>
      </c>
      <c r="I113" s="1685">
        <f t="shared" si="121"/>
        <v>0.18964103866714391</v>
      </c>
      <c r="J113" s="1685" t="str">
        <f t="shared" si="122"/>
        <v/>
      </c>
      <c r="K113" s="1685">
        <f t="shared" si="179"/>
        <v>0.19</v>
      </c>
      <c r="L113" s="1686">
        <f t="shared" si="150"/>
        <v>-1.8928462709284154E-3</v>
      </c>
      <c r="M113" s="1684" t="str">
        <f t="shared" si="180"/>
        <v>--</v>
      </c>
      <c r="N113" s="1685" t="str">
        <f t="shared" si="224"/>
        <v/>
      </c>
      <c r="O113" s="1686" t="str">
        <f t="shared" si="123"/>
        <v/>
      </c>
      <c r="P113" s="1684">
        <f t="shared" si="181"/>
        <v>2.4619881397375005</v>
      </c>
      <c r="Q113" s="1685" t="str">
        <f t="shared" si="225"/>
        <v/>
      </c>
      <c r="R113" s="1688" t="str">
        <f t="shared" si="173"/>
        <v/>
      </c>
      <c r="S113" s="1685">
        <f t="shared" si="153"/>
        <v>2.4619881397375005</v>
      </c>
      <c r="T113" s="1685" t="str">
        <f t="shared" si="176"/>
        <v/>
      </c>
      <c r="U113" s="1685">
        <f t="shared" si="182"/>
        <v>2.5</v>
      </c>
      <c r="V113" s="1686">
        <f t="shared" si="172"/>
        <v>-1.5439497716894906E-2</v>
      </c>
      <c r="W113" s="1756" t="str">
        <f t="shared" si="154"/>
        <v/>
      </c>
      <c r="X113" s="1685" t="e">
        <f t="shared" si="208"/>
        <v>#N/A</v>
      </c>
      <c r="Z113" t="str">
        <f t="shared" si="209"/>
        <v>--</v>
      </c>
      <c r="AA113" t="str">
        <f t="shared" si="210"/>
        <v>--</v>
      </c>
      <c r="AB113" t="str">
        <f t="shared" si="211"/>
        <v>--</v>
      </c>
      <c r="AC113" t="str">
        <f t="shared" si="212"/>
        <v>--</v>
      </c>
      <c r="AF113" s="1684" t="str">
        <f t="shared" si="213"/>
        <v>--</v>
      </c>
      <c r="AG113" s="1685" t="str">
        <f t="shared" si="130"/>
        <v/>
      </c>
      <c r="AH113" s="1686" t="str">
        <f t="shared" si="155"/>
        <v/>
      </c>
      <c r="AI113" s="1684" t="str">
        <f t="shared" si="214"/>
        <v>--</v>
      </c>
      <c r="AJ113" s="1685" t="str">
        <f t="shared" si="132"/>
        <v/>
      </c>
      <c r="AK113" s="1688" t="str">
        <f t="shared" si="156"/>
        <v/>
      </c>
      <c r="AL113" s="1685">
        <f t="shared" si="157"/>
        <v>0</v>
      </c>
      <c r="AM113" s="1685" t="str">
        <f t="shared" si="158"/>
        <v/>
      </c>
      <c r="AN113" s="1685" t="str">
        <f t="shared" si="215"/>
        <v>--</v>
      </c>
      <c r="AO113" s="1686" t="str">
        <f t="shared" si="159"/>
        <v>N</v>
      </c>
      <c r="AP113" s="1684" t="str">
        <f t="shared" si="216"/>
        <v>--</v>
      </c>
      <c r="AQ113" s="1685" t="str">
        <f t="shared" si="135"/>
        <v/>
      </c>
      <c r="AR113" s="1686" t="str">
        <f t="shared" si="160"/>
        <v/>
      </c>
      <c r="AS113" s="1684" t="str">
        <f t="shared" si="217"/>
        <v>--</v>
      </c>
      <c r="AT113" s="1685" t="str">
        <f t="shared" si="137"/>
        <v/>
      </c>
      <c r="AU113" s="1688" t="str">
        <f t="shared" si="161"/>
        <v/>
      </c>
      <c r="AV113" s="1685">
        <f t="shared" si="162"/>
        <v>0</v>
      </c>
      <c r="AW113" s="1685" t="str">
        <f t="shared" si="163"/>
        <v/>
      </c>
      <c r="AX113" s="1685" t="str">
        <f t="shared" si="218"/>
        <v>--</v>
      </c>
      <c r="AY113" s="1686" t="str">
        <f t="shared" si="164"/>
        <v>N</v>
      </c>
      <c r="BA113" s="1756" t="str">
        <f t="shared" si="219"/>
        <v/>
      </c>
      <c r="BB113" s="1685" t="str">
        <f t="shared" si="140"/>
        <v>--</v>
      </c>
      <c r="BC113" s="1685" t="e">
        <f t="shared" si="141"/>
        <v>#N/A</v>
      </c>
      <c r="BE113" s="1684" t="str">
        <f t="shared" si="220"/>
        <v>--</v>
      </c>
      <c r="BF113" s="1685" t="str">
        <f t="shared" si="143"/>
        <v/>
      </c>
      <c r="BG113" s="1686" t="str">
        <f t="shared" si="165"/>
        <v/>
      </c>
      <c r="BH113" s="1684">
        <f t="shared" si="221"/>
        <v>5.8910209303611336E-2</v>
      </c>
      <c r="BI113" s="1685" t="str">
        <f t="shared" si="145"/>
        <v/>
      </c>
      <c r="BJ113" s="1688" t="str">
        <f t="shared" si="166"/>
        <v/>
      </c>
      <c r="BK113" s="1685">
        <f t="shared" si="167"/>
        <v>5.8910209303611336E-2</v>
      </c>
      <c r="BL113" s="1685" t="str">
        <f t="shared" si="168"/>
        <v/>
      </c>
      <c r="BM113" s="1685">
        <f t="shared" si="183"/>
        <v>5.8999999999999997E-2</v>
      </c>
      <c r="BN113" s="1686">
        <f t="shared" si="169"/>
        <v>-1.5241958473767797E-3</v>
      </c>
      <c r="BP113" s="1756" t="str">
        <f t="shared" si="170"/>
        <v/>
      </c>
      <c r="BQ113" s="1685" t="e">
        <f t="shared" si="146"/>
        <v>#N/A</v>
      </c>
    </row>
    <row r="114" spans="1:69">
      <c r="A114" t="s">
        <v>283</v>
      </c>
      <c r="B114" t="s">
        <v>284</v>
      </c>
      <c r="C114" s="1684" t="str">
        <f t="shared" si="177"/>
        <v>--</v>
      </c>
      <c r="D114" s="1685" t="str">
        <f t="shared" si="222"/>
        <v/>
      </c>
      <c r="E114" s="1686" t="str">
        <f t="shared" si="175"/>
        <v/>
      </c>
      <c r="F114" s="1684">
        <f t="shared" si="178"/>
        <v>1.2642735911142926E-4</v>
      </c>
      <c r="G114" s="1685" t="str">
        <f t="shared" si="223"/>
        <v/>
      </c>
      <c r="H114" s="1688" t="str">
        <f t="shared" si="171"/>
        <v/>
      </c>
      <c r="I114" s="1685">
        <f t="shared" si="121"/>
        <v>1.2642735911142926E-4</v>
      </c>
      <c r="J114" s="1685" t="str">
        <f t="shared" si="122"/>
        <v/>
      </c>
      <c r="K114" s="1685">
        <f t="shared" si="179"/>
        <v>1.2999999999999999E-4</v>
      </c>
      <c r="L114" s="1686">
        <f t="shared" si="150"/>
        <v>-2.8258447488584412E-2</v>
      </c>
      <c r="M114" s="1684" t="str">
        <f t="shared" si="180"/>
        <v>--</v>
      </c>
      <c r="N114" s="1685" t="str">
        <f t="shared" si="224"/>
        <v/>
      </c>
      <c r="O114" s="1686" t="str">
        <f t="shared" si="123"/>
        <v/>
      </c>
      <c r="P114" s="1684">
        <f t="shared" si="181"/>
        <v>1.6413254264916672E-3</v>
      </c>
      <c r="Q114" s="1685" t="str">
        <f t="shared" si="225"/>
        <v/>
      </c>
      <c r="R114" s="1688" t="str">
        <f t="shared" si="173"/>
        <v/>
      </c>
      <c r="S114" s="1685">
        <f t="shared" si="153"/>
        <v>1.6413254264916672E-3</v>
      </c>
      <c r="T114" s="1685" t="str">
        <f t="shared" si="176"/>
        <v/>
      </c>
      <c r="U114" s="1685">
        <f t="shared" si="182"/>
        <v>1.6000000000000001E-3</v>
      </c>
      <c r="V114" s="1686">
        <f t="shared" si="172"/>
        <v>2.5178082191780946E-2</v>
      </c>
      <c r="W114" s="1756" t="str">
        <f t="shared" si="154"/>
        <v/>
      </c>
      <c r="X114" s="1685" t="e">
        <f t="shared" si="208"/>
        <v>#N/A</v>
      </c>
      <c r="Z114" t="str">
        <f t="shared" si="209"/>
        <v>--</v>
      </c>
      <c r="AA114" t="str">
        <f t="shared" si="210"/>
        <v>--</v>
      </c>
      <c r="AB114" t="str">
        <f t="shared" si="211"/>
        <v>--</v>
      </c>
      <c r="AC114" t="str">
        <f t="shared" si="212"/>
        <v>--</v>
      </c>
      <c r="AF114" s="1684" t="str">
        <f t="shared" si="213"/>
        <v>--</v>
      </c>
      <c r="AG114" s="1685" t="str">
        <f t="shared" si="130"/>
        <v/>
      </c>
      <c r="AH114" s="1686" t="str">
        <f t="shared" si="155"/>
        <v/>
      </c>
      <c r="AI114" s="1684" t="str">
        <f t="shared" si="214"/>
        <v>--</v>
      </c>
      <c r="AJ114" s="1685" t="str">
        <f t="shared" si="132"/>
        <v/>
      </c>
      <c r="AK114" s="1688" t="str">
        <f t="shared" si="156"/>
        <v/>
      </c>
      <c r="AL114" s="1685">
        <f t="shared" si="157"/>
        <v>0</v>
      </c>
      <c r="AM114" s="1685" t="str">
        <f t="shared" si="158"/>
        <v/>
      </c>
      <c r="AN114" s="1685" t="str">
        <f t="shared" si="215"/>
        <v>--</v>
      </c>
      <c r="AO114" s="1686" t="str">
        <f t="shared" si="159"/>
        <v>N</v>
      </c>
      <c r="AP114" s="1684" t="str">
        <f t="shared" si="216"/>
        <v>--</v>
      </c>
      <c r="AQ114" s="1685" t="str">
        <f t="shared" si="135"/>
        <v/>
      </c>
      <c r="AR114" s="1686" t="str">
        <f t="shared" si="160"/>
        <v/>
      </c>
      <c r="AS114" s="1684" t="str">
        <f t="shared" si="217"/>
        <v>--</v>
      </c>
      <c r="AT114" s="1685" t="str">
        <f t="shared" si="137"/>
        <v/>
      </c>
      <c r="AU114" s="1688" t="str">
        <f t="shared" si="161"/>
        <v/>
      </c>
      <c r="AV114" s="1685">
        <f t="shared" si="162"/>
        <v>0</v>
      </c>
      <c r="AW114" s="1685" t="str">
        <f t="shared" si="163"/>
        <v/>
      </c>
      <c r="AX114" s="1685" t="str">
        <f t="shared" si="218"/>
        <v>--</v>
      </c>
      <c r="AY114" s="1686" t="str">
        <f t="shared" si="164"/>
        <v>N</v>
      </c>
      <c r="BA114" s="1756" t="str">
        <f t="shared" si="219"/>
        <v/>
      </c>
      <c r="BB114" s="1685" t="str">
        <f t="shared" si="140"/>
        <v>--</v>
      </c>
      <c r="BC114" s="1685" t="e">
        <f t="shared" si="141"/>
        <v>#N/A</v>
      </c>
      <c r="BE114" s="1684" t="str">
        <f t="shared" si="220"/>
        <v>--</v>
      </c>
      <c r="BF114" s="1685" t="str">
        <f t="shared" si="143"/>
        <v/>
      </c>
      <c r="BG114" s="1686" t="str">
        <f t="shared" si="165"/>
        <v/>
      </c>
      <c r="BH114" s="1684">
        <f t="shared" si="221"/>
        <v>4.0109890109890117E-5</v>
      </c>
      <c r="BI114" s="1685" t="str">
        <f t="shared" si="145"/>
        <v/>
      </c>
      <c r="BJ114" s="1688" t="str">
        <f t="shared" si="166"/>
        <v/>
      </c>
      <c r="BK114" s="1685">
        <f t="shared" si="167"/>
        <v>4.0109890109890117E-5</v>
      </c>
      <c r="BL114" s="1685" t="str">
        <f t="shared" si="168"/>
        <v/>
      </c>
      <c r="BM114" s="1685">
        <f t="shared" si="183"/>
        <v>4.0000000000000003E-5</v>
      </c>
      <c r="BN114" s="1686">
        <f t="shared" si="169"/>
        <v>2.7397260273973596E-3</v>
      </c>
      <c r="BP114" s="1756" t="str">
        <f t="shared" si="170"/>
        <v/>
      </c>
      <c r="BQ114" s="1685" t="e">
        <f t="shared" si="146"/>
        <v>#N/A</v>
      </c>
    </row>
    <row r="115" spans="1:69">
      <c r="A115" t="s">
        <v>285</v>
      </c>
      <c r="B115" t="s">
        <v>286</v>
      </c>
      <c r="C115" s="1684" t="str">
        <f t="shared" si="177"/>
        <v>--</v>
      </c>
      <c r="D115" s="1685" t="str">
        <f t="shared" si="222"/>
        <v/>
      </c>
      <c r="E115" s="1686" t="str">
        <f t="shared" si="175"/>
        <v/>
      </c>
      <c r="F115" s="1684">
        <f t="shared" si="178"/>
        <v>18.964103866714392</v>
      </c>
      <c r="G115" s="1685" t="str">
        <f t="shared" si="223"/>
        <v/>
      </c>
      <c r="H115" s="1688" t="str">
        <f t="shared" si="171"/>
        <v/>
      </c>
      <c r="I115" s="1685">
        <f t="shared" si="121"/>
        <v>18.964103866714392</v>
      </c>
      <c r="J115" s="1685" t="str">
        <f t="shared" si="122"/>
        <v/>
      </c>
      <c r="K115" s="1685">
        <f t="shared" si="179"/>
        <v>19</v>
      </c>
      <c r="L115" s="1686">
        <f t="shared" si="150"/>
        <v>-1.8928462709283157E-3</v>
      </c>
      <c r="M115" s="1684" t="str">
        <f t="shared" si="180"/>
        <v>--</v>
      </c>
      <c r="N115" s="1685" t="str">
        <f t="shared" si="224"/>
        <v/>
      </c>
      <c r="O115" s="1686" t="str">
        <f t="shared" si="123"/>
        <v/>
      </c>
      <c r="P115" s="1684">
        <f t="shared" si="181"/>
        <v>246.19881397375005</v>
      </c>
      <c r="Q115" s="1685" t="str">
        <f t="shared" si="225"/>
        <v/>
      </c>
      <c r="R115" s="1688" t="str">
        <f t="shared" si="173"/>
        <v/>
      </c>
      <c r="S115" s="1685">
        <f t="shared" si="153"/>
        <v>246.19881397375005</v>
      </c>
      <c r="T115" s="1685" t="str">
        <f t="shared" si="176"/>
        <v/>
      </c>
      <c r="U115" s="1685">
        <f t="shared" si="182"/>
        <v>250</v>
      </c>
      <c r="V115" s="1686">
        <f t="shared" si="172"/>
        <v>-1.543949771689492E-2</v>
      </c>
      <c r="W115" s="1756" t="str">
        <f t="shared" si="154"/>
        <v/>
      </c>
      <c r="X115" s="1685" t="e">
        <f t="shared" si="208"/>
        <v>#N/A</v>
      </c>
      <c r="Z115" t="str">
        <f t="shared" si="209"/>
        <v>--</v>
      </c>
      <c r="AA115" t="str">
        <f t="shared" si="210"/>
        <v>--</v>
      </c>
      <c r="AB115" t="str">
        <f t="shared" si="211"/>
        <v>--</v>
      </c>
      <c r="AC115" t="str">
        <f t="shared" si="212"/>
        <v>--</v>
      </c>
      <c r="AF115" s="1684" t="str">
        <f t="shared" si="213"/>
        <v>--</v>
      </c>
      <c r="AG115" s="1685" t="str">
        <f t="shared" si="130"/>
        <v/>
      </c>
      <c r="AH115" s="1686" t="str">
        <f t="shared" si="155"/>
        <v/>
      </c>
      <c r="AI115" s="1684" t="str">
        <f t="shared" si="214"/>
        <v>--</v>
      </c>
      <c r="AJ115" s="1685" t="str">
        <f t="shared" si="132"/>
        <v/>
      </c>
      <c r="AK115" s="1688" t="str">
        <f t="shared" si="156"/>
        <v/>
      </c>
      <c r="AL115" s="1685">
        <f t="shared" si="157"/>
        <v>0</v>
      </c>
      <c r="AM115" s="1685" t="str">
        <f t="shared" si="158"/>
        <v/>
      </c>
      <c r="AN115" s="1685" t="str">
        <f t="shared" si="215"/>
        <v>--</v>
      </c>
      <c r="AO115" s="1686" t="str">
        <f t="shared" si="159"/>
        <v>N</v>
      </c>
      <c r="AP115" s="1684" t="str">
        <f t="shared" si="216"/>
        <v>--</v>
      </c>
      <c r="AQ115" s="1685" t="str">
        <f t="shared" si="135"/>
        <v/>
      </c>
      <c r="AR115" s="1686" t="str">
        <f t="shared" si="160"/>
        <v/>
      </c>
      <c r="AS115" s="1684" t="str">
        <f t="shared" si="217"/>
        <v>--</v>
      </c>
      <c r="AT115" s="1685" t="str">
        <f t="shared" si="137"/>
        <v/>
      </c>
      <c r="AU115" s="1688" t="str">
        <f t="shared" si="161"/>
        <v/>
      </c>
      <c r="AV115" s="1685">
        <f t="shared" si="162"/>
        <v>0</v>
      </c>
      <c r="AW115" s="1685" t="str">
        <f t="shared" si="163"/>
        <v/>
      </c>
      <c r="AX115" s="1685" t="str">
        <f t="shared" si="218"/>
        <v>--</v>
      </c>
      <c r="AY115" s="1686" t="str">
        <f t="shared" si="164"/>
        <v>N</v>
      </c>
      <c r="BA115" s="1756" t="str">
        <f t="shared" si="219"/>
        <v/>
      </c>
      <c r="BB115" s="1685" t="str">
        <f t="shared" si="140"/>
        <v>--</v>
      </c>
      <c r="BC115" s="1685" t="e">
        <f t="shared" si="141"/>
        <v>#N/A</v>
      </c>
      <c r="BE115" s="1684" t="str">
        <f t="shared" si="220"/>
        <v>--</v>
      </c>
      <c r="BF115" s="1685" t="str">
        <f t="shared" si="143"/>
        <v/>
      </c>
      <c r="BG115" s="1686" t="str">
        <f t="shared" si="165"/>
        <v/>
      </c>
      <c r="BH115" s="1684">
        <f t="shared" si="221"/>
        <v>6.0164835164835164</v>
      </c>
      <c r="BI115" s="1685" t="str">
        <f t="shared" si="145"/>
        <v/>
      </c>
      <c r="BJ115" s="1688" t="str">
        <f t="shared" si="166"/>
        <v/>
      </c>
      <c r="BK115" s="1685">
        <f t="shared" si="167"/>
        <v>6.0164835164835164</v>
      </c>
      <c r="BL115" s="1685" t="str">
        <f t="shared" si="168"/>
        <v/>
      </c>
      <c r="BM115" s="1685">
        <f t="shared" si="183"/>
        <v>6</v>
      </c>
      <c r="BN115" s="1686">
        <f t="shared" si="169"/>
        <v>2.7397260273972508E-3</v>
      </c>
      <c r="BP115" s="1756" t="str">
        <f t="shared" si="170"/>
        <v/>
      </c>
      <c r="BQ115" s="1685" t="e">
        <f t="shared" si="146"/>
        <v>#N/A</v>
      </c>
    </row>
    <row r="116" spans="1:69">
      <c r="A116" t="s">
        <v>287</v>
      </c>
      <c r="B116" t="s">
        <v>288</v>
      </c>
      <c r="C116" s="1684" t="str">
        <f t="shared" si="177"/>
        <v>--</v>
      </c>
      <c r="D116" s="1685" t="str">
        <f t="shared" si="222"/>
        <v/>
      </c>
      <c r="E116" s="1686" t="str">
        <f t="shared" si="175"/>
        <v/>
      </c>
      <c r="F116" s="1684">
        <f t="shared" si="178"/>
        <v>3.1606839777857316</v>
      </c>
      <c r="G116" s="1685" t="str">
        <f t="shared" si="223"/>
        <v/>
      </c>
      <c r="H116" s="1688" t="str">
        <f t="shared" si="171"/>
        <v/>
      </c>
      <c r="I116" s="1685">
        <f t="shared" si="121"/>
        <v>3.1606839777857316</v>
      </c>
      <c r="J116" s="1685" t="str">
        <f t="shared" si="122"/>
        <v/>
      </c>
      <c r="K116" s="1685">
        <f t="shared" si="179"/>
        <v>3.2</v>
      </c>
      <c r="L116" s="1686">
        <f t="shared" si="150"/>
        <v>-1.2439086757990917E-2</v>
      </c>
      <c r="M116" s="1684" t="str">
        <f t="shared" si="180"/>
        <v>--</v>
      </c>
      <c r="N116" s="1685" t="str">
        <f t="shared" si="224"/>
        <v/>
      </c>
      <c r="O116" s="1686" t="str">
        <f t="shared" si="123"/>
        <v/>
      </c>
      <c r="P116" s="1684">
        <f t="shared" si="181"/>
        <v>41.03313566229167</v>
      </c>
      <c r="Q116" s="1685" t="str">
        <f t="shared" si="225"/>
        <v/>
      </c>
      <c r="R116" s="1688" t="str">
        <f t="shared" si="173"/>
        <v/>
      </c>
      <c r="S116" s="1685">
        <f t="shared" si="153"/>
        <v>41.03313566229167</v>
      </c>
      <c r="T116" s="1685" t="str">
        <f t="shared" si="176"/>
        <v/>
      </c>
      <c r="U116" s="1685">
        <f t="shared" si="182"/>
        <v>41</v>
      </c>
      <c r="V116" s="1686">
        <f t="shared" si="172"/>
        <v>8.0753424657528314E-4</v>
      </c>
      <c r="W116" s="1756" t="str">
        <f t="shared" si="154"/>
        <v/>
      </c>
      <c r="X116" s="1685" t="e">
        <f t="shared" si="208"/>
        <v>#N/A</v>
      </c>
      <c r="Z116" t="str">
        <f t="shared" si="209"/>
        <v>--</v>
      </c>
      <c r="AA116" t="str">
        <f t="shared" si="210"/>
        <v>--</v>
      </c>
      <c r="AB116" t="str">
        <f t="shared" si="211"/>
        <v>--</v>
      </c>
      <c r="AC116" t="str">
        <f t="shared" si="212"/>
        <v>--</v>
      </c>
      <c r="AF116" s="1684" t="str">
        <f t="shared" si="213"/>
        <v>--</v>
      </c>
      <c r="AG116" s="1685" t="str">
        <f t="shared" si="130"/>
        <v/>
      </c>
      <c r="AH116" s="1686" t="str">
        <f t="shared" si="155"/>
        <v/>
      </c>
      <c r="AI116" s="1684" t="str">
        <f t="shared" si="214"/>
        <v>--</v>
      </c>
      <c r="AJ116" s="1685" t="str">
        <f t="shared" si="132"/>
        <v/>
      </c>
      <c r="AK116" s="1688" t="str">
        <f t="shared" si="156"/>
        <v/>
      </c>
      <c r="AL116" s="1685">
        <f t="shared" si="157"/>
        <v>0</v>
      </c>
      <c r="AM116" s="1685" t="str">
        <f t="shared" si="158"/>
        <v/>
      </c>
      <c r="AN116" s="1685" t="str">
        <f t="shared" si="215"/>
        <v>--</v>
      </c>
      <c r="AO116" s="1686" t="str">
        <f t="shared" si="159"/>
        <v>N</v>
      </c>
      <c r="AP116" s="1684" t="str">
        <f t="shared" si="216"/>
        <v>--</v>
      </c>
      <c r="AQ116" s="1685" t="str">
        <f t="shared" si="135"/>
        <v/>
      </c>
      <c r="AR116" s="1686" t="str">
        <f t="shared" si="160"/>
        <v/>
      </c>
      <c r="AS116" s="1684" t="str">
        <f t="shared" si="217"/>
        <v>--</v>
      </c>
      <c r="AT116" s="1685" t="str">
        <f t="shared" si="137"/>
        <v/>
      </c>
      <c r="AU116" s="1688" t="str">
        <f t="shared" si="161"/>
        <v/>
      </c>
      <c r="AV116" s="1685">
        <f t="shared" si="162"/>
        <v>0</v>
      </c>
      <c r="AW116" s="1685" t="str">
        <f t="shared" si="163"/>
        <v/>
      </c>
      <c r="AX116" s="1685" t="str">
        <f t="shared" si="218"/>
        <v>--</v>
      </c>
      <c r="AY116" s="1686" t="str">
        <f t="shared" si="164"/>
        <v>N</v>
      </c>
      <c r="BA116" s="1756" t="str">
        <f t="shared" si="219"/>
        <v/>
      </c>
      <c r="BB116" s="1685" t="str">
        <f t="shared" si="140"/>
        <v>--</v>
      </c>
      <c r="BC116" s="1685" t="e">
        <f t="shared" si="141"/>
        <v>#N/A</v>
      </c>
      <c r="BE116" s="1684" t="str">
        <f t="shared" si="220"/>
        <v>--</v>
      </c>
      <c r="BF116" s="1685" t="str">
        <f t="shared" si="143"/>
        <v/>
      </c>
      <c r="BG116" s="1686" t="str">
        <f t="shared" si="165"/>
        <v/>
      </c>
      <c r="BH116" s="1684">
        <f t="shared" si="221"/>
        <v>1.0027472527472527</v>
      </c>
      <c r="BI116" s="1685" t="str">
        <f t="shared" si="145"/>
        <v/>
      </c>
      <c r="BJ116" s="1688" t="str">
        <f t="shared" si="166"/>
        <v/>
      </c>
      <c r="BK116" s="1685">
        <f t="shared" si="167"/>
        <v>1.0027472527472527</v>
      </c>
      <c r="BL116" s="1685" t="str">
        <f t="shared" si="168"/>
        <v/>
      </c>
      <c r="BM116" s="1685">
        <f t="shared" si="183"/>
        <v>1</v>
      </c>
      <c r="BN116" s="1686">
        <f t="shared" si="169"/>
        <v>2.7397260273972508E-3</v>
      </c>
      <c r="BP116" s="1756" t="str">
        <f t="shared" si="170"/>
        <v/>
      </c>
      <c r="BQ116" s="1685" t="e">
        <f t="shared" si="146"/>
        <v>#N/A</v>
      </c>
    </row>
    <row r="117" spans="1:69">
      <c r="A117" t="s">
        <v>289</v>
      </c>
      <c r="B117" t="s">
        <v>290</v>
      </c>
      <c r="C117" s="1684" t="str">
        <f t="shared" si="177"/>
        <v>--</v>
      </c>
      <c r="D117" s="1685" t="str">
        <f t="shared" si="222"/>
        <v/>
      </c>
      <c r="E117" s="1686" t="str">
        <f t="shared" si="175"/>
        <v/>
      </c>
      <c r="F117" s="1684">
        <f t="shared" si="178"/>
        <v>63.213679555714634</v>
      </c>
      <c r="G117" s="1685" t="str">
        <f t="shared" si="223"/>
        <v/>
      </c>
      <c r="H117" s="1688" t="str">
        <f t="shared" si="171"/>
        <v/>
      </c>
      <c r="I117" s="1685">
        <f t="shared" si="121"/>
        <v>63.213679555714634</v>
      </c>
      <c r="J117" s="1685" t="str">
        <f t="shared" si="122"/>
        <v/>
      </c>
      <c r="K117" s="1685">
        <f t="shared" si="179"/>
        <v>63</v>
      </c>
      <c r="L117" s="1686">
        <f t="shared" si="150"/>
        <v>3.380273972602774E-3</v>
      </c>
      <c r="M117" s="1684" t="str">
        <f t="shared" si="180"/>
        <v>--</v>
      </c>
      <c r="N117" s="1685" t="str">
        <f t="shared" si="224"/>
        <v/>
      </c>
      <c r="O117" s="1686" t="str">
        <f t="shared" si="123"/>
        <v/>
      </c>
      <c r="P117" s="1684">
        <f t="shared" si="181"/>
        <v>820.66271324583363</v>
      </c>
      <c r="Q117" s="1685" t="str">
        <f t="shared" si="225"/>
        <v/>
      </c>
      <c r="R117" s="1688" t="str">
        <f t="shared" si="173"/>
        <v/>
      </c>
      <c r="S117" s="1685">
        <f t="shared" si="153"/>
        <v>820.66271324583363</v>
      </c>
      <c r="T117" s="1685" t="str">
        <f t="shared" si="176"/>
        <v/>
      </c>
      <c r="U117" s="1685">
        <f t="shared" si="182"/>
        <v>820</v>
      </c>
      <c r="V117" s="1686">
        <f t="shared" si="172"/>
        <v>8.0753424657556004E-4</v>
      </c>
      <c r="W117" s="1756" t="str">
        <f t="shared" si="154"/>
        <v/>
      </c>
      <c r="X117" s="1685" t="e">
        <f t="shared" si="208"/>
        <v>#N/A</v>
      </c>
      <c r="Z117" t="str">
        <f t="shared" si="209"/>
        <v>--</v>
      </c>
      <c r="AA117" t="str">
        <f t="shared" si="210"/>
        <v>--</v>
      </c>
      <c r="AB117" t="str">
        <f t="shared" si="211"/>
        <v>--</v>
      </c>
      <c r="AC117" t="str">
        <f t="shared" si="212"/>
        <v>--</v>
      </c>
      <c r="AF117" s="1684" t="str">
        <f t="shared" si="213"/>
        <v>--</v>
      </c>
      <c r="AG117" s="1685" t="str">
        <f t="shared" si="130"/>
        <v/>
      </c>
      <c r="AH117" s="1686" t="str">
        <f t="shared" si="155"/>
        <v/>
      </c>
      <c r="AI117" s="1684" t="str">
        <f t="shared" si="214"/>
        <v>--</v>
      </c>
      <c r="AJ117" s="1685" t="str">
        <f t="shared" si="132"/>
        <v/>
      </c>
      <c r="AK117" s="1688" t="str">
        <f t="shared" si="156"/>
        <v/>
      </c>
      <c r="AL117" s="1685">
        <f t="shared" si="157"/>
        <v>0</v>
      </c>
      <c r="AM117" s="1685" t="str">
        <f t="shared" si="158"/>
        <v/>
      </c>
      <c r="AN117" s="1685" t="str">
        <f t="shared" si="215"/>
        <v>--</v>
      </c>
      <c r="AO117" s="1686" t="str">
        <f t="shared" si="159"/>
        <v>N</v>
      </c>
      <c r="AP117" s="1684" t="str">
        <f t="shared" si="216"/>
        <v>--</v>
      </c>
      <c r="AQ117" s="1685" t="str">
        <f t="shared" si="135"/>
        <v/>
      </c>
      <c r="AR117" s="1686" t="str">
        <f t="shared" si="160"/>
        <v/>
      </c>
      <c r="AS117" s="1684" t="str">
        <f t="shared" si="217"/>
        <v>--</v>
      </c>
      <c r="AT117" s="1685" t="str">
        <f t="shared" si="137"/>
        <v/>
      </c>
      <c r="AU117" s="1688" t="str">
        <f t="shared" si="161"/>
        <v/>
      </c>
      <c r="AV117" s="1685">
        <f t="shared" si="162"/>
        <v>0</v>
      </c>
      <c r="AW117" s="1685" t="str">
        <f t="shared" si="163"/>
        <v/>
      </c>
      <c r="AX117" s="1685" t="str">
        <f t="shared" si="218"/>
        <v>--</v>
      </c>
      <c r="AY117" s="1686" t="str">
        <f t="shared" si="164"/>
        <v>N</v>
      </c>
      <c r="BA117" s="1756" t="str">
        <f t="shared" si="219"/>
        <v/>
      </c>
      <c r="BB117" s="1685" t="str">
        <f t="shared" si="140"/>
        <v>--</v>
      </c>
      <c r="BC117" s="1685" t="e">
        <f t="shared" si="141"/>
        <v>#N/A</v>
      </c>
      <c r="BE117" s="1684" t="str">
        <f t="shared" si="220"/>
        <v>--</v>
      </c>
      <c r="BF117" s="1685" t="str">
        <f t="shared" si="143"/>
        <v/>
      </c>
      <c r="BG117" s="1686" t="str">
        <f t="shared" si="165"/>
        <v/>
      </c>
      <c r="BH117" s="1684">
        <f t="shared" si="221"/>
        <v>20.054945054945055</v>
      </c>
      <c r="BI117" s="1685" t="str">
        <f t="shared" si="145"/>
        <v/>
      </c>
      <c r="BJ117" s="1688" t="str">
        <f t="shared" si="166"/>
        <v/>
      </c>
      <c r="BK117" s="1685">
        <f t="shared" si="167"/>
        <v>20.054945054945055</v>
      </c>
      <c r="BL117" s="1685" t="str">
        <f t="shared" si="168"/>
        <v/>
      </c>
      <c r="BM117" s="1685">
        <f t="shared" si="183"/>
        <v>20</v>
      </c>
      <c r="BN117" s="1686">
        <f t="shared" si="169"/>
        <v>2.7397260273972508E-3</v>
      </c>
      <c r="BP117" s="1756" t="str">
        <f t="shared" si="170"/>
        <v/>
      </c>
      <c r="BQ117" s="1685" t="e">
        <f t="shared" si="146"/>
        <v>#N/A</v>
      </c>
    </row>
    <row r="118" spans="1:69">
      <c r="A118" t="s">
        <v>291</v>
      </c>
      <c r="B118" t="s">
        <v>292</v>
      </c>
      <c r="C118" s="1684" t="str">
        <f t="shared" si="177"/>
        <v>--</v>
      </c>
      <c r="D118" s="1685" t="str">
        <f t="shared" si="222"/>
        <v/>
      </c>
      <c r="E118" s="1686" t="str">
        <f t="shared" si="175"/>
        <v/>
      </c>
      <c r="F118" s="1684">
        <f t="shared" si="178"/>
        <v>2528.5471822285854</v>
      </c>
      <c r="G118" s="1685" t="str">
        <f t="shared" si="223"/>
        <v/>
      </c>
      <c r="H118" s="1688" t="str">
        <f t="shared" si="171"/>
        <v/>
      </c>
      <c r="I118" s="1685">
        <f t="shared" si="121"/>
        <v>2528.5471822285854</v>
      </c>
      <c r="J118" s="1685" t="str">
        <f t="shared" si="122"/>
        <v/>
      </c>
      <c r="K118" s="1685">
        <f t="shared" si="179"/>
        <v>2500</v>
      </c>
      <c r="L118" s="1686">
        <f t="shared" si="150"/>
        <v>1.1289954337899578E-2</v>
      </c>
      <c r="M118" s="1684" t="str">
        <f t="shared" si="180"/>
        <v>--</v>
      </c>
      <c r="N118" s="1685" t="str">
        <f t="shared" si="224"/>
        <v/>
      </c>
      <c r="O118" s="1686" t="str">
        <f t="shared" si="123"/>
        <v/>
      </c>
      <c r="P118" s="1684">
        <f t="shared" si="181"/>
        <v>32826.508529833336</v>
      </c>
      <c r="Q118" s="1685" t="str">
        <f t="shared" si="225"/>
        <v/>
      </c>
      <c r="R118" s="1688" t="str">
        <f t="shared" si="173"/>
        <v/>
      </c>
      <c r="S118" s="1685">
        <f t="shared" si="153"/>
        <v>32826.508529833336</v>
      </c>
      <c r="T118" s="1685" t="str">
        <f t="shared" si="176"/>
        <v/>
      </c>
      <c r="U118" s="1685">
        <f t="shared" si="182"/>
        <v>33000</v>
      </c>
      <c r="V118" s="1686">
        <f t="shared" si="172"/>
        <v>-5.2851027397260867E-3</v>
      </c>
      <c r="W118" s="1756" t="str">
        <f t="shared" si="154"/>
        <v/>
      </c>
      <c r="X118" s="1685" t="e">
        <f t="shared" si="208"/>
        <v>#N/A</v>
      </c>
      <c r="Z118" t="str">
        <f t="shared" si="209"/>
        <v>--</v>
      </c>
      <c r="AA118" t="str">
        <f t="shared" si="210"/>
        <v>--</v>
      </c>
      <c r="AB118" t="str">
        <f t="shared" si="211"/>
        <v>--</v>
      </c>
      <c r="AC118" t="str">
        <f t="shared" si="212"/>
        <v>--</v>
      </c>
      <c r="AF118" s="1684" t="str">
        <f t="shared" si="213"/>
        <v>--</v>
      </c>
      <c r="AG118" s="1685" t="str">
        <f t="shared" si="130"/>
        <v/>
      </c>
      <c r="AH118" s="1686" t="str">
        <f t="shared" si="155"/>
        <v/>
      </c>
      <c r="AI118" s="1684" t="str">
        <f t="shared" si="214"/>
        <v>--</v>
      </c>
      <c r="AJ118" s="1685" t="str">
        <f t="shared" si="132"/>
        <v/>
      </c>
      <c r="AK118" s="1688" t="str">
        <f t="shared" si="156"/>
        <v/>
      </c>
      <c r="AL118" s="1685">
        <f t="shared" si="157"/>
        <v>0</v>
      </c>
      <c r="AM118" s="1685" t="str">
        <f t="shared" si="158"/>
        <v/>
      </c>
      <c r="AN118" s="1685" t="str">
        <f t="shared" si="215"/>
        <v>--</v>
      </c>
      <c r="AO118" s="1686" t="str">
        <f t="shared" si="159"/>
        <v>N</v>
      </c>
      <c r="AP118" s="1684" t="str">
        <f t="shared" si="216"/>
        <v>--</v>
      </c>
      <c r="AQ118" s="1685" t="str">
        <f t="shared" si="135"/>
        <v/>
      </c>
      <c r="AR118" s="1686" t="str">
        <f t="shared" si="160"/>
        <v/>
      </c>
      <c r="AS118" s="1684" t="str">
        <f t="shared" si="217"/>
        <v>--</v>
      </c>
      <c r="AT118" s="1685" t="str">
        <f t="shared" si="137"/>
        <v/>
      </c>
      <c r="AU118" s="1688" t="str">
        <f t="shared" si="161"/>
        <v/>
      </c>
      <c r="AV118" s="1685">
        <f t="shared" si="162"/>
        <v>0</v>
      </c>
      <c r="AW118" s="1685" t="str">
        <f t="shared" si="163"/>
        <v/>
      </c>
      <c r="AX118" s="1685" t="str">
        <f t="shared" si="218"/>
        <v>--</v>
      </c>
      <c r="AY118" s="1686" t="str">
        <f t="shared" si="164"/>
        <v>N</v>
      </c>
      <c r="BA118" s="1756" t="str">
        <f t="shared" si="219"/>
        <v/>
      </c>
      <c r="BB118" s="1685" t="str">
        <f t="shared" si="140"/>
        <v>--</v>
      </c>
      <c r="BC118" s="1685" t="e">
        <f t="shared" si="141"/>
        <v>#N/A</v>
      </c>
      <c r="BE118" s="1684" t="str">
        <f t="shared" si="220"/>
        <v>--</v>
      </c>
      <c r="BF118" s="1685" t="str">
        <f t="shared" si="143"/>
        <v/>
      </c>
      <c r="BG118" s="1686" t="str">
        <f t="shared" si="165"/>
        <v/>
      </c>
      <c r="BH118" s="1684">
        <f t="shared" si="221"/>
        <v>802.19780219780216</v>
      </c>
      <c r="BI118" s="1685" t="str">
        <f t="shared" si="145"/>
        <v/>
      </c>
      <c r="BJ118" s="1688" t="str">
        <f t="shared" si="166"/>
        <v/>
      </c>
      <c r="BK118" s="1685">
        <f t="shared" si="167"/>
        <v>802.19780219780216</v>
      </c>
      <c r="BL118" s="1685" t="str">
        <f t="shared" si="168"/>
        <v/>
      </c>
      <c r="BM118" s="1685">
        <f t="shared" si="183"/>
        <v>800</v>
      </c>
      <c r="BN118" s="1686">
        <f t="shared" si="169"/>
        <v>2.7397260273972152E-3</v>
      </c>
      <c r="BP118" s="1756" t="str">
        <f t="shared" si="170"/>
        <v/>
      </c>
      <c r="BQ118" s="1685" t="e">
        <f t="shared" si="146"/>
        <v>#N/A</v>
      </c>
    </row>
    <row r="119" spans="1:69">
      <c r="A119" t="s">
        <v>293</v>
      </c>
      <c r="B119" t="s">
        <v>294</v>
      </c>
      <c r="C119" s="1684" t="str">
        <f t="shared" si="177"/>
        <v>--</v>
      </c>
      <c r="D119" s="1685" t="str">
        <f t="shared" si="222"/>
        <v/>
      </c>
      <c r="E119" s="1686" t="str">
        <f t="shared" si="175"/>
        <v/>
      </c>
      <c r="F119" s="1684">
        <f t="shared" si="178"/>
        <v>18.964103866714392</v>
      </c>
      <c r="G119" s="1685" t="str">
        <f t="shared" si="223"/>
        <v/>
      </c>
      <c r="H119" s="1688" t="str">
        <f t="shared" si="171"/>
        <v/>
      </c>
      <c r="I119" s="1685">
        <f t="shared" si="121"/>
        <v>18.964103866714392</v>
      </c>
      <c r="J119" s="1685" t="str">
        <f t="shared" si="122"/>
        <v/>
      </c>
      <c r="K119" s="1685">
        <f t="shared" si="179"/>
        <v>19</v>
      </c>
      <c r="L119" s="1686">
        <f t="shared" si="150"/>
        <v>-1.8928462709283157E-3</v>
      </c>
      <c r="M119" s="1684" t="str">
        <f t="shared" si="180"/>
        <v>--</v>
      </c>
      <c r="N119" s="1685" t="str">
        <f t="shared" si="224"/>
        <v/>
      </c>
      <c r="O119" s="1686" t="str">
        <f t="shared" si="123"/>
        <v/>
      </c>
      <c r="P119" s="1684">
        <f t="shared" si="181"/>
        <v>246.19881397375005</v>
      </c>
      <c r="Q119" s="1685" t="str">
        <f t="shared" si="225"/>
        <v/>
      </c>
      <c r="R119" s="1688" t="str">
        <f t="shared" si="173"/>
        <v/>
      </c>
      <c r="S119" s="1685">
        <f t="shared" si="153"/>
        <v>246.19881397375005</v>
      </c>
      <c r="T119" s="1685" t="str">
        <f t="shared" si="176"/>
        <v/>
      </c>
      <c r="U119" s="1685">
        <f t="shared" si="182"/>
        <v>250</v>
      </c>
      <c r="V119" s="1686">
        <f t="shared" si="172"/>
        <v>-1.543949771689492E-2</v>
      </c>
      <c r="W119" s="1756" t="str">
        <f t="shared" si="154"/>
        <v/>
      </c>
      <c r="X119" s="1685" t="e">
        <f t="shared" si="208"/>
        <v>#N/A</v>
      </c>
      <c r="Z119" t="str">
        <f t="shared" si="209"/>
        <v>--</v>
      </c>
      <c r="AA119" t="str">
        <f t="shared" si="210"/>
        <v>--</v>
      </c>
      <c r="AB119" t="str">
        <f t="shared" si="211"/>
        <v>--</v>
      </c>
      <c r="AC119" t="str">
        <f t="shared" si="212"/>
        <v>--</v>
      </c>
      <c r="AF119" s="1684" t="str">
        <f t="shared" si="213"/>
        <v>--</v>
      </c>
      <c r="AG119" s="1685" t="str">
        <f t="shared" si="130"/>
        <v/>
      </c>
      <c r="AH119" s="1686" t="str">
        <f t="shared" si="155"/>
        <v/>
      </c>
      <c r="AI119" s="1684" t="str">
        <f t="shared" si="214"/>
        <v>--</v>
      </c>
      <c r="AJ119" s="1685" t="str">
        <f t="shared" si="132"/>
        <v/>
      </c>
      <c r="AK119" s="1688" t="str">
        <f t="shared" si="156"/>
        <v/>
      </c>
      <c r="AL119" s="1685">
        <f t="shared" si="157"/>
        <v>0</v>
      </c>
      <c r="AM119" s="1685" t="str">
        <f t="shared" si="158"/>
        <v/>
      </c>
      <c r="AN119" s="1685" t="str">
        <f t="shared" si="215"/>
        <v>--</v>
      </c>
      <c r="AO119" s="1686" t="str">
        <f t="shared" si="159"/>
        <v>N</v>
      </c>
      <c r="AP119" s="1684" t="str">
        <f t="shared" si="216"/>
        <v>--</v>
      </c>
      <c r="AQ119" s="1685" t="str">
        <f t="shared" si="135"/>
        <v/>
      </c>
      <c r="AR119" s="1686" t="str">
        <f t="shared" si="160"/>
        <v/>
      </c>
      <c r="AS119" s="1684" t="str">
        <f t="shared" si="217"/>
        <v>--</v>
      </c>
      <c r="AT119" s="1685" t="str">
        <f t="shared" si="137"/>
        <v/>
      </c>
      <c r="AU119" s="1688" t="str">
        <f t="shared" si="161"/>
        <v/>
      </c>
      <c r="AV119" s="1685">
        <f t="shared" si="162"/>
        <v>0</v>
      </c>
      <c r="AW119" s="1685" t="str">
        <f t="shared" si="163"/>
        <v/>
      </c>
      <c r="AX119" s="1685" t="str">
        <f t="shared" si="218"/>
        <v>--</v>
      </c>
      <c r="AY119" s="1686" t="str">
        <f t="shared" si="164"/>
        <v>N</v>
      </c>
      <c r="BA119" s="1756" t="str">
        <f t="shared" si="219"/>
        <v/>
      </c>
      <c r="BB119" s="1685" t="str">
        <f t="shared" si="140"/>
        <v>--</v>
      </c>
      <c r="BC119" s="1685" t="e">
        <f t="shared" si="141"/>
        <v>#N/A</v>
      </c>
      <c r="BE119" s="1684" t="str">
        <f t="shared" si="220"/>
        <v>--</v>
      </c>
      <c r="BF119" s="1685" t="str">
        <f t="shared" si="143"/>
        <v/>
      </c>
      <c r="BG119" s="1686" t="str">
        <f t="shared" si="165"/>
        <v/>
      </c>
      <c r="BH119" s="1684">
        <f t="shared" si="221"/>
        <v>6.0121728580356875</v>
      </c>
      <c r="BI119" s="1685" t="str">
        <f t="shared" si="145"/>
        <v/>
      </c>
      <c r="BJ119" s="1688" t="str">
        <f t="shared" si="166"/>
        <v/>
      </c>
      <c r="BK119" s="1685">
        <f t="shared" si="167"/>
        <v>6.0121728580356875</v>
      </c>
      <c r="BL119" s="1685" t="str">
        <f t="shared" si="168"/>
        <v/>
      </c>
      <c r="BM119" s="1685">
        <f t="shared" si="183"/>
        <v>6</v>
      </c>
      <c r="BN119" s="1686">
        <f t="shared" si="169"/>
        <v>2.0247019377391301E-3</v>
      </c>
      <c r="BP119" s="1756" t="str">
        <f t="shared" si="170"/>
        <v/>
      </c>
      <c r="BQ119" s="1685" t="e">
        <f t="shared" si="146"/>
        <v>#N/A</v>
      </c>
    </row>
    <row r="120" spans="1:69">
      <c r="A120" t="s">
        <v>295</v>
      </c>
      <c r="B120" t="s">
        <v>296</v>
      </c>
      <c r="C120" s="1684" t="str">
        <f t="shared" si="177"/>
        <v>--</v>
      </c>
      <c r="D120" s="1685" t="str">
        <f t="shared" si="222"/>
        <v/>
      </c>
      <c r="E120" s="1686" t="str">
        <f t="shared" si="175"/>
        <v/>
      </c>
      <c r="F120" s="1684">
        <f t="shared" si="178"/>
        <v>1.2642735911142928</v>
      </c>
      <c r="G120" s="1685" t="str">
        <f t="shared" si="223"/>
        <v/>
      </c>
      <c r="H120" s="1688" t="str">
        <f t="shared" si="171"/>
        <v/>
      </c>
      <c r="I120" s="1685">
        <f t="shared" si="121"/>
        <v>1.2642735911142928</v>
      </c>
      <c r="J120" s="1685" t="str">
        <f t="shared" si="122"/>
        <v/>
      </c>
      <c r="K120" s="1685">
        <f t="shared" si="179"/>
        <v>1.3</v>
      </c>
      <c r="L120" s="1686">
        <f t="shared" si="150"/>
        <v>-2.825844748858436E-2</v>
      </c>
      <c r="M120" s="1684" t="str">
        <f t="shared" si="180"/>
        <v>--</v>
      </c>
      <c r="N120" s="1685" t="str">
        <f t="shared" si="224"/>
        <v/>
      </c>
      <c r="O120" s="1686" t="str">
        <f t="shared" si="123"/>
        <v/>
      </c>
      <c r="P120" s="1684">
        <f t="shared" si="181"/>
        <v>16.41325426491667</v>
      </c>
      <c r="Q120" s="1685" t="str">
        <f t="shared" si="225"/>
        <v/>
      </c>
      <c r="R120" s="1688" t="str">
        <f t="shared" si="173"/>
        <v/>
      </c>
      <c r="S120" s="1685">
        <f t="shared" si="153"/>
        <v>16.41325426491667</v>
      </c>
      <c r="T120" s="1685" t="str">
        <f t="shared" si="176"/>
        <v/>
      </c>
      <c r="U120" s="1685">
        <f t="shared" si="182"/>
        <v>16</v>
      </c>
      <c r="V120" s="1686">
        <f t="shared" si="172"/>
        <v>2.5178082191780891E-2</v>
      </c>
      <c r="W120" s="1756" t="str">
        <f t="shared" si="154"/>
        <v/>
      </c>
      <c r="X120" s="1685" t="e">
        <f t="shared" si="208"/>
        <v>#N/A</v>
      </c>
      <c r="Z120" t="str">
        <f t="shared" si="209"/>
        <v>--</v>
      </c>
      <c r="AA120" t="str">
        <f t="shared" si="210"/>
        <v>--</v>
      </c>
      <c r="AB120" t="str">
        <f t="shared" si="211"/>
        <v>--</v>
      </c>
      <c r="AC120" t="str">
        <f t="shared" si="212"/>
        <v>--</v>
      </c>
      <c r="AF120" s="1684" t="str">
        <f t="shared" si="213"/>
        <v>--</v>
      </c>
      <c r="AG120" s="1685" t="str">
        <f t="shared" si="130"/>
        <v/>
      </c>
      <c r="AH120" s="1686" t="str">
        <f t="shared" si="155"/>
        <v/>
      </c>
      <c r="AI120" s="1684" t="str">
        <f t="shared" si="214"/>
        <v>--</v>
      </c>
      <c r="AJ120" s="1685" t="str">
        <f t="shared" si="132"/>
        <v/>
      </c>
      <c r="AK120" s="1688" t="str">
        <f t="shared" si="156"/>
        <v/>
      </c>
      <c r="AL120" s="1685">
        <f t="shared" si="157"/>
        <v>0</v>
      </c>
      <c r="AM120" s="1685" t="str">
        <f t="shared" si="158"/>
        <v/>
      </c>
      <c r="AN120" s="1685" t="str">
        <f t="shared" si="215"/>
        <v>--</v>
      </c>
      <c r="AO120" s="1686" t="str">
        <f t="shared" si="159"/>
        <v>N</v>
      </c>
      <c r="AP120" s="1684" t="str">
        <f t="shared" si="216"/>
        <v>--</v>
      </c>
      <c r="AQ120" s="1685" t="str">
        <f t="shared" si="135"/>
        <v/>
      </c>
      <c r="AR120" s="1686" t="str">
        <f t="shared" si="160"/>
        <v/>
      </c>
      <c r="AS120" s="1684" t="str">
        <f t="shared" si="217"/>
        <v>--</v>
      </c>
      <c r="AT120" s="1685" t="str">
        <f t="shared" si="137"/>
        <v/>
      </c>
      <c r="AU120" s="1688" t="str">
        <f t="shared" si="161"/>
        <v/>
      </c>
      <c r="AV120" s="1685">
        <f t="shared" si="162"/>
        <v>0</v>
      </c>
      <c r="AW120" s="1685" t="str">
        <f t="shared" si="163"/>
        <v/>
      </c>
      <c r="AX120" s="1685" t="str">
        <f t="shared" si="218"/>
        <v>--</v>
      </c>
      <c r="AY120" s="1686" t="str">
        <f t="shared" si="164"/>
        <v>N</v>
      </c>
      <c r="BA120" s="1756" t="str">
        <f t="shared" si="219"/>
        <v/>
      </c>
      <c r="BB120" s="1685" t="str">
        <f t="shared" si="140"/>
        <v>--</v>
      </c>
      <c r="BC120" s="1685" t="e">
        <f t="shared" si="141"/>
        <v>#N/A</v>
      </c>
      <c r="BE120" s="1684" t="str">
        <f t="shared" si="220"/>
        <v>--</v>
      </c>
      <c r="BF120" s="1685" t="str">
        <f t="shared" si="143"/>
        <v/>
      </c>
      <c r="BG120" s="1686" t="str">
        <f t="shared" si="165"/>
        <v/>
      </c>
      <c r="BH120" s="1684">
        <f t="shared" si="221"/>
        <v>0.39389182949577922</v>
      </c>
      <c r="BI120" s="1685" t="str">
        <f t="shared" si="145"/>
        <v/>
      </c>
      <c r="BJ120" s="1688" t="str">
        <f t="shared" si="166"/>
        <v/>
      </c>
      <c r="BK120" s="1685">
        <f t="shared" si="167"/>
        <v>0.39389182949577922</v>
      </c>
      <c r="BL120" s="1685" t="str">
        <f t="shared" si="168"/>
        <v/>
      </c>
      <c r="BM120" s="1685">
        <f t="shared" si="183"/>
        <v>0.39</v>
      </c>
      <c r="BN120" s="1686">
        <f t="shared" si="169"/>
        <v>9.8804524601618128E-3</v>
      </c>
      <c r="BP120" s="1756" t="str">
        <f t="shared" si="170"/>
        <v/>
      </c>
      <c r="BQ120" s="1685" t="e">
        <f t="shared" si="146"/>
        <v>#N/A</v>
      </c>
    </row>
    <row r="121" spans="1:69">
      <c r="A121" t="s">
        <v>297</v>
      </c>
      <c r="B121" t="s">
        <v>298</v>
      </c>
      <c r="C121" s="1684">
        <f t="shared" si="177"/>
        <v>1.3736444669412703E-2</v>
      </c>
      <c r="D121" s="1685" t="str">
        <f t="shared" si="222"/>
        <v/>
      </c>
      <c r="E121" s="1686" t="str">
        <f t="shared" si="175"/>
        <v/>
      </c>
      <c r="F121" s="1684">
        <f t="shared" si="178"/>
        <v>6.3213679555714636E-3</v>
      </c>
      <c r="G121" s="1685" t="str">
        <f t="shared" si="223"/>
        <v/>
      </c>
      <c r="H121" s="1688" t="str">
        <f t="shared" si="171"/>
        <v/>
      </c>
      <c r="I121" s="1685">
        <f t="shared" si="121"/>
        <v>6.3213679555714636E-3</v>
      </c>
      <c r="J121" s="1685" t="str">
        <f t="shared" si="122"/>
        <v/>
      </c>
      <c r="K121" s="1685">
        <f t="shared" si="179"/>
        <v>6.3E-3</v>
      </c>
      <c r="L121" s="1686">
        <f t="shared" si="150"/>
        <v>3.3802739726027913E-3</v>
      </c>
      <c r="M121" s="1684">
        <f t="shared" si="180"/>
        <v>5.8173559419957811E-2</v>
      </c>
      <c r="N121" s="1685" t="str">
        <f t="shared" si="224"/>
        <v/>
      </c>
      <c r="O121" s="1686" t="str">
        <f t="shared" si="123"/>
        <v/>
      </c>
      <c r="P121" s="1684">
        <f t="shared" si="181"/>
        <v>8.2066271324583343E-2</v>
      </c>
      <c r="Q121" s="1685" t="str">
        <f t="shared" si="225"/>
        <v/>
      </c>
      <c r="R121" s="1688" t="str">
        <f t="shared" si="173"/>
        <v/>
      </c>
      <c r="S121" s="1685">
        <f t="shared" si="153"/>
        <v>5.8173559419957811E-2</v>
      </c>
      <c r="T121" s="1685" t="str">
        <f t="shared" si="176"/>
        <v/>
      </c>
      <c r="U121" s="1685">
        <f t="shared" si="182"/>
        <v>5.8000000000000003E-2</v>
      </c>
      <c r="V121" s="1686">
        <f t="shared" si="172"/>
        <v>2.9834760273971593E-3</v>
      </c>
      <c r="W121" s="1756" t="str">
        <f t="shared" si="154"/>
        <v/>
      </c>
      <c r="X121" s="1685" t="e">
        <f t="shared" si="208"/>
        <v>#N/A</v>
      </c>
      <c r="Z121" t="str">
        <f t="shared" si="209"/>
        <v>--</v>
      </c>
      <c r="AA121" t="str">
        <f t="shared" si="210"/>
        <v>--</v>
      </c>
      <c r="AB121" t="str">
        <f t="shared" si="211"/>
        <v>--</v>
      </c>
      <c r="AC121" t="str">
        <f t="shared" si="212"/>
        <v>--</v>
      </c>
      <c r="AF121" s="1684" t="str">
        <f t="shared" si="213"/>
        <v>--</v>
      </c>
      <c r="AG121" s="1685" t="str">
        <f t="shared" si="130"/>
        <v/>
      </c>
      <c r="AH121" s="1686" t="str">
        <f t="shared" si="155"/>
        <v/>
      </c>
      <c r="AI121" s="1684" t="str">
        <f t="shared" si="214"/>
        <v>--</v>
      </c>
      <c r="AJ121" s="1685" t="str">
        <f t="shared" si="132"/>
        <v/>
      </c>
      <c r="AK121" s="1688" t="str">
        <f t="shared" si="156"/>
        <v/>
      </c>
      <c r="AL121" s="1685">
        <f t="shared" si="157"/>
        <v>0</v>
      </c>
      <c r="AM121" s="1685" t="str">
        <f t="shared" si="158"/>
        <v/>
      </c>
      <c r="AN121" s="1685" t="str">
        <f t="shared" si="215"/>
        <v>--</v>
      </c>
      <c r="AO121" s="1686" t="str">
        <f t="shared" si="159"/>
        <v>N</v>
      </c>
      <c r="AP121" s="1684" t="str">
        <f t="shared" si="216"/>
        <v>--</v>
      </c>
      <c r="AQ121" s="1685" t="str">
        <f t="shared" si="135"/>
        <v/>
      </c>
      <c r="AR121" s="1686" t="str">
        <f t="shared" si="160"/>
        <v/>
      </c>
      <c r="AS121" s="1684" t="str">
        <f t="shared" si="217"/>
        <v>--</v>
      </c>
      <c r="AT121" s="1685" t="str">
        <f t="shared" si="137"/>
        <v/>
      </c>
      <c r="AU121" s="1688" t="str">
        <f t="shared" si="161"/>
        <v/>
      </c>
      <c r="AV121" s="1685">
        <f t="shared" si="162"/>
        <v>0</v>
      </c>
      <c r="AW121" s="1685" t="str">
        <f t="shared" si="163"/>
        <v/>
      </c>
      <c r="AX121" s="1685" t="str">
        <f t="shared" si="218"/>
        <v>--</v>
      </c>
      <c r="AY121" s="1686" t="str">
        <f t="shared" si="164"/>
        <v>N</v>
      </c>
      <c r="BA121" s="1756" t="str">
        <f t="shared" si="219"/>
        <v/>
      </c>
      <c r="BB121" s="1685" t="str">
        <f t="shared" si="140"/>
        <v>--</v>
      </c>
      <c r="BC121" s="1685" t="e">
        <f t="shared" si="141"/>
        <v>#N/A</v>
      </c>
      <c r="BE121" s="1684">
        <f t="shared" si="220"/>
        <v>1.9723599421801333E-3</v>
      </c>
      <c r="BF121" s="1685" t="str">
        <f t="shared" si="143"/>
        <v/>
      </c>
      <c r="BG121" s="1686" t="str">
        <f t="shared" si="165"/>
        <v/>
      </c>
      <c r="BH121" s="1684">
        <f t="shared" si="221"/>
        <v>2.0054945054945057E-3</v>
      </c>
      <c r="BI121" s="1685" t="str">
        <f t="shared" si="145"/>
        <v/>
      </c>
      <c r="BJ121" s="1688" t="str">
        <f t="shared" si="166"/>
        <v/>
      </c>
      <c r="BK121" s="1685">
        <f t="shared" si="167"/>
        <v>1.9723599421801333E-3</v>
      </c>
      <c r="BL121" s="1685" t="str">
        <f t="shared" si="168"/>
        <v/>
      </c>
      <c r="BM121" s="1685">
        <f t="shared" si="183"/>
        <v>2E-3</v>
      </c>
      <c r="BN121" s="1686">
        <f t="shared" si="169"/>
        <v>-1.4013698630136953E-2</v>
      </c>
      <c r="BP121" s="1756" t="str">
        <f t="shared" si="170"/>
        <v/>
      </c>
      <c r="BQ121" s="1685" t="e">
        <f t="shared" si="146"/>
        <v>#N/A</v>
      </c>
    </row>
    <row r="122" spans="1:69">
      <c r="A122" t="s">
        <v>299</v>
      </c>
      <c r="B122" t="s">
        <v>300</v>
      </c>
      <c r="C122" s="1684" t="str">
        <f t="shared" si="177"/>
        <v>--</v>
      </c>
      <c r="D122" s="1685" t="str">
        <f t="shared" si="222"/>
        <v/>
      </c>
      <c r="E122" s="1686" t="str">
        <f t="shared" si="175"/>
        <v/>
      </c>
      <c r="F122" s="1684">
        <f t="shared" si="178"/>
        <v>0.23464285714285715</v>
      </c>
      <c r="G122" s="1685" t="str">
        <f t="shared" si="223"/>
        <v/>
      </c>
      <c r="H122" s="1688" t="str">
        <f t="shared" si="171"/>
        <v/>
      </c>
      <c r="I122" s="1685">
        <f t="shared" si="121"/>
        <v>0.23464285714285715</v>
      </c>
      <c r="J122" s="1685" t="str">
        <f t="shared" si="122"/>
        <v/>
      </c>
      <c r="K122" s="1685">
        <f t="shared" si="179"/>
        <v>0.23</v>
      </c>
      <c r="L122" s="1686">
        <f t="shared" si="150"/>
        <v>1.9786910197869101E-2</v>
      </c>
      <c r="M122" s="1684" t="str">
        <f t="shared" si="180"/>
        <v>--</v>
      </c>
      <c r="N122" s="1685" t="str">
        <f t="shared" si="224"/>
        <v/>
      </c>
      <c r="O122" s="1686" t="str">
        <f t="shared" si="123"/>
        <v/>
      </c>
      <c r="P122" s="1684">
        <f t="shared" si="181"/>
        <v>3.5040000000000004</v>
      </c>
      <c r="Q122" s="1685" t="str">
        <f t="shared" si="225"/>
        <v/>
      </c>
      <c r="R122" s="1688" t="str">
        <f t="shared" si="173"/>
        <v/>
      </c>
      <c r="S122" s="1685">
        <f t="shared" si="153"/>
        <v>3.5040000000000004</v>
      </c>
      <c r="T122" s="1685" t="str">
        <f t="shared" si="176"/>
        <v/>
      </c>
      <c r="U122" s="1685">
        <f t="shared" si="182"/>
        <v>3.5</v>
      </c>
      <c r="V122" s="1686">
        <f t="shared" si="172"/>
        <v>1.1415525114156528E-3</v>
      </c>
      <c r="W122" s="1756" t="str">
        <f t="shared" si="154"/>
        <v/>
      </c>
      <c r="X122" s="1685" t="e">
        <f t="shared" si="208"/>
        <v>#N/A</v>
      </c>
      <c r="Z122" t="str">
        <f t="shared" si="209"/>
        <v>--</v>
      </c>
      <c r="AA122" t="str">
        <f t="shared" si="210"/>
        <v>--</v>
      </c>
      <c r="AB122" t="str">
        <f t="shared" si="211"/>
        <v>--</v>
      </c>
      <c r="AC122" t="str">
        <f t="shared" si="212"/>
        <v>--</v>
      </c>
      <c r="AF122" s="1684" t="str">
        <f t="shared" si="213"/>
        <v>--</v>
      </c>
      <c r="AG122" s="1685" t="str">
        <f t="shared" si="130"/>
        <v/>
      </c>
      <c r="AH122" s="1686" t="str">
        <f t="shared" si="155"/>
        <v/>
      </c>
      <c r="AI122" s="1684" t="str">
        <f t="shared" si="214"/>
        <v>--</v>
      </c>
      <c r="AJ122" s="1685" t="str">
        <f t="shared" si="132"/>
        <v/>
      </c>
      <c r="AK122" s="1688" t="str">
        <f t="shared" si="156"/>
        <v/>
      </c>
      <c r="AL122" s="1685">
        <f t="shared" si="157"/>
        <v>0</v>
      </c>
      <c r="AM122" s="1685" t="str">
        <f t="shared" si="158"/>
        <v/>
      </c>
      <c r="AN122" s="1685" t="str">
        <f t="shared" si="215"/>
        <v>--</v>
      </c>
      <c r="AO122" s="1686" t="str">
        <f t="shared" si="159"/>
        <v>N</v>
      </c>
      <c r="AP122" s="1684" t="str">
        <f t="shared" si="216"/>
        <v>--</v>
      </c>
      <c r="AQ122" s="1685" t="str">
        <f t="shared" si="135"/>
        <v/>
      </c>
      <c r="AR122" s="1686" t="str">
        <f t="shared" si="160"/>
        <v/>
      </c>
      <c r="AS122" s="1684" t="str">
        <f t="shared" si="217"/>
        <v>--</v>
      </c>
      <c r="AT122" s="1685" t="str">
        <f t="shared" si="137"/>
        <v/>
      </c>
      <c r="AU122" s="1688" t="str">
        <f t="shared" si="161"/>
        <v/>
      </c>
      <c r="AV122" s="1685">
        <f t="shared" si="162"/>
        <v>0</v>
      </c>
      <c r="AW122" s="1685" t="str">
        <f t="shared" si="163"/>
        <v/>
      </c>
      <c r="AX122" s="1685" t="str">
        <f t="shared" si="218"/>
        <v>--</v>
      </c>
      <c r="AY122" s="1686" t="str">
        <f t="shared" si="164"/>
        <v>N</v>
      </c>
      <c r="BA122" s="1756" t="str">
        <f t="shared" si="219"/>
        <v/>
      </c>
      <c r="BB122" s="1685" t="str">
        <f t="shared" si="140"/>
        <v>V</v>
      </c>
      <c r="BC122" s="1685" t="e">
        <f t="shared" si="141"/>
        <v>#N/A</v>
      </c>
      <c r="BE122" s="1684" t="str">
        <f t="shared" si="220"/>
        <v>--</v>
      </c>
      <c r="BF122" s="1685" t="str">
        <f t="shared" si="143"/>
        <v/>
      </c>
      <c r="BG122" s="1686" t="str">
        <f t="shared" si="165"/>
        <v/>
      </c>
      <c r="BH122" s="1684">
        <f t="shared" si="221"/>
        <v>1.4565820195734285E-2</v>
      </c>
      <c r="BI122" s="1685" t="str">
        <f t="shared" si="145"/>
        <v/>
      </c>
      <c r="BJ122" s="1688" t="str">
        <f t="shared" si="166"/>
        <v/>
      </c>
      <c r="BK122" s="1685">
        <f t="shared" si="167"/>
        <v>1.4565820195734285E-2</v>
      </c>
      <c r="BL122" s="1685" t="str">
        <f t="shared" si="168"/>
        <v/>
      </c>
      <c r="BM122" s="1685">
        <f t="shared" si="183"/>
        <v>1.4999999999999999E-2</v>
      </c>
      <c r="BN122" s="1686">
        <f t="shared" si="169"/>
        <v>-2.980812603967661E-2</v>
      </c>
      <c r="BP122" s="1756" t="str">
        <f t="shared" si="170"/>
        <v/>
      </c>
      <c r="BQ122" s="1685" t="e">
        <f t="shared" si="146"/>
        <v>#N/A</v>
      </c>
    </row>
    <row r="123" spans="1:69">
      <c r="A123" t="s">
        <v>301</v>
      </c>
      <c r="B123" t="s">
        <v>302</v>
      </c>
      <c r="C123" s="1684" t="str">
        <f t="shared" si="177"/>
        <v>--</v>
      </c>
      <c r="D123" s="1685" t="str">
        <f t="shared" si="222"/>
        <v>--</v>
      </c>
      <c r="E123" s="1686" t="str">
        <f t="shared" si="175"/>
        <v/>
      </c>
      <c r="F123" s="1684">
        <f t="shared" si="178"/>
        <v>18962.836092564077</v>
      </c>
      <c r="G123" s="1685">
        <f t="shared" si="223"/>
        <v>19000</v>
      </c>
      <c r="H123" s="1688">
        <f t="shared" si="171"/>
        <v>-1.9598285432892537E-3</v>
      </c>
      <c r="I123" s="1685">
        <f t="shared" si="121"/>
        <v>18962.836092564077</v>
      </c>
      <c r="J123" s="1685">
        <f t="shared" si="122"/>
        <v>19000</v>
      </c>
      <c r="K123" s="1685">
        <f t="shared" si="179"/>
        <v>19000</v>
      </c>
      <c r="L123" s="1686">
        <f t="shared" si="150"/>
        <v>-1.9598285432892537E-3</v>
      </c>
      <c r="M123" s="1684" t="str">
        <f t="shared" si="180"/>
        <v>--</v>
      </c>
      <c r="N123" s="1685" t="str">
        <f t="shared" si="224"/>
        <v>--</v>
      </c>
      <c r="O123" s="1686" t="str">
        <f t="shared" si="123"/>
        <v/>
      </c>
      <c r="P123" s="1684">
        <f t="shared" si="181"/>
        <v>246147.94661835828</v>
      </c>
      <c r="Q123" s="1685">
        <f t="shared" si="225"/>
        <v>200000</v>
      </c>
      <c r="R123" s="1690">
        <f t="shared" si="173"/>
        <v>0.18748052645715821</v>
      </c>
      <c r="S123" s="1685">
        <f t="shared" si="153"/>
        <v>246147.94661835828</v>
      </c>
      <c r="T123" s="1685">
        <f t="shared" si="176"/>
        <v>200000</v>
      </c>
      <c r="U123" s="1685">
        <f t="shared" si="182"/>
        <v>250000</v>
      </c>
      <c r="V123" s="1686">
        <f t="shared" si="172"/>
        <v>-1.564934192855225E-2</v>
      </c>
      <c r="W123" s="1756" t="str">
        <f t="shared" si="154"/>
        <v/>
      </c>
      <c r="X123" s="1685" t="str">
        <f t="shared" si="208"/>
        <v>--</v>
      </c>
      <c r="Z123" t="str">
        <f t="shared" si="209"/>
        <v>--</v>
      </c>
      <c r="AA123" t="str">
        <f t="shared" si="210"/>
        <v>--</v>
      </c>
      <c r="AB123" t="str">
        <f t="shared" si="211"/>
        <v>--</v>
      </c>
      <c r="AC123" t="str">
        <f t="shared" si="212"/>
        <v>--</v>
      </c>
      <c r="AF123" s="1684" t="str">
        <f t="shared" si="213"/>
        <v>--</v>
      </c>
      <c r="AG123" s="1685" t="str">
        <f t="shared" si="130"/>
        <v/>
      </c>
      <c r="AH123" s="1686" t="str">
        <f t="shared" si="155"/>
        <v/>
      </c>
      <c r="AI123" s="1684" t="str">
        <f t="shared" si="214"/>
        <v>--</v>
      </c>
      <c r="AJ123" s="1685" t="str">
        <f t="shared" si="132"/>
        <v/>
      </c>
      <c r="AK123" s="1688" t="str">
        <f t="shared" si="156"/>
        <v/>
      </c>
      <c r="AL123" s="1685">
        <f t="shared" si="157"/>
        <v>0</v>
      </c>
      <c r="AM123" s="1685" t="str">
        <f t="shared" si="158"/>
        <v/>
      </c>
      <c r="AN123" s="1685">
        <f t="shared" si="215"/>
        <v>210</v>
      </c>
      <c r="AO123" s="1686" t="e">
        <f t="shared" si="159"/>
        <v>#DIV/0!</v>
      </c>
      <c r="AP123" s="1684" t="str">
        <f t="shared" si="216"/>
        <v>--</v>
      </c>
      <c r="AQ123" s="1685" t="str">
        <f t="shared" si="135"/>
        <v/>
      </c>
      <c r="AR123" s="1686" t="str">
        <f t="shared" si="160"/>
        <v/>
      </c>
      <c r="AS123" s="1684" t="str">
        <f t="shared" si="217"/>
        <v>--</v>
      </c>
      <c r="AT123" s="1685" t="str">
        <f t="shared" si="137"/>
        <v/>
      </c>
      <c r="AU123" s="1688" t="str">
        <f t="shared" si="161"/>
        <v/>
      </c>
      <c r="AV123" s="1685">
        <f t="shared" si="162"/>
        <v>0</v>
      </c>
      <c r="AW123" s="1685" t="str">
        <f t="shared" si="163"/>
        <v/>
      </c>
      <c r="AX123" s="1685">
        <f t="shared" si="218"/>
        <v>880</v>
      </c>
      <c r="AY123" s="1686" t="e">
        <f t="shared" si="164"/>
        <v>#DIV/0!</v>
      </c>
      <c r="BA123" s="1756" t="str">
        <f t="shared" si="219"/>
        <v/>
      </c>
      <c r="BB123" s="1685" t="str">
        <f t="shared" si="140"/>
        <v>--</v>
      </c>
      <c r="BC123" s="1685" t="str">
        <f t="shared" si="141"/>
        <v>--</v>
      </c>
      <c r="BE123" s="1684" t="str">
        <f t="shared" si="220"/>
        <v>--</v>
      </c>
      <c r="BF123" s="1685" t="str">
        <f t="shared" si="143"/>
        <v/>
      </c>
      <c r="BG123" s="1686" t="str">
        <f t="shared" si="165"/>
        <v/>
      </c>
      <c r="BH123" s="1684">
        <f t="shared" si="221"/>
        <v>5769.5900321606787</v>
      </c>
      <c r="BI123" s="1685" t="str">
        <f t="shared" si="145"/>
        <v/>
      </c>
      <c r="BJ123" s="1688" t="str">
        <f t="shared" si="166"/>
        <v/>
      </c>
      <c r="BK123" s="1685">
        <f t="shared" si="167"/>
        <v>5769.5900321606787</v>
      </c>
      <c r="BL123" s="1685" t="str">
        <f t="shared" si="168"/>
        <v/>
      </c>
      <c r="BM123" s="1685">
        <f t="shared" si="183"/>
        <v>5800</v>
      </c>
      <c r="BN123" s="1686">
        <f t="shared" si="169"/>
        <v>-5.2707328718004185E-3</v>
      </c>
      <c r="BP123" s="1756" t="str">
        <f t="shared" si="170"/>
        <v/>
      </c>
      <c r="BQ123" s="1685" t="str">
        <f t="shared" si="146"/>
        <v>--</v>
      </c>
    </row>
    <row r="124" spans="1:69">
      <c r="A124" t="s">
        <v>303</v>
      </c>
      <c r="B124" t="s">
        <v>304</v>
      </c>
      <c r="C124" s="1684">
        <f t="shared" ref="C124:C145" si="226">VLOOKUP($A124,Table_S_Summary,MATCH("S-Res-C",heading_S_Summary,0),FALSE)</f>
        <v>0.22770871299594589</v>
      </c>
      <c r="D124" s="1685">
        <f t="shared" si="222"/>
        <v>0.23</v>
      </c>
      <c r="E124" s="1686">
        <f t="shared" si="175"/>
        <v>-1.0062359818857327E-2</v>
      </c>
      <c r="F124" s="1684" t="str">
        <f t="shared" ref="F124:F145" si="227">VLOOKUP($A124,Table_S_Summary,MATCH("S-Res-nC",heading_S_Summary,0),FALSE)</f>
        <v>--</v>
      </c>
      <c r="G124" s="1685" t="str">
        <f t="shared" si="223"/>
        <v>--</v>
      </c>
      <c r="H124" s="1688" t="str">
        <f t="shared" si="171"/>
        <v/>
      </c>
      <c r="I124" s="1685">
        <f t="shared" si="121"/>
        <v>0.22770871299594589</v>
      </c>
      <c r="J124" s="1685">
        <f t="shared" si="122"/>
        <v>0.23</v>
      </c>
      <c r="K124" s="1685">
        <f t="shared" ref="K124:K145" si="228">VLOOKUP($B124,Table_RSL_SL,MATCH("Res-s",Heading_RSL_SL,0),FALSE)</f>
        <v>0.23</v>
      </c>
      <c r="L124" s="1686">
        <f t="shared" si="150"/>
        <v>-1.0062359818857327E-2</v>
      </c>
      <c r="M124" s="1684">
        <f t="shared" ref="M124:M145" si="229">VLOOKUP($A124,Table_S_Summary,MATCH("S-Com-C",heading_S_Summary,0),FALSE)</f>
        <v>0.94068693558064298</v>
      </c>
      <c r="N124" s="1685">
        <f t="shared" si="224"/>
        <v>0.76</v>
      </c>
      <c r="O124" s="1689">
        <f t="shared" si="123"/>
        <v>0.19207977568978696</v>
      </c>
      <c r="P124" s="1684" t="str">
        <f t="shared" ref="P124:P145" si="230">VLOOKUP($A124,Table_S_Summary,MATCH("S-Com-nC",heading_S_Summary,0),FALSE)</f>
        <v>--</v>
      </c>
      <c r="Q124" s="1685" t="str">
        <f t="shared" si="225"/>
        <v>--</v>
      </c>
      <c r="R124" s="1688" t="str">
        <f t="shared" si="173"/>
        <v/>
      </c>
      <c r="S124" s="1685">
        <f t="shared" si="153"/>
        <v>0.94068693558064298</v>
      </c>
      <c r="T124" s="1685">
        <f t="shared" si="176"/>
        <v>0.76</v>
      </c>
      <c r="U124" s="1685">
        <f t="shared" ref="U124:U145" si="231">VLOOKUP($B124,Table_RSL_SL,MATCH("Com-s",Heading_RSL_SL,0),FALSE)</f>
        <v>0.94</v>
      </c>
      <c r="V124" s="1686">
        <f t="shared" si="172"/>
        <v>7.3024887947340249E-4</v>
      </c>
      <c r="W124" s="1756" t="str">
        <f t="shared" si="154"/>
        <v/>
      </c>
      <c r="X124" s="1685" t="str">
        <f t="shared" si="208"/>
        <v>--</v>
      </c>
      <c r="Z124" t="str">
        <f t="shared" si="209"/>
        <v>--</v>
      </c>
      <c r="AA124" t="str">
        <f t="shared" si="210"/>
        <v>--</v>
      </c>
      <c r="AB124" t="str">
        <f t="shared" si="211"/>
        <v>--</v>
      </c>
      <c r="AC124" t="str">
        <f t="shared" si="212"/>
        <v>--</v>
      </c>
      <c r="AF124" s="1684">
        <f t="shared" si="213"/>
        <v>4.9257759784075575E-3</v>
      </c>
      <c r="AG124" s="1685" t="str">
        <f t="shared" si="130"/>
        <v/>
      </c>
      <c r="AH124" s="1686" t="str">
        <f t="shared" si="155"/>
        <v/>
      </c>
      <c r="AI124" s="1684" t="str">
        <f t="shared" si="214"/>
        <v>--</v>
      </c>
      <c r="AJ124" s="1685" t="str">
        <f t="shared" si="132"/>
        <v/>
      </c>
      <c r="AK124" s="1688" t="str">
        <f t="shared" si="156"/>
        <v/>
      </c>
      <c r="AL124" s="1685">
        <f t="shared" si="157"/>
        <v>4.9257759784075575E-3</v>
      </c>
      <c r="AM124" s="1685" t="str">
        <f t="shared" si="158"/>
        <v/>
      </c>
      <c r="AN124" s="1685">
        <f t="shared" si="215"/>
        <v>4.8999999999999998E-3</v>
      </c>
      <c r="AO124" s="1686">
        <f t="shared" si="159"/>
        <v>5.2328767123288331E-3</v>
      </c>
      <c r="AP124" s="1684">
        <f t="shared" si="216"/>
        <v>2.1515789473684207E-2</v>
      </c>
      <c r="AQ124" s="1685" t="str">
        <f t="shared" si="135"/>
        <v/>
      </c>
      <c r="AR124" s="1686" t="str">
        <f t="shared" si="160"/>
        <v/>
      </c>
      <c r="AS124" s="1684" t="str">
        <f t="shared" si="217"/>
        <v>--</v>
      </c>
      <c r="AT124" s="1685" t="str">
        <f t="shared" si="137"/>
        <v/>
      </c>
      <c r="AU124" s="1688" t="str">
        <f t="shared" si="161"/>
        <v/>
      </c>
      <c r="AV124" s="1685">
        <f t="shared" si="162"/>
        <v>2.1515789473684207E-2</v>
      </c>
      <c r="AW124" s="1685" t="str">
        <f t="shared" si="163"/>
        <v/>
      </c>
      <c r="AX124" s="1685">
        <f t="shared" si="218"/>
        <v>2.1000000000000001E-2</v>
      </c>
      <c r="AY124" s="1686">
        <f t="shared" si="164"/>
        <v>2.3972602739725801E-2</v>
      </c>
      <c r="BA124" s="1756" t="str">
        <f t="shared" si="219"/>
        <v/>
      </c>
      <c r="BB124" s="1685" t="str">
        <f t="shared" si="140"/>
        <v>V</v>
      </c>
      <c r="BC124" s="1685" t="str">
        <f t="shared" si="141"/>
        <v>--</v>
      </c>
      <c r="BE124" s="1684">
        <f t="shared" si="220"/>
        <v>7.8629900904782432E-3</v>
      </c>
      <c r="BF124" s="1685" t="str">
        <f t="shared" si="143"/>
        <v/>
      </c>
      <c r="BG124" s="1686" t="str">
        <f t="shared" si="165"/>
        <v/>
      </c>
      <c r="BH124" s="1684" t="str">
        <f t="shared" si="221"/>
        <v>--</v>
      </c>
      <c r="BI124" s="1685" t="str">
        <f t="shared" si="145"/>
        <v/>
      </c>
      <c r="BJ124" s="1688" t="str">
        <f t="shared" si="166"/>
        <v/>
      </c>
      <c r="BK124" s="1685">
        <f t="shared" si="167"/>
        <v>7.8629900904782432E-3</v>
      </c>
      <c r="BL124" s="1685" t="str">
        <f t="shared" si="168"/>
        <v/>
      </c>
      <c r="BM124" s="1691" t="str">
        <f t="shared" si="183"/>
        <v>--</v>
      </c>
      <c r="BN124" s="1686" t="str">
        <f t="shared" si="169"/>
        <v>N</v>
      </c>
      <c r="BO124" s="55" t="s">
        <v>4200</v>
      </c>
      <c r="BP124" s="1756" t="str">
        <f t="shared" si="170"/>
        <v/>
      </c>
      <c r="BQ124" s="1685" t="str">
        <f t="shared" si="146"/>
        <v>--</v>
      </c>
    </row>
    <row r="125" spans="1:69">
      <c r="A125" t="s">
        <v>305</v>
      </c>
      <c r="B125" t="s">
        <v>306</v>
      </c>
      <c r="C125" s="1684" t="str">
        <f t="shared" si="226"/>
        <v>--</v>
      </c>
      <c r="D125" s="1685" t="str">
        <f t="shared" si="222"/>
        <v/>
      </c>
      <c r="E125" s="1686" t="str">
        <f t="shared" si="175"/>
        <v/>
      </c>
      <c r="F125" s="1684">
        <f t="shared" si="227"/>
        <v>391.06603703599149</v>
      </c>
      <c r="G125" s="1685" t="str">
        <f t="shared" si="223"/>
        <v/>
      </c>
      <c r="H125" s="1688" t="str">
        <f t="shared" si="171"/>
        <v/>
      </c>
      <c r="I125" s="1685">
        <f t="shared" si="121"/>
        <v>391.06603703599149</v>
      </c>
      <c r="J125" s="1685" t="str">
        <f t="shared" si="122"/>
        <v/>
      </c>
      <c r="K125" s="1685">
        <f t="shared" si="228"/>
        <v>390</v>
      </c>
      <c r="L125" s="1686">
        <f t="shared" si="150"/>
        <v>2.7259770346494527E-3</v>
      </c>
      <c r="M125" s="1684" t="str">
        <f t="shared" si="229"/>
        <v>--</v>
      </c>
      <c r="N125" s="1685" t="str">
        <f t="shared" si="224"/>
        <v/>
      </c>
      <c r="O125" s="1686" t="str">
        <f t="shared" si="123"/>
        <v/>
      </c>
      <c r="P125" s="1684">
        <f t="shared" si="230"/>
        <v>5839.7137395225727</v>
      </c>
      <c r="Q125" s="1685" t="str">
        <f t="shared" si="225"/>
        <v/>
      </c>
      <c r="R125" s="1688" t="str">
        <f t="shared" si="173"/>
        <v/>
      </c>
      <c r="S125" s="1685">
        <f t="shared" si="153"/>
        <v>5839.7137395225727</v>
      </c>
      <c r="T125" s="1685" t="str">
        <f t="shared" si="176"/>
        <v/>
      </c>
      <c r="U125" s="1685">
        <f t="shared" si="231"/>
        <v>5800</v>
      </c>
      <c r="V125" s="1686">
        <f t="shared" si="172"/>
        <v>6.8006312113887161E-3</v>
      </c>
      <c r="W125" s="1756" t="str">
        <f t="shared" si="154"/>
        <v/>
      </c>
      <c r="X125" s="1685" t="str">
        <f t="shared" si="208"/>
        <v>--</v>
      </c>
      <c r="Z125" t="str">
        <f t="shared" si="209"/>
        <v>--</v>
      </c>
      <c r="AA125" t="str">
        <f t="shared" si="210"/>
        <v>--</v>
      </c>
      <c r="AB125" t="str">
        <f t="shared" si="211"/>
        <v>--</v>
      </c>
      <c r="AC125" t="str">
        <f t="shared" si="212"/>
        <v>--</v>
      </c>
      <c r="AF125" s="1684" t="str">
        <f t="shared" si="213"/>
        <v>--</v>
      </c>
      <c r="AG125" s="1685" t="str">
        <f t="shared" si="130"/>
        <v/>
      </c>
      <c r="AH125" s="1686" t="str">
        <f t="shared" si="155"/>
        <v/>
      </c>
      <c r="AI125" s="1684" t="str">
        <f t="shared" si="214"/>
        <v>--</v>
      </c>
      <c r="AJ125" s="1685" t="str">
        <f t="shared" si="132"/>
        <v/>
      </c>
      <c r="AK125" s="1688" t="str">
        <f t="shared" si="156"/>
        <v/>
      </c>
      <c r="AL125" s="1685">
        <f t="shared" si="157"/>
        <v>0</v>
      </c>
      <c r="AM125" s="1685" t="str">
        <f t="shared" si="158"/>
        <v/>
      </c>
      <c r="AN125" s="1685">
        <f t="shared" si="215"/>
        <v>21</v>
      </c>
      <c r="AO125" s="1686" t="e">
        <f t="shared" si="159"/>
        <v>#DIV/0!</v>
      </c>
      <c r="AP125" s="1684" t="str">
        <f t="shared" si="216"/>
        <v>--</v>
      </c>
      <c r="AQ125" s="1685" t="str">
        <f t="shared" si="135"/>
        <v/>
      </c>
      <c r="AR125" s="1686" t="str">
        <f t="shared" si="160"/>
        <v/>
      </c>
      <c r="AS125" s="1684" t="str">
        <f t="shared" si="217"/>
        <v>--</v>
      </c>
      <c r="AT125" s="1685" t="str">
        <f t="shared" si="137"/>
        <v/>
      </c>
      <c r="AU125" s="1688" t="str">
        <f t="shared" si="161"/>
        <v/>
      </c>
      <c r="AV125" s="1685">
        <f t="shared" si="162"/>
        <v>0</v>
      </c>
      <c r="AW125" s="1685" t="str">
        <f t="shared" si="163"/>
        <v/>
      </c>
      <c r="AX125" s="1685">
        <f t="shared" si="218"/>
        <v>88</v>
      </c>
      <c r="AY125" s="1686" t="e">
        <f t="shared" si="164"/>
        <v>#DIV/0!</v>
      </c>
      <c r="BA125" s="1756" t="str">
        <f t="shared" si="219"/>
        <v/>
      </c>
      <c r="BB125" s="1685" t="str">
        <f t="shared" si="140"/>
        <v>--</v>
      </c>
      <c r="BC125" s="1685" t="str">
        <f t="shared" si="141"/>
        <v>--</v>
      </c>
      <c r="BE125" s="1684" t="str">
        <f t="shared" si="220"/>
        <v>--</v>
      </c>
      <c r="BF125" s="1685" t="str">
        <f t="shared" si="143"/>
        <v/>
      </c>
      <c r="BG125" s="1686" t="str">
        <f t="shared" si="165"/>
        <v/>
      </c>
      <c r="BH125" s="1684">
        <f t="shared" si="221"/>
        <v>99.83479939140706</v>
      </c>
      <c r="BI125" s="1685" t="str">
        <f t="shared" si="145"/>
        <v/>
      </c>
      <c r="BJ125" s="1688" t="str">
        <f t="shared" si="166"/>
        <v/>
      </c>
      <c r="BK125" s="1685">
        <f t="shared" si="167"/>
        <v>99.83479939140706</v>
      </c>
      <c r="BL125" s="1685" t="str">
        <f t="shared" si="168"/>
        <v/>
      </c>
      <c r="BM125" s="1685">
        <f t="shared" si="183"/>
        <v>100</v>
      </c>
      <c r="BN125" s="1686">
        <f t="shared" si="169"/>
        <v>-1.6547397260274271E-3</v>
      </c>
      <c r="BP125" s="1756" t="str">
        <f t="shared" si="170"/>
        <v/>
      </c>
      <c r="BQ125" s="1685" t="str">
        <f t="shared" si="146"/>
        <v>--</v>
      </c>
    </row>
    <row r="126" spans="1:69">
      <c r="A126" t="s">
        <v>307</v>
      </c>
      <c r="B126" t="s">
        <v>308</v>
      </c>
      <c r="C126" s="1684" t="str">
        <f t="shared" si="226"/>
        <v>--</v>
      </c>
      <c r="D126" s="1685" t="str">
        <f t="shared" si="222"/>
        <v/>
      </c>
      <c r="E126" s="1686" t="str">
        <f t="shared" si="175"/>
        <v/>
      </c>
      <c r="F126" s="1684">
        <f t="shared" si="227"/>
        <v>391.07142857142856</v>
      </c>
      <c r="G126" s="1685" t="str">
        <f t="shared" si="223"/>
        <v/>
      </c>
      <c r="H126" s="1688" t="str">
        <f t="shared" si="171"/>
        <v/>
      </c>
      <c r="I126" s="1685">
        <f t="shared" si="121"/>
        <v>391.07142857142856</v>
      </c>
      <c r="J126" s="1685" t="str">
        <f t="shared" si="122"/>
        <v/>
      </c>
      <c r="K126" s="1685">
        <f t="shared" si="228"/>
        <v>390</v>
      </c>
      <c r="L126" s="1686">
        <f t="shared" si="150"/>
        <v>2.7397260273972187E-3</v>
      </c>
      <c r="M126" s="1684" t="str">
        <f t="shared" si="229"/>
        <v>--</v>
      </c>
      <c r="N126" s="1685" t="str">
        <f t="shared" si="224"/>
        <v/>
      </c>
      <c r="O126" s="1686" t="str">
        <f t="shared" si="123"/>
        <v/>
      </c>
      <c r="P126" s="1684">
        <f t="shared" si="230"/>
        <v>5840</v>
      </c>
      <c r="Q126" s="1685" t="str">
        <f t="shared" si="225"/>
        <v/>
      </c>
      <c r="R126" s="1688" t="str">
        <f t="shared" si="173"/>
        <v/>
      </c>
      <c r="S126" s="1685">
        <f t="shared" si="153"/>
        <v>5840</v>
      </c>
      <c r="T126" s="1685" t="str">
        <f t="shared" si="176"/>
        <v/>
      </c>
      <c r="U126" s="1685">
        <f t="shared" si="231"/>
        <v>5800</v>
      </c>
      <c r="V126" s="1686">
        <f t="shared" si="172"/>
        <v>6.8493150684931503E-3</v>
      </c>
      <c r="W126" s="1756" t="str">
        <f t="shared" si="154"/>
        <v/>
      </c>
      <c r="X126" s="1685" t="str">
        <f t="shared" si="208"/>
        <v>--</v>
      </c>
      <c r="Z126" t="str">
        <f t="shared" si="209"/>
        <v>--</v>
      </c>
      <c r="AA126" t="str">
        <f t="shared" si="210"/>
        <v>--</v>
      </c>
      <c r="AB126" t="str">
        <f t="shared" si="211"/>
        <v>--</v>
      </c>
      <c r="AC126" t="str">
        <f t="shared" si="212"/>
        <v>--</v>
      </c>
      <c r="AF126" s="1684" t="str">
        <f t="shared" si="213"/>
        <v>--</v>
      </c>
      <c r="AG126" s="1685" t="str">
        <f t="shared" si="130"/>
        <v/>
      </c>
      <c r="AH126" s="1686" t="str">
        <f t="shared" si="155"/>
        <v/>
      </c>
      <c r="AI126" s="1684" t="str">
        <f t="shared" si="214"/>
        <v>--</v>
      </c>
      <c r="AJ126" s="1685" t="str">
        <f t="shared" si="132"/>
        <v/>
      </c>
      <c r="AK126" s="1688" t="str">
        <f t="shared" si="156"/>
        <v/>
      </c>
      <c r="AL126" s="1685">
        <f t="shared" si="157"/>
        <v>0</v>
      </c>
      <c r="AM126" s="1685" t="str">
        <f t="shared" si="158"/>
        <v/>
      </c>
      <c r="AN126" s="1685" t="str">
        <f t="shared" si="215"/>
        <v>--</v>
      </c>
      <c r="AO126" s="1686" t="str">
        <f t="shared" si="159"/>
        <v>N</v>
      </c>
      <c r="AP126" s="1684" t="str">
        <f t="shared" si="216"/>
        <v>--</v>
      </c>
      <c r="AQ126" s="1685" t="str">
        <f t="shared" si="135"/>
        <v/>
      </c>
      <c r="AR126" s="1686" t="str">
        <f t="shared" si="160"/>
        <v/>
      </c>
      <c r="AS126" s="1684" t="str">
        <f t="shared" si="217"/>
        <v>--</v>
      </c>
      <c r="AT126" s="1685" t="str">
        <f t="shared" si="137"/>
        <v/>
      </c>
      <c r="AU126" s="1688" t="str">
        <f t="shared" si="161"/>
        <v/>
      </c>
      <c r="AV126" s="1685">
        <f t="shared" si="162"/>
        <v>0</v>
      </c>
      <c r="AW126" s="1685" t="str">
        <f t="shared" si="163"/>
        <v/>
      </c>
      <c r="AX126" s="1685" t="str">
        <f t="shared" si="218"/>
        <v>--</v>
      </c>
      <c r="AY126" s="1686" t="str">
        <f t="shared" si="164"/>
        <v>N</v>
      </c>
      <c r="BA126" s="1756" t="str">
        <f t="shared" si="219"/>
        <v/>
      </c>
      <c r="BB126" s="1685" t="str">
        <f t="shared" si="140"/>
        <v>--</v>
      </c>
      <c r="BC126" s="1685" t="str">
        <f t="shared" si="141"/>
        <v>--</v>
      </c>
      <c r="BE126" s="1684" t="str">
        <f t="shared" si="220"/>
        <v>--</v>
      </c>
      <c r="BF126" s="1685" t="str">
        <f t="shared" si="143"/>
        <v/>
      </c>
      <c r="BG126" s="1686" t="str">
        <f t="shared" si="165"/>
        <v/>
      </c>
      <c r="BH126" s="1684">
        <f t="shared" si="221"/>
        <v>94.057692669452663</v>
      </c>
      <c r="BI126" s="1685" t="str">
        <f t="shared" si="145"/>
        <v/>
      </c>
      <c r="BJ126" s="1688" t="str">
        <f t="shared" si="166"/>
        <v/>
      </c>
      <c r="BK126" s="1685">
        <f t="shared" si="167"/>
        <v>94.057692669452663</v>
      </c>
      <c r="BL126" s="1685" t="str">
        <f t="shared" si="168"/>
        <v/>
      </c>
      <c r="BM126" s="1685">
        <f t="shared" si="183"/>
        <v>94</v>
      </c>
      <c r="BN126" s="1686">
        <f t="shared" si="169"/>
        <v>6.1337534246574564E-4</v>
      </c>
      <c r="BP126" s="1756" t="str">
        <f t="shared" si="170"/>
        <v/>
      </c>
      <c r="BQ126" s="1685" t="str">
        <f t="shared" si="146"/>
        <v>--</v>
      </c>
    </row>
    <row r="127" spans="1:69">
      <c r="A127" t="s">
        <v>309</v>
      </c>
      <c r="B127" t="s">
        <v>310</v>
      </c>
      <c r="C127" s="1684" t="str">
        <f t="shared" si="226"/>
        <v>--</v>
      </c>
      <c r="D127" s="1685" t="str">
        <f t="shared" si="222"/>
        <v>--</v>
      </c>
      <c r="E127" s="1686" t="str">
        <f t="shared" si="175"/>
        <v/>
      </c>
      <c r="F127" s="1684">
        <f t="shared" si="227"/>
        <v>5620.8680730044125</v>
      </c>
      <c r="G127" s="1685">
        <f t="shared" si="223"/>
        <v>5600</v>
      </c>
      <c r="H127" s="1688">
        <f t="shared" si="171"/>
        <v>3.712606795494189E-3</v>
      </c>
      <c r="I127" s="1685">
        <f t="shared" si="121"/>
        <v>5620.8680730044125</v>
      </c>
      <c r="J127" s="1685">
        <f t="shared" si="122"/>
        <v>5600</v>
      </c>
      <c r="K127" s="1685">
        <f t="shared" si="228"/>
        <v>6000</v>
      </c>
      <c r="L127" s="1686">
        <f t="shared" si="150"/>
        <v>-6.7450778433399083E-2</v>
      </c>
      <c r="M127" s="1684" t="str">
        <f t="shared" si="229"/>
        <v>--</v>
      </c>
      <c r="N127" s="1685" t="str">
        <f t="shared" si="224"/>
        <v>--</v>
      </c>
      <c r="O127" s="1686" t="str">
        <f t="shared" si="123"/>
        <v/>
      </c>
      <c r="P127" s="1684">
        <f t="shared" si="230"/>
        <v>31292.319613139312</v>
      </c>
      <c r="Q127" s="1685">
        <f t="shared" si="225"/>
        <v>32000</v>
      </c>
      <c r="R127" s="1688">
        <f t="shared" si="173"/>
        <v>-2.2615146323749682E-2</v>
      </c>
      <c r="S127" s="1685">
        <f t="shared" si="153"/>
        <v>31292.319613139312</v>
      </c>
      <c r="T127" s="1685">
        <f t="shared" si="176"/>
        <v>32000</v>
      </c>
      <c r="U127" s="1685">
        <f t="shared" si="231"/>
        <v>35000</v>
      </c>
      <c r="V127" s="1686">
        <f t="shared" si="172"/>
        <v>-0.11848531629160121</v>
      </c>
      <c r="W127" s="1756" t="str">
        <f t="shared" si="154"/>
        <v>*</v>
      </c>
      <c r="X127" s="1685" t="str">
        <f t="shared" si="208"/>
        <v>--</v>
      </c>
      <c r="Z127" t="str">
        <f t="shared" si="209"/>
        <v>--</v>
      </c>
      <c r="AA127" t="str">
        <f t="shared" si="210"/>
        <v>--</v>
      </c>
      <c r="AB127" t="str">
        <f t="shared" si="211"/>
        <v>--</v>
      </c>
      <c r="AC127" t="str">
        <f t="shared" si="212"/>
        <v>x</v>
      </c>
      <c r="AF127" s="1684" t="str">
        <f t="shared" si="213"/>
        <v>--</v>
      </c>
      <c r="AG127" s="1685" t="str">
        <f t="shared" si="130"/>
        <v>--</v>
      </c>
      <c r="AH127" s="1686" t="str">
        <f t="shared" si="155"/>
        <v/>
      </c>
      <c r="AI127" s="1684">
        <f t="shared" si="214"/>
        <v>938.57142857142856</v>
      </c>
      <c r="AJ127" s="1685">
        <f t="shared" si="132"/>
        <v>5600</v>
      </c>
      <c r="AK127" s="1688">
        <f t="shared" si="156"/>
        <v>-4.9665144596651452</v>
      </c>
      <c r="AL127" s="1691">
        <f t="shared" si="157"/>
        <v>938.57142857142856</v>
      </c>
      <c r="AM127" s="1691">
        <f t="shared" si="158"/>
        <v>5600</v>
      </c>
      <c r="AN127" s="1691">
        <f t="shared" si="215"/>
        <v>1000</v>
      </c>
      <c r="AO127" s="1686">
        <f t="shared" si="159"/>
        <v>-6.5449010654490131E-2</v>
      </c>
      <c r="AP127" s="1684" t="str">
        <f t="shared" si="216"/>
        <v>--</v>
      </c>
      <c r="AQ127" s="1685" t="str">
        <f t="shared" si="135"/>
        <v>--</v>
      </c>
      <c r="AR127" s="1686" t="str">
        <f t="shared" si="160"/>
        <v/>
      </c>
      <c r="AS127" s="1684">
        <f t="shared" si="217"/>
        <v>3941.9999999999995</v>
      </c>
      <c r="AT127" s="1685">
        <f t="shared" si="137"/>
        <v>3900</v>
      </c>
      <c r="AU127" s="1688">
        <f t="shared" si="161"/>
        <v>1.0654490106544788E-2</v>
      </c>
      <c r="AV127" s="1685">
        <f t="shared" si="162"/>
        <v>3941.9999999999995</v>
      </c>
      <c r="AW127" s="1685">
        <f t="shared" si="163"/>
        <v>3900</v>
      </c>
      <c r="AX127" s="1685">
        <f t="shared" si="218"/>
        <v>4400</v>
      </c>
      <c r="AY127" s="1686">
        <f t="shared" si="164"/>
        <v>-0.11618467782851358</v>
      </c>
      <c r="AZ127" s="727" t="s">
        <v>4201</v>
      </c>
      <c r="BA127" s="1756" t="str">
        <f t="shared" si="219"/>
        <v>*</v>
      </c>
      <c r="BB127" s="1685" t="str">
        <f t="shared" si="140"/>
        <v>V</v>
      </c>
      <c r="BC127" s="1685" t="str">
        <f t="shared" si="141"/>
        <v>--</v>
      </c>
      <c r="BE127" s="1684" t="str">
        <f t="shared" si="220"/>
        <v>--</v>
      </c>
      <c r="BF127" s="1685" t="str">
        <f t="shared" si="143"/>
        <v>--</v>
      </c>
      <c r="BG127" s="1686" t="str">
        <f t="shared" si="165"/>
        <v/>
      </c>
      <c r="BH127" s="1684">
        <f t="shared" si="221"/>
        <v>1136.8822806185897</v>
      </c>
      <c r="BI127" s="1685">
        <f t="shared" si="145"/>
        <v>1100</v>
      </c>
      <c r="BJ127" s="1688">
        <f t="shared" si="166"/>
        <v>3.2441600372662714E-2</v>
      </c>
      <c r="BK127" s="1685">
        <f t="shared" si="167"/>
        <v>1136.8822806185897</v>
      </c>
      <c r="BL127" s="1685">
        <f t="shared" si="168"/>
        <v>1100</v>
      </c>
      <c r="BM127" s="1685">
        <f t="shared" si="183"/>
        <v>1200</v>
      </c>
      <c r="BN127" s="1686">
        <f t="shared" si="169"/>
        <v>-5.5518254138913405E-2</v>
      </c>
      <c r="BP127" s="1756" t="str">
        <f t="shared" si="170"/>
        <v>*</v>
      </c>
      <c r="BQ127" s="1685" t="str">
        <f t="shared" si="146"/>
        <v>--</v>
      </c>
    </row>
    <row r="128" spans="1:69">
      <c r="A128" t="s">
        <v>311</v>
      </c>
      <c r="B128" t="s">
        <v>312</v>
      </c>
      <c r="C128" s="1684">
        <f t="shared" si="226"/>
        <v>1390.4761904761906</v>
      </c>
      <c r="D128" s="1685" t="str">
        <f t="shared" si="222"/>
        <v/>
      </c>
      <c r="E128" s="1686" t="str">
        <f t="shared" si="175"/>
        <v/>
      </c>
      <c r="F128" s="1684">
        <f t="shared" si="227"/>
        <v>25879.508807054768</v>
      </c>
      <c r="G128" s="1685" t="str">
        <f t="shared" si="223"/>
        <v/>
      </c>
      <c r="H128" s="1688" t="str">
        <f t="shared" si="171"/>
        <v/>
      </c>
      <c r="I128" s="1685">
        <f t="shared" si="121"/>
        <v>1390.4761904761906</v>
      </c>
      <c r="J128" s="1685" t="str">
        <f t="shared" si="122"/>
        <v/>
      </c>
      <c r="K128" s="1685">
        <f t="shared" si="228"/>
        <v>1400</v>
      </c>
      <c r="L128" s="1686">
        <f t="shared" si="150"/>
        <v>-6.8493150684930644E-3</v>
      </c>
      <c r="M128" s="1684">
        <f t="shared" si="229"/>
        <v>6540.8</v>
      </c>
      <c r="N128" s="1685" t="str">
        <f t="shared" si="224"/>
        <v/>
      </c>
      <c r="O128" s="1686" t="str">
        <f t="shared" si="123"/>
        <v/>
      </c>
      <c r="P128" s="1684">
        <f t="shared" si="230"/>
        <v>265837.99357635574</v>
      </c>
      <c r="Q128" s="1685" t="str">
        <f t="shared" si="225"/>
        <v/>
      </c>
      <c r="R128" s="1688" t="str">
        <f t="shared" si="173"/>
        <v/>
      </c>
      <c r="S128" s="1685">
        <f t="shared" si="153"/>
        <v>6540.8</v>
      </c>
      <c r="T128" s="1685" t="str">
        <f t="shared" si="176"/>
        <v/>
      </c>
      <c r="U128" s="1685">
        <f t="shared" si="231"/>
        <v>6500</v>
      </c>
      <c r="V128" s="1686">
        <f t="shared" si="172"/>
        <v>6.2377690802348611E-3</v>
      </c>
      <c r="W128" s="1756" t="str">
        <f t="shared" si="154"/>
        <v/>
      </c>
      <c r="X128" s="1685" t="e">
        <f t="shared" si="208"/>
        <v>#N/A</v>
      </c>
      <c r="Z128" t="str">
        <f t="shared" si="209"/>
        <v>--</v>
      </c>
      <c r="AA128" t="str">
        <f t="shared" si="210"/>
        <v>--</v>
      </c>
      <c r="AB128" t="str">
        <f t="shared" si="211"/>
        <v>--</v>
      </c>
      <c r="AC128" t="str">
        <f t="shared" si="212"/>
        <v>--</v>
      </c>
      <c r="AF128" s="1684" t="str">
        <f t="shared" si="213"/>
        <v>--</v>
      </c>
      <c r="AG128" s="1685" t="str">
        <f t="shared" si="130"/>
        <v/>
      </c>
      <c r="AH128" s="1686" t="str">
        <f t="shared" si="155"/>
        <v/>
      </c>
      <c r="AI128" s="1684">
        <f t="shared" si="214"/>
        <v>5214.2857142857147</v>
      </c>
      <c r="AJ128" s="1685" t="str">
        <f t="shared" si="132"/>
        <v/>
      </c>
      <c r="AK128" s="1688" t="str">
        <f t="shared" si="156"/>
        <v/>
      </c>
      <c r="AL128" s="1685">
        <f t="shared" si="157"/>
        <v>5214.2857142857147</v>
      </c>
      <c r="AM128" s="1685" t="str">
        <f t="shared" si="158"/>
        <v/>
      </c>
      <c r="AN128" s="1685">
        <f t="shared" si="215"/>
        <v>5200</v>
      </c>
      <c r="AO128" s="1686">
        <f t="shared" si="159"/>
        <v>2.7397260273973349E-3</v>
      </c>
      <c r="AP128" s="1684" t="str">
        <f t="shared" si="216"/>
        <v>--</v>
      </c>
      <c r="AQ128" s="1685" t="str">
        <f t="shared" si="135"/>
        <v/>
      </c>
      <c r="AR128" s="1686" t="str">
        <f t="shared" si="160"/>
        <v/>
      </c>
      <c r="AS128" s="1684">
        <f t="shared" si="217"/>
        <v>21900</v>
      </c>
      <c r="AT128" s="1685" t="str">
        <f t="shared" si="137"/>
        <v/>
      </c>
      <c r="AU128" s="1688" t="str">
        <f t="shared" si="161"/>
        <v/>
      </c>
      <c r="AV128" s="1685">
        <f t="shared" si="162"/>
        <v>21900</v>
      </c>
      <c r="AW128" s="1685" t="str">
        <f t="shared" si="163"/>
        <v/>
      </c>
      <c r="AX128" s="1685">
        <f t="shared" si="218"/>
        <v>22000</v>
      </c>
      <c r="AY128" s="1686">
        <f t="shared" si="164"/>
        <v>-4.5662100456621002E-3</v>
      </c>
      <c r="BA128" s="1756" t="str">
        <f t="shared" si="219"/>
        <v/>
      </c>
      <c r="BB128" s="1685" t="str">
        <f t="shared" si="140"/>
        <v>V</v>
      </c>
      <c r="BC128" s="1685" t="e">
        <f t="shared" si="141"/>
        <v>#N/A</v>
      </c>
      <c r="BE128" s="1684">
        <f t="shared" si="220"/>
        <v>154.27654808952508</v>
      </c>
      <c r="BF128" s="1685" t="str">
        <f t="shared" si="143"/>
        <v/>
      </c>
      <c r="BG128" s="1686" t="str">
        <f t="shared" si="165"/>
        <v/>
      </c>
      <c r="BH128" s="1684">
        <f t="shared" si="221"/>
        <v>4511.3965413644892</v>
      </c>
      <c r="BI128" s="1685" t="str">
        <f t="shared" si="145"/>
        <v/>
      </c>
      <c r="BJ128" s="1688" t="str">
        <f t="shared" si="166"/>
        <v/>
      </c>
      <c r="BK128" s="1685">
        <f t="shared" si="167"/>
        <v>154.27654808952508</v>
      </c>
      <c r="BL128" s="1685" t="str">
        <f t="shared" si="168"/>
        <v/>
      </c>
      <c r="BM128" s="1685">
        <f t="shared" si="183"/>
        <v>150</v>
      </c>
      <c r="BN128" s="1686">
        <f t="shared" si="169"/>
        <v>2.772001410767528E-2</v>
      </c>
      <c r="BP128" s="1756" t="str">
        <f t="shared" si="170"/>
        <v/>
      </c>
      <c r="BQ128" s="1685" t="e">
        <f t="shared" si="146"/>
        <v>#N/A</v>
      </c>
    </row>
    <row r="129" spans="1:69" ht="15">
      <c r="A129" t="s">
        <v>313</v>
      </c>
      <c r="B129" t="s">
        <v>314</v>
      </c>
      <c r="C129" s="1684">
        <f t="shared" si="226"/>
        <v>1.9932659344327348</v>
      </c>
      <c r="D129" s="1685" t="str">
        <f t="shared" si="222"/>
        <v/>
      </c>
      <c r="E129" s="1686" t="str">
        <f t="shared" si="175"/>
        <v/>
      </c>
      <c r="F129" s="1684">
        <f t="shared" si="227"/>
        <v>2346.4285714285716</v>
      </c>
      <c r="G129" s="1685">
        <f t="shared" si="223"/>
        <v>550</v>
      </c>
      <c r="H129" s="1693">
        <f t="shared" si="171"/>
        <v>0.76560121765601219</v>
      </c>
      <c r="I129" s="1685">
        <f t="shared" si="121"/>
        <v>1.9932659344327348</v>
      </c>
      <c r="J129" s="1685">
        <f t="shared" si="122"/>
        <v>550</v>
      </c>
      <c r="K129" s="1685">
        <f t="shared" si="228"/>
        <v>2</v>
      </c>
      <c r="L129" s="1686">
        <f t="shared" si="150"/>
        <v>-3.3784079941052338E-3</v>
      </c>
      <c r="M129" s="1684">
        <f t="shared" si="229"/>
        <v>8.5948261095628098</v>
      </c>
      <c r="N129" s="1685" t="str">
        <f t="shared" si="224"/>
        <v/>
      </c>
      <c r="O129" s="1686" t="str">
        <f t="shared" si="123"/>
        <v/>
      </c>
      <c r="P129" s="1684">
        <f t="shared" si="230"/>
        <v>35039.999999999993</v>
      </c>
      <c r="Q129" s="1685">
        <f t="shared" si="225"/>
        <v>2800</v>
      </c>
      <c r="R129" s="1693">
        <f t="shared" si="173"/>
        <v>0.92009132420091322</v>
      </c>
      <c r="S129" s="1685">
        <f t="shared" si="153"/>
        <v>8.5948261095628098</v>
      </c>
      <c r="T129" s="1685">
        <f t="shared" si="176"/>
        <v>2800</v>
      </c>
      <c r="U129" s="1685">
        <f t="shared" si="231"/>
        <v>8.8000000000000007</v>
      </c>
      <c r="V129" s="1686">
        <f t="shared" si="172"/>
        <v>-2.3871790751986189E-2</v>
      </c>
      <c r="W129" s="1756" t="str">
        <f t="shared" si="154"/>
        <v/>
      </c>
      <c r="X129" s="1685" t="str">
        <f t="shared" si="208"/>
        <v>Route RfC</v>
      </c>
      <c r="Z129" t="str">
        <f t="shared" si="209"/>
        <v>--</v>
      </c>
      <c r="AA129" t="str">
        <f t="shared" si="210"/>
        <v>--</v>
      </c>
      <c r="AB129" t="str">
        <f t="shared" si="211"/>
        <v>--</v>
      </c>
      <c r="AC129" t="str">
        <f t="shared" si="212"/>
        <v>--</v>
      </c>
      <c r="AF129" s="1684">
        <f t="shared" si="213"/>
        <v>0.37941787941787936</v>
      </c>
      <c r="AG129" s="1685" t="str">
        <f t="shared" si="130"/>
        <v/>
      </c>
      <c r="AH129" s="1686" t="str">
        <f t="shared" si="155"/>
        <v/>
      </c>
      <c r="AI129" s="1684" t="str">
        <f t="shared" si="214"/>
        <v>--</v>
      </c>
      <c r="AJ129" s="1685">
        <f t="shared" si="132"/>
        <v>550</v>
      </c>
      <c r="AK129" s="1688" t="e">
        <f t="shared" si="156"/>
        <v>#VALUE!</v>
      </c>
      <c r="AL129" s="1685">
        <f t="shared" si="157"/>
        <v>0.37941787941787936</v>
      </c>
      <c r="AM129" s="1685">
        <f t="shared" si="158"/>
        <v>550</v>
      </c>
      <c r="AN129" s="1685">
        <f t="shared" si="215"/>
        <v>0.38</v>
      </c>
      <c r="AO129" s="1686">
        <f t="shared" si="159"/>
        <v>-1.5342465753426418E-3</v>
      </c>
      <c r="AP129" s="1684">
        <f t="shared" si="216"/>
        <v>1.6572972972972968</v>
      </c>
      <c r="AQ129" s="1685" t="str">
        <f t="shared" si="135"/>
        <v/>
      </c>
      <c r="AR129" s="1686" t="str">
        <f t="shared" si="160"/>
        <v/>
      </c>
      <c r="AS129" s="1684" t="str">
        <f t="shared" si="217"/>
        <v>--</v>
      </c>
      <c r="AT129" s="1685">
        <f t="shared" si="137"/>
        <v>530</v>
      </c>
      <c r="AU129" s="1688" t="e">
        <f t="shared" si="161"/>
        <v>#VALUE!</v>
      </c>
      <c r="AV129" s="1685">
        <f t="shared" si="162"/>
        <v>1.6572972972972968</v>
      </c>
      <c r="AW129" s="1685">
        <f t="shared" si="163"/>
        <v>530</v>
      </c>
      <c r="AX129" s="1685">
        <f t="shared" si="218"/>
        <v>1.7</v>
      </c>
      <c r="AY129" s="1686">
        <f t="shared" si="164"/>
        <v>-2.5766470971950704E-2</v>
      </c>
      <c r="BA129" s="1756" t="str">
        <f t="shared" si="219"/>
        <v/>
      </c>
      <c r="BB129" s="1685" t="str">
        <f t="shared" si="140"/>
        <v>V</v>
      </c>
      <c r="BC129" s="1685" t="str">
        <f t="shared" si="141"/>
        <v>Route RfC</v>
      </c>
      <c r="BE129" s="1684">
        <f t="shared" si="220"/>
        <v>0.57371019912170784</v>
      </c>
      <c r="BF129" s="1685" t="str">
        <f t="shared" si="143"/>
        <v/>
      </c>
      <c r="BG129" s="1686" t="str">
        <f t="shared" si="165"/>
        <v/>
      </c>
      <c r="BH129" s="1684">
        <f t="shared" si="221"/>
        <v>480.47577012948005</v>
      </c>
      <c r="BI129" s="1685">
        <f t="shared" si="145"/>
        <v>160</v>
      </c>
      <c r="BJ129" s="1688">
        <f t="shared" si="166"/>
        <v>0.66699673542979554</v>
      </c>
      <c r="BK129" s="1685">
        <f t="shared" si="167"/>
        <v>0.57371019912170784</v>
      </c>
      <c r="BL129" s="1685">
        <f t="shared" si="168"/>
        <v>160</v>
      </c>
      <c r="BM129" s="1685">
        <f t="shared" si="183"/>
        <v>0.56999999999999995</v>
      </c>
      <c r="BN129" s="1686">
        <f t="shared" si="169"/>
        <v>6.4670266057459498E-3</v>
      </c>
      <c r="BP129" s="1756" t="str">
        <f t="shared" si="170"/>
        <v/>
      </c>
      <c r="BQ129" s="1685" t="str">
        <f t="shared" si="146"/>
        <v>Route RfC</v>
      </c>
    </row>
    <row r="130" spans="1:69" ht="15">
      <c r="A130" t="s">
        <v>315</v>
      </c>
      <c r="B130" t="s">
        <v>316</v>
      </c>
      <c r="C130" s="1684">
        <f t="shared" si="226"/>
        <v>0.60443883894350037</v>
      </c>
      <c r="D130" s="1685" t="str">
        <f t="shared" si="222"/>
        <v/>
      </c>
      <c r="E130" s="1686" t="str">
        <f t="shared" si="175"/>
        <v/>
      </c>
      <c r="F130" s="1684">
        <f t="shared" si="227"/>
        <v>1564.2857142857142</v>
      </c>
      <c r="G130" s="1685">
        <f t="shared" si="223"/>
        <v>700</v>
      </c>
      <c r="H130" s="1693">
        <f t="shared" si="171"/>
        <v>0.55251141552511418</v>
      </c>
      <c r="I130" s="1685">
        <f t="shared" si="121"/>
        <v>0.60443883894350037</v>
      </c>
      <c r="J130" s="1685">
        <f t="shared" si="122"/>
        <v>700</v>
      </c>
      <c r="K130" s="1685">
        <f t="shared" si="228"/>
        <v>0.6</v>
      </c>
      <c r="L130" s="1686">
        <f t="shared" si="150"/>
        <v>7.3437354741449825E-3</v>
      </c>
      <c r="M130" s="1684">
        <f t="shared" si="229"/>
        <v>2.6298266771875025</v>
      </c>
      <c r="N130" s="1685" t="str">
        <f t="shared" si="224"/>
        <v/>
      </c>
      <c r="O130" s="1686" t="str">
        <f t="shared" si="123"/>
        <v/>
      </c>
      <c r="P130" s="1684">
        <f t="shared" si="230"/>
        <v>23360</v>
      </c>
      <c r="Q130" s="1685">
        <f t="shared" si="225"/>
        <v>4300</v>
      </c>
      <c r="R130" s="1693">
        <f t="shared" si="173"/>
        <v>0.81592465753424659</v>
      </c>
      <c r="S130" s="1685">
        <f t="shared" si="153"/>
        <v>2.6298266771875025</v>
      </c>
      <c r="T130" s="1685">
        <f t="shared" si="176"/>
        <v>4300</v>
      </c>
      <c r="U130" s="1685">
        <f t="shared" si="231"/>
        <v>2.7</v>
      </c>
      <c r="V130" s="1686">
        <f t="shared" si="172"/>
        <v>-2.6683630302033936E-2</v>
      </c>
      <c r="W130" s="1756" t="str">
        <f t="shared" si="154"/>
        <v/>
      </c>
      <c r="X130" s="1685" t="str">
        <f t="shared" si="208"/>
        <v>Route RfC</v>
      </c>
      <c r="Z130" t="str">
        <f t="shared" si="209"/>
        <v>--</v>
      </c>
      <c r="AA130" t="str">
        <f t="shared" si="210"/>
        <v>--</v>
      </c>
      <c r="AB130" t="str">
        <f t="shared" si="211"/>
        <v>--</v>
      </c>
      <c r="AC130" t="str">
        <f t="shared" si="212"/>
        <v>--</v>
      </c>
      <c r="AF130" s="1684">
        <f t="shared" si="213"/>
        <v>4.8408488063660465E-2</v>
      </c>
      <c r="AG130" s="1685" t="str">
        <f t="shared" si="130"/>
        <v/>
      </c>
      <c r="AH130" s="1686" t="str">
        <f t="shared" si="155"/>
        <v/>
      </c>
      <c r="AI130" s="1684" t="str">
        <f t="shared" si="214"/>
        <v>--</v>
      </c>
      <c r="AJ130" s="1685">
        <f t="shared" si="132"/>
        <v>700</v>
      </c>
      <c r="AK130" s="1688" t="e">
        <f t="shared" si="156"/>
        <v>#VALUE!</v>
      </c>
      <c r="AL130" s="1685">
        <f t="shared" si="157"/>
        <v>4.8408488063660465E-2</v>
      </c>
      <c r="AM130" s="1685">
        <f t="shared" si="158"/>
        <v>700</v>
      </c>
      <c r="AN130" s="1685">
        <f t="shared" si="215"/>
        <v>4.8000000000000001E-2</v>
      </c>
      <c r="AO130" s="1686">
        <f t="shared" si="159"/>
        <v>8.4383561643832927E-3</v>
      </c>
      <c r="AP130" s="1684">
        <f t="shared" si="216"/>
        <v>0.21144827586206891</v>
      </c>
      <c r="AQ130" s="1685" t="str">
        <f t="shared" si="135"/>
        <v/>
      </c>
      <c r="AR130" s="1686" t="str">
        <f t="shared" si="160"/>
        <v/>
      </c>
      <c r="AS130" s="1684" t="str">
        <f t="shared" si="217"/>
        <v>--</v>
      </c>
      <c r="AT130" s="1685">
        <f t="shared" si="137"/>
        <v>350</v>
      </c>
      <c r="AU130" s="1688" t="e">
        <f t="shared" si="161"/>
        <v>#VALUE!</v>
      </c>
      <c r="AV130" s="1685">
        <f t="shared" si="162"/>
        <v>0.21144827586206891</v>
      </c>
      <c r="AW130" s="1685">
        <f t="shared" si="163"/>
        <v>350</v>
      </c>
      <c r="AX130" s="1685">
        <f t="shared" si="218"/>
        <v>0.21</v>
      </c>
      <c r="AY130" s="1686">
        <f t="shared" si="164"/>
        <v>6.8493150684929144E-3</v>
      </c>
      <c r="BA130" s="1756" t="str">
        <f t="shared" si="219"/>
        <v/>
      </c>
      <c r="BB130" s="1685" t="str">
        <f t="shared" si="140"/>
        <v>V</v>
      </c>
      <c r="BC130" s="1685" t="str">
        <f t="shared" si="141"/>
        <v>Route RfC</v>
      </c>
      <c r="BE130" s="1684">
        <f t="shared" si="220"/>
        <v>7.5739650120297694E-2</v>
      </c>
      <c r="BF130" s="1685" t="str">
        <f t="shared" si="143"/>
        <v/>
      </c>
      <c r="BG130" s="1686" t="str">
        <f t="shared" si="165"/>
        <v/>
      </c>
      <c r="BH130" s="1684">
        <f t="shared" si="221"/>
        <v>361.32540946494953</v>
      </c>
      <c r="BI130" s="1685">
        <f t="shared" si="145"/>
        <v>110</v>
      </c>
      <c r="BJ130" s="1688">
        <f t="shared" si="166"/>
        <v>0.69556527961073111</v>
      </c>
      <c r="BK130" s="1685">
        <f t="shared" si="167"/>
        <v>7.5739650120297694E-2</v>
      </c>
      <c r="BL130" s="1685">
        <f t="shared" si="168"/>
        <v>110</v>
      </c>
      <c r="BM130" s="1685">
        <f t="shared" si="183"/>
        <v>7.5999999999999998E-2</v>
      </c>
      <c r="BN130" s="1686">
        <f t="shared" si="169"/>
        <v>-3.437431771717838E-3</v>
      </c>
      <c r="BP130" s="1756" t="str">
        <f t="shared" si="170"/>
        <v/>
      </c>
      <c r="BQ130" s="1685" t="str">
        <f t="shared" si="146"/>
        <v>Route RfC</v>
      </c>
    </row>
    <row r="131" spans="1:69">
      <c r="A131" t="s">
        <v>317</v>
      </c>
      <c r="B131" t="s">
        <v>318</v>
      </c>
      <c r="C131" s="1684">
        <f t="shared" si="226"/>
        <v>0.58761543617295708</v>
      </c>
      <c r="D131" s="1685">
        <f t="shared" si="222"/>
        <v>0.59</v>
      </c>
      <c r="E131" s="1686">
        <f t="shared" si="175"/>
        <v>-4.0580346945498199E-3</v>
      </c>
      <c r="F131" s="1684">
        <f t="shared" si="227"/>
        <v>81.048537528281187</v>
      </c>
      <c r="G131" s="1685" t="str">
        <f t="shared" si="223"/>
        <v/>
      </c>
      <c r="H131" s="1688" t="str">
        <f t="shared" si="171"/>
        <v/>
      </c>
      <c r="I131" s="1685">
        <f t="shared" si="121"/>
        <v>0.58761543617295708</v>
      </c>
      <c r="J131" s="1685">
        <f t="shared" si="122"/>
        <v>0.59</v>
      </c>
      <c r="K131" s="1685">
        <f t="shared" si="228"/>
        <v>24</v>
      </c>
      <c r="L131" s="1686">
        <f t="shared" si="150"/>
        <v>-39.843038699439319</v>
      </c>
      <c r="M131" s="1684">
        <f t="shared" si="229"/>
        <v>2.6240002171253174</v>
      </c>
      <c r="N131" s="1685">
        <f t="shared" si="224"/>
        <v>2.7</v>
      </c>
      <c r="O131" s="1686">
        <f t="shared" si="123"/>
        <v>-2.8963329491619921E-2</v>
      </c>
      <c r="P131" s="1684">
        <f t="shared" si="230"/>
        <v>381.51129535112051</v>
      </c>
      <c r="Q131" s="1685" t="str">
        <f t="shared" si="225"/>
        <v/>
      </c>
      <c r="R131" s="1688" t="str">
        <f t="shared" si="173"/>
        <v/>
      </c>
      <c r="S131" s="1685">
        <f t="shared" si="153"/>
        <v>2.6240002171253174</v>
      </c>
      <c r="T131" s="1685">
        <f t="shared" si="176"/>
        <v>2.7</v>
      </c>
      <c r="U131" s="1685">
        <f t="shared" si="231"/>
        <v>100</v>
      </c>
      <c r="V131" s="1686">
        <f t="shared" si="172"/>
        <v>-37.109752944134073</v>
      </c>
      <c r="W131" s="1756" t="str">
        <f t="shared" si="154"/>
        <v>*</v>
      </c>
      <c r="X131" s="1685" t="str">
        <f t="shared" si="208"/>
        <v>--</v>
      </c>
      <c r="Z131" t="str">
        <f t="shared" si="209"/>
        <v>x</v>
      </c>
      <c r="AA131" t="str">
        <f t="shared" si="210"/>
        <v>x</v>
      </c>
      <c r="AB131" t="str">
        <f t="shared" si="211"/>
        <v>--</v>
      </c>
      <c r="AC131" t="str">
        <f t="shared" si="212"/>
        <v>--</v>
      </c>
      <c r="AF131" s="1684">
        <f t="shared" si="213"/>
        <v>0.46027742749054212</v>
      </c>
      <c r="AG131" s="1685">
        <f t="shared" si="130"/>
        <v>0.46</v>
      </c>
      <c r="AH131" s="1686">
        <f t="shared" si="155"/>
        <v>6.0273972602709123E-4</v>
      </c>
      <c r="AI131" s="1684">
        <f t="shared" si="214"/>
        <v>41.714285714285715</v>
      </c>
      <c r="AJ131" s="1685" t="str">
        <f t="shared" si="132"/>
        <v/>
      </c>
      <c r="AK131" s="1688" t="str">
        <f t="shared" si="156"/>
        <v/>
      </c>
      <c r="AL131" s="1685">
        <f t="shared" si="157"/>
        <v>0.46027742749054212</v>
      </c>
      <c r="AM131" s="1685">
        <f t="shared" si="158"/>
        <v>0.46</v>
      </c>
      <c r="AN131" s="1685">
        <f t="shared" si="215"/>
        <v>11</v>
      </c>
      <c r="AO131" s="1686">
        <f t="shared" si="159"/>
        <v>-22.898630136986309</v>
      </c>
      <c r="AP131" s="1684">
        <f t="shared" si="216"/>
        <v>2.010491803278688</v>
      </c>
      <c r="AQ131" s="1685">
        <f t="shared" si="135"/>
        <v>2</v>
      </c>
      <c r="AR131" s="1686">
        <f t="shared" si="160"/>
        <v>5.2185257664707314E-3</v>
      </c>
      <c r="AS131" s="1684">
        <f t="shared" si="217"/>
        <v>175.2</v>
      </c>
      <c r="AT131" s="1685" t="str">
        <f t="shared" si="137"/>
        <v/>
      </c>
      <c r="AU131" s="1688" t="str">
        <f t="shared" si="161"/>
        <v/>
      </c>
      <c r="AV131" s="1685">
        <f t="shared" si="162"/>
        <v>2.010491803278688</v>
      </c>
      <c r="AW131" s="1685">
        <f t="shared" si="163"/>
        <v>2</v>
      </c>
      <c r="AX131" s="1685">
        <f t="shared" si="218"/>
        <v>47</v>
      </c>
      <c r="AY131" s="1686">
        <f t="shared" si="164"/>
        <v>-22.377364644487937</v>
      </c>
      <c r="BA131" s="1756" t="str">
        <f t="shared" si="219"/>
        <v>*</v>
      </c>
      <c r="BB131" s="1685" t="str">
        <f t="shared" si="140"/>
        <v>V</v>
      </c>
      <c r="BC131" s="1685" t="str">
        <f t="shared" si="141"/>
        <v>--</v>
      </c>
      <c r="BE131" s="1684">
        <f t="shared" si="220"/>
        <v>8.3625006520460093E-2</v>
      </c>
      <c r="BF131" s="1685">
        <f t="shared" si="143"/>
        <v>8.4000000000000005E-2</v>
      </c>
      <c r="BG131" s="1686">
        <f t="shared" si="165"/>
        <v>-4.4842266104716429E-3</v>
      </c>
      <c r="BH131" s="1684">
        <f t="shared" si="221"/>
        <v>40.580395361445987</v>
      </c>
      <c r="BI131" s="1685" t="str">
        <f t="shared" si="145"/>
        <v/>
      </c>
      <c r="BJ131" s="1688" t="str">
        <f t="shared" si="166"/>
        <v/>
      </c>
      <c r="BK131" s="1685">
        <f t="shared" si="167"/>
        <v>8.3625006520460093E-2</v>
      </c>
      <c r="BL131" s="1685">
        <f t="shared" si="168"/>
        <v>8.4000000000000005E-2</v>
      </c>
      <c r="BM131" s="1685">
        <f t="shared" si="183"/>
        <v>11</v>
      </c>
      <c r="BN131" s="1686">
        <f t="shared" si="169"/>
        <v>-130.53960110375223</v>
      </c>
      <c r="BP131" s="1756" t="str">
        <f t="shared" si="170"/>
        <v>*</v>
      </c>
      <c r="BQ131" s="1685" t="str">
        <f t="shared" si="146"/>
        <v>--</v>
      </c>
    </row>
    <row r="132" spans="1:69">
      <c r="A132" t="s">
        <v>319</v>
      </c>
      <c r="B132" t="s">
        <v>320</v>
      </c>
      <c r="C132" s="1684" t="str">
        <f t="shared" si="226"/>
        <v>--</v>
      </c>
      <c r="D132" s="1685" t="str">
        <f t="shared" si="222"/>
        <v/>
      </c>
      <c r="E132" s="1686" t="str">
        <f t="shared" si="175"/>
        <v/>
      </c>
      <c r="F132" s="1684">
        <f t="shared" si="227"/>
        <v>0.78214285714285725</v>
      </c>
      <c r="G132" s="1685" t="str">
        <f t="shared" si="223"/>
        <v/>
      </c>
      <c r="H132" s="1688" t="str">
        <f t="shared" si="171"/>
        <v/>
      </c>
      <c r="I132" s="1685">
        <f t="shared" si="121"/>
        <v>0.78214285714285725</v>
      </c>
      <c r="J132" s="1685" t="str">
        <f t="shared" si="122"/>
        <v/>
      </c>
      <c r="K132" s="1685">
        <f t="shared" si="228"/>
        <v>0.78</v>
      </c>
      <c r="L132" s="1686">
        <f t="shared" si="150"/>
        <v>2.7397260273973635E-3</v>
      </c>
      <c r="M132" s="1684" t="str">
        <f t="shared" si="229"/>
        <v>--</v>
      </c>
      <c r="N132" s="1685" t="str">
        <f t="shared" si="224"/>
        <v/>
      </c>
      <c r="O132" s="1686" t="str">
        <f t="shared" si="123"/>
        <v/>
      </c>
      <c r="P132" s="1684">
        <f t="shared" si="230"/>
        <v>11.680000000000003</v>
      </c>
      <c r="Q132" s="1685" t="str">
        <f t="shared" si="225"/>
        <v/>
      </c>
      <c r="R132" s="1688" t="str">
        <f t="shared" si="173"/>
        <v/>
      </c>
      <c r="S132" s="1685">
        <f t="shared" si="153"/>
        <v>11.680000000000003</v>
      </c>
      <c r="T132" s="1685" t="str">
        <f t="shared" si="176"/>
        <v/>
      </c>
      <c r="U132" s="1685">
        <f t="shared" si="231"/>
        <v>12</v>
      </c>
      <c r="V132" s="1686">
        <f t="shared" si="172"/>
        <v>-2.7397260273972317E-2</v>
      </c>
      <c r="W132" s="1756" t="str">
        <f t="shared" si="154"/>
        <v/>
      </c>
      <c r="X132" s="1685" t="str">
        <f t="shared" si="208"/>
        <v>--</v>
      </c>
      <c r="Z132" t="str">
        <f t="shared" si="209"/>
        <v>--</v>
      </c>
      <c r="AA132" t="str">
        <f t="shared" si="210"/>
        <v>--</v>
      </c>
      <c r="AB132" t="str">
        <f t="shared" si="211"/>
        <v>--</v>
      </c>
      <c r="AC132" t="str">
        <f t="shared" si="212"/>
        <v>--</v>
      </c>
      <c r="AF132" s="1684" t="str">
        <f t="shared" si="213"/>
        <v>--</v>
      </c>
      <c r="AG132" s="1685" t="str">
        <f t="shared" si="130"/>
        <v/>
      </c>
      <c r="AH132" s="1686" t="str">
        <f t="shared" si="155"/>
        <v/>
      </c>
      <c r="AI132" s="1684" t="str">
        <f t="shared" si="214"/>
        <v>--</v>
      </c>
      <c r="AJ132" s="1685" t="str">
        <f t="shared" si="132"/>
        <v/>
      </c>
      <c r="AK132" s="1688" t="str">
        <f t="shared" si="156"/>
        <v/>
      </c>
      <c r="AL132" s="1685">
        <f t="shared" si="157"/>
        <v>0</v>
      </c>
      <c r="AM132" s="1685" t="str">
        <f t="shared" si="158"/>
        <v/>
      </c>
      <c r="AN132" s="1685" t="str">
        <f t="shared" si="215"/>
        <v>--</v>
      </c>
      <c r="AO132" s="1686" t="str">
        <f t="shared" si="159"/>
        <v>N</v>
      </c>
      <c r="AP132" s="1684" t="str">
        <f t="shared" si="216"/>
        <v>--</v>
      </c>
      <c r="AQ132" s="1685" t="str">
        <f t="shared" si="135"/>
        <v/>
      </c>
      <c r="AR132" s="1686" t="str">
        <f t="shared" si="160"/>
        <v/>
      </c>
      <c r="AS132" s="1684" t="str">
        <f t="shared" si="217"/>
        <v>--</v>
      </c>
      <c r="AT132" s="1685" t="str">
        <f t="shared" si="137"/>
        <v/>
      </c>
      <c r="AU132" s="1688" t="str">
        <f t="shared" si="161"/>
        <v/>
      </c>
      <c r="AV132" s="1685">
        <f t="shared" si="162"/>
        <v>0</v>
      </c>
      <c r="AW132" s="1685" t="str">
        <f t="shared" si="163"/>
        <v/>
      </c>
      <c r="AX132" s="1685" t="str">
        <f t="shared" si="218"/>
        <v>--</v>
      </c>
      <c r="AY132" s="1686" t="str">
        <f t="shared" si="164"/>
        <v>N</v>
      </c>
      <c r="BA132" s="1756" t="str">
        <f t="shared" si="219"/>
        <v/>
      </c>
      <c r="BB132" s="1685" t="str">
        <f t="shared" si="140"/>
        <v>--</v>
      </c>
      <c r="BC132" s="1685" t="str">
        <f t="shared" si="141"/>
        <v>--</v>
      </c>
      <c r="BE132" s="1684" t="str">
        <f t="shared" si="220"/>
        <v>--</v>
      </c>
      <c r="BF132" s="1685" t="str">
        <f t="shared" si="143"/>
        <v/>
      </c>
      <c r="BG132" s="1686" t="str">
        <f t="shared" si="165"/>
        <v/>
      </c>
      <c r="BH132" s="1684">
        <f t="shared" si="221"/>
        <v>0.19966959878281412</v>
      </c>
      <c r="BI132" s="1685" t="str">
        <f t="shared" si="145"/>
        <v/>
      </c>
      <c r="BJ132" s="1688" t="str">
        <f t="shared" si="166"/>
        <v/>
      </c>
      <c r="BK132" s="1685">
        <f t="shared" si="167"/>
        <v>0.19966959878281412</v>
      </c>
      <c r="BL132" s="1685" t="str">
        <f t="shared" si="168"/>
        <v/>
      </c>
      <c r="BM132" s="1685">
        <f t="shared" si="183"/>
        <v>0.2</v>
      </c>
      <c r="BN132" s="1686">
        <f t="shared" si="169"/>
        <v>-1.6547397260274681E-3</v>
      </c>
      <c r="BP132" s="1756" t="str">
        <f t="shared" si="170"/>
        <v/>
      </c>
      <c r="BQ132" s="1685" t="str">
        <f t="shared" si="146"/>
        <v>--</v>
      </c>
    </row>
    <row r="133" spans="1:69">
      <c r="A133" t="s">
        <v>321</v>
      </c>
      <c r="B133" t="s">
        <v>322</v>
      </c>
      <c r="C133" s="1684" t="str">
        <f t="shared" si="226"/>
        <v>--</v>
      </c>
      <c r="D133" s="1685" t="str">
        <f t="shared" si="222"/>
        <v>--</v>
      </c>
      <c r="E133" s="1686" t="str">
        <f t="shared" si="175"/>
        <v/>
      </c>
      <c r="F133" s="1684">
        <f t="shared" si="227"/>
        <v>1444.4015205139203</v>
      </c>
      <c r="G133" s="1760" t="str">
        <f t="shared" si="223"/>
        <v>1400b</v>
      </c>
      <c r="H133" s="1688" t="e">
        <f t="shared" si="171"/>
        <v>#VALUE!</v>
      </c>
      <c r="I133" s="1685">
        <f t="shared" si="121"/>
        <v>1444.4015205139203</v>
      </c>
      <c r="J133" s="1760">
        <f t="shared" si="122"/>
        <v>0</v>
      </c>
      <c r="K133" s="1685">
        <f t="shared" si="228"/>
        <v>4900</v>
      </c>
      <c r="L133" s="1686">
        <f t="shared" si="150"/>
        <v>-2.3924085030432343</v>
      </c>
      <c r="M133" s="1684" t="str">
        <f t="shared" si="229"/>
        <v>--</v>
      </c>
      <c r="N133" s="1685" t="str">
        <f t="shared" si="224"/>
        <v>--</v>
      </c>
      <c r="O133" s="1686" t="str">
        <f t="shared" si="123"/>
        <v/>
      </c>
      <c r="P133" s="1684">
        <f t="shared" si="230"/>
        <v>7142.7926929519208</v>
      </c>
      <c r="Q133" s="1685" t="str">
        <f t="shared" si="225"/>
        <v>7300b</v>
      </c>
      <c r="R133" s="1688">
        <v>0</v>
      </c>
      <c r="S133" s="1685">
        <f t="shared" si="153"/>
        <v>7142.7926929519208</v>
      </c>
      <c r="T133" s="1685">
        <f t="shared" si="176"/>
        <v>0</v>
      </c>
      <c r="U133" s="1685">
        <f t="shared" si="231"/>
        <v>47000</v>
      </c>
      <c r="V133" s="1686">
        <f t="shared" si="172"/>
        <v>-5.5800593717884013</v>
      </c>
      <c r="W133" s="1756" t="str">
        <f t="shared" si="154"/>
        <v>*</v>
      </c>
      <c r="X133" s="1685" t="str">
        <f t="shared" si="208"/>
        <v>--</v>
      </c>
      <c r="Z133" t="str">
        <f t="shared" si="209"/>
        <v>--</v>
      </c>
      <c r="AA133" t="str">
        <f t="shared" si="210"/>
        <v>--</v>
      </c>
      <c r="AB133" t="str">
        <f t="shared" si="211"/>
        <v>--</v>
      </c>
      <c r="AC133" t="str">
        <f t="shared" si="212"/>
        <v>x</v>
      </c>
      <c r="AF133" s="1684" t="str">
        <f t="shared" si="213"/>
        <v>--</v>
      </c>
      <c r="AG133" s="1685" t="str">
        <f t="shared" si="130"/>
        <v>--</v>
      </c>
      <c r="AH133" s="1686" t="str">
        <f t="shared" si="155"/>
        <v/>
      </c>
      <c r="AI133" s="1684">
        <f t="shared" si="214"/>
        <v>438</v>
      </c>
      <c r="AJ133" s="1685" t="str">
        <f t="shared" si="132"/>
        <v>1400b</v>
      </c>
      <c r="AK133" s="1688" t="e">
        <f t="shared" si="156"/>
        <v>#VALUE!</v>
      </c>
      <c r="AL133" s="1691">
        <f t="shared" si="157"/>
        <v>438</v>
      </c>
      <c r="AM133" s="1691">
        <f t="shared" si="158"/>
        <v>0</v>
      </c>
      <c r="AN133" s="1691">
        <f t="shared" si="215"/>
        <v>5200</v>
      </c>
      <c r="AO133" s="1686">
        <f t="shared" si="159"/>
        <v>-10.872146118721462</v>
      </c>
      <c r="AP133" s="1684" t="str">
        <f t="shared" si="216"/>
        <v>--</v>
      </c>
      <c r="AQ133" s="1685" t="str">
        <f t="shared" si="135"/>
        <v>--</v>
      </c>
      <c r="AR133" s="1686" t="str">
        <f t="shared" si="160"/>
        <v/>
      </c>
      <c r="AS133" s="1684">
        <f t="shared" si="217"/>
        <v>1839.6</v>
      </c>
      <c r="AT133" s="1685" t="str">
        <f t="shared" si="137"/>
        <v>1800b</v>
      </c>
      <c r="AU133" s="1688" t="e">
        <f t="shared" si="161"/>
        <v>#VALUE!</v>
      </c>
      <c r="AV133" s="1685">
        <f t="shared" si="162"/>
        <v>1839.6</v>
      </c>
      <c r="AW133" s="1685">
        <f t="shared" si="163"/>
        <v>0</v>
      </c>
      <c r="AX133" s="1685">
        <f t="shared" si="218"/>
        <v>22000</v>
      </c>
      <c r="AY133" s="1686">
        <f t="shared" si="164"/>
        <v>-10.959121548162646</v>
      </c>
      <c r="AZ133" s="727" t="s">
        <v>4202</v>
      </c>
      <c r="BA133" s="1756" t="str">
        <f t="shared" si="219"/>
        <v>*</v>
      </c>
      <c r="BB133" s="1685" t="str">
        <f t="shared" si="140"/>
        <v>V</v>
      </c>
      <c r="BC133" s="1685" t="str">
        <f t="shared" si="141"/>
        <v>--</v>
      </c>
      <c r="BE133" s="1684" t="str">
        <f t="shared" si="220"/>
        <v>--</v>
      </c>
      <c r="BF133" s="1685" t="str">
        <f t="shared" si="143"/>
        <v>--</v>
      </c>
      <c r="BG133" s="1686" t="str">
        <f t="shared" si="165"/>
        <v/>
      </c>
      <c r="BH133" s="1684">
        <f t="shared" si="221"/>
        <v>511.88772769879165</v>
      </c>
      <c r="BI133" s="1760" t="str">
        <f t="shared" si="145"/>
        <v>510b</v>
      </c>
      <c r="BJ133" s="1688" t="e">
        <f t="shared" si="166"/>
        <v>#VALUE!</v>
      </c>
      <c r="BK133" s="1685">
        <f t="shared" si="167"/>
        <v>511.88772769879165</v>
      </c>
      <c r="BL133" s="1760">
        <f t="shared" si="168"/>
        <v>0</v>
      </c>
      <c r="BM133" s="1685">
        <f t="shared" si="183"/>
        <v>1100</v>
      </c>
      <c r="BN133" s="1686">
        <f t="shared" si="169"/>
        <v>-1.1489087166537215</v>
      </c>
      <c r="BP133" s="1756" t="str">
        <f t="shared" si="170"/>
        <v>*</v>
      </c>
      <c r="BQ133" s="1685" t="str">
        <f t="shared" si="146"/>
        <v>--</v>
      </c>
    </row>
    <row r="134" spans="1:69">
      <c r="A134" t="s">
        <v>323</v>
      </c>
      <c r="B134" t="s">
        <v>324</v>
      </c>
      <c r="C134" s="1684">
        <f t="shared" si="226"/>
        <v>0.45214083768107488</v>
      </c>
      <c r="D134" s="1685">
        <f t="shared" si="222"/>
        <v>0.45</v>
      </c>
      <c r="E134" s="1686">
        <f t="shared" si="175"/>
        <v>4.7348912167605294E-3</v>
      </c>
      <c r="F134" s="1684">
        <f t="shared" si="227"/>
        <v>5.6892311600143186</v>
      </c>
      <c r="G134" s="1685" t="str">
        <f t="shared" si="223"/>
        <v/>
      </c>
      <c r="H134" s="1688" t="str">
        <f t="shared" si="171"/>
        <v/>
      </c>
      <c r="I134" s="1685">
        <f t="shared" si="121"/>
        <v>0.45214083768107488</v>
      </c>
      <c r="J134" s="1685">
        <f t="shared" si="122"/>
        <v>0.45</v>
      </c>
      <c r="K134" s="1685">
        <f t="shared" si="228"/>
        <v>0.49</v>
      </c>
      <c r="L134" s="1686">
        <f t="shared" si="150"/>
        <v>-8.3733118452860716E-2</v>
      </c>
      <c r="M134" s="1684">
        <f t="shared" si="229"/>
        <v>1.9148093171810252</v>
      </c>
      <c r="N134" s="1685">
        <f t="shared" si="224"/>
        <v>1.6</v>
      </c>
      <c r="O134" s="1689">
        <f t="shared" si="123"/>
        <v>0.16440765895399242</v>
      </c>
      <c r="P134" s="1684">
        <f t="shared" si="230"/>
        <v>73.859644192125018</v>
      </c>
      <c r="Q134" s="1685">
        <f t="shared" si="225"/>
        <v>61</v>
      </c>
      <c r="R134" s="1690">
        <f t="shared" si="173"/>
        <v>0.17410920852359216</v>
      </c>
      <c r="S134" s="1685">
        <f t="shared" si="153"/>
        <v>1.9148093171810252</v>
      </c>
      <c r="T134" s="1685">
        <f t="shared" si="176"/>
        <v>1.6</v>
      </c>
      <c r="U134" s="1685">
        <f t="shared" si="231"/>
        <v>2.1</v>
      </c>
      <c r="V134" s="1686">
        <f t="shared" si="172"/>
        <v>-9.671494762288492E-2</v>
      </c>
      <c r="W134" s="1756" t="str">
        <f t="shared" si="154"/>
        <v>*</v>
      </c>
      <c r="X134" s="1685" t="str">
        <f t="shared" si="208"/>
        <v>--</v>
      </c>
      <c r="Z134" t="str">
        <f t="shared" si="209"/>
        <v>x</v>
      </c>
      <c r="AA134" t="str">
        <f t="shared" si="210"/>
        <v>--</v>
      </c>
      <c r="AB134" t="str">
        <f t="shared" si="211"/>
        <v>--</v>
      </c>
      <c r="AC134" t="str">
        <f t="shared" si="212"/>
        <v>--</v>
      </c>
      <c r="AF134" s="1684" t="str">
        <f t="shared" si="213"/>
        <v>--</v>
      </c>
      <c r="AG134" s="1685" t="str">
        <f t="shared" si="130"/>
        <v/>
      </c>
      <c r="AH134" s="1686" t="str">
        <f t="shared" si="155"/>
        <v/>
      </c>
      <c r="AI134" s="1684" t="str">
        <f t="shared" si="214"/>
        <v>--</v>
      </c>
      <c r="AJ134" s="1685" t="str">
        <f t="shared" si="132"/>
        <v/>
      </c>
      <c r="AK134" s="1688" t="str">
        <f t="shared" si="156"/>
        <v/>
      </c>
      <c r="AL134" s="1685">
        <f t="shared" si="157"/>
        <v>0</v>
      </c>
      <c r="AM134" s="1685" t="str">
        <f t="shared" si="158"/>
        <v/>
      </c>
      <c r="AN134" s="1685">
        <f t="shared" si="215"/>
        <v>8.8000000000000005E-3</v>
      </c>
      <c r="AO134" s="1686" t="e">
        <f t="shared" si="159"/>
        <v>#DIV/0!</v>
      </c>
      <c r="AP134" s="1684" t="str">
        <f t="shared" si="216"/>
        <v>--</v>
      </c>
      <c r="AQ134" s="1685" t="str">
        <f t="shared" si="135"/>
        <v/>
      </c>
      <c r="AR134" s="1686" t="str">
        <f t="shared" si="160"/>
        <v/>
      </c>
      <c r="AS134" s="1684" t="str">
        <f t="shared" si="217"/>
        <v>--</v>
      </c>
      <c r="AT134" s="1685" t="str">
        <f t="shared" si="137"/>
        <v/>
      </c>
      <c r="AU134" s="1688" t="str">
        <f t="shared" si="161"/>
        <v/>
      </c>
      <c r="AV134" s="1685">
        <f t="shared" si="162"/>
        <v>0</v>
      </c>
      <c r="AW134" s="1685" t="str">
        <f t="shared" si="163"/>
        <v/>
      </c>
      <c r="AX134" s="1685">
        <f t="shared" si="218"/>
        <v>3.7999999999999999E-2</v>
      </c>
      <c r="AY134" s="1686" t="e">
        <f t="shared" si="164"/>
        <v>#DIV/0!</v>
      </c>
      <c r="BA134" s="1756" t="str">
        <f t="shared" si="219"/>
        <v>*</v>
      </c>
      <c r="BB134" s="1685" t="str">
        <f t="shared" si="140"/>
        <v>--</v>
      </c>
      <c r="BC134" s="1685" t="str">
        <f t="shared" si="141"/>
        <v>--</v>
      </c>
      <c r="BE134" s="1684">
        <f t="shared" si="220"/>
        <v>6.4923514763429391E-2</v>
      </c>
      <c r="BF134" s="1685">
        <f t="shared" si="143"/>
        <v>6.5000000000000002E-2</v>
      </c>
      <c r="BG134" s="1686">
        <f t="shared" si="165"/>
        <v>-1.1780821917807605E-3</v>
      </c>
      <c r="BH134" s="1684">
        <f t="shared" si="221"/>
        <v>1.804945054945055</v>
      </c>
      <c r="BI134" s="1685" t="str">
        <f t="shared" si="145"/>
        <v/>
      </c>
      <c r="BJ134" s="1688" t="str">
        <f t="shared" si="166"/>
        <v/>
      </c>
      <c r="BK134" s="1685">
        <f t="shared" si="167"/>
        <v>6.4923514763429391E-2</v>
      </c>
      <c r="BL134" s="1685">
        <f t="shared" si="168"/>
        <v>6.5000000000000002E-2</v>
      </c>
      <c r="BM134" s="1685">
        <f t="shared" ref="BM134:BM145" si="232">IF(VLOOKUP($B134,Table_RSL_SL,MATCH("tap",Heading_RSL_SL,0),FALSE)=0,"--",VLOOKUP($B134,Table_RSL_SL,MATCH("tap",Heading_RSL_SL,0),FALSE))</f>
        <v>7.0999999999999994E-2</v>
      </c>
      <c r="BN134" s="1686">
        <f t="shared" si="169"/>
        <v>-9.3594520547945009E-2</v>
      </c>
      <c r="BP134" s="1756" t="str">
        <f t="shared" si="170"/>
        <v>*</v>
      </c>
      <c r="BQ134" s="1685" t="str">
        <f t="shared" si="146"/>
        <v>--</v>
      </c>
    </row>
    <row r="135" spans="1:69" ht="15">
      <c r="A135" t="s">
        <v>325</v>
      </c>
      <c r="B135" t="s">
        <v>326</v>
      </c>
      <c r="C135" s="1684">
        <f t="shared" si="226"/>
        <v>23.973727422003286</v>
      </c>
      <c r="D135" s="1685">
        <f t="shared" si="222"/>
        <v>7.8</v>
      </c>
      <c r="E135" s="1692">
        <f t="shared" si="175"/>
        <v>0.67464383561643837</v>
      </c>
      <c r="F135" s="1684">
        <f t="shared" si="227"/>
        <v>57.799977770359433</v>
      </c>
      <c r="G135" s="1685" t="str">
        <f t="shared" si="223"/>
        <v/>
      </c>
      <c r="H135" s="1688" t="str">
        <f t="shared" si="171"/>
        <v/>
      </c>
      <c r="I135" s="1685">
        <f t="shared" si="121"/>
        <v>23.973727422003286</v>
      </c>
      <c r="J135" s="1685">
        <f t="shared" si="122"/>
        <v>7.8</v>
      </c>
      <c r="K135" s="1685">
        <f t="shared" si="228"/>
        <v>24</v>
      </c>
      <c r="L135" s="1686">
        <f t="shared" si="150"/>
        <v>-1.0958904109588286E-3</v>
      </c>
      <c r="M135" s="1684">
        <f t="shared" si="229"/>
        <v>112.77241379310345</v>
      </c>
      <c r="N135" s="1685">
        <f t="shared" si="224"/>
        <v>35</v>
      </c>
      <c r="O135" s="1692">
        <f t="shared" si="123"/>
        <v>0.68964041095890416</v>
      </c>
      <c r="P135" s="1684">
        <f t="shared" si="230"/>
        <v>251.50610070330526</v>
      </c>
      <c r="Q135" s="1685" t="str">
        <f t="shared" si="225"/>
        <v/>
      </c>
      <c r="R135" s="1688" t="str">
        <f t="shared" si="173"/>
        <v/>
      </c>
      <c r="S135" s="1685">
        <f t="shared" si="153"/>
        <v>112.77241379310345</v>
      </c>
      <c r="T135" s="1685">
        <f t="shared" si="176"/>
        <v>35</v>
      </c>
      <c r="U135" s="1685">
        <f t="shared" si="231"/>
        <v>110</v>
      </c>
      <c r="V135" s="1686">
        <f t="shared" si="172"/>
        <v>2.4584148727984388E-2</v>
      </c>
      <c r="W135" s="1756" t="str">
        <f t="shared" si="154"/>
        <v/>
      </c>
      <c r="X135" s="1685" t="str">
        <f t="shared" si="208"/>
        <v>Route IUR</v>
      </c>
      <c r="Z135" t="str">
        <f t="shared" si="209"/>
        <v>--</v>
      </c>
      <c r="AA135" t="str">
        <f t="shared" si="210"/>
        <v>--</v>
      </c>
      <c r="AB135" t="str">
        <f t="shared" si="211"/>
        <v>--</v>
      </c>
      <c r="AC135" t="str">
        <f t="shared" si="212"/>
        <v>--</v>
      </c>
      <c r="AF135" s="1684" t="str">
        <f t="shared" si="213"/>
        <v>--</v>
      </c>
      <c r="AG135" s="1685">
        <f t="shared" si="130"/>
        <v>0.38</v>
      </c>
      <c r="AH135" s="1686" t="e">
        <f t="shared" si="155"/>
        <v>#VALUE!</v>
      </c>
      <c r="AI135" s="1684">
        <f t="shared" si="214"/>
        <v>2.0857142857142859</v>
      </c>
      <c r="AJ135" s="1685" t="str">
        <f t="shared" si="132"/>
        <v/>
      </c>
      <c r="AK135" s="1688" t="str">
        <f t="shared" si="156"/>
        <v/>
      </c>
      <c r="AL135" s="1685">
        <f t="shared" si="157"/>
        <v>2.0857142857142859</v>
      </c>
      <c r="AM135" s="1685">
        <f t="shared" si="158"/>
        <v>0.38</v>
      </c>
      <c r="AN135" s="1685">
        <f t="shared" si="215"/>
        <v>2.1</v>
      </c>
      <c r="AO135" s="1686">
        <f t="shared" si="159"/>
        <v>-6.849315068493126E-3</v>
      </c>
      <c r="AP135" s="1684" t="str">
        <f t="shared" si="216"/>
        <v>--</v>
      </c>
      <c r="AQ135" s="1685">
        <f t="shared" si="135"/>
        <v>1.7</v>
      </c>
      <c r="AR135" s="1686" t="e">
        <f t="shared" si="160"/>
        <v>#VALUE!</v>
      </c>
      <c r="AS135" s="1684">
        <f t="shared" si="217"/>
        <v>8.76</v>
      </c>
      <c r="AT135" s="1685" t="str">
        <f t="shared" si="137"/>
        <v/>
      </c>
      <c r="AU135" s="1688" t="str">
        <f t="shared" si="161"/>
        <v/>
      </c>
      <c r="AV135" s="1685">
        <f t="shared" si="162"/>
        <v>8.76</v>
      </c>
      <c r="AW135" s="1685">
        <f t="shared" si="163"/>
        <v>1.7</v>
      </c>
      <c r="AX135" s="1685">
        <f t="shared" si="218"/>
        <v>8.8000000000000007</v>
      </c>
      <c r="AY135" s="1686">
        <f t="shared" si="164"/>
        <v>-4.566210045662206E-3</v>
      </c>
      <c r="BA135" s="1756" t="str">
        <f t="shared" si="219"/>
        <v/>
      </c>
      <c r="BB135" s="1685" t="str">
        <f t="shared" si="140"/>
        <v>V</v>
      </c>
      <c r="BC135" s="1685" t="str">
        <f t="shared" si="141"/>
        <v>Route IUR</v>
      </c>
      <c r="BE135" s="1684">
        <f t="shared" si="220"/>
        <v>1.1543943553643614</v>
      </c>
      <c r="BF135" s="1685">
        <f t="shared" si="143"/>
        <v>0.46</v>
      </c>
      <c r="BG135" s="1686">
        <f t="shared" si="165"/>
        <v>0.60152265310166886</v>
      </c>
      <c r="BH135" s="1684">
        <f t="shared" si="221"/>
        <v>3.9872559385618862</v>
      </c>
      <c r="BI135" s="1685" t="str">
        <f t="shared" si="145"/>
        <v/>
      </c>
      <c r="BJ135" s="1688" t="str">
        <f t="shared" si="166"/>
        <v/>
      </c>
      <c r="BK135" s="1685">
        <f t="shared" si="167"/>
        <v>1.1543943553643614</v>
      </c>
      <c r="BL135" s="1685">
        <f t="shared" si="168"/>
        <v>0.46</v>
      </c>
      <c r="BM135" s="1685">
        <f t="shared" si="232"/>
        <v>1.2</v>
      </c>
      <c r="BN135" s="1686">
        <f t="shared" si="169"/>
        <v>-3.9506122343472512E-2</v>
      </c>
      <c r="BP135" s="1756" t="str">
        <f t="shared" si="170"/>
        <v/>
      </c>
      <c r="BQ135" s="1685" t="str">
        <f t="shared" si="146"/>
        <v>Route IUR</v>
      </c>
    </row>
    <row r="136" spans="1:69">
      <c r="A136" t="s">
        <v>327</v>
      </c>
      <c r="B136" t="s">
        <v>328</v>
      </c>
      <c r="C136" s="1684" t="str">
        <f t="shared" si="226"/>
        <v>--</v>
      </c>
      <c r="D136" s="1685" t="str">
        <f t="shared" si="222"/>
        <v>--</v>
      </c>
      <c r="E136" s="1686" t="str">
        <f t="shared" si="175"/>
        <v/>
      </c>
      <c r="F136" s="1684">
        <f t="shared" si="227"/>
        <v>1701.2198140508713</v>
      </c>
      <c r="G136" s="1685">
        <f t="shared" si="223"/>
        <v>1700</v>
      </c>
      <c r="H136" s="1688">
        <f t="shared" si="171"/>
        <v>7.1702318583199162E-4</v>
      </c>
      <c r="I136" s="1685">
        <f t="shared" si="121"/>
        <v>1701.2198140508713</v>
      </c>
      <c r="J136" s="1685">
        <f t="shared" si="122"/>
        <v>1700</v>
      </c>
      <c r="K136" s="1685">
        <f t="shared" si="228"/>
        <v>8100</v>
      </c>
      <c r="L136" s="1686">
        <f t="shared" si="150"/>
        <v>-3.7612894777616237</v>
      </c>
      <c r="M136" s="1684" t="str">
        <f t="shared" si="229"/>
        <v>--</v>
      </c>
      <c r="N136" s="1685" t="str">
        <f t="shared" si="224"/>
        <v>--</v>
      </c>
      <c r="O136" s="1686" t="str">
        <f t="shared" si="123"/>
        <v/>
      </c>
      <c r="P136" s="1684">
        <f t="shared" si="230"/>
        <v>7061.9906916737436</v>
      </c>
      <c r="Q136" s="1685">
        <f t="shared" si="225"/>
        <v>7200</v>
      </c>
      <c r="R136" s="1688">
        <f t="shared" si="173"/>
        <v>-1.9542550302278455E-2</v>
      </c>
      <c r="S136" s="1685">
        <f t="shared" si="153"/>
        <v>7061.9906916737436</v>
      </c>
      <c r="T136" s="1685">
        <f t="shared" si="176"/>
        <v>7200</v>
      </c>
      <c r="U136" s="1685">
        <f t="shared" si="231"/>
        <v>36000</v>
      </c>
      <c r="V136" s="1686">
        <f t="shared" si="172"/>
        <v>-4.0977127515113922</v>
      </c>
      <c r="W136" s="1756" t="str">
        <f t="shared" si="154"/>
        <v>*</v>
      </c>
      <c r="X136" s="1685" t="str">
        <f t="shared" si="208"/>
        <v>--</v>
      </c>
      <c r="Z136" t="str">
        <f t="shared" si="209"/>
        <v>--</v>
      </c>
      <c r="AA136" t="str">
        <f t="shared" si="210"/>
        <v>--</v>
      </c>
      <c r="AB136" t="str">
        <f t="shared" si="211"/>
        <v>--</v>
      </c>
      <c r="AC136" t="str">
        <f t="shared" si="212"/>
        <v>x</v>
      </c>
      <c r="AF136" s="1684" t="str">
        <f t="shared" si="213"/>
        <v>--</v>
      </c>
      <c r="AG136" s="1685" t="str">
        <f t="shared" si="130"/>
        <v>--</v>
      </c>
      <c r="AH136" s="1686" t="str">
        <f t="shared" si="155"/>
        <v/>
      </c>
      <c r="AI136" s="1684">
        <f t="shared" si="214"/>
        <v>1042.8571428571429</v>
      </c>
      <c r="AJ136" s="1685">
        <f t="shared" si="132"/>
        <v>1700</v>
      </c>
      <c r="AK136" s="1688">
        <f t="shared" si="156"/>
        <v>-0.63013698630136983</v>
      </c>
      <c r="AL136" s="1691">
        <f t="shared" si="157"/>
        <v>1042.8571428571429</v>
      </c>
      <c r="AM136" s="1691">
        <f t="shared" si="158"/>
        <v>1700</v>
      </c>
      <c r="AN136" s="1691">
        <f t="shared" si="215"/>
        <v>5200</v>
      </c>
      <c r="AO136" s="1686">
        <f t="shared" si="159"/>
        <v>-3.9863013698630132</v>
      </c>
      <c r="AP136" s="1684" t="str">
        <f t="shared" si="216"/>
        <v>--</v>
      </c>
      <c r="AQ136" s="1685" t="str">
        <f t="shared" si="135"/>
        <v>--</v>
      </c>
      <c r="AR136" s="1686" t="str">
        <f t="shared" si="160"/>
        <v/>
      </c>
      <c r="AS136" s="1684">
        <f t="shared" si="217"/>
        <v>4380</v>
      </c>
      <c r="AT136" s="1685">
        <f t="shared" si="137"/>
        <v>4400</v>
      </c>
      <c r="AU136" s="1688">
        <f t="shared" si="161"/>
        <v>-4.5662100456621002E-3</v>
      </c>
      <c r="AV136" s="1685">
        <f t="shared" si="162"/>
        <v>4380</v>
      </c>
      <c r="AW136" s="1685">
        <f t="shared" si="163"/>
        <v>4400</v>
      </c>
      <c r="AX136" s="1685">
        <f t="shared" si="218"/>
        <v>22000</v>
      </c>
      <c r="AY136" s="1686">
        <f t="shared" si="164"/>
        <v>-4.0228310502283104</v>
      </c>
      <c r="AZ136" s="727" t="s">
        <v>4203</v>
      </c>
      <c r="BA136" s="1756" t="str">
        <f t="shared" si="219"/>
        <v>*</v>
      </c>
      <c r="BB136" s="1685" t="str">
        <f t="shared" si="140"/>
        <v>V</v>
      </c>
      <c r="BC136" s="1685" t="str">
        <f t="shared" si="141"/>
        <v>--</v>
      </c>
      <c r="BE136" s="1684" t="str">
        <f t="shared" si="220"/>
        <v>--</v>
      </c>
      <c r="BF136" s="1685" t="str">
        <f t="shared" si="143"/>
        <v>--</v>
      </c>
      <c r="BG136" s="1686" t="str">
        <f t="shared" si="165"/>
        <v/>
      </c>
      <c r="BH136" s="1684">
        <f t="shared" si="221"/>
        <v>1967.0556716786834</v>
      </c>
      <c r="BI136" s="1685">
        <f t="shared" si="145"/>
        <v>2000</v>
      </c>
      <c r="BJ136" s="1688">
        <f t="shared" si="166"/>
        <v>-1.674804063537353E-2</v>
      </c>
      <c r="BK136" s="1685">
        <f t="shared" si="167"/>
        <v>1967.0556716786834</v>
      </c>
      <c r="BL136" s="1685">
        <f t="shared" si="168"/>
        <v>2000</v>
      </c>
      <c r="BM136" s="1685">
        <f t="shared" si="232"/>
        <v>8000</v>
      </c>
      <c r="BN136" s="1686">
        <f t="shared" si="169"/>
        <v>-3.0669921625414944</v>
      </c>
      <c r="BP136" s="1756" t="str">
        <f t="shared" si="170"/>
        <v>*</v>
      </c>
      <c r="BQ136" s="1685" t="str">
        <f t="shared" si="146"/>
        <v>--</v>
      </c>
    </row>
    <row r="137" spans="1:69">
      <c r="A137" t="s">
        <v>329</v>
      </c>
      <c r="B137" t="s">
        <v>330</v>
      </c>
      <c r="C137" s="1684">
        <f t="shared" si="226"/>
        <v>1.147687774376893</v>
      </c>
      <c r="D137" s="1685" t="str">
        <f t="shared" si="222"/>
        <v/>
      </c>
      <c r="E137" s="1686" t="str">
        <f t="shared" si="175"/>
        <v/>
      </c>
      <c r="F137" s="1684">
        <f t="shared" si="227"/>
        <v>1.4985835594279118</v>
      </c>
      <c r="G137" s="1685" t="str">
        <f t="shared" si="223"/>
        <v/>
      </c>
      <c r="H137" s="1688" t="str">
        <f t="shared" si="171"/>
        <v/>
      </c>
      <c r="I137" s="1685">
        <f t="shared" si="121"/>
        <v>1.147687774376893</v>
      </c>
      <c r="J137" s="1685" t="str">
        <f t="shared" si="122"/>
        <v/>
      </c>
      <c r="K137" s="1685">
        <f t="shared" si="228"/>
        <v>1.1000000000000001</v>
      </c>
      <c r="L137" s="1686">
        <f t="shared" si="150"/>
        <v>4.1551173970450016E-2</v>
      </c>
      <c r="M137" s="1684">
        <f t="shared" si="229"/>
        <v>4.9574806495230073</v>
      </c>
      <c r="N137" s="1685" t="str">
        <f t="shared" si="224"/>
        <v/>
      </c>
      <c r="O137" s="1686" t="str">
        <f t="shared" si="123"/>
        <v/>
      </c>
      <c r="P137" s="1684">
        <f t="shared" si="230"/>
        <v>6.1933097678704883</v>
      </c>
      <c r="Q137" s="1685" t="str">
        <f t="shared" si="225"/>
        <v/>
      </c>
      <c r="R137" s="1688" t="str">
        <f t="shared" si="173"/>
        <v/>
      </c>
      <c r="S137" s="1685">
        <f t="shared" si="153"/>
        <v>4.9574806495230073</v>
      </c>
      <c r="T137" s="1685" t="str">
        <f t="shared" si="176"/>
        <v/>
      </c>
      <c r="U137" s="1685">
        <f t="shared" si="231"/>
        <v>5</v>
      </c>
      <c r="V137" s="1686">
        <f t="shared" si="172"/>
        <v>-8.5768061406520692E-3</v>
      </c>
      <c r="W137" s="1756" t="str">
        <f t="shared" si="154"/>
        <v/>
      </c>
      <c r="X137" s="1685" t="str">
        <f t="shared" si="208"/>
        <v>--</v>
      </c>
      <c r="Z137" t="str">
        <f t="shared" si="209"/>
        <v>--</v>
      </c>
      <c r="AA137" t="str">
        <f t="shared" si="210"/>
        <v>--</v>
      </c>
      <c r="AB137" t="str">
        <f t="shared" si="211"/>
        <v>--</v>
      </c>
      <c r="AC137" t="str">
        <f t="shared" si="212"/>
        <v>--</v>
      </c>
      <c r="AF137" s="1684">
        <f t="shared" si="213"/>
        <v>0.17548076923076919</v>
      </c>
      <c r="AG137" s="1685" t="str">
        <f t="shared" si="130"/>
        <v/>
      </c>
      <c r="AH137" s="1686" t="str">
        <f t="shared" si="155"/>
        <v/>
      </c>
      <c r="AI137" s="1684">
        <f t="shared" si="214"/>
        <v>0.20857142857142857</v>
      </c>
      <c r="AJ137" s="1685" t="str">
        <f t="shared" si="132"/>
        <v/>
      </c>
      <c r="AK137" s="1688" t="str">
        <f t="shared" si="156"/>
        <v/>
      </c>
      <c r="AL137" s="1685">
        <f t="shared" si="157"/>
        <v>0.17548076923076919</v>
      </c>
      <c r="AM137" s="1685" t="str">
        <f t="shared" si="158"/>
        <v/>
      </c>
      <c r="AN137" s="1685">
        <f t="shared" si="215"/>
        <v>0.18</v>
      </c>
      <c r="AO137" s="1686">
        <f t="shared" si="159"/>
        <v>-2.5753424657534444E-2</v>
      </c>
      <c r="AP137" s="1684">
        <f t="shared" si="216"/>
        <v>0.76649999999999985</v>
      </c>
      <c r="AQ137" s="1685" t="str">
        <f t="shared" si="135"/>
        <v/>
      </c>
      <c r="AR137" s="1686" t="str">
        <f t="shared" si="160"/>
        <v/>
      </c>
      <c r="AS137" s="1684">
        <f t="shared" si="217"/>
        <v>0.87599999999999989</v>
      </c>
      <c r="AT137" s="1685" t="str">
        <f t="shared" si="137"/>
        <v/>
      </c>
      <c r="AU137" s="1688" t="str">
        <f t="shared" si="161"/>
        <v/>
      </c>
      <c r="AV137" s="1685">
        <f t="shared" si="162"/>
        <v>0.76649999999999985</v>
      </c>
      <c r="AW137" s="1685" t="str">
        <f t="shared" si="163"/>
        <v/>
      </c>
      <c r="AX137" s="1685">
        <f t="shared" si="218"/>
        <v>0.77</v>
      </c>
      <c r="AY137" s="1686">
        <f t="shared" si="164"/>
        <v>-4.5662100456623231E-3</v>
      </c>
      <c r="BA137" s="1756" t="str">
        <f t="shared" si="219"/>
        <v/>
      </c>
      <c r="BB137" s="1685" t="str">
        <f t="shared" si="140"/>
        <v>V</v>
      </c>
      <c r="BC137" s="1685" t="str">
        <f t="shared" si="141"/>
        <v>--</v>
      </c>
      <c r="BE137" s="1684">
        <f t="shared" si="220"/>
        <v>0.2753400429864914</v>
      </c>
      <c r="BF137" s="1685" t="str">
        <f t="shared" si="143"/>
        <v/>
      </c>
      <c r="BG137" s="1686" t="str">
        <f t="shared" si="165"/>
        <v/>
      </c>
      <c r="BH137" s="1684">
        <f t="shared" si="221"/>
        <v>0.41484753961311749</v>
      </c>
      <c r="BI137" s="1685" t="str">
        <f t="shared" si="145"/>
        <v/>
      </c>
      <c r="BJ137" s="1688" t="str">
        <f t="shared" si="166"/>
        <v/>
      </c>
      <c r="BK137" s="1685">
        <f t="shared" si="167"/>
        <v>0.2753400429864914</v>
      </c>
      <c r="BL137" s="1685" t="str">
        <f t="shared" si="168"/>
        <v/>
      </c>
      <c r="BM137" s="1685">
        <f t="shared" si="232"/>
        <v>0.28000000000000003</v>
      </c>
      <c r="BN137" s="1686">
        <f t="shared" si="169"/>
        <v>-1.6924370908655867E-2</v>
      </c>
      <c r="BP137" s="1756" t="str">
        <f t="shared" si="170"/>
        <v/>
      </c>
      <c r="BQ137" s="1685" t="str">
        <f t="shared" si="146"/>
        <v>--</v>
      </c>
    </row>
    <row r="138" spans="1:69">
      <c r="A138" t="s">
        <v>331</v>
      </c>
      <c r="B138" t="s">
        <v>332</v>
      </c>
      <c r="C138" s="1684">
        <f t="shared" si="226"/>
        <v>0.94322350821413881</v>
      </c>
      <c r="D138" s="1685" t="str">
        <f t="shared" si="222"/>
        <v/>
      </c>
      <c r="E138" s="1686" t="str">
        <f t="shared" si="175"/>
        <v/>
      </c>
      <c r="F138" s="1684">
        <f t="shared" si="227"/>
        <v>4.1221571353619346</v>
      </c>
      <c r="G138" s="1685" t="str">
        <f t="shared" si="223"/>
        <v/>
      </c>
      <c r="H138" s="1688" t="str">
        <f t="shared" si="171"/>
        <v/>
      </c>
      <c r="I138" s="1685">
        <f t="shared" si="121"/>
        <v>0.94322350821413881</v>
      </c>
      <c r="J138" s="1685" t="str">
        <f t="shared" si="122"/>
        <v/>
      </c>
      <c r="K138" s="1685">
        <f t="shared" si="228"/>
        <v>0.94</v>
      </c>
      <c r="L138" s="1686">
        <f t="shared" si="150"/>
        <v>3.417544395434036E-3</v>
      </c>
      <c r="M138" s="1684">
        <f t="shared" si="229"/>
        <v>5.9387260045173811</v>
      </c>
      <c r="N138" s="1685" t="str">
        <f t="shared" si="224"/>
        <v/>
      </c>
      <c r="O138" s="1686" t="str">
        <f t="shared" si="123"/>
        <v/>
      </c>
      <c r="P138" s="1684">
        <f t="shared" si="230"/>
        <v>18.379916689495747</v>
      </c>
      <c r="Q138" s="1685" t="str">
        <f t="shared" si="225"/>
        <v/>
      </c>
      <c r="R138" s="1688" t="str">
        <f t="shared" si="173"/>
        <v/>
      </c>
      <c r="S138" s="1685">
        <f t="shared" si="153"/>
        <v>5.9387260045173811</v>
      </c>
      <c r="T138" s="1685" t="str">
        <f t="shared" si="176"/>
        <v/>
      </c>
      <c r="U138" s="1685">
        <f t="shared" si="231"/>
        <v>6</v>
      </c>
      <c r="V138" s="1686">
        <f t="shared" si="172"/>
        <v>-1.0317700368060411E-2</v>
      </c>
      <c r="W138" s="1756" t="str">
        <f t="shared" si="154"/>
        <v/>
      </c>
      <c r="X138" s="1685" t="str">
        <f t="shared" si="208"/>
        <v>--</v>
      </c>
      <c r="Z138" t="str">
        <f t="shared" si="209"/>
        <v>--</v>
      </c>
      <c r="AA138" t="str">
        <f t="shared" si="210"/>
        <v>--</v>
      </c>
      <c r="AB138" t="str">
        <f t="shared" si="211"/>
        <v>--</v>
      </c>
      <c r="AC138" t="str">
        <f t="shared" si="212"/>
        <v>--</v>
      </c>
      <c r="AF138" s="1684">
        <f t="shared" si="213"/>
        <v>0.47831716228187426</v>
      </c>
      <c r="AG138" s="1685" t="str">
        <f t="shared" si="130"/>
        <v/>
      </c>
      <c r="AH138" s="1686" t="str">
        <f t="shared" si="155"/>
        <v/>
      </c>
      <c r="AI138" s="1684">
        <f t="shared" si="214"/>
        <v>2.0857142857142859</v>
      </c>
      <c r="AJ138" s="1685" t="str">
        <f t="shared" si="132"/>
        <v/>
      </c>
      <c r="AK138" s="1688" t="str">
        <f t="shared" si="156"/>
        <v/>
      </c>
      <c r="AL138" s="1685">
        <f t="shared" si="157"/>
        <v>0.47831716228187426</v>
      </c>
      <c r="AM138" s="1685" t="str">
        <f t="shared" si="158"/>
        <v/>
      </c>
      <c r="AN138" s="1685">
        <f t="shared" si="215"/>
        <v>0.48</v>
      </c>
      <c r="AO138" s="1686">
        <f t="shared" si="159"/>
        <v>-3.51824657534244E-3</v>
      </c>
      <c r="AP138" s="1684">
        <f t="shared" si="216"/>
        <v>2.9912195121951215</v>
      </c>
      <c r="AQ138" s="1685" t="str">
        <f t="shared" si="135"/>
        <v/>
      </c>
      <c r="AR138" s="1686" t="str">
        <f t="shared" si="160"/>
        <v/>
      </c>
      <c r="AS138" s="1684">
        <f t="shared" si="217"/>
        <v>8.76</v>
      </c>
      <c r="AT138" s="1685" t="str">
        <f t="shared" si="137"/>
        <v/>
      </c>
      <c r="AU138" s="1688" t="str">
        <f t="shared" si="161"/>
        <v/>
      </c>
      <c r="AV138" s="1685">
        <f t="shared" si="162"/>
        <v>2.9912195121951215</v>
      </c>
      <c r="AW138" s="1685" t="str">
        <f t="shared" si="163"/>
        <v/>
      </c>
      <c r="AX138" s="1685">
        <f t="shared" si="218"/>
        <v>3</v>
      </c>
      <c r="AY138" s="1686">
        <f t="shared" si="164"/>
        <v>-2.9354207436400733E-3</v>
      </c>
      <c r="BA138" s="1756" t="str">
        <f t="shared" si="219"/>
        <v/>
      </c>
      <c r="BB138" s="1685" t="str">
        <f t="shared" si="140"/>
        <v>V</v>
      </c>
      <c r="BC138" s="1685" t="str">
        <f t="shared" si="141"/>
        <v>--</v>
      </c>
      <c r="BE138" s="1684">
        <f t="shared" si="220"/>
        <v>0.49377585316143952</v>
      </c>
      <c r="BF138" s="1685" t="str">
        <f t="shared" si="143"/>
        <v/>
      </c>
      <c r="BG138" s="1686" t="str">
        <f t="shared" si="165"/>
        <v/>
      </c>
      <c r="BH138" s="1684">
        <f t="shared" si="221"/>
        <v>2.8252024217071989</v>
      </c>
      <c r="BI138" s="1685" t="str">
        <f t="shared" si="145"/>
        <v/>
      </c>
      <c r="BJ138" s="1688" t="str">
        <f t="shared" si="166"/>
        <v/>
      </c>
      <c r="BK138" s="1685">
        <f t="shared" si="167"/>
        <v>0.49377585316143952</v>
      </c>
      <c r="BL138" s="1685" t="str">
        <f t="shared" si="168"/>
        <v/>
      </c>
      <c r="BM138" s="1685">
        <f t="shared" si="232"/>
        <v>0.49</v>
      </c>
      <c r="BN138" s="1686">
        <f t="shared" si="169"/>
        <v>7.6468971442494021E-3</v>
      </c>
      <c r="BP138" s="1756" t="str">
        <f t="shared" si="170"/>
        <v/>
      </c>
      <c r="BQ138" s="1685" t="str">
        <f t="shared" si="146"/>
        <v>--</v>
      </c>
    </row>
    <row r="139" spans="1:69">
      <c r="A139" t="s">
        <v>333</v>
      </c>
      <c r="B139" t="s">
        <v>334</v>
      </c>
      <c r="C139" s="1684" t="str">
        <f t="shared" si="226"/>
        <v>--</v>
      </c>
      <c r="D139" s="1685" t="str">
        <f t="shared" si="222"/>
        <v>--</v>
      </c>
      <c r="E139" s="1686" t="str">
        <f t="shared" si="175"/>
        <v/>
      </c>
      <c r="F139" s="1684">
        <f t="shared" si="227"/>
        <v>6321.3679555714625</v>
      </c>
      <c r="G139" s="1685" t="str">
        <f t="shared" si="223"/>
        <v/>
      </c>
      <c r="H139" s="1688" t="str">
        <f t="shared" si="171"/>
        <v/>
      </c>
      <c r="I139" s="1685">
        <f t="shared" ref="I139:I145" si="233">MIN(F139,C139)</f>
        <v>6321.3679555714625</v>
      </c>
      <c r="J139" s="1685">
        <f t="shared" ref="J139:J145" si="234">IF(AND(D139="",G139=""),"",MIN(G139,D139))</f>
        <v>0</v>
      </c>
      <c r="K139" s="1685">
        <f t="shared" si="228"/>
        <v>6300</v>
      </c>
      <c r="L139" s="1686">
        <f t="shared" si="150"/>
        <v>3.3802739726026304E-3</v>
      </c>
      <c r="M139" s="1684" t="str">
        <f t="shared" si="229"/>
        <v>--</v>
      </c>
      <c r="N139" s="1685" t="str">
        <f t="shared" si="224"/>
        <v>--</v>
      </c>
      <c r="O139" s="1686" t="str">
        <f t="shared" si="123"/>
        <v/>
      </c>
      <c r="P139" s="1684">
        <f t="shared" si="230"/>
        <v>82066.271324583358</v>
      </c>
      <c r="Q139" s="1685">
        <f t="shared" si="225"/>
        <v>68000</v>
      </c>
      <c r="R139" s="1690">
        <f t="shared" si="173"/>
        <v>0.17140136986301382</v>
      </c>
      <c r="S139" s="1685">
        <f t="shared" si="153"/>
        <v>82066.271324583358</v>
      </c>
      <c r="T139" s="1685">
        <f t="shared" si="176"/>
        <v>68000</v>
      </c>
      <c r="U139" s="1685">
        <f t="shared" si="231"/>
        <v>82000</v>
      </c>
      <c r="V139" s="1686">
        <f t="shared" si="172"/>
        <v>8.0753424657550464E-4</v>
      </c>
      <c r="W139" s="1756" t="str">
        <f t="shared" si="154"/>
        <v/>
      </c>
      <c r="X139" s="1685" t="str">
        <f t="shared" ref="X139:X145" si="235">VLOOKUP($B139,Table_N10,MATCH("r",Heading_N10,0),FALSE)</f>
        <v>--</v>
      </c>
      <c r="Z139" t="str">
        <f t="shared" ref="Z139:Z145" si="236">VLOOKUP($A139,Table_RSL_C,MATCH("sfo-c",Heading_RSL_C,0),FALSE)</f>
        <v>--</v>
      </c>
      <c r="AA139" t="str">
        <f t="shared" ref="AA139:AA145" si="237">VLOOKUP($A139,Table_RSL_C,MATCH("IUR-c",Heading_RSL_C,0),FALSE)</f>
        <v>--</v>
      </c>
      <c r="AB139" t="str">
        <f t="shared" ref="AB139:AB145" si="238">VLOOKUP($A139,Table_RSL_C,MATCH("rfdo-c",Heading_RSL_C,0),FALSE)</f>
        <v>--</v>
      </c>
      <c r="AC139" t="str">
        <f t="shared" ref="AC139:AC145" si="239">VLOOKUP($A139,Table_RSL_C,MATCH("rfc-c",Heading_RSL_C,0),FALSE)</f>
        <v>--</v>
      </c>
      <c r="AF139" s="1684" t="str">
        <f t="shared" ref="AF139:AF145" si="240">VLOOKUP($A139,Table_V_Summary,MATCH("IA-Res-C",heading_V_Summary,0),FALSE)</f>
        <v>--</v>
      </c>
      <c r="AG139" s="1685" t="str">
        <f t="shared" ref="AG139:AG145" si="241">IF(VLOOKUP($A139,Table_N3,MATCH("A-Res-C",Heading_N3,0),FALSE)=0,"",VLOOKUP($A139,Table_N3,MATCH("a-Res-C",Heading_N3,0),FALSE))</f>
        <v/>
      </c>
      <c r="AH139" s="1686" t="str">
        <f t="shared" si="155"/>
        <v/>
      </c>
      <c r="AI139" s="1684" t="str">
        <f t="shared" ref="AI139:AI145" si="242">VLOOKUP($A139,Table_V_Summary,MATCH("IA-Res-nC",heading_V_Summary,0),FALSE)</f>
        <v>--</v>
      </c>
      <c r="AJ139" s="1685" t="str">
        <f t="shared" ref="AJ139:AJ145" si="243">IF(VLOOKUP($A139,Table_N3,MATCH("a-Res-nC",Heading_N3,0),FALSE)=0,"",VLOOKUP($A139,Table_N3,MATCH("S-Res-nC",Heading_N3,0),FALSE))</f>
        <v/>
      </c>
      <c r="AK139" s="1688" t="str">
        <f t="shared" si="156"/>
        <v/>
      </c>
      <c r="AL139" s="1685">
        <f t="shared" si="157"/>
        <v>0</v>
      </c>
      <c r="AM139" s="1685" t="str">
        <f t="shared" si="158"/>
        <v/>
      </c>
      <c r="AN139" s="1685" t="str">
        <f t="shared" ref="AN139:AN145" si="244">IF(VLOOKUP($B139,Table_RSL_SL,MATCH("Res-a",Heading_RSL_SL,0),FALSE)=0,"--",VLOOKUP($B139,Table_RSL_SL,MATCH("Res-a",Heading_RSL_SL,0),FALSE))</f>
        <v>--</v>
      </c>
      <c r="AO139" s="1686" t="str">
        <f t="shared" si="159"/>
        <v>N</v>
      </c>
      <c r="AP139" s="1684" t="str">
        <f t="shared" ref="AP139:AP145" si="245">VLOOKUP($A139,Table_V_Summary,MATCH("ia-com-C",heading_V_Summary,0),FALSE)</f>
        <v>--</v>
      </c>
      <c r="AQ139" s="1685" t="str">
        <f t="shared" ref="AQ139:AQ145" si="246">IF(VLOOKUP($A139,Table_N3,MATCH("a-com-C",Heading_N3,0),FALSE)=0,"",VLOOKUP($A139,Table_N3,MATCH("a-com-C",Heading_N3,0),FALSE))</f>
        <v/>
      </c>
      <c r="AR139" s="1686" t="str">
        <f t="shared" si="160"/>
        <v/>
      </c>
      <c r="AS139" s="1684" t="str">
        <f t="shared" ref="AS139:AS145" si="247">VLOOKUP($A139,Table_V_Summary,MATCH("IA-com-NC",heading_V_Summary,0),FALSE)</f>
        <v>--</v>
      </c>
      <c r="AT139" s="1685" t="str">
        <f t="shared" ref="AT139:AT145" si="248">IF(VLOOKUP($A139,Table_N3,MATCH("a-com-nC",Heading_N3,0),FALSE)=0,"",VLOOKUP($A139,Table_N3,MATCH("a-com-nC",Heading_N3,0),FALSE))</f>
        <v/>
      </c>
      <c r="AU139" s="1688" t="str">
        <f t="shared" si="161"/>
        <v/>
      </c>
      <c r="AV139" s="1685">
        <f t="shared" si="162"/>
        <v>0</v>
      </c>
      <c r="AW139" s="1685" t="str">
        <f t="shared" si="163"/>
        <v/>
      </c>
      <c r="AX139" s="1685" t="str">
        <f t="shared" ref="AX139:AX145" si="249">IF(VLOOKUP($B139,Table_RSL_SL,MATCH("Com-a",Heading_RSL_SL,0),FALSE)=0,"--",VLOOKUP($B139,Table_RSL_SL,MATCH("Com-a",Heading_RSL_SL,0),FALSE))</f>
        <v>--</v>
      </c>
      <c r="AY139" s="1686" t="str">
        <f t="shared" si="164"/>
        <v>N</v>
      </c>
      <c r="BA139" s="1756" t="str">
        <f t="shared" ref="BA139:BA145" si="250">IF(OR(Z139&lt;&gt;"--", AA139&lt;&gt;"--",AB139&lt;&gt;"--",AC139&lt;&gt;"--"),"*","")</f>
        <v/>
      </c>
      <c r="BB139" s="1685" t="str">
        <f t="shared" ref="BB139:BB145" si="251">IF(VLOOKUP($B139,Table_RSL,MATCH("V",Heading_RSL,0),FALSE)=0,"--",VLOOKUP($B139,Table_RSL,MATCH("V",Heading_RSL,0),FALSE))</f>
        <v>--</v>
      </c>
      <c r="BC139" s="1685" t="str">
        <f t="shared" ref="BC139:BC145" si="252">VLOOKUP($B139,Table_N10,MATCH("r",Heading_N10,0),FALSE)</f>
        <v>--</v>
      </c>
      <c r="BE139" s="1684" t="str">
        <f t="shared" ref="BE139:BE145" si="253">VLOOKUP($A139,Table_W_1,MATCH("W-C",heading_W_1,0),FALSE)</f>
        <v>--</v>
      </c>
      <c r="BF139" s="1685" t="str">
        <f t="shared" ref="BF139:BF145" si="254">IF(VLOOKUP($A139,Table_N3,MATCH("W-C",Heading_N3,0),FALSE)=0,"",VLOOKUP($A139,Table_N3,MATCH("W-C",Heading_N3,0),FALSE))</f>
        <v/>
      </c>
      <c r="BG139" s="1686" t="str">
        <f t="shared" si="165"/>
        <v/>
      </c>
      <c r="BH139" s="1684">
        <f t="shared" ref="BH139:BH145" si="255">VLOOKUP($A139,Table_W_1,MATCH("W-NC",heading_W_1,0),FALSE)</f>
        <v>1183.2501696420836</v>
      </c>
      <c r="BI139" s="1685" t="str">
        <f t="shared" ref="BI139:BI145" si="256">IF(VLOOKUP($A139,Table_N3,MATCH("W-NC",Heading_N3,0),FALSE)=0,"",VLOOKUP($A139,Table_N3,MATCH("W-NC",Heading_N3,0),FALSE))</f>
        <v/>
      </c>
      <c r="BJ139" s="1688" t="str">
        <f t="shared" si="166"/>
        <v/>
      </c>
      <c r="BK139" s="1685">
        <f t="shared" si="167"/>
        <v>1183.2501696420836</v>
      </c>
      <c r="BL139" s="1685" t="str">
        <f t="shared" si="168"/>
        <v/>
      </c>
      <c r="BM139" s="1685">
        <f t="shared" si="232"/>
        <v>1200</v>
      </c>
      <c r="BN139" s="1686">
        <f t="shared" si="169"/>
        <v>-1.4155781074582872E-2</v>
      </c>
      <c r="BP139" s="1756" t="str">
        <f t="shared" si="170"/>
        <v/>
      </c>
      <c r="BQ139" s="1685" t="str">
        <f t="shared" ref="BQ139:BQ145" si="257">VLOOKUP($B139,Table_N10,MATCH("r",Heading_N10,0),FALSE)</f>
        <v>--</v>
      </c>
    </row>
    <row r="140" spans="1:69">
      <c r="A140" t="s">
        <v>335</v>
      </c>
      <c r="B140" t="s">
        <v>336</v>
      </c>
      <c r="C140" s="1684">
        <f t="shared" si="226"/>
        <v>7.7509648108695872</v>
      </c>
      <c r="D140" s="1685">
        <f t="shared" ref="D140:D145" si="258">IF(VLOOKUP($A140,Table_N3,MATCH("S-Res-C",Heading_N3,0),FALSE)=0,"",VLOOKUP($A140,Table_N3,MATCH("S-Res-C",Heading_N3,0),FALSE))</f>
        <v>7.8</v>
      </c>
      <c r="E140" s="1686">
        <f t="shared" si="175"/>
        <v>-6.3263336019340416E-3</v>
      </c>
      <c r="F140" s="1684">
        <f t="shared" si="227"/>
        <v>63.213679555714634</v>
      </c>
      <c r="G140" s="1685" t="str">
        <f t="shared" ref="G140:G145" si="259">IF(VLOOKUP($A140,Table_N3,MATCH("S-Res-nC",Heading_N3,0),FALSE)=0,"",VLOOKUP($A140,Table_N3,MATCH("S-Res-nC",Heading_N3,0),FALSE))</f>
        <v/>
      </c>
      <c r="H140" s="1688" t="str">
        <f t="shared" si="171"/>
        <v/>
      </c>
      <c r="I140" s="1685">
        <f t="shared" si="233"/>
        <v>7.7509648108695872</v>
      </c>
      <c r="J140" s="1685">
        <f t="shared" si="234"/>
        <v>7.8</v>
      </c>
      <c r="K140" s="1685">
        <f t="shared" si="228"/>
        <v>49</v>
      </c>
      <c r="L140" s="1686">
        <f t="shared" ref="L140:L145" si="260">IF(AND(I140="--",K140="--"),"--",IF(AND(I140="--",K140&lt;&gt;"--"),"R",IF(AND(K140="--",I140&lt;&gt;"--"),"N",IF((I140-K140)=0,"--",(I140-K140)/I140))))</f>
        <v>-5.3217936341659957</v>
      </c>
      <c r="M140" s="1684">
        <f t="shared" si="229"/>
        <v>32.825216444380452</v>
      </c>
      <c r="N140" s="1685">
        <f t="shared" ref="N140:N145" si="261">IF(VLOOKUP($A140,Table_N3,MATCH("S-com-C",Heading_N3,0),FALSE)=0,"",VLOOKUP($A140,Table_N3,MATCH("S-com-C",Heading_N3,0),FALSE))</f>
        <v>27</v>
      </c>
      <c r="O140" s="1689">
        <f t="shared" ref="O140:O145" si="262">IF(N140="","",IF(M140=N140,"",(M140-N140)/M140))</f>
        <v>0.17746163088523079</v>
      </c>
      <c r="P140" s="1684">
        <f t="shared" si="230"/>
        <v>820.66271324583363</v>
      </c>
      <c r="Q140" s="1685">
        <f>IF(VLOOKUP($A140,Table_N3,MATCH("S-com-nC",Heading_N3,0),FALSE)=0,"",VLOOKUP($A140,Table_N3,MATCH("S-com-nC",Heading_N3,0),FALSE))</f>
        <v>680</v>
      </c>
      <c r="R140" s="1690">
        <f t="shared" si="173"/>
        <v>0.17140136986301388</v>
      </c>
      <c r="S140" s="1685">
        <f t="shared" ref="S140:S145" si="263">MIN(P140,M140)</f>
        <v>32.825216444380452</v>
      </c>
      <c r="T140" s="1685">
        <f t="shared" si="176"/>
        <v>27</v>
      </c>
      <c r="U140" s="1685">
        <f t="shared" si="231"/>
        <v>210</v>
      </c>
      <c r="V140" s="1686">
        <f t="shared" si="172"/>
        <v>-5.3975206486704268</v>
      </c>
      <c r="W140" s="1756" t="str">
        <f t="shared" ref="W140:W145" si="264">IF(OR(Z140&lt;&gt;"--", AA140&lt;&gt;"--",AB140&lt;&gt;"--",AC140&lt;&gt;"--"),"*","")</f>
        <v>*</v>
      </c>
      <c r="X140" s="1685" t="str">
        <f t="shared" si="235"/>
        <v>--</v>
      </c>
      <c r="Z140" t="str">
        <f t="shared" si="236"/>
        <v>x</v>
      </c>
      <c r="AA140" t="str">
        <f t="shared" si="237"/>
        <v>x</v>
      </c>
      <c r="AB140" t="str">
        <f t="shared" si="238"/>
        <v>--</v>
      </c>
      <c r="AC140" t="str">
        <f t="shared" si="239"/>
        <v>--</v>
      </c>
      <c r="AF140" s="1684" t="str">
        <f t="shared" si="240"/>
        <v>--</v>
      </c>
      <c r="AG140" s="1685">
        <f t="shared" si="241"/>
        <v>0.14000000000000001</v>
      </c>
      <c r="AH140" s="1686" t="e">
        <f t="shared" ref="AH140:AH145" si="265">IF(AG140="","",IF(AF140=AG140,"",(AF140-AG140)/AF140))</f>
        <v>#VALUE!</v>
      </c>
      <c r="AI140" s="1684" t="str">
        <f t="shared" si="242"/>
        <v>--</v>
      </c>
      <c r="AJ140" s="1685">
        <f t="shared" si="243"/>
        <v>0</v>
      </c>
      <c r="AK140" s="1688" t="e">
        <f t="shared" ref="AK140:AK145" si="266">IF(AJ140="","",IF(AI140=AJ140,"",(AI140-AJ140)/AI140))</f>
        <v>#VALUE!</v>
      </c>
      <c r="AL140" s="1685">
        <f t="shared" ref="AL140:AL145" si="267">MIN(AI140,AF140)</f>
        <v>0</v>
      </c>
      <c r="AM140" s="1685">
        <f t="shared" ref="AM140:AM145" si="268">IF(AND(AG140="",AJ140=""),"",MIN(AJ140,AG140))</f>
        <v>0</v>
      </c>
      <c r="AN140" s="1685">
        <f t="shared" si="244"/>
        <v>0.91</v>
      </c>
      <c r="AO140" s="1686" t="e">
        <f t="shared" ref="AO140:AO145" si="269">IF(AND(AL140="--",AN140="--"),"--",IF(AND(AL140="--",AN140&lt;&gt;"--"),"R",IF(AND(AN140="--",AL140&lt;&gt;"--"),"N",IF((AL140-AN140)=0,"--",(AL140-AN140)/AL140))))</f>
        <v>#DIV/0!</v>
      </c>
      <c r="AP140" s="1684" t="str">
        <f t="shared" si="245"/>
        <v>--</v>
      </c>
      <c r="AQ140" s="1685">
        <f t="shared" si="246"/>
        <v>0.61</v>
      </c>
      <c r="AR140" s="1686" t="e">
        <f t="shared" ref="AR140:AR145" si="270">IF(AQ140="","",IF(AP140=AQ140,"",(AP140-AQ140)/AP140))</f>
        <v>#VALUE!</v>
      </c>
      <c r="AS140" s="1684" t="str">
        <f t="shared" si="247"/>
        <v>--</v>
      </c>
      <c r="AT140" s="1685" t="str">
        <f t="shared" si="248"/>
        <v>--</v>
      </c>
      <c r="AU140" s="1688" t="str">
        <f t="shared" ref="AU140:AU145" si="271">IF(AT140="","",IF(AS140=AT140,"",(AS140-AT140)/AS140))</f>
        <v/>
      </c>
      <c r="AV140" s="1685">
        <f t="shared" ref="AV140:AV145" si="272">MIN(AS140,AP140)</f>
        <v>0</v>
      </c>
      <c r="AW140" s="1685">
        <f t="shared" ref="AW140:AW145" si="273">IF(AND(AQ140="",AT140=""),"",MIN(AT140,AQ140))</f>
        <v>0.61</v>
      </c>
      <c r="AX140" s="1685">
        <f t="shared" si="249"/>
        <v>4</v>
      </c>
      <c r="AY140" s="1686" t="e">
        <f t="shared" ref="AY140:AY145" si="274">IF(AND(AV140="--",AX140="--"),"--",IF(AND(AV140="--",AX140&lt;&gt;"--"),"R",IF(AND(AX140="--",AV140&lt;&gt;"--"),"N",IF((AV140-AX140)=0,"--",(AV140-AX140)/AV140))))</f>
        <v>#DIV/0!</v>
      </c>
      <c r="BA140" s="1756" t="str">
        <f t="shared" si="250"/>
        <v>*</v>
      </c>
      <c r="BB140" s="1685" t="str">
        <f t="shared" si="251"/>
        <v>--</v>
      </c>
      <c r="BC140" s="1685" t="str">
        <f t="shared" si="252"/>
        <v>--</v>
      </c>
      <c r="BE140" s="1684">
        <f t="shared" si="253"/>
        <v>0.64627579540504521</v>
      </c>
      <c r="BF140" s="1685">
        <f t="shared" si="254"/>
        <v>0.65</v>
      </c>
      <c r="BG140" s="1686">
        <f t="shared" ref="BG140:BG145" si="275">IF(BF140="","",IF(BE140=BF140,"",(BE140-BF140)/BE140))</f>
        <v>-5.7625623943114226E-3</v>
      </c>
      <c r="BH140" s="1684">
        <f t="shared" si="255"/>
        <v>12.050880051226159</v>
      </c>
      <c r="BI140" s="1685" t="str">
        <f t="shared" si="256"/>
        <v/>
      </c>
      <c r="BJ140" s="1688" t="str">
        <f t="shared" ref="BJ140:BJ145" si="276">IF(BI140="","",IF(BH140=BI140,"",(BH140-BI140)/BH140))</f>
        <v/>
      </c>
      <c r="BK140" s="1685">
        <f t="shared" ref="BK140:BK145" si="277">MIN(BH140,BE140)</f>
        <v>0.64627579540504521</v>
      </c>
      <c r="BL140" s="1685">
        <f t="shared" ref="BL140:BL145" si="278">IF(AND(BF140="",BI140=""),"",MIN(BI140,BF140))</f>
        <v>0.65</v>
      </c>
      <c r="BM140" s="1685">
        <f t="shared" si="232"/>
        <v>4.0999999999999996</v>
      </c>
      <c r="BN140" s="1686">
        <f t="shared" ref="BN140:BN145" si="279">IF(AND(BK140="--",BM140="--"),"--",IF(AND(BK140="--",BM140&lt;&gt;"--"),"R",IF(AND(BM140="--",BK140&lt;&gt;"--"),"N",IF((BK140-BM140)=0,"--",(BK140-BM140)/BK140))))</f>
        <v>-5.3440407781795018</v>
      </c>
      <c r="BP140" s="1756" t="str">
        <f t="shared" ref="BP140:BP145" si="280">IF(OR(Z140&lt;&gt;"--", AA140&lt;&gt;"--",AB140&lt;&gt;"--",AC140&lt;&gt;"--"),"*","")</f>
        <v>*</v>
      </c>
      <c r="BQ140" s="1685" t="str">
        <f t="shared" si="257"/>
        <v>--</v>
      </c>
    </row>
    <row r="141" spans="1:69" ht="15">
      <c r="A141" t="s">
        <v>337</v>
      </c>
      <c r="B141" t="s">
        <v>338</v>
      </c>
      <c r="C141" s="1684">
        <f t="shared" si="226"/>
        <v>5.1048951048951055E-3</v>
      </c>
      <c r="D141" s="1685">
        <f t="shared" si="258"/>
        <v>1.5E-3</v>
      </c>
      <c r="E141" s="1692">
        <f t="shared" si="175"/>
        <v>0.7061643835616439</v>
      </c>
      <c r="F141" s="1684">
        <f t="shared" si="227"/>
        <v>4.8387604164962372</v>
      </c>
      <c r="G141" s="1685" t="str">
        <f t="shared" si="259"/>
        <v/>
      </c>
      <c r="H141" s="1688" t="str">
        <f t="shared" ref="H141:H145" si="281">IF(G141="","",IF(F141=G141,"",(F141-G141)/F141))</f>
        <v/>
      </c>
      <c r="I141" s="1685">
        <f t="shared" si="233"/>
        <v>5.1048951048951055E-3</v>
      </c>
      <c r="J141" s="1685">
        <f t="shared" si="234"/>
        <v>1.5E-3</v>
      </c>
      <c r="K141" s="1685">
        <f t="shared" si="228"/>
        <v>5.1000000000000004E-3</v>
      </c>
      <c r="L141" s="1686">
        <f t="shared" si="260"/>
        <v>9.5890410958909573E-4</v>
      </c>
      <c r="M141" s="1684">
        <f t="shared" si="229"/>
        <v>0.10901333333333334</v>
      </c>
      <c r="N141" s="1685">
        <f t="shared" si="261"/>
        <v>2.1000000000000001E-2</v>
      </c>
      <c r="O141" s="1692">
        <f t="shared" si="262"/>
        <v>0.80736301369863006</v>
      </c>
      <c r="P141" s="1684">
        <f t="shared" si="230"/>
        <v>20.153885269993136</v>
      </c>
      <c r="Q141" s="1685" t="str">
        <f t="shared" ref="Q141:Q145" si="282">IF(VLOOKUP($A141,Table_N3,MATCH("S-com-nC",Heading_N3,0),FALSE)=0,"",VLOOKUP($A141,Table_N3,MATCH("S-com-nC",Heading_N3,0),FALSE))</f>
        <v/>
      </c>
      <c r="R141" s="1688" t="str">
        <f t="shared" si="173"/>
        <v/>
      </c>
      <c r="S141" s="1685">
        <f t="shared" si="263"/>
        <v>0.10901333333333334</v>
      </c>
      <c r="T141" s="1685">
        <f t="shared" si="176"/>
        <v>2.1000000000000001E-2</v>
      </c>
      <c r="U141" s="1685">
        <f t="shared" si="231"/>
        <v>0.11</v>
      </c>
      <c r="V141" s="1686">
        <f t="shared" ref="V141:V145" si="283">IF(AND(S141="--",U141="--"),"--",IF(AND(S141="--",U141&lt;&gt;"--"),"R",IF(AND(U141="--",S141&lt;&gt;"--"),"N",IF((S141-U141)=0,"--",(S141-U141)/S141))))</f>
        <v>-9.050880626223062E-3</v>
      </c>
      <c r="W141" s="1756" t="str">
        <f t="shared" si="264"/>
        <v/>
      </c>
      <c r="X141" s="1685" t="str">
        <f t="shared" si="235"/>
        <v>Route IUR</v>
      </c>
      <c r="Z141" t="str">
        <f t="shared" si="236"/>
        <v>--</v>
      </c>
      <c r="AA141" t="str">
        <f t="shared" si="237"/>
        <v>--</v>
      </c>
      <c r="AB141" t="str">
        <f t="shared" si="238"/>
        <v>--</v>
      </c>
      <c r="AC141" t="str">
        <f t="shared" si="239"/>
        <v>--</v>
      </c>
      <c r="AF141" s="1684" t="str">
        <f t="shared" si="240"/>
        <v>--</v>
      </c>
      <c r="AG141" s="1685">
        <f t="shared" si="241"/>
        <v>1.3999999999999999E-4</v>
      </c>
      <c r="AH141" s="1686" t="e">
        <f t="shared" si="265"/>
        <v>#VALUE!</v>
      </c>
      <c r="AI141" s="1684">
        <f t="shared" si="242"/>
        <v>0.31285714285714283</v>
      </c>
      <c r="AJ141" s="1685" t="str">
        <f t="shared" si="243"/>
        <v/>
      </c>
      <c r="AK141" s="1688" t="str">
        <f t="shared" si="266"/>
        <v/>
      </c>
      <c r="AL141" s="1685">
        <f t="shared" si="267"/>
        <v>0.31285714285714283</v>
      </c>
      <c r="AM141" s="1685">
        <f t="shared" si="268"/>
        <v>1.3999999999999999E-4</v>
      </c>
      <c r="AN141" s="1685">
        <f t="shared" si="244"/>
        <v>0.31</v>
      </c>
      <c r="AO141" s="1686">
        <f t="shared" si="269"/>
        <v>9.1324200913241345E-3</v>
      </c>
      <c r="AP141" s="1684" t="str">
        <f t="shared" si="245"/>
        <v>--</v>
      </c>
      <c r="AQ141" s="1685">
        <f t="shared" si="246"/>
        <v>1.6000000000000001E-3</v>
      </c>
      <c r="AR141" s="1686" t="e">
        <f t="shared" si="270"/>
        <v>#VALUE!</v>
      </c>
      <c r="AS141" s="1684">
        <f t="shared" si="247"/>
        <v>1.3139999999999998</v>
      </c>
      <c r="AT141" s="1685" t="str">
        <f t="shared" si="248"/>
        <v/>
      </c>
      <c r="AU141" s="1688" t="str">
        <f t="shared" si="271"/>
        <v/>
      </c>
      <c r="AV141" s="1685">
        <f t="shared" si="272"/>
        <v>1.3139999999999998</v>
      </c>
      <c r="AW141" s="1685">
        <f t="shared" si="273"/>
        <v>1.6000000000000001E-3</v>
      </c>
      <c r="AX141" s="1685">
        <f t="shared" si="249"/>
        <v>1.3</v>
      </c>
      <c r="AY141" s="1686">
        <f t="shared" si="274"/>
        <v>1.0654490106544743E-2</v>
      </c>
      <c r="BA141" s="1756" t="str">
        <f t="shared" si="250"/>
        <v/>
      </c>
      <c r="BB141" s="1685" t="str">
        <f t="shared" si="251"/>
        <v>V</v>
      </c>
      <c r="BC141" s="1685" t="str">
        <f t="shared" si="252"/>
        <v>Route IUR</v>
      </c>
      <c r="BE141" s="1684">
        <f t="shared" si="253"/>
        <v>7.4912229610000992E-4</v>
      </c>
      <c r="BF141" s="1685">
        <f t="shared" si="254"/>
        <v>2.0000000000000001E-4</v>
      </c>
      <c r="BG141" s="1686">
        <f t="shared" si="275"/>
        <v>0.73302089519799929</v>
      </c>
      <c r="BH141" s="1684">
        <f t="shared" si="255"/>
        <v>0.62036943665517019</v>
      </c>
      <c r="BI141" s="1685" t="str">
        <f t="shared" si="256"/>
        <v/>
      </c>
      <c r="BJ141" s="1688" t="str">
        <f t="shared" si="276"/>
        <v/>
      </c>
      <c r="BK141" s="1685">
        <f t="shared" si="277"/>
        <v>7.4912229610000992E-4</v>
      </c>
      <c r="BL141" s="1685">
        <f t="shared" si="278"/>
        <v>2.0000000000000001E-4</v>
      </c>
      <c r="BM141" s="1685">
        <f t="shared" si="232"/>
        <v>7.5000000000000002E-4</v>
      </c>
      <c r="BN141" s="1686">
        <f t="shared" si="279"/>
        <v>-1.1716430075028985E-3</v>
      </c>
      <c r="BP141" s="1756" t="str">
        <f t="shared" si="280"/>
        <v/>
      </c>
      <c r="BQ141" s="1685" t="str">
        <f t="shared" si="257"/>
        <v>Route IUR</v>
      </c>
    </row>
    <row r="142" spans="1:69">
      <c r="A142" t="s">
        <v>339</v>
      </c>
      <c r="B142" t="s">
        <v>340</v>
      </c>
      <c r="C142" s="1684" t="str">
        <f t="shared" si="226"/>
        <v>--</v>
      </c>
      <c r="D142" s="1685" t="str">
        <f t="shared" si="258"/>
        <v/>
      </c>
      <c r="E142" s="1686" t="str">
        <f t="shared" si="175"/>
        <v/>
      </c>
      <c r="F142" s="1684">
        <f t="shared" si="227"/>
        <v>389.99607175592507</v>
      </c>
      <c r="G142" s="1685" t="str">
        <f t="shared" si="259"/>
        <v/>
      </c>
      <c r="H142" s="1688" t="str">
        <f t="shared" si="281"/>
        <v/>
      </c>
      <c r="I142" s="1685">
        <f t="shared" si="233"/>
        <v>389.99607175592507</v>
      </c>
      <c r="J142" s="1685" t="str">
        <f t="shared" si="234"/>
        <v/>
      </c>
      <c r="K142" s="1685">
        <f t="shared" si="228"/>
        <v>390</v>
      </c>
      <c r="L142" s="1686">
        <f t="shared" si="260"/>
        <v>-1.0072522159623146E-5</v>
      </c>
      <c r="M142" s="1684" t="str">
        <f t="shared" si="229"/>
        <v>--</v>
      </c>
      <c r="N142" s="1685" t="str">
        <f t="shared" si="261"/>
        <v/>
      </c>
      <c r="O142" s="1686" t="str">
        <f t="shared" si="262"/>
        <v/>
      </c>
      <c r="P142" s="1684">
        <f t="shared" si="230"/>
        <v>5783.3009708737864</v>
      </c>
      <c r="Q142" s="1685" t="str">
        <f t="shared" si="282"/>
        <v/>
      </c>
      <c r="R142" s="1688" t="str">
        <f t="shared" ref="R142:R145" si="284">IF(Q142="","",IF(P142=Q142,"",(P142-Q142)/P142))</f>
        <v/>
      </c>
      <c r="S142" s="1685">
        <f t="shared" si="263"/>
        <v>5783.3009708737864</v>
      </c>
      <c r="T142" s="1685" t="str">
        <f t="shared" si="176"/>
        <v/>
      </c>
      <c r="U142" s="1685">
        <f t="shared" si="231"/>
        <v>5800</v>
      </c>
      <c r="V142" s="1686">
        <f t="shared" si="283"/>
        <v>-2.8874563524039845E-3</v>
      </c>
      <c r="W142" s="1756" t="str">
        <f t="shared" si="264"/>
        <v>*</v>
      </c>
      <c r="X142" s="1685" t="str">
        <f t="shared" si="235"/>
        <v>--</v>
      </c>
      <c r="Z142" t="str">
        <f t="shared" si="236"/>
        <v>--</v>
      </c>
      <c r="AA142" t="str">
        <f t="shared" si="237"/>
        <v>--</v>
      </c>
      <c r="AB142" t="str">
        <f t="shared" si="238"/>
        <v>x</v>
      </c>
      <c r="AC142" t="str">
        <f t="shared" si="239"/>
        <v>--</v>
      </c>
      <c r="AF142" s="1684" t="str">
        <f t="shared" si="240"/>
        <v>--</v>
      </c>
      <c r="AG142" s="1685" t="str">
        <f t="shared" si="241"/>
        <v/>
      </c>
      <c r="AH142" s="1686" t="str">
        <f t="shared" si="265"/>
        <v/>
      </c>
      <c r="AI142" s="1684" t="str">
        <f t="shared" si="242"/>
        <v>--</v>
      </c>
      <c r="AJ142" s="1685" t="str">
        <f t="shared" si="243"/>
        <v/>
      </c>
      <c r="AK142" s="1688" t="str">
        <f t="shared" si="266"/>
        <v/>
      </c>
      <c r="AL142" s="1685">
        <f t="shared" si="267"/>
        <v>0</v>
      </c>
      <c r="AM142" s="1685" t="str">
        <f t="shared" si="268"/>
        <v/>
      </c>
      <c r="AN142" s="1685">
        <f t="shared" si="244"/>
        <v>0.1</v>
      </c>
      <c r="AO142" s="1686" t="e">
        <f t="shared" si="269"/>
        <v>#DIV/0!</v>
      </c>
      <c r="AP142" s="1684" t="str">
        <f t="shared" si="245"/>
        <v>--</v>
      </c>
      <c r="AQ142" s="1685" t="str">
        <f t="shared" si="246"/>
        <v/>
      </c>
      <c r="AR142" s="1686" t="str">
        <f t="shared" si="270"/>
        <v/>
      </c>
      <c r="AS142" s="1684" t="str">
        <f t="shared" si="247"/>
        <v>--</v>
      </c>
      <c r="AT142" s="1685" t="str">
        <f t="shared" si="248"/>
        <v/>
      </c>
      <c r="AU142" s="1688" t="str">
        <f t="shared" si="271"/>
        <v/>
      </c>
      <c r="AV142" s="1685">
        <f t="shared" si="272"/>
        <v>0</v>
      </c>
      <c r="AW142" s="1685" t="str">
        <f t="shared" si="273"/>
        <v/>
      </c>
      <c r="AX142" s="1685">
        <f t="shared" si="249"/>
        <v>0.44</v>
      </c>
      <c r="AY142" s="1686" t="e">
        <f t="shared" si="274"/>
        <v>#DIV/0!</v>
      </c>
      <c r="BA142" s="1756" t="str">
        <f t="shared" si="250"/>
        <v>*</v>
      </c>
      <c r="BB142" s="1685" t="str">
        <f t="shared" si="251"/>
        <v>--</v>
      </c>
      <c r="BC142" s="1685" t="str">
        <f t="shared" si="252"/>
        <v>--</v>
      </c>
      <c r="BE142" s="1684" t="str">
        <f t="shared" si="253"/>
        <v>--</v>
      </c>
      <c r="BF142" s="1685" t="str">
        <f t="shared" si="254"/>
        <v/>
      </c>
      <c r="BG142" s="1686" t="str">
        <f t="shared" si="275"/>
        <v/>
      </c>
      <c r="BH142" s="1684">
        <f t="shared" si="255"/>
        <v>85.742836542892206</v>
      </c>
      <c r="BI142" s="1685" t="str">
        <f t="shared" si="256"/>
        <v/>
      </c>
      <c r="BJ142" s="1688" t="str">
        <f t="shared" si="276"/>
        <v/>
      </c>
      <c r="BK142" s="1685">
        <f t="shared" si="277"/>
        <v>85.742836542892206</v>
      </c>
      <c r="BL142" s="1685" t="str">
        <f t="shared" si="278"/>
        <v/>
      </c>
      <c r="BM142" s="1685">
        <f t="shared" si="232"/>
        <v>86</v>
      </c>
      <c r="BN142" s="1686">
        <f t="shared" si="279"/>
        <v>-2.9992413066384804E-3</v>
      </c>
      <c r="BP142" s="1756" t="str">
        <f t="shared" si="280"/>
        <v>*</v>
      </c>
      <c r="BQ142" s="1685" t="str">
        <f t="shared" si="257"/>
        <v>--</v>
      </c>
    </row>
    <row r="143" spans="1:69">
      <c r="A143" t="s">
        <v>341</v>
      </c>
      <c r="B143" t="s">
        <v>342</v>
      </c>
      <c r="C143" s="1684">
        <f t="shared" si="226"/>
        <v>8.2447432304591194E-3</v>
      </c>
      <c r="D143" s="1685">
        <f t="shared" si="258"/>
        <v>8.2000000000000007E-3</v>
      </c>
      <c r="E143" s="1686">
        <f t="shared" si="175"/>
        <v>5.4268797958219837E-3</v>
      </c>
      <c r="F143" s="1684">
        <f t="shared" si="227"/>
        <v>41.788553403887903</v>
      </c>
      <c r="G143" s="1685" t="str">
        <f t="shared" si="259"/>
        <v/>
      </c>
      <c r="H143" s="1688" t="str">
        <f t="shared" si="281"/>
        <v/>
      </c>
      <c r="I143" s="1685">
        <f t="shared" si="233"/>
        <v>8.2447432304591194E-3</v>
      </c>
      <c r="J143" s="1685">
        <f t="shared" si="234"/>
        <v>8.2000000000000007E-3</v>
      </c>
      <c r="K143" s="1685">
        <f t="shared" si="228"/>
        <v>5.8999999999999997E-2</v>
      </c>
      <c r="L143" s="1686">
        <f t="shared" si="260"/>
        <v>-6.1560748892739623</v>
      </c>
      <c r="M143" s="1684">
        <f t="shared" si="229"/>
        <v>0.14275550945087243</v>
      </c>
      <c r="N143" s="1685">
        <f t="shared" si="261"/>
        <v>0.15</v>
      </c>
      <c r="O143" s="1686">
        <f t="shared" si="262"/>
        <v>-5.0747537359464731E-2</v>
      </c>
      <c r="P143" s="1684">
        <f t="shared" si="230"/>
        <v>197.58811718193508</v>
      </c>
      <c r="Q143" s="1685" t="str">
        <f t="shared" si="282"/>
        <v/>
      </c>
      <c r="R143" s="1688" t="str">
        <f t="shared" si="284"/>
        <v/>
      </c>
      <c r="S143" s="1685">
        <f t="shared" si="263"/>
        <v>0.14275550945087243</v>
      </c>
      <c r="T143" s="1685">
        <f t="shared" si="176"/>
        <v>0.15</v>
      </c>
      <c r="U143" s="1685">
        <f t="shared" si="231"/>
        <v>1.7</v>
      </c>
      <c r="V143" s="1686">
        <f t="shared" si="283"/>
        <v>-10.908472090073934</v>
      </c>
      <c r="W143" s="1756" t="str">
        <f t="shared" si="264"/>
        <v>*</v>
      </c>
      <c r="X143" s="1685" t="str">
        <f t="shared" si="235"/>
        <v>--</v>
      </c>
      <c r="Z143" t="str">
        <f t="shared" si="236"/>
        <v>--</v>
      </c>
      <c r="AA143" t="str">
        <f t="shared" si="237"/>
        <v>x</v>
      </c>
      <c r="AB143" t="str">
        <f t="shared" si="238"/>
        <v>--</v>
      </c>
      <c r="AC143" t="str">
        <f t="shared" si="239"/>
        <v>x</v>
      </c>
      <c r="AF143" s="1684">
        <f t="shared" si="240"/>
        <v>9.4535094535094528E-3</v>
      </c>
      <c r="AG143" s="1685">
        <f t="shared" si="241"/>
        <v>9.4999999999999998E-3</v>
      </c>
      <c r="AH143" s="1686">
        <f t="shared" si="265"/>
        <v>-4.9178082191781349E-3</v>
      </c>
      <c r="AI143" s="1684">
        <f t="shared" si="242"/>
        <v>53.185714285714283</v>
      </c>
      <c r="AJ143" s="1685" t="str">
        <f t="shared" si="243"/>
        <v/>
      </c>
      <c r="AK143" s="1688" t="str">
        <f t="shared" si="266"/>
        <v/>
      </c>
      <c r="AL143" s="1685">
        <f t="shared" si="267"/>
        <v>9.4535094535094528E-3</v>
      </c>
      <c r="AM143" s="1685">
        <f t="shared" si="268"/>
        <v>9.4999999999999998E-3</v>
      </c>
      <c r="AN143" s="1685">
        <f t="shared" si="244"/>
        <v>0.17</v>
      </c>
      <c r="AO143" s="1686">
        <f t="shared" si="269"/>
        <v>-16.9827397260274</v>
      </c>
      <c r="AP143" s="1684">
        <f t="shared" si="245"/>
        <v>0.1572307692307692</v>
      </c>
      <c r="AQ143" s="1685">
        <f t="shared" si="246"/>
        <v>0.16</v>
      </c>
      <c r="AR143" s="1686">
        <f t="shared" si="270"/>
        <v>-1.7612524461839741E-2</v>
      </c>
      <c r="AS143" s="1684">
        <f t="shared" si="247"/>
        <v>223.38</v>
      </c>
      <c r="AT143" s="1685" t="str">
        <f t="shared" si="248"/>
        <v/>
      </c>
      <c r="AU143" s="1688" t="str">
        <f t="shared" si="271"/>
        <v/>
      </c>
      <c r="AV143" s="1685">
        <f t="shared" si="272"/>
        <v>0.1572307692307692</v>
      </c>
      <c r="AW143" s="1685">
        <f t="shared" si="273"/>
        <v>0.16</v>
      </c>
      <c r="AX143" s="1685">
        <f t="shared" si="249"/>
        <v>2.8</v>
      </c>
      <c r="AY143" s="1686">
        <f t="shared" si="274"/>
        <v>-16.808219178082194</v>
      </c>
      <c r="BA143" s="1756" t="str">
        <f t="shared" si="250"/>
        <v>*</v>
      </c>
      <c r="BB143" s="1685" t="str">
        <f t="shared" si="251"/>
        <v>V</v>
      </c>
      <c r="BC143" s="1685" t="str">
        <f t="shared" si="252"/>
        <v>--</v>
      </c>
      <c r="BE143" s="1684">
        <f t="shared" si="253"/>
        <v>9.6914424945337835E-3</v>
      </c>
      <c r="BF143" s="1685">
        <f t="shared" si="254"/>
        <v>9.7000000000000003E-3</v>
      </c>
      <c r="BG143" s="1686">
        <f t="shared" si="275"/>
        <v>-8.8299605255290489E-4</v>
      </c>
      <c r="BH143" s="1684">
        <f t="shared" si="255"/>
        <v>36.843107700838594</v>
      </c>
      <c r="BI143" s="1685" t="str">
        <f t="shared" si="256"/>
        <v/>
      </c>
      <c r="BJ143" s="1688" t="str">
        <f t="shared" si="276"/>
        <v/>
      </c>
      <c r="BK143" s="1685">
        <f t="shared" si="277"/>
        <v>9.6914424945337835E-3</v>
      </c>
      <c r="BL143" s="1685">
        <f t="shared" si="278"/>
        <v>9.7000000000000003E-3</v>
      </c>
      <c r="BM143" s="1685">
        <f t="shared" si="232"/>
        <v>1.9E-2</v>
      </c>
      <c r="BN143" s="1686">
        <f t="shared" si="279"/>
        <v>-0.96049246649469111</v>
      </c>
      <c r="BP143" s="1756" t="str">
        <f t="shared" si="280"/>
        <v>*</v>
      </c>
      <c r="BQ143" s="1685" t="str">
        <f t="shared" si="257"/>
        <v>--</v>
      </c>
    </row>
    <row r="144" spans="1:69">
      <c r="A144" t="s">
        <v>343</v>
      </c>
      <c r="B144" t="s">
        <v>344</v>
      </c>
      <c r="C144" s="1684" t="str">
        <f t="shared" si="226"/>
        <v>--</v>
      </c>
      <c r="D144" s="1685" t="str">
        <f t="shared" si="258"/>
        <v/>
      </c>
      <c r="E144" s="1686" t="str">
        <f t="shared" si="175"/>
        <v/>
      </c>
      <c r="F144" s="1684">
        <f t="shared" si="227"/>
        <v>576.35022173447896</v>
      </c>
      <c r="G144" s="1685" t="str">
        <f t="shared" si="259"/>
        <v/>
      </c>
      <c r="H144" s="1688" t="str">
        <f t="shared" si="281"/>
        <v/>
      </c>
      <c r="I144" s="1685">
        <f t="shared" si="233"/>
        <v>576.35022173447896</v>
      </c>
      <c r="J144" s="1685" t="str">
        <f t="shared" si="234"/>
        <v/>
      </c>
      <c r="K144" s="1685">
        <f t="shared" si="228"/>
        <v>580</v>
      </c>
      <c r="L144" s="1686">
        <f t="shared" si="260"/>
        <v>-6.332570246155759E-3</v>
      </c>
      <c r="M144" s="1684" t="str">
        <f t="shared" si="229"/>
        <v>--</v>
      </c>
      <c r="N144" s="1685" t="str">
        <f t="shared" si="261"/>
        <v/>
      </c>
      <c r="O144" s="1686" t="str">
        <f t="shared" si="262"/>
        <v/>
      </c>
      <c r="P144" s="1684">
        <f t="shared" si="230"/>
        <v>2438.736319426459</v>
      </c>
      <c r="Q144" s="1685" t="str">
        <f t="shared" si="282"/>
        <v/>
      </c>
      <c r="R144" s="1688" t="str">
        <f t="shared" si="284"/>
        <v/>
      </c>
      <c r="S144" s="1685">
        <f t="shared" si="263"/>
        <v>2438.736319426459</v>
      </c>
      <c r="T144" s="1685" t="str">
        <f t="shared" ref="T144:T145" si="285">IF(AND(N144="",Q144=""),"",MIN(Q144,N144))</f>
        <v/>
      </c>
      <c r="U144" s="1685">
        <f t="shared" si="231"/>
        <v>2500</v>
      </c>
      <c r="V144" s="1686">
        <f t="shared" si="283"/>
        <v>-2.5121076061207386E-2</v>
      </c>
      <c r="W144" s="1756" t="str">
        <f t="shared" si="264"/>
        <v/>
      </c>
      <c r="X144" s="1685" t="str">
        <f t="shared" si="235"/>
        <v>--</v>
      </c>
      <c r="Z144" t="str">
        <f t="shared" si="236"/>
        <v>--</v>
      </c>
      <c r="AA144" t="str">
        <f t="shared" si="237"/>
        <v>--</v>
      </c>
      <c r="AB144" t="str">
        <f t="shared" si="238"/>
        <v>--</v>
      </c>
      <c r="AC144" t="str">
        <f t="shared" si="239"/>
        <v>--</v>
      </c>
      <c r="AF144" s="1684" t="str">
        <f t="shared" si="240"/>
        <v>--</v>
      </c>
      <c r="AG144" s="1685" t="str">
        <f t="shared" si="241"/>
        <v/>
      </c>
      <c r="AH144" s="1686" t="str">
        <f t="shared" si="265"/>
        <v/>
      </c>
      <c r="AI144" s="1684">
        <f t="shared" si="242"/>
        <v>104.28571428571429</v>
      </c>
      <c r="AJ144" s="1685" t="str">
        <f t="shared" si="243"/>
        <v/>
      </c>
      <c r="AK144" s="1688" t="str">
        <f t="shared" si="266"/>
        <v/>
      </c>
      <c r="AL144" s="1685">
        <f t="shared" si="267"/>
        <v>104.28571428571429</v>
      </c>
      <c r="AM144" s="1685" t="str">
        <f t="shared" si="268"/>
        <v/>
      </c>
      <c r="AN144" s="1685">
        <f t="shared" si="244"/>
        <v>100</v>
      </c>
      <c r="AO144" s="1686">
        <f t="shared" si="269"/>
        <v>4.1095890410958957E-2</v>
      </c>
      <c r="AP144" s="1684" t="str">
        <f t="shared" si="245"/>
        <v>--</v>
      </c>
      <c r="AQ144" s="1685" t="str">
        <f t="shared" si="246"/>
        <v/>
      </c>
      <c r="AR144" s="1686" t="str">
        <f t="shared" si="270"/>
        <v/>
      </c>
      <c r="AS144" s="1684">
        <f t="shared" si="247"/>
        <v>437.99999999999994</v>
      </c>
      <c r="AT144" s="1685" t="str">
        <f t="shared" si="248"/>
        <v/>
      </c>
      <c r="AU144" s="1688" t="str">
        <f t="shared" si="271"/>
        <v/>
      </c>
      <c r="AV144" s="1685">
        <f t="shared" si="272"/>
        <v>437.99999999999994</v>
      </c>
      <c r="AW144" s="1685" t="str">
        <f t="shared" si="273"/>
        <v/>
      </c>
      <c r="AX144" s="1685">
        <f t="shared" si="249"/>
        <v>440</v>
      </c>
      <c r="AY144" s="1686">
        <f t="shared" si="274"/>
        <v>-4.5662100456622312E-3</v>
      </c>
      <c r="BA144" s="1756" t="str">
        <f t="shared" si="250"/>
        <v/>
      </c>
      <c r="BB144" s="1685" t="str">
        <f t="shared" si="251"/>
        <v>V</v>
      </c>
      <c r="BC144" s="1685" t="str">
        <f t="shared" si="252"/>
        <v>--</v>
      </c>
      <c r="BE144" s="1684" t="str">
        <f t="shared" si="253"/>
        <v>--</v>
      </c>
      <c r="BF144" s="1685" t="str">
        <f t="shared" si="254"/>
        <v/>
      </c>
      <c r="BG144" s="1686" t="str">
        <f t="shared" si="275"/>
        <v/>
      </c>
      <c r="BH144" s="1684">
        <f t="shared" si="255"/>
        <v>193.17392261341371</v>
      </c>
      <c r="BI144" s="1685" t="str">
        <f t="shared" si="256"/>
        <v/>
      </c>
      <c r="BJ144" s="1688" t="str">
        <f t="shared" si="276"/>
        <v/>
      </c>
      <c r="BK144" s="1685">
        <f t="shared" si="277"/>
        <v>193.17392261341371</v>
      </c>
      <c r="BL144" s="1685" t="str">
        <f t="shared" si="278"/>
        <v/>
      </c>
      <c r="BM144" s="1685">
        <f t="shared" si="232"/>
        <v>190</v>
      </c>
      <c r="BN144" s="1686">
        <f t="shared" si="279"/>
        <v>1.6430388587001316E-2</v>
      </c>
      <c r="BP144" s="1756" t="str">
        <f t="shared" si="280"/>
        <v/>
      </c>
      <c r="BQ144" s="1685" t="str">
        <f t="shared" si="257"/>
        <v>--</v>
      </c>
    </row>
    <row r="145" spans="1:69">
      <c r="A145" t="s">
        <v>345</v>
      </c>
      <c r="B145" t="s">
        <v>346</v>
      </c>
      <c r="C145" s="1684" t="str">
        <f t="shared" si="226"/>
        <v>--</v>
      </c>
      <c r="D145" s="1685" t="str">
        <f t="shared" si="258"/>
        <v/>
      </c>
      <c r="E145" s="1686" t="str">
        <f t="shared" si="175"/>
        <v/>
      </c>
      <c r="F145" s="1684">
        <f t="shared" si="227"/>
        <v>23464.285714285717</v>
      </c>
      <c r="G145" s="1685" t="str">
        <f t="shared" si="259"/>
        <v/>
      </c>
      <c r="H145" s="1688" t="str">
        <f t="shared" si="281"/>
        <v/>
      </c>
      <c r="I145" s="1685">
        <f t="shared" si="233"/>
        <v>23464.285714285717</v>
      </c>
      <c r="J145" s="1685" t="str">
        <f t="shared" si="234"/>
        <v/>
      </c>
      <c r="K145" s="1685">
        <f t="shared" si="228"/>
        <v>23000</v>
      </c>
      <c r="L145" s="1686">
        <f t="shared" si="260"/>
        <v>1.9786910197869233E-2</v>
      </c>
      <c r="M145" s="1684" t="str">
        <f t="shared" si="229"/>
        <v>--</v>
      </c>
      <c r="N145" s="1685" t="str">
        <f t="shared" si="261"/>
        <v/>
      </c>
      <c r="O145" s="1686" t="str">
        <f t="shared" si="262"/>
        <v/>
      </c>
      <c r="P145" s="1684">
        <f t="shared" si="230"/>
        <v>350400</v>
      </c>
      <c r="Q145" s="1685" t="str">
        <f t="shared" si="282"/>
        <v/>
      </c>
      <c r="R145" s="1688" t="str">
        <f t="shared" si="284"/>
        <v/>
      </c>
      <c r="S145" s="1685">
        <f t="shared" si="263"/>
        <v>350400</v>
      </c>
      <c r="T145" s="1685" t="str">
        <f t="shared" si="285"/>
        <v/>
      </c>
      <c r="U145" s="1685">
        <f t="shared" si="231"/>
        <v>350000</v>
      </c>
      <c r="V145" s="1686">
        <f t="shared" si="283"/>
        <v>1.1415525114155251E-3</v>
      </c>
      <c r="W145" s="1756" t="str">
        <f t="shared" si="264"/>
        <v/>
      </c>
      <c r="X145" s="1685" t="str">
        <f t="shared" si="235"/>
        <v>--</v>
      </c>
      <c r="Z145" t="str">
        <f t="shared" si="236"/>
        <v>--</v>
      </c>
      <c r="AA145" t="str">
        <f t="shared" si="237"/>
        <v>--</v>
      </c>
      <c r="AB145" t="str">
        <f t="shared" si="238"/>
        <v>--</v>
      </c>
      <c r="AC145" t="str">
        <f t="shared" si="239"/>
        <v>--</v>
      </c>
      <c r="AF145" s="1684" t="str">
        <f t="shared" si="240"/>
        <v>--</v>
      </c>
      <c r="AG145" s="1685" t="str">
        <f t="shared" si="241"/>
        <v/>
      </c>
      <c r="AH145" s="1686" t="str">
        <f t="shared" si="265"/>
        <v/>
      </c>
      <c r="AI145" s="1684" t="str">
        <f t="shared" si="242"/>
        <v>--</v>
      </c>
      <c r="AJ145" s="1685" t="str">
        <f t="shared" si="243"/>
        <v/>
      </c>
      <c r="AK145" s="1688" t="str">
        <f t="shared" si="266"/>
        <v/>
      </c>
      <c r="AL145" s="1685">
        <f t="shared" si="267"/>
        <v>0</v>
      </c>
      <c r="AM145" s="1685" t="str">
        <f t="shared" si="268"/>
        <v/>
      </c>
      <c r="AN145" s="1685" t="str">
        <f t="shared" si="244"/>
        <v>--</v>
      </c>
      <c r="AO145" s="1686" t="str">
        <f t="shared" si="269"/>
        <v>N</v>
      </c>
      <c r="AP145" s="1684" t="str">
        <f t="shared" si="245"/>
        <v>--</v>
      </c>
      <c r="AQ145" s="1685" t="str">
        <f t="shared" si="246"/>
        <v/>
      </c>
      <c r="AR145" s="1686" t="str">
        <f t="shared" si="270"/>
        <v/>
      </c>
      <c r="AS145" s="1684" t="str">
        <f t="shared" si="247"/>
        <v>--</v>
      </c>
      <c r="AT145" s="1685" t="str">
        <f t="shared" si="248"/>
        <v/>
      </c>
      <c r="AU145" s="1688" t="str">
        <f t="shared" si="271"/>
        <v/>
      </c>
      <c r="AV145" s="1685">
        <f t="shared" si="272"/>
        <v>0</v>
      </c>
      <c r="AW145" s="1685" t="str">
        <f t="shared" si="273"/>
        <v/>
      </c>
      <c r="AX145" s="1685" t="str">
        <f t="shared" si="249"/>
        <v>--</v>
      </c>
      <c r="AY145" s="1686" t="str">
        <f t="shared" si="274"/>
        <v>N</v>
      </c>
      <c r="BA145" s="1756" t="str">
        <f t="shared" si="250"/>
        <v/>
      </c>
      <c r="BB145" s="1685" t="str">
        <f t="shared" si="251"/>
        <v>--</v>
      </c>
      <c r="BC145" s="1685" t="str">
        <f t="shared" si="252"/>
        <v>--</v>
      </c>
      <c r="BE145" s="1684" t="str">
        <f t="shared" si="253"/>
        <v>--</v>
      </c>
      <c r="BF145" s="1685" t="str">
        <f t="shared" si="254"/>
        <v/>
      </c>
      <c r="BG145" s="1686" t="str">
        <f t="shared" si="275"/>
        <v/>
      </c>
      <c r="BH145" s="1684">
        <f t="shared" si="255"/>
        <v>6000.6183431702011</v>
      </c>
      <c r="BI145" s="1685" t="str">
        <f t="shared" si="256"/>
        <v/>
      </c>
      <c r="BJ145" s="1688" t="str">
        <f t="shared" si="276"/>
        <v/>
      </c>
      <c r="BK145" s="1685">
        <f t="shared" si="277"/>
        <v>6000.6183431702011</v>
      </c>
      <c r="BL145" s="1685" t="str">
        <f t="shared" si="278"/>
        <v/>
      </c>
      <c r="BM145" s="1685">
        <f t="shared" si="232"/>
        <v>6000</v>
      </c>
      <c r="BN145" s="1686">
        <f t="shared" si="279"/>
        <v>1.0304657534250654E-4</v>
      </c>
      <c r="BP145" s="1756" t="str">
        <f t="shared" si="280"/>
        <v/>
      </c>
      <c r="BQ145" s="1685" t="str">
        <f t="shared" si="257"/>
        <v>--</v>
      </c>
    </row>
    <row r="146" spans="1:69">
      <c r="P146" s="675"/>
      <c r="Q146" s="675"/>
      <c r="S146" s="675"/>
      <c r="T146" s="675"/>
      <c r="U146" s="675"/>
    </row>
    <row r="147" spans="1:69">
      <c r="P147" s="675"/>
      <c r="Q147" s="675"/>
    </row>
    <row r="148" spans="1:69">
      <c r="P148" s="675"/>
      <c r="Q148" s="675"/>
    </row>
    <row r="149" spans="1:69">
      <c r="P149" s="675"/>
      <c r="Q149" s="675"/>
    </row>
    <row r="150" spans="1:69">
      <c r="P150" s="675"/>
      <c r="Q150" s="675"/>
    </row>
    <row r="151" spans="1:69">
      <c r="P151" s="675"/>
      <c r="Q151" s="675"/>
    </row>
    <row r="152" spans="1:69">
      <c r="P152" s="675"/>
      <c r="Q152" s="675"/>
    </row>
    <row r="153" spans="1:69">
      <c r="P153" s="675"/>
      <c r="Q153" s="675"/>
    </row>
    <row r="154" spans="1:69">
      <c r="P154" s="675"/>
      <c r="Q154" s="675"/>
    </row>
    <row r="155" spans="1:69">
      <c r="P155" s="675"/>
      <c r="Q155" s="675"/>
    </row>
    <row r="156" spans="1:69">
      <c r="P156" s="675"/>
      <c r="Q156" s="675"/>
    </row>
    <row r="157" spans="1:69">
      <c r="P157" s="675"/>
      <c r="Q157" s="675"/>
    </row>
    <row r="158" spans="1:69">
      <c r="P158" s="675"/>
      <c r="Q158" s="675"/>
    </row>
  </sheetData>
  <mergeCells count="14">
    <mergeCell ref="A2:A4"/>
    <mergeCell ref="B2:B4"/>
    <mergeCell ref="C2:V2"/>
    <mergeCell ref="C3:L3"/>
    <mergeCell ref="M3:V3"/>
    <mergeCell ref="AF2:AY2"/>
    <mergeCell ref="AF3:AO3"/>
    <mergeCell ref="AP3:AY3"/>
    <mergeCell ref="BE2:BN3"/>
    <mergeCell ref="Z2:AC2"/>
    <mergeCell ref="Z3:Z4"/>
    <mergeCell ref="AA3:AA4"/>
    <mergeCell ref="AB3:AB4"/>
    <mergeCell ref="AC3:AC4"/>
  </mergeCells>
  <conditionalFormatting sqref="E5:E145">
    <cfRule type="cellIs" dxfId="15" priority="16" operator="lessThan">
      <formula>-0.1</formula>
    </cfRule>
  </conditionalFormatting>
  <conditionalFormatting sqref="H5:H145">
    <cfRule type="cellIs" dxfId="14" priority="15" operator="lessThan">
      <formula>-0.1</formula>
    </cfRule>
  </conditionalFormatting>
  <conditionalFormatting sqref="L5:L145 V5:X145">
    <cfRule type="cellIs" dxfId="13" priority="17" operator="lessThan">
      <formula>-0.1</formula>
    </cfRule>
  </conditionalFormatting>
  <conditionalFormatting sqref="O5:O145">
    <cfRule type="cellIs" dxfId="12" priority="14" operator="lessThan">
      <formula>-0.1</formula>
    </cfRule>
  </conditionalFormatting>
  <conditionalFormatting sqref="R5:R145">
    <cfRule type="cellIs" dxfId="11" priority="13" operator="lessThan">
      <formula>-0.1</formula>
    </cfRule>
  </conditionalFormatting>
  <conditionalFormatting sqref="AH5:AH145">
    <cfRule type="cellIs" dxfId="10" priority="11" operator="lessThan">
      <formula>-0.1</formula>
    </cfRule>
  </conditionalFormatting>
  <conditionalFormatting sqref="AK5:AK145">
    <cfRule type="cellIs" dxfId="9" priority="10" operator="lessThan">
      <formula>-0.1</formula>
    </cfRule>
  </conditionalFormatting>
  <conditionalFormatting sqref="AO5:AO145 AY5:AY145">
    <cfRule type="cellIs" dxfId="8" priority="12" operator="lessThan">
      <formula>-0.1</formula>
    </cfRule>
  </conditionalFormatting>
  <conditionalFormatting sqref="AR5:AR145">
    <cfRule type="cellIs" dxfId="7" priority="9" operator="lessThan">
      <formula>-0.1</formula>
    </cfRule>
  </conditionalFormatting>
  <conditionalFormatting sqref="AU5:AU145">
    <cfRule type="cellIs" dxfId="6" priority="8" operator="lessThan">
      <formula>-0.1</formula>
    </cfRule>
  </conditionalFormatting>
  <conditionalFormatting sqref="BA5:BA145">
    <cfRule type="cellIs" dxfId="5" priority="7" operator="lessThan">
      <formula>-0.1</formula>
    </cfRule>
  </conditionalFormatting>
  <conditionalFormatting sqref="BC5:BC145">
    <cfRule type="cellIs" dxfId="4" priority="6" operator="lessThan">
      <formula>-0.1</formula>
    </cfRule>
  </conditionalFormatting>
  <conditionalFormatting sqref="BG5:BG145">
    <cfRule type="cellIs" dxfId="3" priority="4" operator="lessThan">
      <formula>-0.1</formula>
    </cfRule>
  </conditionalFormatting>
  <conditionalFormatting sqref="BJ5:BJ145">
    <cfRule type="cellIs" dxfId="2" priority="3" operator="lessThan">
      <formula>-0.1</formula>
    </cfRule>
  </conditionalFormatting>
  <conditionalFormatting sqref="BN5:BN145">
    <cfRule type="cellIs" dxfId="1" priority="5" operator="lessThan">
      <formula>-0.1</formula>
    </cfRule>
  </conditionalFormatting>
  <conditionalFormatting sqref="BP5:BQ145">
    <cfRule type="cellIs" dxfId="0" priority="1" operator="lessThan">
      <formula>-0.1</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79B7-F294-4196-93DF-5B3A42612F33}">
  <dimension ref="A1:J130"/>
  <sheetViews>
    <sheetView topLeftCell="A94" workbookViewId="0">
      <selection activeCell="AA14" sqref="AA14"/>
    </sheetView>
  </sheetViews>
  <sheetFormatPr defaultRowHeight="12.75"/>
  <cols>
    <col min="2" max="2" width="31.140625" bestFit="1" customWidth="1"/>
    <col min="3" max="3" width="16.85546875" bestFit="1" customWidth="1"/>
    <col min="4" max="4" width="16.85546875" customWidth="1"/>
    <col min="5" max="5" width="12.42578125" bestFit="1" customWidth="1"/>
    <col min="6" max="6" width="12.42578125" customWidth="1"/>
    <col min="7" max="7" width="23.85546875" bestFit="1" customWidth="1"/>
    <col min="8" max="8" width="10" bestFit="1" customWidth="1"/>
    <col min="9" max="9" width="15.7109375" bestFit="1" customWidth="1"/>
  </cols>
  <sheetData>
    <row r="1" spans="1:10">
      <c r="A1" t="s">
        <v>4204</v>
      </c>
      <c r="C1" s="55" t="s">
        <v>4205</v>
      </c>
      <c r="D1" s="55" t="s">
        <v>4206</v>
      </c>
      <c r="E1" s="55" t="s">
        <v>4207</v>
      </c>
      <c r="F1" s="55" t="s">
        <v>417</v>
      </c>
      <c r="G1" s="55" t="s">
        <v>4208</v>
      </c>
      <c r="H1" s="55" t="s">
        <v>4209</v>
      </c>
      <c r="I1" s="55" t="s">
        <v>4210</v>
      </c>
      <c r="J1" s="55" t="s">
        <v>4211</v>
      </c>
    </row>
    <row r="2" spans="1:10">
      <c r="A2" t="s">
        <v>4212</v>
      </c>
    </row>
    <row r="3" spans="1:10">
      <c r="A3" t="s">
        <v>4213</v>
      </c>
    </row>
    <row r="4" spans="1:10">
      <c r="A4" t="s">
        <v>4214</v>
      </c>
    </row>
    <row r="5" spans="1:10">
      <c r="A5" s="1894" t="s">
        <v>80</v>
      </c>
      <c r="B5" s="1894" t="s">
        <v>79</v>
      </c>
      <c r="C5" s="1894" t="s">
        <v>81</v>
      </c>
      <c r="D5" s="1896" t="s">
        <v>379</v>
      </c>
      <c r="E5" s="1894" t="s">
        <v>642</v>
      </c>
      <c r="F5" s="1896" t="s">
        <v>379</v>
      </c>
      <c r="G5" s="1894" t="s">
        <v>4215</v>
      </c>
      <c r="H5" s="1896" t="s">
        <v>379</v>
      </c>
      <c r="I5" s="1894" t="s">
        <v>4216</v>
      </c>
      <c r="J5" s="1896" t="s">
        <v>379</v>
      </c>
    </row>
    <row r="6" spans="1:10">
      <c r="A6" s="1894"/>
      <c r="B6" s="1894" t="s">
        <v>4217</v>
      </c>
      <c r="C6" s="1894"/>
      <c r="D6" s="1894"/>
      <c r="E6" s="1894"/>
      <c r="F6" s="1894"/>
      <c r="G6" s="1894"/>
      <c r="H6" s="1894"/>
      <c r="I6" s="1894"/>
      <c r="J6" s="1894"/>
    </row>
    <row r="7" spans="1:10">
      <c r="A7" t="s">
        <v>234</v>
      </c>
      <c r="B7" t="s">
        <v>4218</v>
      </c>
      <c r="C7">
        <v>15</v>
      </c>
      <c r="D7" t="s">
        <v>651</v>
      </c>
      <c r="E7">
        <v>12.467064699413491</v>
      </c>
      <c r="F7" t="s">
        <v>647</v>
      </c>
      <c r="G7">
        <v>17100</v>
      </c>
      <c r="H7" t="s">
        <v>4219</v>
      </c>
      <c r="I7">
        <v>513</v>
      </c>
      <c r="J7" t="s">
        <v>4220</v>
      </c>
    </row>
    <row r="8" spans="1:10">
      <c r="A8" t="s">
        <v>4221</v>
      </c>
      <c r="B8" t="s">
        <v>4222</v>
      </c>
      <c r="C8">
        <v>15</v>
      </c>
      <c r="D8" t="s">
        <v>651</v>
      </c>
      <c r="E8">
        <v>6.3592423020527855</v>
      </c>
      <c r="F8" t="s">
        <v>647</v>
      </c>
      <c r="G8" t="s">
        <v>115</v>
      </c>
      <c r="H8" t="s">
        <v>115</v>
      </c>
      <c r="I8" t="s">
        <v>115</v>
      </c>
      <c r="J8" t="s">
        <v>115</v>
      </c>
    </row>
    <row r="9" spans="1:10">
      <c r="A9" t="s">
        <v>392</v>
      </c>
      <c r="B9" t="s">
        <v>391</v>
      </c>
      <c r="C9">
        <v>1500</v>
      </c>
      <c r="D9" t="s">
        <v>651</v>
      </c>
      <c r="E9">
        <v>0.9234675</v>
      </c>
      <c r="F9" t="s">
        <v>647</v>
      </c>
      <c r="G9">
        <v>1028733.3333333334</v>
      </c>
      <c r="H9" t="s">
        <v>4219</v>
      </c>
      <c r="I9">
        <v>30862</v>
      </c>
      <c r="J9" t="s">
        <v>4220</v>
      </c>
    </row>
    <row r="10" spans="1:10">
      <c r="A10" t="s">
        <v>86</v>
      </c>
      <c r="B10" t="s">
        <v>85</v>
      </c>
      <c r="C10">
        <v>1.3999999999999999E-4</v>
      </c>
      <c r="D10" t="s">
        <v>651</v>
      </c>
      <c r="E10">
        <v>2.3999999999999998E-3</v>
      </c>
      <c r="F10" t="s">
        <v>4223</v>
      </c>
      <c r="G10">
        <v>1.9099947671376245E-2</v>
      </c>
      <c r="H10" t="s">
        <v>4224</v>
      </c>
      <c r="I10">
        <v>5.729984301412873E-4</v>
      </c>
      <c r="J10" t="s">
        <v>4224</v>
      </c>
    </row>
    <row r="11" spans="1:10">
      <c r="A11" t="s">
        <v>236</v>
      </c>
      <c r="B11" t="s">
        <v>4225</v>
      </c>
      <c r="C11">
        <v>0.73</v>
      </c>
      <c r="D11" t="s">
        <v>651</v>
      </c>
      <c r="E11">
        <v>1.9391346811583579</v>
      </c>
      <c r="F11" t="s">
        <v>647</v>
      </c>
      <c r="G11" t="s">
        <v>115</v>
      </c>
      <c r="H11" t="s">
        <v>115</v>
      </c>
      <c r="I11" t="s">
        <v>115</v>
      </c>
      <c r="J11" t="s">
        <v>115</v>
      </c>
    </row>
    <row r="12" spans="1:10">
      <c r="A12" t="s">
        <v>88</v>
      </c>
      <c r="B12" t="s">
        <v>87</v>
      </c>
      <c r="C12">
        <v>6</v>
      </c>
      <c r="D12" t="s">
        <v>357</v>
      </c>
      <c r="E12">
        <v>10.95</v>
      </c>
      <c r="F12" t="s">
        <v>4226</v>
      </c>
      <c r="G12" t="s">
        <v>115</v>
      </c>
      <c r="H12" t="s">
        <v>115</v>
      </c>
      <c r="I12" t="s">
        <v>115</v>
      </c>
      <c r="J12" t="s">
        <v>115</v>
      </c>
    </row>
    <row r="13" spans="1:10">
      <c r="A13" t="s">
        <v>90</v>
      </c>
      <c r="B13" t="s">
        <v>89</v>
      </c>
      <c r="C13">
        <v>10</v>
      </c>
      <c r="D13" t="s">
        <v>357</v>
      </c>
      <c r="E13">
        <v>6.7481921873171993E-2</v>
      </c>
      <c r="F13" t="s">
        <v>4224</v>
      </c>
      <c r="G13" t="s">
        <v>115</v>
      </c>
      <c r="H13" t="s">
        <v>115</v>
      </c>
      <c r="I13" t="s">
        <v>115</v>
      </c>
      <c r="J13" t="s">
        <v>115</v>
      </c>
    </row>
    <row r="14" spans="1:10">
      <c r="A14" t="s">
        <v>92</v>
      </c>
      <c r="B14" t="s">
        <v>91</v>
      </c>
      <c r="C14">
        <v>1000</v>
      </c>
      <c r="D14" t="s">
        <v>357</v>
      </c>
      <c r="E14">
        <v>390</v>
      </c>
      <c r="F14" t="s">
        <v>4223</v>
      </c>
      <c r="G14" t="s">
        <v>115</v>
      </c>
      <c r="H14" t="s">
        <v>115</v>
      </c>
      <c r="I14" t="s">
        <v>115</v>
      </c>
      <c r="J14" t="s">
        <v>115</v>
      </c>
    </row>
    <row r="15" spans="1:10">
      <c r="A15" t="s">
        <v>94</v>
      </c>
      <c r="B15" t="s">
        <v>93</v>
      </c>
      <c r="C15">
        <v>0.42094337446661273</v>
      </c>
      <c r="D15" t="s">
        <v>648</v>
      </c>
      <c r="E15">
        <v>2.5167290875203044E-2</v>
      </c>
      <c r="F15" t="s">
        <v>647</v>
      </c>
      <c r="G15">
        <v>3.2272325375773643</v>
      </c>
      <c r="H15" t="s">
        <v>4224</v>
      </c>
      <c r="I15">
        <v>9.6816976127320931E-2</v>
      </c>
      <c r="J15" t="s">
        <v>4224</v>
      </c>
    </row>
    <row r="16" spans="1:10">
      <c r="A16" t="s">
        <v>238</v>
      </c>
      <c r="B16" t="s">
        <v>4227</v>
      </c>
      <c r="C16">
        <v>1.7170814319988709E-2</v>
      </c>
      <c r="D16" t="s">
        <v>4228</v>
      </c>
      <c r="E16">
        <v>0.63</v>
      </c>
      <c r="F16" t="s">
        <v>4223</v>
      </c>
      <c r="G16">
        <v>0.3072390572390572</v>
      </c>
      <c r="H16" t="s">
        <v>4224</v>
      </c>
      <c r="I16">
        <v>9.2171717171717158E-3</v>
      </c>
      <c r="J16" t="s">
        <v>4224</v>
      </c>
    </row>
    <row r="17" spans="1:10">
      <c r="A17" t="s">
        <v>242</v>
      </c>
      <c r="B17" t="s">
        <v>4229</v>
      </c>
      <c r="C17">
        <v>4.9000000000000002E-2</v>
      </c>
      <c r="D17" t="s">
        <v>651</v>
      </c>
      <c r="E17">
        <v>1.1481726168201645</v>
      </c>
      <c r="F17" t="s">
        <v>4224</v>
      </c>
      <c r="G17" t="s">
        <v>115</v>
      </c>
      <c r="H17" t="s">
        <v>115</v>
      </c>
      <c r="I17" t="s">
        <v>115</v>
      </c>
      <c r="J17" t="s">
        <v>115</v>
      </c>
    </row>
    <row r="18" spans="1:10">
      <c r="A18" t="s">
        <v>244</v>
      </c>
      <c r="B18" t="s">
        <v>4230</v>
      </c>
      <c r="C18">
        <v>4.9000000000000002E-2</v>
      </c>
      <c r="D18" t="s">
        <v>651</v>
      </c>
      <c r="E18">
        <v>2.8320800036347169</v>
      </c>
      <c r="F18" t="s">
        <v>4224</v>
      </c>
      <c r="G18" t="s">
        <v>115</v>
      </c>
      <c r="H18" t="s">
        <v>115</v>
      </c>
      <c r="I18" t="s">
        <v>115</v>
      </c>
      <c r="J18" t="s">
        <v>115</v>
      </c>
    </row>
    <row r="19" spans="1:10">
      <c r="A19" t="s">
        <v>4231</v>
      </c>
      <c r="B19" t="s">
        <v>4232</v>
      </c>
      <c r="C19">
        <v>0.1</v>
      </c>
      <c r="D19" t="s">
        <v>651</v>
      </c>
      <c r="E19">
        <v>2.496026000290398</v>
      </c>
      <c r="F19" t="s">
        <v>4233</v>
      </c>
      <c r="G19" t="s">
        <v>115</v>
      </c>
      <c r="H19" t="s">
        <v>115</v>
      </c>
      <c r="I19" t="s">
        <v>115</v>
      </c>
      <c r="J19" t="s">
        <v>115</v>
      </c>
    </row>
    <row r="20" spans="1:10">
      <c r="A20" t="s">
        <v>240</v>
      </c>
      <c r="B20" t="s">
        <v>4234</v>
      </c>
      <c r="C20">
        <v>1.4E-2</v>
      </c>
      <c r="D20" t="s">
        <v>651</v>
      </c>
      <c r="E20">
        <v>0.11481726168201646</v>
      </c>
      <c r="F20" t="s">
        <v>4233</v>
      </c>
      <c r="G20" t="s">
        <v>115</v>
      </c>
      <c r="H20" t="s">
        <v>115</v>
      </c>
      <c r="I20" t="s">
        <v>115</v>
      </c>
      <c r="J20" t="s">
        <v>115</v>
      </c>
    </row>
    <row r="21" spans="1:10">
      <c r="A21" t="s">
        <v>96</v>
      </c>
      <c r="B21" t="s">
        <v>95</v>
      </c>
      <c r="C21">
        <v>2.65</v>
      </c>
      <c r="D21" t="s">
        <v>651</v>
      </c>
      <c r="E21">
        <v>5</v>
      </c>
      <c r="F21" t="s">
        <v>4223</v>
      </c>
      <c r="G21" t="s">
        <v>115</v>
      </c>
      <c r="H21" t="s">
        <v>115</v>
      </c>
      <c r="I21" t="s">
        <v>115</v>
      </c>
      <c r="J21" t="s">
        <v>115</v>
      </c>
    </row>
    <row r="22" spans="1:10">
      <c r="A22" t="s">
        <v>98</v>
      </c>
      <c r="B22" t="s">
        <v>97</v>
      </c>
      <c r="C22">
        <v>0.5</v>
      </c>
      <c r="D22" t="s">
        <v>4219</v>
      </c>
      <c r="E22">
        <v>0.42425587800000003</v>
      </c>
      <c r="F22" t="s">
        <v>647</v>
      </c>
      <c r="G22">
        <v>13.904761904761905</v>
      </c>
      <c r="H22" t="s">
        <v>4226</v>
      </c>
      <c r="I22">
        <v>0.41714285714285715</v>
      </c>
      <c r="J22" t="s">
        <v>4226</v>
      </c>
    </row>
    <row r="23" spans="1:10">
      <c r="A23" t="s">
        <v>100</v>
      </c>
      <c r="B23" t="s">
        <v>99</v>
      </c>
      <c r="C23">
        <v>6.2734340587365257E-3</v>
      </c>
      <c r="D23" t="s">
        <v>4228</v>
      </c>
      <c r="E23">
        <v>3.3990597156025147E-5</v>
      </c>
      <c r="F23" t="s">
        <v>647</v>
      </c>
      <c r="G23">
        <v>0.13181654026724449</v>
      </c>
      <c r="H23" t="s">
        <v>4224</v>
      </c>
      <c r="I23">
        <v>3.9544962080173343E-3</v>
      </c>
      <c r="J23" t="s">
        <v>4224</v>
      </c>
    </row>
    <row r="24" spans="1:10">
      <c r="A24" t="s">
        <v>102</v>
      </c>
      <c r="B24" t="s">
        <v>101</v>
      </c>
      <c r="C24">
        <v>0.35646608680418945</v>
      </c>
      <c r="D24" t="s">
        <v>4228</v>
      </c>
      <c r="E24">
        <v>5.0736027205858947E-3</v>
      </c>
      <c r="F24" t="s">
        <v>647</v>
      </c>
      <c r="G24">
        <v>9.3589743589743577</v>
      </c>
      <c r="H24" t="s">
        <v>4224</v>
      </c>
      <c r="I24">
        <v>0.28076923076923072</v>
      </c>
      <c r="J24" t="s">
        <v>4224</v>
      </c>
    </row>
    <row r="25" spans="1:10">
      <c r="A25" t="s">
        <v>104</v>
      </c>
      <c r="B25" t="s">
        <v>103</v>
      </c>
      <c r="C25">
        <v>4</v>
      </c>
      <c r="D25" t="s">
        <v>357</v>
      </c>
      <c r="E25">
        <v>0.8</v>
      </c>
      <c r="F25" t="s">
        <v>4223</v>
      </c>
      <c r="G25" t="s">
        <v>115</v>
      </c>
      <c r="H25" t="s">
        <v>115</v>
      </c>
      <c r="I25" t="s">
        <v>115</v>
      </c>
      <c r="J25" t="s">
        <v>115</v>
      </c>
    </row>
    <row r="26" spans="1:10">
      <c r="A26" t="s">
        <v>106</v>
      </c>
      <c r="B26" t="s">
        <v>105</v>
      </c>
      <c r="C26">
        <v>1.6</v>
      </c>
      <c r="D26" t="s">
        <v>651</v>
      </c>
      <c r="E26">
        <v>120</v>
      </c>
      <c r="F26" t="s">
        <v>4223</v>
      </c>
      <c r="G26" t="s">
        <v>115</v>
      </c>
      <c r="H26" t="s">
        <v>115</v>
      </c>
      <c r="I26" t="s">
        <v>115</v>
      </c>
      <c r="J26" t="s">
        <v>115</v>
      </c>
    </row>
    <row r="27" spans="1:10">
      <c r="A27" t="s">
        <v>108</v>
      </c>
      <c r="B27" t="s">
        <v>107</v>
      </c>
      <c r="C27">
        <v>0.87222501015604459</v>
      </c>
      <c r="D27" t="s">
        <v>648</v>
      </c>
      <c r="E27">
        <v>1.6143751812828566E-2</v>
      </c>
      <c r="F27" t="s">
        <v>647</v>
      </c>
      <c r="G27">
        <v>2.5294525294525294</v>
      </c>
      <c r="H27" t="s">
        <v>4224</v>
      </c>
      <c r="I27">
        <v>7.5883575883575874E-2</v>
      </c>
      <c r="J27" t="s">
        <v>4224</v>
      </c>
    </row>
    <row r="28" spans="1:10">
      <c r="A28" t="s">
        <v>110</v>
      </c>
      <c r="B28" t="s">
        <v>109</v>
      </c>
      <c r="C28">
        <v>80</v>
      </c>
      <c r="D28" t="s">
        <v>357</v>
      </c>
      <c r="E28">
        <v>0.6919277419354839</v>
      </c>
      <c r="F28" t="s">
        <v>647</v>
      </c>
      <c r="G28">
        <v>85.081585081585075</v>
      </c>
      <c r="H28" t="s">
        <v>4224</v>
      </c>
      <c r="I28">
        <v>2.5524475524475521</v>
      </c>
      <c r="J28" t="s">
        <v>4224</v>
      </c>
    </row>
    <row r="29" spans="1:10">
      <c r="A29" t="s">
        <v>112</v>
      </c>
      <c r="B29" t="s">
        <v>111</v>
      </c>
      <c r="C29">
        <v>7.5465111954055581</v>
      </c>
      <c r="D29" t="s">
        <v>4235</v>
      </c>
      <c r="E29">
        <v>0.35969589161336774</v>
      </c>
      <c r="F29" t="s">
        <v>647</v>
      </c>
      <c r="G29">
        <v>173.80952380952382</v>
      </c>
      <c r="H29" t="s">
        <v>4226</v>
      </c>
      <c r="I29">
        <v>5.2142857142857144</v>
      </c>
      <c r="J29" t="s">
        <v>4226</v>
      </c>
    </row>
    <row r="30" spans="1:10">
      <c r="A30" t="s">
        <v>114</v>
      </c>
      <c r="B30" t="s">
        <v>113</v>
      </c>
      <c r="C30" t="s">
        <v>115</v>
      </c>
      <c r="D30" t="s">
        <v>115</v>
      </c>
      <c r="E30">
        <v>1.9</v>
      </c>
      <c r="F30" t="s">
        <v>4223</v>
      </c>
      <c r="G30" t="s">
        <v>115</v>
      </c>
      <c r="H30" t="s">
        <v>115</v>
      </c>
      <c r="I30" t="s">
        <v>115</v>
      </c>
      <c r="J30" t="s">
        <v>115</v>
      </c>
    </row>
    <row r="31" spans="1:10">
      <c r="A31" t="s">
        <v>114</v>
      </c>
      <c r="B31" t="s">
        <v>116</v>
      </c>
      <c r="C31">
        <v>0.25</v>
      </c>
      <c r="D31" t="s">
        <v>651</v>
      </c>
      <c r="E31" t="s">
        <v>115</v>
      </c>
      <c r="F31" t="s">
        <v>115</v>
      </c>
      <c r="G31" t="s">
        <v>115</v>
      </c>
      <c r="H31" t="s">
        <v>115</v>
      </c>
      <c r="I31" t="s">
        <v>115</v>
      </c>
      <c r="J31" t="s">
        <v>115</v>
      </c>
    </row>
    <row r="32" spans="1:10">
      <c r="A32" t="s">
        <v>118</v>
      </c>
      <c r="B32" t="s">
        <v>117</v>
      </c>
      <c r="C32">
        <v>0.42540792540792527</v>
      </c>
      <c r="D32" t="s">
        <v>648</v>
      </c>
      <c r="E32">
        <v>7.598517249417247E-2</v>
      </c>
      <c r="F32" t="s">
        <v>647</v>
      </c>
      <c r="G32">
        <v>15.598290598290594</v>
      </c>
      <c r="H32" t="s">
        <v>4224</v>
      </c>
      <c r="I32">
        <v>0.46794871794871784</v>
      </c>
      <c r="J32" t="s">
        <v>4224</v>
      </c>
    </row>
    <row r="33" spans="1:10">
      <c r="A33" t="s">
        <v>120</v>
      </c>
      <c r="B33" t="s">
        <v>119</v>
      </c>
      <c r="C33">
        <v>5.9000000000000003E-4</v>
      </c>
      <c r="D33" t="s">
        <v>651</v>
      </c>
      <c r="E33">
        <v>8.5000000000000006E-3</v>
      </c>
      <c r="F33" t="s">
        <v>4223</v>
      </c>
      <c r="G33">
        <v>0.27526395173453994</v>
      </c>
      <c r="H33" t="s">
        <v>4224</v>
      </c>
      <c r="I33">
        <v>8.2579185520361975E-3</v>
      </c>
      <c r="J33" t="s">
        <v>4224</v>
      </c>
    </row>
    <row r="34" spans="1:10">
      <c r="A34" t="s">
        <v>122</v>
      </c>
      <c r="B34" t="s">
        <v>121</v>
      </c>
      <c r="C34">
        <v>0.36447347082281667</v>
      </c>
      <c r="D34" t="s">
        <v>4228</v>
      </c>
      <c r="E34">
        <v>6.6579098299513733E-3</v>
      </c>
      <c r="F34" t="s">
        <v>647</v>
      </c>
      <c r="G34" t="s">
        <v>115</v>
      </c>
      <c r="H34" t="s">
        <v>115</v>
      </c>
      <c r="I34" t="s">
        <v>115</v>
      </c>
      <c r="J34" t="s">
        <v>115</v>
      </c>
    </row>
    <row r="35" spans="1:10">
      <c r="A35" t="s">
        <v>124</v>
      </c>
      <c r="B35" t="s">
        <v>123</v>
      </c>
      <c r="C35">
        <v>25</v>
      </c>
      <c r="D35" t="s">
        <v>651</v>
      </c>
      <c r="E35">
        <v>1.4370942500000001</v>
      </c>
      <c r="F35" t="s">
        <v>647</v>
      </c>
      <c r="G35">
        <v>1738.0952380952383</v>
      </c>
      <c r="H35" t="s">
        <v>4226</v>
      </c>
      <c r="I35">
        <v>52.142857142857146</v>
      </c>
      <c r="J35" t="s">
        <v>4226</v>
      </c>
    </row>
    <row r="36" spans="1:10">
      <c r="A36" t="s">
        <v>126</v>
      </c>
      <c r="B36" t="s">
        <v>125</v>
      </c>
      <c r="C36">
        <v>16</v>
      </c>
      <c r="D36" t="s">
        <v>4219</v>
      </c>
      <c r="E36">
        <v>1.1505727624633433</v>
      </c>
      <c r="F36" t="s">
        <v>647</v>
      </c>
      <c r="G36">
        <v>347619.04761904763</v>
      </c>
      <c r="H36" t="s">
        <v>4226</v>
      </c>
      <c r="I36">
        <v>10428.571428571429</v>
      </c>
      <c r="J36" t="s">
        <v>4226</v>
      </c>
    </row>
    <row r="37" spans="1:10">
      <c r="A37" t="s">
        <v>128</v>
      </c>
      <c r="B37" t="s">
        <v>127</v>
      </c>
      <c r="C37">
        <v>0.81382385730211804</v>
      </c>
      <c r="D37" t="s">
        <v>648</v>
      </c>
      <c r="E37">
        <v>2.2839911663838728E-2</v>
      </c>
      <c r="F37" t="s">
        <v>647</v>
      </c>
      <c r="G37">
        <v>4.0691192865105901</v>
      </c>
      <c r="H37" t="s">
        <v>4224</v>
      </c>
      <c r="I37">
        <v>0.1220735785953177</v>
      </c>
      <c r="J37" t="s">
        <v>4224</v>
      </c>
    </row>
    <row r="38" spans="1:10">
      <c r="A38" t="s">
        <v>130</v>
      </c>
      <c r="B38" t="s">
        <v>129</v>
      </c>
      <c r="C38">
        <v>187.71428571428572</v>
      </c>
      <c r="D38" t="s">
        <v>4235</v>
      </c>
      <c r="E38">
        <v>10.655608584834519</v>
      </c>
      <c r="F38" t="s">
        <v>647</v>
      </c>
      <c r="G38">
        <v>3128.5714285714289</v>
      </c>
      <c r="H38" t="s">
        <v>4226</v>
      </c>
      <c r="I38">
        <v>93.857142857142861</v>
      </c>
      <c r="J38" t="s">
        <v>4226</v>
      </c>
    </row>
    <row r="39" spans="1:10">
      <c r="A39" t="s">
        <v>132</v>
      </c>
      <c r="B39" t="s">
        <v>131</v>
      </c>
      <c r="C39">
        <v>0.18</v>
      </c>
      <c r="D39" t="s">
        <v>4219</v>
      </c>
      <c r="E39">
        <v>1.1665759618768331E-2</v>
      </c>
      <c r="F39" t="s">
        <v>647</v>
      </c>
      <c r="G39">
        <v>633.33333333333337</v>
      </c>
      <c r="H39" t="s">
        <v>4219</v>
      </c>
      <c r="I39">
        <v>19</v>
      </c>
      <c r="J39" t="s">
        <v>4220</v>
      </c>
    </row>
    <row r="40" spans="1:10">
      <c r="A40" t="s">
        <v>134</v>
      </c>
      <c r="B40" t="s">
        <v>133</v>
      </c>
      <c r="C40">
        <v>50</v>
      </c>
      <c r="D40" t="s">
        <v>357</v>
      </c>
      <c r="E40">
        <v>160</v>
      </c>
      <c r="F40" t="s">
        <v>4223</v>
      </c>
      <c r="G40" t="s">
        <v>115</v>
      </c>
      <c r="H40" t="s">
        <v>115</v>
      </c>
      <c r="I40" t="s">
        <v>115</v>
      </c>
      <c r="J40" t="s">
        <v>115</v>
      </c>
    </row>
    <row r="41" spans="1:10">
      <c r="A41" t="s">
        <v>136</v>
      </c>
      <c r="B41" t="s">
        <v>135</v>
      </c>
      <c r="C41">
        <v>180</v>
      </c>
      <c r="D41" t="s">
        <v>651</v>
      </c>
      <c r="E41">
        <v>117321.42857142858</v>
      </c>
      <c r="F41" t="s">
        <v>4226</v>
      </c>
      <c r="G41" t="s">
        <v>115</v>
      </c>
      <c r="H41" t="s">
        <v>115</v>
      </c>
      <c r="I41" t="s">
        <v>115</v>
      </c>
      <c r="J41" t="s">
        <v>115</v>
      </c>
    </row>
    <row r="42" spans="1:10">
      <c r="A42" t="s">
        <v>138</v>
      </c>
      <c r="B42" t="s">
        <v>137</v>
      </c>
      <c r="C42">
        <v>0.02</v>
      </c>
      <c r="D42" t="s">
        <v>4228</v>
      </c>
      <c r="E42">
        <v>0.29641719745222933</v>
      </c>
      <c r="F42" t="s">
        <v>4224</v>
      </c>
      <c r="G42" t="s">
        <v>115</v>
      </c>
      <c r="H42" t="s">
        <v>115</v>
      </c>
      <c r="I42" t="s">
        <v>115</v>
      </c>
      <c r="J42" t="s">
        <v>115</v>
      </c>
    </row>
    <row r="43" spans="1:10">
      <c r="A43" t="s">
        <v>246</v>
      </c>
      <c r="B43" t="s">
        <v>4236</v>
      </c>
      <c r="C43">
        <v>4.9000000000000002E-2</v>
      </c>
      <c r="D43" t="s">
        <v>651</v>
      </c>
      <c r="E43">
        <v>2.1602000795094338</v>
      </c>
      <c r="F43" t="s">
        <v>647</v>
      </c>
      <c r="G43" t="s">
        <v>115</v>
      </c>
      <c r="H43" t="s">
        <v>115</v>
      </c>
      <c r="I43" t="s">
        <v>115</v>
      </c>
      <c r="J43" t="s">
        <v>115</v>
      </c>
    </row>
    <row r="44" spans="1:10">
      <c r="A44" t="s">
        <v>140</v>
      </c>
      <c r="B44" t="s">
        <v>139</v>
      </c>
      <c r="C44">
        <v>3</v>
      </c>
      <c r="D44" t="s">
        <v>651</v>
      </c>
      <c r="E44">
        <v>23.399764305355507</v>
      </c>
      <c r="F44" t="s">
        <v>4226</v>
      </c>
      <c r="G44" t="s">
        <v>115</v>
      </c>
      <c r="H44" t="s">
        <v>115</v>
      </c>
      <c r="I44" t="s">
        <v>115</v>
      </c>
      <c r="J44" t="s">
        <v>115</v>
      </c>
    </row>
    <row r="45" spans="1:10">
      <c r="A45" t="s">
        <v>142</v>
      </c>
      <c r="B45" t="s">
        <v>141</v>
      </c>
      <c r="C45">
        <v>3.1</v>
      </c>
      <c r="D45" t="s">
        <v>651</v>
      </c>
      <c r="E45">
        <v>180</v>
      </c>
      <c r="F45" t="s">
        <v>4223</v>
      </c>
      <c r="G45" t="s">
        <v>115</v>
      </c>
      <c r="H45" t="s">
        <v>115</v>
      </c>
      <c r="I45" t="s">
        <v>115</v>
      </c>
      <c r="J45" t="s">
        <v>115</v>
      </c>
    </row>
    <row r="46" spans="1:10">
      <c r="A46" t="s">
        <v>144</v>
      </c>
      <c r="B46" t="s">
        <v>143</v>
      </c>
      <c r="C46">
        <v>1</v>
      </c>
      <c r="D46" t="s">
        <v>651</v>
      </c>
      <c r="E46">
        <v>3.4427000000000004E-3</v>
      </c>
      <c r="F46" t="s">
        <v>647</v>
      </c>
      <c r="G46">
        <v>27.80952380952381</v>
      </c>
      <c r="H46" t="s">
        <v>4226</v>
      </c>
      <c r="I46">
        <v>0.8342857142857143</v>
      </c>
      <c r="J46" t="s">
        <v>4226</v>
      </c>
    </row>
    <row r="47" spans="1:10">
      <c r="A47" t="s">
        <v>248</v>
      </c>
      <c r="B47" t="s">
        <v>4237</v>
      </c>
      <c r="C47">
        <v>2.5051475634866163E-2</v>
      </c>
      <c r="D47" t="s">
        <v>4228</v>
      </c>
      <c r="E47">
        <v>0.11481630563008834</v>
      </c>
      <c r="F47" t="s">
        <v>4224</v>
      </c>
      <c r="G47" t="s">
        <v>115</v>
      </c>
      <c r="H47" t="s">
        <v>115</v>
      </c>
      <c r="I47" t="s">
        <v>115</v>
      </c>
      <c r="J47" t="s">
        <v>115</v>
      </c>
    </row>
    <row r="48" spans="1:10">
      <c r="A48" t="s">
        <v>146</v>
      </c>
      <c r="B48" t="s">
        <v>145</v>
      </c>
      <c r="C48">
        <v>34</v>
      </c>
      <c r="D48" t="s">
        <v>651</v>
      </c>
      <c r="E48">
        <v>0.34564260410557185</v>
      </c>
      <c r="F48" t="s">
        <v>647</v>
      </c>
      <c r="G48" t="s">
        <v>115</v>
      </c>
      <c r="H48" t="s">
        <v>115</v>
      </c>
      <c r="I48" t="s">
        <v>115</v>
      </c>
      <c r="J48" t="s">
        <v>115</v>
      </c>
    </row>
    <row r="49" spans="1:10">
      <c r="A49" t="s">
        <v>148</v>
      </c>
      <c r="B49" t="s">
        <v>147</v>
      </c>
      <c r="C49">
        <v>2.8163580246913573E-2</v>
      </c>
      <c r="D49" t="s">
        <v>648</v>
      </c>
      <c r="E49">
        <v>5.866506801889866E-4</v>
      </c>
      <c r="F49" t="s">
        <v>647</v>
      </c>
      <c r="G49">
        <v>5.6327160493827143E-3</v>
      </c>
      <c r="H49" t="s">
        <v>4224</v>
      </c>
      <c r="I49">
        <v>1.6898148148148143E-4</v>
      </c>
      <c r="J49" t="s">
        <v>4224</v>
      </c>
    </row>
    <row r="50" spans="1:10">
      <c r="A50" t="s">
        <v>150</v>
      </c>
      <c r="B50" t="s">
        <v>149</v>
      </c>
      <c r="C50">
        <v>0.05</v>
      </c>
      <c r="D50" t="s">
        <v>357</v>
      </c>
      <c r="E50">
        <v>5.3372750000000007E-4</v>
      </c>
      <c r="F50" t="s">
        <v>647</v>
      </c>
      <c r="G50">
        <v>0.15598290598290598</v>
      </c>
      <c r="H50" t="s">
        <v>4224</v>
      </c>
      <c r="I50">
        <v>4.679487179487179E-3</v>
      </c>
      <c r="J50" t="s">
        <v>4224</v>
      </c>
    </row>
    <row r="51" spans="1:10">
      <c r="A51" t="s">
        <v>152</v>
      </c>
      <c r="B51" t="s">
        <v>151</v>
      </c>
      <c r="C51">
        <v>14</v>
      </c>
      <c r="D51" t="s">
        <v>651</v>
      </c>
      <c r="E51">
        <v>1.0487613489736072</v>
      </c>
      <c r="F51" t="s">
        <v>647</v>
      </c>
      <c r="G51">
        <v>6952.3809523809532</v>
      </c>
      <c r="H51" t="s">
        <v>4226</v>
      </c>
      <c r="I51">
        <v>208.57142857142858</v>
      </c>
      <c r="J51" t="s">
        <v>4226</v>
      </c>
    </row>
    <row r="52" spans="1:10">
      <c r="A52" t="s">
        <v>4238</v>
      </c>
      <c r="B52" t="s">
        <v>4239</v>
      </c>
      <c r="C52">
        <v>64.5</v>
      </c>
      <c r="D52" t="s">
        <v>651</v>
      </c>
      <c r="E52">
        <v>6</v>
      </c>
      <c r="F52" t="s">
        <v>4223</v>
      </c>
      <c r="G52" t="s">
        <v>115</v>
      </c>
      <c r="H52" t="s">
        <v>115</v>
      </c>
      <c r="I52" t="s">
        <v>115</v>
      </c>
      <c r="J52" t="s">
        <v>115</v>
      </c>
    </row>
    <row r="53" spans="1:10">
      <c r="A53" t="s">
        <v>154</v>
      </c>
      <c r="B53" t="s">
        <v>153</v>
      </c>
      <c r="C53">
        <v>2.5782298509571233</v>
      </c>
      <c r="D53" t="s">
        <v>648</v>
      </c>
      <c r="E53">
        <v>0.20135185033278877</v>
      </c>
      <c r="F53" t="s">
        <v>647</v>
      </c>
      <c r="G53">
        <v>8.5081585081585072</v>
      </c>
      <c r="H53" t="s">
        <v>4224</v>
      </c>
      <c r="I53">
        <v>0.25524475524475521</v>
      </c>
      <c r="J53" t="s">
        <v>4224</v>
      </c>
    </row>
    <row r="54" spans="1:10">
      <c r="A54" t="s">
        <v>156</v>
      </c>
      <c r="B54" t="s">
        <v>155</v>
      </c>
      <c r="C54">
        <v>4.6414079459102586E-2</v>
      </c>
      <c r="D54" t="s">
        <v>4228</v>
      </c>
      <c r="E54">
        <v>2.4655159016857116E-2</v>
      </c>
      <c r="F54" t="s">
        <v>647</v>
      </c>
      <c r="G54" t="s">
        <v>115</v>
      </c>
      <c r="H54" t="s">
        <v>115</v>
      </c>
      <c r="I54" t="s">
        <v>115</v>
      </c>
      <c r="J54" t="s">
        <v>115</v>
      </c>
    </row>
    <row r="55" spans="1:10">
      <c r="A55" t="s">
        <v>158</v>
      </c>
      <c r="B55" t="s">
        <v>157</v>
      </c>
      <c r="C55">
        <v>8.4000000000000003E-4</v>
      </c>
      <c r="D55" t="s">
        <v>651</v>
      </c>
      <c r="E55">
        <v>2.6712334642226963</v>
      </c>
      <c r="F55" t="s">
        <v>4224</v>
      </c>
      <c r="G55" t="s">
        <v>115</v>
      </c>
      <c r="H55" t="s">
        <v>115</v>
      </c>
      <c r="I55" t="s">
        <v>115</v>
      </c>
      <c r="J55" t="s">
        <v>115</v>
      </c>
    </row>
    <row r="56" spans="1:10">
      <c r="A56" t="s">
        <v>160</v>
      </c>
      <c r="B56" t="s">
        <v>159</v>
      </c>
      <c r="C56">
        <v>5.9000000000000003E-4</v>
      </c>
      <c r="D56" t="s">
        <v>651</v>
      </c>
      <c r="E56">
        <v>0.33</v>
      </c>
      <c r="F56" t="s">
        <v>4223</v>
      </c>
      <c r="G56">
        <v>0.9648427174200368</v>
      </c>
      <c r="H56" t="s">
        <v>4224</v>
      </c>
      <c r="I56">
        <v>2.8945281522601105E-2</v>
      </c>
      <c r="J56" t="s">
        <v>4224</v>
      </c>
    </row>
    <row r="57" spans="1:10">
      <c r="A57" t="s">
        <v>162</v>
      </c>
      <c r="B57" t="s">
        <v>161</v>
      </c>
      <c r="C57">
        <v>5.9000000000000003E-4</v>
      </c>
      <c r="D57" t="s">
        <v>651</v>
      </c>
      <c r="E57">
        <v>1.1000000000000001E-3</v>
      </c>
      <c r="F57" t="s">
        <v>4223</v>
      </c>
      <c r="G57" t="s">
        <v>115</v>
      </c>
      <c r="H57" t="s">
        <v>115</v>
      </c>
      <c r="I57" t="s">
        <v>115</v>
      </c>
      <c r="J57" t="s">
        <v>115</v>
      </c>
    </row>
    <row r="58" spans="1:10">
      <c r="A58" t="s">
        <v>164</v>
      </c>
      <c r="B58" t="s">
        <v>163</v>
      </c>
      <c r="C58">
        <v>5</v>
      </c>
      <c r="D58" t="s">
        <v>357</v>
      </c>
      <c r="E58">
        <v>0.2009991495601173</v>
      </c>
      <c r="F58" t="s">
        <v>647</v>
      </c>
      <c r="G58">
        <v>58.493589743589737</v>
      </c>
      <c r="H58" t="s">
        <v>4224</v>
      </c>
      <c r="I58">
        <v>1.7548076923076921</v>
      </c>
      <c r="J58" t="s">
        <v>4224</v>
      </c>
    </row>
    <row r="59" spans="1:10">
      <c r="A59" t="s">
        <v>166</v>
      </c>
      <c r="B59" t="s">
        <v>165</v>
      </c>
      <c r="C59">
        <v>0.5</v>
      </c>
      <c r="D59" t="s">
        <v>357</v>
      </c>
      <c r="E59">
        <v>6.960469208211144E-3</v>
      </c>
      <c r="F59" t="s">
        <v>647</v>
      </c>
      <c r="G59">
        <v>3.5996055226824457</v>
      </c>
      <c r="H59" t="s">
        <v>4224</v>
      </c>
      <c r="I59">
        <v>0.10798816568047337</v>
      </c>
      <c r="J59" t="s">
        <v>4224</v>
      </c>
    </row>
    <row r="60" spans="1:10">
      <c r="A60" t="s">
        <v>168</v>
      </c>
      <c r="B60" t="s">
        <v>167</v>
      </c>
      <c r="C60">
        <v>3.2</v>
      </c>
      <c r="D60" t="s">
        <v>651</v>
      </c>
      <c r="E60">
        <v>0.53540704000000006</v>
      </c>
      <c r="F60" t="s">
        <v>647</v>
      </c>
      <c r="G60">
        <v>2433.3333333333335</v>
      </c>
      <c r="H60" t="s">
        <v>4226</v>
      </c>
      <c r="I60">
        <v>73</v>
      </c>
      <c r="J60" t="s">
        <v>4226</v>
      </c>
    </row>
    <row r="61" spans="1:10">
      <c r="A61" t="s">
        <v>170</v>
      </c>
      <c r="B61" t="s">
        <v>169</v>
      </c>
      <c r="C61">
        <v>6</v>
      </c>
      <c r="D61" t="s">
        <v>357</v>
      </c>
      <c r="E61">
        <v>0.19178736000000002</v>
      </c>
      <c r="F61" t="s">
        <v>647</v>
      </c>
      <c r="G61">
        <v>278.09523809523813</v>
      </c>
      <c r="H61" t="s">
        <v>4226</v>
      </c>
      <c r="I61">
        <v>8.3428571428571434</v>
      </c>
      <c r="J61" t="s">
        <v>4226</v>
      </c>
    </row>
    <row r="62" spans="1:10">
      <c r="A62" t="s">
        <v>172</v>
      </c>
      <c r="B62" t="s">
        <v>171</v>
      </c>
      <c r="C62">
        <v>10</v>
      </c>
      <c r="D62" t="s">
        <v>357</v>
      </c>
      <c r="E62">
        <v>0.6486166000000001</v>
      </c>
      <c r="F62" t="s">
        <v>647</v>
      </c>
      <c r="G62">
        <v>2780.9523809523812</v>
      </c>
      <c r="H62" t="s">
        <v>4226</v>
      </c>
      <c r="I62">
        <v>83.428571428571431</v>
      </c>
      <c r="J62" t="s">
        <v>4226</v>
      </c>
    </row>
    <row r="63" spans="1:10">
      <c r="A63" t="s">
        <v>174</v>
      </c>
      <c r="B63" t="s">
        <v>173</v>
      </c>
      <c r="C63">
        <v>0.3</v>
      </c>
      <c r="D63" t="s">
        <v>4219</v>
      </c>
      <c r="E63">
        <v>7.4779884090000011E-3</v>
      </c>
      <c r="F63" t="s">
        <v>647</v>
      </c>
      <c r="G63">
        <v>46666.666666666672</v>
      </c>
      <c r="H63" t="s">
        <v>4219</v>
      </c>
      <c r="I63">
        <v>1400</v>
      </c>
      <c r="J63" t="s">
        <v>4220</v>
      </c>
    </row>
    <row r="64" spans="1:10">
      <c r="A64" t="s">
        <v>176</v>
      </c>
      <c r="B64" t="s">
        <v>175</v>
      </c>
      <c r="C64">
        <v>2.339743589743589</v>
      </c>
      <c r="D64" t="s">
        <v>648</v>
      </c>
      <c r="E64">
        <v>6.4646507051282026E-2</v>
      </c>
      <c r="F64" t="s">
        <v>647</v>
      </c>
      <c r="G64">
        <v>9.3589743589743577</v>
      </c>
      <c r="H64" t="s">
        <v>4224</v>
      </c>
      <c r="I64">
        <v>0.28076923076923072</v>
      </c>
      <c r="J64" t="s">
        <v>4224</v>
      </c>
    </row>
    <row r="65" spans="1:10">
      <c r="A65" t="s">
        <v>178</v>
      </c>
      <c r="B65" t="s">
        <v>177</v>
      </c>
      <c r="C65">
        <v>0.5</v>
      </c>
      <c r="D65" t="s">
        <v>357</v>
      </c>
      <c r="E65">
        <v>1.6993425000000003E-2</v>
      </c>
      <c r="F65" t="s">
        <v>647</v>
      </c>
      <c r="G65">
        <v>5.8493589743589736</v>
      </c>
      <c r="H65" t="s">
        <v>4224</v>
      </c>
      <c r="I65">
        <v>0.17548076923076919</v>
      </c>
      <c r="J65" t="s">
        <v>4224</v>
      </c>
    </row>
    <row r="66" spans="1:10">
      <c r="A66" t="s">
        <v>180</v>
      </c>
      <c r="B66" t="s">
        <v>179</v>
      </c>
      <c r="C66">
        <v>1.3999999999999999E-4</v>
      </c>
      <c r="D66" t="s">
        <v>651</v>
      </c>
      <c r="E66">
        <v>4.6480870678885627E-4</v>
      </c>
      <c r="F66" t="s">
        <v>647</v>
      </c>
      <c r="G66">
        <v>2.0345596432552952E-2</v>
      </c>
      <c r="H66" t="s">
        <v>4224</v>
      </c>
      <c r="I66">
        <v>6.1036789297658851E-4</v>
      </c>
      <c r="J66" t="s">
        <v>4224</v>
      </c>
    </row>
    <row r="67" spans="1:10">
      <c r="A67" t="s">
        <v>182</v>
      </c>
      <c r="B67" t="s">
        <v>181</v>
      </c>
      <c r="C67">
        <v>1.5</v>
      </c>
      <c r="D67" t="s">
        <v>651</v>
      </c>
      <c r="E67">
        <v>2.4905688233137831E-2</v>
      </c>
      <c r="F67" t="s">
        <v>647</v>
      </c>
      <c r="G67" t="s">
        <v>115</v>
      </c>
      <c r="H67" t="s">
        <v>115</v>
      </c>
      <c r="I67" t="s">
        <v>115</v>
      </c>
      <c r="J67" t="s">
        <v>115</v>
      </c>
    </row>
    <row r="68" spans="1:10">
      <c r="A68" t="s">
        <v>4240</v>
      </c>
      <c r="B68" t="s">
        <v>4241</v>
      </c>
      <c r="C68">
        <v>1.5</v>
      </c>
      <c r="D68" t="s">
        <v>651</v>
      </c>
      <c r="E68">
        <v>3.4860978376099708E-2</v>
      </c>
      <c r="F68" t="s">
        <v>647</v>
      </c>
      <c r="G68" t="s">
        <v>115</v>
      </c>
      <c r="H68" t="s">
        <v>115</v>
      </c>
      <c r="I68" t="s">
        <v>115</v>
      </c>
      <c r="J68" t="s">
        <v>115</v>
      </c>
    </row>
    <row r="69" spans="1:10">
      <c r="A69" t="s">
        <v>184</v>
      </c>
      <c r="B69" t="s">
        <v>183</v>
      </c>
      <c r="C69">
        <v>100</v>
      </c>
      <c r="D69" t="s">
        <v>4235</v>
      </c>
      <c r="E69">
        <v>8.1345915762463346</v>
      </c>
      <c r="F69" t="s">
        <v>647</v>
      </c>
      <c r="G69">
        <v>33.333333333333336</v>
      </c>
      <c r="H69" t="s">
        <v>4219</v>
      </c>
      <c r="I69">
        <v>1</v>
      </c>
      <c r="J69" t="s">
        <v>4220</v>
      </c>
    </row>
    <row r="70" spans="1:10">
      <c r="A70" t="s">
        <v>186</v>
      </c>
      <c r="B70" t="s">
        <v>185</v>
      </c>
      <c r="C70">
        <v>38.828326615696639</v>
      </c>
      <c r="D70" t="s">
        <v>4235</v>
      </c>
      <c r="E70">
        <v>2.964951634401515</v>
      </c>
      <c r="F70" t="s">
        <v>647</v>
      </c>
      <c r="G70" t="s">
        <v>115</v>
      </c>
      <c r="H70" t="s">
        <v>115</v>
      </c>
      <c r="I70" t="s">
        <v>115</v>
      </c>
      <c r="J70" t="s">
        <v>115</v>
      </c>
    </row>
    <row r="71" spans="1:10">
      <c r="A71" t="s">
        <v>188</v>
      </c>
      <c r="B71" t="s">
        <v>187</v>
      </c>
      <c r="C71">
        <v>0.23693102809718977</v>
      </c>
      <c r="D71" t="s">
        <v>4228</v>
      </c>
      <c r="E71">
        <v>2.281179845137439E-2</v>
      </c>
      <c r="F71" t="s">
        <v>647</v>
      </c>
      <c r="G71" t="s">
        <v>115</v>
      </c>
      <c r="H71" t="s">
        <v>115</v>
      </c>
      <c r="I71" t="s">
        <v>115</v>
      </c>
      <c r="J71" t="s">
        <v>115</v>
      </c>
    </row>
    <row r="72" spans="1:10">
      <c r="A72" t="s">
        <v>190</v>
      </c>
      <c r="B72" t="s">
        <v>189</v>
      </c>
      <c r="C72">
        <v>0.37602802115206441</v>
      </c>
      <c r="D72" t="s">
        <v>4228</v>
      </c>
      <c r="E72">
        <v>1.7349692238022716E-4</v>
      </c>
      <c r="F72" t="s">
        <v>647</v>
      </c>
      <c r="G72">
        <v>12.154512154512153</v>
      </c>
      <c r="H72" t="s">
        <v>4224</v>
      </c>
      <c r="I72">
        <v>0.36463536463536456</v>
      </c>
      <c r="J72" t="s">
        <v>4224</v>
      </c>
    </row>
    <row r="73" spans="1:10">
      <c r="A73" t="s">
        <v>192</v>
      </c>
      <c r="B73" t="s">
        <v>191</v>
      </c>
      <c r="C73">
        <v>1.4E-8</v>
      </c>
      <c r="D73" t="s">
        <v>651</v>
      </c>
      <c r="E73">
        <v>4.772718494296102E-6</v>
      </c>
      <c r="F73" t="s">
        <v>4224</v>
      </c>
      <c r="G73">
        <v>2.4628879892037785E-6</v>
      </c>
      <c r="H73" t="s">
        <v>4224</v>
      </c>
      <c r="I73">
        <v>7.3886639676113351E-8</v>
      </c>
      <c r="J73" t="s">
        <v>4224</v>
      </c>
    </row>
    <row r="74" spans="1:10">
      <c r="A74" t="s">
        <v>194</v>
      </c>
      <c r="B74" t="s">
        <v>193</v>
      </c>
      <c r="C74">
        <v>8.6999999999999994E-3</v>
      </c>
      <c r="D74" t="s">
        <v>651</v>
      </c>
      <c r="E74">
        <v>9.824070058499999E-3</v>
      </c>
      <c r="F74" t="s">
        <v>647</v>
      </c>
      <c r="G74" t="s">
        <v>115</v>
      </c>
      <c r="H74" t="s">
        <v>115</v>
      </c>
      <c r="I74" t="s">
        <v>115</v>
      </c>
      <c r="J74" t="s">
        <v>115</v>
      </c>
    </row>
    <row r="75" spans="1:10">
      <c r="A75" t="s">
        <v>196</v>
      </c>
      <c r="B75" t="s">
        <v>195</v>
      </c>
      <c r="C75">
        <v>2.3E-3</v>
      </c>
      <c r="D75" t="s">
        <v>651</v>
      </c>
      <c r="E75">
        <v>1.1000000000000001E-3</v>
      </c>
      <c r="F75" t="s">
        <v>4223</v>
      </c>
      <c r="G75" t="s">
        <v>115</v>
      </c>
      <c r="H75" t="s">
        <v>115</v>
      </c>
      <c r="I75" t="s">
        <v>115</v>
      </c>
      <c r="J75" t="s">
        <v>115</v>
      </c>
    </row>
    <row r="76" spans="1:10">
      <c r="A76" t="s">
        <v>198</v>
      </c>
      <c r="B76" t="s">
        <v>197</v>
      </c>
      <c r="C76">
        <v>3.5096153846153837</v>
      </c>
      <c r="D76" t="s">
        <v>648</v>
      </c>
      <c r="E76">
        <v>0.43382762884615383</v>
      </c>
      <c r="F76" t="s">
        <v>647</v>
      </c>
      <c r="G76">
        <v>37.435897435897431</v>
      </c>
      <c r="H76" t="s">
        <v>4224</v>
      </c>
      <c r="I76">
        <v>1.1230769230769229</v>
      </c>
      <c r="J76" t="s">
        <v>4224</v>
      </c>
    </row>
    <row r="77" spans="1:10">
      <c r="A77" t="s">
        <v>250</v>
      </c>
      <c r="B77" t="s">
        <v>4242</v>
      </c>
      <c r="C77">
        <v>8</v>
      </c>
      <c r="D77" t="s">
        <v>651</v>
      </c>
      <c r="E77">
        <v>0.69</v>
      </c>
      <c r="F77" t="s">
        <v>4223</v>
      </c>
      <c r="G77" t="s">
        <v>115</v>
      </c>
      <c r="H77" t="s">
        <v>115</v>
      </c>
      <c r="I77" t="s">
        <v>115</v>
      </c>
      <c r="J77" t="s">
        <v>115</v>
      </c>
    </row>
    <row r="78" spans="1:10">
      <c r="A78" t="s">
        <v>252</v>
      </c>
      <c r="B78" t="s">
        <v>4243</v>
      </c>
      <c r="C78">
        <v>3.9</v>
      </c>
      <c r="D78" t="s">
        <v>651</v>
      </c>
      <c r="E78">
        <v>5.9583871473607042</v>
      </c>
      <c r="F78" t="s">
        <v>647</v>
      </c>
      <c r="G78" t="s">
        <v>115</v>
      </c>
      <c r="H78" t="s">
        <v>115</v>
      </c>
      <c r="I78" t="s">
        <v>115</v>
      </c>
      <c r="J78" t="s">
        <v>115</v>
      </c>
    </row>
    <row r="79" spans="1:10">
      <c r="A79" t="s">
        <v>200</v>
      </c>
      <c r="B79" t="s">
        <v>199</v>
      </c>
      <c r="C79">
        <v>2.1000000000000001E-4</v>
      </c>
      <c r="D79" t="s">
        <v>651</v>
      </c>
      <c r="E79">
        <v>0.11996885301687323</v>
      </c>
      <c r="F79" t="s">
        <v>4224</v>
      </c>
      <c r="G79">
        <v>7.1992110453648908E-2</v>
      </c>
      <c r="H79" t="s">
        <v>4224</v>
      </c>
      <c r="I79">
        <v>2.1597633136094673E-3</v>
      </c>
      <c r="J79" t="s">
        <v>4224</v>
      </c>
    </row>
    <row r="80" spans="1:10">
      <c r="A80" t="s">
        <v>202</v>
      </c>
      <c r="B80" t="s">
        <v>201</v>
      </c>
      <c r="C80">
        <v>1.1E-4</v>
      </c>
      <c r="D80" t="s">
        <v>651</v>
      </c>
      <c r="E80">
        <v>1.8261434951612903E-4</v>
      </c>
      <c r="F80" t="s">
        <v>647</v>
      </c>
      <c r="G80">
        <v>3.5996055226824454E-2</v>
      </c>
      <c r="H80" t="s">
        <v>4224</v>
      </c>
      <c r="I80">
        <v>1.0798816568047336E-3</v>
      </c>
      <c r="J80" t="s">
        <v>4224</v>
      </c>
    </row>
    <row r="81" spans="1:10">
      <c r="A81" t="s">
        <v>204</v>
      </c>
      <c r="B81" t="s">
        <v>203</v>
      </c>
      <c r="C81">
        <v>7.6999999999999996E-4</v>
      </c>
      <c r="D81" t="s">
        <v>651</v>
      </c>
      <c r="E81">
        <v>8.0065988709677419E-4</v>
      </c>
      <c r="F81" t="s">
        <v>647</v>
      </c>
      <c r="G81">
        <v>0.18350930115635997</v>
      </c>
      <c r="H81" t="s">
        <v>4224</v>
      </c>
      <c r="I81">
        <v>5.5052790346907989E-3</v>
      </c>
      <c r="J81" t="s">
        <v>4224</v>
      </c>
    </row>
    <row r="82" spans="1:10">
      <c r="A82" t="s">
        <v>206</v>
      </c>
      <c r="B82" t="s">
        <v>205</v>
      </c>
      <c r="C82">
        <v>0.13684482281127774</v>
      </c>
      <c r="D82" t="s">
        <v>4228</v>
      </c>
      <c r="E82">
        <v>2.8026943364253706E-2</v>
      </c>
      <c r="F82" t="s">
        <v>647</v>
      </c>
      <c r="G82">
        <v>4.2540792540792536</v>
      </c>
      <c r="H82" t="s">
        <v>4224</v>
      </c>
      <c r="I82">
        <v>0.1276223776223776</v>
      </c>
      <c r="J82" t="s">
        <v>4224</v>
      </c>
    </row>
    <row r="83" spans="1:10">
      <c r="A83" t="s">
        <v>208</v>
      </c>
      <c r="B83" t="s">
        <v>207</v>
      </c>
      <c r="C83">
        <v>1.6E-2</v>
      </c>
      <c r="D83" t="s">
        <v>651</v>
      </c>
      <c r="E83">
        <v>7.4373096656891492E-3</v>
      </c>
      <c r="F83" t="s">
        <v>647</v>
      </c>
      <c r="G83" t="s">
        <v>115</v>
      </c>
      <c r="H83" t="s">
        <v>115</v>
      </c>
      <c r="I83" t="s">
        <v>115</v>
      </c>
      <c r="J83" t="s">
        <v>115</v>
      </c>
    </row>
    <row r="84" spans="1:10">
      <c r="A84" t="s">
        <v>210</v>
      </c>
      <c r="B84" t="s">
        <v>209</v>
      </c>
      <c r="C84">
        <v>0.32577612159631375</v>
      </c>
      <c r="D84" t="s">
        <v>4228</v>
      </c>
      <c r="E84">
        <v>1.872228683327648E-2</v>
      </c>
      <c r="F84" t="s">
        <v>647</v>
      </c>
      <c r="G84">
        <v>8.5081585081585072</v>
      </c>
      <c r="H84" t="s">
        <v>4224</v>
      </c>
      <c r="I84">
        <v>0.25524475524475521</v>
      </c>
      <c r="J84" t="s">
        <v>4224</v>
      </c>
    </row>
    <row r="85" spans="1:10">
      <c r="A85" t="s">
        <v>254</v>
      </c>
      <c r="B85" t="s">
        <v>4244</v>
      </c>
      <c r="C85">
        <v>4.9000000000000002E-2</v>
      </c>
      <c r="D85" t="s">
        <v>651</v>
      </c>
      <c r="E85">
        <v>0.48</v>
      </c>
      <c r="F85" t="s">
        <v>4223</v>
      </c>
      <c r="G85" t="s">
        <v>115</v>
      </c>
      <c r="H85" t="s">
        <v>115</v>
      </c>
      <c r="I85" t="s">
        <v>115</v>
      </c>
      <c r="J85" t="s">
        <v>115</v>
      </c>
    </row>
    <row r="86" spans="1:10">
      <c r="A86" t="s">
        <v>212</v>
      </c>
      <c r="B86" t="s">
        <v>211</v>
      </c>
      <c r="C86">
        <v>2.5</v>
      </c>
      <c r="D86" t="s">
        <v>651</v>
      </c>
      <c r="E86">
        <v>32</v>
      </c>
      <c r="F86" t="s">
        <v>4223</v>
      </c>
      <c r="G86" t="s">
        <v>115</v>
      </c>
      <c r="H86" t="s">
        <v>115</v>
      </c>
      <c r="I86" t="s">
        <v>115</v>
      </c>
      <c r="J86" t="s">
        <v>115</v>
      </c>
    </row>
    <row r="87" spans="1:10">
      <c r="A87" t="s">
        <v>214</v>
      </c>
      <c r="B87" t="s">
        <v>213</v>
      </c>
      <c r="C87">
        <v>2.5000000000000001E-2</v>
      </c>
      <c r="D87" t="s">
        <v>651</v>
      </c>
      <c r="E87">
        <v>12.51060612424917</v>
      </c>
      <c r="F87" t="s">
        <v>4226</v>
      </c>
      <c r="G87">
        <v>1.0428571428571429</v>
      </c>
      <c r="H87" t="s">
        <v>4226</v>
      </c>
      <c r="I87">
        <v>3.1285714285714285E-2</v>
      </c>
      <c r="J87" t="s">
        <v>4226</v>
      </c>
    </row>
    <row r="88" spans="1:10">
      <c r="A88" t="s">
        <v>216</v>
      </c>
      <c r="B88" t="s">
        <v>215</v>
      </c>
      <c r="C88">
        <v>3.0000000000000001E-3</v>
      </c>
      <c r="D88" t="s">
        <v>651</v>
      </c>
      <c r="E88">
        <v>1.3446003776986805E-2</v>
      </c>
      <c r="F88" t="s">
        <v>647</v>
      </c>
      <c r="G88" t="s">
        <v>115</v>
      </c>
      <c r="H88" t="s">
        <v>115</v>
      </c>
      <c r="I88" t="s">
        <v>115</v>
      </c>
      <c r="J88" t="s">
        <v>115</v>
      </c>
    </row>
    <row r="89" spans="1:10">
      <c r="A89" t="s">
        <v>218</v>
      </c>
      <c r="B89" t="s">
        <v>217</v>
      </c>
      <c r="C89">
        <v>5</v>
      </c>
      <c r="D89" t="s">
        <v>357</v>
      </c>
      <c r="E89">
        <v>0.11912375</v>
      </c>
      <c r="F89" t="s">
        <v>647</v>
      </c>
      <c r="G89">
        <v>33.796296296296298</v>
      </c>
      <c r="H89" t="s">
        <v>4224</v>
      </c>
      <c r="I89">
        <v>1.0138888888888888</v>
      </c>
      <c r="J89" t="s">
        <v>4224</v>
      </c>
    </row>
    <row r="90" spans="1:10">
      <c r="A90" t="s">
        <v>220</v>
      </c>
      <c r="B90" t="s">
        <v>219</v>
      </c>
      <c r="C90">
        <v>5565.423465859968</v>
      </c>
      <c r="D90" t="s">
        <v>4235</v>
      </c>
      <c r="E90">
        <v>6.1229581274499276</v>
      </c>
      <c r="F90" t="s">
        <v>647</v>
      </c>
      <c r="G90">
        <v>173809.52380952382</v>
      </c>
      <c r="H90" t="s">
        <v>4226</v>
      </c>
      <c r="I90">
        <v>5214.2857142857147</v>
      </c>
      <c r="J90" t="s">
        <v>4226</v>
      </c>
    </row>
    <row r="91" spans="1:10">
      <c r="A91" t="s">
        <v>222</v>
      </c>
      <c r="B91" t="s">
        <v>221</v>
      </c>
      <c r="C91">
        <v>120</v>
      </c>
      <c r="D91" t="s">
        <v>4235</v>
      </c>
      <c r="E91">
        <v>0.360893137829912</v>
      </c>
      <c r="F91" t="s">
        <v>647</v>
      </c>
      <c r="G91">
        <v>14000</v>
      </c>
      <c r="H91" t="s">
        <v>4219</v>
      </c>
      <c r="I91">
        <v>420</v>
      </c>
      <c r="J91" t="s">
        <v>4220</v>
      </c>
    </row>
    <row r="92" spans="1:10">
      <c r="A92" t="s">
        <v>224</v>
      </c>
      <c r="B92" t="s">
        <v>223</v>
      </c>
      <c r="C92">
        <v>3.0000000000000001E-3</v>
      </c>
      <c r="D92" t="s">
        <v>651</v>
      </c>
      <c r="E92">
        <v>3.4000000000000002E-2</v>
      </c>
      <c r="F92" t="s">
        <v>4223</v>
      </c>
      <c r="G92" t="s">
        <v>115</v>
      </c>
      <c r="H92" t="s">
        <v>115</v>
      </c>
      <c r="I92" t="s">
        <v>115</v>
      </c>
      <c r="J92" t="s">
        <v>115</v>
      </c>
    </row>
    <row r="93" spans="1:10">
      <c r="A93" t="s">
        <v>226</v>
      </c>
      <c r="B93" t="s">
        <v>225</v>
      </c>
      <c r="C93">
        <v>2.1</v>
      </c>
      <c r="D93" t="s">
        <v>651</v>
      </c>
      <c r="E93">
        <v>0.87818936217008803</v>
      </c>
      <c r="F93" t="s">
        <v>647</v>
      </c>
      <c r="G93">
        <v>2266.666666666667</v>
      </c>
      <c r="H93" t="s">
        <v>4219</v>
      </c>
      <c r="I93">
        <v>68</v>
      </c>
      <c r="J93" t="s">
        <v>4220</v>
      </c>
    </row>
    <row r="94" spans="1:10">
      <c r="A94" t="s">
        <v>228</v>
      </c>
      <c r="B94" t="s">
        <v>227</v>
      </c>
      <c r="C94">
        <v>5</v>
      </c>
      <c r="D94" t="s">
        <v>4219</v>
      </c>
      <c r="E94">
        <v>2.8162346041055719E-2</v>
      </c>
      <c r="F94" t="s">
        <v>647</v>
      </c>
      <c r="G94">
        <v>359.96055226824456</v>
      </c>
      <c r="H94" t="s">
        <v>4224</v>
      </c>
      <c r="I94">
        <v>10.798816568047336</v>
      </c>
      <c r="J94" t="s">
        <v>4224</v>
      </c>
    </row>
    <row r="95" spans="1:10">
      <c r="A95" t="s">
        <v>230</v>
      </c>
      <c r="B95" t="s">
        <v>229</v>
      </c>
      <c r="C95">
        <v>99.833904828190825</v>
      </c>
      <c r="D95" t="s">
        <v>4235</v>
      </c>
      <c r="E95">
        <v>6.9</v>
      </c>
      <c r="F95" t="s">
        <v>4223</v>
      </c>
      <c r="G95" t="s">
        <v>115</v>
      </c>
      <c r="H95" t="s">
        <v>115</v>
      </c>
      <c r="I95" t="s">
        <v>115</v>
      </c>
      <c r="J95" t="s">
        <v>115</v>
      </c>
    </row>
    <row r="96" spans="1:10">
      <c r="A96" t="s">
        <v>256</v>
      </c>
      <c r="B96" t="s">
        <v>4245</v>
      </c>
      <c r="C96">
        <v>0.16515837104072398</v>
      </c>
      <c r="D96" t="s">
        <v>4228</v>
      </c>
      <c r="E96">
        <v>4.1575374862329317E-2</v>
      </c>
      <c r="F96" t="s">
        <v>647</v>
      </c>
      <c r="G96">
        <v>2.7526395173453992</v>
      </c>
      <c r="H96" t="s">
        <v>4224</v>
      </c>
      <c r="I96">
        <v>8.2579185520361975E-2</v>
      </c>
      <c r="J96" t="s">
        <v>4224</v>
      </c>
    </row>
    <row r="97" spans="1:10">
      <c r="A97" t="s">
        <v>232</v>
      </c>
      <c r="B97" t="s">
        <v>231</v>
      </c>
      <c r="C97">
        <v>8.1999999999999993</v>
      </c>
      <c r="D97" t="s">
        <v>651</v>
      </c>
      <c r="E97">
        <v>86.342550944576985</v>
      </c>
      <c r="F97" t="s">
        <v>4226</v>
      </c>
      <c r="G97" t="s">
        <v>115</v>
      </c>
      <c r="H97" t="s">
        <v>115</v>
      </c>
      <c r="I97" t="s">
        <v>115</v>
      </c>
      <c r="J97" t="s">
        <v>115</v>
      </c>
    </row>
    <row r="98" spans="1:10">
      <c r="A98" t="s">
        <v>260</v>
      </c>
      <c r="B98" t="s">
        <v>259</v>
      </c>
      <c r="C98">
        <v>1</v>
      </c>
      <c r="D98" t="s">
        <v>357</v>
      </c>
      <c r="E98">
        <v>1.2999999999999999E-2</v>
      </c>
      <c r="F98" t="s">
        <v>4223</v>
      </c>
      <c r="G98" t="s">
        <v>115</v>
      </c>
      <c r="H98" t="s">
        <v>115</v>
      </c>
      <c r="I98" t="s">
        <v>115</v>
      </c>
      <c r="J98" t="s">
        <v>115</v>
      </c>
    </row>
    <row r="99" spans="1:10">
      <c r="A99" t="s">
        <v>262</v>
      </c>
      <c r="B99" t="s">
        <v>261</v>
      </c>
      <c r="C99">
        <v>6</v>
      </c>
      <c r="D99" t="s">
        <v>357</v>
      </c>
      <c r="E99">
        <v>54.75</v>
      </c>
      <c r="F99" t="s">
        <v>4226</v>
      </c>
      <c r="G99" t="s">
        <v>115</v>
      </c>
      <c r="H99" t="s">
        <v>115</v>
      </c>
      <c r="I99" t="s">
        <v>115</v>
      </c>
      <c r="J99" t="s">
        <v>115</v>
      </c>
    </row>
    <row r="100" spans="1:10">
      <c r="A100" s="919" t="s">
        <v>263</v>
      </c>
      <c r="B100" t="s">
        <v>4246</v>
      </c>
      <c r="C100">
        <v>100</v>
      </c>
      <c r="D100" t="s">
        <v>4219</v>
      </c>
      <c r="E100">
        <v>100</v>
      </c>
      <c r="F100" t="s">
        <v>4219</v>
      </c>
      <c r="G100">
        <v>3333.3333333333335</v>
      </c>
      <c r="H100" t="s">
        <v>4219</v>
      </c>
      <c r="I100">
        <v>100</v>
      </c>
      <c r="J100" t="s">
        <v>4220</v>
      </c>
    </row>
    <row r="101" spans="1:10">
      <c r="A101" s="919" t="s">
        <v>264</v>
      </c>
      <c r="B101" t="s">
        <v>4247</v>
      </c>
      <c r="C101">
        <v>100</v>
      </c>
      <c r="D101" t="s">
        <v>4219</v>
      </c>
      <c r="E101">
        <v>100</v>
      </c>
      <c r="F101" t="s">
        <v>4219</v>
      </c>
      <c r="G101">
        <v>10977.443609022557</v>
      </c>
      <c r="H101" t="s">
        <v>4226</v>
      </c>
      <c r="I101">
        <v>329.3233082706767</v>
      </c>
      <c r="J101" t="s">
        <v>4226</v>
      </c>
    </row>
    <row r="102" spans="1:10">
      <c r="A102" s="919" t="s">
        <v>265</v>
      </c>
      <c r="B102" t="s">
        <v>4248</v>
      </c>
      <c r="C102">
        <v>100</v>
      </c>
      <c r="D102" t="s">
        <v>4219</v>
      </c>
      <c r="E102">
        <v>100</v>
      </c>
      <c r="F102" t="s">
        <v>4219</v>
      </c>
      <c r="G102">
        <v>10977.443609022557</v>
      </c>
      <c r="H102" t="s">
        <v>4226</v>
      </c>
      <c r="I102">
        <v>329.3233082706767</v>
      </c>
      <c r="J102" t="s">
        <v>4226</v>
      </c>
    </row>
    <row r="103" spans="1:10">
      <c r="A103" s="919" t="s">
        <v>266</v>
      </c>
      <c r="B103" t="s">
        <v>4249</v>
      </c>
      <c r="C103">
        <v>100</v>
      </c>
      <c r="D103" t="s">
        <v>4219</v>
      </c>
      <c r="E103">
        <v>255.042582255767</v>
      </c>
      <c r="F103" t="s">
        <v>4226</v>
      </c>
      <c r="G103">
        <v>8875.3799392097262</v>
      </c>
      <c r="H103" t="s">
        <v>4226</v>
      </c>
      <c r="I103">
        <v>266.26139817629178</v>
      </c>
      <c r="J103" t="s">
        <v>4226</v>
      </c>
    </row>
    <row r="104" spans="1:10">
      <c r="A104" s="919" t="s">
        <v>267</v>
      </c>
      <c r="B104" t="s">
        <v>4250</v>
      </c>
      <c r="C104">
        <v>100</v>
      </c>
      <c r="D104" t="s">
        <v>4219</v>
      </c>
      <c r="E104" t="s">
        <v>115</v>
      </c>
      <c r="F104" t="s">
        <v>115</v>
      </c>
      <c r="G104" t="s">
        <v>115</v>
      </c>
      <c r="H104" t="s">
        <v>115</v>
      </c>
      <c r="I104" t="s">
        <v>115</v>
      </c>
      <c r="J104" t="s">
        <v>115</v>
      </c>
    </row>
    <row r="105" spans="1:10">
      <c r="A105" s="919" t="s">
        <v>268</v>
      </c>
      <c r="B105" t="s">
        <v>4251</v>
      </c>
      <c r="C105" t="s">
        <v>115</v>
      </c>
      <c r="D105" t="s">
        <v>115</v>
      </c>
      <c r="E105">
        <v>1600</v>
      </c>
      <c r="F105" t="s">
        <v>4223</v>
      </c>
      <c r="G105" t="s">
        <v>115</v>
      </c>
      <c r="H105" t="s">
        <v>115</v>
      </c>
      <c r="I105" t="s">
        <v>115</v>
      </c>
      <c r="J105" t="s">
        <v>115</v>
      </c>
    </row>
    <row r="106" spans="1:10">
      <c r="A106" t="s">
        <v>4252</v>
      </c>
      <c r="B106" t="s">
        <v>4253</v>
      </c>
      <c r="C106">
        <v>4.5999999999999996</v>
      </c>
      <c r="D106" t="s">
        <v>651</v>
      </c>
      <c r="E106">
        <v>7.8</v>
      </c>
      <c r="F106" t="s">
        <v>4223</v>
      </c>
      <c r="G106">
        <v>1833.3333333333335</v>
      </c>
      <c r="H106" t="s">
        <v>4219</v>
      </c>
      <c r="I106">
        <v>55</v>
      </c>
      <c r="J106" t="s">
        <v>4220</v>
      </c>
    </row>
    <row r="107" spans="1:10">
      <c r="A107" t="s">
        <v>302</v>
      </c>
      <c r="B107" t="s">
        <v>301</v>
      </c>
      <c r="C107">
        <v>5</v>
      </c>
      <c r="D107" t="s">
        <v>4219</v>
      </c>
      <c r="E107">
        <v>0.15771033465500003</v>
      </c>
      <c r="F107" t="s">
        <v>647</v>
      </c>
      <c r="G107">
        <v>5200</v>
      </c>
      <c r="H107" t="s">
        <v>4219</v>
      </c>
      <c r="I107">
        <v>156</v>
      </c>
      <c r="J107" t="s">
        <v>4220</v>
      </c>
    </row>
    <row r="108" spans="1:10">
      <c r="A108" t="s">
        <v>304</v>
      </c>
      <c r="B108" t="s">
        <v>303</v>
      </c>
      <c r="C108">
        <v>1.7000000000000001E-4</v>
      </c>
      <c r="D108" t="s">
        <v>651</v>
      </c>
      <c r="E108">
        <v>0.22799563006333995</v>
      </c>
      <c r="F108" t="s">
        <v>4224</v>
      </c>
      <c r="G108">
        <v>0.16419253261358527</v>
      </c>
      <c r="H108" t="s">
        <v>4224</v>
      </c>
      <c r="I108">
        <v>4.9257759784075575E-3</v>
      </c>
      <c r="J108" t="s">
        <v>4224</v>
      </c>
    </row>
    <row r="109" spans="1:10">
      <c r="A109" t="s">
        <v>258</v>
      </c>
      <c r="B109" t="s">
        <v>4254</v>
      </c>
      <c r="C109">
        <v>2</v>
      </c>
      <c r="D109" t="s">
        <v>651</v>
      </c>
      <c r="E109">
        <v>45.374012986540876</v>
      </c>
      <c r="F109" t="s">
        <v>647</v>
      </c>
      <c r="G109" t="s">
        <v>115</v>
      </c>
      <c r="H109" t="s">
        <v>115</v>
      </c>
      <c r="I109" t="s">
        <v>115</v>
      </c>
      <c r="J109" t="s">
        <v>115</v>
      </c>
    </row>
    <row r="110" spans="1:10">
      <c r="A110" t="s">
        <v>306</v>
      </c>
      <c r="B110" t="s">
        <v>305</v>
      </c>
      <c r="C110">
        <v>0.5</v>
      </c>
      <c r="D110" t="s">
        <v>651</v>
      </c>
      <c r="E110">
        <v>2.4</v>
      </c>
      <c r="F110" t="s">
        <v>4223</v>
      </c>
      <c r="G110" t="s">
        <v>115</v>
      </c>
      <c r="H110" t="s">
        <v>115</v>
      </c>
      <c r="I110" t="s">
        <v>115</v>
      </c>
      <c r="J110" t="s">
        <v>115</v>
      </c>
    </row>
    <row r="111" spans="1:10">
      <c r="A111" t="s">
        <v>308</v>
      </c>
      <c r="B111" t="s">
        <v>307</v>
      </c>
      <c r="C111">
        <v>0.19</v>
      </c>
      <c r="D111" t="s">
        <v>651</v>
      </c>
      <c r="E111">
        <v>25</v>
      </c>
      <c r="F111" t="s">
        <v>4223</v>
      </c>
      <c r="G111" t="s">
        <v>115</v>
      </c>
      <c r="H111" t="s">
        <v>115</v>
      </c>
      <c r="I111" t="s">
        <v>115</v>
      </c>
      <c r="J111" t="s">
        <v>115</v>
      </c>
    </row>
    <row r="112" spans="1:10">
      <c r="A112" t="s">
        <v>310</v>
      </c>
      <c r="B112" t="s">
        <v>309</v>
      </c>
      <c r="C112">
        <v>10</v>
      </c>
      <c r="D112" t="s">
        <v>4219</v>
      </c>
      <c r="E112">
        <v>0.91769250000000002</v>
      </c>
      <c r="F112" t="s">
        <v>647</v>
      </c>
      <c r="G112">
        <v>31285.714285714286</v>
      </c>
      <c r="H112" t="s">
        <v>4226</v>
      </c>
      <c r="I112">
        <v>938.57142857142856</v>
      </c>
      <c r="J112" t="s">
        <v>4226</v>
      </c>
    </row>
    <row r="113" spans="1:10">
      <c r="A113" t="s">
        <v>312</v>
      </c>
      <c r="B113" t="s">
        <v>311</v>
      </c>
      <c r="C113">
        <v>12</v>
      </c>
      <c r="D113" t="s">
        <v>4228</v>
      </c>
      <c r="E113">
        <v>7.4577712609970676E-2</v>
      </c>
      <c r="F113" t="s">
        <v>647</v>
      </c>
      <c r="G113" t="s">
        <v>115</v>
      </c>
      <c r="H113" t="s">
        <v>115</v>
      </c>
      <c r="I113" t="s">
        <v>115</v>
      </c>
      <c r="J113" t="s">
        <v>115</v>
      </c>
    </row>
    <row r="114" spans="1:10">
      <c r="A114" t="s">
        <v>314</v>
      </c>
      <c r="B114" t="s">
        <v>313</v>
      </c>
      <c r="C114">
        <v>0.57243223384883424</v>
      </c>
      <c r="D114" t="s">
        <v>4228</v>
      </c>
      <c r="E114">
        <v>1.7054759759175246E-2</v>
      </c>
      <c r="F114" t="s">
        <v>647</v>
      </c>
      <c r="G114">
        <v>12.647262647262645</v>
      </c>
      <c r="H114" t="s">
        <v>4224</v>
      </c>
      <c r="I114">
        <v>0.37941787941787936</v>
      </c>
      <c r="J114" t="s">
        <v>4224</v>
      </c>
    </row>
    <row r="115" spans="1:10">
      <c r="A115" t="s">
        <v>316</v>
      </c>
      <c r="B115" t="s">
        <v>315</v>
      </c>
      <c r="C115">
        <v>1</v>
      </c>
      <c r="D115" t="s">
        <v>357</v>
      </c>
      <c r="E115">
        <v>1.8045293255131968E-2</v>
      </c>
      <c r="F115" t="s">
        <v>647</v>
      </c>
      <c r="G115">
        <v>1.6136162687886821</v>
      </c>
      <c r="H115" t="s">
        <v>4224</v>
      </c>
      <c r="I115">
        <v>4.8408488063660465E-2</v>
      </c>
      <c r="J115" t="s">
        <v>4224</v>
      </c>
    </row>
    <row r="116" spans="1:10">
      <c r="A116" t="s">
        <v>318</v>
      </c>
      <c r="B116" t="s">
        <v>317</v>
      </c>
      <c r="C116">
        <v>0.63927420484797515</v>
      </c>
      <c r="D116" t="s">
        <v>648</v>
      </c>
      <c r="E116">
        <v>7.9899095961034047E-2</v>
      </c>
      <c r="F116" t="s">
        <v>647</v>
      </c>
      <c r="G116">
        <v>15.342580916351405</v>
      </c>
      <c r="H116" t="s">
        <v>4224</v>
      </c>
      <c r="I116">
        <v>0.46027742749054212</v>
      </c>
      <c r="J116" t="s">
        <v>4224</v>
      </c>
    </row>
    <row r="117" spans="1:10">
      <c r="A117" t="s">
        <v>320</v>
      </c>
      <c r="B117" t="s">
        <v>319</v>
      </c>
      <c r="C117">
        <v>2</v>
      </c>
      <c r="D117" t="s">
        <v>357</v>
      </c>
      <c r="E117">
        <v>0.78214285714285725</v>
      </c>
      <c r="F117" t="s">
        <v>4226</v>
      </c>
      <c r="G117" t="s">
        <v>115</v>
      </c>
      <c r="H117" t="s">
        <v>115</v>
      </c>
      <c r="I117" t="s">
        <v>115</v>
      </c>
      <c r="J117" t="s">
        <v>115</v>
      </c>
    </row>
    <row r="118" spans="1:10">
      <c r="A118" t="s">
        <v>322</v>
      </c>
      <c r="B118" t="s">
        <v>321</v>
      </c>
      <c r="C118">
        <v>40</v>
      </c>
      <c r="D118" t="s">
        <v>4219</v>
      </c>
      <c r="E118">
        <v>3.1654111436950143</v>
      </c>
      <c r="F118" t="s">
        <v>647</v>
      </c>
      <c r="G118">
        <v>10428.571428571428</v>
      </c>
      <c r="H118" t="s">
        <v>4226</v>
      </c>
      <c r="I118">
        <v>312.85714285714283</v>
      </c>
      <c r="J118" t="s">
        <v>4226</v>
      </c>
    </row>
    <row r="119" spans="1:10">
      <c r="A119" t="s">
        <v>324</v>
      </c>
      <c r="B119" t="s">
        <v>323</v>
      </c>
      <c r="C119">
        <v>2.0000000000000001E-4</v>
      </c>
      <c r="D119" t="s">
        <v>651</v>
      </c>
      <c r="E119">
        <v>0.50789498401522282</v>
      </c>
      <c r="F119" t="s">
        <v>4224</v>
      </c>
      <c r="G119" t="s">
        <v>115</v>
      </c>
      <c r="H119" t="s">
        <v>115</v>
      </c>
      <c r="I119" t="s">
        <v>115</v>
      </c>
      <c r="J119" t="s">
        <v>115</v>
      </c>
    </row>
    <row r="120" spans="1:10">
      <c r="A120" t="s">
        <v>326</v>
      </c>
      <c r="B120" t="s">
        <v>325</v>
      </c>
      <c r="C120">
        <v>5</v>
      </c>
      <c r="D120" t="s">
        <v>357</v>
      </c>
      <c r="E120">
        <v>1.2059890029325513</v>
      </c>
      <c r="F120" t="s">
        <v>647</v>
      </c>
      <c r="G120">
        <v>69.523809523809533</v>
      </c>
      <c r="H120" t="s">
        <v>4226</v>
      </c>
      <c r="I120">
        <v>2.0857142857142859</v>
      </c>
      <c r="J120" t="s">
        <v>4226</v>
      </c>
    </row>
    <row r="121" spans="1:10">
      <c r="A121" t="s">
        <v>328</v>
      </c>
      <c r="B121" t="s">
        <v>327</v>
      </c>
      <c r="C121">
        <v>62</v>
      </c>
      <c r="D121" t="s">
        <v>651</v>
      </c>
      <c r="E121">
        <v>7.0360298181818184</v>
      </c>
      <c r="F121" t="s">
        <v>647</v>
      </c>
      <c r="G121">
        <v>34761.904761904763</v>
      </c>
      <c r="H121" t="s">
        <v>4226</v>
      </c>
      <c r="I121">
        <v>1042.8571428571429</v>
      </c>
      <c r="J121" t="s">
        <v>4226</v>
      </c>
    </row>
    <row r="122" spans="1:10">
      <c r="A122" t="s">
        <v>330</v>
      </c>
      <c r="B122" t="s">
        <v>329</v>
      </c>
      <c r="C122">
        <v>5</v>
      </c>
      <c r="D122" t="s">
        <v>357</v>
      </c>
      <c r="E122">
        <v>7.6202840000000008E-2</v>
      </c>
      <c r="F122" t="s">
        <v>647</v>
      </c>
      <c r="G122">
        <v>5.8493589743589736</v>
      </c>
      <c r="H122" t="s">
        <v>4224</v>
      </c>
      <c r="I122">
        <v>0.17548076923076919</v>
      </c>
      <c r="J122" t="s">
        <v>4224</v>
      </c>
    </row>
    <row r="123" spans="1:10">
      <c r="A123" t="s">
        <v>332</v>
      </c>
      <c r="B123" t="s">
        <v>331</v>
      </c>
      <c r="C123">
        <v>1.1957929057046857</v>
      </c>
      <c r="D123" t="s">
        <v>648</v>
      </c>
      <c r="E123">
        <v>8.4662719840086317E-2</v>
      </c>
      <c r="F123" t="s">
        <v>647</v>
      </c>
      <c r="G123">
        <v>15.943905409395809</v>
      </c>
      <c r="H123" t="s">
        <v>4224</v>
      </c>
      <c r="I123">
        <v>0.47831716228187426</v>
      </c>
      <c r="J123" t="s">
        <v>4224</v>
      </c>
    </row>
    <row r="124" spans="1:10">
      <c r="A124" t="s">
        <v>334</v>
      </c>
      <c r="B124" t="s">
        <v>333</v>
      </c>
      <c r="C124">
        <v>11</v>
      </c>
      <c r="D124" t="s">
        <v>651</v>
      </c>
      <c r="E124">
        <v>2.9217101241935488</v>
      </c>
      <c r="F124" t="s">
        <v>647</v>
      </c>
      <c r="G124" t="s">
        <v>115</v>
      </c>
      <c r="H124" t="s">
        <v>115</v>
      </c>
      <c r="I124" t="s">
        <v>115</v>
      </c>
      <c r="J124" t="s">
        <v>115</v>
      </c>
    </row>
    <row r="125" spans="1:10">
      <c r="A125" t="s">
        <v>336</v>
      </c>
      <c r="B125" t="s">
        <v>335</v>
      </c>
      <c r="C125">
        <v>0.63495320458078863</v>
      </c>
      <c r="D125" t="s">
        <v>4228</v>
      </c>
      <c r="E125">
        <v>4.0063095146762318E-2</v>
      </c>
      <c r="F125" t="s">
        <v>647</v>
      </c>
      <c r="G125">
        <v>10</v>
      </c>
      <c r="H125" t="s">
        <v>4219</v>
      </c>
      <c r="I125">
        <v>0.3</v>
      </c>
      <c r="J125" t="s">
        <v>4220</v>
      </c>
    </row>
    <row r="126" spans="1:10">
      <c r="A126" t="s">
        <v>338</v>
      </c>
      <c r="B126" t="s">
        <v>337</v>
      </c>
      <c r="C126">
        <v>5.0000000000000001E-3</v>
      </c>
      <c r="D126" t="s">
        <v>357</v>
      </c>
      <c r="E126">
        <v>1.0675900499999999E-4</v>
      </c>
      <c r="F126" t="s">
        <v>647</v>
      </c>
      <c r="G126">
        <v>10.428571428571429</v>
      </c>
      <c r="H126" t="s">
        <v>4226</v>
      </c>
      <c r="I126">
        <v>0.31285714285714283</v>
      </c>
      <c r="J126" t="s">
        <v>4226</v>
      </c>
    </row>
    <row r="127" spans="1:10">
      <c r="A127" t="s">
        <v>340</v>
      </c>
      <c r="B127" t="s">
        <v>339</v>
      </c>
      <c r="C127">
        <v>19</v>
      </c>
      <c r="D127" t="s">
        <v>651</v>
      </c>
      <c r="E127">
        <v>18</v>
      </c>
      <c r="F127" t="s">
        <v>4223</v>
      </c>
      <c r="G127" t="s">
        <v>115</v>
      </c>
      <c r="H127" t="s">
        <v>115</v>
      </c>
      <c r="I127" t="s">
        <v>115</v>
      </c>
      <c r="J127" t="s">
        <v>115</v>
      </c>
    </row>
    <row r="128" spans="1:10">
      <c r="A128" t="s">
        <v>342</v>
      </c>
      <c r="B128" t="s">
        <v>341</v>
      </c>
      <c r="C128">
        <v>8.5940995031904104E-3</v>
      </c>
      <c r="D128" t="s">
        <v>648</v>
      </c>
      <c r="E128">
        <v>1.5143370535188711E-3</v>
      </c>
      <c r="F128" t="s">
        <v>647</v>
      </c>
      <c r="G128">
        <v>0.31511698178364844</v>
      </c>
      <c r="H128" t="s">
        <v>4224</v>
      </c>
      <c r="I128">
        <v>9.4535094535094528E-3</v>
      </c>
      <c r="J128" t="s">
        <v>4224</v>
      </c>
    </row>
    <row r="129" spans="1:10">
      <c r="A129" t="s">
        <v>344</v>
      </c>
      <c r="B129" t="s">
        <v>343</v>
      </c>
      <c r="C129">
        <v>20</v>
      </c>
      <c r="D129" t="s">
        <v>4219</v>
      </c>
      <c r="E129">
        <v>2.0807055718475072</v>
      </c>
      <c r="F129" t="s">
        <v>647</v>
      </c>
      <c r="G129">
        <v>3476.1904761904766</v>
      </c>
      <c r="H129" t="s">
        <v>4226</v>
      </c>
      <c r="I129">
        <v>104.28571428571429</v>
      </c>
      <c r="J129" t="s">
        <v>4226</v>
      </c>
    </row>
    <row r="130" spans="1:10">
      <c r="A130" t="s">
        <v>346</v>
      </c>
      <c r="B130" t="s">
        <v>345</v>
      </c>
      <c r="C130">
        <v>81</v>
      </c>
      <c r="D130" t="s">
        <v>651</v>
      </c>
      <c r="E130">
        <v>340</v>
      </c>
      <c r="F130" t="s">
        <v>4223</v>
      </c>
      <c r="G130" t="s">
        <v>115</v>
      </c>
      <c r="H130" t="s">
        <v>115</v>
      </c>
      <c r="I130" t="s">
        <v>115</v>
      </c>
      <c r="J130" t="s">
        <v>115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pageSetUpPr fitToPage="1"/>
  </sheetPr>
  <dimension ref="A1:R161"/>
  <sheetViews>
    <sheetView showGridLines="0" topLeftCell="A3" zoomScale="60" zoomScaleNormal="60" workbookViewId="0">
      <pane xSplit="2" ySplit="4" topLeftCell="C7" activePane="bottomRight" state="frozen"/>
      <selection activeCell="A3" sqref="A3"/>
      <selection pane="topRight" activeCell="C3" sqref="C3"/>
      <selection pane="bottomLeft" activeCell="A7" sqref="A7"/>
      <selection pane="bottomRight" activeCell="A3" sqref="A3:B3"/>
    </sheetView>
  </sheetViews>
  <sheetFormatPr defaultRowHeight="18"/>
  <cols>
    <col min="1" max="1" width="88.85546875" style="102" customWidth="1"/>
    <col min="2" max="2" width="23.5703125" style="102" bestFit="1" customWidth="1"/>
    <col min="3" max="8" width="20.5703125" style="102" customWidth="1"/>
    <col min="9" max="9" width="27.42578125" style="102" customWidth="1"/>
    <col min="10" max="10" width="28.140625" style="102" customWidth="1"/>
    <col min="11" max="12" width="20.5703125" style="102" customWidth="1"/>
    <col min="13" max="13" width="26.5703125" style="102" bestFit="1" customWidth="1"/>
    <col min="14" max="17" width="21.5703125" style="102" customWidth="1"/>
    <col min="18" max="18" width="25.5703125" style="102" customWidth="1"/>
  </cols>
  <sheetData>
    <row r="1" spans="1:18" s="55" customFormat="1" ht="46.5" hidden="1" customHeight="1">
      <c r="A1" s="46" t="s">
        <v>401</v>
      </c>
      <c r="B1" s="102"/>
      <c r="C1" s="46" t="s">
        <v>402</v>
      </c>
      <c r="D1" s="46" t="s">
        <v>403</v>
      </c>
      <c r="E1" s="46" t="s">
        <v>404</v>
      </c>
      <c r="F1" s="46" t="s">
        <v>405</v>
      </c>
      <c r="G1" s="46" t="s">
        <v>406</v>
      </c>
      <c r="H1" s="46" t="s">
        <v>407</v>
      </c>
      <c r="I1" s="46" t="s">
        <v>408</v>
      </c>
      <c r="J1" s="46" t="s">
        <v>409</v>
      </c>
      <c r="K1" s="46" t="s">
        <v>410</v>
      </c>
      <c r="L1" s="46" t="s">
        <v>411</v>
      </c>
      <c r="M1" s="46" t="s">
        <v>412</v>
      </c>
      <c r="N1" s="46" t="s">
        <v>413</v>
      </c>
      <c r="O1" s="46" t="s">
        <v>414</v>
      </c>
      <c r="P1" s="46" t="s">
        <v>415</v>
      </c>
      <c r="Q1" s="46" t="s">
        <v>416</v>
      </c>
      <c r="R1" s="46" t="s">
        <v>417</v>
      </c>
    </row>
    <row r="2" spans="1:18" s="55" customFormat="1" ht="35.25" hidden="1" customHeight="1" thickBot="1">
      <c r="A2" s="46"/>
      <c r="B2" s="102"/>
      <c r="C2" s="46"/>
      <c r="D2" s="46"/>
      <c r="E2" s="46"/>
      <c r="F2" s="46"/>
      <c r="G2" s="46"/>
      <c r="H2" s="46"/>
      <c r="I2" s="46"/>
      <c r="J2" s="46"/>
      <c r="K2" s="46"/>
      <c r="L2" s="46"/>
      <c r="M2" s="46"/>
      <c r="N2" s="46"/>
      <c r="O2" s="46"/>
      <c r="P2" s="46"/>
      <c r="Q2" s="46"/>
      <c r="R2" s="46"/>
    </row>
    <row r="3" spans="1:18" s="539" customFormat="1" ht="60" customHeight="1" thickTop="1" thickBot="1">
      <c r="A3" s="2219" t="str">
        <f>'Tier 1 ESL'!A6:F6</f>
        <v>2025 (Rev 4)</v>
      </c>
      <c r="B3" s="2189"/>
      <c r="C3" s="2227" t="s">
        <v>418</v>
      </c>
      <c r="D3" s="2228"/>
      <c r="E3" s="2229"/>
      <c r="F3" s="2229"/>
      <c r="G3" s="2229"/>
      <c r="H3" s="2229"/>
      <c r="I3" s="2229"/>
      <c r="J3" s="2229"/>
      <c r="K3" s="2229"/>
      <c r="L3" s="2229"/>
      <c r="M3" s="2229"/>
      <c r="N3" s="2229"/>
      <c r="O3" s="2229"/>
      <c r="P3" s="2229"/>
      <c r="Q3" s="2229"/>
      <c r="R3" s="2230"/>
    </row>
    <row r="4" spans="1:18" s="448" customFormat="1" ht="93.75" customHeight="1" thickBot="1">
      <c r="A4" s="2220" t="s">
        <v>79</v>
      </c>
      <c r="B4" s="2221" t="s">
        <v>80</v>
      </c>
      <c r="C4" s="2237" t="s">
        <v>419</v>
      </c>
      <c r="D4" s="2239"/>
      <c r="E4" s="2239"/>
      <c r="F4" s="2239"/>
      <c r="G4" s="2239"/>
      <c r="H4" s="2238"/>
      <c r="I4" s="2237" t="s">
        <v>420</v>
      </c>
      <c r="J4" s="2238"/>
      <c r="K4" s="2224" t="s">
        <v>421</v>
      </c>
      <c r="L4" s="2226"/>
      <c r="M4" s="2207" t="s">
        <v>422</v>
      </c>
      <c r="N4" s="2224" t="s">
        <v>423</v>
      </c>
      <c r="O4" s="2225"/>
      <c r="P4" s="2226"/>
      <c r="Q4" s="2213" t="s">
        <v>424</v>
      </c>
      <c r="R4" s="2231" t="s">
        <v>379</v>
      </c>
    </row>
    <row r="5" spans="1:18" s="448" customFormat="1" ht="95.45" customHeight="1">
      <c r="A5" s="2190"/>
      <c r="B5" s="2222"/>
      <c r="C5" s="2234" t="s">
        <v>425</v>
      </c>
      <c r="D5" s="2235"/>
      <c r="E5" s="2234" t="s">
        <v>4308</v>
      </c>
      <c r="F5" s="2236"/>
      <c r="G5" s="2234" t="s">
        <v>427</v>
      </c>
      <c r="H5" s="2235"/>
      <c r="I5" s="1116" t="s">
        <v>428</v>
      </c>
      <c r="J5" s="1962" t="s">
        <v>429</v>
      </c>
      <c r="K5" s="2213" t="s">
        <v>430</v>
      </c>
      <c r="L5" s="2217" t="s">
        <v>431</v>
      </c>
      <c r="M5" s="2208"/>
      <c r="N5" s="2213" t="s">
        <v>432</v>
      </c>
      <c r="O5" s="2215" t="s">
        <v>433</v>
      </c>
      <c r="P5" s="2217" t="s">
        <v>434</v>
      </c>
      <c r="Q5" s="2211"/>
      <c r="R5" s="2232"/>
    </row>
    <row r="6" spans="1:18" ht="117" thickBot="1">
      <c r="A6" s="2191"/>
      <c r="B6" s="2223"/>
      <c r="C6" s="1953" t="s">
        <v>435</v>
      </c>
      <c r="D6" s="1957" t="s">
        <v>436</v>
      </c>
      <c r="E6" s="1953" t="s">
        <v>435</v>
      </c>
      <c r="F6" s="1957" t="s">
        <v>436</v>
      </c>
      <c r="G6" s="1958" t="s">
        <v>435</v>
      </c>
      <c r="H6" s="1955" t="s">
        <v>436</v>
      </c>
      <c r="I6" s="1958" t="s">
        <v>437</v>
      </c>
      <c r="J6" s="1954" t="s">
        <v>438</v>
      </c>
      <c r="K6" s="2214"/>
      <c r="L6" s="2218"/>
      <c r="M6" s="2209"/>
      <c r="N6" s="2214"/>
      <c r="O6" s="2216"/>
      <c r="P6" s="2218"/>
      <c r="Q6" s="2214"/>
      <c r="R6" s="2233"/>
    </row>
    <row r="7" spans="1:18" s="448" customFormat="1" ht="30" customHeight="1">
      <c r="A7" s="449" t="s">
        <v>391</v>
      </c>
      <c r="B7" s="610" t="s">
        <v>392</v>
      </c>
      <c r="C7" s="613" t="str">
        <f t="shared" ref="C7" si="0">(VLOOKUP(A7,Table_S_1, MATCH("s-res-c",heading_S_1,0), FALSE))</f>
        <v>--</v>
      </c>
      <c r="D7" s="457">
        <f t="shared" ref="D7" si="1">(VLOOKUP(A7,Table_S_1, MATCH("s-res-Nc",heading_S_1,0), FALSE))</f>
        <v>60721.478039166643</v>
      </c>
      <c r="E7" s="613" t="str">
        <f t="shared" ref="E7" si="2">(VLOOKUP(A7,Table_S_1, MATCH("s-com-c",heading_S_1,0), FALSE))</f>
        <v>--</v>
      </c>
      <c r="F7" s="457">
        <f t="shared" ref="F7" si="3">(VLOOKUP(A7,Table_S_1, MATCH("s-com-nc",heading_S_1,0), FALSE))</f>
        <v>666360.65141751687</v>
      </c>
      <c r="G7" s="456" t="str">
        <f t="shared" ref="G7" si="4">(VLOOKUP(A7,Table_S_1, MATCH("s-CW-c",heading_S_1,0), FALSE))</f>
        <v>--</v>
      </c>
      <c r="H7" s="895">
        <f t="shared" ref="H7:H12" si="5">(VLOOKUP(A7,Table_S_1, MATCH("s-CW-nc",heading_S_1,0), FALSE))</f>
        <v>179258.7870876294</v>
      </c>
      <c r="I7" s="714">
        <f t="shared" ref="I7" si="6">(VLOOKUP(A7,Table_S_2, MATCH("SV",heading_S_2,0), FALSE))</f>
        <v>56</v>
      </c>
      <c r="J7" s="456">
        <f t="shared" ref="J7" si="7">(VLOOKUP(A7,Table_S_2, MATCH("MV",heading_S_2,0), FALSE))</f>
        <v>56</v>
      </c>
      <c r="K7" s="454">
        <f t="shared" ref="K7" si="8">(VLOOKUP(A7,Table_S_3, MATCH("DW-Leach",heading_S_3,0), FALSE))</f>
        <v>0.91450350000000002</v>
      </c>
      <c r="L7" s="455">
        <f t="shared" ref="L7" si="9">(VLOOKUP(A7,Table_S_3, MATCH("NDW-Leach",heading_S_3,0), FALSE))</f>
        <v>0.91450350000000002</v>
      </c>
      <c r="M7" s="456">
        <f t="shared" ref="M7" si="10">(VLOOKUP(A7,Table_S_4, MATCH("S-GC",heading_S_4,0), FALSE))</f>
        <v>114454.88250872909</v>
      </c>
      <c r="N7" s="451">
        <f t="shared" ref="N7" si="11">(VLOOKUP(A7,Table_S_5, MATCH("res_ss_no",heading_S_5,0), FALSE))</f>
        <v>500</v>
      </c>
      <c r="O7" s="452">
        <f t="shared" ref="O7" si="12">(VLOOKUP(A7,Table_S_5, MATCH("com_ss_no",heading_S_5,0), FALSE))</f>
        <v>1000</v>
      </c>
      <c r="P7" s="457">
        <f t="shared" ref="P7" si="13">(VLOOKUP(A7,Table_S_5, MATCH("any_ds_no",heading_S_5,0), FALSE))</f>
        <v>1000</v>
      </c>
      <c r="Q7" s="458">
        <f>IF((MIN(C7:P7)=0), "--",MIN(C7:P7))</f>
        <v>0.91450350000000002</v>
      </c>
      <c r="R7" s="459" t="str">
        <f>IF(Q7="--", "--", IF(Q7=I7,"Terr Habitat", IF(Q7=K7, "Leaching", IF(Q7=M7, "Gross Contam", IF(Q7=N7, "Odor/Nuis", IF(OR(Q7=C7, Q7=G7), "Canc-Risk", IF(OR(Q7=D7, Q7=H7), "NC-Hazard","--")))))))</f>
        <v>Leaching</v>
      </c>
    </row>
    <row r="8" spans="1:18" s="448" customFormat="1" ht="30" customHeight="1">
      <c r="A8" s="893" t="s">
        <v>85</v>
      </c>
      <c r="B8" s="611" t="s">
        <v>86</v>
      </c>
      <c r="C8" s="612">
        <f t="shared" ref="C8:C12" si="14">(VLOOKUP(A8,Table_S_1, MATCH("s-res-c",heading_S_1,0), FALSE))</f>
        <v>3.9261563286762585E-2</v>
      </c>
      <c r="D8" s="467">
        <f t="shared" ref="D8:D12" si="15">(VLOOKUP(A8,Table_S_1, MATCH("s-res-Nc",heading_S_1,0), FALSE))</f>
        <v>2.3464285714285715</v>
      </c>
      <c r="E8" s="612">
        <f t="shared" ref="E8:E12" si="16">(VLOOKUP(A8,Table_S_1, MATCH("s-com-c",heading_S_1,0), FALSE))</f>
        <v>0.18396407799320019</v>
      </c>
      <c r="F8" s="467">
        <f t="shared" ref="F8:F12" si="17">(VLOOKUP(A8,Table_S_1, MATCH("s-com-nc",heading_S_1,0), FALSE))</f>
        <v>35.04</v>
      </c>
      <c r="G8" s="466">
        <f t="shared" ref="G8:G12" si="18">(VLOOKUP(A8,Table_S_1, MATCH("s-CW-c",heading_S_1,0), FALSE))</f>
        <v>1.3451394206554765</v>
      </c>
      <c r="H8" s="467">
        <f t="shared" si="5"/>
        <v>10.618181818181819</v>
      </c>
      <c r="I8" s="461">
        <f t="shared" ref="I8:I12" si="19">(VLOOKUP(A8,Table_S_2, MATCH("SV",heading_S_2,0), FALSE))</f>
        <v>2.3999999999999998E-3</v>
      </c>
      <c r="J8" s="466">
        <f t="shared" ref="J8:J12" si="20">(VLOOKUP(A8,Table_S_2, MATCH("MV",heading_S_2,0), FALSE))</f>
        <v>0.1</v>
      </c>
      <c r="K8" s="464">
        <f t="shared" ref="K8:K12" si="21">(VLOOKUP(A8,Table_S_3, MATCH("DW-Leach",heading_S_3,0), FALSE))</f>
        <v>8.3677457891461877</v>
      </c>
      <c r="L8" s="465">
        <f t="shared" ref="L8:L12" si="22">(VLOOKUP(A8,Table_S_3, MATCH("NDW-Leach",heading_S_3,0), FALSE))</f>
        <v>8.3677457891461877</v>
      </c>
      <c r="M8" s="466">
        <f t="shared" ref="M8:M12" si="23">(VLOOKUP(A8,Table_S_4, MATCH("S-GC",heading_S_4,0), FALSE))</f>
        <v>8.3677457891461877</v>
      </c>
      <c r="N8" s="461">
        <f t="shared" ref="N8:N12" si="24">(VLOOKUP(A8,Table_S_5, MATCH("res_ss_no",heading_S_5,0), FALSE))</f>
        <v>1000</v>
      </c>
      <c r="O8" s="462">
        <f t="shared" ref="O8:O12" si="25">(VLOOKUP(A8,Table_S_5, MATCH("com_ss_no",heading_S_5,0), FALSE))</f>
        <v>2500</v>
      </c>
      <c r="P8" s="467">
        <f t="shared" ref="P8:P12" si="26">(VLOOKUP(A8,Table_S_5, MATCH("any_ds_no",heading_S_5,0), FALSE))</f>
        <v>2500</v>
      </c>
      <c r="Q8" s="468">
        <f t="shared" ref="Q8:Q12" si="27">IF((MIN(C8:P8)=0), "--",MIN(C8:P8))</f>
        <v>2.3999999999999998E-3</v>
      </c>
      <c r="R8" s="469" t="str">
        <f t="shared" ref="R8:R71" si="28">IF(Q8="--", "--", IF(Q8=I8,"Terr Habitat", IF(Q8=K8, "Leaching", IF(Q8=M8, "Gross Contam", IF(Q8=N8, "Odor/Nuis", IF(OR(Q8=C8, Q8=G8), "Canc-Risk", IF(OR(Q8=D8, Q8=H8), "NC-Hazard","--")))))))</f>
        <v>Terr Habitat</v>
      </c>
    </row>
    <row r="9" spans="1:18" s="448" customFormat="1" ht="30" customHeight="1">
      <c r="A9" s="893" t="s">
        <v>87</v>
      </c>
      <c r="B9" s="611" t="s">
        <v>88</v>
      </c>
      <c r="C9" s="612" t="str">
        <f t="shared" si="14"/>
        <v>--</v>
      </c>
      <c r="D9" s="467">
        <f t="shared" si="15"/>
        <v>31.283414034682323</v>
      </c>
      <c r="E9" s="612" t="str">
        <f t="shared" si="16"/>
        <v>--</v>
      </c>
      <c r="F9" s="467">
        <f t="shared" si="17"/>
        <v>467.07788813382126</v>
      </c>
      <c r="G9" s="466" t="str">
        <f t="shared" si="18"/>
        <v>--</v>
      </c>
      <c r="H9" s="467">
        <f t="shared" si="5"/>
        <v>128.40017449469244</v>
      </c>
      <c r="I9" s="461">
        <f t="shared" si="19"/>
        <v>25</v>
      </c>
      <c r="J9" s="466">
        <f t="shared" si="20"/>
        <v>50</v>
      </c>
      <c r="K9" s="464" t="str">
        <f t="shared" si="21"/>
        <v>--</v>
      </c>
      <c r="L9" s="465" t="str">
        <f t="shared" si="22"/>
        <v>--</v>
      </c>
      <c r="M9" s="466" t="str">
        <f t="shared" si="23"/>
        <v>--</v>
      </c>
      <c r="N9" s="461" t="str">
        <f t="shared" si="24"/>
        <v>--</v>
      </c>
      <c r="O9" s="462" t="str">
        <f t="shared" si="25"/>
        <v>--</v>
      </c>
      <c r="P9" s="467" t="str">
        <f t="shared" si="26"/>
        <v>--</v>
      </c>
      <c r="Q9" s="468">
        <f t="shared" si="27"/>
        <v>25</v>
      </c>
      <c r="R9" s="469" t="str">
        <f t="shared" si="28"/>
        <v>Terr Habitat</v>
      </c>
    </row>
    <row r="10" spans="1:18" s="448" customFormat="1" ht="30" customHeight="1">
      <c r="A10" s="893" t="s">
        <v>89</v>
      </c>
      <c r="B10" s="611" t="s">
        <v>90</v>
      </c>
      <c r="C10" s="612">
        <f t="shared" si="14"/>
        <v>3.1743737335997779E-2</v>
      </c>
      <c r="D10" s="467">
        <f t="shared" si="15"/>
        <v>0.40784986655323263</v>
      </c>
      <c r="E10" s="612">
        <f t="shared" si="16"/>
        <v>0.14057803607895836</v>
      </c>
      <c r="F10" s="467">
        <f t="shared" si="17"/>
        <v>5.6229713659840339</v>
      </c>
      <c r="G10" s="466">
        <f t="shared" si="18"/>
        <v>1.0958342504147207</v>
      </c>
      <c r="H10" s="467">
        <f t="shared" si="5"/>
        <v>1.734636835950496</v>
      </c>
      <c r="I10" s="461">
        <f t="shared" si="19"/>
        <v>25</v>
      </c>
      <c r="J10" s="466">
        <f t="shared" si="20"/>
        <v>50</v>
      </c>
      <c r="K10" s="464" t="str">
        <f t="shared" si="21"/>
        <v>--</v>
      </c>
      <c r="L10" s="465" t="str">
        <f t="shared" si="22"/>
        <v>--</v>
      </c>
      <c r="M10" s="466" t="str">
        <f t="shared" si="23"/>
        <v>--</v>
      </c>
      <c r="N10" s="461" t="str">
        <f t="shared" si="24"/>
        <v>--</v>
      </c>
      <c r="O10" s="462" t="str">
        <f t="shared" si="25"/>
        <v>--</v>
      </c>
      <c r="P10" s="467" t="str">
        <f t="shared" si="26"/>
        <v>--</v>
      </c>
      <c r="Q10" s="468">
        <f t="shared" si="27"/>
        <v>3.1743737335997779E-2</v>
      </c>
      <c r="R10" s="469" t="str">
        <f t="shared" si="28"/>
        <v>Canc-Risk</v>
      </c>
    </row>
    <row r="11" spans="1:18" s="448" customFormat="1" ht="30" customHeight="1">
      <c r="A11" s="893" t="s">
        <v>91</v>
      </c>
      <c r="B11" s="611" t="s">
        <v>92</v>
      </c>
      <c r="C11" s="612" t="str">
        <f t="shared" si="14"/>
        <v>--</v>
      </c>
      <c r="D11" s="467">
        <f t="shared" si="15"/>
        <v>15305.241521068858</v>
      </c>
      <c r="E11" s="612" t="str">
        <f t="shared" si="16"/>
        <v>--</v>
      </c>
      <c r="F11" s="467">
        <f t="shared" si="17"/>
        <v>216610.90909090912</v>
      </c>
      <c r="G11" s="466" t="str">
        <f t="shared" si="18"/>
        <v>--</v>
      </c>
      <c r="H11" s="467">
        <f t="shared" si="5"/>
        <v>2227.1523479471543</v>
      </c>
      <c r="I11" s="461">
        <f t="shared" si="19"/>
        <v>390</v>
      </c>
      <c r="J11" s="466">
        <f t="shared" si="20"/>
        <v>670</v>
      </c>
      <c r="K11" s="464" t="str">
        <f t="shared" si="21"/>
        <v>--</v>
      </c>
      <c r="L11" s="465" t="str">
        <f t="shared" si="22"/>
        <v>--</v>
      </c>
      <c r="M11" s="466" t="str">
        <f t="shared" si="23"/>
        <v>--</v>
      </c>
      <c r="N11" s="461" t="str">
        <f t="shared" si="24"/>
        <v>--</v>
      </c>
      <c r="O11" s="462" t="str">
        <f t="shared" si="25"/>
        <v>--</v>
      </c>
      <c r="P11" s="467" t="str">
        <f t="shared" si="26"/>
        <v>--</v>
      </c>
      <c r="Q11" s="468">
        <f t="shared" si="27"/>
        <v>390</v>
      </c>
      <c r="R11" s="469" t="str">
        <f t="shared" si="28"/>
        <v>Terr Habitat</v>
      </c>
    </row>
    <row r="12" spans="1:18" s="448" customFormat="1" ht="30" customHeight="1">
      <c r="A12" s="893" t="s">
        <v>93</v>
      </c>
      <c r="B12" s="611" t="s">
        <v>94</v>
      </c>
      <c r="C12" s="612">
        <f t="shared" si="14"/>
        <v>0.32635947761588513</v>
      </c>
      <c r="D12" s="467">
        <f t="shared" si="15"/>
        <v>10.687503340885211</v>
      </c>
      <c r="E12" s="612">
        <f t="shared" si="16"/>
        <v>1.4037502976107612</v>
      </c>
      <c r="F12" s="467">
        <f t="shared" si="17"/>
        <v>45.132396295489571</v>
      </c>
      <c r="G12" s="466">
        <f t="shared" si="18"/>
        <v>8.0087212697957888</v>
      </c>
      <c r="H12" s="467">
        <f t="shared" si="5"/>
        <v>10.21200060338689</v>
      </c>
      <c r="I12" s="461">
        <f t="shared" si="19"/>
        <v>60</v>
      </c>
      <c r="J12" s="466">
        <f t="shared" si="20"/>
        <v>310</v>
      </c>
      <c r="K12" s="464">
        <f t="shared" si="21"/>
        <v>2.5026217699476064E-2</v>
      </c>
      <c r="L12" s="465">
        <f t="shared" si="22"/>
        <v>2.5026217699476064E-2</v>
      </c>
      <c r="M12" s="466">
        <f t="shared" si="23"/>
        <v>1821.7800652277899</v>
      </c>
      <c r="N12" s="461">
        <f t="shared" si="24"/>
        <v>500</v>
      </c>
      <c r="O12" s="462">
        <f t="shared" si="25"/>
        <v>1000</v>
      </c>
      <c r="P12" s="467">
        <f t="shared" si="26"/>
        <v>1000</v>
      </c>
      <c r="Q12" s="468">
        <f t="shared" si="27"/>
        <v>2.5026217699476064E-2</v>
      </c>
      <c r="R12" s="469" t="str">
        <f t="shared" si="28"/>
        <v>Leaching</v>
      </c>
    </row>
    <row r="13" spans="1:18" s="448" customFormat="1" ht="30" customHeight="1">
      <c r="A13" s="893" t="s">
        <v>95</v>
      </c>
      <c r="B13" s="611" t="s">
        <v>96</v>
      </c>
      <c r="C13" s="612">
        <f t="shared" ref="C13:C29" si="29">(VLOOKUP(A13,Table_S_1, MATCH("s-res-c",heading_S_1,0), FALSE))</f>
        <v>1591.0256410256409</v>
      </c>
      <c r="D13" s="467">
        <f t="shared" ref="D13:D29" si="30">(VLOOKUP(A13,Table_S_1, MATCH("s-res-Nc",heading_S_1,0), FALSE))</f>
        <v>15.618248557944415</v>
      </c>
      <c r="E13" s="612">
        <f t="shared" ref="E13:E29" si="31">(VLOOKUP(A13,Table_S_1, MATCH("s-com-c",heading_S_1,0), FALSE))</f>
        <v>6949.6</v>
      </c>
      <c r="F13" s="467">
        <f t="shared" ref="F13:F29" si="32">(VLOOKUP(A13,Table_S_1, MATCH("s-com-nc",heading_S_1,0), FALSE))</f>
        <v>232.29860724233987</v>
      </c>
      <c r="G13" s="466">
        <f t="shared" ref="G13:G29" si="33">(VLOOKUP(A13,Table_S_1, MATCH("s-CW-c",heading_S_1,0), FALSE))</f>
        <v>134.13750000000002</v>
      </c>
      <c r="H13" s="467">
        <f t="shared" ref="H13:H29" si="34">(VLOOKUP(A13,Table_S_1, MATCH("s-CW-nc",heading_S_1,0), FALSE))</f>
        <v>22.129100165402875</v>
      </c>
      <c r="I13" s="461">
        <f t="shared" ref="I13:I29" si="35">(VLOOKUP(A13,Table_S_2, MATCH("SV",heading_S_2,0), FALSE))</f>
        <v>5</v>
      </c>
      <c r="J13" s="466">
        <f t="shared" ref="J13:J29" si="36">(VLOOKUP(A13,Table_S_2, MATCH("MV",heading_S_2,0), FALSE))</f>
        <v>10</v>
      </c>
      <c r="K13" s="464" t="str">
        <f t="shared" ref="K13:K29" si="37">(VLOOKUP(A13,Table_S_3, MATCH("DW-Leach",heading_S_3,0), FALSE))</f>
        <v>--</v>
      </c>
      <c r="L13" s="465" t="str">
        <f t="shared" ref="L13:L29" si="38">(VLOOKUP(A13,Table_S_3, MATCH("NDW-Leach",heading_S_3,0), FALSE))</f>
        <v>--</v>
      </c>
      <c r="M13" s="466" t="str">
        <f t="shared" ref="M13:M29" si="39">(VLOOKUP(A13,Table_S_4, MATCH("S-GC",heading_S_4,0), FALSE))</f>
        <v>--</v>
      </c>
      <c r="N13" s="461" t="str">
        <f t="shared" ref="N13:N29" si="40">(VLOOKUP(A13,Table_S_5, MATCH("res_ss_no",heading_S_5,0), FALSE))</f>
        <v>--</v>
      </c>
      <c r="O13" s="462" t="str">
        <f t="shared" ref="O13:O29" si="41">(VLOOKUP(A13,Table_S_5, MATCH("com_ss_no",heading_S_5,0), FALSE))</f>
        <v>--</v>
      </c>
      <c r="P13" s="467" t="str">
        <f t="shared" ref="P13:P29" si="42">(VLOOKUP(A13,Table_S_5, MATCH("any_ds_no",heading_S_5,0), FALSE))</f>
        <v>--</v>
      </c>
      <c r="Q13" s="468">
        <f t="shared" ref="Q13:Q29" si="43">IF((MIN(C13:P13)=0), "--",MIN(C13:P13))</f>
        <v>5</v>
      </c>
      <c r="R13" s="469" t="str">
        <f t="shared" si="28"/>
        <v>Terr Habitat</v>
      </c>
    </row>
    <row r="14" spans="1:18" s="448" customFormat="1" ht="30" customHeight="1">
      <c r="A14" s="893" t="s">
        <v>97</v>
      </c>
      <c r="B14" s="611" t="s">
        <v>98</v>
      </c>
      <c r="C14" s="612">
        <f t="shared" si="29"/>
        <v>86.904761904761912</v>
      </c>
      <c r="D14" s="467">
        <f t="shared" si="30"/>
        <v>47.485937281195206</v>
      </c>
      <c r="E14" s="612">
        <f t="shared" si="31"/>
        <v>408.8</v>
      </c>
      <c r="F14" s="467">
        <f t="shared" si="32"/>
        <v>195.74037584820942</v>
      </c>
      <c r="G14" s="466">
        <f t="shared" si="33"/>
        <v>3096.969696969697</v>
      </c>
      <c r="H14" s="467">
        <f t="shared" si="34"/>
        <v>43.182761431378459</v>
      </c>
      <c r="I14" s="461" t="str">
        <f t="shared" si="35"/>
        <v>--</v>
      </c>
      <c r="J14" s="466" t="str">
        <f t="shared" si="36"/>
        <v>--</v>
      </c>
      <c r="K14" s="464">
        <f t="shared" si="37"/>
        <v>0.42666287800000002</v>
      </c>
      <c r="L14" s="465">
        <f t="shared" si="38"/>
        <v>4.2666287800000005</v>
      </c>
      <c r="M14" s="466">
        <f t="shared" si="39"/>
        <v>230.95535057025464</v>
      </c>
      <c r="N14" s="461">
        <f t="shared" si="40"/>
        <v>500</v>
      </c>
      <c r="O14" s="462">
        <f t="shared" si="41"/>
        <v>1000</v>
      </c>
      <c r="P14" s="467">
        <f t="shared" si="42"/>
        <v>1000</v>
      </c>
      <c r="Q14" s="468">
        <f t="shared" si="43"/>
        <v>0.42666287800000002</v>
      </c>
      <c r="R14" s="469" t="str">
        <f t="shared" si="28"/>
        <v>Leaching</v>
      </c>
    </row>
    <row r="15" spans="1:18" s="448" customFormat="1" ht="30" customHeight="1">
      <c r="A15" s="893" t="s">
        <v>99</v>
      </c>
      <c r="B15" s="611" t="s">
        <v>100</v>
      </c>
      <c r="C15" s="612">
        <f t="shared" si="29"/>
        <v>0.10483935047691115</v>
      </c>
      <c r="D15" s="467" t="str">
        <f t="shared" si="30"/>
        <v>--</v>
      </c>
      <c r="E15" s="612">
        <f t="shared" si="31"/>
        <v>0.4647186620584528</v>
      </c>
      <c r="F15" s="467" t="str">
        <f t="shared" si="32"/>
        <v>--</v>
      </c>
      <c r="G15" s="466">
        <f t="shared" si="33"/>
        <v>2.8670161767780562</v>
      </c>
      <c r="H15" s="467" t="str">
        <f t="shared" si="34"/>
        <v>--</v>
      </c>
      <c r="I15" s="461" t="str">
        <f t="shared" si="35"/>
        <v>--</v>
      </c>
      <c r="J15" s="466" t="str">
        <f t="shared" si="36"/>
        <v>--</v>
      </c>
      <c r="K15" s="464">
        <f t="shared" si="37"/>
        <v>3.4212800206067848E-5</v>
      </c>
      <c r="L15" s="465">
        <f t="shared" si="38"/>
        <v>2.4535705500000003E-4</v>
      </c>
      <c r="M15" s="466">
        <f t="shared" si="39"/>
        <v>5046.335029872921</v>
      </c>
      <c r="N15" s="461">
        <f t="shared" si="40"/>
        <v>500</v>
      </c>
      <c r="O15" s="462">
        <f t="shared" si="41"/>
        <v>1000</v>
      </c>
      <c r="P15" s="467">
        <f t="shared" si="42"/>
        <v>1000</v>
      </c>
      <c r="Q15" s="468">
        <f t="shared" si="43"/>
        <v>3.4212800206067848E-5</v>
      </c>
      <c r="R15" s="469" t="str">
        <f t="shared" si="28"/>
        <v>Leaching</v>
      </c>
    </row>
    <row r="16" spans="1:18" s="448" customFormat="1" ht="30" customHeight="1">
      <c r="A16" s="893" t="s">
        <v>101</v>
      </c>
      <c r="B16" s="611" t="s">
        <v>102</v>
      </c>
      <c r="C16" s="612" t="str">
        <f t="shared" si="29"/>
        <v>--</v>
      </c>
      <c r="D16" s="467">
        <f t="shared" si="30"/>
        <v>3128.5714285714284</v>
      </c>
      <c r="E16" s="612" t="str">
        <f t="shared" si="31"/>
        <v>--</v>
      </c>
      <c r="F16" s="467">
        <f t="shared" si="32"/>
        <v>46720</v>
      </c>
      <c r="G16" s="466" t="str">
        <f t="shared" si="33"/>
        <v>--</v>
      </c>
      <c r="H16" s="467">
        <f t="shared" si="34"/>
        <v>14157.575757575758</v>
      </c>
      <c r="I16" s="461" t="str">
        <f t="shared" si="35"/>
        <v>--</v>
      </c>
      <c r="J16" s="466" t="str">
        <f t="shared" si="36"/>
        <v>--</v>
      </c>
      <c r="K16" s="464">
        <f t="shared" si="37"/>
        <v>0.86774204339999994</v>
      </c>
      <c r="L16" s="465">
        <f t="shared" si="38"/>
        <v>0.86774204339999994</v>
      </c>
      <c r="M16" s="466">
        <f t="shared" si="39"/>
        <v>1016.7602605614596</v>
      </c>
      <c r="N16" s="461">
        <f t="shared" si="40"/>
        <v>500</v>
      </c>
      <c r="O16" s="462">
        <f t="shared" si="41"/>
        <v>1000</v>
      </c>
      <c r="P16" s="467">
        <f t="shared" si="42"/>
        <v>1000</v>
      </c>
      <c r="Q16" s="468">
        <f t="shared" si="43"/>
        <v>0.86774204339999994</v>
      </c>
      <c r="R16" s="469" t="str">
        <f t="shared" si="28"/>
        <v>Leaching</v>
      </c>
    </row>
    <row r="17" spans="1:18" s="448" customFormat="1" ht="30" customHeight="1">
      <c r="A17" s="893" t="s">
        <v>103</v>
      </c>
      <c r="B17" s="611" t="s">
        <v>104</v>
      </c>
      <c r="C17" s="612">
        <f t="shared" si="29"/>
        <v>38.755453401329738</v>
      </c>
      <c r="D17" s="467">
        <f t="shared" si="30"/>
        <v>1264.2735911142927</v>
      </c>
      <c r="E17" s="612">
        <f t="shared" si="31"/>
        <v>164.12866633177768</v>
      </c>
      <c r="F17" s="467">
        <f t="shared" si="32"/>
        <v>16413.254264916668</v>
      </c>
      <c r="G17" s="466">
        <f t="shared" si="33"/>
        <v>1326.7789800548867</v>
      </c>
      <c r="H17" s="467">
        <f t="shared" si="34"/>
        <v>5360.1340033500837</v>
      </c>
      <c r="I17" s="461">
        <f t="shared" si="35"/>
        <v>0.8</v>
      </c>
      <c r="J17" s="466">
        <f t="shared" si="36"/>
        <v>35</v>
      </c>
      <c r="K17" s="464">
        <f t="shared" si="37"/>
        <v>193.77900056420961</v>
      </c>
      <c r="L17" s="465">
        <f t="shared" si="38"/>
        <v>193.77900056420961</v>
      </c>
      <c r="M17" s="466">
        <f t="shared" si="39"/>
        <v>193.77900056420961</v>
      </c>
      <c r="N17" s="461">
        <f t="shared" si="40"/>
        <v>500</v>
      </c>
      <c r="O17" s="462">
        <f t="shared" si="41"/>
        <v>1000</v>
      </c>
      <c r="P17" s="467">
        <f t="shared" si="42"/>
        <v>1000</v>
      </c>
      <c r="Q17" s="468">
        <f t="shared" si="43"/>
        <v>0.8</v>
      </c>
      <c r="R17" s="469" t="str">
        <f t="shared" si="28"/>
        <v>Terr Habitat</v>
      </c>
    </row>
    <row r="18" spans="1:18" s="448" customFormat="1" ht="30" customHeight="1">
      <c r="A18" s="893" t="s">
        <v>105</v>
      </c>
      <c r="B18" s="611" t="s">
        <v>106</v>
      </c>
      <c r="C18" s="612" t="str">
        <f t="shared" si="29"/>
        <v>--</v>
      </c>
      <c r="D18" s="467">
        <f t="shared" si="30"/>
        <v>15634.235321907563</v>
      </c>
      <c r="E18" s="612" t="str">
        <f t="shared" si="31"/>
        <v>--</v>
      </c>
      <c r="F18" s="467">
        <f t="shared" si="32"/>
        <v>233142.85714285716</v>
      </c>
      <c r="G18" s="466" t="str">
        <f t="shared" si="33"/>
        <v>--</v>
      </c>
      <c r="H18" s="467">
        <f t="shared" si="34"/>
        <v>40002.174503941285</v>
      </c>
      <c r="I18" s="461">
        <f t="shared" si="35"/>
        <v>120</v>
      </c>
      <c r="J18" s="466">
        <f t="shared" si="36"/>
        <v>120</v>
      </c>
      <c r="K18" s="464" t="str">
        <f t="shared" si="37"/>
        <v>--</v>
      </c>
      <c r="L18" s="465" t="str">
        <f t="shared" si="38"/>
        <v>--</v>
      </c>
      <c r="M18" s="466" t="str">
        <f t="shared" si="39"/>
        <v>--</v>
      </c>
      <c r="N18" s="461" t="str">
        <f t="shared" si="40"/>
        <v>--</v>
      </c>
      <c r="O18" s="462" t="str">
        <f t="shared" si="41"/>
        <v>--</v>
      </c>
      <c r="P18" s="467" t="str">
        <f t="shared" si="42"/>
        <v>--</v>
      </c>
      <c r="Q18" s="468">
        <f t="shared" si="43"/>
        <v>120</v>
      </c>
      <c r="R18" s="469" t="str">
        <f t="shared" si="28"/>
        <v>Terr Habitat</v>
      </c>
    </row>
    <row r="19" spans="1:18" s="448" customFormat="1" ht="30" customHeight="1">
      <c r="A19" s="893" t="s">
        <v>107</v>
      </c>
      <c r="B19" s="611" t="s">
        <v>108</v>
      </c>
      <c r="C19" s="612">
        <f t="shared" si="29"/>
        <v>0.29313407669460356</v>
      </c>
      <c r="D19" s="467">
        <f t="shared" si="30"/>
        <v>625.71428571428567</v>
      </c>
      <c r="E19" s="612">
        <f t="shared" si="31"/>
        <v>1.2584881352220267</v>
      </c>
      <c r="F19" s="467">
        <f t="shared" si="32"/>
        <v>9344</v>
      </c>
      <c r="G19" s="466">
        <f t="shared" si="33"/>
        <v>7.1441929383088816</v>
      </c>
      <c r="H19" s="467">
        <f t="shared" si="34"/>
        <v>2831.5151515151515</v>
      </c>
      <c r="I19" s="461" t="str">
        <f t="shared" si="35"/>
        <v>--</v>
      </c>
      <c r="J19" s="466" t="str">
        <f t="shared" si="36"/>
        <v>--</v>
      </c>
      <c r="K19" s="464">
        <f t="shared" si="37"/>
        <v>1.6145515120229877E-2</v>
      </c>
      <c r="L19" s="465">
        <f t="shared" si="38"/>
        <v>1.6145515120229877E-2</v>
      </c>
      <c r="M19" s="466">
        <f t="shared" si="39"/>
        <v>931.81770928318099</v>
      </c>
      <c r="N19" s="461">
        <f t="shared" si="40"/>
        <v>1000</v>
      </c>
      <c r="O19" s="462">
        <f t="shared" si="41"/>
        <v>2500</v>
      </c>
      <c r="P19" s="467">
        <f t="shared" si="42"/>
        <v>2500</v>
      </c>
      <c r="Q19" s="468">
        <f t="shared" si="43"/>
        <v>1.6145515120229877E-2</v>
      </c>
      <c r="R19" s="469" t="str">
        <f t="shared" si="28"/>
        <v>Leaching</v>
      </c>
    </row>
    <row r="20" spans="1:18" s="448" customFormat="1" ht="30" customHeight="1">
      <c r="A20" s="893" t="s">
        <v>109</v>
      </c>
      <c r="B20" s="611" t="s">
        <v>110</v>
      </c>
      <c r="C20" s="612">
        <f t="shared" si="29"/>
        <v>19.325719293075327</v>
      </c>
      <c r="D20" s="467">
        <f t="shared" si="30"/>
        <v>1564.2857142857142</v>
      </c>
      <c r="E20" s="612">
        <f t="shared" si="31"/>
        <v>84.434222035761309</v>
      </c>
      <c r="F20" s="467">
        <f t="shared" si="32"/>
        <v>23360</v>
      </c>
      <c r="G20" s="466">
        <f t="shared" si="33"/>
        <v>502.0511142217257</v>
      </c>
      <c r="H20" s="467">
        <f t="shared" si="34"/>
        <v>7078.787878787879</v>
      </c>
      <c r="I20" s="461" t="str">
        <f t="shared" si="35"/>
        <v>--</v>
      </c>
      <c r="J20" s="466" t="str">
        <f t="shared" si="36"/>
        <v>--</v>
      </c>
      <c r="K20" s="464">
        <f t="shared" si="37"/>
        <v>0.68822919999999999</v>
      </c>
      <c r="L20" s="465">
        <f t="shared" si="38"/>
        <v>1.0039280887980968</v>
      </c>
      <c r="M20" s="466">
        <f t="shared" si="39"/>
        <v>914.68796116365081</v>
      </c>
      <c r="N20" s="461">
        <f t="shared" si="40"/>
        <v>500</v>
      </c>
      <c r="O20" s="462">
        <f t="shared" si="41"/>
        <v>1000</v>
      </c>
      <c r="P20" s="467">
        <f t="shared" si="42"/>
        <v>1000</v>
      </c>
      <c r="Q20" s="468">
        <f t="shared" si="43"/>
        <v>0.68822919999999999</v>
      </c>
      <c r="R20" s="469" t="str">
        <f t="shared" si="28"/>
        <v>Leaching</v>
      </c>
    </row>
    <row r="21" spans="1:18" s="448" customFormat="1" ht="30" customHeight="1">
      <c r="A21" s="893" t="s">
        <v>111</v>
      </c>
      <c r="B21" s="611" t="s">
        <v>112</v>
      </c>
      <c r="C21" s="612" t="str">
        <f t="shared" si="29"/>
        <v>--</v>
      </c>
      <c r="D21" s="467">
        <f t="shared" si="30"/>
        <v>6.8358721225824537</v>
      </c>
      <c r="E21" s="612" t="str">
        <f t="shared" si="31"/>
        <v>--</v>
      </c>
      <c r="F21" s="467">
        <f t="shared" si="32"/>
        <v>29.48622737994976</v>
      </c>
      <c r="G21" s="466" t="str">
        <f t="shared" si="33"/>
        <v>--</v>
      </c>
      <c r="H21" s="467">
        <f t="shared" si="34"/>
        <v>6.689061489176912</v>
      </c>
      <c r="I21" s="461" t="str">
        <f t="shared" si="35"/>
        <v>--</v>
      </c>
      <c r="J21" s="466" t="str">
        <f t="shared" si="36"/>
        <v>--</v>
      </c>
      <c r="K21" s="464">
        <f t="shared" si="37"/>
        <v>0.36038092796448851</v>
      </c>
      <c r="L21" s="465">
        <f t="shared" si="38"/>
        <v>0.82978210161542676</v>
      </c>
      <c r="M21" s="466">
        <f t="shared" si="39"/>
        <v>3589.1445638264377</v>
      </c>
      <c r="N21" s="461">
        <f t="shared" si="40"/>
        <v>500</v>
      </c>
      <c r="O21" s="462">
        <f t="shared" si="41"/>
        <v>1000</v>
      </c>
      <c r="P21" s="467">
        <f t="shared" si="42"/>
        <v>1000</v>
      </c>
      <c r="Q21" s="468">
        <f t="shared" si="43"/>
        <v>0.36038092796448851</v>
      </c>
      <c r="R21" s="469" t="str">
        <f t="shared" si="28"/>
        <v>Leaching</v>
      </c>
    </row>
    <row r="22" spans="1:18" s="448" customFormat="1" ht="30" customHeight="1">
      <c r="A22" s="893" t="s">
        <v>113</v>
      </c>
      <c r="B22" s="611" t="s">
        <v>114</v>
      </c>
      <c r="C22" s="612">
        <f t="shared" si="29"/>
        <v>909.15750915750925</v>
      </c>
      <c r="D22" s="467">
        <f t="shared" si="30"/>
        <v>7.1397829897192109</v>
      </c>
      <c r="E22" s="612">
        <f t="shared" si="31"/>
        <v>3971.2000000000003</v>
      </c>
      <c r="F22" s="467">
        <f t="shared" si="32"/>
        <v>99.721941050216969</v>
      </c>
      <c r="G22" s="466">
        <f t="shared" si="33"/>
        <v>76.650000000000006</v>
      </c>
      <c r="H22" s="467">
        <f t="shared" si="34"/>
        <v>18.649440298828996</v>
      </c>
      <c r="I22" s="461">
        <f t="shared" si="35"/>
        <v>1.9</v>
      </c>
      <c r="J22" s="466">
        <f t="shared" si="36"/>
        <v>1.9</v>
      </c>
      <c r="K22" s="464" t="str">
        <f t="shared" si="37"/>
        <v>--</v>
      </c>
      <c r="L22" s="465" t="str">
        <f t="shared" si="38"/>
        <v>--</v>
      </c>
      <c r="M22" s="466" t="str">
        <f t="shared" si="39"/>
        <v>--</v>
      </c>
      <c r="N22" s="461" t="str">
        <f t="shared" si="40"/>
        <v>--</v>
      </c>
      <c r="O22" s="462" t="str">
        <f t="shared" si="41"/>
        <v>--</v>
      </c>
      <c r="P22" s="467" t="str">
        <f t="shared" si="42"/>
        <v>--</v>
      </c>
      <c r="Q22" s="468">
        <f t="shared" si="43"/>
        <v>1.9</v>
      </c>
      <c r="R22" s="469" t="str">
        <f t="shared" si="28"/>
        <v>Terr Habitat</v>
      </c>
    </row>
    <row r="23" spans="1:18" s="448" customFormat="1" ht="30" customHeight="1">
      <c r="A23" s="893" t="s">
        <v>117</v>
      </c>
      <c r="B23" s="611" t="s">
        <v>118</v>
      </c>
      <c r="C23" s="612">
        <f t="shared" si="29"/>
        <v>0.65347096479372602</v>
      </c>
      <c r="D23" s="467">
        <f t="shared" si="30"/>
        <v>51.992395499685863</v>
      </c>
      <c r="E23" s="612">
        <f t="shared" si="31"/>
        <v>2.8155036454000664</v>
      </c>
      <c r="F23" s="467">
        <f t="shared" si="32"/>
        <v>243.42453785952171</v>
      </c>
      <c r="G23" s="466">
        <f t="shared" si="33"/>
        <v>16.141892482800358</v>
      </c>
      <c r="H23" s="467">
        <f t="shared" si="34"/>
        <v>55.706570614016833</v>
      </c>
      <c r="I23" s="461">
        <f t="shared" si="35"/>
        <v>7.3</v>
      </c>
      <c r="J23" s="466">
        <f t="shared" si="36"/>
        <v>15</v>
      </c>
      <c r="K23" s="464">
        <f t="shared" si="37"/>
        <v>7.4066958213768339E-2</v>
      </c>
      <c r="L23" s="465">
        <f t="shared" si="38"/>
        <v>7.4066958213768339E-2</v>
      </c>
      <c r="M23" s="466">
        <f t="shared" si="39"/>
        <v>457.52151405884018</v>
      </c>
      <c r="N23" s="461">
        <f t="shared" si="40"/>
        <v>500</v>
      </c>
      <c r="O23" s="462">
        <f t="shared" si="41"/>
        <v>1000</v>
      </c>
      <c r="P23" s="467">
        <f t="shared" si="42"/>
        <v>1000</v>
      </c>
      <c r="Q23" s="468">
        <f t="shared" si="43"/>
        <v>7.4066958213768339E-2</v>
      </c>
      <c r="R23" s="469" t="str">
        <f t="shared" si="28"/>
        <v>Leaching</v>
      </c>
    </row>
    <row r="24" spans="1:18" s="448" customFormat="1" ht="30" customHeight="1">
      <c r="A24" s="893" t="s">
        <v>119</v>
      </c>
      <c r="B24" s="611" t="s">
        <v>120</v>
      </c>
      <c r="C24" s="612">
        <f t="shared" si="29"/>
        <v>1.7140547436720035</v>
      </c>
      <c r="D24" s="467">
        <f t="shared" si="30"/>
        <v>34.607509119023106</v>
      </c>
      <c r="E24" s="612">
        <f t="shared" si="31"/>
        <v>7.6577481486312768</v>
      </c>
      <c r="F24" s="467">
        <f t="shared" si="32"/>
        <v>450.42226484539822</v>
      </c>
      <c r="G24" s="466">
        <f t="shared" si="33"/>
        <v>58.096095396420004</v>
      </c>
      <c r="H24" s="467">
        <f t="shared" si="34"/>
        <v>130.72332350727214</v>
      </c>
      <c r="I24" s="461">
        <f t="shared" si="35"/>
        <v>8.5000000000000006E-3</v>
      </c>
      <c r="J24" s="466">
        <f t="shared" si="36"/>
        <v>8.5000000000000006E-3</v>
      </c>
      <c r="K24" s="464">
        <f t="shared" si="37"/>
        <v>22.69906106382388</v>
      </c>
      <c r="L24" s="465">
        <f t="shared" si="38"/>
        <v>22.69906106382388</v>
      </c>
      <c r="M24" s="466">
        <f t="shared" si="39"/>
        <v>22.69906106382388</v>
      </c>
      <c r="N24" s="461">
        <f t="shared" si="40"/>
        <v>1000</v>
      </c>
      <c r="O24" s="462">
        <f t="shared" si="41"/>
        <v>2500</v>
      </c>
      <c r="P24" s="467">
        <f t="shared" si="42"/>
        <v>2500</v>
      </c>
      <c r="Q24" s="468">
        <f t="shared" si="43"/>
        <v>8.5000000000000006E-3</v>
      </c>
      <c r="R24" s="469" t="str">
        <f t="shared" si="28"/>
        <v>Terr Habitat</v>
      </c>
    </row>
    <row r="25" spans="1:18" s="448" customFormat="1" ht="30" customHeight="1">
      <c r="A25" s="893" t="s">
        <v>121</v>
      </c>
      <c r="B25" s="611" t="s">
        <v>122</v>
      </c>
      <c r="C25" s="612">
        <f t="shared" si="29"/>
        <v>2.7129478222090082</v>
      </c>
      <c r="D25" s="467">
        <f t="shared" si="30"/>
        <v>31.606839777857317</v>
      </c>
      <c r="E25" s="612">
        <f t="shared" si="31"/>
        <v>11.489277985441669</v>
      </c>
      <c r="F25" s="467">
        <f t="shared" si="32"/>
        <v>410.33135662291681</v>
      </c>
      <c r="G25" s="466">
        <f t="shared" si="33"/>
        <v>93.802345058626472</v>
      </c>
      <c r="H25" s="467">
        <f t="shared" si="34"/>
        <v>134.00335008375208</v>
      </c>
      <c r="I25" s="461">
        <f t="shared" si="35"/>
        <v>25</v>
      </c>
      <c r="J25" s="466">
        <f t="shared" si="36"/>
        <v>50</v>
      </c>
      <c r="K25" s="464">
        <f t="shared" si="37"/>
        <v>6.8392196435594268E-3</v>
      </c>
      <c r="L25" s="465">
        <f t="shared" si="38"/>
        <v>9.3577000600000002E-2</v>
      </c>
      <c r="M25" s="466">
        <f t="shared" si="39"/>
        <v>3027.2150134991261</v>
      </c>
      <c r="N25" s="461">
        <f t="shared" si="40"/>
        <v>500</v>
      </c>
      <c r="O25" s="462">
        <f t="shared" si="41"/>
        <v>1000</v>
      </c>
      <c r="P25" s="467">
        <f t="shared" si="42"/>
        <v>1000</v>
      </c>
      <c r="Q25" s="468">
        <f t="shared" si="43"/>
        <v>6.8392196435594268E-3</v>
      </c>
      <c r="R25" s="469" t="str">
        <f t="shared" si="28"/>
        <v>Leaching</v>
      </c>
    </row>
    <row r="26" spans="1:18" s="448" customFormat="1" ht="30" customHeight="1">
      <c r="A26" s="893" t="s">
        <v>123</v>
      </c>
      <c r="B26" s="611" t="s">
        <v>124</v>
      </c>
      <c r="C26" s="612" t="str">
        <f t="shared" si="29"/>
        <v>--</v>
      </c>
      <c r="D26" s="467">
        <f t="shared" si="30"/>
        <v>276.76399317271768</v>
      </c>
      <c r="E26" s="612" t="str">
        <f t="shared" si="31"/>
        <v>--</v>
      </c>
      <c r="F26" s="467">
        <f t="shared" si="32"/>
        <v>1307.3495410649878</v>
      </c>
      <c r="G26" s="466" t="str">
        <f t="shared" si="33"/>
        <v>--</v>
      </c>
      <c r="H26" s="467">
        <f t="shared" si="34"/>
        <v>299.18128876196795</v>
      </c>
      <c r="I26" s="461">
        <f t="shared" si="35"/>
        <v>7.5</v>
      </c>
      <c r="J26" s="466">
        <f t="shared" si="36"/>
        <v>15</v>
      </c>
      <c r="K26" s="464">
        <f t="shared" si="37"/>
        <v>1.45327925</v>
      </c>
      <c r="L26" s="465">
        <f t="shared" si="38"/>
        <v>1.45327925</v>
      </c>
      <c r="M26" s="466">
        <f t="shared" si="39"/>
        <v>760.67998319628521</v>
      </c>
      <c r="N26" s="461">
        <f t="shared" si="40"/>
        <v>500</v>
      </c>
      <c r="O26" s="462">
        <f t="shared" si="41"/>
        <v>1000</v>
      </c>
      <c r="P26" s="467">
        <f t="shared" si="42"/>
        <v>1000</v>
      </c>
      <c r="Q26" s="468">
        <f t="shared" si="43"/>
        <v>1.45327925</v>
      </c>
      <c r="R26" s="469" t="str">
        <f t="shared" si="28"/>
        <v>Leaching</v>
      </c>
    </row>
    <row r="27" spans="1:18" s="448" customFormat="1" ht="30" customHeight="1">
      <c r="A27" s="893" t="s">
        <v>125</v>
      </c>
      <c r="B27" s="611" t="s">
        <v>126</v>
      </c>
      <c r="C27" s="612" t="str">
        <f t="shared" si="29"/>
        <v>--</v>
      </c>
      <c r="D27" s="467">
        <f t="shared" si="30"/>
        <v>5402.5982170191683</v>
      </c>
      <c r="E27" s="612" t="str">
        <f t="shared" si="31"/>
        <v>--</v>
      </c>
      <c r="F27" s="467">
        <f t="shared" si="32"/>
        <v>22250.270734030768</v>
      </c>
      <c r="G27" s="466" t="str">
        <f t="shared" si="33"/>
        <v>--</v>
      </c>
      <c r="H27" s="467">
        <f t="shared" si="34"/>
        <v>5024.4728816179941</v>
      </c>
      <c r="I27" s="461" t="str">
        <f t="shared" si="35"/>
        <v>--</v>
      </c>
      <c r="J27" s="466" t="str">
        <f t="shared" si="36"/>
        <v>--</v>
      </c>
      <c r="K27" s="464">
        <f t="shared" si="37"/>
        <v>1.1600780800000001</v>
      </c>
      <c r="L27" s="465">
        <f t="shared" si="38"/>
        <v>11.600780800000001</v>
      </c>
      <c r="M27" s="466">
        <f t="shared" si="39"/>
        <v>2122.2955180764907</v>
      </c>
      <c r="N27" s="461">
        <f t="shared" si="40"/>
        <v>500</v>
      </c>
      <c r="O27" s="462">
        <f t="shared" si="41"/>
        <v>1000</v>
      </c>
      <c r="P27" s="467">
        <f t="shared" si="42"/>
        <v>1000</v>
      </c>
      <c r="Q27" s="468">
        <f t="shared" si="43"/>
        <v>1.1600780800000001</v>
      </c>
      <c r="R27" s="469" t="str">
        <f t="shared" si="28"/>
        <v>Leaching</v>
      </c>
    </row>
    <row r="28" spans="1:18" s="448" customFormat="1" ht="30" customHeight="1">
      <c r="A28" s="893" t="s">
        <v>127</v>
      </c>
      <c r="B28" s="611" t="s">
        <v>128</v>
      </c>
      <c r="C28" s="612">
        <f t="shared" si="29"/>
        <v>0.3163368840867225</v>
      </c>
      <c r="D28" s="467">
        <f t="shared" si="30"/>
        <v>5.3088340297584082</v>
      </c>
      <c r="E28" s="612">
        <f t="shared" si="31"/>
        <v>1.3566386101729093</v>
      </c>
      <c r="F28" s="467">
        <f t="shared" si="32"/>
        <v>21.972115714722005</v>
      </c>
      <c r="G28" s="466">
        <f t="shared" si="33"/>
        <v>7.6818224469236993</v>
      </c>
      <c r="H28" s="467">
        <f t="shared" si="34"/>
        <v>4.9626517465139974</v>
      </c>
      <c r="I28" s="461">
        <f t="shared" si="35"/>
        <v>43</v>
      </c>
      <c r="J28" s="466">
        <f t="shared" si="36"/>
        <v>85</v>
      </c>
      <c r="K28" s="464">
        <f t="shared" si="37"/>
        <v>2.2831147740332926E-2</v>
      </c>
      <c r="L28" s="465">
        <f t="shared" si="38"/>
        <v>2.2831147740332926E-2</v>
      </c>
      <c r="M28" s="466">
        <f t="shared" si="39"/>
        <v>2538.6255290269874</v>
      </c>
      <c r="N28" s="461">
        <f t="shared" si="40"/>
        <v>500</v>
      </c>
      <c r="O28" s="462">
        <f t="shared" si="41"/>
        <v>1000</v>
      </c>
      <c r="P28" s="467">
        <f t="shared" si="42"/>
        <v>1000</v>
      </c>
      <c r="Q28" s="468">
        <f t="shared" si="43"/>
        <v>2.2831147740332926E-2</v>
      </c>
      <c r="R28" s="469" t="str">
        <f t="shared" si="28"/>
        <v>Leaching</v>
      </c>
    </row>
    <row r="29" spans="1:18" s="448" customFormat="1" ht="30" customHeight="1">
      <c r="A29" s="893" t="s">
        <v>129</v>
      </c>
      <c r="B29" s="611" t="s">
        <v>130</v>
      </c>
      <c r="C29" s="612" t="str">
        <f t="shared" si="29"/>
        <v>--</v>
      </c>
      <c r="D29" s="467">
        <f t="shared" si="30"/>
        <v>110.38084707318302</v>
      </c>
      <c r="E29" s="612" t="str">
        <f t="shared" si="31"/>
        <v>--</v>
      </c>
      <c r="F29" s="467">
        <f t="shared" si="32"/>
        <v>454.59677518062915</v>
      </c>
      <c r="G29" s="466" t="str">
        <f t="shared" si="33"/>
        <v>--</v>
      </c>
      <c r="H29" s="467">
        <f t="shared" si="34"/>
        <v>102.65791219964295</v>
      </c>
      <c r="I29" s="461" t="str">
        <f t="shared" si="35"/>
        <v>--</v>
      </c>
      <c r="J29" s="466" t="str">
        <f t="shared" si="36"/>
        <v>--</v>
      </c>
      <c r="K29" s="464">
        <f t="shared" si="37"/>
        <v>10.688500234285714</v>
      </c>
      <c r="L29" s="465">
        <f t="shared" si="38"/>
        <v>14.820902252303354</v>
      </c>
      <c r="M29" s="466">
        <f t="shared" si="39"/>
        <v>1317.1383265030277</v>
      </c>
      <c r="N29" s="461">
        <f t="shared" si="40"/>
        <v>100</v>
      </c>
      <c r="O29" s="462">
        <f t="shared" si="41"/>
        <v>500</v>
      </c>
      <c r="P29" s="467">
        <f t="shared" si="42"/>
        <v>500</v>
      </c>
      <c r="Q29" s="468">
        <f t="shared" si="43"/>
        <v>10.688500234285714</v>
      </c>
      <c r="R29" s="469" t="str">
        <f t="shared" si="28"/>
        <v>Leaching</v>
      </c>
    </row>
    <row r="30" spans="1:18" s="448" customFormat="1" ht="30" customHeight="1">
      <c r="A30" s="893" t="s">
        <v>131</v>
      </c>
      <c r="B30" s="611" t="s">
        <v>132</v>
      </c>
      <c r="C30" s="612" t="str">
        <f t="shared" ref="C30:C31" si="44">(VLOOKUP(A30,Table_S_1, MATCH("s-res-c",heading_S_1,0), FALSE))</f>
        <v>--</v>
      </c>
      <c r="D30" s="467">
        <f t="shared" ref="D30:D31" si="45">(VLOOKUP(A30,Table_S_1, MATCH("s-res-Nc",heading_S_1,0), FALSE))</f>
        <v>391.07142857142856</v>
      </c>
      <c r="E30" s="612" t="str">
        <f t="shared" ref="E30:E31" si="46">(VLOOKUP(A30,Table_S_1, MATCH("s-com-c",heading_S_1,0), FALSE))</f>
        <v>--</v>
      </c>
      <c r="F30" s="467">
        <f t="shared" ref="F30:F31" si="47">(VLOOKUP(A30,Table_S_1, MATCH("s-com-nc",heading_S_1,0), FALSE))</f>
        <v>5840</v>
      </c>
      <c r="G30" s="466" t="str">
        <f t="shared" ref="G30:G31" si="48">(VLOOKUP(A30,Table_S_1, MATCH("s-CW-c",heading_S_1,0), FALSE))</f>
        <v>--</v>
      </c>
      <c r="H30" s="467">
        <f t="shared" ref="H30:H31" si="49">(VLOOKUP(A30,Table_S_1, MATCH("s-CW-nc",heading_S_1,0), FALSE))</f>
        <v>1769.6969696969697</v>
      </c>
      <c r="I30" s="461">
        <f t="shared" ref="I30:I31" si="50">(VLOOKUP(A30,Table_S_2, MATCH("SV",heading_S_2,0), FALSE))</f>
        <v>2</v>
      </c>
      <c r="J30" s="466">
        <f t="shared" ref="J30:J31" si="51">(VLOOKUP(A30,Table_S_2, MATCH("MV",heading_S_2,0), FALSE))</f>
        <v>3.9</v>
      </c>
      <c r="K30" s="464">
        <f t="shared" ref="K30:K31" si="52">(VLOOKUP(A30,Table_S_3, MATCH("DW-Leach",heading_S_3,0), FALSE))</f>
        <v>1.1605953312000001E-2</v>
      </c>
      <c r="L30" s="465">
        <f t="shared" ref="L30:L31" si="53">(VLOOKUP(A30,Table_S_3, MATCH("NDW-Leach",heading_S_3,0), FALSE))</f>
        <v>6.4477518400000003E-2</v>
      </c>
      <c r="M30" s="466">
        <f t="shared" ref="M30:M31" si="54">(VLOOKUP(A30,Table_S_4, MATCH("S-GC",heading_S_4,0), FALSE))</f>
        <v>27437.379511151565</v>
      </c>
      <c r="N30" s="461">
        <f t="shared" ref="N30:N31" si="55">(VLOOKUP(A30,Table_S_5, MATCH("res_ss_no",heading_S_5,0), FALSE))</f>
        <v>100</v>
      </c>
      <c r="O30" s="462">
        <f t="shared" ref="O30:O31" si="56">(VLOOKUP(A30,Table_S_5, MATCH("com_ss_no",heading_S_5,0), FALSE))</f>
        <v>500</v>
      </c>
      <c r="P30" s="467">
        <f t="shared" ref="P30:P31" si="57">(VLOOKUP(A30,Table_S_5, MATCH("any_ds_no",heading_S_5,0), FALSE))</f>
        <v>500</v>
      </c>
      <c r="Q30" s="468">
        <f t="shared" ref="Q30:Q31" si="58">IF((MIN(C30:P30)=0), "--",MIN(C30:P30))</f>
        <v>1.1605953312000001E-2</v>
      </c>
      <c r="R30" s="469" t="str">
        <f t="shared" ref="R30:R31" si="59">IF(Q30="--", "--", IF(Q30=I30,"Terr Habitat", IF(Q30=K30, "Leaching", IF(Q30=M30, "Gross Contam", IF(Q30=N30, "Odor/Nuis", IF(OR(Q30=C30, Q30=G30), "Canc-Risk", IF(OR(Q30=D30, Q30=H30), "NC-Hazard","--")))))))</f>
        <v>Leaching</v>
      </c>
    </row>
    <row r="31" spans="1:18" s="448" customFormat="1" ht="30" customHeight="1">
      <c r="A31" s="893" t="s">
        <v>133</v>
      </c>
      <c r="B31" s="611" t="s">
        <v>134</v>
      </c>
      <c r="C31" s="612" t="str">
        <f t="shared" si="44"/>
        <v>--</v>
      </c>
      <c r="D31" s="467" t="str">
        <f t="shared" si="45"/>
        <v>--</v>
      </c>
      <c r="E31" s="612" t="str">
        <f t="shared" si="46"/>
        <v>--</v>
      </c>
      <c r="F31" s="467" t="str">
        <f t="shared" si="47"/>
        <v>--</v>
      </c>
      <c r="G31" s="466" t="str">
        <f t="shared" si="48"/>
        <v>--</v>
      </c>
      <c r="H31" s="467" t="str">
        <f t="shared" si="49"/>
        <v>--</v>
      </c>
      <c r="I31" s="461">
        <f t="shared" si="50"/>
        <v>160</v>
      </c>
      <c r="J31" s="466">
        <f t="shared" si="51"/>
        <v>160</v>
      </c>
      <c r="K31" s="464" t="str">
        <f t="shared" si="52"/>
        <v>--</v>
      </c>
      <c r="L31" s="465" t="str">
        <f t="shared" si="53"/>
        <v>--</v>
      </c>
      <c r="M31" s="466" t="str">
        <f t="shared" si="54"/>
        <v>--</v>
      </c>
      <c r="N31" s="461" t="str">
        <f t="shared" si="55"/>
        <v>--</v>
      </c>
      <c r="O31" s="462" t="str">
        <f t="shared" si="56"/>
        <v>--</v>
      </c>
      <c r="P31" s="467" t="str">
        <f t="shared" si="57"/>
        <v>--</v>
      </c>
      <c r="Q31" s="468">
        <f t="shared" si="58"/>
        <v>160</v>
      </c>
      <c r="R31" s="469" t="str">
        <f t="shared" si="59"/>
        <v>Terr Habitat</v>
      </c>
    </row>
    <row r="32" spans="1:18" s="448" customFormat="1" ht="30" customHeight="1">
      <c r="A32" s="893" t="s">
        <v>439</v>
      </c>
      <c r="B32" s="611" t="s">
        <v>136</v>
      </c>
      <c r="C32" s="612" t="str">
        <f t="shared" ref="C32:C96" si="60">(VLOOKUP(A32,Table_S_1, MATCH("s-res-c",heading_S_1,0), FALSE))</f>
        <v>--</v>
      </c>
      <c r="D32" s="467">
        <f t="shared" ref="D32:D96" si="61">(VLOOKUP(A32,Table_S_1, MATCH("s-res-Nc",heading_S_1,0), FALSE))</f>
        <v>85097.142857142855</v>
      </c>
      <c r="E32" s="612" t="str">
        <f t="shared" ref="E32:E96" si="62">(VLOOKUP(A32,Table_S_1, MATCH("s-com-c",heading_S_1,0), FALSE))</f>
        <v>--</v>
      </c>
      <c r="F32" s="467">
        <f t="shared" ref="F32:F96" si="63">(VLOOKUP(A32,Table_S_1, MATCH("s-com-nc",heading_S_1,0), FALSE))</f>
        <v>357408.00000000006</v>
      </c>
      <c r="G32" s="466" t="str">
        <f t="shared" ref="G32:G96" si="64">(VLOOKUP(A32,Table_S_1, MATCH("s-CW-c",heading_S_1,0), FALSE))</f>
        <v>--</v>
      </c>
      <c r="H32" s="467">
        <f t="shared" ref="H32:H96" si="65">(VLOOKUP(A32,Table_S_1, MATCH("s-CW-nc",heading_S_1,0), FALSE))</f>
        <v>275.94</v>
      </c>
      <c r="I32" s="461" t="str">
        <f>(VLOOKUP("chromium iii",Table_S_2, MATCH("SV",heading_S_2,0), FALSE))</f>
        <v>--</v>
      </c>
      <c r="J32" s="466" t="str">
        <f>(VLOOKUP("chromium iii",Table_S_2, MATCH("MV",heading_S_2,0), FALSE))</f>
        <v>--</v>
      </c>
      <c r="K32" s="464" t="str">
        <f>(VLOOKUP("chromium iii",Table_S_3, MATCH("DW-Leach",heading_S_3,0), FALSE))</f>
        <v>--</v>
      </c>
      <c r="L32" s="465" t="str">
        <f>(VLOOKUP("chromium iii",Table_S_3, MATCH("NDW-Leach",heading_S_3,0), FALSE))</f>
        <v>--</v>
      </c>
      <c r="M32" s="466" t="str">
        <f>(VLOOKUP("chromium iii",Table_S_4, MATCH("S-GC",heading_S_4,0), FALSE))</f>
        <v>--</v>
      </c>
      <c r="N32" s="461" t="str">
        <f>(VLOOKUP("chromium iii",Table_S_5, MATCH("res_ss_no",heading_S_5,0), FALSE))</f>
        <v>--</v>
      </c>
      <c r="O32" s="462" t="str">
        <f>(VLOOKUP("chromium iii",Table_S_5, MATCH("com_ss_no",heading_S_5,0), FALSE))</f>
        <v>--</v>
      </c>
      <c r="P32" s="467" t="str">
        <f>(VLOOKUP("chromium iii",Table_S_5, MATCH("any_ds_no",heading_S_5,0), FALSE))</f>
        <v>--</v>
      </c>
      <c r="Q32" s="468">
        <f t="shared" ref="Q32:Q96" si="66">IF((MIN(C32:P32)=0), "--",MIN(C32:P32))</f>
        <v>275.94</v>
      </c>
      <c r="R32" s="469" t="str">
        <f t="shared" si="28"/>
        <v>NC-Hazard</v>
      </c>
    </row>
    <row r="33" spans="1:18" s="448" customFormat="1" ht="30" customHeight="1">
      <c r="A33" s="893" t="s">
        <v>440</v>
      </c>
      <c r="B33" s="611" t="s">
        <v>136</v>
      </c>
      <c r="C33" s="612" t="str">
        <f t="shared" ref="C33" si="67">(VLOOKUP(A33,Table_S_1, MATCH("s-res-c",heading_S_1,0), FALSE))</f>
        <v>--</v>
      </c>
      <c r="D33" s="467">
        <f t="shared" ref="D33" si="68">(VLOOKUP(A33,Table_S_1, MATCH("s-res-Nc",heading_S_1,0), FALSE))</f>
        <v>117321.42857142858</v>
      </c>
      <c r="E33" s="612" t="str">
        <f t="shared" ref="E33" si="69">(VLOOKUP(A33,Table_S_1, MATCH("s-com-c",heading_S_1,0), FALSE))</f>
        <v>--</v>
      </c>
      <c r="F33" s="467">
        <f t="shared" ref="F33" si="70">(VLOOKUP(A33,Table_S_1, MATCH("s-com-nc",heading_S_1,0), FALSE))</f>
        <v>1752000.0000000002</v>
      </c>
      <c r="G33" s="466" t="str">
        <f t="shared" ref="G33" si="71">(VLOOKUP(A33,Table_S_1, MATCH("s-CW-c",heading_S_1,0), FALSE))</f>
        <v>--</v>
      </c>
      <c r="H33" s="467">
        <f t="shared" ref="H33" si="72">(VLOOKUP(A33,Table_S_1, MATCH("s-CW-nc",heading_S_1,0), FALSE))</f>
        <v>530909.09090909094</v>
      </c>
      <c r="I33" s="461" t="str">
        <f>(VLOOKUP("chromium iii",Table_S_2, MATCH("SV",heading_S_2,0), FALSE))</f>
        <v>--</v>
      </c>
      <c r="J33" s="466" t="str">
        <f>(VLOOKUP("chromium iii",Table_S_2, MATCH("MV",heading_S_2,0), FALSE))</f>
        <v>--</v>
      </c>
      <c r="K33" s="464" t="str">
        <f>(VLOOKUP("chromium iii",Table_S_3, MATCH("DW-Leach",heading_S_3,0), FALSE))</f>
        <v>--</v>
      </c>
      <c r="L33" s="465" t="str">
        <f>(VLOOKUP("chromium iii",Table_S_3, MATCH("NDW-Leach",heading_S_3,0), FALSE))</f>
        <v>--</v>
      </c>
      <c r="M33" s="466" t="str">
        <f>(VLOOKUP("chromium iii",Table_S_4, MATCH("S-GC",heading_S_4,0), FALSE))</f>
        <v>--</v>
      </c>
      <c r="N33" s="461" t="str">
        <f>(VLOOKUP("chromium iii",Table_S_5, MATCH("res_ss_no",heading_S_5,0), FALSE))</f>
        <v>--</v>
      </c>
      <c r="O33" s="462" t="str">
        <f>(VLOOKUP("chromium iii",Table_S_5, MATCH("com_ss_no",heading_S_5,0), FALSE))</f>
        <v>--</v>
      </c>
      <c r="P33" s="467" t="str">
        <f>(VLOOKUP("chromium iii",Table_S_5, MATCH("any_ds_no",heading_S_5,0), FALSE))</f>
        <v>--</v>
      </c>
      <c r="Q33" s="468">
        <f t="shared" ref="Q33" si="73">IF((MIN(C33:P33)=0), "--",MIN(C33:P33))</f>
        <v>117321.42857142858</v>
      </c>
      <c r="R33" s="469" t="str">
        <f t="shared" ref="R33" si="74">IF(Q33="--", "--", IF(Q33=I33,"Terr Habitat", IF(Q33=K33, "Leaching", IF(Q33=M33, "Gross Contam", IF(Q33=N33, "Odor/Nuis", IF(OR(Q33=C33, Q33=G33), "Canc-Risk", IF(OR(Q33=D33, Q33=H33), "NC-Hazard","--")))))))</f>
        <v>NC-Hazard</v>
      </c>
    </row>
    <row r="34" spans="1:18" s="448" customFormat="1" ht="30" customHeight="1">
      <c r="A34" s="893" t="s">
        <v>137</v>
      </c>
      <c r="B34" s="611" t="s">
        <v>138</v>
      </c>
      <c r="C34" s="612">
        <f t="shared" si="60"/>
        <v>0.29641719745222933</v>
      </c>
      <c r="D34" s="467">
        <f t="shared" si="61"/>
        <v>70.276590724379304</v>
      </c>
      <c r="E34" s="612">
        <f t="shared" si="62"/>
        <v>6.1774222222222219</v>
      </c>
      <c r="F34" s="467">
        <f t="shared" si="63"/>
        <v>1045.0526315789475</v>
      </c>
      <c r="G34" s="466">
        <f t="shared" si="64"/>
        <v>2.0571017791888817</v>
      </c>
      <c r="H34" s="467">
        <f t="shared" si="65"/>
        <v>96.272132577409508</v>
      </c>
      <c r="I34" s="461">
        <f t="shared" ref="I34:I96" si="75">(VLOOKUP(A34,Table_S_2, MATCH("SV",heading_S_2,0), FALSE))</f>
        <v>10</v>
      </c>
      <c r="J34" s="466">
        <f t="shared" ref="J34:J96" si="76">(VLOOKUP(A34,Table_S_2, MATCH("MV",heading_S_2,0), FALSE))</f>
        <v>10</v>
      </c>
      <c r="K34" s="464" t="str">
        <f t="shared" ref="K34:K96" si="77">(VLOOKUP(A34,Table_S_3, MATCH("DW-Leach",heading_S_3,0), FALSE))</f>
        <v>--</v>
      </c>
      <c r="L34" s="465" t="str">
        <f t="shared" ref="L34:L96" si="78">(VLOOKUP(A34,Table_S_3, MATCH("NDW-Leach",heading_S_3,0), FALSE))</f>
        <v>--</v>
      </c>
      <c r="M34" s="466" t="str">
        <f t="shared" ref="M34:M96" si="79">(VLOOKUP(A34,Table_S_4, MATCH("S-GC",heading_S_4,0), FALSE))</f>
        <v>--</v>
      </c>
      <c r="N34" s="461" t="str">
        <f t="shared" ref="N34:N96" si="80">(VLOOKUP(A34,Table_S_5, MATCH("res_ss_no",heading_S_5,0), FALSE))</f>
        <v>--</v>
      </c>
      <c r="O34" s="462" t="str">
        <f t="shared" ref="O34:O96" si="81">(VLOOKUP(A34,Table_S_5, MATCH("com_ss_no",heading_S_5,0), FALSE))</f>
        <v>--</v>
      </c>
      <c r="P34" s="467" t="str">
        <f t="shared" ref="P34:P96" si="82">(VLOOKUP(A34,Table_S_5, MATCH("any_ds_no",heading_S_5,0), FALSE))</f>
        <v>--</v>
      </c>
      <c r="Q34" s="468">
        <f t="shared" si="66"/>
        <v>0.29641719745222933</v>
      </c>
      <c r="R34" s="469" t="str">
        <f t="shared" si="28"/>
        <v>Canc-Risk</v>
      </c>
    </row>
    <row r="35" spans="1:18" s="448" customFormat="1" ht="30" customHeight="1">
      <c r="A35" s="893" t="s">
        <v>139</v>
      </c>
      <c r="B35" s="611" t="s">
        <v>140</v>
      </c>
      <c r="C35" s="612">
        <f t="shared" si="60"/>
        <v>424.27350427350439</v>
      </c>
      <c r="D35" s="467">
        <f t="shared" si="61"/>
        <v>23.399764305355507</v>
      </c>
      <c r="E35" s="612">
        <f t="shared" si="62"/>
        <v>1853.2266666666669</v>
      </c>
      <c r="F35" s="467">
        <f t="shared" si="63"/>
        <v>346.99805825242714</v>
      </c>
      <c r="G35" s="466">
        <f t="shared" si="64"/>
        <v>35.770000000000003</v>
      </c>
      <c r="H35" s="467">
        <f t="shared" si="65"/>
        <v>21.90217283460661</v>
      </c>
      <c r="I35" s="461">
        <f t="shared" si="75"/>
        <v>50</v>
      </c>
      <c r="J35" s="466">
        <f t="shared" si="76"/>
        <v>100</v>
      </c>
      <c r="K35" s="464" t="str">
        <f t="shared" si="77"/>
        <v>--</v>
      </c>
      <c r="L35" s="465" t="str">
        <f t="shared" si="78"/>
        <v>--</v>
      </c>
      <c r="M35" s="466" t="str">
        <f t="shared" si="79"/>
        <v>--</v>
      </c>
      <c r="N35" s="461" t="str">
        <f t="shared" si="80"/>
        <v>--</v>
      </c>
      <c r="O35" s="462" t="str">
        <f t="shared" si="81"/>
        <v>--</v>
      </c>
      <c r="P35" s="467" t="str">
        <f t="shared" si="82"/>
        <v>--</v>
      </c>
      <c r="Q35" s="468">
        <f t="shared" si="66"/>
        <v>21.90217283460661</v>
      </c>
      <c r="R35" s="469" t="str">
        <f t="shared" si="28"/>
        <v>NC-Hazard</v>
      </c>
    </row>
    <row r="36" spans="1:18" s="448" customFormat="1" ht="30" customHeight="1">
      <c r="A36" s="893" t="s">
        <v>141</v>
      </c>
      <c r="B36" s="611" t="s">
        <v>142</v>
      </c>
      <c r="C36" s="612" t="str">
        <f t="shared" si="60"/>
        <v>--</v>
      </c>
      <c r="D36" s="467">
        <f t="shared" si="61"/>
        <v>3128.5714285714284</v>
      </c>
      <c r="E36" s="612" t="str">
        <f t="shared" si="62"/>
        <v>--</v>
      </c>
      <c r="F36" s="467">
        <f t="shared" si="63"/>
        <v>46720</v>
      </c>
      <c r="G36" s="466" t="str">
        <f t="shared" si="64"/>
        <v>--</v>
      </c>
      <c r="H36" s="467">
        <f t="shared" si="65"/>
        <v>14157.575757575758</v>
      </c>
      <c r="I36" s="461">
        <f t="shared" si="75"/>
        <v>180</v>
      </c>
      <c r="J36" s="466">
        <f t="shared" si="76"/>
        <v>300</v>
      </c>
      <c r="K36" s="464" t="str">
        <f t="shared" si="77"/>
        <v>--</v>
      </c>
      <c r="L36" s="465" t="str">
        <f t="shared" si="78"/>
        <v>--</v>
      </c>
      <c r="M36" s="466" t="str">
        <f t="shared" si="79"/>
        <v>--</v>
      </c>
      <c r="N36" s="461" t="str">
        <f t="shared" si="80"/>
        <v>--</v>
      </c>
      <c r="O36" s="462" t="str">
        <f t="shared" si="81"/>
        <v>--</v>
      </c>
      <c r="P36" s="467" t="str">
        <f t="shared" si="82"/>
        <v>--</v>
      </c>
      <c r="Q36" s="468">
        <f t="shared" si="66"/>
        <v>180</v>
      </c>
      <c r="R36" s="469" t="str">
        <f t="shared" si="28"/>
        <v>Terr Habitat</v>
      </c>
    </row>
    <row r="37" spans="1:18" s="448" customFormat="1" ht="30" customHeight="1">
      <c r="A37" s="893" t="s">
        <v>143</v>
      </c>
      <c r="B37" s="611" t="s">
        <v>144</v>
      </c>
      <c r="C37" s="612" t="str">
        <f t="shared" si="60"/>
        <v>--</v>
      </c>
      <c r="D37" s="467">
        <f t="shared" si="61"/>
        <v>24.007383024290597</v>
      </c>
      <c r="E37" s="612" t="str">
        <f t="shared" si="62"/>
        <v>--</v>
      </c>
      <c r="F37" s="467">
        <f t="shared" si="63"/>
        <v>157.06269570908614</v>
      </c>
      <c r="G37" s="466" t="str">
        <f t="shared" si="64"/>
        <v>--</v>
      </c>
      <c r="H37" s="467">
        <f t="shared" si="65"/>
        <v>37.244278321509313</v>
      </c>
      <c r="I37" s="461">
        <f t="shared" si="75"/>
        <v>0.11</v>
      </c>
      <c r="J37" s="466">
        <f t="shared" si="76"/>
        <v>0.11</v>
      </c>
      <c r="K37" s="464" t="str">
        <f t="shared" si="77"/>
        <v>--</v>
      </c>
      <c r="L37" s="465" t="str">
        <f t="shared" si="78"/>
        <v>--</v>
      </c>
      <c r="M37" s="466">
        <f t="shared" si="79"/>
        <v>954074.94900000002</v>
      </c>
      <c r="N37" s="461">
        <f t="shared" si="80"/>
        <v>100</v>
      </c>
      <c r="O37" s="462">
        <f t="shared" si="81"/>
        <v>500</v>
      </c>
      <c r="P37" s="467">
        <f t="shared" si="82"/>
        <v>500</v>
      </c>
      <c r="Q37" s="468">
        <f t="shared" si="66"/>
        <v>0.11</v>
      </c>
      <c r="R37" s="469" t="str">
        <f t="shared" si="28"/>
        <v>Terr Habitat</v>
      </c>
    </row>
    <row r="38" spans="1:18" s="448" customFormat="1" ht="30" customHeight="1">
      <c r="A38" s="893" t="s">
        <v>145</v>
      </c>
      <c r="B38" s="611" t="s">
        <v>146</v>
      </c>
      <c r="C38" s="612">
        <f t="shared" si="60"/>
        <v>8.2766439909297063</v>
      </c>
      <c r="D38" s="467">
        <f t="shared" si="61"/>
        <v>1564.2857142857142</v>
      </c>
      <c r="E38" s="612">
        <f t="shared" si="62"/>
        <v>38.933333333333337</v>
      </c>
      <c r="F38" s="467">
        <f t="shared" si="63"/>
        <v>23360</v>
      </c>
      <c r="G38" s="466">
        <f t="shared" si="64"/>
        <v>294.94949494949498</v>
      </c>
      <c r="H38" s="467">
        <f t="shared" si="65"/>
        <v>7078.787878787879</v>
      </c>
      <c r="I38" s="461" t="str">
        <f t="shared" si="75"/>
        <v>--</v>
      </c>
      <c r="J38" s="466" t="str">
        <f t="shared" si="76"/>
        <v>--</v>
      </c>
      <c r="K38" s="464">
        <f t="shared" si="77"/>
        <v>0.212986221</v>
      </c>
      <c r="L38" s="465">
        <f t="shared" si="78"/>
        <v>0.212986221</v>
      </c>
      <c r="M38" s="466">
        <f t="shared" si="79"/>
        <v>801.84607747728091</v>
      </c>
      <c r="N38" s="461">
        <f t="shared" si="80"/>
        <v>100</v>
      </c>
      <c r="O38" s="462">
        <f t="shared" si="81"/>
        <v>500</v>
      </c>
      <c r="P38" s="467">
        <f t="shared" si="82"/>
        <v>500</v>
      </c>
      <c r="Q38" s="468">
        <f t="shared" si="66"/>
        <v>0.212986221</v>
      </c>
      <c r="R38" s="469" t="str">
        <f t="shared" si="28"/>
        <v>Leaching</v>
      </c>
    </row>
    <row r="39" spans="1:18" s="448" customFormat="1" ht="30" customHeight="1">
      <c r="A39" s="893" t="s">
        <v>147</v>
      </c>
      <c r="B39" s="611" t="s">
        <v>148</v>
      </c>
      <c r="C39" s="612">
        <f t="shared" si="60"/>
        <v>4.3349761963071068E-3</v>
      </c>
      <c r="D39" s="467">
        <f t="shared" si="61"/>
        <v>4.6774840923087861</v>
      </c>
      <c r="E39" s="612">
        <f t="shared" si="62"/>
        <v>5.6384368128259144E-2</v>
      </c>
      <c r="F39" s="467">
        <f t="shared" si="63"/>
        <v>24.588657747922781</v>
      </c>
      <c r="G39" s="466">
        <f t="shared" si="64"/>
        <v>0.32650083630844873</v>
      </c>
      <c r="H39" s="467">
        <f t="shared" si="65"/>
        <v>5.6719028813955523</v>
      </c>
      <c r="I39" s="461" t="str">
        <f t="shared" si="75"/>
        <v>--</v>
      </c>
      <c r="J39" s="466" t="str">
        <f t="shared" si="76"/>
        <v>--</v>
      </c>
      <c r="K39" s="464">
        <f t="shared" si="77"/>
        <v>5.6615429260844022E-4</v>
      </c>
      <c r="L39" s="465">
        <f t="shared" si="78"/>
        <v>5.6615429260844022E-4</v>
      </c>
      <c r="M39" s="466">
        <f t="shared" si="79"/>
        <v>979.00337904009689</v>
      </c>
      <c r="N39" s="461">
        <f t="shared" si="80"/>
        <v>500</v>
      </c>
      <c r="O39" s="462">
        <f t="shared" si="81"/>
        <v>1000</v>
      </c>
      <c r="P39" s="467">
        <f t="shared" si="82"/>
        <v>1000</v>
      </c>
      <c r="Q39" s="468">
        <f t="shared" si="66"/>
        <v>5.6615429260844022E-4</v>
      </c>
      <c r="R39" s="469" t="str">
        <f t="shared" si="28"/>
        <v>Leaching</v>
      </c>
    </row>
    <row r="40" spans="1:18" s="448" customFormat="1" ht="30" customHeight="1">
      <c r="A40" s="893" t="s">
        <v>149</v>
      </c>
      <c r="B40" s="611" t="s">
        <v>150</v>
      </c>
      <c r="C40" s="612">
        <f t="shared" si="60"/>
        <v>3.6237174209690817E-2</v>
      </c>
      <c r="D40" s="467">
        <f t="shared" si="61"/>
        <v>7.1392729520770022</v>
      </c>
      <c r="E40" s="612">
        <f t="shared" si="62"/>
        <v>0.15667130302959201</v>
      </c>
      <c r="F40" s="467">
        <f t="shared" si="63"/>
        <v>29.620222715071073</v>
      </c>
      <c r="G40" s="466">
        <f t="shared" si="64"/>
        <v>0.90531047782783514</v>
      </c>
      <c r="H40" s="467">
        <f t="shared" si="65"/>
        <v>6.6832318325429396</v>
      </c>
      <c r="I40" s="461" t="str">
        <f t="shared" si="75"/>
        <v>--</v>
      </c>
      <c r="J40" s="466" t="str">
        <f t="shared" si="76"/>
        <v>--</v>
      </c>
      <c r="K40" s="464">
        <f t="shared" si="77"/>
        <v>5.3040750000000005E-4</v>
      </c>
      <c r="L40" s="465">
        <f t="shared" si="78"/>
        <v>1.8680177985205008E-3</v>
      </c>
      <c r="M40" s="466">
        <f t="shared" si="79"/>
        <v>1339.6859398838837</v>
      </c>
      <c r="N40" s="461">
        <f t="shared" si="80"/>
        <v>500</v>
      </c>
      <c r="O40" s="462">
        <f t="shared" si="81"/>
        <v>1000</v>
      </c>
      <c r="P40" s="467">
        <f t="shared" si="82"/>
        <v>1000</v>
      </c>
      <c r="Q40" s="468">
        <f t="shared" si="66"/>
        <v>5.3040750000000005E-4</v>
      </c>
      <c r="R40" s="469" t="str">
        <f t="shared" si="28"/>
        <v>Leaching</v>
      </c>
    </row>
    <row r="41" spans="1:18" s="448" customFormat="1" ht="30" customHeight="1">
      <c r="A41" s="893" t="s">
        <v>151</v>
      </c>
      <c r="B41" s="611" t="s">
        <v>152</v>
      </c>
      <c r="C41" s="612" t="str">
        <f t="shared" si="60"/>
        <v>--</v>
      </c>
      <c r="D41" s="467">
        <f t="shared" si="61"/>
        <v>1810.6211476547398</v>
      </c>
      <c r="E41" s="612" t="str">
        <f t="shared" si="62"/>
        <v>--</v>
      </c>
      <c r="F41" s="467">
        <f t="shared" si="63"/>
        <v>9163.9960745855824</v>
      </c>
      <c r="G41" s="466" t="str">
        <f t="shared" si="64"/>
        <v>--</v>
      </c>
      <c r="H41" s="467">
        <f t="shared" si="65"/>
        <v>2112.0845400537564</v>
      </c>
      <c r="I41" s="461">
        <f t="shared" si="75"/>
        <v>4.3</v>
      </c>
      <c r="J41" s="466">
        <f t="shared" si="76"/>
        <v>8.5</v>
      </c>
      <c r="K41" s="464">
        <f t="shared" si="77"/>
        <v>1.0567037600000002</v>
      </c>
      <c r="L41" s="465">
        <f t="shared" si="78"/>
        <v>1.0567037600000002</v>
      </c>
      <c r="M41" s="466">
        <f t="shared" si="79"/>
        <v>376.31253511470419</v>
      </c>
      <c r="N41" s="461">
        <f t="shared" si="80"/>
        <v>1000</v>
      </c>
      <c r="O41" s="462">
        <f t="shared" si="81"/>
        <v>2500</v>
      </c>
      <c r="P41" s="467">
        <f t="shared" si="82"/>
        <v>2500</v>
      </c>
      <c r="Q41" s="468">
        <f t="shared" si="66"/>
        <v>1.0567037600000002</v>
      </c>
      <c r="R41" s="469" t="str">
        <f t="shared" si="28"/>
        <v>Leaching</v>
      </c>
    </row>
    <row r="42" spans="1:18" s="448" customFormat="1" ht="30" customHeight="1">
      <c r="A42" s="893" t="s">
        <v>153</v>
      </c>
      <c r="B42" s="611" t="s">
        <v>154</v>
      </c>
      <c r="C42" s="612">
        <f t="shared" si="60"/>
        <v>2.6123103757021853</v>
      </c>
      <c r="D42" s="467">
        <f t="shared" si="61"/>
        <v>3362.6062787952392</v>
      </c>
      <c r="E42" s="612">
        <f t="shared" si="62"/>
        <v>11.20933463550173</v>
      </c>
      <c r="F42" s="467">
        <f t="shared" si="63"/>
        <v>24943.26700846415</v>
      </c>
      <c r="G42" s="466">
        <f t="shared" si="64"/>
        <v>63.460742183188799</v>
      </c>
      <c r="H42" s="467">
        <f t="shared" si="65"/>
        <v>6098.5193455442195</v>
      </c>
      <c r="I42" s="461">
        <f t="shared" si="75"/>
        <v>4.5</v>
      </c>
      <c r="J42" s="466">
        <f t="shared" si="76"/>
        <v>9</v>
      </c>
      <c r="K42" s="464">
        <f t="shared" si="77"/>
        <v>0.20014440991585375</v>
      </c>
      <c r="L42" s="465">
        <f t="shared" si="78"/>
        <v>0.20014440991585375</v>
      </c>
      <c r="M42" s="466">
        <f t="shared" si="79"/>
        <v>192.71776350236811</v>
      </c>
      <c r="N42" s="461">
        <f t="shared" si="80"/>
        <v>500</v>
      </c>
      <c r="O42" s="462">
        <f t="shared" si="81"/>
        <v>1000</v>
      </c>
      <c r="P42" s="467">
        <f t="shared" si="82"/>
        <v>1000</v>
      </c>
      <c r="Q42" s="468">
        <f t="shared" si="66"/>
        <v>0.20014440991585375</v>
      </c>
      <c r="R42" s="469" t="str">
        <f t="shared" si="28"/>
        <v>Leaching</v>
      </c>
    </row>
    <row r="43" spans="1:18" s="448" customFormat="1" ht="30" customHeight="1">
      <c r="A43" s="893" t="s">
        <v>155</v>
      </c>
      <c r="B43" s="611" t="s">
        <v>156</v>
      </c>
      <c r="C43" s="612">
        <f t="shared" si="60"/>
        <v>0.45213976693124058</v>
      </c>
      <c r="D43" s="467" t="str">
        <f t="shared" si="61"/>
        <v>--</v>
      </c>
      <c r="E43" s="612">
        <f t="shared" si="62"/>
        <v>1.9148049206614384</v>
      </c>
      <c r="F43" s="467" t="str">
        <f t="shared" si="63"/>
        <v>--</v>
      </c>
      <c r="G43" s="466">
        <f t="shared" si="64"/>
        <v>15.379784729354268</v>
      </c>
      <c r="H43" s="467" t="str">
        <f t="shared" si="65"/>
        <v>--</v>
      </c>
      <c r="I43" s="461" t="str">
        <f t="shared" si="75"/>
        <v>--</v>
      </c>
      <c r="J43" s="466" t="str">
        <f t="shared" si="76"/>
        <v>--</v>
      </c>
      <c r="K43" s="464">
        <f t="shared" si="77"/>
        <v>2.4867303215267669E-2</v>
      </c>
      <c r="L43" s="465">
        <f t="shared" si="78"/>
        <v>4.077458001357348E-2</v>
      </c>
      <c r="M43" s="466">
        <f t="shared" si="79"/>
        <v>59.644000000681388</v>
      </c>
      <c r="N43" s="461">
        <f t="shared" si="80"/>
        <v>500</v>
      </c>
      <c r="O43" s="462">
        <f t="shared" si="81"/>
        <v>1000</v>
      </c>
      <c r="P43" s="467">
        <f t="shared" si="82"/>
        <v>1000</v>
      </c>
      <c r="Q43" s="468">
        <f t="shared" si="66"/>
        <v>2.4867303215267669E-2</v>
      </c>
      <c r="R43" s="469" t="str">
        <f t="shared" si="28"/>
        <v>Leaching</v>
      </c>
    </row>
    <row r="44" spans="1:18" s="448" customFormat="1" ht="30" customHeight="1">
      <c r="A44" s="893" t="s">
        <v>157</v>
      </c>
      <c r="B44" s="611" t="s">
        <v>158</v>
      </c>
      <c r="C44" s="612">
        <f t="shared" si="60"/>
        <v>2.2606974962228725</v>
      </c>
      <c r="D44" s="467">
        <f t="shared" si="61"/>
        <v>31.606839777857317</v>
      </c>
      <c r="E44" s="612">
        <f t="shared" si="62"/>
        <v>9.5740191076734824</v>
      </c>
      <c r="F44" s="467">
        <f t="shared" si="63"/>
        <v>410.33135662291681</v>
      </c>
      <c r="G44" s="466">
        <f t="shared" si="64"/>
        <v>76.880559305889847</v>
      </c>
      <c r="H44" s="467">
        <f t="shared" si="65"/>
        <v>134.00335008375208</v>
      </c>
      <c r="I44" s="461">
        <f t="shared" si="75"/>
        <v>8.5</v>
      </c>
      <c r="J44" s="466">
        <f t="shared" si="76"/>
        <v>17</v>
      </c>
      <c r="K44" s="464">
        <f t="shared" si="77"/>
        <v>63.459004597263146</v>
      </c>
      <c r="L44" s="465">
        <f t="shared" si="78"/>
        <v>63.459004597263146</v>
      </c>
      <c r="M44" s="466">
        <f t="shared" si="79"/>
        <v>63.459004597263146</v>
      </c>
      <c r="N44" s="461">
        <f t="shared" si="80"/>
        <v>500</v>
      </c>
      <c r="O44" s="462">
        <f t="shared" si="81"/>
        <v>1000</v>
      </c>
      <c r="P44" s="467">
        <f t="shared" si="82"/>
        <v>1000</v>
      </c>
      <c r="Q44" s="468">
        <f t="shared" si="66"/>
        <v>2.2606974962228725</v>
      </c>
      <c r="R44" s="469" t="str">
        <f t="shared" si="28"/>
        <v>Canc-Risk</v>
      </c>
    </row>
    <row r="45" spans="1:18" s="448" customFormat="1" ht="30" customHeight="1">
      <c r="A45" s="893" t="s">
        <v>159</v>
      </c>
      <c r="B45" s="611" t="s">
        <v>160</v>
      </c>
      <c r="C45" s="612">
        <f t="shared" si="60"/>
        <v>1.9782657136977184</v>
      </c>
      <c r="D45" s="467">
        <f t="shared" si="61"/>
        <v>39.107142857142854</v>
      </c>
      <c r="E45" s="612">
        <f t="shared" si="62"/>
        <v>9.2761093519666726</v>
      </c>
      <c r="F45" s="467">
        <f t="shared" si="63"/>
        <v>584</v>
      </c>
      <c r="G45" s="466">
        <f t="shared" si="64"/>
        <v>68.010736923390539</v>
      </c>
      <c r="H45" s="467">
        <f t="shared" si="65"/>
        <v>176.96969696969697</v>
      </c>
      <c r="I45" s="461">
        <f t="shared" si="75"/>
        <v>0.33</v>
      </c>
      <c r="J45" s="466">
        <f t="shared" si="76"/>
        <v>0.65</v>
      </c>
      <c r="K45" s="464">
        <f t="shared" si="77"/>
        <v>28.204012878528417</v>
      </c>
      <c r="L45" s="465">
        <f t="shared" si="78"/>
        <v>28.204012878528417</v>
      </c>
      <c r="M45" s="466">
        <f t="shared" si="79"/>
        <v>28.204012878528417</v>
      </c>
      <c r="N45" s="461">
        <f t="shared" si="80"/>
        <v>500</v>
      </c>
      <c r="O45" s="462">
        <f t="shared" si="81"/>
        <v>1000</v>
      </c>
      <c r="P45" s="467">
        <f t="shared" si="82"/>
        <v>1000</v>
      </c>
      <c r="Q45" s="468">
        <f t="shared" si="66"/>
        <v>0.33</v>
      </c>
      <c r="R45" s="469" t="str">
        <f t="shared" si="28"/>
        <v>Terr Habitat</v>
      </c>
    </row>
    <row r="46" spans="1:18" s="448" customFormat="1" ht="30" customHeight="1">
      <c r="A46" s="893" t="s">
        <v>161</v>
      </c>
      <c r="B46" s="611" t="s">
        <v>162</v>
      </c>
      <c r="C46" s="612">
        <f t="shared" si="60"/>
        <v>1.8855772613117678</v>
      </c>
      <c r="D46" s="467">
        <f t="shared" si="61"/>
        <v>36.5081291434226</v>
      </c>
      <c r="E46" s="612">
        <f t="shared" si="62"/>
        <v>8.5346806302023772</v>
      </c>
      <c r="F46" s="467">
        <f t="shared" si="63"/>
        <v>518.20275925222631</v>
      </c>
      <c r="G46" s="466">
        <f t="shared" si="64"/>
        <v>65.170200682308803</v>
      </c>
      <c r="H46" s="467">
        <f t="shared" si="65"/>
        <v>161.44058074378771</v>
      </c>
      <c r="I46" s="461">
        <f t="shared" si="75"/>
        <v>2.1000000000000001E-2</v>
      </c>
      <c r="J46" s="466">
        <f t="shared" si="76"/>
        <v>7.8</v>
      </c>
      <c r="K46" s="464">
        <f t="shared" si="77"/>
        <v>5.5643503541595321</v>
      </c>
      <c r="L46" s="465">
        <f t="shared" si="78"/>
        <v>5.5643503541595321</v>
      </c>
      <c r="M46" s="466">
        <f t="shared" si="79"/>
        <v>5.5643503541595321</v>
      </c>
      <c r="N46" s="461">
        <f t="shared" si="80"/>
        <v>500</v>
      </c>
      <c r="O46" s="462">
        <f t="shared" si="81"/>
        <v>1000</v>
      </c>
      <c r="P46" s="467">
        <f t="shared" si="82"/>
        <v>1000</v>
      </c>
      <c r="Q46" s="468">
        <f t="shared" si="66"/>
        <v>2.1000000000000001E-2</v>
      </c>
      <c r="R46" s="469" t="str">
        <f t="shared" si="28"/>
        <v>Terr Habitat</v>
      </c>
    </row>
    <row r="47" spans="1:18" s="448" customFormat="1" ht="30" customHeight="1">
      <c r="A47" s="893" t="s">
        <v>163</v>
      </c>
      <c r="B47" s="611" t="s">
        <v>164</v>
      </c>
      <c r="C47" s="612">
        <f t="shared" si="60"/>
        <v>3.551377623775954</v>
      </c>
      <c r="D47" s="467">
        <f t="shared" si="61"/>
        <v>15642.857142857141</v>
      </c>
      <c r="E47" s="612">
        <f t="shared" si="62"/>
        <v>15.25090247092445</v>
      </c>
      <c r="F47" s="467">
        <f t="shared" si="63"/>
        <v>233600</v>
      </c>
      <c r="G47" s="466">
        <f t="shared" si="64"/>
        <v>86.670565282255424</v>
      </c>
      <c r="H47" s="467">
        <f t="shared" si="65"/>
        <v>70787.878787878799</v>
      </c>
      <c r="I47" s="461">
        <f t="shared" si="75"/>
        <v>11</v>
      </c>
      <c r="J47" s="466">
        <f t="shared" si="76"/>
        <v>21</v>
      </c>
      <c r="K47" s="464">
        <f t="shared" si="77"/>
        <v>0.20082729999999999</v>
      </c>
      <c r="L47" s="465">
        <f t="shared" si="78"/>
        <v>0.30676260123015092</v>
      </c>
      <c r="M47" s="466">
        <f t="shared" si="79"/>
        <v>1685.45659666456</v>
      </c>
      <c r="N47" s="461">
        <f t="shared" si="80"/>
        <v>500</v>
      </c>
      <c r="O47" s="462">
        <f t="shared" si="81"/>
        <v>1000</v>
      </c>
      <c r="P47" s="467">
        <f t="shared" si="82"/>
        <v>1000</v>
      </c>
      <c r="Q47" s="468">
        <f t="shared" si="66"/>
        <v>0.20082729999999999</v>
      </c>
      <c r="R47" s="469" t="str">
        <f t="shared" si="28"/>
        <v>Leaching</v>
      </c>
    </row>
    <row r="48" spans="1:18" s="448" customFormat="1" ht="30" customHeight="1">
      <c r="A48" s="893" t="s">
        <v>165</v>
      </c>
      <c r="B48" s="611" t="s">
        <v>166</v>
      </c>
      <c r="C48" s="612">
        <f t="shared" si="60"/>
        <v>0.46404590903502718</v>
      </c>
      <c r="D48" s="467">
        <f t="shared" si="61"/>
        <v>31.179122075907717</v>
      </c>
      <c r="E48" s="612">
        <f t="shared" si="62"/>
        <v>1.9984497286943805</v>
      </c>
      <c r="F48" s="467">
        <f t="shared" si="63"/>
        <v>134.90021239836574</v>
      </c>
      <c r="G48" s="466">
        <f t="shared" si="64"/>
        <v>11.436663620896402</v>
      </c>
      <c r="H48" s="467">
        <f t="shared" si="65"/>
        <v>30.592029478359937</v>
      </c>
      <c r="I48" s="461">
        <f t="shared" si="75"/>
        <v>29</v>
      </c>
      <c r="J48" s="466">
        <f t="shared" si="76"/>
        <v>29</v>
      </c>
      <c r="K48" s="464">
        <f t="shared" si="77"/>
        <v>6.9489300000000007E-3</v>
      </c>
      <c r="L48" s="465">
        <f t="shared" si="78"/>
        <v>3.1109894768328539E-2</v>
      </c>
      <c r="M48" s="466">
        <f t="shared" si="79"/>
        <v>2981.9004485310361</v>
      </c>
      <c r="N48" s="461">
        <f t="shared" si="80"/>
        <v>100</v>
      </c>
      <c r="O48" s="462">
        <f t="shared" si="81"/>
        <v>500</v>
      </c>
      <c r="P48" s="467">
        <f t="shared" si="82"/>
        <v>500</v>
      </c>
      <c r="Q48" s="468">
        <f t="shared" si="66"/>
        <v>6.9489300000000007E-3</v>
      </c>
      <c r="R48" s="469" t="str">
        <f t="shared" si="28"/>
        <v>Leaching</v>
      </c>
    </row>
    <row r="49" spans="1:18" s="448" customFormat="1" ht="30" customHeight="1">
      <c r="A49" s="893" t="s">
        <v>167</v>
      </c>
      <c r="B49" s="611" t="s">
        <v>168</v>
      </c>
      <c r="C49" s="612" t="str">
        <f t="shared" si="60"/>
        <v>--</v>
      </c>
      <c r="D49" s="467">
        <f t="shared" si="61"/>
        <v>4.7684973243458142</v>
      </c>
      <c r="E49" s="612" t="str">
        <f t="shared" si="62"/>
        <v>--</v>
      </c>
      <c r="F49" s="467">
        <f t="shared" si="63"/>
        <v>19.656122469391416</v>
      </c>
      <c r="G49" s="466" t="str">
        <f t="shared" si="64"/>
        <v>--</v>
      </c>
      <c r="H49" s="467">
        <f t="shared" si="65"/>
        <v>4.4391824295326039</v>
      </c>
      <c r="I49" s="461">
        <f t="shared" si="75"/>
        <v>43</v>
      </c>
      <c r="J49" s="466">
        <f t="shared" si="76"/>
        <v>130</v>
      </c>
      <c r="K49" s="464">
        <f t="shared" si="77"/>
        <v>0.15055633800000001</v>
      </c>
      <c r="L49" s="465">
        <f t="shared" si="78"/>
        <v>0.15055633800000001</v>
      </c>
      <c r="M49" s="466">
        <f t="shared" si="79"/>
        <v>1192.8687147533901</v>
      </c>
      <c r="N49" s="461">
        <f t="shared" si="80"/>
        <v>500</v>
      </c>
      <c r="O49" s="462">
        <f t="shared" si="81"/>
        <v>1000</v>
      </c>
      <c r="P49" s="467">
        <f t="shared" si="82"/>
        <v>1000</v>
      </c>
      <c r="Q49" s="468">
        <f t="shared" si="66"/>
        <v>0.15055633800000001</v>
      </c>
      <c r="R49" s="469" t="str">
        <f t="shared" si="28"/>
        <v>Leaching</v>
      </c>
    </row>
    <row r="50" spans="1:18" s="448" customFormat="1" ht="30" customHeight="1">
      <c r="A50" s="893" t="s">
        <v>169</v>
      </c>
      <c r="B50" s="611" t="s">
        <v>170</v>
      </c>
      <c r="C50" s="612" t="str">
        <f t="shared" si="60"/>
        <v>--</v>
      </c>
      <c r="D50" s="467">
        <f t="shared" si="61"/>
        <v>62.575353556524746</v>
      </c>
      <c r="E50" s="612" t="str">
        <f t="shared" si="62"/>
        <v>--</v>
      </c>
      <c r="F50" s="467">
        <f t="shared" si="63"/>
        <v>362.8238864053107</v>
      </c>
      <c r="G50" s="466" t="str">
        <f t="shared" si="64"/>
        <v>--</v>
      </c>
      <c r="H50" s="467">
        <f t="shared" si="65"/>
        <v>85.288681638514916</v>
      </c>
      <c r="I50" s="461">
        <f t="shared" si="75"/>
        <v>84</v>
      </c>
      <c r="J50" s="466">
        <f t="shared" si="76"/>
        <v>940</v>
      </c>
      <c r="K50" s="464">
        <f t="shared" si="77"/>
        <v>0.19138896000000002</v>
      </c>
      <c r="L50" s="465">
        <f t="shared" si="78"/>
        <v>7.9771311670586948</v>
      </c>
      <c r="M50" s="466">
        <f t="shared" si="79"/>
        <v>2366.4256021228371</v>
      </c>
      <c r="N50" s="461">
        <f t="shared" si="80"/>
        <v>100</v>
      </c>
      <c r="O50" s="462">
        <f t="shared" si="81"/>
        <v>500</v>
      </c>
      <c r="P50" s="467">
        <f t="shared" si="82"/>
        <v>500</v>
      </c>
      <c r="Q50" s="468">
        <f t="shared" si="66"/>
        <v>0.19138896000000002</v>
      </c>
      <c r="R50" s="469" t="str">
        <f t="shared" si="28"/>
        <v>Leaching</v>
      </c>
    </row>
    <row r="51" spans="1:18" s="448" customFormat="1" ht="30" customHeight="1">
      <c r="A51" s="893" t="s">
        <v>171</v>
      </c>
      <c r="B51" s="611" t="s">
        <v>172</v>
      </c>
      <c r="C51" s="612" t="str">
        <f t="shared" si="60"/>
        <v>--</v>
      </c>
      <c r="D51" s="467">
        <f t="shared" si="61"/>
        <v>69.59664520563706</v>
      </c>
      <c r="E51" s="612" t="str">
        <f t="shared" si="62"/>
        <v>--</v>
      </c>
      <c r="F51" s="467">
        <f t="shared" si="63"/>
        <v>296.17247941654023</v>
      </c>
      <c r="G51" s="466" t="str">
        <f t="shared" si="64"/>
        <v>--</v>
      </c>
      <c r="H51" s="467">
        <f t="shared" si="65"/>
        <v>67.091026862714799</v>
      </c>
      <c r="I51" s="461">
        <f t="shared" si="75"/>
        <v>84</v>
      </c>
      <c r="J51" s="466">
        <f t="shared" si="76"/>
        <v>940</v>
      </c>
      <c r="K51" s="464">
        <f t="shared" si="77"/>
        <v>0.64795259999999999</v>
      </c>
      <c r="L51" s="465">
        <f t="shared" si="78"/>
        <v>7.0482558849101977</v>
      </c>
      <c r="M51" s="466">
        <f t="shared" si="79"/>
        <v>1854.0882357744872</v>
      </c>
      <c r="N51" s="461">
        <f t="shared" si="80"/>
        <v>500</v>
      </c>
      <c r="O51" s="462">
        <f t="shared" si="81"/>
        <v>1000</v>
      </c>
      <c r="P51" s="467">
        <f t="shared" si="82"/>
        <v>1000</v>
      </c>
      <c r="Q51" s="468">
        <f t="shared" si="66"/>
        <v>0.64795259999999999</v>
      </c>
      <c r="R51" s="469" t="str">
        <f t="shared" si="28"/>
        <v>Leaching</v>
      </c>
    </row>
    <row r="52" spans="1:18" s="448" customFormat="1" ht="30" customHeight="1">
      <c r="A52" s="893" t="s">
        <v>173</v>
      </c>
      <c r="B52" s="611" t="s">
        <v>174</v>
      </c>
      <c r="C52" s="612" t="str">
        <f t="shared" si="60"/>
        <v>--</v>
      </c>
      <c r="D52" s="467">
        <f t="shared" si="61"/>
        <v>189.6410386671439</v>
      </c>
      <c r="E52" s="612" t="str">
        <f t="shared" si="62"/>
        <v>--</v>
      </c>
      <c r="F52" s="467">
        <f t="shared" si="63"/>
        <v>2461.9881397375007</v>
      </c>
      <c r="G52" s="466" t="str">
        <f t="shared" si="64"/>
        <v>--</v>
      </c>
      <c r="H52" s="467">
        <f t="shared" si="65"/>
        <v>804.02010050251249</v>
      </c>
      <c r="I52" s="461">
        <f t="shared" si="75"/>
        <v>2.1</v>
      </c>
      <c r="J52" s="466" t="str">
        <f t="shared" si="76"/>
        <v>--</v>
      </c>
      <c r="K52" s="464">
        <f t="shared" si="77"/>
        <v>7.3285884090000001E-3</v>
      </c>
      <c r="L52" s="465">
        <f t="shared" si="78"/>
        <v>2.4428628030000003E-2</v>
      </c>
      <c r="M52" s="466">
        <f t="shared" si="79"/>
        <v>5450.2842736311914</v>
      </c>
      <c r="N52" s="461">
        <f t="shared" si="80"/>
        <v>500</v>
      </c>
      <c r="O52" s="462">
        <f t="shared" si="81"/>
        <v>1000</v>
      </c>
      <c r="P52" s="467">
        <f t="shared" si="82"/>
        <v>1000</v>
      </c>
      <c r="Q52" s="468">
        <f t="shared" si="66"/>
        <v>7.3285884090000001E-3</v>
      </c>
      <c r="R52" s="469" t="str">
        <f t="shared" si="28"/>
        <v>Leaching</v>
      </c>
    </row>
    <row r="53" spans="1:18" s="448" customFormat="1" ht="30" customHeight="1">
      <c r="A53" s="893" t="s">
        <v>175</v>
      </c>
      <c r="B53" s="611" t="s">
        <v>176</v>
      </c>
      <c r="C53" s="612">
        <f t="shared" si="60"/>
        <v>2.4933421146470378</v>
      </c>
      <c r="D53" s="467">
        <f t="shared" si="61"/>
        <v>15.723822723366808</v>
      </c>
      <c r="E53" s="612">
        <f t="shared" si="62"/>
        <v>10.807721727577171</v>
      </c>
      <c r="F53" s="467">
        <f t="shared" si="63"/>
        <v>64.994171506532524</v>
      </c>
      <c r="G53" s="466">
        <f t="shared" si="64"/>
        <v>62.946198633998321</v>
      </c>
      <c r="H53" s="467">
        <f t="shared" si="65"/>
        <v>14.674263495138966</v>
      </c>
      <c r="I53" s="461">
        <f t="shared" si="75"/>
        <v>31</v>
      </c>
      <c r="J53" s="466">
        <f t="shared" si="76"/>
        <v>63</v>
      </c>
      <c r="K53" s="464">
        <f t="shared" si="77"/>
        <v>0.13789969999999999</v>
      </c>
      <c r="L53" s="465">
        <f t="shared" si="78"/>
        <v>0.18153001749163405</v>
      </c>
      <c r="M53" s="466">
        <f t="shared" si="79"/>
        <v>1360.8710939693603</v>
      </c>
      <c r="N53" s="461">
        <f t="shared" si="80"/>
        <v>100</v>
      </c>
      <c r="O53" s="462">
        <f t="shared" si="81"/>
        <v>500</v>
      </c>
      <c r="P53" s="467">
        <f t="shared" si="82"/>
        <v>500</v>
      </c>
      <c r="Q53" s="468">
        <f t="shared" si="66"/>
        <v>0.13789969999999999</v>
      </c>
      <c r="R53" s="469" t="str">
        <f t="shared" si="28"/>
        <v>Leaching</v>
      </c>
    </row>
    <row r="54" spans="1:18" s="448" customFormat="1" ht="30" customHeight="1">
      <c r="A54" s="893" t="s">
        <v>177</v>
      </c>
      <c r="B54" s="611" t="s">
        <v>178</v>
      </c>
      <c r="C54" s="612">
        <f t="shared" si="60"/>
        <v>1.836522550036086</v>
      </c>
      <c r="D54" s="467">
        <f t="shared" si="61"/>
        <v>71.889051664628056</v>
      </c>
      <c r="E54" s="612">
        <f t="shared" si="62"/>
        <v>8.0565403021589557</v>
      </c>
      <c r="F54" s="467">
        <f t="shared" si="63"/>
        <v>302.78900280396647</v>
      </c>
      <c r="G54" s="466">
        <f t="shared" si="64"/>
        <v>48.510095095244758</v>
      </c>
      <c r="H54" s="467">
        <f t="shared" si="65"/>
        <v>68.493231946827535</v>
      </c>
      <c r="I54" s="461">
        <f t="shared" si="75"/>
        <v>31</v>
      </c>
      <c r="J54" s="466">
        <f t="shared" si="76"/>
        <v>63</v>
      </c>
      <c r="K54" s="464">
        <f t="shared" si="77"/>
        <v>1.7007535000000001E-2</v>
      </c>
      <c r="L54" s="465">
        <f t="shared" si="78"/>
        <v>0.16450874509913749</v>
      </c>
      <c r="M54" s="466">
        <f t="shared" si="79"/>
        <v>1569.3866324791582</v>
      </c>
      <c r="N54" s="461">
        <f t="shared" si="80"/>
        <v>500</v>
      </c>
      <c r="O54" s="462">
        <f t="shared" si="81"/>
        <v>1000</v>
      </c>
      <c r="P54" s="467">
        <f t="shared" si="82"/>
        <v>1000</v>
      </c>
      <c r="Q54" s="468">
        <f t="shared" si="66"/>
        <v>1.7007535000000001E-2</v>
      </c>
      <c r="R54" s="469" t="str">
        <f t="shared" si="28"/>
        <v>Leaching</v>
      </c>
    </row>
    <row r="55" spans="1:18" s="448" customFormat="1" ht="30" customHeight="1">
      <c r="A55" s="893" t="s">
        <v>179</v>
      </c>
      <c r="B55" s="611" t="s">
        <v>180</v>
      </c>
      <c r="C55" s="612">
        <f t="shared" si="60"/>
        <v>3.3910462443343101E-2</v>
      </c>
      <c r="D55" s="467">
        <f t="shared" si="61"/>
        <v>3.1606839777857316</v>
      </c>
      <c r="E55" s="612">
        <f t="shared" si="62"/>
        <v>0.1436102866151022</v>
      </c>
      <c r="F55" s="467">
        <f t="shared" si="63"/>
        <v>41.03313566229167</v>
      </c>
      <c r="G55" s="466">
        <f t="shared" si="64"/>
        <v>1.1532083895883478</v>
      </c>
      <c r="H55" s="467">
        <f t="shared" si="65"/>
        <v>13.40033500837521</v>
      </c>
      <c r="I55" s="461">
        <f t="shared" si="75"/>
        <v>9.6000000000000002E-4</v>
      </c>
      <c r="J55" s="466">
        <f t="shared" si="76"/>
        <v>0.11</v>
      </c>
      <c r="K55" s="464">
        <f t="shared" si="77"/>
        <v>4.0020024840000001E-6</v>
      </c>
      <c r="L55" s="465">
        <f t="shared" si="78"/>
        <v>4.0020024840000001E-6</v>
      </c>
      <c r="M55" s="466">
        <f t="shared" si="79"/>
        <v>23.524815092025488</v>
      </c>
      <c r="N55" s="461">
        <f t="shared" si="80"/>
        <v>500</v>
      </c>
      <c r="O55" s="462">
        <f t="shared" si="81"/>
        <v>1000</v>
      </c>
      <c r="P55" s="467">
        <f t="shared" si="82"/>
        <v>1000</v>
      </c>
      <c r="Q55" s="468">
        <f t="shared" si="66"/>
        <v>4.0020024840000001E-6</v>
      </c>
      <c r="R55" s="469" t="str">
        <f t="shared" si="28"/>
        <v>Leaching</v>
      </c>
    </row>
    <row r="56" spans="1:18" s="448" customFormat="1" ht="30" customHeight="1">
      <c r="A56" s="893" t="s">
        <v>181</v>
      </c>
      <c r="B56" s="611" t="s">
        <v>182</v>
      </c>
      <c r="C56" s="612" t="str">
        <f t="shared" si="60"/>
        <v>--</v>
      </c>
      <c r="D56" s="467">
        <f t="shared" si="61"/>
        <v>50570.9436445717</v>
      </c>
      <c r="E56" s="612" t="str">
        <f t="shared" si="62"/>
        <v>--</v>
      </c>
      <c r="F56" s="467">
        <f t="shared" si="63"/>
        <v>656530.17059666687</v>
      </c>
      <c r="G56" s="466" t="str">
        <f t="shared" si="64"/>
        <v>--</v>
      </c>
      <c r="H56" s="467">
        <f t="shared" si="65"/>
        <v>214405.36013400336</v>
      </c>
      <c r="I56" s="461">
        <f t="shared" si="75"/>
        <v>13</v>
      </c>
      <c r="J56" s="466">
        <f t="shared" si="76"/>
        <v>27</v>
      </c>
      <c r="K56" s="464">
        <f t="shared" si="77"/>
        <v>2.6125779405000004E-2</v>
      </c>
      <c r="L56" s="465">
        <f t="shared" si="78"/>
        <v>2.6125779405000004E-2</v>
      </c>
      <c r="M56" s="466">
        <f t="shared" si="79"/>
        <v>787.75709878276473</v>
      </c>
      <c r="N56" s="461">
        <f t="shared" si="80"/>
        <v>500</v>
      </c>
      <c r="O56" s="462">
        <f t="shared" si="81"/>
        <v>1000</v>
      </c>
      <c r="P56" s="467">
        <f t="shared" si="82"/>
        <v>1000</v>
      </c>
      <c r="Q56" s="468">
        <f t="shared" si="66"/>
        <v>2.6125779405000004E-2</v>
      </c>
      <c r="R56" s="469" t="str">
        <f t="shared" si="28"/>
        <v>Leaching</v>
      </c>
    </row>
    <row r="57" spans="1:18" s="448" customFormat="1" ht="30" customHeight="1">
      <c r="A57" s="893" t="s">
        <v>183</v>
      </c>
      <c r="B57" s="611" t="s">
        <v>184</v>
      </c>
      <c r="C57" s="612" t="str">
        <f t="shared" si="60"/>
        <v>--</v>
      </c>
      <c r="D57" s="467">
        <f t="shared" si="61"/>
        <v>1264.2735911142927</v>
      </c>
      <c r="E57" s="612" t="str">
        <f t="shared" si="62"/>
        <v>--</v>
      </c>
      <c r="F57" s="467">
        <f t="shared" si="63"/>
        <v>16413.254264916668</v>
      </c>
      <c r="G57" s="466" t="str">
        <f t="shared" si="64"/>
        <v>--</v>
      </c>
      <c r="H57" s="467">
        <f t="shared" si="65"/>
        <v>5360.1340033500837</v>
      </c>
      <c r="I57" s="461" t="str">
        <f t="shared" si="75"/>
        <v>--</v>
      </c>
      <c r="J57" s="466" t="str">
        <f t="shared" si="76"/>
        <v>--</v>
      </c>
      <c r="K57" s="464">
        <f t="shared" si="77"/>
        <v>2.44934108571</v>
      </c>
      <c r="L57" s="465">
        <f t="shared" si="78"/>
        <v>2.44934108571</v>
      </c>
      <c r="M57" s="466">
        <f t="shared" si="79"/>
        <v>24009.853925283485</v>
      </c>
      <c r="N57" s="461">
        <f t="shared" si="80"/>
        <v>100</v>
      </c>
      <c r="O57" s="462">
        <f t="shared" si="81"/>
        <v>500</v>
      </c>
      <c r="P57" s="467">
        <f t="shared" si="82"/>
        <v>500</v>
      </c>
      <c r="Q57" s="468">
        <f t="shared" si="66"/>
        <v>2.44934108571</v>
      </c>
      <c r="R57" s="469" t="str">
        <f t="shared" si="28"/>
        <v>Leaching</v>
      </c>
    </row>
    <row r="58" spans="1:18" s="448" customFormat="1" ht="30" customHeight="1">
      <c r="A58" s="893" t="s">
        <v>185</v>
      </c>
      <c r="B58" s="611" t="s">
        <v>186</v>
      </c>
      <c r="C58" s="612" t="str">
        <f t="shared" si="60"/>
        <v>--</v>
      </c>
      <c r="D58" s="467">
        <f t="shared" si="61"/>
        <v>126.42735911142927</v>
      </c>
      <c r="E58" s="612" t="str">
        <f t="shared" si="62"/>
        <v>--</v>
      </c>
      <c r="F58" s="467">
        <f t="shared" si="63"/>
        <v>1641.3254264916673</v>
      </c>
      <c r="G58" s="466" t="str">
        <f t="shared" si="64"/>
        <v>--</v>
      </c>
      <c r="H58" s="467">
        <f t="shared" si="65"/>
        <v>536.01340033500833</v>
      </c>
      <c r="I58" s="461" t="str">
        <f t="shared" si="75"/>
        <v>--</v>
      </c>
      <c r="J58" s="466" t="str">
        <f t="shared" si="76"/>
        <v>--</v>
      </c>
      <c r="K58" s="464">
        <f t="shared" si="77"/>
        <v>0.30597333520800002</v>
      </c>
      <c r="L58" s="465">
        <f t="shared" si="78"/>
        <v>0.30597333520800002</v>
      </c>
      <c r="M58" s="466">
        <f t="shared" si="79"/>
        <v>7992.7938570156903</v>
      </c>
      <c r="N58" s="461">
        <f t="shared" si="80"/>
        <v>500</v>
      </c>
      <c r="O58" s="462">
        <f t="shared" si="81"/>
        <v>1000</v>
      </c>
      <c r="P58" s="467">
        <f t="shared" si="82"/>
        <v>1000</v>
      </c>
      <c r="Q58" s="468">
        <f t="shared" si="66"/>
        <v>0.30597333520800002</v>
      </c>
      <c r="R58" s="469" t="str">
        <f t="shared" si="28"/>
        <v>Leaching</v>
      </c>
    </row>
    <row r="59" spans="1:18" s="448" customFormat="1" ht="30" customHeight="1">
      <c r="A59" s="893" t="s">
        <v>187</v>
      </c>
      <c r="B59" s="611" t="s">
        <v>188</v>
      </c>
      <c r="C59" s="612">
        <f t="shared" si="60"/>
        <v>1.7425657710563367</v>
      </c>
      <c r="D59" s="467">
        <f t="shared" si="61"/>
        <v>125.94426569432326</v>
      </c>
      <c r="E59" s="612">
        <f t="shared" si="62"/>
        <v>7.3683224578167819</v>
      </c>
      <c r="F59" s="467">
        <f t="shared" si="63"/>
        <v>1631.621267177424</v>
      </c>
      <c r="G59" s="466">
        <f t="shared" si="64"/>
        <v>59.238890621143206</v>
      </c>
      <c r="H59" s="467">
        <f t="shared" si="65"/>
        <v>533.42321149088582</v>
      </c>
      <c r="I59" s="461" t="str">
        <f t="shared" si="75"/>
        <v>--</v>
      </c>
      <c r="J59" s="466" t="str">
        <f t="shared" si="76"/>
        <v>--</v>
      </c>
      <c r="K59" s="464">
        <f t="shared" si="77"/>
        <v>2.2691728526458031E-2</v>
      </c>
      <c r="L59" s="465">
        <f t="shared" si="78"/>
        <v>0.16243488980260004</v>
      </c>
      <c r="M59" s="466">
        <f t="shared" si="79"/>
        <v>710.72008358660287</v>
      </c>
      <c r="N59" s="461">
        <f t="shared" si="80"/>
        <v>500</v>
      </c>
      <c r="O59" s="462">
        <f t="shared" si="81"/>
        <v>1000</v>
      </c>
      <c r="P59" s="467">
        <f t="shared" si="82"/>
        <v>1000</v>
      </c>
      <c r="Q59" s="468">
        <f t="shared" si="66"/>
        <v>2.2691728526458031E-2</v>
      </c>
      <c r="R59" s="469" t="str">
        <f t="shared" si="28"/>
        <v>Leaching</v>
      </c>
    </row>
    <row r="60" spans="1:18" s="448" customFormat="1" ht="30" customHeight="1">
      <c r="A60" s="893" t="s">
        <v>189</v>
      </c>
      <c r="B60" s="611" t="s">
        <v>190</v>
      </c>
      <c r="C60" s="612">
        <f t="shared" si="60"/>
        <v>5.2979209804336538</v>
      </c>
      <c r="D60" s="467">
        <f t="shared" si="61"/>
        <v>811.42867665523727</v>
      </c>
      <c r="E60" s="612">
        <f t="shared" si="62"/>
        <v>24.352056642713794</v>
      </c>
      <c r="F60" s="467">
        <f t="shared" si="63"/>
        <v>4458.3935741065661</v>
      </c>
      <c r="G60" s="466">
        <f t="shared" si="64"/>
        <v>169.23934331389026</v>
      </c>
      <c r="H60" s="467">
        <f t="shared" si="65"/>
        <v>1033.0018361459295</v>
      </c>
      <c r="I60" s="461">
        <f t="shared" si="75"/>
        <v>1.8</v>
      </c>
      <c r="J60" s="466">
        <f t="shared" si="76"/>
        <v>1.8</v>
      </c>
      <c r="K60" s="464">
        <f t="shared" si="77"/>
        <v>2.1432179157630622E-4</v>
      </c>
      <c r="L60" s="465">
        <f t="shared" si="78"/>
        <v>1.3359560761975604</v>
      </c>
      <c r="M60" s="466">
        <f t="shared" si="79"/>
        <v>115835.14960119633</v>
      </c>
      <c r="N60" s="461">
        <f t="shared" si="80"/>
        <v>500</v>
      </c>
      <c r="O60" s="462">
        <f t="shared" si="81"/>
        <v>1000</v>
      </c>
      <c r="P60" s="467">
        <f t="shared" si="82"/>
        <v>1000</v>
      </c>
      <c r="Q60" s="468">
        <f t="shared" si="66"/>
        <v>2.1432179157630622E-4</v>
      </c>
      <c r="R60" s="469" t="str">
        <f t="shared" si="28"/>
        <v>Leaching</v>
      </c>
    </row>
    <row r="61" spans="1:18" s="448" customFormat="1" ht="30" customHeight="1">
      <c r="A61" s="893" t="s">
        <v>191</v>
      </c>
      <c r="B61" s="611" t="s">
        <v>192</v>
      </c>
      <c r="C61" s="612">
        <f t="shared" si="60"/>
        <v>4.7692840206178896E-6</v>
      </c>
      <c r="D61" s="467">
        <f t="shared" si="61"/>
        <v>5.1079440230529036E-5</v>
      </c>
      <c r="E61" s="612">
        <f t="shared" si="62"/>
        <v>2.1546958472457743E-5</v>
      </c>
      <c r="F61" s="467">
        <f t="shared" si="63"/>
        <v>7.239237546970836E-4</v>
      </c>
      <c r="G61" s="466">
        <f t="shared" si="64"/>
        <v>1.6246993395237368E-4</v>
      </c>
      <c r="H61" s="467">
        <f t="shared" si="65"/>
        <v>2.2507223433707797E-4</v>
      </c>
      <c r="I61" s="461">
        <f t="shared" si="75"/>
        <v>1.2999999999999999E-5</v>
      </c>
      <c r="J61" s="466">
        <f t="shared" si="76"/>
        <v>9.8999999999999994E-5</v>
      </c>
      <c r="K61" s="464">
        <f t="shared" si="77"/>
        <v>0.29894007739500256</v>
      </c>
      <c r="L61" s="465">
        <f t="shared" si="78"/>
        <v>0.29894007739500256</v>
      </c>
      <c r="M61" s="466">
        <f t="shared" si="79"/>
        <v>0.29894007739500256</v>
      </c>
      <c r="N61" s="461">
        <f t="shared" si="80"/>
        <v>500</v>
      </c>
      <c r="O61" s="462">
        <f t="shared" si="81"/>
        <v>1000</v>
      </c>
      <c r="P61" s="467">
        <f t="shared" si="82"/>
        <v>1000</v>
      </c>
      <c r="Q61" s="468">
        <f t="shared" si="66"/>
        <v>4.7692840206178896E-6</v>
      </c>
      <c r="R61" s="469" t="str">
        <f t="shared" si="28"/>
        <v>Canc-Risk</v>
      </c>
    </row>
    <row r="62" spans="1:18" s="448" customFormat="1" ht="30" customHeight="1">
      <c r="A62" s="893" t="s">
        <v>193</v>
      </c>
      <c r="B62" s="611" t="s">
        <v>194</v>
      </c>
      <c r="C62" s="612" t="str">
        <f t="shared" si="60"/>
        <v>--</v>
      </c>
      <c r="D62" s="467">
        <f t="shared" si="61"/>
        <v>469.28571428571428</v>
      </c>
      <c r="E62" s="612" t="str">
        <f t="shared" si="62"/>
        <v>--</v>
      </c>
      <c r="F62" s="467">
        <f t="shared" si="63"/>
        <v>7008.0000000000009</v>
      </c>
      <c r="G62" s="466" t="str">
        <f t="shared" si="64"/>
        <v>--</v>
      </c>
      <c r="H62" s="467">
        <f t="shared" si="65"/>
        <v>2123.6363636363635</v>
      </c>
      <c r="I62" s="461">
        <f t="shared" si="75"/>
        <v>2.3E-2</v>
      </c>
      <c r="J62" s="466">
        <f t="shared" si="76"/>
        <v>0.38</v>
      </c>
      <c r="K62" s="464">
        <f t="shared" si="77"/>
        <v>9.7677462584999999E-3</v>
      </c>
      <c r="L62" s="465">
        <f t="shared" si="78"/>
        <v>9.7677462584999999E-3</v>
      </c>
      <c r="M62" s="466">
        <f t="shared" si="79"/>
        <v>13.21661349694277</v>
      </c>
      <c r="N62" s="461">
        <f t="shared" si="80"/>
        <v>500</v>
      </c>
      <c r="O62" s="462">
        <f t="shared" si="81"/>
        <v>1000</v>
      </c>
      <c r="P62" s="467">
        <f t="shared" si="82"/>
        <v>1000</v>
      </c>
      <c r="Q62" s="468">
        <f t="shared" si="66"/>
        <v>9.7677462584999999E-3</v>
      </c>
      <c r="R62" s="469" t="str">
        <f t="shared" si="28"/>
        <v>Leaching</v>
      </c>
    </row>
    <row r="63" spans="1:18" s="448" customFormat="1" ht="30" customHeight="1">
      <c r="A63" s="893" t="s">
        <v>195</v>
      </c>
      <c r="B63" s="611" t="s">
        <v>196</v>
      </c>
      <c r="C63" s="612" t="str">
        <f t="shared" si="60"/>
        <v>--</v>
      </c>
      <c r="D63" s="467">
        <f t="shared" si="61"/>
        <v>18.964103866714392</v>
      </c>
      <c r="E63" s="612" t="str">
        <f t="shared" si="62"/>
        <v>--</v>
      </c>
      <c r="F63" s="467">
        <f t="shared" si="63"/>
        <v>246.19881397375005</v>
      </c>
      <c r="G63" s="466" t="str">
        <f t="shared" si="64"/>
        <v>--</v>
      </c>
      <c r="H63" s="467">
        <f t="shared" si="65"/>
        <v>80.402010050251249</v>
      </c>
      <c r="I63" s="461">
        <f t="shared" si="75"/>
        <v>1.1000000000000001E-3</v>
      </c>
      <c r="J63" s="466">
        <f t="shared" si="76"/>
        <v>1.1000000000000001E-3</v>
      </c>
      <c r="K63" s="464">
        <f t="shared" si="77"/>
        <v>6.6699589530400004E-3</v>
      </c>
      <c r="L63" s="465">
        <f t="shared" si="78"/>
        <v>6.6699589530400004E-3</v>
      </c>
      <c r="M63" s="466">
        <f t="shared" si="79"/>
        <v>30.160012305805399</v>
      </c>
      <c r="N63" s="461">
        <f t="shared" si="80"/>
        <v>500</v>
      </c>
      <c r="O63" s="462">
        <f t="shared" si="81"/>
        <v>1000</v>
      </c>
      <c r="P63" s="467">
        <f t="shared" si="82"/>
        <v>1000</v>
      </c>
      <c r="Q63" s="468">
        <f t="shared" si="66"/>
        <v>1.1000000000000001E-3</v>
      </c>
      <c r="R63" s="469" t="str">
        <f t="shared" si="28"/>
        <v>Terr Habitat</v>
      </c>
    </row>
    <row r="64" spans="1:18" s="448" customFormat="1" ht="30" customHeight="1">
      <c r="A64" s="893" t="s">
        <v>197</v>
      </c>
      <c r="B64" s="611" t="s">
        <v>198</v>
      </c>
      <c r="C64" s="612">
        <f t="shared" si="60"/>
        <v>5.7830690438689025</v>
      </c>
      <c r="D64" s="467">
        <f t="shared" si="61"/>
        <v>2353.5571596521831</v>
      </c>
      <c r="E64" s="612">
        <f t="shared" si="62"/>
        <v>24.974336453276511</v>
      </c>
      <c r="F64" s="467">
        <f t="shared" si="63"/>
        <v>17181.480900585193</v>
      </c>
      <c r="G64" s="466">
        <f t="shared" si="64"/>
        <v>143.9502195321173</v>
      </c>
      <c r="H64" s="467">
        <f t="shared" si="65"/>
        <v>4191.3426876374842</v>
      </c>
      <c r="I64" s="461">
        <f t="shared" si="75"/>
        <v>90</v>
      </c>
      <c r="J64" s="466">
        <f t="shared" si="76"/>
        <v>430</v>
      </c>
      <c r="K64" s="464">
        <f t="shared" si="77"/>
        <v>0.42866386290667685</v>
      </c>
      <c r="L64" s="465">
        <f t="shared" si="78"/>
        <v>0.42866386290667685</v>
      </c>
      <c r="M64" s="466">
        <f t="shared" si="79"/>
        <v>479.55224727214767</v>
      </c>
      <c r="N64" s="461">
        <f t="shared" si="80"/>
        <v>500</v>
      </c>
      <c r="O64" s="462">
        <f t="shared" si="81"/>
        <v>1000</v>
      </c>
      <c r="P64" s="467">
        <f t="shared" si="82"/>
        <v>1000</v>
      </c>
      <c r="Q64" s="468">
        <f t="shared" si="66"/>
        <v>0.42866386290667685</v>
      </c>
      <c r="R64" s="469" t="str">
        <f t="shared" si="28"/>
        <v>Leaching</v>
      </c>
    </row>
    <row r="65" spans="1:18" s="448" customFormat="1" ht="30" customHeight="1">
      <c r="A65" s="893" t="s">
        <v>199</v>
      </c>
      <c r="B65" s="611" t="s">
        <v>200</v>
      </c>
      <c r="C65" s="612">
        <f t="shared" si="60"/>
        <v>0.13442642614676834</v>
      </c>
      <c r="D65" s="467">
        <f t="shared" si="61"/>
        <v>7.8214285714285712</v>
      </c>
      <c r="E65" s="612">
        <f t="shared" si="62"/>
        <v>0.62437313395438043</v>
      </c>
      <c r="F65" s="467">
        <f t="shared" si="63"/>
        <v>116.8</v>
      </c>
      <c r="G65" s="466">
        <f t="shared" si="64"/>
        <v>4.4324421803305647</v>
      </c>
      <c r="H65" s="467">
        <f t="shared" si="65"/>
        <v>35.393939393939391</v>
      </c>
      <c r="I65" s="461">
        <f t="shared" si="75"/>
        <v>0.25</v>
      </c>
      <c r="J65" s="466">
        <f t="shared" si="76"/>
        <v>0.5</v>
      </c>
      <c r="K65" s="464">
        <f t="shared" si="77"/>
        <v>44.5792095743532</v>
      </c>
      <c r="L65" s="465">
        <f t="shared" si="78"/>
        <v>44.5792095743532</v>
      </c>
      <c r="M65" s="466">
        <f t="shared" si="79"/>
        <v>44.5792095743532</v>
      </c>
      <c r="N65" s="461">
        <f t="shared" si="80"/>
        <v>1000</v>
      </c>
      <c r="O65" s="462">
        <f t="shared" si="81"/>
        <v>2500</v>
      </c>
      <c r="P65" s="467">
        <f t="shared" si="82"/>
        <v>2500</v>
      </c>
      <c r="Q65" s="468">
        <f t="shared" si="66"/>
        <v>0.13442642614676834</v>
      </c>
      <c r="R65" s="469" t="str">
        <f t="shared" si="28"/>
        <v>Canc-Risk</v>
      </c>
    </row>
    <row r="66" spans="1:18" s="448" customFormat="1" ht="30" customHeight="1">
      <c r="A66" s="893" t="s">
        <v>201</v>
      </c>
      <c r="B66" s="611" t="s">
        <v>202</v>
      </c>
      <c r="C66" s="612">
        <f t="shared" si="60"/>
        <v>7.048121201676584E-2</v>
      </c>
      <c r="D66" s="467">
        <f t="shared" si="61"/>
        <v>1.0167857142857144</v>
      </c>
      <c r="E66" s="612">
        <f t="shared" si="62"/>
        <v>0.3290395362982575</v>
      </c>
      <c r="F66" s="467">
        <f t="shared" si="63"/>
        <v>15.183999999999999</v>
      </c>
      <c r="G66" s="466">
        <f t="shared" si="64"/>
        <v>2.3765036031797138</v>
      </c>
      <c r="H66" s="467">
        <f t="shared" si="65"/>
        <v>4.6012121212121206</v>
      </c>
      <c r="I66" s="461" t="str">
        <f t="shared" si="75"/>
        <v>--</v>
      </c>
      <c r="J66" s="466" t="str">
        <f t="shared" si="76"/>
        <v>--</v>
      </c>
      <c r="K66" s="464">
        <f t="shared" si="77"/>
        <v>3.3567806940000001E-5</v>
      </c>
      <c r="L66" s="465">
        <f t="shared" si="78"/>
        <v>3.3567806940000001E-5</v>
      </c>
      <c r="M66" s="466">
        <f t="shared" si="79"/>
        <v>12.152032505901049</v>
      </c>
      <c r="N66" s="461">
        <f t="shared" si="80"/>
        <v>1000</v>
      </c>
      <c r="O66" s="462">
        <f t="shared" si="81"/>
        <v>2500</v>
      </c>
      <c r="P66" s="467">
        <f t="shared" si="82"/>
        <v>2500</v>
      </c>
      <c r="Q66" s="468">
        <f t="shared" si="66"/>
        <v>3.3567806940000001E-5</v>
      </c>
      <c r="R66" s="469" t="str">
        <f t="shared" si="28"/>
        <v>Leaching</v>
      </c>
    </row>
    <row r="67" spans="1:18" s="448" customFormat="1" ht="30" customHeight="1">
      <c r="A67" s="893" t="s">
        <v>203</v>
      </c>
      <c r="B67" s="611" t="s">
        <v>204</v>
      </c>
      <c r="C67" s="612">
        <f t="shared" si="60"/>
        <v>0.19007108124524141</v>
      </c>
      <c r="D67" s="467">
        <f t="shared" si="61"/>
        <v>0.78214285714285725</v>
      </c>
      <c r="E67" s="612">
        <f t="shared" si="62"/>
        <v>0.85159903447870477</v>
      </c>
      <c r="F67" s="467">
        <f t="shared" si="63"/>
        <v>11.680000000000003</v>
      </c>
      <c r="G67" s="466">
        <f t="shared" si="64"/>
        <v>5.4139006429182341</v>
      </c>
      <c r="H67" s="467">
        <f t="shared" si="65"/>
        <v>3.53939393939394</v>
      </c>
      <c r="I67" s="461">
        <f t="shared" si="75"/>
        <v>130</v>
      </c>
      <c r="J67" s="466">
        <f t="shared" si="76"/>
        <v>250</v>
      </c>
      <c r="K67" s="464">
        <f t="shared" si="77"/>
        <v>8.2074830099999996E-5</v>
      </c>
      <c r="L67" s="465">
        <f t="shared" si="78"/>
        <v>8.2074830099999996E-5</v>
      </c>
      <c r="M67" s="466">
        <f t="shared" si="79"/>
        <v>0.23115557433262882</v>
      </c>
      <c r="N67" s="461">
        <f t="shared" si="80"/>
        <v>500</v>
      </c>
      <c r="O67" s="462">
        <f t="shared" si="81"/>
        <v>1000</v>
      </c>
      <c r="P67" s="467">
        <f t="shared" si="82"/>
        <v>1000</v>
      </c>
      <c r="Q67" s="468">
        <f t="shared" si="66"/>
        <v>8.2074830099999996E-5</v>
      </c>
      <c r="R67" s="469" t="str">
        <f t="shared" si="28"/>
        <v>Leaching</v>
      </c>
    </row>
    <row r="68" spans="1:18" s="448" customFormat="1" ht="30" customHeight="1">
      <c r="A68" s="893" t="s">
        <v>205</v>
      </c>
      <c r="B68" s="611" t="s">
        <v>206</v>
      </c>
      <c r="C68" s="612">
        <f t="shared" si="60"/>
        <v>1.192768743795942</v>
      </c>
      <c r="D68" s="467">
        <f t="shared" si="61"/>
        <v>78.214285714285708</v>
      </c>
      <c r="E68" s="612">
        <f t="shared" si="62"/>
        <v>5.1707413585609912</v>
      </c>
      <c r="F68" s="467">
        <f t="shared" si="63"/>
        <v>1168</v>
      </c>
      <c r="G68" s="466">
        <f t="shared" si="64"/>
        <v>30.083646636312903</v>
      </c>
      <c r="H68" s="467">
        <f t="shared" si="65"/>
        <v>353.93939393939394</v>
      </c>
      <c r="I68" s="461" t="str">
        <f t="shared" si="75"/>
        <v>--</v>
      </c>
      <c r="J68" s="466" t="str">
        <f t="shared" si="76"/>
        <v>--</v>
      </c>
      <c r="K68" s="464">
        <f t="shared" si="77"/>
        <v>2.0423529999999998E-3</v>
      </c>
      <c r="L68" s="465">
        <f t="shared" si="78"/>
        <v>2.0423529999999998E-3</v>
      </c>
      <c r="M68" s="466">
        <f t="shared" si="79"/>
        <v>16.802933928220632</v>
      </c>
      <c r="N68" s="461">
        <f t="shared" si="80"/>
        <v>500</v>
      </c>
      <c r="O68" s="462">
        <f t="shared" si="81"/>
        <v>1000</v>
      </c>
      <c r="P68" s="467">
        <f t="shared" si="82"/>
        <v>1000</v>
      </c>
      <c r="Q68" s="468">
        <f t="shared" si="66"/>
        <v>2.0423529999999998E-3</v>
      </c>
      <c r="R68" s="469" t="str">
        <f t="shared" si="28"/>
        <v>Leaching</v>
      </c>
    </row>
    <row r="69" spans="1:18" s="448" customFormat="1" ht="30" customHeight="1">
      <c r="A69" s="2111" t="s">
        <v>4280</v>
      </c>
      <c r="B69" s="611" t="s">
        <v>208</v>
      </c>
      <c r="C69" s="612">
        <f t="shared" si="60"/>
        <v>0.56807779525574476</v>
      </c>
      <c r="D69" s="467">
        <f t="shared" si="61"/>
        <v>5.7147032268502325E-2</v>
      </c>
      <c r="E69" s="612">
        <f t="shared" si="62"/>
        <v>2.5425131136289387</v>
      </c>
      <c r="F69" s="467">
        <f t="shared" si="63"/>
        <v>0.79911331262571672</v>
      </c>
      <c r="G69" s="466">
        <f t="shared" si="64"/>
        <v>19.586544908198761</v>
      </c>
      <c r="H69" s="467">
        <f t="shared" si="65"/>
        <v>0.25096421396418173</v>
      </c>
      <c r="I69" s="461">
        <f t="shared" si="75"/>
        <v>7.4</v>
      </c>
      <c r="J69" s="466">
        <f t="shared" si="76"/>
        <v>15</v>
      </c>
      <c r="K69" s="464">
        <f t="shared" si="77"/>
        <v>1.86397561592E-3</v>
      </c>
      <c r="L69" s="465">
        <f t="shared" si="78"/>
        <v>1.86397561592E-3</v>
      </c>
      <c r="M69" s="466">
        <f t="shared" si="79"/>
        <v>123.67689040152833</v>
      </c>
      <c r="N69" s="461">
        <f t="shared" si="80"/>
        <v>500</v>
      </c>
      <c r="O69" s="462">
        <f t="shared" si="81"/>
        <v>1000</v>
      </c>
      <c r="P69" s="467">
        <f t="shared" si="82"/>
        <v>1000</v>
      </c>
      <c r="Q69" s="468">
        <f t="shared" si="66"/>
        <v>1.86397561592E-3</v>
      </c>
      <c r="R69" s="469" t="str">
        <f t="shared" si="28"/>
        <v>Leaching</v>
      </c>
    </row>
    <row r="70" spans="1:18" s="448" customFormat="1" ht="30" customHeight="1">
      <c r="A70" s="893" t="s">
        <v>209</v>
      </c>
      <c r="B70" s="611" t="s">
        <v>210</v>
      </c>
      <c r="C70" s="612">
        <f t="shared" si="60"/>
        <v>1.8288729212574506</v>
      </c>
      <c r="D70" s="467">
        <f t="shared" si="61"/>
        <v>44.930905980089442</v>
      </c>
      <c r="E70" s="612">
        <f t="shared" si="62"/>
        <v>7.9078250019153149</v>
      </c>
      <c r="F70" s="467">
        <f t="shared" si="63"/>
        <v>456.14545798443783</v>
      </c>
      <c r="G70" s="466">
        <f t="shared" si="64"/>
        <v>45.711181593673729</v>
      </c>
      <c r="H70" s="467">
        <f t="shared" si="65"/>
        <v>119.98745817906864</v>
      </c>
      <c r="I70" s="461" t="str">
        <f t="shared" si="75"/>
        <v>--</v>
      </c>
      <c r="J70" s="466" t="str">
        <f t="shared" si="76"/>
        <v>--</v>
      </c>
      <c r="K70" s="464">
        <f t="shared" si="77"/>
        <v>5.6814030000000007E-3</v>
      </c>
      <c r="L70" s="465">
        <f t="shared" si="78"/>
        <v>5.6814030000000007E-3</v>
      </c>
      <c r="M70" s="466">
        <f t="shared" si="79"/>
        <v>65.545332798510728</v>
      </c>
      <c r="N70" s="461">
        <f t="shared" si="80"/>
        <v>500</v>
      </c>
      <c r="O70" s="462">
        <f t="shared" si="81"/>
        <v>1000</v>
      </c>
      <c r="P70" s="467">
        <f t="shared" si="82"/>
        <v>1000</v>
      </c>
      <c r="Q70" s="468">
        <f t="shared" si="66"/>
        <v>5.6814030000000007E-3</v>
      </c>
      <c r="R70" s="469" t="str">
        <f t="shared" si="28"/>
        <v>Leaching</v>
      </c>
    </row>
    <row r="71" spans="1:18" s="448" customFormat="1" ht="30" customHeight="1">
      <c r="A71" s="893" t="s">
        <v>211</v>
      </c>
      <c r="B71" s="611" t="s">
        <v>212</v>
      </c>
      <c r="C71" s="612" t="str">
        <f t="shared" si="60"/>
        <v>--</v>
      </c>
      <c r="D71" s="467">
        <f t="shared" si="61"/>
        <v>80</v>
      </c>
      <c r="E71" s="612" t="str">
        <f t="shared" si="62"/>
        <v>--</v>
      </c>
      <c r="F71" s="467">
        <f t="shared" si="63"/>
        <v>499</v>
      </c>
      <c r="G71" s="466" t="str">
        <f t="shared" si="64"/>
        <v>--</v>
      </c>
      <c r="H71" s="467">
        <f t="shared" si="65"/>
        <v>151</v>
      </c>
      <c r="I71" s="461">
        <f t="shared" si="75"/>
        <v>32</v>
      </c>
      <c r="J71" s="466">
        <f t="shared" si="76"/>
        <v>32</v>
      </c>
      <c r="K71" s="464" t="str">
        <f t="shared" si="77"/>
        <v>--</v>
      </c>
      <c r="L71" s="465" t="str">
        <f t="shared" si="78"/>
        <v>--</v>
      </c>
      <c r="M71" s="466" t="str">
        <f t="shared" si="79"/>
        <v>--</v>
      </c>
      <c r="N71" s="461" t="str">
        <f t="shared" si="80"/>
        <v>--</v>
      </c>
      <c r="O71" s="462" t="str">
        <f t="shared" si="81"/>
        <v>--</v>
      </c>
      <c r="P71" s="467" t="str">
        <f t="shared" si="82"/>
        <v>--</v>
      </c>
      <c r="Q71" s="468">
        <f t="shared" si="66"/>
        <v>32</v>
      </c>
      <c r="R71" s="469" t="str">
        <f t="shared" si="28"/>
        <v>Terr Habitat</v>
      </c>
    </row>
    <row r="72" spans="1:18" s="448" customFormat="1" ht="30" customHeight="1">
      <c r="A72" s="893" t="s">
        <v>213</v>
      </c>
      <c r="B72" s="611" t="s">
        <v>214</v>
      </c>
      <c r="C72" s="612" t="str">
        <f t="shared" si="60"/>
        <v>--</v>
      </c>
      <c r="D72" s="467">
        <f t="shared" si="61"/>
        <v>0.67343406898547586</v>
      </c>
      <c r="E72" s="612" t="str">
        <f t="shared" si="62"/>
        <v>--</v>
      </c>
      <c r="F72" s="467">
        <f t="shared" si="63"/>
        <v>2.8859704305571778</v>
      </c>
      <c r="G72" s="466" t="str">
        <f t="shared" si="64"/>
        <v>--</v>
      </c>
      <c r="H72" s="467">
        <f t="shared" si="65"/>
        <v>0.65137049501684874</v>
      </c>
      <c r="I72" s="461">
        <f t="shared" si="75"/>
        <v>15</v>
      </c>
      <c r="J72" s="466">
        <f t="shared" si="76"/>
        <v>20</v>
      </c>
      <c r="K72" s="464" t="str">
        <f t="shared" si="77"/>
        <v>--</v>
      </c>
      <c r="L72" s="465" t="str">
        <f t="shared" si="78"/>
        <v>--</v>
      </c>
      <c r="M72" s="466">
        <f t="shared" si="79"/>
        <v>3.1299981886792456</v>
      </c>
      <c r="N72" s="461">
        <f t="shared" si="80"/>
        <v>500</v>
      </c>
      <c r="O72" s="462">
        <f t="shared" si="81"/>
        <v>1000</v>
      </c>
      <c r="P72" s="467">
        <f t="shared" si="82"/>
        <v>1000</v>
      </c>
      <c r="Q72" s="468">
        <f t="shared" si="66"/>
        <v>0.65137049501684874</v>
      </c>
      <c r="R72" s="469" t="str">
        <f t="shared" ref="R72:R100" si="83">IF(Q72="--", "--", IF(Q72=I72,"Terr Habitat", IF(Q72=K72, "Leaching", IF(Q72=M72, "Gross Contam", IF(Q72=N72, "Odor/Nuis", IF(OR(Q72=C72, Q72=G72), "Canc-Risk", IF(OR(Q72=D72, Q72=H72), "NC-Hazard","--")))))))</f>
        <v>NC-Hazard</v>
      </c>
    </row>
    <row r="73" spans="1:18" s="448" customFormat="1" ht="30" customHeight="1">
      <c r="A73" s="893" t="s">
        <v>215</v>
      </c>
      <c r="B73" s="611" t="s">
        <v>216</v>
      </c>
      <c r="C73" s="612" t="str">
        <f t="shared" si="60"/>
        <v>--</v>
      </c>
      <c r="D73" s="467">
        <f t="shared" si="61"/>
        <v>316.06839777857317</v>
      </c>
      <c r="E73" s="612" t="str">
        <f t="shared" si="62"/>
        <v>--</v>
      </c>
      <c r="F73" s="467">
        <f t="shared" si="63"/>
        <v>4103.313566229167</v>
      </c>
      <c r="G73" s="466" t="str">
        <f t="shared" si="64"/>
        <v>--</v>
      </c>
      <c r="H73" s="467">
        <f t="shared" si="65"/>
        <v>1340.0335008375209</v>
      </c>
      <c r="I73" s="461">
        <f t="shared" si="75"/>
        <v>0.13</v>
      </c>
      <c r="J73" s="466">
        <f t="shared" si="76"/>
        <v>4100</v>
      </c>
      <c r="K73" s="464">
        <f t="shared" si="77"/>
        <v>1.3391223780063001E-2</v>
      </c>
      <c r="L73" s="465">
        <f t="shared" si="78"/>
        <v>1.3391223780063001E-2</v>
      </c>
      <c r="M73" s="466">
        <f t="shared" si="79"/>
        <v>16.144000157111854</v>
      </c>
      <c r="N73" s="461">
        <f t="shared" si="80"/>
        <v>500</v>
      </c>
      <c r="O73" s="462">
        <f t="shared" si="81"/>
        <v>1000</v>
      </c>
      <c r="P73" s="467">
        <f t="shared" si="82"/>
        <v>1000</v>
      </c>
      <c r="Q73" s="468">
        <f t="shared" si="66"/>
        <v>1.3391223780063001E-2</v>
      </c>
      <c r="R73" s="469" t="str">
        <f t="shared" si="83"/>
        <v>Leaching</v>
      </c>
    </row>
    <row r="74" spans="1:18" s="448" customFormat="1" ht="30" customHeight="1">
      <c r="A74" s="893" t="s">
        <v>217</v>
      </c>
      <c r="B74" s="611" t="s">
        <v>218</v>
      </c>
      <c r="C74" s="612">
        <f t="shared" si="60"/>
        <v>2.1598273885543602</v>
      </c>
      <c r="D74" s="467">
        <f t="shared" si="61"/>
        <v>310.12524975077446</v>
      </c>
      <c r="E74" s="612">
        <f t="shared" si="62"/>
        <v>25.943251029166181</v>
      </c>
      <c r="F74" s="467">
        <f t="shared" si="63"/>
        <v>2449.5818854790441</v>
      </c>
      <c r="G74" s="466">
        <f t="shared" si="64"/>
        <v>147.02729805166965</v>
      </c>
      <c r="H74" s="467">
        <f t="shared" si="65"/>
        <v>607.15758987773302</v>
      </c>
      <c r="I74" s="461">
        <f t="shared" si="75"/>
        <v>0.98</v>
      </c>
      <c r="J74" s="466">
        <f t="shared" si="76"/>
        <v>2</v>
      </c>
      <c r="K74" s="464">
        <f t="shared" si="77"/>
        <v>0.11889965000000001</v>
      </c>
      <c r="L74" s="465">
        <f t="shared" si="78"/>
        <v>0.18145712568118993</v>
      </c>
      <c r="M74" s="466">
        <f t="shared" si="79"/>
        <v>3321.9338855376891</v>
      </c>
      <c r="N74" s="461">
        <f t="shared" si="80"/>
        <v>500</v>
      </c>
      <c r="O74" s="462">
        <f t="shared" si="81"/>
        <v>1000</v>
      </c>
      <c r="P74" s="467">
        <f t="shared" si="82"/>
        <v>1000</v>
      </c>
      <c r="Q74" s="468">
        <f t="shared" si="66"/>
        <v>0.11889965000000001</v>
      </c>
      <c r="R74" s="469" t="str">
        <f t="shared" si="83"/>
        <v>Leaching</v>
      </c>
    </row>
    <row r="75" spans="1:18" s="448" customFormat="1" ht="30" customHeight="1">
      <c r="A75" s="893" t="s">
        <v>219</v>
      </c>
      <c r="B75" s="611" t="s">
        <v>220</v>
      </c>
      <c r="C75" s="612" t="str">
        <f t="shared" si="60"/>
        <v>--</v>
      </c>
      <c r="D75" s="467">
        <f t="shared" si="61"/>
        <v>27005.421525424645</v>
      </c>
      <c r="E75" s="612" t="str">
        <f t="shared" si="62"/>
        <v>--</v>
      </c>
      <c r="F75" s="467">
        <f t="shared" si="63"/>
        <v>190691.53846490011</v>
      </c>
      <c r="G75" s="466" t="str">
        <f t="shared" si="64"/>
        <v>--</v>
      </c>
      <c r="H75" s="467">
        <f t="shared" si="65"/>
        <v>46186.510983516986</v>
      </c>
      <c r="I75" s="461">
        <f t="shared" si="75"/>
        <v>44</v>
      </c>
      <c r="J75" s="466">
        <f t="shared" si="76"/>
        <v>88</v>
      </c>
      <c r="K75" s="464">
        <f t="shared" si="77"/>
        <v>6.1322447114800624</v>
      </c>
      <c r="L75" s="465">
        <f t="shared" si="78"/>
        <v>15.425736200000001</v>
      </c>
      <c r="M75" s="466">
        <f t="shared" si="79"/>
        <v>28432.584196814751</v>
      </c>
      <c r="N75" s="461">
        <f t="shared" si="80"/>
        <v>500</v>
      </c>
      <c r="O75" s="462">
        <f t="shared" si="81"/>
        <v>1000</v>
      </c>
      <c r="P75" s="467">
        <f t="shared" si="82"/>
        <v>1000</v>
      </c>
      <c r="Q75" s="468">
        <f t="shared" si="66"/>
        <v>6.1322447114800624</v>
      </c>
      <c r="R75" s="469" t="str">
        <f t="shared" si="83"/>
        <v>Leaching</v>
      </c>
    </row>
    <row r="76" spans="1:18" s="448" customFormat="1" ht="30" customHeight="1">
      <c r="A76" s="893" t="s">
        <v>221</v>
      </c>
      <c r="B76" s="611" t="s">
        <v>222</v>
      </c>
      <c r="C76" s="612" t="str">
        <f t="shared" si="60"/>
        <v>--</v>
      </c>
      <c r="D76" s="467">
        <f t="shared" si="61"/>
        <v>33077.188292159881</v>
      </c>
      <c r="E76" s="612" t="str">
        <f t="shared" si="62"/>
        <v>--</v>
      </c>
      <c r="F76" s="467">
        <f t="shared" si="63"/>
        <v>136226.3974765107</v>
      </c>
      <c r="G76" s="466" t="str">
        <f t="shared" si="64"/>
        <v>--</v>
      </c>
      <c r="H76" s="467">
        <f t="shared" si="65"/>
        <v>30702.27178327032</v>
      </c>
      <c r="I76" s="461" t="str">
        <f t="shared" si="75"/>
        <v>--</v>
      </c>
      <c r="J76" s="466" t="str">
        <f t="shared" si="76"/>
        <v>--</v>
      </c>
      <c r="K76" s="464">
        <f t="shared" si="77"/>
        <v>0.35377992000000003</v>
      </c>
      <c r="L76" s="465">
        <f t="shared" si="78"/>
        <v>0.50118821999999996</v>
      </c>
      <c r="M76" s="466">
        <f t="shared" si="79"/>
        <v>3356.6929696539487</v>
      </c>
      <c r="N76" s="461">
        <f t="shared" si="80"/>
        <v>100</v>
      </c>
      <c r="O76" s="462">
        <f t="shared" si="81"/>
        <v>500</v>
      </c>
      <c r="P76" s="467">
        <f t="shared" si="82"/>
        <v>500</v>
      </c>
      <c r="Q76" s="468">
        <f t="shared" si="66"/>
        <v>0.35377992000000003</v>
      </c>
      <c r="R76" s="469" t="str">
        <f t="shared" si="83"/>
        <v>Leaching</v>
      </c>
    </row>
    <row r="77" spans="1:18" s="448" customFormat="1" ht="30" customHeight="1">
      <c r="A77" s="893" t="s">
        <v>223</v>
      </c>
      <c r="B77" s="611" t="s">
        <v>224</v>
      </c>
      <c r="C77" s="612" t="str">
        <f t="shared" si="60"/>
        <v>--</v>
      </c>
      <c r="D77" s="467">
        <f t="shared" si="61"/>
        <v>7.8214285714285712</v>
      </c>
      <c r="E77" s="612" t="str">
        <f t="shared" si="62"/>
        <v>--</v>
      </c>
      <c r="F77" s="467">
        <f t="shared" si="63"/>
        <v>116.8</v>
      </c>
      <c r="G77" s="466" t="str">
        <f t="shared" si="64"/>
        <v>--</v>
      </c>
      <c r="H77" s="467">
        <f t="shared" si="65"/>
        <v>35.393939393939391</v>
      </c>
      <c r="I77" s="461">
        <f t="shared" si="75"/>
        <v>3.4000000000000002E-2</v>
      </c>
      <c r="J77" s="466">
        <f t="shared" si="76"/>
        <v>3.4000000000000002E-2</v>
      </c>
      <c r="K77" s="464" t="str">
        <f t="shared" si="77"/>
        <v>--</v>
      </c>
      <c r="L77" s="465" t="str">
        <f t="shared" si="78"/>
        <v>--</v>
      </c>
      <c r="M77" s="466" t="str">
        <f t="shared" si="79"/>
        <v>--</v>
      </c>
      <c r="N77" s="461">
        <f t="shared" si="80"/>
        <v>100</v>
      </c>
      <c r="O77" s="462">
        <f t="shared" si="81"/>
        <v>500</v>
      </c>
      <c r="P77" s="467">
        <f t="shared" si="82"/>
        <v>500</v>
      </c>
      <c r="Q77" s="468">
        <f t="shared" si="66"/>
        <v>3.4000000000000002E-2</v>
      </c>
      <c r="R77" s="469" t="str">
        <f t="shared" si="83"/>
        <v>Terr Habitat</v>
      </c>
    </row>
    <row r="78" spans="1:18" s="448" customFormat="1" ht="30" customHeight="1">
      <c r="A78" s="893" t="s">
        <v>225</v>
      </c>
      <c r="B78" s="611" t="s">
        <v>226</v>
      </c>
      <c r="C78" s="612" t="str">
        <f t="shared" si="60"/>
        <v>--</v>
      </c>
      <c r="D78" s="467">
        <f t="shared" si="61"/>
        <v>239.09784779183855</v>
      </c>
      <c r="E78" s="612" t="str">
        <f t="shared" si="62"/>
        <v>--</v>
      </c>
      <c r="F78" s="467">
        <f t="shared" si="63"/>
        <v>3013.7813408746674</v>
      </c>
      <c r="G78" s="466" t="str">
        <f t="shared" si="64"/>
        <v>--</v>
      </c>
      <c r="H78" s="467">
        <f t="shared" si="65"/>
        <v>999.24500537906931</v>
      </c>
      <c r="I78" s="461" t="str">
        <f t="shared" si="75"/>
        <v>--</v>
      </c>
      <c r="J78" s="466" t="str">
        <f t="shared" si="76"/>
        <v>--</v>
      </c>
      <c r="K78" s="464">
        <f t="shared" si="77"/>
        <v>0.8705827746</v>
      </c>
      <c r="L78" s="465">
        <f t="shared" si="78"/>
        <v>0.8705827746</v>
      </c>
      <c r="M78" s="466">
        <f t="shared" si="79"/>
        <v>368.31142290377824</v>
      </c>
      <c r="N78" s="461">
        <f t="shared" si="80"/>
        <v>500</v>
      </c>
      <c r="O78" s="462">
        <f t="shared" si="81"/>
        <v>1000</v>
      </c>
      <c r="P78" s="467">
        <f t="shared" si="82"/>
        <v>1000</v>
      </c>
      <c r="Q78" s="468">
        <f t="shared" si="66"/>
        <v>0.8705827746</v>
      </c>
      <c r="R78" s="469" t="str">
        <f t="shared" si="83"/>
        <v>Leaching</v>
      </c>
    </row>
    <row r="79" spans="1:18" s="448" customFormat="1" ht="30" customHeight="1">
      <c r="A79" s="893" t="s">
        <v>227</v>
      </c>
      <c r="B79" s="611" t="s">
        <v>228</v>
      </c>
      <c r="C79" s="612">
        <f t="shared" si="60"/>
        <v>46.554562773029197</v>
      </c>
      <c r="D79" s="467">
        <f t="shared" si="61"/>
        <v>15335.995095955135</v>
      </c>
      <c r="E79" s="612">
        <f t="shared" si="62"/>
        <v>201.5749713503472</v>
      </c>
      <c r="F79" s="467">
        <f t="shared" si="63"/>
        <v>63160.362241903415</v>
      </c>
      <c r="G79" s="466">
        <f t="shared" si="64"/>
        <v>1170.2668619182757</v>
      </c>
      <c r="H79" s="467">
        <f t="shared" si="65"/>
        <v>14251.833484143386</v>
      </c>
      <c r="I79" s="461">
        <f t="shared" si="75"/>
        <v>31</v>
      </c>
      <c r="J79" s="466">
        <f t="shared" si="76"/>
        <v>63</v>
      </c>
      <c r="K79" s="464">
        <f t="shared" si="77"/>
        <v>2.7812345000000002E-2</v>
      </c>
      <c r="L79" s="465">
        <f t="shared" si="78"/>
        <v>2.5030073175764684</v>
      </c>
      <c r="M79" s="466">
        <f t="shared" si="79"/>
        <v>8869.0574189666277</v>
      </c>
      <c r="N79" s="461">
        <f t="shared" si="80"/>
        <v>100</v>
      </c>
      <c r="O79" s="462">
        <f t="shared" si="81"/>
        <v>500</v>
      </c>
      <c r="P79" s="467">
        <f t="shared" si="82"/>
        <v>500</v>
      </c>
      <c r="Q79" s="468">
        <f t="shared" si="66"/>
        <v>2.7812345000000002E-2</v>
      </c>
      <c r="R79" s="469" t="str">
        <f t="shared" si="83"/>
        <v>Leaching</v>
      </c>
    </row>
    <row r="80" spans="1:18" s="448" customFormat="1" ht="30" customHeight="1">
      <c r="A80" s="893" t="s">
        <v>229</v>
      </c>
      <c r="B80" s="611" t="s">
        <v>230</v>
      </c>
      <c r="C80" s="612" t="str">
        <f t="shared" si="60"/>
        <v>--</v>
      </c>
      <c r="D80" s="467">
        <f t="shared" si="61"/>
        <v>391.01751990600036</v>
      </c>
      <c r="E80" s="612" t="str">
        <f t="shared" si="62"/>
        <v>--</v>
      </c>
      <c r="F80" s="467">
        <f t="shared" si="63"/>
        <v>5837.1386575208226</v>
      </c>
      <c r="G80" s="466" t="str">
        <f t="shared" si="64"/>
        <v>--</v>
      </c>
      <c r="H80" s="467">
        <f t="shared" si="65"/>
        <v>1484.1468334005647</v>
      </c>
      <c r="I80" s="461">
        <f t="shared" si="75"/>
        <v>6.9</v>
      </c>
      <c r="J80" s="466">
        <f t="shared" si="76"/>
        <v>40</v>
      </c>
      <c r="K80" s="464" t="str">
        <f t="shared" si="77"/>
        <v>--</v>
      </c>
      <c r="L80" s="465" t="str">
        <f t="shared" si="78"/>
        <v>--</v>
      </c>
      <c r="M80" s="466" t="str">
        <f t="shared" si="79"/>
        <v>--</v>
      </c>
      <c r="N80" s="461" t="str">
        <f t="shared" si="80"/>
        <v>--</v>
      </c>
      <c r="O80" s="462" t="str">
        <f t="shared" si="81"/>
        <v>--</v>
      </c>
      <c r="P80" s="467" t="str">
        <f t="shared" si="82"/>
        <v>--</v>
      </c>
      <c r="Q80" s="468">
        <f t="shared" si="66"/>
        <v>6.9</v>
      </c>
      <c r="R80" s="469" t="str">
        <f t="shared" si="83"/>
        <v>Terr Habitat</v>
      </c>
    </row>
    <row r="81" spans="1:18" s="448" customFormat="1" ht="30" customHeight="1">
      <c r="A81" s="893" t="s">
        <v>231</v>
      </c>
      <c r="B81" s="611" t="s">
        <v>232</v>
      </c>
      <c r="C81" s="612">
        <f t="shared" si="60"/>
        <v>14686.390532544381</v>
      </c>
      <c r="D81" s="467">
        <f t="shared" si="61"/>
        <v>824.62622703246905</v>
      </c>
      <c r="E81" s="612">
        <f t="shared" si="62"/>
        <v>64150.153846153866</v>
      </c>
      <c r="F81" s="467">
        <f t="shared" si="63"/>
        <v>11132.85436893204</v>
      </c>
      <c r="G81" s="466">
        <f t="shared" si="64"/>
        <v>1238.1923076923081</v>
      </c>
      <c r="H81" s="467">
        <f t="shared" si="65"/>
        <v>63.338538912730719</v>
      </c>
      <c r="I81" s="461">
        <f t="shared" si="75"/>
        <v>130</v>
      </c>
      <c r="J81" s="466">
        <f t="shared" si="76"/>
        <v>340</v>
      </c>
      <c r="K81" s="464" t="str">
        <f t="shared" si="77"/>
        <v>--</v>
      </c>
      <c r="L81" s="465" t="str">
        <f t="shared" si="78"/>
        <v>--</v>
      </c>
      <c r="M81" s="466" t="str">
        <f t="shared" si="79"/>
        <v>--</v>
      </c>
      <c r="N81" s="461" t="str">
        <f t="shared" si="80"/>
        <v>--</v>
      </c>
      <c r="O81" s="462" t="str">
        <f t="shared" si="81"/>
        <v>--</v>
      </c>
      <c r="P81" s="467" t="str">
        <f t="shared" si="82"/>
        <v>--</v>
      </c>
      <c r="Q81" s="468">
        <f t="shared" si="66"/>
        <v>63.338538912730719</v>
      </c>
      <c r="R81" s="469" t="str">
        <f t="shared" si="83"/>
        <v>NC-Hazard</v>
      </c>
    </row>
    <row r="82" spans="1:18" s="448" customFormat="1" ht="30" customHeight="1">
      <c r="A82" s="893" t="s">
        <v>233</v>
      </c>
      <c r="B82" s="611" t="s">
        <v>234</v>
      </c>
      <c r="C82" s="612" t="str">
        <f t="shared" si="60"/>
        <v>--</v>
      </c>
      <c r="D82" s="467">
        <f t="shared" si="61"/>
        <v>3586.4677168775784</v>
      </c>
      <c r="E82" s="612" t="str">
        <f t="shared" si="62"/>
        <v>--</v>
      </c>
      <c r="F82" s="467">
        <f t="shared" si="63"/>
        <v>45206.720113120005</v>
      </c>
      <c r="G82" s="466" t="str">
        <f t="shared" si="64"/>
        <v>--</v>
      </c>
      <c r="H82" s="467">
        <f t="shared" si="65"/>
        <v>14988.67508068604</v>
      </c>
      <c r="I82" s="461">
        <f t="shared" si="75"/>
        <v>6600</v>
      </c>
      <c r="J82" s="466">
        <f t="shared" si="76"/>
        <v>46000</v>
      </c>
      <c r="K82" s="464">
        <f t="shared" si="77"/>
        <v>12.53436132</v>
      </c>
      <c r="L82" s="465">
        <f t="shared" si="78"/>
        <v>12.53436132</v>
      </c>
      <c r="M82" s="466">
        <f t="shared" si="79"/>
        <v>118.02735386537897</v>
      </c>
      <c r="N82" s="461">
        <f t="shared" si="80"/>
        <v>1000</v>
      </c>
      <c r="O82" s="462">
        <f t="shared" si="81"/>
        <v>2500</v>
      </c>
      <c r="P82" s="467">
        <f t="shared" si="82"/>
        <v>2500</v>
      </c>
      <c r="Q82" s="468">
        <f t="shared" si="66"/>
        <v>12.53436132</v>
      </c>
      <c r="R82" s="469" t="str">
        <f t="shared" si="83"/>
        <v>Leaching</v>
      </c>
    </row>
    <row r="83" spans="1:18" s="448" customFormat="1" ht="30" customHeight="1">
      <c r="A83" s="893" t="s">
        <v>235</v>
      </c>
      <c r="B83" s="611" t="s">
        <v>236</v>
      </c>
      <c r="C83" s="612" t="str">
        <f t="shared" si="60"/>
        <v>--</v>
      </c>
      <c r="D83" s="467">
        <f t="shared" si="61"/>
        <v>17932.338584387893</v>
      </c>
      <c r="E83" s="612" t="str">
        <f t="shared" si="62"/>
        <v>--</v>
      </c>
      <c r="F83" s="467">
        <f t="shared" si="63"/>
        <v>226033.60056560003</v>
      </c>
      <c r="G83" s="466" t="str">
        <f t="shared" si="64"/>
        <v>--</v>
      </c>
      <c r="H83" s="467">
        <f t="shared" si="65"/>
        <v>74943.375403430211</v>
      </c>
      <c r="I83" s="461">
        <f t="shared" si="75"/>
        <v>3.1</v>
      </c>
      <c r="J83" s="466">
        <f t="shared" si="76"/>
        <v>40</v>
      </c>
      <c r="K83" s="464">
        <f t="shared" si="77"/>
        <v>1.9827567297160003</v>
      </c>
      <c r="L83" s="465">
        <f t="shared" si="78"/>
        <v>1.9827567297160003</v>
      </c>
      <c r="M83" s="466">
        <f t="shared" si="79"/>
        <v>4.2645026757236826</v>
      </c>
      <c r="N83" s="461">
        <f t="shared" si="80"/>
        <v>500</v>
      </c>
      <c r="O83" s="462">
        <f t="shared" si="81"/>
        <v>1000</v>
      </c>
      <c r="P83" s="467">
        <f t="shared" si="82"/>
        <v>1000</v>
      </c>
      <c r="Q83" s="468">
        <f t="shared" si="66"/>
        <v>1.9827567297160003</v>
      </c>
      <c r="R83" s="469" t="str">
        <f t="shared" si="83"/>
        <v>Leaching</v>
      </c>
    </row>
    <row r="84" spans="1:18" s="448" customFormat="1" ht="30" customHeight="1">
      <c r="A84" s="893" t="s">
        <v>237</v>
      </c>
      <c r="B84" s="611" t="s">
        <v>238</v>
      </c>
      <c r="C84" s="612">
        <f t="shared" si="60"/>
        <v>1.1166477833160362</v>
      </c>
      <c r="D84" s="467" t="str">
        <f t="shared" si="61"/>
        <v>--</v>
      </c>
      <c r="E84" s="612">
        <f t="shared" si="62"/>
        <v>20.209812028790335</v>
      </c>
      <c r="F84" s="467" t="str">
        <f t="shared" si="63"/>
        <v>--</v>
      </c>
      <c r="G84" s="466">
        <f t="shared" si="64"/>
        <v>155.58395757567737</v>
      </c>
      <c r="H84" s="467" t="str">
        <f t="shared" si="65"/>
        <v>--</v>
      </c>
      <c r="I84" s="461">
        <f t="shared" si="75"/>
        <v>0.63</v>
      </c>
      <c r="J84" s="466">
        <f t="shared" si="76"/>
        <v>1.3</v>
      </c>
      <c r="K84" s="464">
        <f t="shared" si="77"/>
        <v>9.9781008730156291</v>
      </c>
      <c r="L84" s="465">
        <f t="shared" si="78"/>
        <v>9.9781008730156291</v>
      </c>
      <c r="M84" s="466">
        <f t="shared" si="79"/>
        <v>9.9781008730156291</v>
      </c>
      <c r="N84" s="461">
        <f t="shared" si="80"/>
        <v>500</v>
      </c>
      <c r="O84" s="462">
        <f t="shared" si="81"/>
        <v>1000</v>
      </c>
      <c r="P84" s="467">
        <f t="shared" si="82"/>
        <v>1000</v>
      </c>
      <c r="Q84" s="468">
        <f t="shared" si="66"/>
        <v>0.63</v>
      </c>
      <c r="R84" s="469" t="str">
        <f t="shared" si="83"/>
        <v>Terr Habitat</v>
      </c>
    </row>
    <row r="85" spans="1:18" s="448" customFormat="1" ht="30" customHeight="1">
      <c r="A85" s="893" t="s">
        <v>239</v>
      </c>
      <c r="B85" s="611" t="s">
        <v>240</v>
      </c>
      <c r="C85" s="612">
        <f t="shared" si="60"/>
        <v>0.11481726168201646</v>
      </c>
      <c r="D85" s="467">
        <f t="shared" si="61"/>
        <v>17.819685460294966</v>
      </c>
      <c r="E85" s="612">
        <f t="shared" si="62"/>
        <v>2.1093534570827845</v>
      </c>
      <c r="F85" s="467">
        <f t="shared" si="63"/>
        <v>221.82497366089112</v>
      </c>
      <c r="G85" s="466">
        <f t="shared" si="64"/>
        <v>16.500853941487851</v>
      </c>
      <c r="H85" s="467">
        <f t="shared" si="65"/>
        <v>8.192511278258106</v>
      </c>
      <c r="I85" s="461">
        <f t="shared" si="75"/>
        <v>25</v>
      </c>
      <c r="J85" s="466">
        <f t="shared" si="76"/>
        <v>90</v>
      </c>
      <c r="K85" s="464">
        <f t="shared" si="77"/>
        <v>5.7096900057298612</v>
      </c>
      <c r="L85" s="465">
        <f t="shared" si="78"/>
        <v>5.7096900057298612</v>
      </c>
      <c r="M85" s="466">
        <f t="shared" si="79"/>
        <v>5.7096900057298612</v>
      </c>
      <c r="N85" s="461">
        <f t="shared" si="80"/>
        <v>500</v>
      </c>
      <c r="O85" s="462">
        <f t="shared" si="81"/>
        <v>1000</v>
      </c>
      <c r="P85" s="467">
        <f t="shared" si="82"/>
        <v>1000</v>
      </c>
      <c r="Q85" s="468">
        <f t="shared" si="66"/>
        <v>0.11481726168201646</v>
      </c>
      <c r="R85" s="469" t="str">
        <f t="shared" si="83"/>
        <v>Canc-Risk</v>
      </c>
    </row>
    <row r="86" spans="1:18" s="448" customFormat="1" ht="30" customHeight="1">
      <c r="A86" s="893" t="s">
        <v>241</v>
      </c>
      <c r="B86" s="611" t="s">
        <v>242</v>
      </c>
      <c r="C86" s="612">
        <f t="shared" si="60"/>
        <v>1.1481726168201645</v>
      </c>
      <c r="D86" s="467" t="str">
        <f t="shared" si="61"/>
        <v>--</v>
      </c>
      <c r="E86" s="612">
        <f t="shared" si="62"/>
        <v>21.093534570827845</v>
      </c>
      <c r="F86" s="467" t="str">
        <f t="shared" si="63"/>
        <v>--</v>
      </c>
      <c r="G86" s="466">
        <f t="shared" si="64"/>
        <v>165.00853941487847</v>
      </c>
      <c r="H86" s="467" t="str">
        <f t="shared" si="65"/>
        <v>--</v>
      </c>
      <c r="I86" s="461" t="str">
        <f t="shared" si="75"/>
        <v>--</v>
      </c>
      <c r="J86" s="466" t="str">
        <f t="shared" si="76"/>
        <v>--</v>
      </c>
      <c r="K86" s="464">
        <f t="shared" si="77"/>
        <v>5.3947500076272776</v>
      </c>
      <c r="L86" s="465">
        <f t="shared" si="78"/>
        <v>5.3947500076272776</v>
      </c>
      <c r="M86" s="466">
        <f t="shared" si="79"/>
        <v>5.3947500076272776</v>
      </c>
      <c r="N86" s="461">
        <f t="shared" si="80"/>
        <v>500</v>
      </c>
      <c r="O86" s="462">
        <f t="shared" si="81"/>
        <v>1000</v>
      </c>
      <c r="P86" s="467">
        <f t="shared" si="82"/>
        <v>1000</v>
      </c>
      <c r="Q86" s="468">
        <f t="shared" si="66"/>
        <v>1.1481726168201645</v>
      </c>
      <c r="R86" s="469" t="str">
        <f t="shared" si="83"/>
        <v>Canc-Risk</v>
      </c>
    </row>
    <row r="87" spans="1:18" s="448" customFormat="1" ht="30" customHeight="1">
      <c r="A87" s="893" t="s">
        <v>243</v>
      </c>
      <c r="B87" s="611" t="s">
        <v>244</v>
      </c>
      <c r="C87" s="612">
        <f t="shared" si="60"/>
        <v>11.472268971367336</v>
      </c>
      <c r="D87" s="467" t="str">
        <f t="shared" si="61"/>
        <v>--</v>
      </c>
      <c r="E87" s="612">
        <f t="shared" si="62"/>
        <v>210.67157931890355</v>
      </c>
      <c r="F87" s="467" t="str">
        <f t="shared" si="63"/>
        <v>--</v>
      </c>
      <c r="G87" s="466">
        <f t="shared" si="64"/>
        <v>1094.6314228931294</v>
      </c>
      <c r="H87" s="467" t="str">
        <f t="shared" si="65"/>
        <v>--</v>
      </c>
      <c r="I87" s="461">
        <f t="shared" si="75"/>
        <v>9.5</v>
      </c>
      <c r="J87" s="466">
        <f t="shared" si="76"/>
        <v>19</v>
      </c>
      <c r="K87" s="464">
        <f t="shared" si="77"/>
        <v>2.8196000036158946</v>
      </c>
      <c r="L87" s="465">
        <f t="shared" si="78"/>
        <v>2.8196000036158946</v>
      </c>
      <c r="M87" s="466">
        <f t="shared" si="79"/>
        <v>2.8196000036158946</v>
      </c>
      <c r="N87" s="461">
        <f t="shared" si="80"/>
        <v>500</v>
      </c>
      <c r="O87" s="462">
        <f t="shared" si="81"/>
        <v>1000</v>
      </c>
      <c r="P87" s="467">
        <f t="shared" si="82"/>
        <v>1000</v>
      </c>
      <c r="Q87" s="468">
        <f t="shared" si="66"/>
        <v>2.8196000036158946</v>
      </c>
      <c r="R87" s="469" t="str">
        <f t="shared" si="83"/>
        <v>Leaching</v>
      </c>
    </row>
    <row r="88" spans="1:18" s="448" customFormat="1" ht="30" customHeight="1">
      <c r="A88" s="893" t="s">
        <v>245</v>
      </c>
      <c r="B88" s="611" t="s">
        <v>246</v>
      </c>
      <c r="C88" s="612">
        <f t="shared" si="60"/>
        <v>114.72268971367338</v>
      </c>
      <c r="D88" s="467" t="str">
        <f t="shared" si="61"/>
        <v>--</v>
      </c>
      <c r="E88" s="612">
        <f t="shared" si="62"/>
        <v>2106.7157931890356</v>
      </c>
      <c r="F88" s="467" t="str">
        <f t="shared" si="63"/>
        <v>--</v>
      </c>
      <c r="G88" s="466">
        <f t="shared" si="64"/>
        <v>10946.314228931291</v>
      </c>
      <c r="H88" s="467" t="str">
        <f t="shared" si="65"/>
        <v>--</v>
      </c>
      <c r="I88" s="461">
        <f t="shared" si="75"/>
        <v>8.8000000000000007</v>
      </c>
      <c r="J88" s="466">
        <f t="shared" si="76"/>
        <v>18</v>
      </c>
      <c r="K88" s="464">
        <f t="shared" si="77"/>
        <v>2.1662000809551727</v>
      </c>
      <c r="L88" s="465">
        <f t="shared" si="78"/>
        <v>2.1662000809551727</v>
      </c>
      <c r="M88" s="466">
        <f t="shared" si="79"/>
        <v>2.1662000809551727</v>
      </c>
      <c r="N88" s="461">
        <f t="shared" si="80"/>
        <v>500</v>
      </c>
      <c r="O88" s="462">
        <f t="shared" si="81"/>
        <v>1000</v>
      </c>
      <c r="P88" s="467">
        <f t="shared" si="82"/>
        <v>1000</v>
      </c>
      <c r="Q88" s="468">
        <f t="shared" si="66"/>
        <v>2.1662000809551727</v>
      </c>
      <c r="R88" s="469" t="str">
        <f t="shared" si="83"/>
        <v>Leaching</v>
      </c>
    </row>
    <row r="89" spans="1:18" s="448" customFormat="1" ht="30" customHeight="1">
      <c r="A89" s="893" t="s">
        <v>247</v>
      </c>
      <c r="B89" s="611" t="s">
        <v>248</v>
      </c>
      <c r="C89" s="612">
        <f t="shared" si="60"/>
        <v>2.8006092837957575E-2</v>
      </c>
      <c r="D89" s="467" t="str">
        <f t="shared" si="61"/>
        <v>--</v>
      </c>
      <c r="E89" s="612">
        <f t="shared" si="62"/>
        <v>0.51452898595777352</v>
      </c>
      <c r="F89" s="467" t="str">
        <f t="shared" si="63"/>
        <v>--</v>
      </c>
      <c r="G89" s="466">
        <f t="shared" si="64"/>
        <v>4.1983246445835496</v>
      </c>
      <c r="H89" s="467" t="str">
        <f t="shared" si="65"/>
        <v>--</v>
      </c>
      <c r="I89" s="461" t="str">
        <f t="shared" si="75"/>
        <v>--</v>
      </c>
      <c r="J89" s="466" t="str">
        <f t="shared" si="76"/>
        <v>--</v>
      </c>
      <c r="K89" s="464">
        <f t="shared" si="77"/>
        <v>28.565529002717266</v>
      </c>
      <c r="L89" s="465">
        <f t="shared" si="78"/>
        <v>28.565529002717266</v>
      </c>
      <c r="M89" s="466">
        <f t="shared" si="79"/>
        <v>28.565529002717266</v>
      </c>
      <c r="N89" s="461">
        <f t="shared" si="80"/>
        <v>500</v>
      </c>
      <c r="O89" s="462">
        <f t="shared" si="81"/>
        <v>1000</v>
      </c>
      <c r="P89" s="467">
        <f t="shared" si="82"/>
        <v>1000</v>
      </c>
      <c r="Q89" s="468">
        <f t="shared" si="66"/>
        <v>2.8006092837957575E-2</v>
      </c>
      <c r="R89" s="469" t="str">
        <f t="shared" si="83"/>
        <v>Canc-Risk</v>
      </c>
    </row>
    <row r="90" spans="1:18" s="448" customFormat="1" ht="30" customHeight="1">
      <c r="A90" s="893" t="s">
        <v>249</v>
      </c>
      <c r="B90" s="611" t="s">
        <v>250</v>
      </c>
      <c r="C90" s="612" t="str">
        <f t="shared" si="60"/>
        <v>--</v>
      </c>
      <c r="D90" s="467">
        <f t="shared" si="61"/>
        <v>2390.9784779183856</v>
      </c>
      <c r="E90" s="612" t="str">
        <f t="shared" si="62"/>
        <v>--</v>
      </c>
      <c r="F90" s="467">
        <f t="shared" si="63"/>
        <v>30137.813408746675</v>
      </c>
      <c r="G90" s="466" t="str">
        <f t="shared" si="64"/>
        <v>--</v>
      </c>
      <c r="H90" s="467">
        <f t="shared" si="65"/>
        <v>9992.4500537906933</v>
      </c>
      <c r="I90" s="461">
        <f t="shared" si="75"/>
        <v>0.69</v>
      </c>
      <c r="J90" s="466">
        <f t="shared" si="76"/>
        <v>120000</v>
      </c>
      <c r="K90" s="464">
        <f t="shared" si="77"/>
        <v>86.528017828712763</v>
      </c>
      <c r="L90" s="465">
        <f t="shared" si="78"/>
        <v>86.528017828712763</v>
      </c>
      <c r="M90" s="466">
        <f t="shared" si="79"/>
        <v>86.528017828712763</v>
      </c>
      <c r="N90" s="461">
        <f t="shared" si="80"/>
        <v>500</v>
      </c>
      <c r="O90" s="462">
        <f t="shared" si="81"/>
        <v>1000</v>
      </c>
      <c r="P90" s="467">
        <f t="shared" si="82"/>
        <v>1000</v>
      </c>
      <c r="Q90" s="468">
        <f t="shared" si="66"/>
        <v>0.69</v>
      </c>
      <c r="R90" s="469" t="str">
        <f t="shared" si="83"/>
        <v>Terr Habitat</v>
      </c>
    </row>
    <row r="91" spans="1:18" s="448" customFormat="1" ht="30" customHeight="1">
      <c r="A91" s="893" t="s">
        <v>251</v>
      </c>
      <c r="B91" s="611" t="s">
        <v>252</v>
      </c>
      <c r="C91" s="612" t="str">
        <f t="shared" si="60"/>
        <v>--</v>
      </c>
      <c r="D91" s="467">
        <f t="shared" si="61"/>
        <v>2390.9784779183856</v>
      </c>
      <c r="E91" s="612" t="str">
        <f t="shared" si="62"/>
        <v>--</v>
      </c>
      <c r="F91" s="467">
        <f t="shared" si="63"/>
        <v>30137.813408746675</v>
      </c>
      <c r="G91" s="466" t="str">
        <f t="shared" si="64"/>
        <v>--</v>
      </c>
      <c r="H91" s="467">
        <f t="shared" si="65"/>
        <v>9992.4500537906933</v>
      </c>
      <c r="I91" s="461" t="str">
        <f t="shared" si="75"/>
        <v>--</v>
      </c>
      <c r="J91" s="466" t="str">
        <f t="shared" si="76"/>
        <v>--</v>
      </c>
      <c r="K91" s="464">
        <f t="shared" si="77"/>
        <v>5.9325127422600001</v>
      </c>
      <c r="L91" s="465">
        <f t="shared" si="78"/>
        <v>5.9325127422600001</v>
      </c>
      <c r="M91" s="466">
        <f t="shared" si="79"/>
        <v>93.052658272471547</v>
      </c>
      <c r="N91" s="461">
        <f t="shared" si="80"/>
        <v>500</v>
      </c>
      <c r="O91" s="462">
        <f t="shared" si="81"/>
        <v>1000</v>
      </c>
      <c r="P91" s="467">
        <f t="shared" si="82"/>
        <v>1000</v>
      </c>
      <c r="Q91" s="468">
        <f t="shared" si="66"/>
        <v>5.9325127422600001</v>
      </c>
      <c r="R91" s="469" t="str">
        <f t="shared" si="83"/>
        <v>Leaching</v>
      </c>
    </row>
    <row r="92" spans="1:18" s="448" customFormat="1" ht="30" customHeight="1">
      <c r="A92" s="893" t="s">
        <v>253</v>
      </c>
      <c r="B92" s="611" t="s">
        <v>254</v>
      </c>
      <c r="C92" s="612">
        <f t="shared" si="60"/>
        <v>1.1481726168201645</v>
      </c>
      <c r="D92" s="467" t="str">
        <f t="shared" si="61"/>
        <v>--</v>
      </c>
      <c r="E92" s="612">
        <f t="shared" si="62"/>
        <v>21.093534570827845</v>
      </c>
      <c r="F92" s="467" t="str">
        <f t="shared" si="63"/>
        <v>--</v>
      </c>
      <c r="G92" s="466">
        <f t="shared" si="64"/>
        <v>165.00853941487847</v>
      </c>
      <c r="H92" s="467" t="str">
        <f t="shared" si="65"/>
        <v>--</v>
      </c>
      <c r="I92" s="461">
        <f t="shared" si="75"/>
        <v>0.48</v>
      </c>
      <c r="J92" s="466">
        <f t="shared" si="76"/>
        <v>0.95</v>
      </c>
      <c r="K92" s="464">
        <f t="shared" si="77"/>
        <v>2.2241590005117358</v>
      </c>
      <c r="L92" s="465">
        <f t="shared" si="78"/>
        <v>2.2241590005117358</v>
      </c>
      <c r="M92" s="466">
        <f t="shared" si="79"/>
        <v>2.2241590005117358</v>
      </c>
      <c r="N92" s="461">
        <f t="shared" si="80"/>
        <v>500</v>
      </c>
      <c r="O92" s="462">
        <f t="shared" si="81"/>
        <v>1000</v>
      </c>
      <c r="P92" s="467">
        <f t="shared" si="82"/>
        <v>1000</v>
      </c>
      <c r="Q92" s="468">
        <f t="shared" si="66"/>
        <v>0.48</v>
      </c>
      <c r="R92" s="469" t="str">
        <f t="shared" si="83"/>
        <v>Terr Habitat</v>
      </c>
    </row>
    <row r="93" spans="1:18" s="448" customFormat="1" ht="30" customHeight="1">
      <c r="A93" s="893" t="s">
        <v>255</v>
      </c>
      <c r="B93" s="611" t="s">
        <v>256</v>
      </c>
      <c r="C93" s="612">
        <f t="shared" si="60"/>
        <v>2.0118628924729687</v>
      </c>
      <c r="D93" s="467">
        <f t="shared" si="61"/>
        <v>129.29704176597917</v>
      </c>
      <c r="E93" s="612">
        <f t="shared" si="62"/>
        <v>8.4822762402421077</v>
      </c>
      <c r="F93" s="467">
        <f t="shared" si="63"/>
        <v>574.3223153207183</v>
      </c>
      <c r="G93" s="466">
        <f t="shared" si="64"/>
        <v>56.268649110133467</v>
      </c>
      <c r="H93" s="467">
        <f t="shared" si="65"/>
        <v>130.08797991536986</v>
      </c>
      <c r="I93" s="461">
        <f t="shared" si="75"/>
        <v>0.75</v>
      </c>
      <c r="J93" s="466">
        <f t="shared" si="76"/>
        <v>28</v>
      </c>
      <c r="K93" s="464">
        <f t="shared" si="77"/>
        <v>3.0284029718167856E-2</v>
      </c>
      <c r="L93" s="465">
        <f t="shared" si="78"/>
        <v>1.1891399067932351</v>
      </c>
      <c r="M93" s="466">
        <f t="shared" si="79"/>
        <v>290.38956678340202</v>
      </c>
      <c r="N93" s="461">
        <f t="shared" si="80"/>
        <v>500</v>
      </c>
      <c r="O93" s="462">
        <f t="shared" si="81"/>
        <v>1000</v>
      </c>
      <c r="P93" s="467">
        <f t="shared" si="82"/>
        <v>1000</v>
      </c>
      <c r="Q93" s="468">
        <f t="shared" si="66"/>
        <v>3.0284029718167856E-2</v>
      </c>
      <c r="R93" s="469" t="str">
        <f t="shared" si="83"/>
        <v>Leaching</v>
      </c>
    </row>
    <row r="94" spans="1:18" s="448" customFormat="1" ht="30" customHeight="1">
      <c r="A94" s="893" t="s">
        <v>257</v>
      </c>
      <c r="B94" s="611" t="s">
        <v>258</v>
      </c>
      <c r="C94" s="612" t="str">
        <f t="shared" si="60"/>
        <v>--</v>
      </c>
      <c r="D94" s="467">
        <f t="shared" si="61"/>
        <v>1793.2338584387892</v>
      </c>
      <c r="E94" s="612" t="str">
        <f t="shared" si="62"/>
        <v>--</v>
      </c>
      <c r="F94" s="467">
        <f t="shared" si="63"/>
        <v>22603.360056560003</v>
      </c>
      <c r="G94" s="466" t="str">
        <f t="shared" si="64"/>
        <v>--</v>
      </c>
      <c r="H94" s="467">
        <f t="shared" si="65"/>
        <v>7494.33754034302</v>
      </c>
      <c r="I94" s="461">
        <f t="shared" si="75"/>
        <v>4700</v>
      </c>
      <c r="J94" s="466">
        <f t="shared" si="76"/>
        <v>99000</v>
      </c>
      <c r="K94" s="464">
        <f t="shared" si="77"/>
        <v>44.028912433507159</v>
      </c>
      <c r="L94" s="465">
        <f t="shared" si="78"/>
        <v>44.028912433507159</v>
      </c>
      <c r="M94" s="466">
        <f t="shared" si="79"/>
        <v>44.028912433507159</v>
      </c>
      <c r="N94" s="461">
        <f t="shared" si="80"/>
        <v>500</v>
      </c>
      <c r="O94" s="462">
        <f t="shared" si="81"/>
        <v>1000</v>
      </c>
      <c r="P94" s="467">
        <f t="shared" si="82"/>
        <v>1000</v>
      </c>
      <c r="Q94" s="468">
        <f t="shared" si="66"/>
        <v>44.028912433507159</v>
      </c>
      <c r="R94" s="469" t="str">
        <f t="shared" si="83"/>
        <v>Leaching</v>
      </c>
    </row>
    <row r="95" spans="1:18" s="448" customFormat="1" ht="30" customHeight="1">
      <c r="A95" s="893" t="s">
        <v>259</v>
      </c>
      <c r="B95" s="611" t="s">
        <v>260</v>
      </c>
      <c r="C95" s="612">
        <f t="shared" si="60"/>
        <v>1.0204067725795314</v>
      </c>
      <c r="D95" s="467">
        <f t="shared" si="61"/>
        <v>245.45515679989242</v>
      </c>
      <c r="E95" s="612">
        <f t="shared" si="62"/>
        <v>3.9725912582099285</v>
      </c>
      <c r="F95" s="467">
        <f t="shared" si="63"/>
        <v>2837.5686312618436</v>
      </c>
      <c r="G95" s="466">
        <f t="shared" si="64"/>
        <v>34.36167253383713</v>
      </c>
      <c r="H95" s="467">
        <f t="shared" si="65"/>
        <v>982.29679155628435</v>
      </c>
      <c r="I95" s="461">
        <f t="shared" si="75"/>
        <v>1.2999999999999999E-2</v>
      </c>
      <c r="J95" s="466">
        <f t="shared" si="76"/>
        <v>39</v>
      </c>
      <c r="K95" s="464">
        <f t="shared" si="77"/>
        <v>3.9308860828600007E-3</v>
      </c>
      <c r="L95" s="465">
        <f t="shared" si="78"/>
        <v>3.9308860828600007E-3</v>
      </c>
      <c r="M95" s="466">
        <f t="shared" si="79"/>
        <v>51.128002654648597</v>
      </c>
      <c r="N95" s="461">
        <f t="shared" si="80"/>
        <v>500</v>
      </c>
      <c r="O95" s="462">
        <f t="shared" si="81"/>
        <v>1000</v>
      </c>
      <c r="P95" s="467">
        <f t="shared" si="82"/>
        <v>1000</v>
      </c>
      <c r="Q95" s="468">
        <f t="shared" si="66"/>
        <v>3.9308860828600007E-3</v>
      </c>
      <c r="R95" s="469" t="str">
        <f t="shared" si="83"/>
        <v>Leaching</v>
      </c>
    </row>
    <row r="96" spans="1:18" s="448" customFormat="1" ht="30" customHeight="1">
      <c r="A96" s="893" t="s">
        <v>261</v>
      </c>
      <c r="B96" s="611" t="s">
        <v>1261</v>
      </c>
      <c r="C96" s="612" t="str">
        <f t="shared" si="60"/>
        <v>--</v>
      </c>
      <c r="D96" s="467">
        <f t="shared" si="61"/>
        <v>54.75</v>
      </c>
      <c r="E96" s="612" t="str">
        <f t="shared" si="62"/>
        <v>--</v>
      </c>
      <c r="F96" s="467">
        <f t="shared" si="63"/>
        <v>817.6</v>
      </c>
      <c r="G96" s="466" t="str">
        <f t="shared" si="64"/>
        <v>--</v>
      </c>
      <c r="H96" s="467">
        <f t="shared" si="65"/>
        <v>247.75757575757575</v>
      </c>
      <c r="I96" s="461" t="str">
        <f t="shared" si="75"/>
        <v>--</v>
      </c>
      <c r="J96" s="466" t="str">
        <f t="shared" si="76"/>
        <v>--</v>
      </c>
      <c r="K96" s="464">
        <f t="shared" si="77"/>
        <v>1.2000000000000004E-2</v>
      </c>
      <c r="L96" s="465">
        <f t="shared" si="78"/>
        <v>1.2000000000000002</v>
      </c>
      <c r="M96" s="466" t="str">
        <f t="shared" si="79"/>
        <v>--</v>
      </c>
      <c r="N96" s="461" t="str">
        <f t="shared" si="80"/>
        <v>--</v>
      </c>
      <c r="O96" s="462" t="str">
        <f t="shared" si="81"/>
        <v>--</v>
      </c>
      <c r="P96" s="467" t="str">
        <f t="shared" si="82"/>
        <v>--</v>
      </c>
      <c r="Q96" s="468">
        <f t="shared" si="66"/>
        <v>1.2000000000000004E-2</v>
      </c>
      <c r="R96" s="469" t="str">
        <f t="shared" si="83"/>
        <v>Leaching</v>
      </c>
    </row>
    <row r="97" spans="1:18" s="448" customFormat="1" ht="30" customHeight="1">
      <c r="A97" s="893" t="s">
        <v>263</v>
      </c>
      <c r="B97" s="611" t="s">
        <v>115</v>
      </c>
      <c r="C97" s="612" t="str">
        <f t="shared" ref="C97:C100" si="84">(VLOOKUP(A97,Table_S_1, MATCH("s-res-c",heading_S_1,0), FALSE))</f>
        <v>--</v>
      </c>
      <c r="D97" s="467">
        <f t="shared" ref="D97:D101" si="85">(VLOOKUP(A97,Table_S_1, MATCH("s-res-Nc",heading_S_1,0), FALSE))</f>
        <v>455.69192283268859</v>
      </c>
      <c r="E97" s="612" t="str">
        <f t="shared" ref="E97:E101" si="86">(VLOOKUP(A97,Table_S_1, MATCH("s-com-c",heading_S_1,0), FALSE))</f>
        <v>--</v>
      </c>
      <c r="F97" s="467">
        <f t="shared" ref="F97:F101" si="87">(VLOOKUP(A97,Table_S_1, MATCH("s-com-nc",heading_S_1,0), FALSE))</f>
        <v>2105.4724843068316</v>
      </c>
      <c r="G97" s="466" t="str">
        <f t="shared" ref="G97:G101" si="88">(VLOOKUP(A97,Table_S_1, MATCH("s-CW-c",heading_S_1,0), FALSE))</f>
        <v>--</v>
      </c>
      <c r="H97" s="467">
        <f t="shared" ref="H97:H101" si="89">(VLOOKUP(A97,Table_S_1, MATCH("s-CW-nc",heading_S_1,0), FALSE))</f>
        <v>481.18538794655132</v>
      </c>
      <c r="I97" s="461">
        <f t="shared" ref="I97:I101" si="90">(VLOOKUP(A97,Table_S_2, MATCH("SV",heading_S_2,0), FALSE))</f>
        <v>120</v>
      </c>
      <c r="J97" s="466">
        <f t="shared" ref="J97:J101" si="91">(VLOOKUP(A97,Table_S_2, MATCH("MV",heading_S_2,0), FALSE))</f>
        <v>120</v>
      </c>
      <c r="K97" s="464">
        <f t="shared" ref="K97:K101" si="92">(VLOOKUP(A97,Table_S_3, MATCH("DW-Leach",heading_S_3,0), FALSE))</f>
        <v>1113.211</v>
      </c>
      <c r="L97" s="465">
        <f t="shared" ref="L97:L101" si="93">(VLOOKUP(A97,Table_S_3, MATCH("NDW-Leach",heading_S_3,0), FALSE))</f>
        <v>4931.524730000001</v>
      </c>
      <c r="M97" s="466">
        <f t="shared" ref="M97:M101" si="94">(VLOOKUP(A97,Table_S_4, MATCH("S-GC",heading_S_4,0), FALSE))</f>
        <v>1000</v>
      </c>
      <c r="N97" s="461">
        <f t="shared" ref="N97:N101" si="95">(VLOOKUP(A97,Table_S_5, MATCH("res_ss_no",heading_S_5,0), FALSE))</f>
        <v>100</v>
      </c>
      <c r="O97" s="462">
        <f t="shared" ref="O97:O101" si="96">(VLOOKUP(A97,Table_S_5, MATCH("com_ss_no",heading_S_5,0), FALSE))</f>
        <v>500</v>
      </c>
      <c r="P97" s="467">
        <f t="shared" ref="P97:P101" si="97">(VLOOKUP(A97,Table_S_5, MATCH("any_ds_no",heading_S_5,0), FALSE))</f>
        <v>500</v>
      </c>
      <c r="Q97" s="468">
        <f t="shared" ref="Q97:Q101" si="98">IF((MIN(C97:P97)=0), "--",MIN(C97:P97))</f>
        <v>100</v>
      </c>
      <c r="R97" s="469" t="str">
        <f t="shared" si="83"/>
        <v>Odor/Nuis</v>
      </c>
    </row>
    <row r="98" spans="1:18" s="448" customFormat="1" ht="30" customHeight="1">
      <c r="A98" s="893" t="s">
        <v>264</v>
      </c>
      <c r="B98" s="611" t="s">
        <v>115</v>
      </c>
      <c r="C98" s="612" t="str">
        <f t="shared" si="84"/>
        <v>--</v>
      </c>
      <c r="D98" s="467">
        <f t="shared" si="85"/>
        <v>245.14598701027165</v>
      </c>
      <c r="E98" s="612" t="str">
        <f t="shared" si="86"/>
        <v>--</v>
      </c>
      <c r="F98" s="467">
        <f t="shared" si="87"/>
        <v>1271.2448889936204</v>
      </c>
      <c r="G98" s="466" t="str">
        <f t="shared" si="88"/>
        <v>--</v>
      </c>
      <c r="H98" s="467">
        <f t="shared" si="89"/>
        <v>294.48289761136567</v>
      </c>
      <c r="I98" s="461">
        <f t="shared" si="90"/>
        <v>260</v>
      </c>
      <c r="J98" s="466">
        <f t="shared" si="91"/>
        <v>260</v>
      </c>
      <c r="K98" s="464">
        <f t="shared" si="92"/>
        <v>1229.8519999999999</v>
      </c>
      <c r="L98" s="465">
        <f t="shared" si="93"/>
        <v>7871.0527999999995</v>
      </c>
      <c r="M98" s="466">
        <f t="shared" si="94"/>
        <v>2286</v>
      </c>
      <c r="N98" s="461">
        <f t="shared" si="95"/>
        <v>100</v>
      </c>
      <c r="O98" s="462">
        <f t="shared" si="96"/>
        <v>500</v>
      </c>
      <c r="P98" s="467">
        <f t="shared" si="97"/>
        <v>500</v>
      </c>
      <c r="Q98" s="468">
        <f t="shared" si="98"/>
        <v>100</v>
      </c>
      <c r="R98" s="469" t="str">
        <f t="shared" si="83"/>
        <v>Odor/Nuis</v>
      </c>
    </row>
    <row r="99" spans="1:18" s="448" customFormat="1" ht="30" customHeight="1">
      <c r="A99" s="893" t="s">
        <v>265</v>
      </c>
      <c r="B99" s="611" t="s">
        <v>115</v>
      </c>
      <c r="C99" s="612" t="str">
        <f t="shared" si="84"/>
        <v>--</v>
      </c>
      <c r="D99" s="467">
        <f t="shared" si="85"/>
        <v>251.99102513542775</v>
      </c>
      <c r="E99" s="612" t="str">
        <f t="shared" si="86"/>
        <v>--</v>
      </c>
      <c r="F99" s="467">
        <f t="shared" si="87"/>
        <v>1283.3504167072908</v>
      </c>
      <c r="G99" s="466" t="str">
        <f t="shared" si="88"/>
        <v>--</v>
      </c>
      <c r="H99" s="467">
        <f t="shared" si="89"/>
        <v>296.62177702509797</v>
      </c>
      <c r="I99" s="461">
        <f t="shared" si="90"/>
        <v>260</v>
      </c>
      <c r="J99" s="466">
        <f t="shared" si="91"/>
        <v>260</v>
      </c>
      <c r="K99" s="464">
        <f t="shared" si="92"/>
        <v>1229.8519999999999</v>
      </c>
      <c r="L99" s="465">
        <f t="shared" si="93"/>
        <v>7871.0527999999995</v>
      </c>
      <c r="M99" s="466">
        <f t="shared" si="94"/>
        <v>2286</v>
      </c>
      <c r="N99" s="461">
        <f t="shared" si="95"/>
        <v>100</v>
      </c>
      <c r="O99" s="462">
        <f t="shared" si="96"/>
        <v>500</v>
      </c>
      <c r="P99" s="467">
        <f t="shared" si="97"/>
        <v>500</v>
      </c>
      <c r="Q99" s="468">
        <f t="shared" si="98"/>
        <v>100</v>
      </c>
      <c r="R99" s="469" t="str">
        <f t="shared" si="83"/>
        <v>Odor/Nuis</v>
      </c>
    </row>
    <row r="100" spans="1:18" s="448" customFormat="1" ht="30" customHeight="1">
      <c r="A100" s="893" t="s">
        <v>266</v>
      </c>
      <c r="B100" s="611" t="s">
        <v>115</v>
      </c>
      <c r="C100" s="612" t="str">
        <f t="shared" si="84"/>
        <v>--</v>
      </c>
      <c r="D100" s="467">
        <f t="shared" si="85"/>
        <v>201.31571747633836</v>
      </c>
      <c r="E100" s="612" t="str">
        <f t="shared" si="86"/>
        <v>--</v>
      </c>
      <c r="F100" s="467">
        <f t="shared" si="87"/>
        <v>917.68778945095642</v>
      </c>
      <c r="G100" s="466" t="str">
        <f t="shared" si="88"/>
        <v>--</v>
      </c>
      <c r="H100" s="467">
        <f t="shared" si="89"/>
        <v>209.40605107540898</v>
      </c>
      <c r="I100" s="461">
        <f t="shared" si="90"/>
        <v>260</v>
      </c>
      <c r="J100" s="466">
        <f t="shared" si="91"/>
        <v>260</v>
      </c>
      <c r="K100" s="464">
        <f t="shared" si="92"/>
        <v>1117.3320000000001</v>
      </c>
      <c r="L100" s="465">
        <f t="shared" si="93"/>
        <v>7150.9247999999998</v>
      </c>
      <c r="M100" s="466">
        <f t="shared" si="94"/>
        <v>2286</v>
      </c>
      <c r="N100" s="461">
        <f t="shared" si="95"/>
        <v>500</v>
      </c>
      <c r="O100" s="462">
        <f t="shared" si="96"/>
        <v>1000</v>
      </c>
      <c r="P100" s="467">
        <f t="shared" si="97"/>
        <v>1000</v>
      </c>
      <c r="Q100" s="468">
        <f t="shared" si="98"/>
        <v>201.31571747633836</v>
      </c>
      <c r="R100" s="469" t="str">
        <f t="shared" si="83"/>
        <v>NC-Hazard</v>
      </c>
    </row>
    <row r="101" spans="1:18" s="448" customFormat="1" ht="30" customHeight="1">
      <c r="A101" s="893" t="s">
        <v>267</v>
      </c>
      <c r="B101" s="611" t="s">
        <v>115</v>
      </c>
      <c r="C101" s="612" t="str">
        <f t="shared" ref="C101:C141" si="99">(VLOOKUP(A101,Table_S_1, MATCH("s-res-c",heading_S_1,0), FALSE))</f>
        <v>--</v>
      </c>
      <c r="D101" s="467" t="str">
        <f t="shared" si="85"/>
        <v>--</v>
      </c>
      <c r="E101" s="612" t="str">
        <f t="shared" si="86"/>
        <v>--</v>
      </c>
      <c r="F101" s="467" t="str">
        <f t="shared" si="87"/>
        <v>--</v>
      </c>
      <c r="G101" s="466" t="str">
        <f t="shared" si="88"/>
        <v>--</v>
      </c>
      <c r="H101" s="467" t="str">
        <f t="shared" si="89"/>
        <v>--</v>
      </c>
      <c r="I101" s="461" t="str">
        <f t="shared" si="90"/>
        <v>--</v>
      </c>
      <c r="J101" s="466" t="str">
        <f t="shared" si="91"/>
        <v>--</v>
      </c>
      <c r="K101" s="464" t="str">
        <f t="shared" si="92"/>
        <v>--</v>
      </c>
      <c r="L101" s="465" t="str">
        <f t="shared" si="93"/>
        <v>--</v>
      </c>
      <c r="M101" s="466" t="str">
        <f t="shared" si="94"/>
        <v>--</v>
      </c>
      <c r="N101" s="461" t="str">
        <f t="shared" si="95"/>
        <v>--</v>
      </c>
      <c r="O101" s="462" t="str">
        <f t="shared" si="96"/>
        <v>--</v>
      </c>
      <c r="P101" s="467" t="str">
        <f t="shared" si="97"/>
        <v>--</v>
      </c>
      <c r="Q101" s="468" t="str">
        <f t="shared" si="98"/>
        <v>--</v>
      </c>
      <c r="R101" s="469" t="str">
        <f>IF(Q101="--", "--", IF(Q101=I101,"Terr Habitat", IF(Q101=K101, "Leaching", IF(Q101=M101, "Gross Contam", IF(Q101=N101, "Odor/Nuis", IF(OR(Q101=C101, Q101=G101), "Canc-Risk", IF(OR(Q101=D101, Q101=H101), "NC-Hazard","--")))))))</f>
        <v>--</v>
      </c>
    </row>
    <row r="102" spans="1:18" s="448" customFormat="1" ht="30" customHeight="1">
      <c r="A102" s="893" t="s">
        <v>268</v>
      </c>
      <c r="B102" s="611" t="s">
        <v>115</v>
      </c>
      <c r="C102" s="612" t="str">
        <f t="shared" si="99"/>
        <v>--</v>
      </c>
      <c r="D102" s="467">
        <f t="shared" ref="D102:D108" si="100">(VLOOKUP(A102,Table_S_1, MATCH("s-res-Nc",heading_S_1,0), FALSE))</f>
        <v>12032.967032967033</v>
      </c>
      <c r="E102" s="612" t="str">
        <f t="shared" ref="E102:E108" si="101">(VLOOKUP(A102,Table_S_1, MATCH("s-com-c",heading_S_1,0), FALSE))</f>
        <v>--</v>
      </c>
      <c r="F102" s="467">
        <f t="shared" ref="F102:F108" si="102">(VLOOKUP(A102,Table_S_1, MATCH("s-com-nc",heading_S_1,0), FALSE))</f>
        <v>179692.30769230769</v>
      </c>
      <c r="G102" s="466" t="str">
        <f t="shared" ref="G102:G108" si="103">(VLOOKUP(A102,Table_S_1, MATCH("s-CW-c",heading_S_1,0), FALSE))</f>
        <v>--</v>
      </c>
      <c r="H102" s="467">
        <f t="shared" ref="H102:H108" si="104">(VLOOKUP(A102,Table_S_1, MATCH("s-CW-nc",heading_S_1,0), FALSE))</f>
        <v>54452.214452214452</v>
      </c>
      <c r="I102" s="461">
        <f t="shared" ref="I102:I108" si="105">(VLOOKUP(A102,Table_S_2, MATCH("SV",heading_S_2,0), FALSE))</f>
        <v>1600</v>
      </c>
      <c r="J102" s="466">
        <f t="shared" ref="J102:J108" si="106">(VLOOKUP(A102,Table_S_2, MATCH("MV",heading_S_2,0), FALSE))</f>
        <v>1600</v>
      </c>
      <c r="K102" s="464" t="str">
        <f t="shared" ref="K102:K108" si="107">(VLOOKUP(A102,Table_S_3, MATCH("DW-Leach",heading_S_3,0), FALSE))</f>
        <v>--</v>
      </c>
      <c r="L102" s="465" t="str">
        <f t="shared" ref="L102:L108" si="108">(VLOOKUP(A102,Table_S_3, MATCH("NDW-Leach",heading_S_3,0), FALSE))</f>
        <v>--</v>
      </c>
      <c r="M102" s="466">
        <f t="shared" ref="M102:M108" si="109">(VLOOKUP(A102,Table_S_4, MATCH("S-GC",heading_S_4,0), FALSE))</f>
        <v>5143</v>
      </c>
      <c r="N102" s="461" t="str">
        <f t="shared" ref="N102:N108" si="110">(VLOOKUP(A102,Table_S_5, MATCH("res_ss_no",heading_S_5,0), FALSE))</f>
        <v>--</v>
      </c>
      <c r="O102" s="462" t="str">
        <f t="shared" ref="O102:O108" si="111">(VLOOKUP(A102,Table_S_5, MATCH("com_ss_no",heading_S_5,0), FALSE))</f>
        <v>--</v>
      </c>
      <c r="P102" s="467" t="str">
        <f t="shared" ref="P102:P108" si="112">(VLOOKUP(A102,Table_S_5, MATCH("any_ds_no",heading_S_5,0), FALSE))</f>
        <v>--</v>
      </c>
      <c r="Q102" s="468">
        <f t="shared" ref="Q102:Q108" si="113">IF((MIN(C102:P102)=0), "--",MIN(C102:P102))</f>
        <v>1600</v>
      </c>
      <c r="R102" s="469" t="str">
        <f t="shared" ref="R102:R108" si="114">IF(Q102="--", "--", IF(Q102=I102,"Terr Habitat", IF(Q102=K102, "Leaching", IF(Q102=M102, "Gross Contam", IF(Q102=N102, "Odor/Nuis", IF(OR(Q102=C102, Q102=G102), "Canc-Risk", IF(OR(Q102=D102, Q102=H102), "NC-Hazard","--")))))))</f>
        <v>Terr Habitat</v>
      </c>
    </row>
    <row r="103" spans="1:18" s="448" customFormat="1" ht="30" customHeight="1">
      <c r="A103" s="893" t="s">
        <v>269</v>
      </c>
      <c r="B103" s="611" t="s">
        <v>270</v>
      </c>
      <c r="C103" s="612" t="str">
        <f t="shared" si="99"/>
        <v>--</v>
      </c>
      <c r="D103" s="467">
        <f t="shared" si="100"/>
        <v>39.107142857142854</v>
      </c>
      <c r="E103" s="612" t="str">
        <f t="shared" si="101"/>
        <v>--</v>
      </c>
      <c r="F103" s="467">
        <f t="shared" si="102"/>
        <v>584</v>
      </c>
      <c r="G103" s="466" t="str">
        <f t="shared" si="103"/>
        <v>--</v>
      </c>
      <c r="H103" s="467">
        <f t="shared" si="104"/>
        <v>176.96969696969697</v>
      </c>
      <c r="I103" s="461" t="str">
        <f t="shared" si="105"/>
        <v>--</v>
      </c>
      <c r="J103" s="466" t="str">
        <f t="shared" si="106"/>
        <v>--</v>
      </c>
      <c r="K103" s="464" t="str">
        <f t="shared" si="107"/>
        <v>--</v>
      </c>
      <c r="L103" s="465" t="str">
        <f t="shared" si="108"/>
        <v>--</v>
      </c>
      <c r="M103" s="466">
        <f t="shared" si="109"/>
        <v>13551.548867924532</v>
      </c>
      <c r="N103" s="461">
        <f t="shared" si="110"/>
        <v>100</v>
      </c>
      <c r="O103" s="462">
        <f t="shared" si="111"/>
        <v>500</v>
      </c>
      <c r="P103" s="467">
        <f t="shared" si="112"/>
        <v>500</v>
      </c>
      <c r="Q103" s="468">
        <f t="shared" si="113"/>
        <v>39.107142857142854</v>
      </c>
      <c r="R103" s="469" t="str">
        <f t="shared" si="114"/>
        <v>NC-Hazard</v>
      </c>
    </row>
    <row r="104" spans="1:18" s="448" customFormat="1" ht="30" customHeight="1">
      <c r="A104" s="893" t="s">
        <v>271</v>
      </c>
      <c r="B104" s="611" t="s">
        <v>272</v>
      </c>
      <c r="C104" s="612" t="str">
        <f t="shared" si="99"/>
        <v>--</v>
      </c>
      <c r="D104" s="467">
        <f t="shared" si="100"/>
        <v>78.214285714285708</v>
      </c>
      <c r="E104" s="612" t="str">
        <f t="shared" si="101"/>
        <v>--</v>
      </c>
      <c r="F104" s="467">
        <f t="shared" si="102"/>
        <v>1168</v>
      </c>
      <c r="G104" s="466" t="str">
        <f t="shared" si="103"/>
        <v>--</v>
      </c>
      <c r="H104" s="467">
        <f t="shared" si="104"/>
        <v>353.93939393939394</v>
      </c>
      <c r="I104" s="461">
        <f t="shared" si="105"/>
        <v>2.98</v>
      </c>
      <c r="J104" s="466">
        <f t="shared" si="106"/>
        <v>70</v>
      </c>
      <c r="K104" s="464" t="str">
        <f t="shared" si="107"/>
        <v>--</v>
      </c>
      <c r="L104" s="465" t="str">
        <f t="shared" si="108"/>
        <v>--</v>
      </c>
      <c r="M104" s="466">
        <f t="shared" si="109"/>
        <v>2565.7577365710717</v>
      </c>
      <c r="N104" s="461">
        <f t="shared" si="110"/>
        <v>100</v>
      </c>
      <c r="O104" s="462">
        <f t="shared" si="111"/>
        <v>500</v>
      </c>
      <c r="P104" s="467">
        <f t="shared" si="112"/>
        <v>500</v>
      </c>
      <c r="Q104" s="468">
        <f t="shared" si="113"/>
        <v>2.98</v>
      </c>
      <c r="R104" s="469" t="str">
        <f t="shared" si="114"/>
        <v>Terr Habitat</v>
      </c>
    </row>
    <row r="105" spans="1:18" s="448" customFormat="1" ht="30" customHeight="1">
      <c r="A105" s="893" t="s">
        <v>273</v>
      </c>
      <c r="B105" s="611" t="s">
        <v>274</v>
      </c>
      <c r="C105" s="612" t="str">
        <f t="shared" si="99"/>
        <v>--</v>
      </c>
      <c r="D105" s="467" t="str">
        <f t="shared" si="100"/>
        <v>--</v>
      </c>
      <c r="E105" s="612" t="str">
        <f t="shared" si="101"/>
        <v>--</v>
      </c>
      <c r="F105" s="467" t="str">
        <f t="shared" si="102"/>
        <v>--</v>
      </c>
      <c r="G105" s="466" t="str">
        <f t="shared" si="103"/>
        <v>--</v>
      </c>
      <c r="H105" s="467" t="str">
        <f t="shared" si="104"/>
        <v>--</v>
      </c>
      <c r="I105" s="461" t="str">
        <f t="shared" si="105"/>
        <v>--</v>
      </c>
      <c r="J105" s="466" t="str">
        <f t="shared" si="106"/>
        <v>--</v>
      </c>
      <c r="K105" s="464" t="str">
        <f t="shared" si="107"/>
        <v>--</v>
      </c>
      <c r="L105" s="465" t="str">
        <f t="shared" si="108"/>
        <v>--</v>
      </c>
      <c r="M105" s="466">
        <f t="shared" si="109"/>
        <v>9689.5060398921833</v>
      </c>
      <c r="N105" s="461">
        <f t="shared" si="110"/>
        <v>100</v>
      </c>
      <c r="O105" s="462">
        <f t="shared" si="111"/>
        <v>500</v>
      </c>
      <c r="P105" s="467">
        <f t="shared" si="112"/>
        <v>500</v>
      </c>
      <c r="Q105" s="468">
        <f t="shared" si="113"/>
        <v>100</v>
      </c>
      <c r="R105" s="469" t="str">
        <f t="shared" si="114"/>
        <v>Odor/Nuis</v>
      </c>
    </row>
    <row r="106" spans="1:18" s="448" customFormat="1" ht="30" customHeight="1">
      <c r="A106" s="893" t="s">
        <v>275</v>
      </c>
      <c r="B106" s="611" t="s">
        <v>276</v>
      </c>
      <c r="C106" s="612" t="str">
        <f t="shared" si="99"/>
        <v>--</v>
      </c>
      <c r="D106" s="467">
        <f t="shared" si="100"/>
        <v>31.606839777857317</v>
      </c>
      <c r="E106" s="612" t="str">
        <f t="shared" si="101"/>
        <v>--</v>
      </c>
      <c r="F106" s="467">
        <f t="shared" si="102"/>
        <v>410.33135662291681</v>
      </c>
      <c r="G106" s="466" t="str">
        <f t="shared" si="103"/>
        <v>--</v>
      </c>
      <c r="H106" s="467">
        <f t="shared" si="104"/>
        <v>134.00335008375208</v>
      </c>
      <c r="I106" s="461">
        <f t="shared" si="105"/>
        <v>6.2</v>
      </c>
      <c r="J106" s="466">
        <f t="shared" si="106"/>
        <v>260</v>
      </c>
      <c r="K106" s="464" t="str">
        <f t="shared" si="107"/>
        <v>--</v>
      </c>
      <c r="L106" s="465" t="str">
        <f t="shared" si="108"/>
        <v>--</v>
      </c>
      <c r="M106" s="466">
        <f t="shared" si="109"/>
        <v>55630.0004548129</v>
      </c>
      <c r="N106" s="461">
        <f t="shared" si="110"/>
        <v>500</v>
      </c>
      <c r="O106" s="462">
        <f t="shared" si="111"/>
        <v>1000</v>
      </c>
      <c r="P106" s="467">
        <f t="shared" si="112"/>
        <v>1000</v>
      </c>
      <c r="Q106" s="468">
        <f t="shared" si="113"/>
        <v>6.2</v>
      </c>
      <c r="R106" s="469" t="str">
        <f t="shared" si="114"/>
        <v>Terr Habitat</v>
      </c>
    </row>
    <row r="107" spans="1:18" s="448" customFormat="1" ht="30" customHeight="1">
      <c r="A107" s="893" t="s">
        <v>277</v>
      </c>
      <c r="B107" s="611" t="s">
        <v>278</v>
      </c>
      <c r="C107" s="612" t="str">
        <f t="shared" si="99"/>
        <v>--</v>
      </c>
      <c r="D107" s="467" t="str">
        <f t="shared" si="100"/>
        <v>--</v>
      </c>
      <c r="E107" s="612" t="str">
        <f t="shared" si="101"/>
        <v>--</v>
      </c>
      <c r="F107" s="467" t="str">
        <f t="shared" si="102"/>
        <v>--</v>
      </c>
      <c r="G107" s="466" t="str">
        <f t="shared" si="103"/>
        <v>--</v>
      </c>
      <c r="H107" s="467" t="str">
        <f t="shared" si="104"/>
        <v>--</v>
      </c>
      <c r="I107" s="461">
        <f t="shared" si="105"/>
        <v>1</v>
      </c>
      <c r="J107" s="466">
        <f t="shared" si="106"/>
        <v>100</v>
      </c>
      <c r="K107" s="464" t="str">
        <f t="shared" si="107"/>
        <v>--</v>
      </c>
      <c r="L107" s="465" t="str">
        <f t="shared" si="108"/>
        <v>--</v>
      </c>
      <c r="M107" s="466">
        <f t="shared" si="109"/>
        <v>419188.36061814916</v>
      </c>
      <c r="N107" s="461">
        <f t="shared" si="110"/>
        <v>100</v>
      </c>
      <c r="O107" s="462">
        <f t="shared" si="111"/>
        <v>500</v>
      </c>
      <c r="P107" s="467">
        <f t="shared" si="112"/>
        <v>500</v>
      </c>
      <c r="Q107" s="468">
        <f t="shared" si="113"/>
        <v>1</v>
      </c>
      <c r="R107" s="469" t="str">
        <f t="shared" si="114"/>
        <v>Terr Habitat</v>
      </c>
    </row>
    <row r="108" spans="1:18" s="448" customFormat="1" ht="30" customHeight="1">
      <c r="A108" s="893" t="s">
        <v>279</v>
      </c>
      <c r="B108" s="611" t="s">
        <v>280</v>
      </c>
      <c r="C108" s="612">
        <f t="shared" si="99"/>
        <v>1.8518415168662176E-5</v>
      </c>
      <c r="D108" s="467">
        <f t="shared" si="100"/>
        <v>1.8964103866714389E-3</v>
      </c>
      <c r="E108" s="612">
        <f t="shared" si="101"/>
        <v>7.8425105702673511E-5</v>
      </c>
      <c r="F108" s="467">
        <f t="shared" si="102"/>
        <v>2.4619881397374997E-2</v>
      </c>
      <c r="G108" s="466">
        <f t="shared" si="103"/>
        <v>6.4028904476878129E-4</v>
      </c>
      <c r="H108" s="467">
        <f t="shared" si="104"/>
        <v>8.0402010050251264E-3</v>
      </c>
      <c r="I108" s="461">
        <f t="shared" si="105"/>
        <v>8.4000000000000005E-2</v>
      </c>
      <c r="J108" s="466">
        <f t="shared" si="106"/>
        <v>0.84</v>
      </c>
      <c r="K108" s="464" t="str">
        <f t="shared" si="107"/>
        <v>--</v>
      </c>
      <c r="L108" s="465" t="str">
        <f t="shared" si="108"/>
        <v>--</v>
      </c>
      <c r="M108" s="466">
        <f t="shared" si="109"/>
        <v>143450.26263158678</v>
      </c>
      <c r="N108" s="461">
        <f t="shared" si="110"/>
        <v>500</v>
      </c>
      <c r="O108" s="462">
        <f t="shared" si="111"/>
        <v>1000</v>
      </c>
      <c r="P108" s="467">
        <f t="shared" si="112"/>
        <v>1000</v>
      </c>
      <c r="Q108" s="468">
        <f t="shared" si="113"/>
        <v>1.8518415168662176E-5</v>
      </c>
      <c r="R108" s="469" t="str">
        <f t="shared" si="114"/>
        <v>Canc-Risk</v>
      </c>
    </row>
    <row r="109" spans="1:18" s="448" customFormat="1" ht="30" customHeight="1">
      <c r="A109" s="893" t="s">
        <v>281</v>
      </c>
      <c r="B109" s="611" t="s">
        <v>282</v>
      </c>
      <c r="C109" s="612" t="str">
        <f t="shared" si="99"/>
        <v>--</v>
      </c>
      <c r="D109" s="467">
        <f t="shared" ref="D109:D124" si="115">(VLOOKUP(A109,Table_S_1, MATCH("s-res-Nc",heading_S_1,0), FALSE))</f>
        <v>0.18964103866714391</v>
      </c>
      <c r="E109" s="612" t="str">
        <f t="shared" ref="E109:E124" si="116">(VLOOKUP(A109,Table_S_1, MATCH("s-com-c",heading_S_1,0), FALSE))</f>
        <v>--</v>
      </c>
      <c r="F109" s="467">
        <f t="shared" ref="F109:F124" si="117">(VLOOKUP(A109,Table_S_1, MATCH("s-com-nc",heading_S_1,0), FALSE))</f>
        <v>2.4619881397375005</v>
      </c>
      <c r="G109" s="466" t="str">
        <f t="shared" ref="G109:G124" si="118">(VLOOKUP(A109,Table_S_1, MATCH("s-CW-c",heading_S_1,0), FALSE))</f>
        <v>--</v>
      </c>
      <c r="H109" s="467">
        <f t="shared" ref="H109:H124" si="119">(VLOOKUP(A109,Table_S_1, MATCH("s-CW-nc",heading_S_1,0), FALSE))</f>
        <v>0.8040201005025126</v>
      </c>
      <c r="I109" s="461">
        <f t="shared" ref="I109:I124" si="120">(VLOOKUP(A109,Table_S_2, MATCH("SV",heading_S_2,0), FALSE))</f>
        <v>2.4199999999999999E-2</v>
      </c>
      <c r="J109" s="466">
        <f t="shared" ref="J109:J124" si="121">(VLOOKUP(A109,Table_S_2, MATCH("MV",heading_S_2,0), FALSE))</f>
        <v>1.3</v>
      </c>
      <c r="K109" s="464" t="str">
        <f t="shared" ref="K109:K124" si="122">(VLOOKUP(A109,Table_S_3, MATCH("DW-Leach",heading_S_3,0), FALSE))</f>
        <v>--</v>
      </c>
      <c r="L109" s="465" t="str">
        <f t="shared" ref="L109:L124" si="123">(VLOOKUP(A109,Table_S_3, MATCH("NDW-Leach",heading_S_3,0), FALSE))</f>
        <v>--</v>
      </c>
      <c r="M109" s="466">
        <f t="shared" ref="M109:M124" si="124">(VLOOKUP(A109,Table_S_4, MATCH("S-GC",heading_S_4,0), FALSE))</f>
        <v>5344.9706738544483</v>
      </c>
      <c r="N109" s="461">
        <f t="shared" ref="N109:N124" si="125">(VLOOKUP(A109,Table_S_5, MATCH("res_ss_no",heading_S_5,0), FALSE))</f>
        <v>500</v>
      </c>
      <c r="O109" s="462">
        <f t="shared" ref="O109:O124" si="126">(VLOOKUP(A109,Table_S_5, MATCH("com_ss_no",heading_S_5,0), FALSE))</f>
        <v>1000</v>
      </c>
      <c r="P109" s="467">
        <f t="shared" ref="P109:P124" si="127">(VLOOKUP(A109,Table_S_5, MATCH("any_ds_no",heading_S_5,0), FALSE))</f>
        <v>1000</v>
      </c>
      <c r="Q109" s="468">
        <f t="shared" ref="Q109:Q124" si="128">IF((MIN(C109:P109)=0), "--",MIN(C109:P109))</f>
        <v>2.4199999999999999E-2</v>
      </c>
      <c r="R109" s="469" t="str">
        <f t="shared" ref="R109:R124" si="129">IF(Q109="--", "--", IF(Q109=I109,"Terr Habitat", IF(Q109=K109, "Leaching", IF(Q109=M109, "Gross Contam", IF(Q109=N109, "Odor/Nuis", IF(OR(Q109=C109, Q109=G109), "Canc-Risk", IF(OR(Q109=D109, Q109=H109), "NC-Hazard","--")))))))</f>
        <v>Terr Habitat</v>
      </c>
    </row>
    <row r="110" spans="1:18" s="448" customFormat="1" ht="30" customHeight="1">
      <c r="A110" s="893" t="s">
        <v>283</v>
      </c>
      <c r="B110" s="611" t="s">
        <v>284</v>
      </c>
      <c r="C110" s="612" t="str">
        <f t="shared" si="99"/>
        <v>--</v>
      </c>
      <c r="D110" s="467">
        <f t="shared" si="115"/>
        <v>1.2642735911142926E-4</v>
      </c>
      <c r="E110" s="612" t="str">
        <f t="shared" si="116"/>
        <v>--</v>
      </c>
      <c r="F110" s="467">
        <f t="shared" si="117"/>
        <v>1.6413254264916672E-3</v>
      </c>
      <c r="G110" s="466" t="str">
        <f t="shared" si="118"/>
        <v>--</v>
      </c>
      <c r="H110" s="467">
        <f t="shared" si="119"/>
        <v>5.3601340033500853E-4</v>
      </c>
      <c r="I110" s="461">
        <f t="shared" si="120"/>
        <v>6.7699999999999996E-2</v>
      </c>
      <c r="J110" s="466">
        <f t="shared" si="121"/>
        <v>6.7699999999999996E-2</v>
      </c>
      <c r="K110" s="464" t="str">
        <f t="shared" si="122"/>
        <v>--</v>
      </c>
      <c r="L110" s="465" t="str">
        <f t="shared" si="123"/>
        <v>--</v>
      </c>
      <c r="M110" s="466">
        <f t="shared" si="124"/>
        <v>14988.68000314353</v>
      </c>
      <c r="N110" s="461">
        <f t="shared" si="125"/>
        <v>500</v>
      </c>
      <c r="O110" s="462">
        <f t="shared" si="126"/>
        <v>1000</v>
      </c>
      <c r="P110" s="467">
        <f t="shared" si="127"/>
        <v>1000</v>
      </c>
      <c r="Q110" s="468">
        <f t="shared" si="128"/>
        <v>1.2642735911142926E-4</v>
      </c>
      <c r="R110" s="469" t="str">
        <f t="shared" si="129"/>
        <v>NC-Hazard</v>
      </c>
    </row>
    <row r="111" spans="1:18" s="448" customFormat="1" ht="30" customHeight="1">
      <c r="A111" s="893" t="s">
        <v>285</v>
      </c>
      <c r="B111" s="611" t="s">
        <v>286</v>
      </c>
      <c r="C111" s="612" t="str">
        <f t="shared" si="99"/>
        <v>--</v>
      </c>
      <c r="D111" s="467">
        <f t="shared" si="115"/>
        <v>18.964103866714392</v>
      </c>
      <c r="E111" s="612" t="str">
        <f t="shared" si="116"/>
        <v>--</v>
      </c>
      <c r="F111" s="467">
        <f t="shared" si="117"/>
        <v>246.19881397375005</v>
      </c>
      <c r="G111" s="466" t="str">
        <f t="shared" si="118"/>
        <v>--</v>
      </c>
      <c r="H111" s="467">
        <f t="shared" si="119"/>
        <v>80.402010050251249</v>
      </c>
      <c r="I111" s="461" t="str">
        <f t="shared" si="120"/>
        <v>--</v>
      </c>
      <c r="J111" s="466" t="str">
        <f t="shared" si="121"/>
        <v>--</v>
      </c>
      <c r="K111" s="464" t="str">
        <f t="shared" si="122"/>
        <v>--</v>
      </c>
      <c r="L111" s="465" t="str">
        <f t="shared" si="123"/>
        <v>--</v>
      </c>
      <c r="M111" s="466">
        <f t="shared" si="124"/>
        <v>2011.3234002348654</v>
      </c>
      <c r="N111" s="461">
        <f t="shared" si="125"/>
        <v>500</v>
      </c>
      <c r="O111" s="462">
        <f t="shared" si="126"/>
        <v>1000</v>
      </c>
      <c r="P111" s="467">
        <f t="shared" si="127"/>
        <v>1000</v>
      </c>
      <c r="Q111" s="468">
        <f t="shared" si="128"/>
        <v>18.964103866714392</v>
      </c>
      <c r="R111" s="469" t="str">
        <f t="shared" si="129"/>
        <v>NC-Hazard</v>
      </c>
    </row>
    <row r="112" spans="1:18" s="448" customFormat="1" ht="30" customHeight="1">
      <c r="A112" s="893" t="s">
        <v>287</v>
      </c>
      <c r="B112" s="611" t="s">
        <v>288</v>
      </c>
      <c r="C112" s="612" t="str">
        <f t="shared" si="99"/>
        <v>--</v>
      </c>
      <c r="D112" s="467">
        <f t="shared" si="115"/>
        <v>3.1606839777857316</v>
      </c>
      <c r="E112" s="612" t="str">
        <f t="shared" si="116"/>
        <v>--</v>
      </c>
      <c r="F112" s="467">
        <f t="shared" si="117"/>
        <v>41.03313566229167</v>
      </c>
      <c r="G112" s="466" t="str">
        <f t="shared" si="118"/>
        <v>--</v>
      </c>
      <c r="H112" s="467">
        <f t="shared" si="119"/>
        <v>13.40033500837521</v>
      </c>
      <c r="I112" s="461" t="str">
        <f t="shared" si="120"/>
        <v>--</v>
      </c>
      <c r="J112" s="466" t="str">
        <f t="shared" si="121"/>
        <v>--</v>
      </c>
      <c r="K112" s="464" t="str">
        <f t="shared" si="122"/>
        <v>--</v>
      </c>
      <c r="L112" s="465" t="str">
        <f t="shared" si="123"/>
        <v>--</v>
      </c>
      <c r="M112" s="466">
        <f t="shared" si="124"/>
        <v>42337.030000218154</v>
      </c>
      <c r="N112" s="461">
        <f t="shared" si="125"/>
        <v>500</v>
      </c>
      <c r="O112" s="462">
        <f t="shared" si="126"/>
        <v>1000</v>
      </c>
      <c r="P112" s="467">
        <f t="shared" si="127"/>
        <v>1000</v>
      </c>
      <c r="Q112" s="468">
        <f t="shared" si="128"/>
        <v>3.1606839777857316</v>
      </c>
      <c r="R112" s="469" t="str">
        <f t="shared" si="129"/>
        <v>NC-Hazard</v>
      </c>
    </row>
    <row r="113" spans="1:18" s="448" customFormat="1" ht="30" customHeight="1">
      <c r="A113" s="893" t="s">
        <v>289</v>
      </c>
      <c r="B113" s="611" t="s">
        <v>290</v>
      </c>
      <c r="C113" s="612" t="str">
        <f t="shared" si="99"/>
        <v>--</v>
      </c>
      <c r="D113" s="467">
        <f t="shared" si="115"/>
        <v>63.213679555714634</v>
      </c>
      <c r="E113" s="612" t="str">
        <f t="shared" si="116"/>
        <v>--</v>
      </c>
      <c r="F113" s="467">
        <f t="shared" si="117"/>
        <v>820.66271324583363</v>
      </c>
      <c r="G113" s="466" t="str">
        <f t="shared" si="118"/>
        <v>--</v>
      </c>
      <c r="H113" s="467">
        <f t="shared" si="119"/>
        <v>268.00670016750416</v>
      </c>
      <c r="I113" s="461" t="str">
        <f t="shared" si="120"/>
        <v>--</v>
      </c>
      <c r="J113" s="466" t="str">
        <f t="shared" si="121"/>
        <v>--</v>
      </c>
      <c r="K113" s="464" t="str">
        <f t="shared" si="122"/>
        <v>--</v>
      </c>
      <c r="L113" s="465" t="str">
        <f t="shared" si="123"/>
        <v>--</v>
      </c>
      <c r="M113" s="466">
        <f t="shared" si="124"/>
        <v>415.61360000081248</v>
      </c>
      <c r="N113" s="461">
        <f t="shared" si="125"/>
        <v>500</v>
      </c>
      <c r="O113" s="462">
        <f t="shared" si="126"/>
        <v>1000</v>
      </c>
      <c r="P113" s="467">
        <f t="shared" si="127"/>
        <v>1000</v>
      </c>
      <c r="Q113" s="468">
        <f t="shared" si="128"/>
        <v>63.213679555714634</v>
      </c>
      <c r="R113" s="469" t="str">
        <f t="shared" si="129"/>
        <v>NC-Hazard</v>
      </c>
    </row>
    <row r="114" spans="1:18" s="448" customFormat="1" ht="30" customHeight="1">
      <c r="A114" s="893" t="s">
        <v>291</v>
      </c>
      <c r="B114" s="611" t="s">
        <v>292</v>
      </c>
      <c r="C114" s="612" t="str">
        <f t="shared" si="99"/>
        <v>--</v>
      </c>
      <c r="D114" s="467">
        <f t="shared" si="115"/>
        <v>2528.5471822285854</v>
      </c>
      <c r="E114" s="612" t="str">
        <f t="shared" si="116"/>
        <v>--</v>
      </c>
      <c r="F114" s="467">
        <f t="shared" si="117"/>
        <v>32826.508529833336</v>
      </c>
      <c r="G114" s="466" t="str">
        <f t="shared" si="118"/>
        <v>--</v>
      </c>
      <c r="H114" s="467">
        <f t="shared" si="119"/>
        <v>10720.268006700167</v>
      </c>
      <c r="I114" s="461" t="str">
        <f t="shared" si="120"/>
        <v>--</v>
      </c>
      <c r="J114" s="466" t="str">
        <f t="shared" si="121"/>
        <v>--</v>
      </c>
      <c r="K114" s="464" t="str">
        <f t="shared" si="122"/>
        <v>--</v>
      </c>
      <c r="L114" s="465" t="str">
        <f t="shared" si="123"/>
        <v>--</v>
      </c>
      <c r="M114" s="466">
        <f t="shared" si="124"/>
        <v>3.807470000005019</v>
      </c>
      <c r="N114" s="461">
        <f t="shared" si="125"/>
        <v>500</v>
      </c>
      <c r="O114" s="462">
        <f t="shared" si="126"/>
        <v>1000</v>
      </c>
      <c r="P114" s="467">
        <f t="shared" si="127"/>
        <v>1000</v>
      </c>
      <c r="Q114" s="468">
        <f t="shared" si="128"/>
        <v>3.807470000005019</v>
      </c>
      <c r="R114" s="469" t="str">
        <f t="shared" si="129"/>
        <v>Gross Contam</v>
      </c>
    </row>
    <row r="115" spans="1:18" s="448" customFormat="1" ht="30" customHeight="1">
      <c r="A115" s="893" t="s">
        <v>293</v>
      </c>
      <c r="B115" s="611" t="s">
        <v>294</v>
      </c>
      <c r="C115" s="612" t="str">
        <f t="shared" si="99"/>
        <v>--</v>
      </c>
      <c r="D115" s="467">
        <f t="shared" si="115"/>
        <v>18.964103866714392</v>
      </c>
      <c r="E115" s="612" t="str">
        <f t="shared" si="116"/>
        <v>--</v>
      </c>
      <c r="F115" s="467">
        <f t="shared" si="117"/>
        <v>246.19881397375005</v>
      </c>
      <c r="G115" s="466" t="str">
        <f t="shared" si="118"/>
        <v>--</v>
      </c>
      <c r="H115" s="467">
        <f t="shared" si="119"/>
        <v>80.402010050251249</v>
      </c>
      <c r="I115" s="461">
        <f t="shared" si="120"/>
        <v>0.81699999999999995</v>
      </c>
      <c r="J115" s="466">
        <f t="shared" si="121"/>
        <v>10</v>
      </c>
      <c r="K115" s="464" t="str">
        <f t="shared" si="122"/>
        <v>--</v>
      </c>
      <c r="L115" s="465" t="str">
        <f t="shared" si="123"/>
        <v>--</v>
      </c>
      <c r="M115" s="466">
        <f t="shared" si="124"/>
        <v>102640.00058490044</v>
      </c>
      <c r="N115" s="461">
        <f t="shared" si="125"/>
        <v>500</v>
      </c>
      <c r="O115" s="462">
        <f t="shared" si="126"/>
        <v>1000</v>
      </c>
      <c r="P115" s="467">
        <f t="shared" si="127"/>
        <v>1000</v>
      </c>
      <c r="Q115" s="468">
        <f t="shared" si="128"/>
        <v>0.81699999999999995</v>
      </c>
      <c r="R115" s="469" t="str">
        <f t="shared" si="129"/>
        <v>Terr Habitat</v>
      </c>
    </row>
    <row r="116" spans="1:18" s="448" customFormat="1" ht="30" customHeight="1">
      <c r="A116" s="893" t="s">
        <v>295</v>
      </c>
      <c r="B116" s="611" t="s">
        <v>296</v>
      </c>
      <c r="C116" s="612" t="str">
        <f t="shared" si="99"/>
        <v>--</v>
      </c>
      <c r="D116" s="467">
        <f t="shared" si="115"/>
        <v>1.2642735911142928</v>
      </c>
      <c r="E116" s="612" t="str">
        <f t="shared" si="116"/>
        <v>--</v>
      </c>
      <c r="F116" s="467">
        <f t="shared" si="117"/>
        <v>16.41325426491667</v>
      </c>
      <c r="G116" s="466" t="str">
        <f t="shared" si="118"/>
        <v>--</v>
      </c>
      <c r="H116" s="467">
        <f t="shared" si="119"/>
        <v>5.3601340033500851</v>
      </c>
      <c r="I116" s="461">
        <f t="shared" si="120"/>
        <v>0.14499999999999999</v>
      </c>
      <c r="J116" s="466">
        <f t="shared" si="121"/>
        <v>1</v>
      </c>
      <c r="K116" s="464" t="str">
        <f t="shared" si="122"/>
        <v>--</v>
      </c>
      <c r="L116" s="465" t="str">
        <f t="shared" si="123"/>
        <v>--</v>
      </c>
      <c r="M116" s="466">
        <f t="shared" si="124"/>
        <v>188.0753628032345</v>
      </c>
      <c r="N116" s="461">
        <f t="shared" si="125"/>
        <v>500</v>
      </c>
      <c r="O116" s="462">
        <f t="shared" si="126"/>
        <v>1000</v>
      </c>
      <c r="P116" s="467">
        <f t="shared" si="127"/>
        <v>1000</v>
      </c>
      <c r="Q116" s="468">
        <f t="shared" si="128"/>
        <v>0.14499999999999999</v>
      </c>
      <c r="R116" s="469" t="str">
        <f t="shared" si="129"/>
        <v>Terr Habitat</v>
      </c>
    </row>
    <row r="117" spans="1:18" s="448" customFormat="1" ht="30" customHeight="1">
      <c r="A117" s="893" t="s">
        <v>297</v>
      </c>
      <c r="B117" s="611" t="s">
        <v>298</v>
      </c>
      <c r="C117" s="612">
        <f t="shared" si="99"/>
        <v>1.3736444669412703E-2</v>
      </c>
      <c r="D117" s="467">
        <f t="shared" si="115"/>
        <v>6.3213679555714636E-3</v>
      </c>
      <c r="E117" s="612">
        <f t="shared" si="116"/>
        <v>5.8173559419957811E-2</v>
      </c>
      <c r="F117" s="467">
        <f t="shared" si="117"/>
        <v>8.2066271324583343E-2</v>
      </c>
      <c r="G117" s="466">
        <f t="shared" si="118"/>
        <v>0.47494858257532391</v>
      </c>
      <c r="H117" s="467">
        <f t="shared" si="119"/>
        <v>2.6800670016750419E-2</v>
      </c>
      <c r="I117" s="461">
        <f t="shared" si="120"/>
        <v>4.0000000000000001E-3</v>
      </c>
      <c r="J117" s="466">
        <f t="shared" si="121"/>
        <v>0.05</v>
      </c>
      <c r="K117" s="464" t="str">
        <f t="shared" si="122"/>
        <v>--</v>
      </c>
      <c r="L117" s="465" t="str">
        <f t="shared" si="123"/>
        <v>--</v>
      </c>
      <c r="M117" s="466">
        <f t="shared" si="124"/>
        <v>5113.602284081313</v>
      </c>
      <c r="N117" s="461">
        <f t="shared" si="125"/>
        <v>500</v>
      </c>
      <c r="O117" s="462">
        <f t="shared" si="126"/>
        <v>1000</v>
      </c>
      <c r="P117" s="467">
        <f t="shared" si="127"/>
        <v>1000</v>
      </c>
      <c r="Q117" s="468">
        <f t="shared" si="128"/>
        <v>4.0000000000000001E-3</v>
      </c>
      <c r="R117" s="469" t="str">
        <f t="shared" si="129"/>
        <v>Terr Habitat</v>
      </c>
    </row>
    <row r="118" spans="1:18" s="448" customFormat="1" ht="30" customHeight="1">
      <c r="A118" s="893" t="s">
        <v>299</v>
      </c>
      <c r="B118" s="611" t="s">
        <v>300</v>
      </c>
      <c r="C118" s="612" t="str">
        <f t="shared" si="99"/>
        <v>--</v>
      </c>
      <c r="D118" s="467">
        <f t="shared" si="115"/>
        <v>0.23464285714285715</v>
      </c>
      <c r="E118" s="612" t="str">
        <f t="shared" si="116"/>
        <v>--</v>
      </c>
      <c r="F118" s="467">
        <f t="shared" si="117"/>
        <v>3.5040000000000004</v>
      </c>
      <c r="G118" s="466" t="str">
        <f t="shared" si="118"/>
        <v>--</v>
      </c>
      <c r="H118" s="467">
        <f t="shared" si="119"/>
        <v>1.0618181818181818</v>
      </c>
      <c r="I118" s="461" t="str">
        <f t="shared" si="120"/>
        <v>--</v>
      </c>
      <c r="J118" s="466" t="str">
        <f t="shared" si="121"/>
        <v>--</v>
      </c>
      <c r="K118" s="464" t="str">
        <f t="shared" si="122"/>
        <v>--</v>
      </c>
      <c r="L118" s="465" t="str">
        <f t="shared" si="123"/>
        <v>--</v>
      </c>
      <c r="M118" s="466">
        <f t="shared" si="124"/>
        <v>1923214.6555471697</v>
      </c>
      <c r="N118" s="461">
        <f t="shared" si="125"/>
        <v>100</v>
      </c>
      <c r="O118" s="462">
        <f t="shared" si="126"/>
        <v>500</v>
      </c>
      <c r="P118" s="467">
        <f t="shared" si="127"/>
        <v>500</v>
      </c>
      <c r="Q118" s="468">
        <f t="shared" si="128"/>
        <v>0.23464285714285715</v>
      </c>
      <c r="R118" s="469" t="str">
        <f t="shared" si="129"/>
        <v>NC-Hazard</v>
      </c>
    </row>
    <row r="119" spans="1:18" s="448" customFormat="1" ht="30" customHeight="1">
      <c r="A119" s="893" t="s">
        <v>301</v>
      </c>
      <c r="B119" s="611" t="s">
        <v>302</v>
      </c>
      <c r="C119" s="612" t="str">
        <f t="shared" si="99"/>
        <v>--</v>
      </c>
      <c r="D119" s="467">
        <f t="shared" si="115"/>
        <v>18962.836092564077</v>
      </c>
      <c r="E119" s="612" t="str">
        <f t="shared" si="116"/>
        <v>--</v>
      </c>
      <c r="F119" s="467">
        <f t="shared" si="117"/>
        <v>246147.94661835828</v>
      </c>
      <c r="G119" s="466" t="str">
        <f t="shared" si="118"/>
        <v>--</v>
      </c>
      <c r="H119" s="467">
        <f t="shared" si="119"/>
        <v>73938.832456960969</v>
      </c>
      <c r="I119" s="461">
        <f t="shared" si="120"/>
        <v>9.4</v>
      </c>
      <c r="J119" s="466">
        <f t="shared" si="121"/>
        <v>9.4</v>
      </c>
      <c r="K119" s="464">
        <f t="shared" si="122"/>
        <v>0.93231800793000008</v>
      </c>
      <c r="L119" s="465">
        <f t="shared" si="123"/>
        <v>0.93231800793000008</v>
      </c>
      <c r="M119" s="466">
        <f t="shared" si="124"/>
        <v>101281.17339659671</v>
      </c>
      <c r="N119" s="461">
        <f t="shared" si="125"/>
        <v>500</v>
      </c>
      <c r="O119" s="462">
        <f t="shared" si="126"/>
        <v>1000</v>
      </c>
      <c r="P119" s="467">
        <f t="shared" si="127"/>
        <v>1000</v>
      </c>
      <c r="Q119" s="468">
        <f t="shared" si="128"/>
        <v>0.93231800793000008</v>
      </c>
      <c r="R119" s="469" t="str">
        <f t="shared" si="129"/>
        <v>Leaching</v>
      </c>
    </row>
    <row r="120" spans="1:18" s="448" customFormat="1" ht="30" customHeight="1">
      <c r="A120" s="893" t="s">
        <v>303</v>
      </c>
      <c r="B120" s="611" t="s">
        <v>304</v>
      </c>
      <c r="C120" s="612">
        <f t="shared" si="99"/>
        <v>0.22770871299594589</v>
      </c>
      <c r="D120" s="467" t="str">
        <f t="shared" si="115"/>
        <v>--</v>
      </c>
      <c r="E120" s="612">
        <f t="shared" si="116"/>
        <v>0.94068693558064298</v>
      </c>
      <c r="F120" s="467" t="str">
        <f t="shared" si="117"/>
        <v>--</v>
      </c>
      <c r="G120" s="466">
        <f t="shared" si="118"/>
        <v>7.4343297676734545</v>
      </c>
      <c r="H120" s="467" t="str">
        <f t="shared" si="119"/>
        <v>--</v>
      </c>
      <c r="I120" s="461">
        <f t="shared" si="120"/>
        <v>1.1000000000000001</v>
      </c>
      <c r="J120" s="466">
        <f t="shared" si="121"/>
        <v>1.1000000000000001</v>
      </c>
      <c r="K120" s="464">
        <f t="shared" si="122"/>
        <v>328.09224832482249</v>
      </c>
      <c r="L120" s="465">
        <f t="shared" si="123"/>
        <v>328.09224832482249</v>
      </c>
      <c r="M120" s="466">
        <f t="shared" si="124"/>
        <v>328.09224832482249</v>
      </c>
      <c r="N120" s="461">
        <f t="shared" si="125"/>
        <v>500</v>
      </c>
      <c r="O120" s="462">
        <f t="shared" si="126"/>
        <v>1000</v>
      </c>
      <c r="P120" s="467">
        <f t="shared" si="127"/>
        <v>1000</v>
      </c>
      <c r="Q120" s="468">
        <f t="shared" si="128"/>
        <v>0.22770871299594589</v>
      </c>
      <c r="R120" s="469" t="str">
        <f t="shared" si="129"/>
        <v>Canc-Risk</v>
      </c>
    </row>
    <row r="121" spans="1:18" s="448" customFormat="1" ht="30" customHeight="1">
      <c r="A121" s="893" t="s">
        <v>305</v>
      </c>
      <c r="B121" s="611" t="s">
        <v>306</v>
      </c>
      <c r="C121" s="612" t="str">
        <f t="shared" si="99"/>
        <v>--</v>
      </c>
      <c r="D121" s="467">
        <f t="shared" si="115"/>
        <v>391.06603703599149</v>
      </c>
      <c r="E121" s="612" t="str">
        <f t="shared" si="116"/>
        <v>--</v>
      </c>
      <c r="F121" s="467">
        <f t="shared" si="117"/>
        <v>5839.7137395225727</v>
      </c>
      <c r="G121" s="466" t="str">
        <f t="shared" si="118"/>
        <v>--</v>
      </c>
      <c r="H121" s="467">
        <f t="shared" si="119"/>
        <v>1736.2907031618688</v>
      </c>
      <c r="I121" s="461">
        <f t="shared" si="120"/>
        <v>2.4</v>
      </c>
      <c r="J121" s="466">
        <f t="shared" si="121"/>
        <v>5.5</v>
      </c>
      <c r="K121" s="464" t="str">
        <f t="shared" si="122"/>
        <v>--</v>
      </c>
      <c r="L121" s="465" t="str">
        <f t="shared" si="123"/>
        <v>--</v>
      </c>
      <c r="M121" s="466" t="str">
        <f t="shared" si="124"/>
        <v>--</v>
      </c>
      <c r="N121" s="461" t="str">
        <f t="shared" si="125"/>
        <v>--</v>
      </c>
      <c r="O121" s="462" t="str">
        <f t="shared" si="126"/>
        <v>--</v>
      </c>
      <c r="P121" s="467" t="str">
        <f t="shared" si="127"/>
        <v>--</v>
      </c>
      <c r="Q121" s="468">
        <f t="shared" si="128"/>
        <v>2.4</v>
      </c>
      <c r="R121" s="469" t="str">
        <f t="shared" si="129"/>
        <v>Terr Habitat</v>
      </c>
    </row>
    <row r="122" spans="1:18" s="448" customFormat="1" ht="30" customHeight="1">
      <c r="A122" s="893" t="s">
        <v>307</v>
      </c>
      <c r="B122" s="611" t="s">
        <v>308</v>
      </c>
      <c r="C122" s="612" t="str">
        <f t="shared" si="99"/>
        <v>--</v>
      </c>
      <c r="D122" s="467">
        <f t="shared" si="115"/>
        <v>391.07142857142856</v>
      </c>
      <c r="E122" s="612" t="str">
        <f t="shared" si="116"/>
        <v>--</v>
      </c>
      <c r="F122" s="467">
        <f t="shared" si="117"/>
        <v>5840</v>
      </c>
      <c r="G122" s="466" t="str">
        <f t="shared" si="118"/>
        <v>--</v>
      </c>
      <c r="H122" s="467">
        <f t="shared" si="119"/>
        <v>1769.6969696969697</v>
      </c>
      <c r="I122" s="461">
        <f t="shared" si="120"/>
        <v>25</v>
      </c>
      <c r="J122" s="466">
        <f t="shared" si="121"/>
        <v>50</v>
      </c>
      <c r="K122" s="464" t="str">
        <f t="shared" si="122"/>
        <v>--</v>
      </c>
      <c r="L122" s="465" t="str">
        <f t="shared" si="123"/>
        <v>--</v>
      </c>
      <c r="M122" s="466" t="str">
        <f t="shared" si="124"/>
        <v>--</v>
      </c>
      <c r="N122" s="461" t="str">
        <f t="shared" si="125"/>
        <v>--</v>
      </c>
      <c r="O122" s="462" t="str">
        <f t="shared" si="126"/>
        <v>--</v>
      </c>
      <c r="P122" s="467" t="str">
        <f t="shared" si="127"/>
        <v>--</v>
      </c>
      <c r="Q122" s="468">
        <f t="shared" si="128"/>
        <v>25</v>
      </c>
      <c r="R122" s="469" t="str">
        <f t="shared" si="129"/>
        <v>Terr Habitat</v>
      </c>
    </row>
    <row r="123" spans="1:18" s="448" customFormat="1" ht="30" customHeight="1">
      <c r="A123" s="893" t="s">
        <v>309</v>
      </c>
      <c r="B123" s="611" t="s">
        <v>310</v>
      </c>
      <c r="C123" s="612" t="str">
        <f t="shared" si="99"/>
        <v>--</v>
      </c>
      <c r="D123" s="467">
        <f t="shared" si="115"/>
        <v>5620.8680730044125</v>
      </c>
      <c r="E123" s="612" t="str">
        <f t="shared" si="116"/>
        <v>--</v>
      </c>
      <c r="F123" s="467">
        <f t="shared" si="117"/>
        <v>31292.319613139312</v>
      </c>
      <c r="G123" s="466" t="str">
        <f t="shared" si="118"/>
        <v>--</v>
      </c>
      <c r="H123" s="467">
        <f t="shared" si="119"/>
        <v>7304.9482862341747</v>
      </c>
      <c r="I123" s="461">
        <f t="shared" si="120"/>
        <v>22</v>
      </c>
      <c r="J123" s="466">
        <f t="shared" si="121"/>
        <v>43</v>
      </c>
      <c r="K123" s="464">
        <f t="shared" si="122"/>
        <v>0.91121850000000004</v>
      </c>
      <c r="L123" s="465">
        <f t="shared" si="123"/>
        <v>10.023403500000001</v>
      </c>
      <c r="M123" s="466">
        <f t="shared" si="124"/>
        <v>867.34392396262422</v>
      </c>
      <c r="N123" s="461">
        <f t="shared" si="125"/>
        <v>500</v>
      </c>
      <c r="O123" s="462">
        <f t="shared" si="126"/>
        <v>1000</v>
      </c>
      <c r="P123" s="467">
        <f t="shared" si="127"/>
        <v>1000</v>
      </c>
      <c r="Q123" s="468">
        <f t="shared" si="128"/>
        <v>0.91121850000000004</v>
      </c>
      <c r="R123" s="469" t="str">
        <f t="shared" si="129"/>
        <v>Leaching</v>
      </c>
    </row>
    <row r="124" spans="1:18" s="448" customFormat="1" ht="30" customHeight="1">
      <c r="A124" s="893" t="s">
        <v>311</v>
      </c>
      <c r="B124" s="611" t="s">
        <v>312</v>
      </c>
      <c r="C124" s="612">
        <f t="shared" si="99"/>
        <v>1390.4761904761906</v>
      </c>
      <c r="D124" s="467">
        <f t="shared" si="115"/>
        <v>25879.508807054768</v>
      </c>
      <c r="E124" s="612">
        <f t="shared" si="116"/>
        <v>6540.8</v>
      </c>
      <c r="F124" s="467">
        <f t="shared" si="117"/>
        <v>265837.99357635574</v>
      </c>
      <c r="G124" s="466">
        <f t="shared" si="118"/>
        <v>49551.515151515152</v>
      </c>
      <c r="H124" s="467">
        <f t="shared" si="119"/>
        <v>70006.552456619509</v>
      </c>
      <c r="I124" s="461" t="str">
        <f t="shared" si="120"/>
        <v>--</v>
      </c>
      <c r="J124" s="466" t="str">
        <f t="shared" si="121"/>
        <v>--</v>
      </c>
      <c r="K124" s="464">
        <f t="shared" si="122"/>
        <v>4.879192200000001E-3</v>
      </c>
      <c r="L124" s="465">
        <f t="shared" si="123"/>
        <v>7.3187883000000014</v>
      </c>
      <c r="M124" s="466">
        <f t="shared" si="124"/>
        <v>112736.04247725812</v>
      </c>
      <c r="N124" s="461">
        <f t="shared" si="125"/>
        <v>100</v>
      </c>
      <c r="O124" s="462">
        <f t="shared" si="126"/>
        <v>500</v>
      </c>
      <c r="P124" s="467">
        <f t="shared" si="127"/>
        <v>500</v>
      </c>
      <c r="Q124" s="468">
        <f t="shared" si="128"/>
        <v>4.879192200000001E-3</v>
      </c>
      <c r="R124" s="469" t="str">
        <f t="shared" si="129"/>
        <v>Leaching</v>
      </c>
    </row>
    <row r="125" spans="1:18" s="448" customFormat="1" ht="30" customHeight="1">
      <c r="A125" s="893" t="s">
        <v>313</v>
      </c>
      <c r="B125" s="611" t="s">
        <v>314</v>
      </c>
      <c r="C125" s="612">
        <f t="shared" si="99"/>
        <v>1.9932659344327348</v>
      </c>
      <c r="D125" s="467">
        <f t="shared" ref="D125:D141" si="130">(VLOOKUP(A125,Table_S_1, MATCH("s-res-Nc",heading_S_1,0), FALSE))</f>
        <v>2346.4285714285716</v>
      </c>
      <c r="E125" s="612">
        <f t="shared" ref="E125:E141" si="131">(VLOOKUP(A125,Table_S_1, MATCH("s-com-c",heading_S_1,0), FALSE))</f>
        <v>8.5948261095628098</v>
      </c>
      <c r="F125" s="467">
        <f t="shared" ref="F125:F141" si="132">(VLOOKUP(A125,Table_S_1, MATCH("s-com-nc",heading_S_1,0), FALSE))</f>
        <v>35039.999999999993</v>
      </c>
      <c r="G125" s="466">
        <f t="shared" ref="G125:G141" si="133">(VLOOKUP(A125,Table_S_1, MATCH("s-CW-c",heading_S_1,0), FALSE))</f>
        <v>49.337974535048488</v>
      </c>
      <c r="H125" s="467">
        <f t="shared" ref="H125:H141" si="134">(VLOOKUP(A125,Table_S_1, MATCH("s-CW-nc",heading_S_1,0), FALSE))</f>
        <v>10618.181818181818</v>
      </c>
      <c r="I125" s="461" t="str">
        <f t="shared" ref="I125:I141" si="135">(VLOOKUP(A125,Table_S_2, MATCH("SV",heading_S_2,0), FALSE))</f>
        <v>--</v>
      </c>
      <c r="J125" s="466" t="str">
        <f t="shared" ref="J125:J141" si="136">(VLOOKUP(A125,Table_S_2, MATCH("MV",heading_S_2,0), FALSE))</f>
        <v>--</v>
      </c>
      <c r="K125" s="464">
        <f t="shared" ref="K125:K141" si="137">(VLOOKUP(A125,Table_S_3, MATCH("DW-Leach",heading_S_3,0), FALSE))</f>
        <v>1.7095691894324229E-2</v>
      </c>
      <c r="L125" s="465">
        <f t="shared" ref="L125:L141" si="138">(VLOOKUP(A125,Table_S_3, MATCH("NDW-Leach",heading_S_3,0), FALSE))</f>
        <v>0.11061864847900049</v>
      </c>
      <c r="M125" s="466">
        <f t="shared" ref="M125:M141" si="139">(VLOOKUP(A125,Table_S_4, MATCH("S-GC",heading_S_4,0), FALSE))</f>
        <v>680.01576316717876</v>
      </c>
      <c r="N125" s="461">
        <f t="shared" ref="N125:N141" si="140">(VLOOKUP(A125,Table_S_5, MATCH("res_ss_no",heading_S_5,0), FALSE))</f>
        <v>100</v>
      </c>
      <c r="O125" s="462">
        <f t="shared" ref="O125:O141" si="141">(VLOOKUP(A125,Table_S_5, MATCH("com_ss_no",heading_S_5,0), FALSE))</f>
        <v>500</v>
      </c>
      <c r="P125" s="467">
        <f t="shared" ref="P125:P141" si="142">(VLOOKUP(A125,Table_S_5, MATCH("any_ds_no",heading_S_5,0), FALSE))</f>
        <v>500</v>
      </c>
      <c r="Q125" s="468">
        <f t="shared" ref="Q125:Q141" si="143">IF((MIN(C125:P125)=0), "--",MIN(C125:P125))</f>
        <v>1.7095691894324229E-2</v>
      </c>
      <c r="R125" s="469" t="str">
        <f t="shared" ref="R125:R141" si="144">IF(Q125="--", "--", IF(Q125=I125,"Terr Habitat", IF(Q125=K125, "Leaching", IF(Q125=M125, "Gross Contam", IF(Q125=N125, "Odor/Nuis", IF(OR(Q125=C125, Q125=G125), "Canc-Risk", IF(OR(Q125=D125, Q125=H125), "NC-Hazard","--")))))))</f>
        <v>Leaching</v>
      </c>
    </row>
    <row r="126" spans="1:18" s="448" customFormat="1" ht="30" customHeight="1">
      <c r="A126" s="893" t="s">
        <v>315</v>
      </c>
      <c r="B126" s="611" t="s">
        <v>316</v>
      </c>
      <c r="C126" s="612">
        <f t="shared" si="99"/>
        <v>0.60443883894350037</v>
      </c>
      <c r="D126" s="467">
        <f t="shared" si="130"/>
        <v>1564.2857142857142</v>
      </c>
      <c r="E126" s="612">
        <f t="shared" si="131"/>
        <v>2.6298266771875025</v>
      </c>
      <c r="F126" s="467">
        <f t="shared" si="132"/>
        <v>23360</v>
      </c>
      <c r="G126" s="466">
        <f t="shared" si="133"/>
        <v>15.441594464104064</v>
      </c>
      <c r="H126" s="467">
        <f t="shared" si="134"/>
        <v>7078.787878787879</v>
      </c>
      <c r="I126" s="461" t="str">
        <f t="shared" si="135"/>
        <v>--</v>
      </c>
      <c r="J126" s="466" t="str">
        <f t="shared" si="136"/>
        <v>--</v>
      </c>
      <c r="K126" s="464">
        <f t="shared" si="137"/>
        <v>1.8038009000000001E-2</v>
      </c>
      <c r="L126" s="465">
        <f t="shared" si="138"/>
        <v>4.1487420699999993E-2</v>
      </c>
      <c r="M126" s="466">
        <f t="shared" si="139"/>
        <v>1903.1195223540417</v>
      </c>
      <c r="N126" s="461">
        <f t="shared" si="140"/>
        <v>500</v>
      </c>
      <c r="O126" s="462">
        <f t="shared" si="141"/>
        <v>1000</v>
      </c>
      <c r="P126" s="467">
        <f t="shared" si="142"/>
        <v>1000</v>
      </c>
      <c r="Q126" s="468">
        <f t="shared" si="143"/>
        <v>1.8038009000000001E-2</v>
      </c>
      <c r="R126" s="469" t="str">
        <f t="shared" si="144"/>
        <v>Leaching</v>
      </c>
    </row>
    <row r="127" spans="1:18" s="448" customFormat="1" ht="30" customHeight="1">
      <c r="A127" s="893" t="s">
        <v>317</v>
      </c>
      <c r="B127" s="611" t="s">
        <v>318</v>
      </c>
      <c r="C127" s="612">
        <f t="shared" si="99"/>
        <v>0.58761543617295708</v>
      </c>
      <c r="D127" s="467">
        <f t="shared" si="130"/>
        <v>81.048537528281187</v>
      </c>
      <c r="E127" s="612">
        <f t="shared" si="131"/>
        <v>2.6240002171253174</v>
      </c>
      <c r="F127" s="467">
        <f t="shared" si="132"/>
        <v>381.51129535112051</v>
      </c>
      <c r="G127" s="466">
        <f t="shared" si="133"/>
        <v>16.649561556861702</v>
      </c>
      <c r="H127" s="467">
        <f t="shared" si="134"/>
        <v>87.344771900303996</v>
      </c>
      <c r="I127" s="461">
        <f t="shared" si="135"/>
        <v>4.5</v>
      </c>
      <c r="J127" s="466">
        <f t="shared" si="136"/>
        <v>43</v>
      </c>
      <c r="K127" s="464">
        <f t="shared" si="137"/>
        <v>7.9905242476613736E-2</v>
      </c>
      <c r="L127" s="465">
        <f t="shared" si="138"/>
        <v>7.9905242476613736E-2</v>
      </c>
      <c r="M127" s="466">
        <f t="shared" si="139"/>
        <v>166.16560580940779</v>
      </c>
      <c r="N127" s="461">
        <f t="shared" si="140"/>
        <v>500</v>
      </c>
      <c r="O127" s="462">
        <f t="shared" si="141"/>
        <v>1000</v>
      </c>
      <c r="P127" s="467">
        <f t="shared" si="142"/>
        <v>1000</v>
      </c>
      <c r="Q127" s="468">
        <f t="shared" si="143"/>
        <v>7.9905242476613736E-2</v>
      </c>
      <c r="R127" s="469" t="str">
        <f t="shared" si="144"/>
        <v>Leaching</v>
      </c>
    </row>
    <row r="128" spans="1:18" s="448" customFormat="1" ht="30" customHeight="1">
      <c r="A128" s="893" t="s">
        <v>319</v>
      </c>
      <c r="B128" s="611" t="s">
        <v>320</v>
      </c>
      <c r="C128" s="612" t="str">
        <f t="shared" si="99"/>
        <v>--</v>
      </c>
      <c r="D128" s="467">
        <f t="shared" si="130"/>
        <v>0.78214285714285725</v>
      </c>
      <c r="E128" s="612" t="str">
        <f t="shared" si="131"/>
        <v>--</v>
      </c>
      <c r="F128" s="467">
        <f t="shared" si="132"/>
        <v>11.680000000000003</v>
      </c>
      <c r="G128" s="466" t="str">
        <f t="shared" si="133"/>
        <v>--</v>
      </c>
      <c r="H128" s="467">
        <f t="shared" si="134"/>
        <v>3.53939393939394</v>
      </c>
      <c r="I128" s="461">
        <f t="shared" si="135"/>
        <v>1.8</v>
      </c>
      <c r="J128" s="466">
        <f t="shared" si="136"/>
        <v>4.5</v>
      </c>
      <c r="K128" s="464" t="str">
        <f t="shared" si="137"/>
        <v>--</v>
      </c>
      <c r="L128" s="465" t="str">
        <f t="shared" si="138"/>
        <v>--</v>
      </c>
      <c r="M128" s="466" t="str">
        <f t="shared" si="139"/>
        <v>--</v>
      </c>
      <c r="N128" s="461" t="str">
        <f t="shared" si="140"/>
        <v>--</v>
      </c>
      <c r="O128" s="462" t="str">
        <f t="shared" si="141"/>
        <v>--</v>
      </c>
      <c r="P128" s="467" t="str">
        <f t="shared" si="142"/>
        <v>--</v>
      </c>
      <c r="Q128" s="468">
        <f t="shared" si="143"/>
        <v>0.78214285714285725</v>
      </c>
      <c r="R128" s="469" t="str">
        <f t="shared" si="144"/>
        <v>NC-Hazard</v>
      </c>
    </row>
    <row r="129" spans="1:18" s="448" customFormat="1" ht="30" customHeight="1">
      <c r="A129" s="893" t="s">
        <v>321</v>
      </c>
      <c r="B129" s="611" t="s">
        <v>322</v>
      </c>
      <c r="C129" s="612" t="str">
        <f t="shared" si="99"/>
        <v>--</v>
      </c>
      <c r="D129" s="467">
        <f t="shared" si="130"/>
        <v>1444.4015205139203</v>
      </c>
      <c r="E129" s="612" t="str">
        <f t="shared" si="131"/>
        <v>--</v>
      </c>
      <c r="F129" s="467">
        <f t="shared" si="132"/>
        <v>7142.7926929519208</v>
      </c>
      <c r="G129" s="466" t="str">
        <f t="shared" si="133"/>
        <v>--</v>
      </c>
      <c r="H129" s="467">
        <f t="shared" si="134"/>
        <v>1644.0262864823758</v>
      </c>
      <c r="I129" s="461">
        <f t="shared" si="135"/>
        <v>140</v>
      </c>
      <c r="J129" s="466">
        <f t="shared" si="136"/>
        <v>660</v>
      </c>
      <c r="K129" s="464">
        <f t="shared" si="137"/>
        <v>3.2016752000000004</v>
      </c>
      <c r="L129" s="465">
        <f t="shared" si="138"/>
        <v>10.4054444</v>
      </c>
      <c r="M129" s="466">
        <f t="shared" si="139"/>
        <v>817.81968815110827</v>
      </c>
      <c r="N129" s="461">
        <f t="shared" si="140"/>
        <v>500</v>
      </c>
      <c r="O129" s="462">
        <f t="shared" si="141"/>
        <v>1000</v>
      </c>
      <c r="P129" s="467">
        <f t="shared" si="142"/>
        <v>1000</v>
      </c>
      <c r="Q129" s="468">
        <f t="shared" si="143"/>
        <v>3.2016752000000004</v>
      </c>
      <c r="R129" s="469" t="str">
        <f t="shared" si="144"/>
        <v>Leaching</v>
      </c>
    </row>
    <row r="130" spans="1:18" s="448" customFormat="1" ht="30" customHeight="1">
      <c r="A130" s="893" t="s">
        <v>323</v>
      </c>
      <c r="B130" s="611" t="s">
        <v>324</v>
      </c>
      <c r="C130" s="612">
        <f t="shared" si="99"/>
        <v>0.45214083768107488</v>
      </c>
      <c r="D130" s="467">
        <f t="shared" si="130"/>
        <v>5.6892311600143186</v>
      </c>
      <c r="E130" s="612">
        <f t="shared" si="131"/>
        <v>1.9148093171810252</v>
      </c>
      <c r="F130" s="467">
        <f t="shared" si="132"/>
        <v>73.859644192125018</v>
      </c>
      <c r="G130" s="466">
        <f t="shared" si="133"/>
        <v>15.394493765488249</v>
      </c>
      <c r="H130" s="467">
        <f t="shared" si="134"/>
        <v>24.120603015075371</v>
      </c>
      <c r="I130" s="461" t="str">
        <f t="shared" si="135"/>
        <v>--</v>
      </c>
      <c r="J130" s="466" t="str">
        <f t="shared" si="136"/>
        <v>--</v>
      </c>
      <c r="K130" s="464">
        <f t="shared" si="137"/>
        <v>254.8150255403508</v>
      </c>
      <c r="L130" s="465">
        <f t="shared" si="138"/>
        <v>254.8150255403508</v>
      </c>
      <c r="M130" s="466">
        <f t="shared" si="139"/>
        <v>254.8150255403508</v>
      </c>
      <c r="N130" s="461">
        <f t="shared" si="140"/>
        <v>500</v>
      </c>
      <c r="O130" s="462">
        <f t="shared" si="141"/>
        <v>1000</v>
      </c>
      <c r="P130" s="467">
        <f t="shared" si="142"/>
        <v>1000</v>
      </c>
      <c r="Q130" s="468">
        <f t="shared" si="143"/>
        <v>0.45214083768107488</v>
      </c>
      <c r="R130" s="469" t="str">
        <f t="shared" si="144"/>
        <v>Canc-Risk</v>
      </c>
    </row>
    <row r="131" spans="1:18" s="448" customFormat="1" ht="30" customHeight="1">
      <c r="A131" s="893" t="s">
        <v>325</v>
      </c>
      <c r="B131" s="611" t="s">
        <v>326</v>
      </c>
      <c r="C131" s="612">
        <f t="shared" si="99"/>
        <v>23.973727422003286</v>
      </c>
      <c r="D131" s="467">
        <f t="shared" si="130"/>
        <v>57.799977770359433</v>
      </c>
      <c r="E131" s="612">
        <f t="shared" si="131"/>
        <v>112.77241379310345</v>
      </c>
      <c r="F131" s="467">
        <f t="shared" si="132"/>
        <v>251.50610070330526</v>
      </c>
      <c r="G131" s="466">
        <f t="shared" si="133"/>
        <v>854.33646812957159</v>
      </c>
      <c r="H131" s="467">
        <f t="shared" si="134"/>
        <v>56.771433999555853</v>
      </c>
      <c r="I131" s="461">
        <f t="shared" si="135"/>
        <v>16</v>
      </c>
      <c r="J131" s="466">
        <f t="shared" si="136"/>
        <v>30</v>
      </c>
      <c r="K131" s="464">
        <f t="shared" si="137"/>
        <v>1.7777155440000001E-2</v>
      </c>
      <c r="L131" s="465">
        <f t="shared" si="138"/>
        <v>1.7777155440000001E-2</v>
      </c>
      <c r="M131" s="466">
        <f t="shared" si="139"/>
        <v>404.10251442735415</v>
      </c>
      <c r="N131" s="461">
        <f t="shared" si="140"/>
        <v>500</v>
      </c>
      <c r="O131" s="462">
        <f t="shared" si="141"/>
        <v>1000</v>
      </c>
      <c r="P131" s="467">
        <f t="shared" si="142"/>
        <v>1000</v>
      </c>
      <c r="Q131" s="468">
        <f t="shared" si="143"/>
        <v>1.7777155440000001E-2</v>
      </c>
      <c r="R131" s="469" t="str">
        <f t="shared" si="144"/>
        <v>Leaching</v>
      </c>
    </row>
    <row r="132" spans="1:18" s="448" customFormat="1" ht="30" customHeight="1">
      <c r="A132" s="893" t="s">
        <v>327</v>
      </c>
      <c r="B132" s="611" t="s">
        <v>328</v>
      </c>
      <c r="C132" s="612" t="str">
        <f t="shared" si="99"/>
        <v>--</v>
      </c>
      <c r="D132" s="467">
        <f t="shared" si="130"/>
        <v>1701.2198140508713</v>
      </c>
      <c r="E132" s="612" t="str">
        <f t="shared" si="131"/>
        <v>--</v>
      </c>
      <c r="F132" s="467">
        <f t="shared" si="132"/>
        <v>7061.9906916737436</v>
      </c>
      <c r="G132" s="466" t="str">
        <f t="shared" si="133"/>
        <v>--</v>
      </c>
      <c r="H132" s="467">
        <f t="shared" si="134"/>
        <v>1595.8231878244881</v>
      </c>
      <c r="I132" s="461">
        <f t="shared" si="135"/>
        <v>22</v>
      </c>
      <c r="J132" s="466">
        <f t="shared" si="136"/>
        <v>44</v>
      </c>
      <c r="K132" s="464">
        <f t="shared" si="137"/>
        <v>7.0708606800000009</v>
      </c>
      <c r="L132" s="465">
        <f t="shared" si="138"/>
        <v>7.0708606800000009</v>
      </c>
      <c r="M132" s="466">
        <f t="shared" si="139"/>
        <v>640.43263153396356</v>
      </c>
      <c r="N132" s="461">
        <f t="shared" si="140"/>
        <v>500</v>
      </c>
      <c r="O132" s="462">
        <f t="shared" si="141"/>
        <v>1000</v>
      </c>
      <c r="P132" s="467">
        <f t="shared" si="142"/>
        <v>1000</v>
      </c>
      <c r="Q132" s="468">
        <f t="shared" si="143"/>
        <v>7.0708606800000009</v>
      </c>
      <c r="R132" s="469" t="str">
        <f t="shared" si="144"/>
        <v>Leaching</v>
      </c>
    </row>
    <row r="133" spans="1:18" s="448" customFormat="1" ht="30" customHeight="1">
      <c r="A133" s="893" t="s">
        <v>329</v>
      </c>
      <c r="B133" s="611" t="s">
        <v>330</v>
      </c>
      <c r="C133" s="612">
        <f t="shared" si="99"/>
        <v>1.147687774376893</v>
      </c>
      <c r="D133" s="467">
        <f t="shared" si="130"/>
        <v>1.4985835594279118</v>
      </c>
      <c r="E133" s="612">
        <f t="shared" si="131"/>
        <v>4.9574806495230073</v>
      </c>
      <c r="F133" s="467">
        <f t="shared" si="132"/>
        <v>6.1933097678704883</v>
      </c>
      <c r="G133" s="466">
        <f t="shared" si="133"/>
        <v>28.583788951009698</v>
      </c>
      <c r="H133" s="467">
        <f t="shared" si="134"/>
        <v>1.3972845378010612</v>
      </c>
      <c r="I133" s="461">
        <f t="shared" si="135"/>
        <v>100</v>
      </c>
      <c r="J133" s="466">
        <f t="shared" si="136"/>
        <v>200</v>
      </c>
      <c r="K133" s="464">
        <f t="shared" si="137"/>
        <v>7.5953840000000009E-2</v>
      </c>
      <c r="L133" s="465">
        <f t="shared" si="138"/>
        <v>7.9129514578974547E-2</v>
      </c>
      <c r="M133" s="466">
        <f t="shared" si="139"/>
        <v>2159.9500282633189</v>
      </c>
      <c r="N133" s="461">
        <f t="shared" si="140"/>
        <v>100</v>
      </c>
      <c r="O133" s="462">
        <f t="shared" si="141"/>
        <v>500</v>
      </c>
      <c r="P133" s="467">
        <f t="shared" si="142"/>
        <v>500</v>
      </c>
      <c r="Q133" s="468">
        <f t="shared" si="143"/>
        <v>7.5953840000000009E-2</v>
      </c>
      <c r="R133" s="469" t="str">
        <f t="shared" si="144"/>
        <v>Leaching</v>
      </c>
    </row>
    <row r="134" spans="1:18" s="448" customFormat="1" ht="30" customHeight="1">
      <c r="A134" s="893" t="s">
        <v>331</v>
      </c>
      <c r="B134" s="611" t="s">
        <v>332</v>
      </c>
      <c r="C134" s="612">
        <f t="shared" si="99"/>
        <v>0.94322350821413881</v>
      </c>
      <c r="D134" s="467">
        <f t="shared" si="130"/>
        <v>4.1221571353619346</v>
      </c>
      <c r="E134" s="612">
        <f t="shared" si="131"/>
        <v>5.9387260045173811</v>
      </c>
      <c r="F134" s="467">
        <f t="shared" si="132"/>
        <v>18.379916689495747</v>
      </c>
      <c r="G134" s="466">
        <f t="shared" si="133"/>
        <v>34.249469832548606</v>
      </c>
      <c r="H134" s="467">
        <f t="shared" si="134"/>
        <v>4.1832527525041323</v>
      </c>
      <c r="I134" s="461">
        <f t="shared" si="135"/>
        <v>8.1</v>
      </c>
      <c r="J134" s="466">
        <f t="shared" si="136"/>
        <v>250</v>
      </c>
      <c r="K134" s="464">
        <f t="shared" si="137"/>
        <v>8.4587965494296632E-2</v>
      </c>
      <c r="L134" s="465">
        <f t="shared" si="138"/>
        <v>8.4587965494296632E-2</v>
      </c>
      <c r="M134" s="466">
        <f t="shared" si="139"/>
        <v>691.75561914459365</v>
      </c>
      <c r="N134" s="461">
        <f t="shared" si="140"/>
        <v>500</v>
      </c>
      <c r="O134" s="462">
        <f t="shared" si="141"/>
        <v>1000</v>
      </c>
      <c r="P134" s="467">
        <f t="shared" si="142"/>
        <v>1000</v>
      </c>
      <c r="Q134" s="468">
        <f t="shared" si="143"/>
        <v>8.4587965494296632E-2</v>
      </c>
      <c r="R134" s="469" t="str">
        <f t="shared" si="144"/>
        <v>Leaching</v>
      </c>
    </row>
    <row r="135" spans="1:18" s="448" customFormat="1" ht="30" customHeight="1">
      <c r="A135" s="893" t="s">
        <v>333</v>
      </c>
      <c r="B135" s="611" t="s">
        <v>334</v>
      </c>
      <c r="C135" s="612" t="str">
        <f t="shared" si="99"/>
        <v>--</v>
      </c>
      <c r="D135" s="467">
        <f t="shared" si="130"/>
        <v>6321.3679555714625</v>
      </c>
      <c r="E135" s="612" t="str">
        <f t="shared" si="131"/>
        <v>--</v>
      </c>
      <c r="F135" s="467">
        <f t="shared" si="132"/>
        <v>82066.271324583358</v>
      </c>
      <c r="G135" s="466" t="str">
        <f t="shared" si="133"/>
        <v>--</v>
      </c>
      <c r="H135" s="467">
        <f t="shared" si="134"/>
        <v>26800.67001675042</v>
      </c>
      <c r="I135" s="461">
        <f t="shared" si="135"/>
        <v>5.5</v>
      </c>
      <c r="J135" s="466">
        <f t="shared" si="136"/>
        <v>10</v>
      </c>
      <c r="K135" s="464">
        <f t="shared" si="137"/>
        <v>0.26511205534000004</v>
      </c>
      <c r="L135" s="465">
        <f t="shared" si="138"/>
        <v>0.26511205534000004</v>
      </c>
      <c r="M135" s="466">
        <f t="shared" si="139"/>
        <v>11618.415045588486</v>
      </c>
      <c r="N135" s="461">
        <f t="shared" si="140"/>
        <v>500</v>
      </c>
      <c r="O135" s="462">
        <f t="shared" si="141"/>
        <v>1000</v>
      </c>
      <c r="P135" s="467">
        <f t="shared" si="142"/>
        <v>1000</v>
      </c>
      <c r="Q135" s="468">
        <f t="shared" si="143"/>
        <v>0.26511205534000004</v>
      </c>
      <c r="R135" s="469" t="str">
        <f t="shared" si="144"/>
        <v>Leaching</v>
      </c>
    </row>
    <row r="136" spans="1:18" s="448" customFormat="1" ht="30" customHeight="1">
      <c r="A136" s="893" t="s">
        <v>335</v>
      </c>
      <c r="B136" s="611" t="s">
        <v>336</v>
      </c>
      <c r="C136" s="612">
        <f t="shared" si="99"/>
        <v>7.7509648108695872</v>
      </c>
      <c r="D136" s="467">
        <f t="shared" si="130"/>
        <v>63.213679555714634</v>
      </c>
      <c r="E136" s="612">
        <f t="shared" si="131"/>
        <v>32.825216444380452</v>
      </c>
      <c r="F136" s="467">
        <f t="shared" si="132"/>
        <v>820.66271324583363</v>
      </c>
      <c r="G136" s="466">
        <f t="shared" si="133"/>
        <v>263.61746970362839</v>
      </c>
      <c r="H136" s="467">
        <f t="shared" si="134"/>
        <v>268.00670016750416</v>
      </c>
      <c r="I136" s="461">
        <f t="shared" si="135"/>
        <v>5.5</v>
      </c>
      <c r="J136" s="466">
        <f t="shared" si="136"/>
        <v>10</v>
      </c>
      <c r="K136" s="464">
        <f t="shared" si="137"/>
        <v>1.8346020078E-2</v>
      </c>
      <c r="L136" s="465">
        <f t="shared" si="138"/>
        <v>1.8346020078E-2</v>
      </c>
      <c r="M136" s="466">
        <f t="shared" si="139"/>
        <v>1908.816098160519</v>
      </c>
      <c r="N136" s="461">
        <f t="shared" si="140"/>
        <v>100</v>
      </c>
      <c r="O136" s="462">
        <f t="shared" si="141"/>
        <v>500</v>
      </c>
      <c r="P136" s="467">
        <f t="shared" si="142"/>
        <v>500</v>
      </c>
      <c r="Q136" s="468">
        <f t="shared" si="143"/>
        <v>1.8346020078E-2</v>
      </c>
      <c r="R136" s="469" t="str">
        <f t="shared" si="144"/>
        <v>Leaching</v>
      </c>
    </row>
    <row r="137" spans="1:18" s="448" customFormat="1" ht="30" customHeight="1">
      <c r="A137" s="893" t="s">
        <v>337</v>
      </c>
      <c r="B137" s="611" t="s">
        <v>338</v>
      </c>
      <c r="C137" s="612">
        <f t="shared" si="99"/>
        <v>5.1048951048951055E-3</v>
      </c>
      <c r="D137" s="467">
        <f t="shared" si="130"/>
        <v>4.8387604164962372</v>
      </c>
      <c r="E137" s="612">
        <f t="shared" si="131"/>
        <v>0.10901333333333334</v>
      </c>
      <c r="F137" s="467">
        <f t="shared" si="132"/>
        <v>20.153885269993136</v>
      </c>
      <c r="G137" s="466">
        <f t="shared" si="133"/>
        <v>0.82585858585858585</v>
      </c>
      <c r="H137" s="467">
        <f t="shared" si="134"/>
        <v>4.5423666592979606</v>
      </c>
      <c r="I137" s="461" t="str">
        <f t="shared" si="135"/>
        <v>--</v>
      </c>
      <c r="J137" s="466" t="str">
        <f t="shared" si="136"/>
        <v>--</v>
      </c>
      <c r="K137" s="464">
        <f t="shared" si="137"/>
        <v>1.0675900499999999E-4</v>
      </c>
      <c r="L137" s="465">
        <f t="shared" si="138"/>
        <v>1.28110806E-4</v>
      </c>
      <c r="M137" s="466">
        <f t="shared" si="139"/>
        <v>1395.5456350247107</v>
      </c>
      <c r="N137" s="461">
        <f t="shared" si="140"/>
        <v>100</v>
      </c>
      <c r="O137" s="462">
        <f t="shared" si="141"/>
        <v>500</v>
      </c>
      <c r="P137" s="467">
        <f t="shared" si="142"/>
        <v>500</v>
      </c>
      <c r="Q137" s="468">
        <f t="shared" si="143"/>
        <v>1.0675900499999999E-4</v>
      </c>
      <c r="R137" s="469" t="str">
        <f t="shared" si="144"/>
        <v>Leaching</v>
      </c>
    </row>
    <row r="138" spans="1:18" s="448" customFormat="1" ht="30" customHeight="1">
      <c r="A138" s="893" t="s">
        <v>339</v>
      </c>
      <c r="B138" s="611" t="s">
        <v>340</v>
      </c>
      <c r="C138" s="612" t="str">
        <f t="shared" si="99"/>
        <v>--</v>
      </c>
      <c r="D138" s="467">
        <f t="shared" si="130"/>
        <v>389.99607175592507</v>
      </c>
      <c r="E138" s="612" t="str">
        <f t="shared" si="131"/>
        <v>--</v>
      </c>
      <c r="F138" s="467">
        <f t="shared" si="132"/>
        <v>5783.3009708737864</v>
      </c>
      <c r="G138" s="466" t="str">
        <f t="shared" si="133"/>
        <v>--</v>
      </c>
      <c r="H138" s="467">
        <f t="shared" si="134"/>
        <v>365.03621391011012</v>
      </c>
      <c r="I138" s="461">
        <f t="shared" si="135"/>
        <v>18</v>
      </c>
      <c r="J138" s="466">
        <f t="shared" si="136"/>
        <v>18</v>
      </c>
      <c r="K138" s="464" t="str">
        <f t="shared" si="137"/>
        <v>--</v>
      </c>
      <c r="L138" s="465" t="str">
        <f t="shared" si="138"/>
        <v>--</v>
      </c>
      <c r="M138" s="466" t="str">
        <f t="shared" si="139"/>
        <v>--</v>
      </c>
      <c r="N138" s="461" t="str">
        <f t="shared" si="140"/>
        <v>--</v>
      </c>
      <c r="O138" s="462" t="str">
        <f t="shared" si="141"/>
        <v>--</v>
      </c>
      <c r="P138" s="467" t="str">
        <f t="shared" si="142"/>
        <v>--</v>
      </c>
      <c r="Q138" s="468">
        <f t="shared" si="143"/>
        <v>18</v>
      </c>
      <c r="R138" s="469" t="str">
        <f t="shared" si="144"/>
        <v>Terr Habitat</v>
      </c>
    </row>
    <row r="139" spans="1:18" s="448" customFormat="1" ht="30" customHeight="1">
      <c r="A139" s="893" t="s">
        <v>341</v>
      </c>
      <c r="B139" s="611" t="s">
        <v>342</v>
      </c>
      <c r="C139" s="612">
        <f t="shared" si="99"/>
        <v>8.2447432304591194E-3</v>
      </c>
      <c r="D139" s="467">
        <f t="shared" si="130"/>
        <v>41.788553403887903</v>
      </c>
      <c r="E139" s="612">
        <f t="shared" si="131"/>
        <v>0.14275550945087243</v>
      </c>
      <c r="F139" s="467">
        <f t="shared" si="132"/>
        <v>197.58811718193508</v>
      </c>
      <c r="G139" s="466">
        <f t="shared" si="133"/>
        <v>0.81247543455655413</v>
      </c>
      <c r="H139" s="467">
        <f t="shared" si="134"/>
        <v>45.272140579752865</v>
      </c>
      <c r="I139" s="461">
        <f t="shared" si="135"/>
        <v>4.3</v>
      </c>
      <c r="J139" s="466">
        <f t="shared" si="136"/>
        <v>8.5</v>
      </c>
      <c r="K139" s="464">
        <f t="shared" si="137"/>
        <v>1.4652657879868631E-3</v>
      </c>
      <c r="L139" s="465">
        <f t="shared" si="138"/>
        <v>1.4652657879868631E-3</v>
      </c>
      <c r="M139" s="466">
        <f t="shared" si="139"/>
        <v>3920.7353410162614</v>
      </c>
      <c r="N139" s="461">
        <f t="shared" si="140"/>
        <v>500</v>
      </c>
      <c r="O139" s="462">
        <f t="shared" si="141"/>
        <v>1000</v>
      </c>
      <c r="P139" s="467">
        <f t="shared" si="142"/>
        <v>1000</v>
      </c>
      <c r="Q139" s="468">
        <f t="shared" si="143"/>
        <v>1.4652657879868631E-3</v>
      </c>
      <c r="R139" s="469" t="str">
        <f t="shared" si="144"/>
        <v>Leaching</v>
      </c>
    </row>
    <row r="140" spans="1:18" s="448" customFormat="1" ht="30" customHeight="1">
      <c r="A140" s="893" t="s">
        <v>343</v>
      </c>
      <c r="B140" s="611" t="s">
        <v>344</v>
      </c>
      <c r="C140" s="612" t="str">
        <f t="shared" si="99"/>
        <v>--</v>
      </c>
      <c r="D140" s="467">
        <f t="shared" si="130"/>
        <v>576.35022173447896</v>
      </c>
      <c r="E140" s="612" t="str">
        <f t="shared" si="131"/>
        <v>--</v>
      </c>
      <c r="F140" s="467">
        <f t="shared" si="132"/>
        <v>2438.736319426459</v>
      </c>
      <c r="G140" s="466" t="str">
        <f t="shared" si="133"/>
        <v>--</v>
      </c>
      <c r="H140" s="467">
        <f t="shared" si="134"/>
        <v>551.66406798924208</v>
      </c>
      <c r="I140" s="461">
        <f t="shared" si="135"/>
        <v>55</v>
      </c>
      <c r="J140" s="466">
        <f t="shared" si="136"/>
        <v>210</v>
      </c>
      <c r="K140" s="464">
        <f t="shared" si="137"/>
        <v>2.0942761999999999</v>
      </c>
      <c r="L140" s="465">
        <f t="shared" si="138"/>
        <v>10.471380999999999</v>
      </c>
      <c r="M140" s="466">
        <f t="shared" si="139"/>
        <v>259.56356598528225</v>
      </c>
      <c r="N140" s="461">
        <f t="shared" si="140"/>
        <v>500</v>
      </c>
      <c r="O140" s="462">
        <f t="shared" si="141"/>
        <v>1000</v>
      </c>
      <c r="P140" s="467">
        <f t="shared" si="142"/>
        <v>1000</v>
      </c>
      <c r="Q140" s="468">
        <f t="shared" si="143"/>
        <v>2.0942761999999999</v>
      </c>
      <c r="R140" s="469" t="str">
        <f t="shared" si="144"/>
        <v>Leaching</v>
      </c>
    </row>
    <row r="141" spans="1:18" s="448" customFormat="1" ht="30" customHeight="1" thickBot="1">
      <c r="A141" s="893" t="s">
        <v>345</v>
      </c>
      <c r="B141" s="611" t="s">
        <v>346</v>
      </c>
      <c r="C141" s="612" t="str">
        <f t="shared" si="99"/>
        <v>--</v>
      </c>
      <c r="D141" s="467">
        <f t="shared" si="130"/>
        <v>23464.285714285717</v>
      </c>
      <c r="E141" s="612" t="str">
        <f t="shared" si="131"/>
        <v>--</v>
      </c>
      <c r="F141" s="467">
        <f t="shared" si="132"/>
        <v>350400</v>
      </c>
      <c r="G141" s="466" t="str">
        <f t="shared" si="133"/>
        <v>--</v>
      </c>
      <c r="H141" s="467">
        <f t="shared" si="134"/>
        <v>106181.81818181819</v>
      </c>
      <c r="I141" s="461">
        <f t="shared" si="135"/>
        <v>340</v>
      </c>
      <c r="J141" s="466">
        <f t="shared" si="136"/>
        <v>340</v>
      </c>
      <c r="K141" s="464" t="str">
        <f t="shared" si="137"/>
        <v>--</v>
      </c>
      <c r="L141" s="465" t="str">
        <f t="shared" si="138"/>
        <v>--</v>
      </c>
      <c r="M141" s="466" t="str">
        <f t="shared" si="139"/>
        <v>--</v>
      </c>
      <c r="N141" s="461" t="str">
        <f t="shared" si="140"/>
        <v>--</v>
      </c>
      <c r="O141" s="462" t="str">
        <f t="shared" si="141"/>
        <v>--</v>
      </c>
      <c r="P141" s="467" t="str">
        <f t="shared" si="142"/>
        <v>--</v>
      </c>
      <c r="Q141" s="468">
        <f t="shared" si="143"/>
        <v>340</v>
      </c>
      <c r="R141" s="469" t="str">
        <f t="shared" si="144"/>
        <v>Terr Habitat</v>
      </c>
    </row>
    <row r="142" spans="1:18" ht="24.95" customHeight="1" thickTop="1">
      <c r="A142" s="937" t="s">
        <v>347</v>
      </c>
      <c r="B142" s="1130"/>
      <c r="C142" s="1130"/>
      <c r="D142" s="1130"/>
      <c r="E142" s="1130"/>
      <c r="F142" s="1130"/>
      <c r="G142" s="1130"/>
      <c r="H142" s="1130"/>
      <c r="I142" s="1130"/>
      <c r="J142" s="1130"/>
      <c r="K142" s="1130"/>
      <c r="L142" s="1130"/>
      <c r="M142" s="1130"/>
      <c r="N142" s="1130"/>
      <c r="O142" s="1130"/>
      <c r="P142" s="1130"/>
      <c r="Q142" s="1130"/>
      <c r="R142" s="1131"/>
    </row>
    <row r="143" spans="1:18" ht="24.95" customHeight="1">
      <c r="A143" s="482" t="s">
        <v>4267</v>
      </c>
      <c r="R143" s="488"/>
    </row>
    <row r="144" spans="1:18" ht="24.95" customHeight="1">
      <c r="A144" s="1123" t="s">
        <v>348</v>
      </c>
      <c r="R144" s="488"/>
    </row>
    <row r="145" spans="1:18" ht="24.95" customHeight="1">
      <c r="A145" s="1129" t="s">
        <v>395</v>
      </c>
      <c r="R145" s="488"/>
    </row>
    <row r="146" spans="1:18" ht="24.95" customHeight="1">
      <c r="A146" s="482" t="s">
        <v>442</v>
      </c>
      <c r="R146" s="488"/>
    </row>
    <row r="147" spans="1:18" ht="24.95" customHeight="1">
      <c r="A147" s="1124" t="s">
        <v>396</v>
      </c>
      <c r="R147" s="488"/>
    </row>
    <row r="148" spans="1:18" ht="24.95" customHeight="1">
      <c r="A148" s="482" t="s">
        <v>443</v>
      </c>
      <c r="R148" s="488"/>
    </row>
    <row r="149" spans="1:18" ht="24.95" customHeight="1">
      <c r="A149" s="1124" t="s">
        <v>349</v>
      </c>
      <c r="R149" s="488"/>
    </row>
    <row r="150" spans="1:18" ht="24.95" customHeight="1">
      <c r="A150" s="1124" t="s">
        <v>350</v>
      </c>
      <c r="R150" s="488"/>
    </row>
    <row r="151" spans="1:18" ht="24.95" customHeight="1">
      <c r="A151" s="1124" t="s">
        <v>351</v>
      </c>
      <c r="R151" s="488"/>
    </row>
    <row r="152" spans="1:18" ht="24.95" customHeight="1">
      <c r="A152" s="482" t="s">
        <v>444</v>
      </c>
      <c r="R152" s="488"/>
    </row>
    <row r="153" spans="1:18" ht="24.95" customHeight="1">
      <c r="A153" s="1124" t="s">
        <v>397</v>
      </c>
      <c r="R153" s="488"/>
    </row>
    <row r="154" spans="1:18" ht="24.95" customHeight="1">
      <c r="A154" s="482" t="s">
        <v>399</v>
      </c>
      <c r="R154" s="488"/>
    </row>
    <row r="155" spans="1:18" ht="24.95" customHeight="1">
      <c r="A155" s="482" t="s">
        <v>400</v>
      </c>
      <c r="R155" s="488"/>
    </row>
    <row r="156" spans="1:18" ht="24.95" customHeight="1">
      <c r="A156" s="482" t="s">
        <v>353</v>
      </c>
      <c r="R156" s="488"/>
    </row>
    <row r="157" spans="1:18" ht="24.95" customHeight="1">
      <c r="A157" s="1124" t="s">
        <v>354</v>
      </c>
      <c r="R157" s="488"/>
    </row>
    <row r="158" spans="1:18" ht="24.95" customHeight="1">
      <c r="A158" s="482" t="s">
        <v>445</v>
      </c>
      <c r="R158" s="488"/>
    </row>
    <row r="159" spans="1:18" ht="24.95" customHeight="1">
      <c r="A159" s="482" t="s">
        <v>355</v>
      </c>
      <c r="R159" s="488"/>
    </row>
    <row r="160" spans="1:18" ht="24.95" customHeight="1" thickBot="1">
      <c r="A160" s="1128" t="s">
        <v>446</v>
      </c>
      <c r="B160" s="396"/>
      <c r="C160" s="396"/>
      <c r="D160" s="396"/>
      <c r="E160" s="396"/>
      <c r="F160" s="396"/>
      <c r="G160" s="396"/>
      <c r="H160" s="396"/>
      <c r="I160" s="396"/>
      <c r="J160" s="396"/>
      <c r="K160" s="396"/>
      <c r="L160" s="396"/>
      <c r="M160" s="396"/>
      <c r="N160" s="396"/>
      <c r="O160" s="396"/>
      <c r="P160" s="396"/>
      <c r="Q160" s="396"/>
      <c r="R160" s="398"/>
    </row>
    <row r="161" spans="1:1" ht="18.75" thickTop="1">
      <c r="A161" s="102" t="s">
        <v>447</v>
      </c>
    </row>
  </sheetData>
  <sheetProtection algorithmName="SHA-512" hashValue="ml8aPE5t2O8gyPVnphecKfMcLXbAfUa2k9aoQYN9ZFzEaYCbXjw1a7a0sLMFY1W0M5kYprU+gpTTRYNkQtRuhw==" saltValue="HHvdVSeynWSFW4hQ0FGAiw==" spinCount="100000" sheet="1" sort="0" autoFilter="0"/>
  <autoFilter ref="A6:B161" xr:uid="{00000000-0009-0000-0000-000006000000}"/>
  <mergeCells count="19">
    <mergeCell ref="C4:H4"/>
    <mergeCell ref="K5:K6"/>
    <mergeCell ref="L5:L6"/>
    <mergeCell ref="N5:N6"/>
    <mergeCell ref="O5:O6"/>
    <mergeCell ref="P5:P6"/>
    <mergeCell ref="A3:B3"/>
    <mergeCell ref="A4:A6"/>
    <mergeCell ref="B4:B6"/>
    <mergeCell ref="N4:P4"/>
    <mergeCell ref="C3:R3"/>
    <mergeCell ref="K4:L4"/>
    <mergeCell ref="Q4:Q6"/>
    <mergeCell ref="R4:R6"/>
    <mergeCell ref="M4:M6"/>
    <mergeCell ref="C5:D5"/>
    <mergeCell ref="E5:F5"/>
    <mergeCell ref="G5:H5"/>
    <mergeCell ref="I4:J4"/>
  </mergeCells>
  <pageMargins left="0.25" right="0.25" top="0.75" bottom="0.75" header="0.3" footer="0.3"/>
  <pageSetup scale="29" fitToHeight="0" orientation="landscape" r:id="rId1"/>
  <headerFooter>
    <oddFooter>&amp;C&amp;18&amp;P of &amp;N&amp;R&amp;18&amp;A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pageSetUpPr fitToPage="1"/>
  </sheetPr>
  <dimension ref="A1:P156"/>
  <sheetViews>
    <sheetView showGridLines="0" zoomScale="60" zoomScaleNormal="60" zoomScalePageLayoutView="40" workbookViewId="0">
      <pane xSplit="2" ySplit="7" topLeftCell="C8" activePane="bottomRight" state="frozen"/>
      <selection pane="topRight" activeCell="B2" sqref="B2:F2"/>
      <selection pane="bottomLeft" activeCell="B2" sqref="B2:F2"/>
      <selection pane="bottomRight" activeCell="A3" sqref="A3:B3"/>
    </sheetView>
  </sheetViews>
  <sheetFormatPr defaultRowHeight="18"/>
  <cols>
    <col min="1" max="1" width="86.28515625" style="102" customWidth="1"/>
    <col min="2" max="2" width="20.5703125" style="102" bestFit="1" customWidth="1"/>
    <col min="3" max="3" width="17.5703125" style="102" bestFit="1" customWidth="1"/>
    <col min="4" max="4" width="17.42578125" style="102" bestFit="1" customWidth="1"/>
    <col min="5" max="5" width="17.5703125" style="102" bestFit="1" customWidth="1"/>
    <col min="6" max="6" width="17.42578125" style="102" bestFit="1" customWidth="1"/>
    <col min="7" max="7" width="27" style="102" customWidth="1"/>
    <col min="8" max="8" width="16.5703125" style="102" bestFit="1" customWidth="1"/>
    <col min="9" max="9" width="19.42578125" style="102" bestFit="1" customWidth="1"/>
    <col min="10" max="10" width="17.5703125" style="102" bestFit="1" customWidth="1"/>
    <col min="11" max="11" width="17.42578125" style="102" bestFit="1" customWidth="1"/>
    <col min="12" max="12" width="17.5703125" style="102" bestFit="1" customWidth="1"/>
    <col min="13" max="13" width="17.42578125" style="102" bestFit="1" customWidth="1"/>
    <col min="14" max="14" width="27.5703125" style="102" bestFit="1" customWidth="1"/>
    <col min="15" max="15" width="16.5703125" style="102" bestFit="1" customWidth="1"/>
    <col min="16" max="16" width="19.5703125" style="102" bestFit="1" customWidth="1"/>
  </cols>
  <sheetData>
    <row r="1" spans="1:16" s="1" customFormat="1" ht="13.5" hidden="1" customHeight="1">
      <c r="A1" s="54" t="s">
        <v>448</v>
      </c>
      <c r="B1" s="54"/>
      <c r="C1" s="54" t="s">
        <v>363</v>
      </c>
      <c r="D1" s="54" t="s">
        <v>364</v>
      </c>
      <c r="E1" s="54" t="s">
        <v>365</v>
      </c>
      <c r="F1" s="54" t="s">
        <v>366</v>
      </c>
      <c r="G1" s="54" t="s">
        <v>449</v>
      </c>
      <c r="H1" s="54" t="s">
        <v>450</v>
      </c>
      <c r="I1" s="54" t="s">
        <v>451</v>
      </c>
      <c r="J1" s="54" t="s">
        <v>452</v>
      </c>
      <c r="K1" s="54" t="s">
        <v>453</v>
      </c>
      <c r="L1" s="54" t="s">
        <v>454</v>
      </c>
      <c r="M1" s="54" t="s">
        <v>455</v>
      </c>
      <c r="N1" s="54" t="s">
        <v>456</v>
      </c>
      <c r="O1" s="54" t="s">
        <v>457</v>
      </c>
      <c r="P1" s="54" t="s">
        <v>458</v>
      </c>
    </row>
    <row r="2" spans="1:16" s="1" customFormat="1" ht="13.5" hidden="1" customHeight="1" thickBot="1">
      <c r="A2" s="54"/>
      <c r="B2" s="54"/>
      <c r="C2" s="54"/>
      <c r="D2" s="54"/>
      <c r="E2" s="54"/>
      <c r="F2" s="54"/>
      <c r="G2" s="54"/>
      <c r="H2" s="54"/>
      <c r="I2" s="54"/>
      <c r="J2" s="54"/>
      <c r="K2" s="54"/>
      <c r="L2" s="54"/>
      <c r="M2" s="54"/>
      <c r="N2" s="54"/>
      <c r="O2" s="54"/>
      <c r="P2" s="54"/>
    </row>
    <row r="3" spans="1:16" ht="57.75" customHeight="1" thickTop="1" thickBot="1">
      <c r="A3" s="2188" t="str">
        <f>'Tier 1 ESL'!A6:F6</f>
        <v>2025 (Rev 4)</v>
      </c>
      <c r="B3" s="2189"/>
      <c r="C3" s="2243" t="s">
        <v>459</v>
      </c>
      <c r="D3" s="2244"/>
      <c r="E3" s="2245"/>
      <c r="F3" s="2245"/>
      <c r="G3" s="2245"/>
      <c r="H3" s="2245"/>
      <c r="I3" s="2245"/>
      <c r="J3" s="2245"/>
      <c r="K3" s="2245"/>
      <c r="L3" s="2245"/>
      <c r="M3" s="2245"/>
      <c r="N3" s="2245"/>
      <c r="O3" s="2245"/>
      <c r="P3" s="2246"/>
    </row>
    <row r="4" spans="1:16" ht="51" thickBot="1">
      <c r="A4" s="2220" t="s">
        <v>79</v>
      </c>
      <c r="B4" s="2221" t="s">
        <v>80</v>
      </c>
      <c r="C4" s="2247" t="s">
        <v>460</v>
      </c>
      <c r="D4" s="2248"/>
      <c r="E4" s="2249"/>
      <c r="F4" s="2249"/>
      <c r="G4" s="2249"/>
      <c r="H4" s="2250"/>
      <c r="I4" s="2251"/>
      <c r="J4" s="2252" t="s">
        <v>461</v>
      </c>
      <c r="K4" s="2253"/>
      <c r="L4" s="2254"/>
      <c r="M4" s="2254"/>
      <c r="N4" s="2254"/>
      <c r="O4" s="2255"/>
      <c r="P4" s="2256"/>
    </row>
    <row r="5" spans="1:16" s="448" customFormat="1" ht="103.5" customHeight="1" thickBot="1">
      <c r="A5" s="2190"/>
      <c r="B5" s="2192"/>
      <c r="C5" s="2194" t="s">
        <v>462</v>
      </c>
      <c r="D5" s="2195"/>
      <c r="E5" s="2195"/>
      <c r="F5" s="2195"/>
      <c r="G5" s="2207" t="s">
        <v>463</v>
      </c>
      <c r="H5" s="2257" t="s">
        <v>464</v>
      </c>
      <c r="I5" s="2260" t="s">
        <v>379</v>
      </c>
      <c r="J5" s="2266" t="s">
        <v>465</v>
      </c>
      <c r="K5" s="2267"/>
      <c r="L5" s="2267"/>
      <c r="M5" s="2268"/>
      <c r="N5" s="2263" t="s">
        <v>466</v>
      </c>
      <c r="O5" s="2210" t="s">
        <v>464</v>
      </c>
      <c r="P5" s="2185" t="s">
        <v>379</v>
      </c>
    </row>
    <row r="6" spans="1:16" s="448" customFormat="1" ht="47.25" customHeight="1" thickBot="1">
      <c r="A6" s="2190"/>
      <c r="B6" s="2222"/>
      <c r="C6" s="2194" t="s">
        <v>380</v>
      </c>
      <c r="D6" s="2195"/>
      <c r="E6" s="2194" t="s">
        <v>467</v>
      </c>
      <c r="F6" s="2195"/>
      <c r="G6" s="2208"/>
      <c r="H6" s="2258"/>
      <c r="I6" s="2261"/>
      <c r="J6" s="2201" t="s">
        <v>380</v>
      </c>
      <c r="K6" s="2203"/>
      <c r="L6" s="2201" t="s">
        <v>467</v>
      </c>
      <c r="M6" s="2203"/>
      <c r="N6" s="2264"/>
      <c r="O6" s="2211"/>
      <c r="P6" s="2186"/>
    </row>
    <row r="7" spans="1:16" s="448" customFormat="1" ht="80.25" customHeight="1" thickBot="1">
      <c r="A7" s="2191"/>
      <c r="B7" s="2223"/>
      <c r="C7" s="1956" t="s">
        <v>468</v>
      </c>
      <c r="D7" s="705" t="s">
        <v>436</v>
      </c>
      <c r="E7" s="1956" t="s">
        <v>468</v>
      </c>
      <c r="F7" s="706" t="s">
        <v>436</v>
      </c>
      <c r="G7" s="2209"/>
      <c r="H7" s="2259"/>
      <c r="I7" s="2262"/>
      <c r="J7" s="1959" t="s">
        <v>468</v>
      </c>
      <c r="K7" s="1952" t="s">
        <v>436</v>
      </c>
      <c r="L7" s="1951" t="s">
        <v>468</v>
      </c>
      <c r="M7" s="1961" t="s">
        <v>436</v>
      </c>
      <c r="N7" s="2265"/>
      <c r="O7" s="2212"/>
      <c r="P7" s="2187"/>
    </row>
    <row r="8" spans="1:16" s="448" customFormat="1" ht="30" customHeight="1">
      <c r="A8" s="449" t="s">
        <v>391</v>
      </c>
      <c r="B8" s="450" t="s">
        <v>392</v>
      </c>
      <c r="C8" s="451" t="str">
        <f t="shared" ref="C8" si="0">(VLOOKUP(A8,Table_SG_1, MATCH("sg-res-min-c",heading_SG_1,0), FALSE))</f>
        <v>--</v>
      </c>
      <c r="D8" s="456">
        <f t="shared" ref="D8" si="1">(VLOOKUP(A8,Table_SG_1, MATCH("sg-res-min-nc",heading_SG_1,0), FALSE))</f>
        <v>1077619.0476190476</v>
      </c>
      <c r="E8" s="613" t="str">
        <f t="shared" ref="E8" si="2">(VLOOKUP(A8,Table_SG_1, MATCH("sg-com-min-c",heading_SG_1,0), FALSE))</f>
        <v>--</v>
      </c>
      <c r="F8" s="453">
        <f t="shared" ref="F8" si="3">(VLOOKUP(A8,Table_SG_1, MATCH("sg-com-min-nc",heading_SG_1,0), FALSE))</f>
        <v>4526000</v>
      </c>
      <c r="G8" s="476">
        <f t="shared" ref="G8" si="4">(VLOOKUP(A8,Table_SG_2, MATCH("sg-min-no",heading_SG_2,0), FALSE))</f>
        <v>1028733.3333333334</v>
      </c>
      <c r="H8" s="458">
        <f t="shared" ref="H8" si="5">IF((MIN(C8:G8))=0, "--", MIN(C8:G8))</f>
        <v>1028733.3333333334</v>
      </c>
      <c r="I8" s="457" t="str">
        <f>IF(H8="--","--",IF(H8=G8,"Odor/Nuis",IF(H8=C8,"Canc-Risk",IF(H8=D8,"NC-Hazard","--"""))))</f>
        <v>Odor/Nuis</v>
      </c>
      <c r="J8" s="458" t="str">
        <f t="shared" ref="J8" si="6">(VLOOKUP(A8,Table_IA_1, MATCH("IA-Res-c",heading_IA_1,0), FALSE))</f>
        <v>--</v>
      </c>
      <c r="K8" s="456">
        <f t="shared" ref="K8" si="7">(VLOOKUP(A8,Table_IA_1, MATCH("IA-Res-nc",heading_IA_1,0), FALSE))</f>
        <v>32328.571428571428</v>
      </c>
      <c r="L8" s="613" t="str">
        <f t="shared" ref="L8" si="8">(VLOOKUP(A8,Table_IA_1, MATCH("IA-com-c",heading_IA_1,0), FALSE))</f>
        <v>--</v>
      </c>
      <c r="M8" s="457">
        <f t="shared" ref="M8" si="9">(VLOOKUP(A8,Table_IA_1, MATCH("IA-com-nc",heading_IA_1,0), FALSE))</f>
        <v>135780</v>
      </c>
      <c r="N8" s="476">
        <f t="shared" ref="N8" si="10">(VLOOKUP(A8,Table_IA_2, MATCH("IA-NO",heading_IA_2,0), FALSE))</f>
        <v>30862</v>
      </c>
      <c r="O8" s="458">
        <f t="shared" ref="O8" si="11">IF(MIN(J8:N8)=0,"--",(MIN(J8:N8)))</f>
        <v>30862</v>
      </c>
      <c r="P8" s="459" t="str">
        <f>IF(O8="--","--",IF(O8=J8,"Canc-Risk",IF(O8=K8,"NC-Hazard",IF(O8=N8,"Nuis/Odor", "--"""))))</f>
        <v>Nuis/Odor</v>
      </c>
    </row>
    <row r="9" spans="1:16" s="448" customFormat="1" ht="30" customHeight="1">
      <c r="A9" s="893" t="s">
        <v>85</v>
      </c>
      <c r="B9" s="460" t="s">
        <v>86</v>
      </c>
      <c r="C9" s="461">
        <f t="shared" ref="C9:C72" si="12">(VLOOKUP(A9,Table_SG_1, MATCH("sg-res-min-c",heading_SG_1,0), FALSE))</f>
        <v>1.9099947671376245E-2</v>
      </c>
      <c r="D9" s="466" t="str">
        <f t="shared" ref="D9:D72" si="13">(VLOOKUP(A9,Table_SG_1, MATCH("sg-res-min-nc",heading_SG_1,0), FALSE))</f>
        <v>--</v>
      </c>
      <c r="E9" s="612">
        <f t="shared" ref="E9:E72" si="14">(VLOOKUP(A9,Table_SG_1, MATCH("sg-com-min-c",heading_SG_1,0), FALSE))</f>
        <v>8.3428571428571408E-2</v>
      </c>
      <c r="F9" s="463" t="str">
        <f t="shared" ref="F9:F72" si="15">(VLOOKUP(A9,Table_SG_1, MATCH("sg-com-min-nc",heading_SG_1,0), FALSE))</f>
        <v>--</v>
      </c>
      <c r="G9" s="481">
        <f t="shared" ref="G9:G72" si="16">(VLOOKUP(A9,Table_SG_2, MATCH("sg-min-no",heading_SG_2,0), FALSE))</f>
        <v>8766.6666666666679</v>
      </c>
      <c r="H9" s="468">
        <f t="shared" ref="H9:H72" si="17">IF((MIN(C9:G9))=0, "--", MIN(C9:G9))</f>
        <v>1.9099947671376245E-2</v>
      </c>
      <c r="I9" s="467" t="str">
        <f t="shared" ref="I9:I72" si="18">IF(H9="--","--",IF(H9=G9,"Odor/Nuis",IF(H9=C9,"Canc-Risk",IF(H9=D9,"NC-Hazard","--"""))))</f>
        <v>Canc-Risk</v>
      </c>
      <c r="J9" s="468">
        <f t="shared" ref="J9:J72" si="19">(VLOOKUP(A9,Table_IA_1, MATCH("IA-Res-c",heading_IA_1,0), FALSE))</f>
        <v>5.729984301412873E-4</v>
      </c>
      <c r="K9" s="466" t="str">
        <f t="shared" ref="K9:K72" si="20">(VLOOKUP(A9,Table_IA_1, MATCH("IA-Res-nc",heading_IA_1,0), FALSE))</f>
        <v>--</v>
      </c>
      <c r="L9" s="612">
        <f t="shared" ref="L9:L72" si="21">(VLOOKUP(A9,Table_IA_1, MATCH("IA-com-c",heading_IA_1,0), FALSE))</f>
        <v>2.5028571428571422E-3</v>
      </c>
      <c r="M9" s="467" t="str">
        <f t="shared" ref="M9:M72" si="22">(VLOOKUP(A9,Table_IA_1, MATCH("IA-com-nc",heading_IA_1,0), FALSE))</f>
        <v>--</v>
      </c>
      <c r="N9" s="481">
        <f t="shared" ref="N9:N72" si="23">(VLOOKUP(A9,Table_IA_2, MATCH("IA-NO",heading_IA_2,0), FALSE))</f>
        <v>263</v>
      </c>
      <c r="O9" s="468">
        <f t="shared" ref="O9:O72" si="24">IF(MIN(J9:N9)=0,"--",(MIN(J9:N9)))</f>
        <v>5.729984301412873E-4</v>
      </c>
      <c r="P9" s="469" t="str">
        <f t="shared" ref="P9:P72" si="25">IF(O9="--","--",IF(O9=J9,"Canc-Risk",IF(O9=K9,"NC-Hazard",IF(O9=N9,"Nuis/Odor", "--"""))))</f>
        <v>Canc-Risk</v>
      </c>
    </row>
    <row r="10" spans="1:16" s="448" customFormat="1" ht="30" customHeight="1">
      <c r="A10" s="893" t="s">
        <v>87</v>
      </c>
      <c r="B10" s="460" t="s">
        <v>88</v>
      </c>
      <c r="C10" s="461" t="str">
        <f t="shared" si="12"/>
        <v>--</v>
      </c>
      <c r="D10" s="466" t="str">
        <f t="shared" si="13"/>
        <v>--</v>
      </c>
      <c r="E10" s="612" t="str">
        <f t="shared" si="14"/>
        <v>--</v>
      </c>
      <c r="F10" s="463" t="str">
        <f t="shared" si="15"/>
        <v>--</v>
      </c>
      <c r="G10" s="481" t="str">
        <f t="shared" si="16"/>
        <v>--</v>
      </c>
      <c r="H10" s="468" t="str">
        <f t="shared" si="17"/>
        <v>--</v>
      </c>
      <c r="I10" s="467" t="str">
        <f t="shared" si="18"/>
        <v>--</v>
      </c>
      <c r="J10" s="468" t="str">
        <f t="shared" si="19"/>
        <v>--</v>
      </c>
      <c r="K10" s="466" t="str">
        <f t="shared" si="20"/>
        <v>--</v>
      </c>
      <c r="L10" s="612" t="str">
        <f t="shared" si="21"/>
        <v>--</v>
      </c>
      <c r="M10" s="467" t="str">
        <f t="shared" si="22"/>
        <v>--</v>
      </c>
      <c r="N10" s="481" t="str">
        <f t="shared" si="23"/>
        <v>--</v>
      </c>
      <c r="O10" s="468" t="str">
        <f t="shared" si="24"/>
        <v>--</v>
      </c>
      <c r="P10" s="469" t="str">
        <f t="shared" si="25"/>
        <v>--</v>
      </c>
    </row>
    <row r="11" spans="1:16" s="448" customFormat="1" ht="30" customHeight="1">
      <c r="A11" s="893" t="s">
        <v>89</v>
      </c>
      <c r="B11" s="460" t="s">
        <v>90</v>
      </c>
      <c r="C11" s="461" t="str">
        <f t="shared" si="12"/>
        <v>--</v>
      </c>
      <c r="D11" s="466" t="str">
        <f t="shared" si="13"/>
        <v>--</v>
      </c>
      <c r="E11" s="612" t="str">
        <f t="shared" si="14"/>
        <v>--</v>
      </c>
      <c r="F11" s="463" t="str">
        <f t="shared" si="15"/>
        <v>--</v>
      </c>
      <c r="G11" s="481" t="str">
        <f t="shared" si="16"/>
        <v>--</v>
      </c>
      <c r="H11" s="468" t="str">
        <f t="shared" si="17"/>
        <v>--</v>
      </c>
      <c r="I11" s="467" t="str">
        <f t="shared" si="18"/>
        <v>--</v>
      </c>
      <c r="J11" s="468" t="str">
        <f t="shared" si="19"/>
        <v>--</v>
      </c>
      <c r="K11" s="466" t="str">
        <f t="shared" si="20"/>
        <v>--</v>
      </c>
      <c r="L11" s="612" t="str">
        <f t="shared" si="21"/>
        <v>--</v>
      </c>
      <c r="M11" s="467" t="str">
        <f t="shared" si="22"/>
        <v>--</v>
      </c>
      <c r="N11" s="481" t="str">
        <f t="shared" si="23"/>
        <v>--</v>
      </c>
      <c r="O11" s="468" t="str">
        <f t="shared" si="24"/>
        <v>--</v>
      </c>
      <c r="P11" s="469" t="str">
        <f t="shared" si="25"/>
        <v>--</v>
      </c>
    </row>
    <row r="12" spans="1:16" s="448" customFormat="1" ht="30" customHeight="1">
      <c r="A12" s="893" t="s">
        <v>91</v>
      </c>
      <c r="B12" s="460" t="s">
        <v>92</v>
      </c>
      <c r="C12" s="461" t="str">
        <f t="shared" si="12"/>
        <v>--</v>
      </c>
      <c r="D12" s="466" t="str">
        <f t="shared" si="13"/>
        <v>--</v>
      </c>
      <c r="E12" s="612" t="str">
        <f t="shared" si="14"/>
        <v>--</v>
      </c>
      <c r="F12" s="463" t="str">
        <f t="shared" si="15"/>
        <v>--</v>
      </c>
      <c r="G12" s="481" t="str">
        <f t="shared" si="16"/>
        <v>--</v>
      </c>
      <c r="H12" s="468" t="str">
        <f t="shared" si="17"/>
        <v>--</v>
      </c>
      <c r="I12" s="467" t="str">
        <f t="shared" si="18"/>
        <v>--</v>
      </c>
      <c r="J12" s="468" t="str">
        <f t="shared" si="19"/>
        <v>--</v>
      </c>
      <c r="K12" s="466" t="str">
        <f t="shared" si="20"/>
        <v>--</v>
      </c>
      <c r="L12" s="612" t="str">
        <f t="shared" si="21"/>
        <v>--</v>
      </c>
      <c r="M12" s="467" t="str">
        <f t="shared" si="22"/>
        <v>--</v>
      </c>
      <c r="N12" s="481" t="str">
        <f t="shared" si="23"/>
        <v>--</v>
      </c>
      <c r="O12" s="468" t="str">
        <f t="shared" si="24"/>
        <v>--</v>
      </c>
      <c r="P12" s="469" t="str">
        <f t="shared" si="25"/>
        <v>--</v>
      </c>
    </row>
    <row r="13" spans="1:16" s="448" customFormat="1" ht="30" customHeight="1">
      <c r="A13" s="893" t="s">
        <v>93</v>
      </c>
      <c r="B13" s="460" t="s">
        <v>94</v>
      </c>
      <c r="C13" s="461">
        <f t="shared" si="12"/>
        <v>3.2272325375773643</v>
      </c>
      <c r="D13" s="466">
        <f t="shared" si="13"/>
        <v>104.28571428571429</v>
      </c>
      <c r="E13" s="612">
        <f t="shared" si="14"/>
        <v>14.096551724137928</v>
      </c>
      <c r="F13" s="463">
        <f t="shared" si="15"/>
        <v>438</v>
      </c>
      <c r="G13" s="481">
        <f t="shared" si="16"/>
        <v>163000</v>
      </c>
      <c r="H13" s="468">
        <f t="shared" si="17"/>
        <v>3.2272325375773643</v>
      </c>
      <c r="I13" s="467" t="str">
        <f t="shared" si="18"/>
        <v>Canc-Risk</v>
      </c>
      <c r="J13" s="468">
        <f t="shared" si="19"/>
        <v>9.6816976127320931E-2</v>
      </c>
      <c r="K13" s="466">
        <f t="shared" si="20"/>
        <v>3.1285714285714286</v>
      </c>
      <c r="L13" s="612">
        <f t="shared" si="21"/>
        <v>0.42289655172413781</v>
      </c>
      <c r="M13" s="467">
        <f t="shared" si="22"/>
        <v>13.139999999999999</v>
      </c>
      <c r="N13" s="481">
        <f t="shared" si="23"/>
        <v>4890</v>
      </c>
      <c r="O13" s="468">
        <f t="shared" si="24"/>
        <v>9.6816976127320931E-2</v>
      </c>
      <c r="P13" s="469" t="str">
        <f t="shared" si="25"/>
        <v>Canc-Risk</v>
      </c>
    </row>
    <row r="14" spans="1:16" s="448" customFormat="1" ht="30" customHeight="1">
      <c r="A14" s="893" t="s">
        <v>95</v>
      </c>
      <c r="B14" s="460" t="s">
        <v>96</v>
      </c>
      <c r="C14" s="461" t="str">
        <f t="shared" si="12"/>
        <v>--</v>
      </c>
      <c r="D14" s="466" t="str">
        <f t="shared" si="13"/>
        <v>--</v>
      </c>
      <c r="E14" s="612" t="str">
        <f t="shared" si="14"/>
        <v>--</v>
      </c>
      <c r="F14" s="463" t="str">
        <f t="shared" si="15"/>
        <v>--</v>
      </c>
      <c r="G14" s="481" t="str">
        <f t="shared" si="16"/>
        <v>--</v>
      </c>
      <c r="H14" s="468" t="str">
        <f t="shared" si="17"/>
        <v>--</v>
      </c>
      <c r="I14" s="467" t="str">
        <f t="shared" si="18"/>
        <v>--</v>
      </c>
      <c r="J14" s="468" t="str">
        <f t="shared" si="19"/>
        <v>--</v>
      </c>
      <c r="K14" s="466" t="str">
        <f t="shared" si="20"/>
        <v>--</v>
      </c>
      <c r="L14" s="612" t="str">
        <f t="shared" si="21"/>
        <v>--</v>
      </c>
      <c r="M14" s="467" t="str">
        <f t="shared" si="22"/>
        <v>--</v>
      </c>
      <c r="N14" s="481" t="str">
        <f t="shared" si="23"/>
        <v>--</v>
      </c>
      <c r="O14" s="468" t="str">
        <f t="shared" si="24"/>
        <v>--</v>
      </c>
      <c r="P14" s="469" t="str">
        <f t="shared" si="25"/>
        <v>--</v>
      </c>
    </row>
    <row r="15" spans="1:16" s="448" customFormat="1" ht="30" customHeight="1">
      <c r="A15" s="893" t="s">
        <v>97</v>
      </c>
      <c r="B15" s="460" t="s">
        <v>98</v>
      </c>
      <c r="C15" s="461" t="str">
        <f t="shared" si="12"/>
        <v>--</v>
      </c>
      <c r="D15" s="466">
        <f t="shared" si="13"/>
        <v>13.904761904761905</v>
      </c>
      <c r="E15" s="612" t="str">
        <f t="shared" si="14"/>
        <v>--</v>
      </c>
      <c r="F15" s="463">
        <f t="shared" si="15"/>
        <v>58.399999999999991</v>
      </c>
      <c r="G15" s="481">
        <f t="shared" si="16"/>
        <v>2000</v>
      </c>
      <c r="H15" s="468">
        <f t="shared" si="17"/>
        <v>13.904761904761905</v>
      </c>
      <c r="I15" s="467" t="str">
        <f t="shared" si="18"/>
        <v>NC-Hazard</v>
      </c>
      <c r="J15" s="468" t="str">
        <f t="shared" si="19"/>
        <v>--</v>
      </c>
      <c r="K15" s="466">
        <f t="shared" si="20"/>
        <v>0.41714285714285715</v>
      </c>
      <c r="L15" s="612" t="str">
        <f t="shared" si="21"/>
        <v>--</v>
      </c>
      <c r="M15" s="467">
        <f t="shared" si="22"/>
        <v>1.7519999999999998</v>
      </c>
      <c r="N15" s="481">
        <f t="shared" si="23"/>
        <v>60</v>
      </c>
      <c r="O15" s="468">
        <f t="shared" si="24"/>
        <v>0.41714285714285715</v>
      </c>
      <c r="P15" s="469" t="str">
        <f t="shared" si="25"/>
        <v>NC-Hazard</v>
      </c>
    </row>
    <row r="16" spans="1:16" s="448" customFormat="1" ht="30" customHeight="1">
      <c r="A16" s="893" t="s">
        <v>99</v>
      </c>
      <c r="B16" s="460" t="s">
        <v>100</v>
      </c>
      <c r="C16" s="461">
        <f t="shared" si="12"/>
        <v>0.13181654026724449</v>
      </c>
      <c r="D16" s="466" t="str">
        <f t="shared" si="13"/>
        <v>--</v>
      </c>
      <c r="E16" s="612">
        <f t="shared" si="14"/>
        <v>0.57577464788732391</v>
      </c>
      <c r="F16" s="463" t="str">
        <f t="shared" si="15"/>
        <v>--</v>
      </c>
      <c r="G16" s="481">
        <f t="shared" si="16"/>
        <v>9566.6666666666679</v>
      </c>
      <c r="H16" s="468">
        <f t="shared" si="17"/>
        <v>0.13181654026724449</v>
      </c>
      <c r="I16" s="467" t="str">
        <f t="shared" si="18"/>
        <v>Canc-Risk</v>
      </c>
      <c r="J16" s="468">
        <f t="shared" si="19"/>
        <v>3.9544962080173343E-3</v>
      </c>
      <c r="K16" s="466" t="str">
        <f t="shared" si="20"/>
        <v>--</v>
      </c>
      <c r="L16" s="612">
        <f t="shared" si="21"/>
        <v>1.7273239436619715E-2</v>
      </c>
      <c r="M16" s="467" t="str">
        <f t="shared" si="22"/>
        <v>--</v>
      </c>
      <c r="N16" s="481">
        <f t="shared" si="23"/>
        <v>287</v>
      </c>
      <c r="O16" s="468">
        <f t="shared" si="24"/>
        <v>3.9544962080173343E-3</v>
      </c>
      <c r="P16" s="469" t="str">
        <f t="shared" si="25"/>
        <v>Canc-Risk</v>
      </c>
    </row>
    <row r="17" spans="1:16" s="448" customFormat="1" ht="30" customHeight="1">
      <c r="A17" s="893" t="s">
        <v>101</v>
      </c>
      <c r="B17" s="460" t="s">
        <v>102</v>
      </c>
      <c r="C17" s="461" t="str">
        <f t="shared" si="12"/>
        <v>--</v>
      </c>
      <c r="D17" s="466" t="str">
        <f t="shared" si="13"/>
        <v>--</v>
      </c>
      <c r="E17" s="612" t="str">
        <f t="shared" si="14"/>
        <v>--</v>
      </c>
      <c r="F17" s="463" t="str">
        <f t="shared" si="15"/>
        <v>--</v>
      </c>
      <c r="G17" s="481">
        <f t="shared" si="16"/>
        <v>74666.666666666672</v>
      </c>
      <c r="H17" s="468">
        <f t="shared" si="17"/>
        <v>74666.666666666672</v>
      </c>
      <c r="I17" s="467" t="str">
        <f t="shared" si="18"/>
        <v>Odor/Nuis</v>
      </c>
      <c r="J17" s="468" t="str">
        <f t="shared" si="19"/>
        <v>--</v>
      </c>
      <c r="K17" s="466" t="str">
        <f t="shared" si="20"/>
        <v>--</v>
      </c>
      <c r="L17" s="612" t="str">
        <f t="shared" si="21"/>
        <v>--</v>
      </c>
      <c r="M17" s="467" t="str">
        <f t="shared" si="22"/>
        <v>--</v>
      </c>
      <c r="N17" s="481">
        <f t="shared" si="23"/>
        <v>2240</v>
      </c>
      <c r="O17" s="468">
        <f t="shared" si="24"/>
        <v>2240</v>
      </c>
      <c r="P17" s="469" t="str">
        <f t="shared" si="25"/>
        <v>Nuis/Odor</v>
      </c>
    </row>
    <row r="18" spans="1:16" s="448" customFormat="1" ht="30" customHeight="1">
      <c r="A18" s="893" t="s">
        <v>103</v>
      </c>
      <c r="B18" s="460" t="s">
        <v>104</v>
      </c>
      <c r="C18" s="461" t="str">
        <f t="shared" si="12"/>
        <v>--</v>
      </c>
      <c r="D18" s="466" t="str">
        <f t="shared" si="13"/>
        <v>--</v>
      </c>
      <c r="E18" s="612" t="str">
        <f t="shared" si="14"/>
        <v>--</v>
      </c>
      <c r="F18" s="463" t="str">
        <f t="shared" si="15"/>
        <v>--</v>
      </c>
      <c r="G18" s="481" t="str">
        <f t="shared" si="16"/>
        <v>--</v>
      </c>
      <c r="H18" s="468" t="str">
        <f t="shared" si="17"/>
        <v>--</v>
      </c>
      <c r="I18" s="467" t="str">
        <f t="shared" si="18"/>
        <v>--</v>
      </c>
      <c r="J18" s="468" t="str">
        <f t="shared" si="19"/>
        <v>--</v>
      </c>
      <c r="K18" s="466" t="str">
        <f t="shared" si="20"/>
        <v>--</v>
      </c>
      <c r="L18" s="612" t="str">
        <f t="shared" si="21"/>
        <v>--</v>
      </c>
      <c r="M18" s="467" t="str">
        <f t="shared" si="22"/>
        <v>--</v>
      </c>
      <c r="N18" s="481" t="str">
        <f t="shared" si="23"/>
        <v>--</v>
      </c>
      <c r="O18" s="468" t="str">
        <f t="shared" si="24"/>
        <v>--</v>
      </c>
      <c r="P18" s="469" t="str">
        <f t="shared" si="25"/>
        <v>--</v>
      </c>
    </row>
    <row r="19" spans="1:16" s="448" customFormat="1" ht="30" customHeight="1">
      <c r="A19" s="893" t="s">
        <v>105</v>
      </c>
      <c r="B19" s="460" t="s">
        <v>106</v>
      </c>
      <c r="C19" s="461" t="str">
        <f t="shared" si="12"/>
        <v>--</v>
      </c>
      <c r="D19" s="466" t="str">
        <f t="shared" si="13"/>
        <v>--</v>
      </c>
      <c r="E19" s="612" t="str">
        <f t="shared" si="14"/>
        <v>--</v>
      </c>
      <c r="F19" s="463" t="str">
        <f t="shared" si="15"/>
        <v>--</v>
      </c>
      <c r="G19" s="481" t="str">
        <f t="shared" si="16"/>
        <v>--</v>
      </c>
      <c r="H19" s="468" t="str">
        <f t="shared" si="17"/>
        <v>--</v>
      </c>
      <c r="I19" s="467" t="str">
        <f t="shared" si="18"/>
        <v>--</v>
      </c>
      <c r="J19" s="468" t="str">
        <f t="shared" si="19"/>
        <v>--</v>
      </c>
      <c r="K19" s="466" t="str">
        <f t="shared" si="20"/>
        <v>--</v>
      </c>
      <c r="L19" s="612" t="str">
        <f t="shared" si="21"/>
        <v>--</v>
      </c>
      <c r="M19" s="467" t="str">
        <f t="shared" si="22"/>
        <v>--</v>
      </c>
      <c r="N19" s="481" t="str">
        <f t="shared" si="23"/>
        <v>--</v>
      </c>
      <c r="O19" s="468" t="str">
        <f t="shared" si="24"/>
        <v>--</v>
      </c>
      <c r="P19" s="469" t="str">
        <f t="shared" si="25"/>
        <v>--</v>
      </c>
    </row>
    <row r="20" spans="1:16" s="448" customFormat="1" ht="30" customHeight="1">
      <c r="A20" s="893" t="s">
        <v>107</v>
      </c>
      <c r="B20" s="460" t="s">
        <v>108</v>
      </c>
      <c r="C20" s="461">
        <f t="shared" si="12"/>
        <v>2.5294525294525294</v>
      </c>
      <c r="D20" s="466" t="str">
        <f t="shared" si="13"/>
        <v>--</v>
      </c>
      <c r="E20" s="612">
        <f t="shared" si="14"/>
        <v>11.048648648648646</v>
      </c>
      <c r="F20" s="463" t="str">
        <f t="shared" si="15"/>
        <v>--</v>
      </c>
      <c r="G20" s="481">
        <f t="shared" si="16"/>
        <v>366666666.66666669</v>
      </c>
      <c r="H20" s="468">
        <f t="shared" si="17"/>
        <v>2.5294525294525294</v>
      </c>
      <c r="I20" s="467" t="str">
        <f t="shared" si="18"/>
        <v>Canc-Risk</v>
      </c>
      <c r="J20" s="468">
        <f t="shared" si="19"/>
        <v>7.5883575883575874E-2</v>
      </c>
      <c r="K20" s="466" t="str">
        <f t="shared" si="20"/>
        <v>--</v>
      </c>
      <c r="L20" s="612">
        <f t="shared" si="21"/>
        <v>0.33145945945945937</v>
      </c>
      <c r="M20" s="467" t="str">
        <f t="shared" si="22"/>
        <v>--</v>
      </c>
      <c r="N20" s="481">
        <f t="shared" si="23"/>
        <v>11000000</v>
      </c>
      <c r="O20" s="468">
        <f t="shared" si="24"/>
        <v>7.5883575883575874E-2</v>
      </c>
      <c r="P20" s="469" t="str">
        <f t="shared" si="25"/>
        <v>Canc-Risk</v>
      </c>
    </row>
    <row r="21" spans="1:16" s="448" customFormat="1" ht="30" customHeight="1">
      <c r="A21" s="893" t="s">
        <v>109</v>
      </c>
      <c r="B21" s="460" t="s">
        <v>110</v>
      </c>
      <c r="C21" s="461">
        <f t="shared" si="12"/>
        <v>85.081585081585075</v>
      </c>
      <c r="D21" s="466" t="str">
        <f t="shared" si="13"/>
        <v>--</v>
      </c>
      <c r="E21" s="612">
        <f t="shared" si="14"/>
        <v>371.63636363636351</v>
      </c>
      <c r="F21" s="463" t="str">
        <f t="shared" si="15"/>
        <v>--</v>
      </c>
      <c r="G21" s="481">
        <f t="shared" si="16"/>
        <v>448333.33333333337</v>
      </c>
      <c r="H21" s="468">
        <f t="shared" si="17"/>
        <v>85.081585081585075</v>
      </c>
      <c r="I21" s="467" t="str">
        <f t="shared" si="18"/>
        <v>Canc-Risk</v>
      </c>
      <c r="J21" s="468">
        <f t="shared" si="19"/>
        <v>2.5524475524475521</v>
      </c>
      <c r="K21" s="466" t="str">
        <f t="shared" si="20"/>
        <v>--</v>
      </c>
      <c r="L21" s="612">
        <f t="shared" si="21"/>
        <v>11.149090909090905</v>
      </c>
      <c r="M21" s="467" t="str">
        <f t="shared" si="22"/>
        <v>--</v>
      </c>
      <c r="N21" s="481">
        <f t="shared" si="23"/>
        <v>13450</v>
      </c>
      <c r="O21" s="468">
        <f t="shared" si="24"/>
        <v>2.5524475524475521</v>
      </c>
      <c r="P21" s="469" t="str">
        <f t="shared" si="25"/>
        <v>Canc-Risk</v>
      </c>
    </row>
    <row r="22" spans="1:16" s="448" customFormat="1" ht="30" customHeight="1">
      <c r="A22" s="893" t="s">
        <v>111</v>
      </c>
      <c r="B22" s="460" t="s">
        <v>112</v>
      </c>
      <c r="C22" s="461" t="str">
        <f t="shared" si="12"/>
        <v>--</v>
      </c>
      <c r="D22" s="466">
        <f t="shared" si="13"/>
        <v>173.80952380952382</v>
      </c>
      <c r="E22" s="612" t="str">
        <f t="shared" si="14"/>
        <v>--</v>
      </c>
      <c r="F22" s="463">
        <f t="shared" si="15"/>
        <v>730</v>
      </c>
      <c r="G22" s="481">
        <f t="shared" si="16"/>
        <v>2666666.666666667</v>
      </c>
      <c r="H22" s="468">
        <f t="shared" si="17"/>
        <v>173.80952380952382</v>
      </c>
      <c r="I22" s="467" t="str">
        <f t="shared" si="18"/>
        <v>NC-Hazard</v>
      </c>
      <c r="J22" s="468" t="str">
        <f t="shared" si="19"/>
        <v>--</v>
      </c>
      <c r="K22" s="466">
        <f t="shared" si="20"/>
        <v>5.2142857142857144</v>
      </c>
      <c r="L22" s="612" t="str">
        <f t="shared" si="21"/>
        <v>--</v>
      </c>
      <c r="M22" s="467">
        <f t="shared" si="22"/>
        <v>21.9</v>
      </c>
      <c r="N22" s="481">
        <f t="shared" si="23"/>
        <v>80000</v>
      </c>
      <c r="O22" s="468">
        <f t="shared" si="24"/>
        <v>5.2142857142857144</v>
      </c>
      <c r="P22" s="469" t="str">
        <f t="shared" si="25"/>
        <v>NC-Hazard</v>
      </c>
    </row>
    <row r="23" spans="1:16" s="448" customFormat="1" ht="30" customHeight="1">
      <c r="A23" s="893" t="s">
        <v>113</v>
      </c>
      <c r="B23" s="460" t="s">
        <v>114</v>
      </c>
      <c r="C23" s="461" t="str">
        <f t="shared" si="12"/>
        <v>--</v>
      </c>
      <c r="D23" s="466" t="str">
        <f t="shared" si="13"/>
        <v>--</v>
      </c>
      <c r="E23" s="612" t="str">
        <f t="shared" si="14"/>
        <v>--</v>
      </c>
      <c r="F23" s="463" t="str">
        <f t="shared" si="15"/>
        <v>--</v>
      </c>
      <c r="G23" s="481" t="str">
        <f t="shared" si="16"/>
        <v>--</v>
      </c>
      <c r="H23" s="468" t="str">
        <f t="shared" si="17"/>
        <v>--</v>
      </c>
      <c r="I23" s="467" t="str">
        <f t="shared" si="18"/>
        <v>--</v>
      </c>
      <c r="J23" s="468" t="str">
        <f t="shared" si="19"/>
        <v>--</v>
      </c>
      <c r="K23" s="466" t="str">
        <f t="shared" si="20"/>
        <v>--</v>
      </c>
      <c r="L23" s="612" t="str">
        <f t="shared" si="21"/>
        <v>--</v>
      </c>
      <c r="M23" s="467" t="str">
        <f t="shared" si="22"/>
        <v>--</v>
      </c>
      <c r="N23" s="481" t="str">
        <f t="shared" si="23"/>
        <v>--</v>
      </c>
      <c r="O23" s="468" t="str">
        <f t="shared" si="24"/>
        <v>--</v>
      </c>
      <c r="P23" s="469" t="str">
        <f t="shared" si="25"/>
        <v>--</v>
      </c>
    </row>
    <row r="24" spans="1:16" s="448" customFormat="1" ht="30" customHeight="1">
      <c r="A24" s="893" t="s">
        <v>116</v>
      </c>
      <c r="B24" s="460" t="s">
        <v>114</v>
      </c>
      <c r="C24" s="461" t="str">
        <f t="shared" si="12"/>
        <v>--</v>
      </c>
      <c r="D24" s="466" t="str">
        <f t="shared" si="13"/>
        <v>--</v>
      </c>
      <c r="E24" s="612" t="str">
        <f t="shared" si="14"/>
        <v>--</v>
      </c>
      <c r="F24" s="463" t="str">
        <f t="shared" si="15"/>
        <v>--</v>
      </c>
      <c r="G24" s="481" t="str">
        <f t="shared" si="16"/>
        <v>--</v>
      </c>
      <c r="H24" s="468" t="str">
        <f t="shared" si="17"/>
        <v>--</v>
      </c>
      <c r="I24" s="467" t="str">
        <f t="shared" si="18"/>
        <v>--</v>
      </c>
      <c r="J24" s="468" t="str">
        <f t="shared" si="19"/>
        <v>--</v>
      </c>
      <c r="K24" s="466" t="str">
        <f t="shared" si="20"/>
        <v>--</v>
      </c>
      <c r="L24" s="612" t="str">
        <f t="shared" si="21"/>
        <v>--</v>
      </c>
      <c r="M24" s="467" t="str">
        <f t="shared" si="22"/>
        <v>--</v>
      </c>
      <c r="N24" s="481" t="str">
        <f t="shared" si="23"/>
        <v>--</v>
      </c>
      <c r="O24" s="468" t="str">
        <f t="shared" si="24"/>
        <v>--</v>
      </c>
      <c r="P24" s="469" t="str">
        <f t="shared" si="25"/>
        <v>--</v>
      </c>
    </row>
    <row r="25" spans="1:16" s="448" customFormat="1" ht="30" customHeight="1">
      <c r="A25" s="893" t="s">
        <v>117</v>
      </c>
      <c r="B25" s="460" t="s">
        <v>118</v>
      </c>
      <c r="C25" s="461">
        <f t="shared" si="12"/>
        <v>15.598290598290594</v>
      </c>
      <c r="D25" s="466">
        <f t="shared" si="13"/>
        <v>1390.4761904761906</v>
      </c>
      <c r="E25" s="612">
        <f t="shared" si="14"/>
        <v>68.133333333333326</v>
      </c>
      <c r="F25" s="463">
        <f t="shared" si="15"/>
        <v>5840</v>
      </c>
      <c r="G25" s="481">
        <f t="shared" si="16"/>
        <v>2100000</v>
      </c>
      <c r="H25" s="468">
        <f t="shared" si="17"/>
        <v>15.598290598290594</v>
      </c>
      <c r="I25" s="467" t="str">
        <f t="shared" si="18"/>
        <v>Canc-Risk</v>
      </c>
      <c r="J25" s="468">
        <f t="shared" si="19"/>
        <v>0.46794871794871784</v>
      </c>
      <c r="K25" s="466">
        <f t="shared" si="20"/>
        <v>41.714285714285715</v>
      </c>
      <c r="L25" s="612">
        <f t="shared" si="21"/>
        <v>2.0439999999999996</v>
      </c>
      <c r="M25" s="467">
        <f t="shared" si="22"/>
        <v>175.2</v>
      </c>
      <c r="N25" s="481">
        <f t="shared" si="23"/>
        <v>63000</v>
      </c>
      <c r="O25" s="468">
        <f t="shared" si="24"/>
        <v>0.46794871794871784</v>
      </c>
      <c r="P25" s="469" t="str">
        <f t="shared" si="25"/>
        <v>Canc-Risk</v>
      </c>
    </row>
    <row r="26" spans="1:16" s="448" customFormat="1" ht="30" customHeight="1">
      <c r="A26" s="893" t="s">
        <v>119</v>
      </c>
      <c r="B26" s="460" t="s">
        <v>120</v>
      </c>
      <c r="C26" s="461">
        <f t="shared" si="12"/>
        <v>0.93589743589743579</v>
      </c>
      <c r="D26" s="466">
        <f t="shared" si="13"/>
        <v>24.333333333333332</v>
      </c>
      <c r="E26" s="612">
        <f t="shared" si="14"/>
        <v>4.0879999999999983</v>
      </c>
      <c r="F26" s="463">
        <f t="shared" si="15"/>
        <v>102.2</v>
      </c>
      <c r="G26" s="481">
        <f t="shared" si="16"/>
        <v>280</v>
      </c>
      <c r="H26" s="468">
        <f t="shared" si="17"/>
        <v>0.93589743589743579</v>
      </c>
      <c r="I26" s="467" t="str">
        <f t="shared" si="18"/>
        <v>Canc-Risk</v>
      </c>
      <c r="J26" s="468">
        <f t="shared" si="19"/>
        <v>2.8076923076923072E-2</v>
      </c>
      <c r="K26" s="466">
        <f t="shared" si="20"/>
        <v>0.73</v>
      </c>
      <c r="L26" s="612">
        <f t="shared" si="21"/>
        <v>0.12263999999999996</v>
      </c>
      <c r="M26" s="467">
        <f t="shared" si="22"/>
        <v>3.0659999999999998</v>
      </c>
      <c r="N26" s="481">
        <f t="shared" si="23"/>
        <v>8.4</v>
      </c>
      <c r="O26" s="468">
        <f t="shared" si="24"/>
        <v>2.8076923076923072E-2</v>
      </c>
      <c r="P26" s="469" t="str">
        <f t="shared" si="25"/>
        <v>Canc-Risk</v>
      </c>
    </row>
    <row r="27" spans="1:16" s="448" customFormat="1" ht="30" customHeight="1">
      <c r="A27" s="893" t="s">
        <v>121</v>
      </c>
      <c r="B27" s="460" t="s">
        <v>122</v>
      </c>
      <c r="C27" s="461" t="str">
        <f t="shared" si="12"/>
        <v>--</v>
      </c>
      <c r="D27" s="466" t="str">
        <f t="shared" si="13"/>
        <v>--</v>
      </c>
      <c r="E27" s="612" t="str">
        <f t="shared" si="14"/>
        <v>--</v>
      </c>
      <c r="F27" s="463" t="str">
        <f t="shared" si="15"/>
        <v>--</v>
      </c>
      <c r="G27" s="481" t="str">
        <f t="shared" si="16"/>
        <v>--</v>
      </c>
      <c r="H27" s="468" t="str">
        <f t="shared" si="17"/>
        <v>--</v>
      </c>
      <c r="I27" s="467" t="str">
        <f t="shared" si="18"/>
        <v>--</v>
      </c>
      <c r="J27" s="468" t="str">
        <f t="shared" si="19"/>
        <v>--</v>
      </c>
      <c r="K27" s="466" t="str">
        <f t="shared" si="20"/>
        <v>--</v>
      </c>
      <c r="L27" s="612" t="str">
        <f t="shared" si="21"/>
        <v>--</v>
      </c>
      <c r="M27" s="467" t="str">
        <f t="shared" si="22"/>
        <v>--</v>
      </c>
      <c r="N27" s="481" t="str">
        <f t="shared" si="23"/>
        <v>--</v>
      </c>
      <c r="O27" s="468" t="str">
        <f t="shared" si="24"/>
        <v>--</v>
      </c>
      <c r="P27" s="469" t="str">
        <f t="shared" si="25"/>
        <v>--</v>
      </c>
    </row>
    <row r="28" spans="1:16" s="448" customFormat="1" ht="30" customHeight="1">
      <c r="A28" s="893" t="s">
        <v>123</v>
      </c>
      <c r="B28" s="460" t="s">
        <v>124</v>
      </c>
      <c r="C28" s="461" t="str">
        <f t="shared" si="12"/>
        <v>--</v>
      </c>
      <c r="D28" s="466">
        <f t="shared" si="13"/>
        <v>1738.0952380952383</v>
      </c>
      <c r="E28" s="612" t="str">
        <f t="shared" si="14"/>
        <v>--</v>
      </c>
      <c r="F28" s="463">
        <f t="shared" si="15"/>
        <v>7299.9999999999991</v>
      </c>
      <c r="G28" s="481">
        <f t="shared" si="16"/>
        <v>33333.333333333336</v>
      </c>
      <c r="H28" s="468">
        <f t="shared" si="17"/>
        <v>1738.0952380952383</v>
      </c>
      <c r="I28" s="467" t="str">
        <f t="shared" si="18"/>
        <v>NC-Hazard</v>
      </c>
      <c r="J28" s="468" t="str">
        <f t="shared" si="19"/>
        <v>--</v>
      </c>
      <c r="K28" s="466">
        <f t="shared" si="20"/>
        <v>52.142857142857146</v>
      </c>
      <c r="L28" s="612" t="str">
        <f t="shared" si="21"/>
        <v>--</v>
      </c>
      <c r="M28" s="467">
        <f t="shared" si="22"/>
        <v>218.99999999999997</v>
      </c>
      <c r="N28" s="481">
        <f t="shared" si="23"/>
        <v>1000</v>
      </c>
      <c r="O28" s="468">
        <f t="shared" si="24"/>
        <v>52.142857142857146</v>
      </c>
      <c r="P28" s="469" t="str">
        <f t="shared" si="25"/>
        <v>NC-Hazard</v>
      </c>
    </row>
    <row r="29" spans="1:16" s="448" customFormat="1" ht="30" customHeight="1">
      <c r="A29" s="893" t="s">
        <v>125</v>
      </c>
      <c r="B29" s="460" t="s">
        <v>126</v>
      </c>
      <c r="C29" s="461" t="str">
        <f t="shared" si="12"/>
        <v>--</v>
      </c>
      <c r="D29" s="466">
        <f t="shared" si="13"/>
        <v>139047.61904761905</v>
      </c>
      <c r="E29" s="612" t="str">
        <f t="shared" si="14"/>
        <v>--</v>
      </c>
      <c r="F29" s="463">
        <f t="shared" si="15"/>
        <v>584000</v>
      </c>
      <c r="G29" s="481">
        <f t="shared" si="16"/>
        <v>12666666.666666668</v>
      </c>
      <c r="H29" s="468">
        <f t="shared" si="17"/>
        <v>139047.61904761905</v>
      </c>
      <c r="I29" s="467" t="str">
        <f t="shared" si="18"/>
        <v>NC-Hazard</v>
      </c>
      <c r="J29" s="468" t="str">
        <f t="shared" si="19"/>
        <v>--</v>
      </c>
      <c r="K29" s="466">
        <f t="shared" si="20"/>
        <v>4171.4285714285716</v>
      </c>
      <c r="L29" s="612" t="str">
        <f t="shared" si="21"/>
        <v>--</v>
      </c>
      <c r="M29" s="467">
        <f t="shared" si="22"/>
        <v>17520</v>
      </c>
      <c r="N29" s="481">
        <f t="shared" si="23"/>
        <v>380000</v>
      </c>
      <c r="O29" s="468">
        <f t="shared" si="24"/>
        <v>4171.4285714285716</v>
      </c>
      <c r="P29" s="469" t="str">
        <f t="shared" si="25"/>
        <v>NC-Hazard</v>
      </c>
    </row>
    <row r="30" spans="1:16" s="448" customFormat="1" ht="30" customHeight="1">
      <c r="A30" s="893" t="s">
        <v>127</v>
      </c>
      <c r="B30" s="460" t="s">
        <v>128</v>
      </c>
      <c r="C30" s="461">
        <f t="shared" si="12"/>
        <v>4.0691192865105901</v>
      </c>
      <c r="D30" s="466">
        <f t="shared" si="13"/>
        <v>67.785714285714278</v>
      </c>
      <c r="E30" s="612">
        <f t="shared" si="14"/>
        <v>17.77391304347826</v>
      </c>
      <c r="F30" s="463">
        <f t="shared" si="15"/>
        <v>284.7</v>
      </c>
      <c r="G30" s="481">
        <f t="shared" si="16"/>
        <v>14053333.333333334</v>
      </c>
      <c r="H30" s="468">
        <f t="shared" si="17"/>
        <v>4.0691192865105901</v>
      </c>
      <c r="I30" s="467" t="str">
        <f t="shared" si="18"/>
        <v>Canc-Risk</v>
      </c>
      <c r="J30" s="468">
        <f t="shared" si="19"/>
        <v>0.1220735785953177</v>
      </c>
      <c r="K30" s="466">
        <f t="shared" si="20"/>
        <v>2.0335714285714284</v>
      </c>
      <c r="L30" s="612">
        <f t="shared" si="21"/>
        <v>0.53321739130434775</v>
      </c>
      <c r="M30" s="467">
        <f t="shared" si="22"/>
        <v>8.5409999999999986</v>
      </c>
      <c r="N30" s="481">
        <f t="shared" si="23"/>
        <v>421600</v>
      </c>
      <c r="O30" s="468">
        <f t="shared" si="24"/>
        <v>0.1220735785953177</v>
      </c>
      <c r="P30" s="469" t="str">
        <f t="shared" si="25"/>
        <v>Canc-Risk</v>
      </c>
    </row>
    <row r="31" spans="1:16" s="448" customFormat="1" ht="30" customHeight="1">
      <c r="A31" s="893" t="s">
        <v>129</v>
      </c>
      <c r="B31" s="460" t="s">
        <v>130</v>
      </c>
      <c r="C31" s="461" t="str">
        <f t="shared" si="12"/>
        <v>--</v>
      </c>
      <c r="D31" s="466">
        <f t="shared" si="13"/>
        <v>3128.5714285714289</v>
      </c>
      <c r="E31" s="612" t="str">
        <f t="shared" si="14"/>
        <v>--</v>
      </c>
      <c r="F31" s="463">
        <f t="shared" si="15"/>
        <v>13140</v>
      </c>
      <c r="G31" s="481" t="str">
        <f t="shared" si="16"/>
        <v>--</v>
      </c>
      <c r="H31" s="468">
        <f t="shared" si="17"/>
        <v>3128.5714285714289</v>
      </c>
      <c r="I31" s="467" t="str">
        <f t="shared" si="18"/>
        <v>NC-Hazard</v>
      </c>
      <c r="J31" s="468" t="str">
        <f t="shared" si="19"/>
        <v>--</v>
      </c>
      <c r="K31" s="466">
        <f t="shared" si="20"/>
        <v>93.857142857142861</v>
      </c>
      <c r="L31" s="612" t="str">
        <f t="shared" si="21"/>
        <v>--</v>
      </c>
      <c r="M31" s="467">
        <f t="shared" si="22"/>
        <v>394.2</v>
      </c>
      <c r="N31" s="481" t="str">
        <f t="shared" si="23"/>
        <v>--</v>
      </c>
      <c r="O31" s="468">
        <f t="shared" si="24"/>
        <v>93.857142857142861</v>
      </c>
      <c r="P31" s="469" t="str">
        <f t="shared" si="25"/>
        <v>NC-Hazard</v>
      </c>
    </row>
    <row r="32" spans="1:16" s="448" customFormat="1" ht="30" customHeight="1">
      <c r="A32" s="893" t="s">
        <v>131</v>
      </c>
      <c r="B32" s="460" t="s">
        <v>132</v>
      </c>
      <c r="C32" s="461" t="str">
        <f t="shared" si="12"/>
        <v>--</v>
      </c>
      <c r="D32" s="466" t="str">
        <f t="shared" si="13"/>
        <v>--</v>
      </c>
      <c r="E32" s="612" t="str">
        <f t="shared" si="14"/>
        <v>--</v>
      </c>
      <c r="F32" s="463" t="str">
        <f t="shared" si="15"/>
        <v>--</v>
      </c>
      <c r="G32" s="481">
        <f t="shared" si="16"/>
        <v>633.33333333333337</v>
      </c>
      <c r="H32" s="468">
        <f t="shared" si="17"/>
        <v>633.33333333333337</v>
      </c>
      <c r="I32" s="467" t="str">
        <f t="shared" si="18"/>
        <v>Odor/Nuis</v>
      </c>
      <c r="J32" s="468" t="str">
        <f t="shared" si="19"/>
        <v>--</v>
      </c>
      <c r="K32" s="466" t="str">
        <f t="shared" si="20"/>
        <v>--</v>
      </c>
      <c r="L32" s="612" t="str">
        <f t="shared" si="21"/>
        <v>--</v>
      </c>
      <c r="M32" s="467" t="str">
        <f t="shared" si="22"/>
        <v>--</v>
      </c>
      <c r="N32" s="481">
        <f t="shared" si="23"/>
        <v>19</v>
      </c>
      <c r="O32" s="468">
        <f t="shared" si="24"/>
        <v>19</v>
      </c>
      <c r="P32" s="469" t="str">
        <f t="shared" si="25"/>
        <v>Nuis/Odor</v>
      </c>
    </row>
    <row r="33" spans="1:16" s="448" customFormat="1" ht="30" customHeight="1">
      <c r="A33" s="893" t="s">
        <v>133</v>
      </c>
      <c r="B33" s="460" t="s">
        <v>134</v>
      </c>
      <c r="C33" s="461" t="str">
        <f t="shared" si="12"/>
        <v>--</v>
      </c>
      <c r="D33" s="466" t="str">
        <f t="shared" si="13"/>
        <v>--</v>
      </c>
      <c r="E33" s="612" t="str">
        <f t="shared" si="14"/>
        <v>--</v>
      </c>
      <c r="F33" s="463" t="str">
        <f t="shared" si="15"/>
        <v>--</v>
      </c>
      <c r="G33" s="481" t="str">
        <f t="shared" si="16"/>
        <v>--</v>
      </c>
      <c r="H33" s="468" t="str">
        <f t="shared" si="17"/>
        <v>--</v>
      </c>
      <c r="I33" s="467" t="str">
        <f t="shared" si="18"/>
        <v>--</v>
      </c>
      <c r="J33" s="468" t="str">
        <f t="shared" si="19"/>
        <v>--</v>
      </c>
      <c r="K33" s="466" t="str">
        <f t="shared" si="20"/>
        <v>--</v>
      </c>
      <c r="L33" s="612" t="str">
        <f t="shared" si="21"/>
        <v>--</v>
      </c>
      <c r="M33" s="467" t="str">
        <f t="shared" si="22"/>
        <v>--</v>
      </c>
      <c r="N33" s="481" t="str">
        <f t="shared" si="23"/>
        <v>--</v>
      </c>
      <c r="O33" s="468" t="str">
        <f t="shared" si="24"/>
        <v>--</v>
      </c>
      <c r="P33" s="469" t="str">
        <f t="shared" si="25"/>
        <v>--</v>
      </c>
    </row>
    <row r="34" spans="1:16" s="448" customFormat="1" ht="30" customHeight="1">
      <c r="A34" s="893" t="s">
        <v>135</v>
      </c>
      <c r="B34" s="460" t="s">
        <v>136</v>
      </c>
      <c r="C34" s="461" t="str">
        <f t="shared" si="12"/>
        <v>--</v>
      </c>
      <c r="D34" s="466" t="str">
        <f t="shared" si="13"/>
        <v>--</v>
      </c>
      <c r="E34" s="612" t="str">
        <f t="shared" si="14"/>
        <v>--</v>
      </c>
      <c r="F34" s="463" t="str">
        <f t="shared" si="15"/>
        <v>--</v>
      </c>
      <c r="G34" s="481" t="str">
        <f t="shared" si="16"/>
        <v>--</v>
      </c>
      <c r="H34" s="468" t="str">
        <f t="shared" si="17"/>
        <v>--</v>
      </c>
      <c r="I34" s="467" t="str">
        <f t="shared" si="18"/>
        <v>--</v>
      </c>
      <c r="J34" s="468" t="str">
        <f t="shared" si="19"/>
        <v>--</v>
      </c>
      <c r="K34" s="466" t="str">
        <f t="shared" si="20"/>
        <v>--</v>
      </c>
      <c r="L34" s="612" t="str">
        <f t="shared" si="21"/>
        <v>--</v>
      </c>
      <c r="M34" s="467" t="str">
        <f t="shared" si="22"/>
        <v>--</v>
      </c>
      <c r="N34" s="481" t="str">
        <f t="shared" si="23"/>
        <v>--</v>
      </c>
      <c r="O34" s="468" t="str">
        <f t="shared" si="24"/>
        <v>--</v>
      </c>
      <c r="P34" s="469" t="str">
        <f t="shared" si="25"/>
        <v>--</v>
      </c>
    </row>
    <row r="35" spans="1:16" s="448" customFormat="1" ht="30" customHeight="1">
      <c r="A35" s="893" t="s">
        <v>137</v>
      </c>
      <c r="B35" s="460" t="s">
        <v>138</v>
      </c>
      <c r="C35" s="461" t="str">
        <f t="shared" si="12"/>
        <v>--</v>
      </c>
      <c r="D35" s="466" t="str">
        <f t="shared" si="13"/>
        <v>--</v>
      </c>
      <c r="E35" s="612" t="str">
        <f t="shared" si="14"/>
        <v>--</v>
      </c>
      <c r="F35" s="463" t="str">
        <f t="shared" si="15"/>
        <v>--</v>
      </c>
      <c r="G35" s="481" t="str">
        <f t="shared" si="16"/>
        <v>--</v>
      </c>
      <c r="H35" s="468" t="str">
        <f t="shared" si="17"/>
        <v>--</v>
      </c>
      <c r="I35" s="467" t="str">
        <f t="shared" si="18"/>
        <v>--</v>
      </c>
      <c r="J35" s="468" t="str">
        <f t="shared" si="19"/>
        <v>--</v>
      </c>
      <c r="K35" s="466" t="str">
        <f t="shared" si="20"/>
        <v>--</v>
      </c>
      <c r="L35" s="612" t="str">
        <f t="shared" si="21"/>
        <v>--</v>
      </c>
      <c r="M35" s="467" t="str">
        <f t="shared" si="22"/>
        <v>--</v>
      </c>
      <c r="N35" s="481" t="str">
        <f t="shared" si="23"/>
        <v>--</v>
      </c>
      <c r="O35" s="468" t="str">
        <f t="shared" si="24"/>
        <v>--</v>
      </c>
      <c r="P35" s="469" t="str">
        <f t="shared" si="25"/>
        <v>--</v>
      </c>
    </row>
    <row r="36" spans="1:16" s="448" customFormat="1" ht="30" customHeight="1">
      <c r="A36" s="893" t="s">
        <v>139</v>
      </c>
      <c r="B36" s="460" t="s">
        <v>140</v>
      </c>
      <c r="C36" s="461" t="str">
        <f t="shared" si="12"/>
        <v>--</v>
      </c>
      <c r="D36" s="466" t="str">
        <f t="shared" si="13"/>
        <v>--</v>
      </c>
      <c r="E36" s="612" t="str">
        <f t="shared" si="14"/>
        <v>--</v>
      </c>
      <c r="F36" s="463" t="str">
        <f t="shared" si="15"/>
        <v>--</v>
      </c>
      <c r="G36" s="481" t="str">
        <f t="shared" si="16"/>
        <v>--</v>
      </c>
      <c r="H36" s="468" t="str">
        <f t="shared" si="17"/>
        <v>--</v>
      </c>
      <c r="I36" s="467" t="str">
        <f t="shared" si="18"/>
        <v>--</v>
      </c>
      <c r="J36" s="468" t="str">
        <f t="shared" si="19"/>
        <v>--</v>
      </c>
      <c r="K36" s="466" t="str">
        <f t="shared" si="20"/>
        <v>--</v>
      </c>
      <c r="L36" s="612" t="str">
        <f t="shared" si="21"/>
        <v>--</v>
      </c>
      <c r="M36" s="467" t="str">
        <f t="shared" si="22"/>
        <v>--</v>
      </c>
      <c r="N36" s="481" t="str">
        <f t="shared" si="23"/>
        <v>--</v>
      </c>
      <c r="O36" s="468" t="str">
        <f t="shared" si="24"/>
        <v>--</v>
      </c>
      <c r="P36" s="469" t="str">
        <f t="shared" si="25"/>
        <v>--</v>
      </c>
    </row>
    <row r="37" spans="1:16" s="448" customFormat="1" ht="30" customHeight="1">
      <c r="A37" s="893" t="s">
        <v>141</v>
      </c>
      <c r="B37" s="460" t="s">
        <v>142</v>
      </c>
      <c r="C37" s="461" t="str">
        <f t="shared" si="12"/>
        <v>--</v>
      </c>
      <c r="D37" s="466" t="str">
        <f t="shared" si="13"/>
        <v>--</v>
      </c>
      <c r="E37" s="612" t="str">
        <f t="shared" si="14"/>
        <v>--</v>
      </c>
      <c r="F37" s="463" t="str">
        <f t="shared" si="15"/>
        <v>--</v>
      </c>
      <c r="G37" s="481" t="str">
        <f t="shared" si="16"/>
        <v>--</v>
      </c>
      <c r="H37" s="468" t="str">
        <f t="shared" si="17"/>
        <v>--</v>
      </c>
      <c r="I37" s="467" t="str">
        <f t="shared" si="18"/>
        <v>--</v>
      </c>
      <c r="J37" s="468" t="str">
        <f t="shared" si="19"/>
        <v>--</v>
      </c>
      <c r="K37" s="466" t="str">
        <f t="shared" si="20"/>
        <v>--</v>
      </c>
      <c r="L37" s="612" t="str">
        <f t="shared" si="21"/>
        <v>--</v>
      </c>
      <c r="M37" s="467" t="str">
        <f t="shared" si="22"/>
        <v>--</v>
      </c>
      <c r="N37" s="481" t="str">
        <f t="shared" si="23"/>
        <v>--</v>
      </c>
      <c r="O37" s="468" t="str">
        <f t="shared" si="24"/>
        <v>--</v>
      </c>
      <c r="P37" s="469" t="str">
        <f t="shared" si="25"/>
        <v>--</v>
      </c>
    </row>
    <row r="38" spans="1:16" s="448" customFormat="1" ht="30" customHeight="1">
      <c r="A38" s="893" t="s">
        <v>143</v>
      </c>
      <c r="B38" s="460" t="s">
        <v>144</v>
      </c>
      <c r="C38" s="461" t="str">
        <f t="shared" si="12"/>
        <v>--</v>
      </c>
      <c r="D38" s="466">
        <f t="shared" si="13"/>
        <v>27.80952380952381</v>
      </c>
      <c r="E38" s="612" t="str">
        <f t="shared" si="14"/>
        <v>--</v>
      </c>
      <c r="F38" s="463">
        <f t="shared" si="15"/>
        <v>116.79999999999998</v>
      </c>
      <c r="G38" s="481">
        <f t="shared" si="16"/>
        <v>21733.333333333336</v>
      </c>
      <c r="H38" s="468">
        <f t="shared" si="17"/>
        <v>27.80952380952381</v>
      </c>
      <c r="I38" s="467" t="str">
        <f t="shared" si="18"/>
        <v>NC-Hazard</v>
      </c>
      <c r="J38" s="468" t="str">
        <f t="shared" si="19"/>
        <v>--</v>
      </c>
      <c r="K38" s="466">
        <f t="shared" si="20"/>
        <v>0.8342857142857143</v>
      </c>
      <c r="L38" s="612" t="str">
        <f t="shared" si="21"/>
        <v>--</v>
      </c>
      <c r="M38" s="467">
        <f t="shared" si="22"/>
        <v>3.5039999999999996</v>
      </c>
      <c r="N38" s="481">
        <f t="shared" si="23"/>
        <v>652</v>
      </c>
      <c r="O38" s="468">
        <f t="shared" si="24"/>
        <v>0.8342857142857143</v>
      </c>
      <c r="P38" s="469" t="str">
        <f t="shared" si="25"/>
        <v>NC-Hazard</v>
      </c>
    </row>
    <row r="39" spans="1:16" s="448" customFormat="1" ht="30" customHeight="1">
      <c r="A39" s="893" t="s">
        <v>145</v>
      </c>
      <c r="B39" s="460" t="s">
        <v>146</v>
      </c>
      <c r="C39" s="461" t="str">
        <f t="shared" si="12"/>
        <v>--</v>
      </c>
      <c r="D39" s="466" t="str">
        <f t="shared" si="13"/>
        <v>--</v>
      </c>
      <c r="E39" s="612" t="str">
        <f t="shared" si="14"/>
        <v>--</v>
      </c>
      <c r="F39" s="463" t="str">
        <f t="shared" si="15"/>
        <v>--</v>
      </c>
      <c r="G39" s="481" t="str">
        <f t="shared" si="16"/>
        <v>--</v>
      </c>
      <c r="H39" s="468" t="str">
        <f t="shared" si="17"/>
        <v>--</v>
      </c>
      <c r="I39" s="467" t="str">
        <f t="shared" si="18"/>
        <v>--</v>
      </c>
      <c r="J39" s="468" t="str">
        <f t="shared" si="19"/>
        <v>--</v>
      </c>
      <c r="K39" s="466" t="str">
        <f t="shared" si="20"/>
        <v>--</v>
      </c>
      <c r="L39" s="612" t="str">
        <f t="shared" si="21"/>
        <v>--</v>
      </c>
      <c r="M39" s="467" t="str">
        <f t="shared" si="22"/>
        <v>--</v>
      </c>
      <c r="N39" s="481" t="str">
        <f t="shared" si="23"/>
        <v>--</v>
      </c>
      <c r="O39" s="468" t="str">
        <f t="shared" si="24"/>
        <v>--</v>
      </c>
      <c r="P39" s="469" t="str">
        <f t="shared" si="25"/>
        <v>--</v>
      </c>
    </row>
    <row r="40" spans="1:16" s="448" customFormat="1" ht="30" customHeight="1">
      <c r="A40" s="893" t="s">
        <v>147</v>
      </c>
      <c r="B40" s="460" t="s">
        <v>148</v>
      </c>
      <c r="C40" s="461">
        <f t="shared" si="12"/>
        <v>5.6327160493827143E-3</v>
      </c>
      <c r="D40" s="466">
        <f t="shared" si="13"/>
        <v>6.9523809523809526</v>
      </c>
      <c r="E40" s="612">
        <f t="shared" si="14"/>
        <v>6.813333333333331E-2</v>
      </c>
      <c r="F40" s="463">
        <f t="shared" si="15"/>
        <v>29.199999999999996</v>
      </c>
      <c r="G40" s="481" t="str">
        <f t="shared" si="16"/>
        <v>--</v>
      </c>
      <c r="H40" s="468">
        <f t="shared" si="17"/>
        <v>5.6327160493827143E-3</v>
      </c>
      <c r="I40" s="467" t="str">
        <f t="shared" si="18"/>
        <v>Canc-Risk</v>
      </c>
      <c r="J40" s="468">
        <f t="shared" si="19"/>
        <v>1.6898148148148143E-4</v>
      </c>
      <c r="K40" s="466">
        <f t="shared" si="20"/>
        <v>0.20857142857142857</v>
      </c>
      <c r="L40" s="612">
        <f t="shared" si="21"/>
        <v>2.0439999999999994E-3</v>
      </c>
      <c r="M40" s="467">
        <f t="shared" si="22"/>
        <v>0.87599999999999989</v>
      </c>
      <c r="N40" s="481" t="str">
        <f t="shared" si="23"/>
        <v>--</v>
      </c>
      <c r="O40" s="468">
        <f t="shared" si="24"/>
        <v>1.6898148148148143E-4</v>
      </c>
      <c r="P40" s="469" t="str">
        <f t="shared" si="25"/>
        <v>Canc-Risk</v>
      </c>
    </row>
    <row r="41" spans="1:16" s="448" customFormat="1" ht="30" customHeight="1">
      <c r="A41" s="893" t="s">
        <v>149</v>
      </c>
      <c r="B41" s="460" t="s">
        <v>150</v>
      </c>
      <c r="C41" s="461">
        <f t="shared" si="12"/>
        <v>0.15598290598290598</v>
      </c>
      <c r="D41" s="466">
        <f t="shared" si="13"/>
        <v>27.80952380952381</v>
      </c>
      <c r="E41" s="612">
        <f t="shared" si="14"/>
        <v>0.68133333333333324</v>
      </c>
      <c r="F41" s="463">
        <f t="shared" si="15"/>
        <v>116.79999999999998</v>
      </c>
      <c r="G41" s="481">
        <f t="shared" si="16"/>
        <v>6666666.666666667</v>
      </c>
      <c r="H41" s="468">
        <f t="shared" si="17"/>
        <v>0.15598290598290598</v>
      </c>
      <c r="I41" s="467" t="str">
        <f t="shared" si="18"/>
        <v>Canc-Risk</v>
      </c>
      <c r="J41" s="468">
        <f t="shared" si="19"/>
        <v>4.679487179487179E-3</v>
      </c>
      <c r="K41" s="466">
        <f t="shared" si="20"/>
        <v>0.8342857142857143</v>
      </c>
      <c r="L41" s="612">
        <f t="shared" si="21"/>
        <v>2.0439999999999996E-2</v>
      </c>
      <c r="M41" s="467">
        <f t="shared" si="22"/>
        <v>3.5039999999999996</v>
      </c>
      <c r="N41" s="481">
        <f t="shared" si="23"/>
        <v>200000</v>
      </c>
      <c r="O41" s="468">
        <f t="shared" si="24"/>
        <v>4.679487179487179E-3</v>
      </c>
      <c r="P41" s="469" t="str">
        <f t="shared" si="25"/>
        <v>Canc-Risk</v>
      </c>
    </row>
    <row r="42" spans="1:16" s="448" customFormat="1" ht="30" customHeight="1">
      <c r="A42" s="893" t="s">
        <v>151</v>
      </c>
      <c r="B42" s="460" t="s">
        <v>152</v>
      </c>
      <c r="C42" s="461" t="str">
        <f t="shared" si="12"/>
        <v>--</v>
      </c>
      <c r="D42" s="466">
        <f t="shared" si="13"/>
        <v>6952.3809523809532</v>
      </c>
      <c r="E42" s="612" t="str">
        <f t="shared" si="14"/>
        <v>--</v>
      </c>
      <c r="F42" s="463">
        <f t="shared" si="15"/>
        <v>29199.999999999996</v>
      </c>
      <c r="G42" s="481">
        <f t="shared" si="16"/>
        <v>10166666.666666668</v>
      </c>
      <c r="H42" s="468">
        <f t="shared" si="17"/>
        <v>6952.3809523809532</v>
      </c>
      <c r="I42" s="467" t="str">
        <f t="shared" si="18"/>
        <v>NC-Hazard</v>
      </c>
      <c r="J42" s="468" t="str">
        <f t="shared" si="19"/>
        <v>--</v>
      </c>
      <c r="K42" s="466">
        <f t="shared" si="20"/>
        <v>208.57142857142858</v>
      </c>
      <c r="L42" s="612" t="str">
        <f t="shared" si="21"/>
        <v>--</v>
      </c>
      <c r="M42" s="467">
        <f t="shared" si="22"/>
        <v>875.99999999999989</v>
      </c>
      <c r="N42" s="481">
        <f t="shared" si="23"/>
        <v>305000</v>
      </c>
      <c r="O42" s="468">
        <f t="shared" si="24"/>
        <v>208.57142857142858</v>
      </c>
      <c r="P42" s="469" t="str">
        <f t="shared" si="25"/>
        <v>NC-Hazard</v>
      </c>
    </row>
    <row r="43" spans="1:16" s="448" customFormat="1" ht="30" customHeight="1">
      <c r="A43" s="893" t="s">
        <v>153</v>
      </c>
      <c r="B43" s="460" t="s">
        <v>154</v>
      </c>
      <c r="C43" s="461">
        <f t="shared" si="12"/>
        <v>8.5081585081585072</v>
      </c>
      <c r="D43" s="466">
        <f t="shared" si="13"/>
        <v>27809.523809523813</v>
      </c>
      <c r="E43" s="612">
        <f t="shared" si="14"/>
        <v>37.163636363636357</v>
      </c>
      <c r="F43" s="463">
        <f t="shared" si="15"/>
        <v>116799.99999999999</v>
      </c>
      <c r="G43" s="481">
        <f t="shared" si="16"/>
        <v>36666.666666666672</v>
      </c>
      <c r="H43" s="468">
        <f t="shared" si="17"/>
        <v>8.5081585081585072</v>
      </c>
      <c r="I43" s="467" t="str">
        <f t="shared" si="18"/>
        <v>Canc-Risk</v>
      </c>
      <c r="J43" s="468">
        <f t="shared" si="19"/>
        <v>0.25524475524475521</v>
      </c>
      <c r="K43" s="466">
        <f t="shared" si="20"/>
        <v>834.28571428571433</v>
      </c>
      <c r="L43" s="612">
        <f t="shared" si="21"/>
        <v>1.1149090909090906</v>
      </c>
      <c r="M43" s="467">
        <f t="shared" si="22"/>
        <v>3503.9999999999995</v>
      </c>
      <c r="N43" s="481">
        <f t="shared" si="23"/>
        <v>1100</v>
      </c>
      <c r="O43" s="468">
        <f t="shared" si="24"/>
        <v>0.25524475524475521</v>
      </c>
      <c r="P43" s="469" t="str">
        <f t="shared" si="25"/>
        <v>Canc-Risk</v>
      </c>
    </row>
    <row r="44" spans="1:16" s="448" customFormat="1" ht="30" customHeight="1">
      <c r="A44" s="893" t="s">
        <v>155</v>
      </c>
      <c r="B44" s="460" t="s">
        <v>156</v>
      </c>
      <c r="C44" s="461" t="str">
        <f t="shared" si="12"/>
        <v>--</v>
      </c>
      <c r="D44" s="466" t="str">
        <f t="shared" si="13"/>
        <v>--</v>
      </c>
      <c r="E44" s="612" t="str">
        <f t="shared" si="14"/>
        <v>--</v>
      </c>
      <c r="F44" s="463" t="str">
        <f t="shared" si="15"/>
        <v>--</v>
      </c>
      <c r="G44" s="481" t="str">
        <f t="shared" si="16"/>
        <v>--</v>
      </c>
      <c r="H44" s="468" t="str">
        <f t="shared" si="17"/>
        <v>--</v>
      </c>
      <c r="I44" s="467" t="str">
        <f t="shared" si="18"/>
        <v>--</v>
      </c>
      <c r="J44" s="468" t="str">
        <f t="shared" si="19"/>
        <v>--</v>
      </c>
      <c r="K44" s="466" t="str">
        <f t="shared" si="20"/>
        <v>--</v>
      </c>
      <c r="L44" s="612" t="str">
        <f t="shared" si="21"/>
        <v>--</v>
      </c>
      <c r="M44" s="467" t="str">
        <f t="shared" si="22"/>
        <v>--</v>
      </c>
      <c r="N44" s="481" t="str">
        <f t="shared" si="23"/>
        <v>--</v>
      </c>
      <c r="O44" s="468" t="str">
        <f t="shared" si="24"/>
        <v>--</v>
      </c>
      <c r="P44" s="469" t="str">
        <f t="shared" si="25"/>
        <v>--</v>
      </c>
    </row>
    <row r="45" spans="1:16" s="448" customFormat="1" ht="30" customHeight="1">
      <c r="A45" s="893" t="s">
        <v>157</v>
      </c>
      <c r="B45" s="460" t="s">
        <v>158</v>
      </c>
      <c r="C45" s="461" t="str">
        <f t="shared" si="12"/>
        <v>--</v>
      </c>
      <c r="D45" s="466" t="str">
        <f t="shared" si="13"/>
        <v>--</v>
      </c>
      <c r="E45" s="612" t="str">
        <f t="shared" si="14"/>
        <v>--</v>
      </c>
      <c r="F45" s="463" t="str">
        <f t="shared" si="15"/>
        <v>--</v>
      </c>
      <c r="G45" s="481" t="str">
        <f t="shared" si="16"/>
        <v>--</v>
      </c>
      <c r="H45" s="468" t="str">
        <f t="shared" si="17"/>
        <v>--</v>
      </c>
      <c r="I45" s="467" t="str">
        <f t="shared" si="18"/>
        <v>--</v>
      </c>
      <c r="J45" s="468" t="str">
        <f t="shared" si="19"/>
        <v>--</v>
      </c>
      <c r="K45" s="466" t="str">
        <f t="shared" si="20"/>
        <v>--</v>
      </c>
      <c r="L45" s="612" t="str">
        <f t="shared" si="21"/>
        <v>--</v>
      </c>
      <c r="M45" s="467" t="str">
        <f t="shared" si="22"/>
        <v>--</v>
      </c>
      <c r="N45" s="481" t="str">
        <f t="shared" si="23"/>
        <v>--</v>
      </c>
      <c r="O45" s="468" t="str">
        <f t="shared" si="24"/>
        <v>--</v>
      </c>
      <c r="P45" s="469" t="str">
        <f t="shared" si="25"/>
        <v>--</v>
      </c>
    </row>
    <row r="46" spans="1:16" s="448" customFormat="1" ht="30" customHeight="1">
      <c r="A46" s="893" t="s">
        <v>159</v>
      </c>
      <c r="B46" s="460" t="s">
        <v>160</v>
      </c>
      <c r="C46" s="461">
        <f t="shared" si="12"/>
        <v>0.9648427174200368</v>
      </c>
      <c r="D46" s="466" t="str">
        <f t="shared" si="13"/>
        <v>--</v>
      </c>
      <c r="E46" s="612">
        <f t="shared" si="14"/>
        <v>4.2144329896907218</v>
      </c>
      <c r="F46" s="463" t="str">
        <f t="shared" si="15"/>
        <v>--</v>
      </c>
      <c r="G46" s="481" t="str">
        <f t="shared" si="16"/>
        <v>--</v>
      </c>
      <c r="H46" s="468">
        <f t="shared" si="17"/>
        <v>0.9648427174200368</v>
      </c>
      <c r="I46" s="467" t="str">
        <f t="shared" si="18"/>
        <v>Canc-Risk</v>
      </c>
      <c r="J46" s="468">
        <f t="shared" si="19"/>
        <v>2.8945281522601105E-2</v>
      </c>
      <c r="K46" s="466" t="str">
        <f t="shared" si="20"/>
        <v>--</v>
      </c>
      <c r="L46" s="612">
        <f t="shared" si="21"/>
        <v>0.12643298969072164</v>
      </c>
      <c r="M46" s="467" t="str">
        <f t="shared" si="22"/>
        <v>--</v>
      </c>
      <c r="N46" s="481" t="str">
        <f t="shared" si="23"/>
        <v>--</v>
      </c>
      <c r="O46" s="468">
        <f t="shared" si="24"/>
        <v>2.8945281522601105E-2</v>
      </c>
      <c r="P46" s="469" t="str">
        <f t="shared" si="25"/>
        <v>Canc-Risk</v>
      </c>
    </row>
    <row r="47" spans="1:16" s="448" customFormat="1" ht="30" customHeight="1">
      <c r="A47" s="893" t="s">
        <v>161</v>
      </c>
      <c r="B47" s="460" t="s">
        <v>162</v>
      </c>
      <c r="C47" s="461" t="str">
        <f t="shared" si="12"/>
        <v>--</v>
      </c>
      <c r="D47" s="466" t="str">
        <f t="shared" si="13"/>
        <v>--</v>
      </c>
      <c r="E47" s="612" t="str">
        <f t="shared" si="14"/>
        <v>--</v>
      </c>
      <c r="F47" s="463" t="str">
        <f t="shared" si="15"/>
        <v>--</v>
      </c>
      <c r="G47" s="481" t="str">
        <f t="shared" si="16"/>
        <v>--</v>
      </c>
      <c r="H47" s="468" t="str">
        <f t="shared" si="17"/>
        <v>--</v>
      </c>
      <c r="I47" s="467" t="str">
        <f t="shared" si="18"/>
        <v>--</v>
      </c>
      <c r="J47" s="468" t="str">
        <f t="shared" si="19"/>
        <v>--</v>
      </c>
      <c r="K47" s="466" t="str">
        <f t="shared" si="20"/>
        <v>--</v>
      </c>
      <c r="L47" s="612" t="str">
        <f t="shared" si="21"/>
        <v>--</v>
      </c>
      <c r="M47" s="467" t="str">
        <f t="shared" si="22"/>
        <v>--</v>
      </c>
      <c r="N47" s="481" t="str">
        <f t="shared" si="23"/>
        <v>--</v>
      </c>
      <c r="O47" s="468" t="str">
        <f t="shared" si="24"/>
        <v>--</v>
      </c>
      <c r="P47" s="469" t="str">
        <f t="shared" si="25"/>
        <v>--</v>
      </c>
    </row>
    <row r="48" spans="1:16" s="448" customFormat="1" ht="30" customHeight="1">
      <c r="A48" s="893" t="s">
        <v>163</v>
      </c>
      <c r="B48" s="460" t="s">
        <v>164</v>
      </c>
      <c r="C48" s="461">
        <f t="shared" si="12"/>
        <v>58.493589743589737</v>
      </c>
      <c r="D48" s="466" t="str">
        <f t="shared" si="13"/>
        <v>--</v>
      </c>
      <c r="E48" s="612">
        <f t="shared" si="14"/>
        <v>255.49999999999994</v>
      </c>
      <c r="F48" s="463" t="str">
        <f t="shared" si="15"/>
        <v>--</v>
      </c>
      <c r="G48" s="481">
        <f t="shared" si="16"/>
        <v>4166666.666666667</v>
      </c>
      <c r="H48" s="468">
        <f t="shared" si="17"/>
        <v>58.493589743589737</v>
      </c>
      <c r="I48" s="467" t="str">
        <f t="shared" si="18"/>
        <v>Canc-Risk</v>
      </c>
      <c r="J48" s="468">
        <f t="shared" si="19"/>
        <v>1.7548076923076921</v>
      </c>
      <c r="K48" s="466" t="str">
        <f t="shared" si="20"/>
        <v>--</v>
      </c>
      <c r="L48" s="612">
        <f t="shared" si="21"/>
        <v>7.6649999999999983</v>
      </c>
      <c r="M48" s="467" t="str">
        <f t="shared" si="22"/>
        <v>--</v>
      </c>
      <c r="N48" s="481">
        <f t="shared" si="23"/>
        <v>125000</v>
      </c>
      <c r="O48" s="468">
        <f t="shared" si="24"/>
        <v>1.7548076923076921</v>
      </c>
      <c r="P48" s="469" t="str">
        <f t="shared" si="25"/>
        <v>Canc-Risk</v>
      </c>
    </row>
    <row r="49" spans="1:16" s="448" customFormat="1" ht="30" customHeight="1">
      <c r="A49" s="893" t="s">
        <v>165</v>
      </c>
      <c r="B49" s="460" t="s">
        <v>166</v>
      </c>
      <c r="C49" s="461">
        <f t="shared" si="12"/>
        <v>3.5996055226824457</v>
      </c>
      <c r="D49" s="466">
        <f t="shared" si="13"/>
        <v>243.33333333333334</v>
      </c>
      <c r="E49" s="612">
        <f t="shared" si="14"/>
        <v>15.723076923076922</v>
      </c>
      <c r="F49" s="463">
        <f t="shared" si="15"/>
        <v>1021.9999999999999</v>
      </c>
      <c r="G49" s="481">
        <f t="shared" si="16"/>
        <v>80800</v>
      </c>
      <c r="H49" s="468">
        <f t="shared" si="17"/>
        <v>3.5996055226824457</v>
      </c>
      <c r="I49" s="467" t="str">
        <f t="shared" si="18"/>
        <v>Canc-Risk</v>
      </c>
      <c r="J49" s="468">
        <f t="shared" si="19"/>
        <v>0.10798816568047337</v>
      </c>
      <c r="K49" s="466">
        <f t="shared" si="20"/>
        <v>7.3</v>
      </c>
      <c r="L49" s="612">
        <f t="shared" si="21"/>
        <v>0.47169230769230763</v>
      </c>
      <c r="M49" s="467">
        <f t="shared" si="22"/>
        <v>30.659999999999997</v>
      </c>
      <c r="N49" s="481">
        <f t="shared" si="23"/>
        <v>2424</v>
      </c>
      <c r="O49" s="468">
        <f t="shared" si="24"/>
        <v>0.10798816568047337</v>
      </c>
      <c r="P49" s="469" t="str">
        <f t="shared" si="25"/>
        <v>Canc-Risk</v>
      </c>
    </row>
    <row r="50" spans="1:16" s="448" customFormat="1" ht="30" customHeight="1">
      <c r="A50" s="893" t="s">
        <v>167</v>
      </c>
      <c r="B50" s="460" t="s">
        <v>168</v>
      </c>
      <c r="C50" s="461" t="str">
        <f t="shared" si="12"/>
        <v>--</v>
      </c>
      <c r="D50" s="466">
        <f t="shared" si="13"/>
        <v>137.65714285714287</v>
      </c>
      <c r="E50" s="612" t="str">
        <f t="shared" si="14"/>
        <v>--</v>
      </c>
      <c r="F50" s="463">
        <f t="shared" si="15"/>
        <v>578.16</v>
      </c>
      <c r="G50" s="481">
        <f t="shared" si="16"/>
        <v>66666666.666666672</v>
      </c>
      <c r="H50" s="468">
        <f t="shared" si="17"/>
        <v>137.65714285714287</v>
      </c>
      <c r="I50" s="467" t="str">
        <f t="shared" si="18"/>
        <v>NC-Hazard</v>
      </c>
      <c r="J50" s="468" t="str">
        <f t="shared" si="19"/>
        <v>--</v>
      </c>
      <c r="K50" s="466">
        <f t="shared" si="20"/>
        <v>4.1297142857142859</v>
      </c>
      <c r="L50" s="612" t="str">
        <f t="shared" si="21"/>
        <v>--</v>
      </c>
      <c r="M50" s="467">
        <f t="shared" si="22"/>
        <v>17.344799999999999</v>
      </c>
      <c r="N50" s="481">
        <f t="shared" si="23"/>
        <v>2000000</v>
      </c>
      <c r="O50" s="468">
        <f t="shared" si="24"/>
        <v>4.1297142857142859</v>
      </c>
      <c r="P50" s="469" t="str">
        <f t="shared" si="25"/>
        <v>NC-Hazard</v>
      </c>
    </row>
    <row r="51" spans="1:16" s="448" customFormat="1" ht="30" customHeight="1">
      <c r="A51" s="893" t="s">
        <v>169</v>
      </c>
      <c r="B51" s="460" t="s">
        <v>170</v>
      </c>
      <c r="C51" s="461" t="str">
        <f t="shared" si="12"/>
        <v>--</v>
      </c>
      <c r="D51" s="466">
        <f t="shared" si="13"/>
        <v>1390.4761904761906</v>
      </c>
      <c r="E51" s="612" t="str">
        <f t="shared" si="14"/>
        <v>--</v>
      </c>
      <c r="F51" s="463">
        <f t="shared" si="15"/>
        <v>5840</v>
      </c>
      <c r="G51" s="481" t="str">
        <f t="shared" si="16"/>
        <v>--</v>
      </c>
      <c r="H51" s="468">
        <f t="shared" si="17"/>
        <v>1390.4761904761906</v>
      </c>
      <c r="I51" s="467" t="str">
        <f t="shared" si="18"/>
        <v>NC-Hazard</v>
      </c>
      <c r="J51" s="468" t="str">
        <f t="shared" si="19"/>
        <v>--</v>
      </c>
      <c r="K51" s="466">
        <f t="shared" si="20"/>
        <v>41.714285714285715</v>
      </c>
      <c r="L51" s="612" t="str">
        <f t="shared" si="21"/>
        <v>--</v>
      </c>
      <c r="M51" s="467">
        <f t="shared" si="22"/>
        <v>175.2</v>
      </c>
      <c r="N51" s="481" t="str">
        <f t="shared" si="23"/>
        <v>--</v>
      </c>
      <c r="O51" s="468">
        <f t="shared" si="24"/>
        <v>41.714285714285715</v>
      </c>
      <c r="P51" s="469" t="str">
        <f t="shared" si="25"/>
        <v>NC-Hazard</v>
      </c>
    </row>
    <row r="52" spans="1:16" s="448" customFormat="1" ht="30" customHeight="1">
      <c r="A52" s="893" t="s">
        <v>171</v>
      </c>
      <c r="B52" s="460" t="s">
        <v>172</v>
      </c>
      <c r="C52" s="461" t="str">
        <f t="shared" si="12"/>
        <v>--</v>
      </c>
      <c r="D52" s="466">
        <f t="shared" si="13"/>
        <v>1390.4761904761906</v>
      </c>
      <c r="E52" s="612" t="str">
        <f t="shared" si="14"/>
        <v>--</v>
      </c>
      <c r="F52" s="463">
        <f t="shared" si="15"/>
        <v>5840</v>
      </c>
      <c r="G52" s="481">
        <f t="shared" si="16"/>
        <v>2244000</v>
      </c>
      <c r="H52" s="468">
        <f t="shared" si="17"/>
        <v>1390.4761904761906</v>
      </c>
      <c r="I52" s="467" t="str">
        <f t="shared" si="18"/>
        <v>NC-Hazard</v>
      </c>
      <c r="J52" s="468" t="str">
        <f t="shared" si="19"/>
        <v>--</v>
      </c>
      <c r="K52" s="466">
        <f t="shared" si="20"/>
        <v>41.714285714285715</v>
      </c>
      <c r="L52" s="612" t="str">
        <f t="shared" si="21"/>
        <v>--</v>
      </c>
      <c r="M52" s="467">
        <f t="shared" si="22"/>
        <v>175.2</v>
      </c>
      <c r="N52" s="481">
        <f t="shared" si="23"/>
        <v>67320</v>
      </c>
      <c r="O52" s="468">
        <f t="shared" si="24"/>
        <v>41.714285714285715</v>
      </c>
      <c r="P52" s="469" t="str">
        <f t="shared" si="25"/>
        <v>NC-Hazard</v>
      </c>
    </row>
    <row r="53" spans="1:16" s="448" customFormat="1" ht="30" customHeight="1">
      <c r="A53" s="893" t="s">
        <v>173</v>
      </c>
      <c r="B53" s="460" t="s">
        <v>174</v>
      </c>
      <c r="C53" s="461" t="str">
        <f t="shared" si="12"/>
        <v>--</v>
      </c>
      <c r="D53" s="466" t="str">
        <f t="shared" si="13"/>
        <v>--</v>
      </c>
      <c r="E53" s="612" t="str">
        <f t="shared" si="14"/>
        <v>--</v>
      </c>
      <c r="F53" s="463" t="str">
        <f t="shared" si="15"/>
        <v>--</v>
      </c>
      <c r="G53" s="481">
        <f t="shared" si="16"/>
        <v>46666.666666666672</v>
      </c>
      <c r="H53" s="468">
        <f t="shared" si="17"/>
        <v>46666.666666666672</v>
      </c>
      <c r="I53" s="467" t="str">
        <f t="shared" si="18"/>
        <v>Odor/Nuis</v>
      </c>
      <c r="J53" s="468" t="str">
        <f t="shared" si="19"/>
        <v>--</v>
      </c>
      <c r="K53" s="466" t="str">
        <f t="shared" si="20"/>
        <v>--</v>
      </c>
      <c r="L53" s="612" t="str">
        <f t="shared" si="21"/>
        <v>--</v>
      </c>
      <c r="M53" s="467" t="str">
        <f t="shared" si="22"/>
        <v>--</v>
      </c>
      <c r="N53" s="481">
        <f t="shared" si="23"/>
        <v>1400</v>
      </c>
      <c r="O53" s="468">
        <f t="shared" si="24"/>
        <v>1400</v>
      </c>
      <c r="P53" s="469" t="str">
        <f t="shared" si="25"/>
        <v>Nuis/Odor</v>
      </c>
    </row>
    <row r="54" spans="1:16" s="448" customFormat="1" ht="30" customHeight="1">
      <c r="A54" s="893" t="s">
        <v>175</v>
      </c>
      <c r="B54" s="460" t="s">
        <v>176</v>
      </c>
      <c r="C54" s="461">
        <f t="shared" si="12"/>
        <v>25.29452529452529</v>
      </c>
      <c r="D54" s="466">
        <f t="shared" si="13"/>
        <v>139.04761904761907</v>
      </c>
      <c r="E54" s="612">
        <f t="shared" si="14"/>
        <v>110.48648648648646</v>
      </c>
      <c r="F54" s="463">
        <f t="shared" si="15"/>
        <v>584</v>
      </c>
      <c r="G54" s="481">
        <f t="shared" si="16"/>
        <v>39666.666666666672</v>
      </c>
      <c r="H54" s="468">
        <f t="shared" si="17"/>
        <v>25.29452529452529</v>
      </c>
      <c r="I54" s="467" t="str">
        <f t="shared" si="18"/>
        <v>Canc-Risk</v>
      </c>
      <c r="J54" s="468">
        <f t="shared" si="19"/>
        <v>0.75883575883575871</v>
      </c>
      <c r="K54" s="466">
        <f t="shared" si="20"/>
        <v>4.1714285714285717</v>
      </c>
      <c r="L54" s="612">
        <f t="shared" si="21"/>
        <v>3.3145945945945936</v>
      </c>
      <c r="M54" s="467">
        <f t="shared" si="22"/>
        <v>17.52</v>
      </c>
      <c r="N54" s="481">
        <f t="shared" si="23"/>
        <v>1190</v>
      </c>
      <c r="O54" s="468">
        <f t="shared" si="24"/>
        <v>0.75883575883575871</v>
      </c>
      <c r="P54" s="469" t="str">
        <f t="shared" si="25"/>
        <v>Canc-Risk</v>
      </c>
    </row>
    <row r="55" spans="1:16" s="448" customFormat="1" ht="30" customHeight="1">
      <c r="A55" s="893" t="s">
        <v>177</v>
      </c>
      <c r="B55" s="460" t="s">
        <v>178</v>
      </c>
      <c r="C55" s="461">
        <f t="shared" si="12"/>
        <v>23.397435897435894</v>
      </c>
      <c r="D55" s="466">
        <f t="shared" si="13"/>
        <v>695.2380952380953</v>
      </c>
      <c r="E55" s="612">
        <f t="shared" si="14"/>
        <v>102.19999999999999</v>
      </c>
      <c r="F55" s="463">
        <f t="shared" si="15"/>
        <v>2920</v>
      </c>
      <c r="G55" s="481">
        <f t="shared" si="16"/>
        <v>138666.66666666669</v>
      </c>
      <c r="H55" s="468">
        <f t="shared" si="17"/>
        <v>23.397435897435894</v>
      </c>
      <c r="I55" s="467" t="str">
        <f t="shared" si="18"/>
        <v>Canc-Risk</v>
      </c>
      <c r="J55" s="468">
        <f t="shared" si="19"/>
        <v>0.70192307692307676</v>
      </c>
      <c r="K55" s="466">
        <f t="shared" si="20"/>
        <v>20.857142857142858</v>
      </c>
      <c r="L55" s="612">
        <f t="shared" si="21"/>
        <v>3.0659999999999994</v>
      </c>
      <c r="M55" s="467">
        <f t="shared" si="22"/>
        <v>87.6</v>
      </c>
      <c r="N55" s="481">
        <f t="shared" si="23"/>
        <v>4160</v>
      </c>
      <c r="O55" s="468">
        <f t="shared" si="24"/>
        <v>0.70192307692307676</v>
      </c>
      <c r="P55" s="469" t="str">
        <f t="shared" si="25"/>
        <v>Canc-Risk</v>
      </c>
    </row>
    <row r="56" spans="1:16" s="448" customFormat="1" ht="30" customHeight="1">
      <c r="A56" s="893" t="s">
        <v>179</v>
      </c>
      <c r="B56" s="460" t="s">
        <v>180</v>
      </c>
      <c r="C56" s="461" t="str">
        <f t="shared" si="12"/>
        <v>--</v>
      </c>
      <c r="D56" s="466" t="str">
        <f t="shared" si="13"/>
        <v>--</v>
      </c>
      <c r="E56" s="612" t="str">
        <f t="shared" si="14"/>
        <v>--</v>
      </c>
      <c r="F56" s="463" t="str">
        <f t="shared" si="15"/>
        <v>--</v>
      </c>
      <c r="G56" s="481" t="str">
        <f t="shared" si="16"/>
        <v>--</v>
      </c>
      <c r="H56" s="468" t="str">
        <f t="shared" si="17"/>
        <v>--</v>
      </c>
      <c r="I56" s="467" t="str">
        <f t="shared" si="18"/>
        <v>--</v>
      </c>
      <c r="J56" s="468" t="str">
        <f t="shared" si="19"/>
        <v>--</v>
      </c>
      <c r="K56" s="466" t="str">
        <f t="shared" si="20"/>
        <v>--</v>
      </c>
      <c r="L56" s="612" t="str">
        <f t="shared" si="21"/>
        <v>--</v>
      </c>
      <c r="M56" s="467" t="str">
        <f t="shared" si="22"/>
        <v>--</v>
      </c>
      <c r="N56" s="481" t="str">
        <f t="shared" si="23"/>
        <v>--</v>
      </c>
      <c r="O56" s="468" t="str">
        <f t="shared" si="24"/>
        <v>--</v>
      </c>
      <c r="P56" s="469" t="str">
        <f t="shared" si="25"/>
        <v>--</v>
      </c>
    </row>
    <row r="57" spans="1:16" s="448" customFormat="1" ht="30" customHeight="1">
      <c r="A57" s="893" t="s">
        <v>181</v>
      </c>
      <c r="B57" s="460" t="s">
        <v>182</v>
      </c>
      <c r="C57" s="461" t="str">
        <f t="shared" si="12"/>
        <v>--</v>
      </c>
      <c r="D57" s="466" t="str">
        <f t="shared" si="13"/>
        <v>--</v>
      </c>
      <c r="E57" s="612" t="str">
        <f t="shared" si="14"/>
        <v>--</v>
      </c>
      <c r="F57" s="463" t="str">
        <f t="shared" si="15"/>
        <v>--</v>
      </c>
      <c r="G57" s="481" t="str">
        <f t="shared" si="16"/>
        <v>--</v>
      </c>
      <c r="H57" s="468" t="str">
        <f t="shared" si="17"/>
        <v>--</v>
      </c>
      <c r="I57" s="467" t="str">
        <f t="shared" si="18"/>
        <v>--</v>
      </c>
      <c r="J57" s="468" t="str">
        <f t="shared" si="19"/>
        <v>--</v>
      </c>
      <c r="K57" s="466" t="str">
        <f t="shared" si="20"/>
        <v>--</v>
      </c>
      <c r="L57" s="612" t="str">
        <f t="shared" si="21"/>
        <v>--</v>
      </c>
      <c r="M57" s="467" t="str">
        <f t="shared" si="22"/>
        <v>--</v>
      </c>
      <c r="N57" s="481" t="str">
        <f t="shared" si="23"/>
        <v>--</v>
      </c>
      <c r="O57" s="468" t="str">
        <f t="shared" si="24"/>
        <v>--</v>
      </c>
      <c r="P57" s="469" t="str">
        <f t="shared" si="25"/>
        <v>--</v>
      </c>
    </row>
    <row r="58" spans="1:16" s="448" customFormat="1" ht="30" customHeight="1">
      <c r="A58" s="893" t="s">
        <v>183</v>
      </c>
      <c r="B58" s="460" t="s">
        <v>184</v>
      </c>
      <c r="C58" s="461" t="str">
        <f t="shared" si="12"/>
        <v>--</v>
      </c>
      <c r="D58" s="466" t="str">
        <f t="shared" si="13"/>
        <v>--</v>
      </c>
      <c r="E58" s="612" t="str">
        <f t="shared" si="14"/>
        <v>--</v>
      </c>
      <c r="F58" s="463" t="str">
        <f t="shared" si="15"/>
        <v>--</v>
      </c>
      <c r="G58" s="481">
        <f t="shared" si="16"/>
        <v>33.333333333333336</v>
      </c>
      <c r="H58" s="468">
        <f t="shared" si="17"/>
        <v>33.333333333333336</v>
      </c>
      <c r="I58" s="467" t="str">
        <f t="shared" si="18"/>
        <v>Odor/Nuis</v>
      </c>
      <c r="J58" s="468" t="str">
        <f t="shared" si="19"/>
        <v>--</v>
      </c>
      <c r="K58" s="466" t="str">
        <f t="shared" si="20"/>
        <v>--</v>
      </c>
      <c r="L58" s="612" t="str">
        <f t="shared" si="21"/>
        <v>--</v>
      </c>
      <c r="M58" s="467" t="str">
        <f t="shared" si="22"/>
        <v>--</v>
      </c>
      <c r="N58" s="481">
        <f t="shared" si="23"/>
        <v>1</v>
      </c>
      <c r="O58" s="468">
        <f t="shared" si="24"/>
        <v>1</v>
      </c>
      <c r="P58" s="469" t="str">
        <f t="shared" si="25"/>
        <v>Nuis/Odor</v>
      </c>
    </row>
    <row r="59" spans="1:16" s="448" customFormat="1" ht="30" customHeight="1">
      <c r="A59" s="893" t="s">
        <v>185</v>
      </c>
      <c r="B59" s="460" t="s">
        <v>186</v>
      </c>
      <c r="C59" s="461" t="str">
        <f t="shared" si="12"/>
        <v>--</v>
      </c>
      <c r="D59" s="466" t="str">
        <f t="shared" si="13"/>
        <v>--</v>
      </c>
      <c r="E59" s="612" t="str">
        <f t="shared" si="14"/>
        <v>--</v>
      </c>
      <c r="F59" s="463" t="str">
        <f t="shared" si="15"/>
        <v>--</v>
      </c>
      <c r="G59" s="481" t="str">
        <f t="shared" si="16"/>
        <v>--</v>
      </c>
      <c r="H59" s="468" t="str">
        <f t="shared" si="17"/>
        <v>--</v>
      </c>
      <c r="I59" s="467" t="str">
        <f t="shared" si="18"/>
        <v>--</v>
      </c>
      <c r="J59" s="468" t="str">
        <f t="shared" si="19"/>
        <v>--</v>
      </c>
      <c r="K59" s="466" t="str">
        <f t="shared" si="20"/>
        <v>--</v>
      </c>
      <c r="L59" s="612" t="str">
        <f t="shared" si="21"/>
        <v>--</v>
      </c>
      <c r="M59" s="467" t="str">
        <f t="shared" si="22"/>
        <v>--</v>
      </c>
      <c r="N59" s="481" t="str">
        <f t="shared" si="23"/>
        <v>--</v>
      </c>
      <c r="O59" s="468" t="str">
        <f t="shared" si="24"/>
        <v>--</v>
      </c>
      <c r="P59" s="469" t="str">
        <f t="shared" si="25"/>
        <v>--</v>
      </c>
    </row>
    <row r="60" spans="1:16" s="448" customFormat="1" ht="30" customHeight="1">
      <c r="A60" s="893" t="s">
        <v>187</v>
      </c>
      <c r="B60" s="460" t="s">
        <v>188</v>
      </c>
      <c r="C60" s="461" t="str">
        <f t="shared" si="12"/>
        <v>--</v>
      </c>
      <c r="D60" s="466" t="str">
        <f t="shared" si="13"/>
        <v>--</v>
      </c>
      <c r="E60" s="612" t="str">
        <f t="shared" si="14"/>
        <v>--</v>
      </c>
      <c r="F60" s="463" t="str">
        <f t="shared" si="15"/>
        <v>--</v>
      </c>
      <c r="G60" s="481" t="str">
        <f t="shared" si="16"/>
        <v>--</v>
      </c>
      <c r="H60" s="468" t="str">
        <f t="shared" si="17"/>
        <v>--</v>
      </c>
      <c r="I60" s="467" t="str">
        <f t="shared" si="18"/>
        <v>--</v>
      </c>
      <c r="J60" s="468" t="str">
        <f t="shared" si="19"/>
        <v>--</v>
      </c>
      <c r="K60" s="466" t="str">
        <f t="shared" si="20"/>
        <v>--</v>
      </c>
      <c r="L60" s="612" t="str">
        <f t="shared" si="21"/>
        <v>--</v>
      </c>
      <c r="M60" s="467" t="str">
        <f t="shared" si="22"/>
        <v>--</v>
      </c>
      <c r="N60" s="481" t="str">
        <f t="shared" si="23"/>
        <v>--</v>
      </c>
      <c r="O60" s="468" t="str">
        <f t="shared" si="24"/>
        <v>--</v>
      </c>
      <c r="P60" s="469" t="str">
        <f t="shared" si="25"/>
        <v>--</v>
      </c>
    </row>
    <row r="61" spans="1:16" s="448" customFormat="1" ht="30" customHeight="1">
      <c r="A61" s="893" t="s">
        <v>189</v>
      </c>
      <c r="B61" s="460" t="s">
        <v>190</v>
      </c>
      <c r="C61" s="461">
        <f t="shared" si="12"/>
        <v>18.717948717948715</v>
      </c>
      <c r="D61" s="466">
        <f t="shared" si="13"/>
        <v>1042.8571428571429</v>
      </c>
      <c r="E61" s="612">
        <f t="shared" si="14"/>
        <v>81.759999999999991</v>
      </c>
      <c r="F61" s="463">
        <f t="shared" si="15"/>
        <v>4379.9999999999991</v>
      </c>
      <c r="G61" s="481">
        <f t="shared" si="16"/>
        <v>20400000</v>
      </c>
      <c r="H61" s="468">
        <f t="shared" si="17"/>
        <v>18.717948717948715</v>
      </c>
      <c r="I61" s="467" t="str">
        <f t="shared" si="18"/>
        <v>Canc-Risk</v>
      </c>
      <c r="J61" s="468">
        <f t="shared" si="19"/>
        <v>0.56153846153846143</v>
      </c>
      <c r="K61" s="466">
        <f t="shared" si="20"/>
        <v>31.285714285714285</v>
      </c>
      <c r="L61" s="612">
        <f t="shared" si="21"/>
        <v>2.4527999999999994</v>
      </c>
      <c r="M61" s="467">
        <f t="shared" si="22"/>
        <v>131.39999999999998</v>
      </c>
      <c r="N61" s="481">
        <f t="shared" si="23"/>
        <v>612000</v>
      </c>
      <c r="O61" s="468">
        <f t="shared" si="24"/>
        <v>0.56153846153846143</v>
      </c>
      <c r="P61" s="469" t="str">
        <f t="shared" si="25"/>
        <v>Canc-Risk</v>
      </c>
    </row>
    <row r="62" spans="1:16" s="448" customFormat="1" ht="30" customHeight="1">
      <c r="A62" s="893" t="s">
        <v>191</v>
      </c>
      <c r="B62" s="460" t="s">
        <v>192</v>
      </c>
      <c r="C62" s="461">
        <f t="shared" si="12"/>
        <v>2.4628879892037785E-6</v>
      </c>
      <c r="D62" s="466">
        <f t="shared" si="13"/>
        <v>1.3904761904761907E-3</v>
      </c>
      <c r="E62" s="612">
        <f t="shared" si="14"/>
        <v>1.0757894736842104E-5</v>
      </c>
      <c r="F62" s="463">
        <f t="shared" si="15"/>
        <v>5.8400000000000006E-3</v>
      </c>
      <c r="G62" s="481" t="str">
        <f t="shared" si="16"/>
        <v>--</v>
      </c>
      <c r="H62" s="468">
        <f t="shared" si="17"/>
        <v>2.4628879892037785E-6</v>
      </c>
      <c r="I62" s="467" t="str">
        <f t="shared" si="18"/>
        <v>Canc-Risk</v>
      </c>
      <c r="J62" s="468">
        <f t="shared" si="19"/>
        <v>7.3886639676113351E-8</v>
      </c>
      <c r="K62" s="466">
        <f t="shared" si="20"/>
        <v>4.1714285714285721E-5</v>
      </c>
      <c r="L62" s="612">
        <f t="shared" si="21"/>
        <v>3.2273684210526308E-7</v>
      </c>
      <c r="M62" s="467">
        <f t="shared" si="22"/>
        <v>1.752E-4</v>
      </c>
      <c r="N62" s="481" t="str">
        <f t="shared" si="23"/>
        <v>--</v>
      </c>
      <c r="O62" s="468">
        <f t="shared" si="24"/>
        <v>7.3886639676113351E-8</v>
      </c>
      <c r="P62" s="469" t="str">
        <f t="shared" si="25"/>
        <v>Canc-Risk</v>
      </c>
    </row>
    <row r="63" spans="1:16" s="448" customFormat="1" ht="30" customHeight="1">
      <c r="A63" s="893" t="s">
        <v>193</v>
      </c>
      <c r="B63" s="460" t="s">
        <v>194</v>
      </c>
      <c r="C63" s="461" t="str">
        <f t="shared" si="12"/>
        <v>--</v>
      </c>
      <c r="D63" s="466" t="str">
        <f t="shared" si="13"/>
        <v>--</v>
      </c>
      <c r="E63" s="612" t="str">
        <f t="shared" si="14"/>
        <v>--</v>
      </c>
      <c r="F63" s="463" t="str">
        <f t="shared" si="15"/>
        <v>--</v>
      </c>
      <c r="G63" s="481" t="str">
        <f t="shared" si="16"/>
        <v>--</v>
      </c>
      <c r="H63" s="468" t="str">
        <f t="shared" si="17"/>
        <v>--</v>
      </c>
      <c r="I63" s="467" t="str">
        <f t="shared" si="18"/>
        <v>--</v>
      </c>
      <c r="J63" s="468" t="str">
        <f t="shared" si="19"/>
        <v>--</v>
      </c>
      <c r="K63" s="466" t="str">
        <f t="shared" si="20"/>
        <v>--</v>
      </c>
      <c r="L63" s="612" t="str">
        <f t="shared" si="21"/>
        <v>--</v>
      </c>
      <c r="M63" s="467" t="str">
        <f t="shared" si="22"/>
        <v>--</v>
      </c>
      <c r="N63" s="481" t="str">
        <f t="shared" si="23"/>
        <v>--</v>
      </c>
      <c r="O63" s="468" t="str">
        <f t="shared" si="24"/>
        <v>--</v>
      </c>
      <c r="P63" s="469" t="str">
        <f t="shared" si="25"/>
        <v>--</v>
      </c>
    </row>
    <row r="64" spans="1:16" s="448" customFormat="1" ht="30" customHeight="1">
      <c r="A64" s="893" t="s">
        <v>195</v>
      </c>
      <c r="B64" s="460" t="s">
        <v>196</v>
      </c>
      <c r="C64" s="461" t="str">
        <f t="shared" si="12"/>
        <v>--</v>
      </c>
      <c r="D64" s="466" t="str">
        <f t="shared" si="13"/>
        <v>--</v>
      </c>
      <c r="E64" s="612" t="str">
        <f t="shared" si="14"/>
        <v>--</v>
      </c>
      <c r="F64" s="463" t="str">
        <f t="shared" si="15"/>
        <v>--</v>
      </c>
      <c r="G64" s="481" t="str">
        <f t="shared" si="16"/>
        <v>--</v>
      </c>
      <c r="H64" s="468" t="str">
        <f t="shared" si="17"/>
        <v>--</v>
      </c>
      <c r="I64" s="467" t="str">
        <f t="shared" si="18"/>
        <v>--</v>
      </c>
      <c r="J64" s="468" t="str">
        <f t="shared" si="19"/>
        <v>--</v>
      </c>
      <c r="K64" s="466" t="str">
        <f t="shared" si="20"/>
        <v>--</v>
      </c>
      <c r="L64" s="612" t="str">
        <f t="shared" si="21"/>
        <v>--</v>
      </c>
      <c r="M64" s="467" t="str">
        <f t="shared" si="22"/>
        <v>--</v>
      </c>
      <c r="N64" s="481" t="str">
        <f t="shared" si="23"/>
        <v>--</v>
      </c>
      <c r="O64" s="468" t="str">
        <f t="shared" si="24"/>
        <v>--</v>
      </c>
      <c r="P64" s="469" t="str">
        <f t="shared" si="25"/>
        <v>--</v>
      </c>
    </row>
    <row r="65" spans="1:16" s="448" customFormat="1" ht="30" customHeight="1">
      <c r="A65" s="893" t="s">
        <v>197</v>
      </c>
      <c r="B65" s="460" t="s">
        <v>198</v>
      </c>
      <c r="C65" s="461">
        <f t="shared" si="12"/>
        <v>37.435897435897431</v>
      </c>
      <c r="D65" s="466">
        <f t="shared" si="13"/>
        <v>34761.904761904763</v>
      </c>
      <c r="E65" s="612">
        <f t="shared" si="14"/>
        <v>163.51999999999998</v>
      </c>
      <c r="F65" s="463">
        <f t="shared" si="15"/>
        <v>146000</v>
      </c>
      <c r="G65" s="481">
        <f t="shared" si="16"/>
        <v>66666.666666666672</v>
      </c>
      <c r="H65" s="468">
        <f t="shared" si="17"/>
        <v>37.435897435897431</v>
      </c>
      <c r="I65" s="467" t="str">
        <f t="shared" si="18"/>
        <v>Canc-Risk</v>
      </c>
      <c r="J65" s="468">
        <f t="shared" si="19"/>
        <v>1.1230769230769229</v>
      </c>
      <c r="K65" s="466">
        <f t="shared" si="20"/>
        <v>1042.8571428571429</v>
      </c>
      <c r="L65" s="612">
        <f t="shared" si="21"/>
        <v>4.9055999999999989</v>
      </c>
      <c r="M65" s="467">
        <f t="shared" si="22"/>
        <v>4380</v>
      </c>
      <c r="N65" s="481">
        <f t="shared" si="23"/>
        <v>2000</v>
      </c>
      <c r="O65" s="468">
        <f t="shared" si="24"/>
        <v>1.1230769230769229</v>
      </c>
      <c r="P65" s="469" t="str">
        <f t="shared" si="25"/>
        <v>Canc-Risk</v>
      </c>
    </row>
    <row r="66" spans="1:16" s="448" customFormat="1" ht="30" customHeight="1">
      <c r="A66" s="893" t="s">
        <v>199</v>
      </c>
      <c r="B66" s="460" t="s">
        <v>200</v>
      </c>
      <c r="C66" s="461">
        <f t="shared" si="12"/>
        <v>7.1992110453648908E-2</v>
      </c>
      <c r="D66" s="466" t="str">
        <f t="shared" si="13"/>
        <v>--</v>
      </c>
      <c r="E66" s="612">
        <f t="shared" si="14"/>
        <v>0.3144615384615384</v>
      </c>
      <c r="F66" s="463" t="str">
        <f t="shared" si="15"/>
        <v>--</v>
      </c>
      <c r="G66" s="481">
        <f t="shared" si="16"/>
        <v>10000</v>
      </c>
      <c r="H66" s="468">
        <f t="shared" si="17"/>
        <v>7.1992110453648908E-2</v>
      </c>
      <c r="I66" s="467" t="str">
        <f t="shared" si="18"/>
        <v>Canc-Risk</v>
      </c>
      <c r="J66" s="468">
        <f t="shared" si="19"/>
        <v>2.1597633136094673E-3</v>
      </c>
      <c r="K66" s="466" t="str">
        <f t="shared" si="20"/>
        <v>--</v>
      </c>
      <c r="L66" s="612">
        <f t="shared" si="21"/>
        <v>9.433846153846152E-3</v>
      </c>
      <c r="M66" s="467" t="str">
        <f t="shared" si="22"/>
        <v>--</v>
      </c>
      <c r="N66" s="481">
        <f t="shared" si="23"/>
        <v>300</v>
      </c>
      <c r="O66" s="468">
        <f t="shared" si="24"/>
        <v>2.1597633136094673E-3</v>
      </c>
      <c r="P66" s="469" t="str">
        <f t="shared" si="25"/>
        <v>Canc-Risk</v>
      </c>
    </row>
    <row r="67" spans="1:16" s="448" customFormat="1" ht="30" customHeight="1">
      <c r="A67" s="893" t="s">
        <v>201</v>
      </c>
      <c r="B67" s="460" t="s">
        <v>202</v>
      </c>
      <c r="C67" s="461">
        <f t="shared" si="12"/>
        <v>3.5996055226824454E-2</v>
      </c>
      <c r="D67" s="466" t="str">
        <f t="shared" si="13"/>
        <v>--</v>
      </c>
      <c r="E67" s="612">
        <f t="shared" si="14"/>
        <v>0.1572307692307692</v>
      </c>
      <c r="F67" s="463" t="str">
        <f t="shared" si="15"/>
        <v>--</v>
      </c>
      <c r="G67" s="481">
        <f t="shared" si="16"/>
        <v>10000</v>
      </c>
      <c r="H67" s="468">
        <f t="shared" si="17"/>
        <v>3.5996055226824454E-2</v>
      </c>
      <c r="I67" s="467" t="str">
        <f t="shared" si="18"/>
        <v>Canc-Risk</v>
      </c>
      <c r="J67" s="468">
        <f t="shared" si="19"/>
        <v>1.0798816568047336E-3</v>
      </c>
      <c r="K67" s="466" t="str">
        <f t="shared" si="20"/>
        <v>--</v>
      </c>
      <c r="L67" s="612">
        <f t="shared" si="21"/>
        <v>4.716923076923076E-3</v>
      </c>
      <c r="M67" s="467" t="str">
        <f t="shared" si="22"/>
        <v>--</v>
      </c>
      <c r="N67" s="481">
        <f t="shared" si="23"/>
        <v>300</v>
      </c>
      <c r="O67" s="468">
        <f t="shared" si="24"/>
        <v>1.0798816568047336E-3</v>
      </c>
      <c r="P67" s="469" t="str">
        <f t="shared" si="25"/>
        <v>Canc-Risk</v>
      </c>
    </row>
    <row r="68" spans="1:16" s="448" customFormat="1" ht="30" customHeight="1">
      <c r="A68" s="893" t="s">
        <v>203</v>
      </c>
      <c r="B68" s="460" t="s">
        <v>204</v>
      </c>
      <c r="C68" s="461">
        <f t="shared" si="12"/>
        <v>0.18350930115635997</v>
      </c>
      <c r="D68" s="466" t="str">
        <f t="shared" si="13"/>
        <v>--</v>
      </c>
      <c r="E68" s="612">
        <f t="shared" si="14"/>
        <v>0.80156862745098012</v>
      </c>
      <c r="F68" s="463" t="str">
        <f t="shared" si="15"/>
        <v>--</v>
      </c>
      <c r="G68" s="481" t="str">
        <f t="shared" si="16"/>
        <v>--</v>
      </c>
      <c r="H68" s="468">
        <f t="shared" si="17"/>
        <v>0.18350930115635997</v>
      </c>
      <c r="I68" s="467" t="str">
        <f t="shared" si="18"/>
        <v>Canc-Risk</v>
      </c>
      <c r="J68" s="468">
        <f t="shared" si="19"/>
        <v>5.5052790346907989E-3</v>
      </c>
      <c r="K68" s="466" t="str">
        <f t="shared" si="20"/>
        <v>--</v>
      </c>
      <c r="L68" s="612">
        <f t="shared" si="21"/>
        <v>2.4047058823529404E-2</v>
      </c>
      <c r="M68" s="467" t="str">
        <f t="shared" si="22"/>
        <v>--</v>
      </c>
      <c r="N68" s="481" t="str">
        <f t="shared" si="23"/>
        <v>--</v>
      </c>
      <c r="O68" s="468">
        <f t="shared" si="24"/>
        <v>5.5052790346907989E-3</v>
      </c>
      <c r="P68" s="469" t="str">
        <f t="shared" si="25"/>
        <v>Canc-Risk</v>
      </c>
    </row>
    <row r="69" spans="1:16" s="448" customFormat="1" ht="30" customHeight="1">
      <c r="A69" s="893" t="s">
        <v>205</v>
      </c>
      <c r="B69" s="460" t="s">
        <v>206</v>
      </c>
      <c r="C69" s="461">
        <f t="shared" si="12"/>
        <v>4.2540792540792536</v>
      </c>
      <c r="D69" s="466" t="str">
        <f t="shared" si="13"/>
        <v>--</v>
      </c>
      <c r="E69" s="612">
        <f t="shared" si="14"/>
        <v>18.581818181818178</v>
      </c>
      <c r="F69" s="463" t="str">
        <f t="shared" si="15"/>
        <v>--</v>
      </c>
      <c r="G69" s="481">
        <f t="shared" si="16"/>
        <v>400000</v>
      </c>
      <c r="H69" s="468">
        <f t="shared" si="17"/>
        <v>4.2540792540792536</v>
      </c>
      <c r="I69" s="467" t="str">
        <f t="shared" si="18"/>
        <v>Canc-Risk</v>
      </c>
      <c r="J69" s="468">
        <f t="shared" si="19"/>
        <v>0.1276223776223776</v>
      </c>
      <c r="K69" s="466" t="str">
        <f t="shared" si="20"/>
        <v>--</v>
      </c>
      <c r="L69" s="612">
        <f t="shared" si="21"/>
        <v>0.55745454545454531</v>
      </c>
      <c r="M69" s="467" t="str">
        <f t="shared" si="22"/>
        <v>--</v>
      </c>
      <c r="N69" s="481">
        <f t="shared" si="23"/>
        <v>12000</v>
      </c>
      <c r="O69" s="468">
        <f t="shared" si="24"/>
        <v>0.1276223776223776</v>
      </c>
      <c r="P69" s="469" t="str">
        <f t="shared" si="25"/>
        <v>Canc-Risk</v>
      </c>
    </row>
    <row r="70" spans="1:16" s="448" customFormat="1" ht="30" customHeight="1">
      <c r="A70" s="2111" t="s">
        <v>4280</v>
      </c>
      <c r="B70" s="460" t="s">
        <v>208</v>
      </c>
      <c r="C70" s="461" t="str">
        <f t="shared" si="12"/>
        <v>--</v>
      </c>
      <c r="D70" s="466" t="str">
        <f t="shared" si="13"/>
        <v>--</v>
      </c>
      <c r="E70" s="612" t="str">
        <f t="shared" si="14"/>
        <v>--</v>
      </c>
      <c r="F70" s="463" t="str">
        <f t="shared" si="15"/>
        <v>--</v>
      </c>
      <c r="G70" s="481" t="str">
        <f t="shared" si="16"/>
        <v>--</v>
      </c>
      <c r="H70" s="468" t="str">
        <f t="shared" si="17"/>
        <v>--</v>
      </c>
      <c r="I70" s="467" t="str">
        <f t="shared" si="18"/>
        <v>--</v>
      </c>
      <c r="J70" s="468" t="str">
        <f t="shared" si="19"/>
        <v>--</v>
      </c>
      <c r="K70" s="466" t="str">
        <f t="shared" si="20"/>
        <v>--</v>
      </c>
      <c r="L70" s="612" t="str">
        <f t="shared" si="21"/>
        <v>--</v>
      </c>
      <c r="M70" s="467" t="str">
        <f t="shared" si="22"/>
        <v>--</v>
      </c>
      <c r="N70" s="481" t="str">
        <f t="shared" si="23"/>
        <v>--</v>
      </c>
      <c r="O70" s="468" t="str">
        <f t="shared" si="24"/>
        <v>--</v>
      </c>
      <c r="P70" s="469" t="str">
        <f t="shared" si="25"/>
        <v>--</v>
      </c>
    </row>
    <row r="71" spans="1:16" s="448" customFormat="1" ht="30" customHeight="1">
      <c r="A71" s="893" t="s">
        <v>209</v>
      </c>
      <c r="B71" s="460" t="s">
        <v>210</v>
      </c>
      <c r="C71" s="461">
        <f t="shared" si="12"/>
        <v>8.5081585081585072</v>
      </c>
      <c r="D71" s="466">
        <f t="shared" si="13"/>
        <v>1042.8571428571429</v>
      </c>
      <c r="E71" s="612">
        <f t="shared" si="14"/>
        <v>37.163636363636357</v>
      </c>
      <c r="F71" s="463">
        <f t="shared" si="15"/>
        <v>4379.9999999999991</v>
      </c>
      <c r="G71" s="481" t="str">
        <f t="shared" si="16"/>
        <v>--</v>
      </c>
      <c r="H71" s="468">
        <f t="shared" si="17"/>
        <v>8.5081585081585072</v>
      </c>
      <c r="I71" s="467" t="str">
        <f t="shared" si="18"/>
        <v>Canc-Risk</v>
      </c>
      <c r="J71" s="468">
        <f t="shared" si="19"/>
        <v>0.25524475524475521</v>
      </c>
      <c r="K71" s="466">
        <f t="shared" si="20"/>
        <v>31.285714285714285</v>
      </c>
      <c r="L71" s="612">
        <f t="shared" si="21"/>
        <v>1.1149090909090906</v>
      </c>
      <c r="M71" s="467">
        <f t="shared" si="22"/>
        <v>131.39999999999998</v>
      </c>
      <c r="N71" s="481" t="str">
        <f t="shared" si="23"/>
        <v>--</v>
      </c>
      <c r="O71" s="468">
        <f t="shared" si="24"/>
        <v>0.25524475524475521</v>
      </c>
      <c r="P71" s="469" t="str">
        <f t="shared" si="25"/>
        <v>Canc-Risk</v>
      </c>
    </row>
    <row r="72" spans="1:16" s="448" customFormat="1" ht="30" customHeight="1">
      <c r="A72" s="893" t="s">
        <v>211</v>
      </c>
      <c r="B72" s="460" t="s">
        <v>212</v>
      </c>
      <c r="C72" s="461" t="str">
        <f t="shared" si="12"/>
        <v>--</v>
      </c>
      <c r="D72" s="466" t="str">
        <f t="shared" si="13"/>
        <v>--</v>
      </c>
      <c r="E72" s="612" t="str">
        <f t="shared" si="14"/>
        <v>--</v>
      </c>
      <c r="F72" s="463" t="str">
        <f t="shared" si="15"/>
        <v>--</v>
      </c>
      <c r="G72" s="481" t="str">
        <f t="shared" si="16"/>
        <v>--</v>
      </c>
      <c r="H72" s="468" t="str">
        <f t="shared" si="17"/>
        <v>--</v>
      </c>
      <c r="I72" s="467" t="str">
        <f t="shared" si="18"/>
        <v>--</v>
      </c>
      <c r="J72" s="468" t="str">
        <f t="shared" si="19"/>
        <v>--</v>
      </c>
      <c r="K72" s="466" t="str">
        <f t="shared" si="20"/>
        <v>--</v>
      </c>
      <c r="L72" s="612" t="str">
        <f t="shared" si="21"/>
        <v>--</v>
      </c>
      <c r="M72" s="467" t="str">
        <f t="shared" si="22"/>
        <v>--</v>
      </c>
      <c r="N72" s="481" t="str">
        <f t="shared" si="23"/>
        <v>--</v>
      </c>
      <c r="O72" s="468" t="str">
        <f t="shared" si="24"/>
        <v>--</v>
      </c>
      <c r="P72" s="469" t="str">
        <f t="shared" si="25"/>
        <v>--</v>
      </c>
    </row>
    <row r="73" spans="1:16" s="448" customFormat="1" ht="30" customHeight="1">
      <c r="A73" s="893" t="s">
        <v>213</v>
      </c>
      <c r="B73" s="460" t="s">
        <v>214</v>
      </c>
      <c r="C73" s="461" t="str">
        <f t="shared" ref="C73:C126" si="26">(VLOOKUP(A73,Table_SG_1, MATCH("sg-res-min-c",heading_SG_1,0), FALSE))</f>
        <v>--</v>
      </c>
      <c r="D73" s="466">
        <f t="shared" ref="D73:D126" si="27">(VLOOKUP(A73,Table_SG_1, MATCH("sg-res-min-nc",heading_SG_1,0), FALSE))</f>
        <v>1.0428571428571429</v>
      </c>
      <c r="E73" s="612" t="str">
        <f t="shared" ref="E73:E126" si="28">(VLOOKUP(A73,Table_SG_1, MATCH("sg-com-min-c",heading_SG_1,0), FALSE))</f>
        <v>--</v>
      </c>
      <c r="F73" s="463">
        <f t="shared" ref="F73:F126" si="29">(VLOOKUP(A73,Table_SG_1, MATCH("sg-com-min-nc",heading_SG_1,0), FALSE))</f>
        <v>4.38</v>
      </c>
      <c r="G73" s="481" t="str">
        <f t="shared" ref="G73:G126" si="30">(VLOOKUP(A73,Table_SG_2, MATCH("sg-min-no",heading_SG_2,0), FALSE))</f>
        <v>--</v>
      </c>
      <c r="H73" s="468">
        <f t="shared" ref="H73:H126" si="31">IF((MIN(C73:G73))=0, "--", MIN(C73:G73))</f>
        <v>1.0428571428571429</v>
      </c>
      <c r="I73" s="467" t="str">
        <f t="shared" ref="I73:I126" si="32">IF(H73="--","--",IF(H73=G73,"Odor/Nuis",IF(H73=C73,"Canc-Risk",IF(H73=D73,"NC-Hazard","--"""))))</f>
        <v>NC-Hazard</v>
      </c>
      <c r="J73" s="468" t="str">
        <f t="shared" ref="J73:J126" si="33">(VLOOKUP(A73,Table_IA_1, MATCH("IA-Res-c",heading_IA_1,0), FALSE))</f>
        <v>--</v>
      </c>
      <c r="K73" s="466">
        <f t="shared" ref="K73:K126" si="34">(VLOOKUP(A73,Table_IA_1, MATCH("IA-Res-nc",heading_IA_1,0), FALSE))</f>
        <v>3.1285714285714285E-2</v>
      </c>
      <c r="L73" s="612" t="str">
        <f t="shared" ref="L73:L126" si="35">(VLOOKUP(A73,Table_IA_1, MATCH("IA-com-c",heading_IA_1,0), FALSE))</f>
        <v>--</v>
      </c>
      <c r="M73" s="467">
        <f t="shared" ref="M73:M126" si="36">(VLOOKUP(A73,Table_IA_1, MATCH("IA-com-nc",heading_IA_1,0), FALSE))</f>
        <v>0.13139999999999999</v>
      </c>
      <c r="N73" s="481" t="str">
        <f t="shared" ref="N73:N126" si="37">(VLOOKUP(A73,Table_IA_2, MATCH("IA-NO",heading_IA_2,0), FALSE))</f>
        <v>--</v>
      </c>
      <c r="O73" s="468">
        <f t="shared" ref="O73:O126" si="38">IF(MIN(J73:N73)=0,"--",(MIN(J73:N73)))</f>
        <v>3.1285714285714285E-2</v>
      </c>
      <c r="P73" s="469" t="str">
        <f t="shared" ref="P73:P126" si="39">IF(O73="--","--",IF(O73=J73,"Canc-Risk",IF(O73=K73,"NC-Hazard",IF(O73=N73,"Nuis/Odor", "--"""))))</f>
        <v>NC-Hazard</v>
      </c>
    </row>
    <row r="74" spans="1:16" s="448" customFormat="1" ht="30" customHeight="1">
      <c r="A74" s="893" t="s">
        <v>215</v>
      </c>
      <c r="B74" s="460" t="s">
        <v>216</v>
      </c>
      <c r="C74" s="461" t="str">
        <f t="shared" si="26"/>
        <v>--</v>
      </c>
      <c r="D74" s="466" t="str">
        <f t="shared" si="27"/>
        <v>--</v>
      </c>
      <c r="E74" s="612" t="str">
        <f t="shared" si="28"/>
        <v>--</v>
      </c>
      <c r="F74" s="463" t="str">
        <f t="shared" si="29"/>
        <v>--</v>
      </c>
      <c r="G74" s="481" t="str">
        <f t="shared" si="30"/>
        <v>--</v>
      </c>
      <c r="H74" s="468" t="str">
        <f t="shared" si="31"/>
        <v>--</v>
      </c>
      <c r="I74" s="467" t="str">
        <f t="shared" si="32"/>
        <v>--</v>
      </c>
      <c r="J74" s="468" t="str">
        <f t="shared" si="33"/>
        <v>--</v>
      </c>
      <c r="K74" s="466" t="str">
        <f t="shared" si="34"/>
        <v>--</v>
      </c>
      <c r="L74" s="612" t="str">
        <f t="shared" si="35"/>
        <v>--</v>
      </c>
      <c r="M74" s="467" t="str">
        <f t="shared" si="36"/>
        <v>--</v>
      </c>
      <c r="N74" s="481" t="str">
        <f t="shared" si="37"/>
        <v>--</v>
      </c>
      <c r="O74" s="468" t="str">
        <f t="shared" si="38"/>
        <v>--</v>
      </c>
      <c r="P74" s="469" t="str">
        <f t="shared" si="39"/>
        <v>--</v>
      </c>
    </row>
    <row r="75" spans="1:16" s="448" customFormat="1" ht="30" customHeight="1">
      <c r="A75" s="893" t="s">
        <v>217</v>
      </c>
      <c r="B75" s="460" t="s">
        <v>218</v>
      </c>
      <c r="C75" s="461">
        <f t="shared" si="26"/>
        <v>33.796296296296298</v>
      </c>
      <c r="D75" s="466">
        <f t="shared" si="27"/>
        <v>13904.761904761906</v>
      </c>
      <c r="E75" s="612">
        <f t="shared" si="28"/>
        <v>408.79999999999995</v>
      </c>
      <c r="F75" s="463">
        <f t="shared" si="29"/>
        <v>58399.999999999993</v>
      </c>
      <c r="G75" s="481">
        <f t="shared" si="30"/>
        <v>18666666.666666668</v>
      </c>
      <c r="H75" s="468">
        <f t="shared" si="31"/>
        <v>33.796296296296298</v>
      </c>
      <c r="I75" s="467" t="str">
        <f t="shared" si="32"/>
        <v>Canc-Risk</v>
      </c>
      <c r="J75" s="468">
        <f t="shared" si="33"/>
        <v>1.0138888888888888</v>
      </c>
      <c r="K75" s="466">
        <f t="shared" si="34"/>
        <v>417.14285714285717</v>
      </c>
      <c r="L75" s="612">
        <f t="shared" si="35"/>
        <v>12.263999999999998</v>
      </c>
      <c r="M75" s="467">
        <f t="shared" si="36"/>
        <v>1751.9999999999998</v>
      </c>
      <c r="N75" s="481">
        <f t="shared" si="37"/>
        <v>560000</v>
      </c>
      <c r="O75" s="468">
        <f t="shared" si="38"/>
        <v>1.0138888888888888</v>
      </c>
      <c r="P75" s="469" t="str">
        <f t="shared" si="39"/>
        <v>Canc-Risk</v>
      </c>
    </row>
    <row r="76" spans="1:16" s="448" customFormat="1" ht="30" customHeight="1">
      <c r="A76" s="893" t="s">
        <v>219</v>
      </c>
      <c r="B76" s="460" t="s">
        <v>220</v>
      </c>
      <c r="C76" s="461" t="str">
        <f t="shared" si="26"/>
        <v>--</v>
      </c>
      <c r="D76" s="466">
        <f t="shared" si="27"/>
        <v>173809.52380952382</v>
      </c>
      <c r="E76" s="612" t="str">
        <f t="shared" si="28"/>
        <v>--</v>
      </c>
      <c r="F76" s="463">
        <f t="shared" si="29"/>
        <v>730000</v>
      </c>
      <c r="G76" s="481">
        <f t="shared" si="30"/>
        <v>1066666.6666666667</v>
      </c>
      <c r="H76" s="468">
        <f t="shared" si="31"/>
        <v>173809.52380952382</v>
      </c>
      <c r="I76" s="467" t="str">
        <f t="shared" si="32"/>
        <v>NC-Hazard</v>
      </c>
      <c r="J76" s="468" t="str">
        <f t="shared" si="33"/>
        <v>--</v>
      </c>
      <c r="K76" s="466">
        <f t="shared" si="34"/>
        <v>5214.2857142857147</v>
      </c>
      <c r="L76" s="612" t="str">
        <f t="shared" si="35"/>
        <v>--</v>
      </c>
      <c r="M76" s="467">
        <f t="shared" si="36"/>
        <v>21900</v>
      </c>
      <c r="N76" s="481">
        <f t="shared" si="37"/>
        <v>32000</v>
      </c>
      <c r="O76" s="468">
        <f t="shared" si="38"/>
        <v>5214.2857142857147</v>
      </c>
      <c r="P76" s="469" t="str">
        <f t="shared" si="39"/>
        <v>NC-Hazard</v>
      </c>
    </row>
    <row r="77" spans="1:16" s="448" customFormat="1" ht="30" customHeight="1">
      <c r="A77" s="893" t="s">
        <v>221</v>
      </c>
      <c r="B77" s="460" t="s">
        <v>222</v>
      </c>
      <c r="C77" s="461" t="str">
        <f t="shared" si="26"/>
        <v>--</v>
      </c>
      <c r="D77" s="466">
        <f t="shared" si="27"/>
        <v>104285.71428571429</v>
      </c>
      <c r="E77" s="612" t="str">
        <f t="shared" si="28"/>
        <v>--</v>
      </c>
      <c r="F77" s="463">
        <f t="shared" si="29"/>
        <v>437999.99999999994</v>
      </c>
      <c r="G77" s="481">
        <f t="shared" si="30"/>
        <v>14000</v>
      </c>
      <c r="H77" s="468">
        <f t="shared" si="31"/>
        <v>14000</v>
      </c>
      <c r="I77" s="467" t="str">
        <f t="shared" si="32"/>
        <v>Odor/Nuis</v>
      </c>
      <c r="J77" s="468" t="str">
        <f t="shared" si="33"/>
        <v>--</v>
      </c>
      <c r="K77" s="466">
        <f t="shared" si="34"/>
        <v>3128.5714285714284</v>
      </c>
      <c r="L77" s="612" t="str">
        <f t="shared" si="35"/>
        <v>--</v>
      </c>
      <c r="M77" s="467">
        <f t="shared" si="36"/>
        <v>13139.999999999998</v>
      </c>
      <c r="N77" s="481">
        <f t="shared" si="37"/>
        <v>420</v>
      </c>
      <c r="O77" s="468">
        <f t="shared" si="38"/>
        <v>420</v>
      </c>
      <c r="P77" s="469" t="str">
        <f t="shared" si="39"/>
        <v>Nuis/Odor</v>
      </c>
    </row>
    <row r="78" spans="1:16" s="448" customFormat="1" ht="30" customHeight="1">
      <c r="A78" s="893" t="s">
        <v>223</v>
      </c>
      <c r="B78" s="460" t="s">
        <v>224</v>
      </c>
      <c r="C78" s="461" t="str">
        <f t="shared" si="26"/>
        <v>--</v>
      </c>
      <c r="D78" s="466" t="str">
        <f t="shared" si="27"/>
        <v>--</v>
      </c>
      <c r="E78" s="612" t="str">
        <f t="shared" si="28"/>
        <v>--</v>
      </c>
      <c r="F78" s="463" t="str">
        <f t="shared" si="29"/>
        <v>--</v>
      </c>
      <c r="G78" s="481" t="str">
        <f t="shared" si="30"/>
        <v>--</v>
      </c>
      <c r="H78" s="468" t="str">
        <f t="shared" si="31"/>
        <v>--</v>
      </c>
      <c r="I78" s="467" t="str">
        <f t="shared" si="32"/>
        <v>--</v>
      </c>
      <c r="J78" s="468" t="str">
        <f t="shared" si="33"/>
        <v>--</v>
      </c>
      <c r="K78" s="466" t="str">
        <f t="shared" si="34"/>
        <v>--</v>
      </c>
      <c r="L78" s="612" t="str">
        <f t="shared" si="35"/>
        <v>--</v>
      </c>
      <c r="M78" s="467" t="str">
        <f t="shared" si="36"/>
        <v>--</v>
      </c>
      <c r="N78" s="481" t="str">
        <f t="shared" si="37"/>
        <v>--</v>
      </c>
      <c r="O78" s="468" t="str">
        <f t="shared" si="38"/>
        <v>--</v>
      </c>
      <c r="P78" s="469" t="str">
        <f t="shared" si="39"/>
        <v>--</v>
      </c>
    </row>
    <row r="79" spans="1:16" s="448" customFormat="1" ht="30" customHeight="1">
      <c r="A79" s="893" t="s">
        <v>225</v>
      </c>
      <c r="B79" s="460" t="s">
        <v>226</v>
      </c>
      <c r="C79" s="461" t="str">
        <f t="shared" si="26"/>
        <v>--</v>
      </c>
      <c r="D79" s="466" t="str">
        <f t="shared" si="27"/>
        <v>--</v>
      </c>
      <c r="E79" s="612" t="str">
        <f t="shared" si="28"/>
        <v>--</v>
      </c>
      <c r="F79" s="463" t="str">
        <f t="shared" si="29"/>
        <v>--</v>
      </c>
      <c r="G79" s="481">
        <f t="shared" si="30"/>
        <v>2266.666666666667</v>
      </c>
      <c r="H79" s="468">
        <f t="shared" si="31"/>
        <v>2266.666666666667</v>
      </c>
      <c r="I79" s="467" t="str">
        <f t="shared" si="32"/>
        <v>Odor/Nuis</v>
      </c>
      <c r="J79" s="468" t="str">
        <f t="shared" si="33"/>
        <v>--</v>
      </c>
      <c r="K79" s="466" t="str">
        <f t="shared" si="34"/>
        <v>--</v>
      </c>
      <c r="L79" s="612" t="str">
        <f t="shared" si="35"/>
        <v>--</v>
      </c>
      <c r="M79" s="467" t="str">
        <f t="shared" si="36"/>
        <v>--</v>
      </c>
      <c r="N79" s="481">
        <f t="shared" si="37"/>
        <v>68</v>
      </c>
      <c r="O79" s="468">
        <f t="shared" si="38"/>
        <v>68</v>
      </c>
      <c r="P79" s="469" t="str">
        <f t="shared" si="39"/>
        <v>Nuis/Odor</v>
      </c>
    </row>
    <row r="80" spans="1:16" s="448" customFormat="1" ht="30" customHeight="1">
      <c r="A80" s="893" t="s">
        <v>227</v>
      </c>
      <c r="B80" s="460" t="s">
        <v>228</v>
      </c>
      <c r="C80" s="461">
        <f t="shared" si="26"/>
        <v>359.96055226824456</v>
      </c>
      <c r="D80" s="466">
        <f t="shared" si="27"/>
        <v>104285.71428571429</v>
      </c>
      <c r="E80" s="612">
        <f t="shared" si="28"/>
        <v>1572.3076923076919</v>
      </c>
      <c r="F80" s="463">
        <f t="shared" si="29"/>
        <v>437999.99999999994</v>
      </c>
      <c r="G80" s="481">
        <f t="shared" si="30"/>
        <v>17666.666666666668</v>
      </c>
      <c r="H80" s="468">
        <f t="shared" si="31"/>
        <v>359.96055226824456</v>
      </c>
      <c r="I80" s="467" t="str">
        <f t="shared" si="32"/>
        <v>Canc-Risk</v>
      </c>
      <c r="J80" s="468">
        <f t="shared" si="33"/>
        <v>10.798816568047336</v>
      </c>
      <c r="K80" s="466">
        <f t="shared" si="34"/>
        <v>3128.5714285714284</v>
      </c>
      <c r="L80" s="612">
        <f t="shared" si="35"/>
        <v>47.169230769230758</v>
      </c>
      <c r="M80" s="467">
        <f t="shared" si="36"/>
        <v>13139.999999999998</v>
      </c>
      <c r="N80" s="481">
        <f t="shared" si="37"/>
        <v>530</v>
      </c>
      <c r="O80" s="468">
        <f t="shared" si="38"/>
        <v>10.798816568047336</v>
      </c>
      <c r="P80" s="469" t="str">
        <f t="shared" si="39"/>
        <v>Canc-Risk</v>
      </c>
    </row>
    <row r="81" spans="1:16" s="448" customFormat="1" ht="30" customHeight="1">
      <c r="A81" s="893" t="s">
        <v>229</v>
      </c>
      <c r="B81" s="460" t="s">
        <v>230</v>
      </c>
      <c r="C81" s="461" t="str">
        <f t="shared" si="26"/>
        <v>--</v>
      </c>
      <c r="D81" s="466" t="str">
        <f t="shared" si="27"/>
        <v>--</v>
      </c>
      <c r="E81" s="612" t="str">
        <f t="shared" si="28"/>
        <v>--</v>
      </c>
      <c r="F81" s="463" t="str">
        <f t="shared" si="29"/>
        <v>--</v>
      </c>
      <c r="G81" s="481" t="str">
        <f t="shared" si="30"/>
        <v>--</v>
      </c>
      <c r="H81" s="468" t="str">
        <f t="shared" si="31"/>
        <v>--</v>
      </c>
      <c r="I81" s="467" t="str">
        <f t="shared" si="32"/>
        <v>--</v>
      </c>
      <c r="J81" s="468" t="str">
        <f t="shared" si="33"/>
        <v>--</v>
      </c>
      <c r="K81" s="466" t="str">
        <f t="shared" si="34"/>
        <v>--</v>
      </c>
      <c r="L81" s="612" t="str">
        <f t="shared" si="35"/>
        <v>--</v>
      </c>
      <c r="M81" s="467" t="str">
        <f t="shared" si="36"/>
        <v>--</v>
      </c>
      <c r="N81" s="481" t="str">
        <f t="shared" si="37"/>
        <v>--</v>
      </c>
      <c r="O81" s="468" t="str">
        <f t="shared" si="38"/>
        <v>--</v>
      </c>
      <c r="P81" s="469" t="str">
        <f t="shared" si="39"/>
        <v>--</v>
      </c>
    </row>
    <row r="82" spans="1:16" s="448" customFormat="1" ht="30" customHeight="1">
      <c r="A82" s="893" t="s">
        <v>231</v>
      </c>
      <c r="B82" s="460" t="s">
        <v>232</v>
      </c>
      <c r="C82" s="461" t="str">
        <f t="shared" si="26"/>
        <v>--</v>
      </c>
      <c r="D82" s="466" t="str">
        <f t="shared" si="27"/>
        <v>--</v>
      </c>
      <c r="E82" s="612" t="str">
        <f t="shared" si="28"/>
        <v>--</v>
      </c>
      <c r="F82" s="463" t="str">
        <f t="shared" si="29"/>
        <v>--</v>
      </c>
      <c r="G82" s="481" t="str">
        <f t="shared" si="30"/>
        <v>--</v>
      </c>
      <c r="H82" s="468" t="str">
        <f t="shared" si="31"/>
        <v>--</v>
      </c>
      <c r="I82" s="467" t="str">
        <f t="shared" si="32"/>
        <v>--</v>
      </c>
      <c r="J82" s="468" t="str">
        <f t="shared" si="33"/>
        <v>--</v>
      </c>
      <c r="K82" s="466" t="str">
        <f t="shared" si="34"/>
        <v>--</v>
      </c>
      <c r="L82" s="612" t="str">
        <f t="shared" si="35"/>
        <v>--</v>
      </c>
      <c r="M82" s="467" t="str">
        <f t="shared" si="36"/>
        <v>--</v>
      </c>
      <c r="N82" s="481" t="str">
        <f t="shared" si="37"/>
        <v>--</v>
      </c>
      <c r="O82" s="468" t="str">
        <f t="shared" si="38"/>
        <v>--</v>
      </c>
      <c r="P82" s="469" t="str">
        <f t="shared" si="39"/>
        <v>--</v>
      </c>
    </row>
    <row r="83" spans="1:16" s="448" customFormat="1" ht="30" customHeight="1">
      <c r="A83" s="893" t="s">
        <v>233</v>
      </c>
      <c r="B83" s="460" t="s">
        <v>234</v>
      </c>
      <c r="C83" s="461" t="str">
        <f t="shared" si="26"/>
        <v>--</v>
      </c>
      <c r="D83" s="466" t="str">
        <f t="shared" si="27"/>
        <v>--</v>
      </c>
      <c r="E83" s="612" t="str">
        <f t="shared" si="28"/>
        <v>--</v>
      </c>
      <c r="F83" s="463" t="str">
        <f t="shared" si="29"/>
        <v>--</v>
      </c>
      <c r="G83" s="481">
        <f t="shared" si="30"/>
        <v>17100</v>
      </c>
      <c r="H83" s="468">
        <f t="shared" si="31"/>
        <v>17100</v>
      </c>
      <c r="I83" s="467" t="str">
        <f t="shared" si="32"/>
        <v>Odor/Nuis</v>
      </c>
      <c r="J83" s="468" t="str">
        <f t="shared" si="33"/>
        <v>--</v>
      </c>
      <c r="K83" s="466" t="str">
        <f t="shared" si="34"/>
        <v>--</v>
      </c>
      <c r="L83" s="612" t="str">
        <f t="shared" si="35"/>
        <v>--</v>
      </c>
      <c r="M83" s="467" t="str">
        <f t="shared" si="36"/>
        <v>--</v>
      </c>
      <c r="N83" s="481">
        <f t="shared" si="37"/>
        <v>513</v>
      </c>
      <c r="O83" s="468">
        <f t="shared" si="38"/>
        <v>513</v>
      </c>
      <c r="P83" s="469" t="str">
        <f t="shared" si="39"/>
        <v>Nuis/Odor</v>
      </c>
    </row>
    <row r="84" spans="1:16" s="448" customFormat="1" ht="30" customHeight="1">
      <c r="A84" s="893" t="s">
        <v>235</v>
      </c>
      <c r="B84" s="460" t="s">
        <v>236</v>
      </c>
      <c r="C84" s="461" t="str">
        <f t="shared" si="26"/>
        <v>--</v>
      </c>
      <c r="D84" s="466" t="str">
        <f t="shared" si="27"/>
        <v>--</v>
      </c>
      <c r="E84" s="612" t="str">
        <f t="shared" si="28"/>
        <v>--</v>
      </c>
      <c r="F84" s="463" t="str">
        <f t="shared" si="29"/>
        <v>--</v>
      </c>
      <c r="G84" s="481" t="str">
        <f t="shared" si="30"/>
        <v>--</v>
      </c>
      <c r="H84" s="468" t="str">
        <f t="shared" si="31"/>
        <v>--</v>
      </c>
      <c r="I84" s="467" t="str">
        <f t="shared" si="32"/>
        <v>--</v>
      </c>
      <c r="J84" s="468" t="str">
        <f t="shared" si="33"/>
        <v>--</v>
      </c>
      <c r="K84" s="466" t="str">
        <f t="shared" si="34"/>
        <v>--</v>
      </c>
      <c r="L84" s="612" t="str">
        <f t="shared" si="35"/>
        <v>--</v>
      </c>
      <c r="M84" s="467" t="str">
        <f t="shared" si="36"/>
        <v>--</v>
      </c>
      <c r="N84" s="481" t="str">
        <f t="shared" si="37"/>
        <v>--</v>
      </c>
      <c r="O84" s="468" t="str">
        <f t="shared" si="38"/>
        <v>--</v>
      </c>
      <c r="P84" s="469" t="str">
        <f t="shared" si="39"/>
        <v>--</v>
      </c>
    </row>
    <row r="85" spans="1:16" s="448" customFormat="1" ht="30" customHeight="1">
      <c r="A85" s="893" t="s">
        <v>237</v>
      </c>
      <c r="B85" s="460" t="s">
        <v>238</v>
      </c>
      <c r="C85" s="461">
        <f t="shared" si="26"/>
        <v>0.3072390572390572</v>
      </c>
      <c r="D85" s="466" t="str">
        <f t="shared" si="27"/>
        <v>--</v>
      </c>
      <c r="E85" s="612">
        <f t="shared" si="28"/>
        <v>3.7163636363636359</v>
      </c>
      <c r="F85" s="463" t="str">
        <f t="shared" si="29"/>
        <v>--</v>
      </c>
      <c r="G85" s="481" t="str">
        <f t="shared" si="30"/>
        <v>--</v>
      </c>
      <c r="H85" s="468">
        <f t="shared" si="31"/>
        <v>0.3072390572390572</v>
      </c>
      <c r="I85" s="467" t="str">
        <f t="shared" si="32"/>
        <v>Canc-Risk</v>
      </c>
      <c r="J85" s="468">
        <f t="shared" si="33"/>
        <v>9.2171717171717158E-3</v>
      </c>
      <c r="K85" s="466" t="str">
        <f t="shared" si="34"/>
        <v>--</v>
      </c>
      <c r="L85" s="612">
        <f t="shared" si="35"/>
        <v>0.11149090909090907</v>
      </c>
      <c r="M85" s="467" t="str">
        <f t="shared" si="36"/>
        <v>--</v>
      </c>
      <c r="N85" s="481" t="str">
        <f t="shared" si="37"/>
        <v>--</v>
      </c>
      <c r="O85" s="468">
        <f t="shared" si="38"/>
        <v>9.2171717171717158E-3</v>
      </c>
      <c r="P85" s="469" t="str">
        <f t="shared" si="39"/>
        <v>Canc-Risk</v>
      </c>
    </row>
    <row r="86" spans="1:16" s="448" customFormat="1" ht="30" customHeight="1">
      <c r="A86" s="893" t="s">
        <v>239</v>
      </c>
      <c r="B86" s="460" t="s">
        <v>240</v>
      </c>
      <c r="C86" s="461" t="str">
        <f t="shared" si="26"/>
        <v>--</v>
      </c>
      <c r="D86" s="466" t="str">
        <f t="shared" si="27"/>
        <v>--</v>
      </c>
      <c r="E86" s="612" t="str">
        <f t="shared" si="28"/>
        <v>--</v>
      </c>
      <c r="F86" s="463" t="str">
        <f t="shared" si="29"/>
        <v>--</v>
      </c>
      <c r="G86" s="481" t="str">
        <f t="shared" si="30"/>
        <v>--</v>
      </c>
      <c r="H86" s="468" t="str">
        <f t="shared" si="31"/>
        <v>--</v>
      </c>
      <c r="I86" s="467" t="str">
        <f t="shared" si="32"/>
        <v>--</v>
      </c>
      <c r="J86" s="468" t="str">
        <f t="shared" si="33"/>
        <v>--</v>
      </c>
      <c r="K86" s="466" t="str">
        <f t="shared" si="34"/>
        <v>--</v>
      </c>
      <c r="L86" s="612" t="str">
        <f t="shared" si="35"/>
        <v>--</v>
      </c>
      <c r="M86" s="467" t="str">
        <f t="shared" si="36"/>
        <v>--</v>
      </c>
      <c r="N86" s="481" t="str">
        <f t="shared" si="37"/>
        <v>--</v>
      </c>
      <c r="O86" s="468" t="str">
        <f t="shared" si="38"/>
        <v>--</v>
      </c>
      <c r="P86" s="469" t="str">
        <f t="shared" si="39"/>
        <v>--</v>
      </c>
    </row>
    <row r="87" spans="1:16" s="448" customFormat="1" ht="30" customHeight="1">
      <c r="A87" s="893" t="s">
        <v>241</v>
      </c>
      <c r="B87" s="460" t="s">
        <v>242</v>
      </c>
      <c r="C87" s="461" t="str">
        <f t="shared" si="26"/>
        <v>--</v>
      </c>
      <c r="D87" s="466" t="str">
        <f t="shared" si="27"/>
        <v>--</v>
      </c>
      <c r="E87" s="612" t="str">
        <f t="shared" si="28"/>
        <v>--</v>
      </c>
      <c r="F87" s="463" t="str">
        <f t="shared" si="29"/>
        <v>--</v>
      </c>
      <c r="G87" s="481" t="str">
        <f t="shared" si="30"/>
        <v>--</v>
      </c>
      <c r="H87" s="468" t="str">
        <f t="shared" si="31"/>
        <v>--</v>
      </c>
      <c r="I87" s="467" t="str">
        <f t="shared" si="32"/>
        <v>--</v>
      </c>
      <c r="J87" s="468" t="str">
        <f t="shared" si="33"/>
        <v>--</v>
      </c>
      <c r="K87" s="466" t="str">
        <f t="shared" si="34"/>
        <v>--</v>
      </c>
      <c r="L87" s="612" t="str">
        <f t="shared" si="35"/>
        <v>--</v>
      </c>
      <c r="M87" s="467" t="str">
        <f t="shared" si="36"/>
        <v>--</v>
      </c>
      <c r="N87" s="481" t="str">
        <f t="shared" si="37"/>
        <v>--</v>
      </c>
      <c r="O87" s="468" t="str">
        <f t="shared" si="38"/>
        <v>--</v>
      </c>
      <c r="P87" s="469" t="str">
        <f t="shared" si="39"/>
        <v>--</v>
      </c>
    </row>
    <row r="88" spans="1:16" s="448" customFormat="1" ht="30" customHeight="1">
      <c r="A88" s="893" t="s">
        <v>243</v>
      </c>
      <c r="B88" s="460" t="s">
        <v>244</v>
      </c>
      <c r="C88" s="461" t="str">
        <f t="shared" si="26"/>
        <v>--</v>
      </c>
      <c r="D88" s="466" t="str">
        <f t="shared" si="27"/>
        <v>--</v>
      </c>
      <c r="E88" s="612" t="str">
        <f t="shared" si="28"/>
        <v>--</v>
      </c>
      <c r="F88" s="463" t="str">
        <f t="shared" si="29"/>
        <v>--</v>
      </c>
      <c r="G88" s="481" t="str">
        <f t="shared" si="30"/>
        <v>--</v>
      </c>
      <c r="H88" s="468" t="str">
        <f t="shared" si="31"/>
        <v>--</v>
      </c>
      <c r="I88" s="467" t="str">
        <f t="shared" si="32"/>
        <v>--</v>
      </c>
      <c r="J88" s="468" t="str">
        <f t="shared" si="33"/>
        <v>--</v>
      </c>
      <c r="K88" s="466" t="str">
        <f t="shared" si="34"/>
        <v>--</v>
      </c>
      <c r="L88" s="612" t="str">
        <f t="shared" si="35"/>
        <v>--</v>
      </c>
      <c r="M88" s="467" t="str">
        <f t="shared" si="36"/>
        <v>--</v>
      </c>
      <c r="N88" s="481" t="str">
        <f t="shared" si="37"/>
        <v>--</v>
      </c>
      <c r="O88" s="468" t="str">
        <f t="shared" si="38"/>
        <v>--</v>
      </c>
      <c r="P88" s="469" t="str">
        <f t="shared" si="39"/>
        <v>--</v>
      </c>
    </row>
    <row r="89" spans="1:16" s="448" customFormat="1" ht="30" customHeight="1">
      <c r="A89" s="893" t="s">
        <v>245</v>
      </c>
      <c r="B89" s="460" t="s">
        <v>246</v>
      </c>
      <c r="C89" s="461" t="str">
        <f t="shared" si="26"/>
        <v>--</v>
      </c>
      <c r="D89" s="466" t="str">
        <f t="shared" si="27"/>
        <v>--</v>
      </c>
      <c r="E89" s="612" t="str">
        <f t="shared" si="28"/>
        <v>--</v>
      </c>
      <c r="F89" s="463" t="str">
        <f t="shared" si="29"/>
        <v>--</v>
      </c>
      <c r="G89" s="481" t="str">
        <f t="shared" si="30"/>
        <v>--</v>
      </c>
      <c r="H89" s="468" t="str">
        <f t="shared" si="31"/>
        <v>--</v>
      </c>
      <c r="I89" s="467" t="str">
        <f t="shared" si="32"/>
        <v>--</v>
      </c>
      <c r="J89" s="468" t="str">
        <f t="shared" si="33"/>
        <v>--</v>
      </c>
      <c r="K89" s="466" t="str">
        <f t="shared" si="34"/>
        <v>--</v>
      </c>
      <c r="L89" s="612" t="str">
        <f t="shared" si="35"/>
        <v>--</v>
      </c>
      <c r="M89" s="467" t="str">
        <f t="shared" si="36"/>
        <v>--</v>
      </c>
      <c r="N89" s="481" t="str">
        <f t="shared" si="37"/>
        <v>--</v>
      </c>
      <c r="O89" s="468" t="str">
        <f t="shared" si="38"/>
        <v>--</v>
      </c>
      <c r="P89" s="469" t="str">
        <f t="shared" si="39"/>
        <v>--</v>
      </c>
    </row>
    <row r="90" spans="1:16" s="448" customFormat="1" ht="30" customHeight="1">
      <c r="A90" s="893" t="s">
        <v>247</v>
      </c>
      <c r="B90" s="460" t="s">
        <v>248</v>
      </c>
      <c r="C90" s="461" t="str">
        <f t="shared" si="26"/>
        <v>--</v>
      </c>
      <c r="D90" s="466" t="str">
        <f t="shared" si="27"/>
        <v>--</v>
      </c>
      <c r="E90" s="612" t="str">
        <f t="shared" si="28"/>
        <v>--</v>
      </c>
      <c r="F90" s="463" t="str">
        <f t="shared" si="29"/>
        <v>--</v>
      </c>
      <c r="G90" s="481" t="str">
        <f t="shared" si="30"/>
        <v>--</v>
      </c>
      <c r="H90" s="468" t="str">
        <f t="shared" si="31"/>
        <v>--</v>
      </c>
      <c r="I90" s="467" t="str">
        <f t="shared" si="32"/>
        <v>--</v>
      </c>
      <c r="J90" s="468" t="str">
        <f t="shared" si="33"/>
        <v>--</v>
      </c>
      <c r="K90" s="466" t="str">
        <f t="shared" si="34"/>
        <v>--</v>
      </c>
      <c r="L90" s="612" t="str">
        <f t="shared" si="35"/>
        <v>--</v>
      </c>
      <c r="M90" s="467" t="str">
        <f t="shared" si="36"/>
        <v>--</v>
      </c>
      <c r="N90" s="481" t="str">
        <f t="shared" si="37"/>
        <v>--</v>
      </c>
      <c r="O90" s="468" t="str">
        <f t="shared" si="38"/>
        <v>--</v>
      </c>
      <c r="P90" s="469" t="str">
        <f t="shared" si="39"/>
        <v>--</v>
      </c>
    </row>
    <row r="91" spans="1:16" s="448" customFormat="1" ht="30" customHeight="1">
      <c r="A91" s="893" t="s">
        <v>249</v>
      </c>
      <c r="B91" s="460" t="s">
        <v>250</v>
      </c>
      <c r="C91" s="461" t="str">
        <f t="shared" si="26"/>
        <v>--</v>
      </c>
      <c r="D91" s="466" t="str">
        <f t="shared" si="27"/>
        <v>--</v>
      </c>
      <c r="E91" s="612" t="str">
        <f t="shared" si="28"/>
        <v>--</v>
      </c>
      <c r="F91" s="463" t="str">
        <f t="shared" si="29"/>
        <v>--</v>
      </c>
      <c r="G91" s="481" t="str">
        <f t="shared" si="30"/>
        <v>--</v>
      </c>
      <c r="H91" s="468" t="str">
        <f t="shared" si="31"/>
        <v>--</v>
      </c>
      <c r="I91" s="467" t="str">
        <f t="shared" si="32"/>
        <v>--</v>
      </c>
      <c r="J91" s="468" t="str">
        <f t="shared" si="33"/>
        <v>--</v>
      </c>
      <c r="K91" s="466" t="str">
        <f t="shared" si="34"/>
        <v>--</v>
      </c>
      <c r="L91" s="612" t="str">
        <f t="shared" si="35"/>
        <v>--</v>
      </c>
      <c r="M91" s="467" t="str">
        <f t="shared" si="36"/>
        <v>--</v>
      </c>
      <c r="N91" s="481" t="str">
        <f t="shared" si="37"/>
        <v>--</v>
      </c>
      <c r="O91" s="468" t="str">
        <f t="shared" si="38"/>
        <v>--</v>
      </c>
      <c r="P91" s="469" t="str">
        <f t="shared" si="39"/>
        <v>--</v>
      </c>
    </row>
    <row r="92" spans="1:16" s="448" customFormat="1" ht="30" customHeight="1">
      <c r="A92" s="893" t="s">
        <v>251</v>
      </c>
      <c r="B92" s="460" t="s">
        <v>252</v>
      </c>
      <c r="C92" s="461" t="str">
        <f t="shared" si="26"/>
        <v>--</v>
      </c>
      <c r="D92" s="466" t="str">
        <f t="shared" si="27"/>
        <v>--</v>
      </c>
      <c r="E92" s="612" t="str">
        <f t="shared" si="28"/>
        <v>--</v>
      </c>
      <c r="F92" s="463" t="str">
        <f t="shared" si="29"/>
        <v>--</v>
      </c>
      <c r="G92" s="481" t="str">
        <f t="shared" si="30"/>
        <v>--</v>
      </c>
      <c r="H92" s="468" t="str">
        <f t="shared" si="31"/>
        <v>--</v>
      </c>
      <c r="I92" s="467" t="str">
        <f t="shared" si="32"/>
        <v>--</v>
      </c>
      <c r="J92" s="468" t="str">
        <f t="shared" si="33"/>
        <v>--</v>
      </c>
      <c r="K92" s="466" t="str">
        <f t="shared" si="34"/>
        <v>--</v>
      </c>
      <c r="L92" s="612" t="str">
        <f t="shared" si="35"/>
        <v>--</v>
      </c>
      <c r="M92" s="467" t="str">
        <f t="shared" si="36"/>
        <v>--</v>
      </c>
      <c r="N92" s="481" t="str">
        <f t="shared" si="37"/>
        <v>--</v>
      </c>
      <c r="O92" s="468" t="str">
        <f t="shared" si="38"/>
        <v>--</v>
      </c>
      <c r="P92" s="469" t="str">
        <f t="shared" si="39"/>
        <v>--</v>
      </c>
    </row>
    <row r="93" spans="1:16" s="448" customFormat="1" ht="30" customHeight="1">
      <c r="A93" s="893" t="s">
        <v>253</v>
      </c>
      <c r="B93" s="460" t="s">
        <v>254</v>
      </c>
      <c r="C93" s="461" t="str">
        <f t="shared" si="26"/>
        <v>--</v>
      </c>
      <c r="D93" s="466" t="str">
        <f t="shared" si="27"/>
        <v>--</v>
      </c>
      <c r="E93" s="612" t="str">
        <f t="shared" si="28"/>
        <v>--</v>
      </c>
      <c r="F93" s="463" t="str">
        <f t="shared" si="29"/>
        <v>--</v>
      </c>
      <c r="G93" s="481" t="str">
        <f t="shared" si="30"/>
        <v>--</v>
      </c>
      <c r="H93" s="468" t="str">
        <f t="shared" si="31"/>
        <v>--</v>
      </c>
      <c r="I93" s="467" t="str">
        <f t="shared" si="32"/>
        <v>--</v>
      </c>
      <c r="J93" s="468" t="str">
        <f t="shared" si="33"/>
        <v>--</v>
      </c>
      <c r="K93" s="466" t="str">
        <f t="shared" si="34"/>
        <v>--</v>
      </c>
      <c r="L93" s="612" t="str">
        <f t="shared" si="35"/>
        <v>--</v>
      </c>
      <c r="M93" s="467" t="str">
        <f t="shared" si="36"/>
        <v>--</v>
      </c>
      <c r="N93" s="481" t="str">
        <f t="shared" si="37"/>
        <v>--</v>
      </c>
      <c r="O93" s="468" t="str">
        <f t="shared" si="38"/>
        <v>--</v>
      </c>
      <c r="P93" s="469" t="str">
        <f t="shared" si="39"/>
        <v>--</v>
      </c>
    </row>
    <row r="94" spans="1:16" s="448" customFormat="1" ht="30" customHeight="1">
      <c r="A94" s="893" t="s">
        <v>255</v>
      </c>
      <c r="B94" s="460" t="s">
        <v>256</v>
      </c>
      <c r="C94" s="461">
        <f t="shared" si="26"/>
        <v>2.7526395173453992</v>
      </c>
      <c r="D94" s="466">
        <f t="shared" si="27"/>
        <v>104.28571428571429</v>
      </c>
      <c r="E94" s="612">
        <f t="shared" si="28"/>
        <v>12.023529411764706</v>
      </c>
      <c r="F94" s="463">
        <f t="shared" si="29"/>
        <v>438</v>
      </c>
      <c r="G94" s="481">
        <f t="shared" si="30"/>
        <v>14666.666666666668</v>
      </c>
      <c r="H94" s="468">
        <f t="shared" si="31"/>
        <v>2.7526395173453992</v>
      </c>
      <c r="I94" s="467" t="str">
        <f t="shared" si="32"/>
        <v>Canc-Risk</v>
      </c>
      <c r="J94" s="468">
        <f t="shared" si="33"/>
        <v>8.2579185520361975E-2</v>
      </c>
      <c r="K94" s="466">
        <f t="shared" si="34"/>
        <v>3.1285714285714286</v>
      </c>
      <c r="L94" s="612">
        <f t="shared" si="35"/>
        <v>0.36070588235294115</v>
      </c>
      <c r="M94" s="467">
        <f t="shared" si="36"/>
        <v>13.139999999999999</v>
      </c>
      <c r="N94" s="481">
        <f t="shared" si="37"/>
        <v>440</v>
      </c>
      <c r="O94" s="468">
        <f t="shared" si="38"/>
        <v>8.2579185520361975E-2</v>
      </c>
      <c r="P94" s="469" t="str">
        <f t="shared" si="39"/>
        <v>Canc-Risk</v>
      </c>
    </row>
    <row r="95" spans="1:16" s="448" customFormat="1" ht="30" customHeight="1">
      <c r="A95" s="893" t="s">
        <v>257</v>
      </c>
      <c r="B95" s="460" t="s">
        <v>258</v>
      </c>
      <c r="C95" s="461" t="str">
        <f t="shared" si="26"/>
        <v>--</v>
      </c>
      <c r="D95" s="466" t="str">
        <f t="shared" si="27"/>
        <v>--</v>
      </c>
      <c r="E95" s="612" t="str">
        <f t="shared" si="28"/>
        <v>--</v>
      </c>
      <c r="F95" s="463" t="str">
        <f t="shared" si="29"/>
        <v>--</v>
      </c>
      <c r="G95" s="481" t="str">
        <f t="shared" si="30"/>
        <v>--</v>
      </c>
      <c r="H95" s="468" t="str">
        <f t="shared" si="31"/>
        <v>--</v>
      </c>
      <c r="I95" s="467" t="str">
        <f t="shared" si="32"/>
        <v>--</v>
      </c>
      <c r="J95" s="468" t="str">
        <f t="shared" si="33"/>
        <v>--</v>
      </c>
      <c r="K95" s="466" t="str">
        <f t="shared" si="34"/>
        <v>--</v>
      </c>
      <c r="L95" s="612" t="str">
        <f t="shared" si="35"/>
        <v>--</v>
      </c>
      <c r="M95" s="467" t="str">
        <f t="shared" si="36"/>
        <v>--</v>
      </c>
      <c r="N95" s="481" t="str">
        <f t="shared" si="37"/>
        <v>--</v>
      </c>
      <c r="O95" s="468" t="str">
        <f t="shared" si="38"/>
        <v>--</v>
      </c>
      <c r="P95" s="469" t="str">
        <f t="shared" si="39"/>
        <v>--</v>
      </c>
    </row>
    <row r="96" spans="1:16" s="448" customFormat="1" ht="30" customHeight="1">
      <c r="A96" s="893" t="s">
        <v>259</v>
      </c>
      <c r="B96" s="460" t="s">
        <v>260</v>
      </c>
      <c r="C96" s="461" t="str">
        <f t="shared" si="26"/>
        <v>--</v>
      </c>
      <c r="D96" s="466" t="str">
        <f t="shared" si="27"/>
        <v>--</v>
      </c>
      <c r="E96" s="612" t="str">
        <f t="shared" si="28"/>
        <v>--</v>
      </c>
      <c r="F96" s="463" t="str">
        <f t="shared" si="29"/>
        <v>--</v>
      </c>
      <c r="G96" s="481" t="str">
        <f t="shared" si="30"/>
        <v>--</v>
      </c>
      <c r="H96" s="468" t="str">
        <f t="shared" si="31"/>
        <v>--</v>
      </c>
      <c r="I96" s="467" t="str">
        <f t="shared" si="32"/>
        <v>--</v>
      </c>
      <c r="J96" s="468" t="str">
        <f t="shared" si="33"/>
        <v>--</v>
      </c>
      <c r="K96" s="466" t="str">
        <f t="shared" si="34"/>
        <v>--</v>
      </c>
      <c r="L96" s="612" t="str">
        <f t="shared" si="35"/>
        <v>--</v>
      </c>
      <c r="M96" s="467" t="str">
        <f t="shared" si="36"/>
        <v>--</v>
      </c>
      <c r="N96" s="481" t="str">
        <f t="shared" si="37"/>
        <v>--</v>
      </c>
      <c r="O96" s="468" t="str">
        <f t="shared" si="38"/>
        <v>--</v>
      </c>
      <c r="P96" s="469" t="str">
        <f t="shared" si="39"/>
        <v>--</v>
      </c>
    </row>
    <row r="97" spans="1:16" s="448" customFormat="1" ht="30" customHeight="1">
      <c r="A97" s="893" t="s">
        <v>261</v>
      </c>
      <c r="B97" s="460" t="s">
        <v>1261</v>
      </c>
      <c r="C97" s="461" t="str">
        <f t="shared" si="26"/>
        <v>--</v>
      </c>
      <c r="D97" s="466" t="str">
        <f t="shared" si="27"/>
        <v>--</v>
      </c>
      <c r="E97" s="612" t="str">
        <f t="shared" si="28"/>
        <v>--</v>
      </c>
      <c r="F97" s="463" t="str">
        <f t="shared" si="29"/>
        <v>--</v>
      </c>
      <c r="G97" s="481" t="str">
        <f t="shared" si="30"/>
        <v>--</v>
      </c>
      <c r="H97" s="468" t="str">
        <f t="shared" si="31"/>
        <v>--</v>
      </c>
      <c r="I97" s="467" t="str">
        <f t="shared" si="32"/>
        <v>--</v>
      </c>
      <c r="J97" s="468" t="str">
        <f t="shared" si="33"/>
        <v>--</v>
      </c>
      <c r="K97" s="466" t="str">
        <f t="shared" si="34"/>
        <v>--</v>
      </c>
      <c r="L97" s="612" t="str">
        <f t="shared" si="35"/>
        <v>--</v>
      </c>
      <c r="M97" s="467" t="str">
        <f t="shared" si="36"/>
        <v>--</v>
      </c>
      <c r="N97" s="481" t="str">
        <f t="shared" si="37"/>
        <v>--</v>
      </c>
      <c r="O97" s="468" t="str">
        <f t="shared" si="38"/>
        <v>--</v>
      </c>
      <c r="P97" s="469" t="str">
        <f t="shared" si="39"/>
        <v>--</v>
      </c>
    </row>
    <row r="98" spans="1:16" s="448" customFormat="1" ht="30" customHeight="1">
      <c r="A98" s="893" t="s">
        <v>263</v>
      </c>
      <c r="B98" s="460" t="s">
        <v>115</v>
      </c>
      <c r="C98" s="461" t="str">
        <f t="shared" si="26"/>
        <v>--</v>
      </c>
      <c r="D98" s="466">
        <f t="shared" si="27"/>
        <v>21533.92330383481</v>
      </c>
      <c r="E98" s="612" t="str">
        <f t="shared" si="28"/>
        <v>--</v>
      </c>
      <c r="F98" s="463">
        <f t="shared" si="29"/>
        <v>90442.477876106175</v>
      </c>
      <c r="G98" s="481">
        <f t="shared" si="30"/>
        <v>3333.3333333333335</v>
      </c>
      <c r="H98" s="468">
        <f t="shared" si="31"/>
        <v>3333.3333333333335</v>
      </c>
      <c r="I98" s="467" t="str">
        <f t="shared" si="32"/>
        <v>Odor/Nuis</v>
      </c>
      <c r="J98" s="468" t="str">
        <f t="shared" si="33"/>
        <v>--</v>
      </c>
      <c r="K98" s="466">
        <f t="shared" si="34"/>
        <v>646.01769911504425</v>
      </c>
      <c r="L98" s="612" t="str">
        <f t="shared" si="35"/>
        <v>--</v>
      </c>
      <c r="M98" s="467">
        <f t="shared" si="36"/>
        <v>2713.2743362831852</v>
      </c>
      <c r="N98" s="481">
        <f t="shared" si="37"/>
        <v>100</v>
      </c>
      <c r="O98" s="468">
        <f t="shared" si="38"/>
        <v>100</v>
      </c>
      <c r="P98" s="469" t="str">
        <f t="shared" si="39"/>
        <v>Nuis/Odor</v>
      </c>
    </row>
    <row r="99" spans="1:16" s="448" customFormat="1" ht="30" customHeight="1">
      <c r="A99" s="893" t="s">
        <v>264</v>
      </c>
      <c r="B99" s="460" t="s">
        <v>115</v>
      </c>
      <c r="C99" s="461" t="str">
        <f t="shared" si="26"/>
        <v>--</v>
      </c>
      <c r="D99" s="466">
        <f t="shared" si="27"/>
        <v>10310.734463276838</v>
      </c>
      <c r="E99" s="612" t="str">
        <f t="shared" si="28"/>
        <v>--</v>
      </c>
      <c r="F99" s="463">
        <f t="shared" si="29"/>
        <v>43305.08474576271</v>
      </c>
      <c r="G99" s="481">
        <f t="shared" si="30"/>
        <v>33333.333333333336</v>
      </c>
      <c r="H99" s="468">
        <f t="shared" si="31"/>
        <v>10310.734463276838</v>
      </c>
      <c r="I99" s="467" t="str">
        <f t="shared" si="32"/>
        <v>NC-Hazard</v>
      </c>
      <c r="J99" s="468" t="str">
        <f t="shared" si="33"/>
        <v>--</v>
      </c>
      <c r="K99" s="466">
        <f t="shared" si="34"/>
        <v>309.32203389830511</v>
      </c>
      <c r="L99" s="612" t="str">
        <f t="shared" si="35"/>
        <v>--</v>
      </c>
      <c r="M99" s="467">
        <f t="shared" si="36"/>
        <v>1299.1525423728813</v>
      </c>
      <c r="N99" s="481">
        <f t="shared" si="37"/>
        <v>1000</v>
      </c>
      <c r="O99" s="468">
        <f t="shared" si="38"/>
        <v>309.32203389830511</v>
      </c>
      <c r="P99" s="469" t="str">
        <f t="shared" si="39"/>
        <v>NC-Hazard</v>
      </c>
    </row>
    <row r="100" spans="1:16" s="448" customFormat="1" ht="30" customHeight="1">
      <c r="A100" s="893" t="s">
        <v>265</v>
      </c>
      <c r="B100" s="460" t="s">
        <v>115</v>
      </c>
      <c r="C100" s="461" t="str">
        <f t="shared" si="26"/>
        <v>--</v>
      </c>
      <c r="D100" s="466">
        <f t="shared" si="27"/>
        <v>10310.734463276838</v>
      </c>
      <c r="E100" s="612" t="str">
        <f t="shared" si="28"/>
        <v>--</v>
      </c>
      <c r="F100" s="463">
        <f t="shared" si="29"/>
        <v>43305.08474576271</v>
      </c>
      <c r="G100" s="481">
        <f t="shared" si="30"/>
        <v>33333.333333333336</v>
      </c>
      <c r="H100" s="468">
        <f t="shared" si="31"/>
        <v>10310.734463276838</v>
      </c>
      <c r="I100" s="467" t="str">
        <f t="shared" si="32"/>
        <v>NC-Hazard</v>
      </c>
      <c r="J100" s="468" t="str">
        <f t="shared" si="33"/>
        <v>--</v>
      </c>
      <c r="K100" s="466">
        <f t="shared" si="34"/>
        <v>309.32203389830511</v>
      </c>
      <c r="L100" s="612" t="str">
        <f t="shared" si="35"/>
        <v>--</v>
      </c>
      <c r="M100" s="467">
        <f t="shared" si="36"/>
        <v>1299.1525423728813</v>
      </c>
      <c r="N100" s="481">
        <f t="shared" si="37"/>
        <v>1000</v>
      </c>
      <c r="O100" s="468">
        <f t="shared" si="38"/>
        <v>309.32203389830511</v>
      </c>
      <c r="P100" s="469" t="str">
        <f t="shared" si="39"/>
        <v>NC-Hazard</v>
      </c>
    </row>
    <row r="101" spans="1:16" s="448" customFormat="1" ht="30" customHeight="1">
      <c r="A101" s="893" t="s">
        <v>266</v>
      </c>
      <c r="B101" s="460" t="s">
        <v>115</v>
      </c>
      <c r="C101" s="461" t="str">
        <f t="shared" si="26"/>
        <v>--</v>
      </c>
      <c r="D101" s="466">
        <f t="shared" si="27"/>
        <v>6759.2592592592582</v>
      </c>
      <c r="E101" s="612" t="str">
        <f t="shared" si="28"/>
        <v>--</v>
      </c>
      <c r="F101" s="463">
        <f t="shared" si="29"/>
        <v>28388.888888888887</v>
      </c>
      <c r="G101" s="481">
        <f t="shared" si="30"/>
        <v>33333.333333333336</v>
      </c>
      <c r="H101" s="468">
        <f t="shared" si="31"/>
        <v>6759.2592592592582</v>
      </c>
      <c r="I101" s="467" t="str">
        <f t="shared" si="32"/>
        <v>NC-Hazard</v>
      </c>
      <c r="J101" s="468" t="str">
        <f t="shared" si="33"/>
        <v>--</v>
      </c>
      <c r="K101" s="466">
        <f t="shared" si="34"/>
        <v>202.77777777777774</v>
      </c>
      <c r="L101" s="612" t="str">
        <f t="shared" si="35"/>
        <v>--</v>
      </c>
      <c r="M101" s="467">
        <f t="shared" si="36"/>
        <v>851.66666666666663</v>
      </c>
      <c r="N101" s="481">
        <f t="shared" si="37"/>
        <v>1000</v>
      </c>
      <c r="O101" s="468">
        <f t="shared" si="38"/>
        <v>202.77777777777774</v>
      </c>
      <c r="P101" s="469" t="str">
        <f t="shared" si="39"/>
        <v>NC-Hazard</v>
      </c>
    </row>
    <row r="102" spans="1:16" s="448" customFormat="1" ht="30" customHeight="1">
      <c r="A102" s="893" t="s">
        <v>267</v>
      </c>
      <c r="B102" s="460" t="s">
        <v>115</v>
      </c>
      <c r="C102" s="461" t="str">
        <f t="shared" si="26"/>
        <v>--</v>
      </c>
      <c r="D102" s="466" t="str">
        <f t="shared" si="27"/>
        <v>--</v>
      </c>
      <c r="E102" s="612" t="str">
        <f t="shared" si="28"/>
        <v>--</v>
      </c>
      <c r="F102" s="463" t="str">
        <f t="shared" si="29"/>
        <v>--</v>
      </c>
      <c r="G102" s="481" t="str">
        <f t="shared" si="30"/>
        <v>--</v>
      </c>
      <c r="H102" s="468" t="str">
        <f t="shared" si="31"/>
        <v>--</v>
      </c>
      <c r="I102" s="467" t="str">
        <f t="shared" si="32"/>
        <v>--</v>
      </c>
      <c r="J102" s="468" t="str">
        <f t="shared" si="33"/>
        <v>--</v>
      </c>
      <c r="K102" s="466" t="str">
        <f t="shared" si="34"/>
        <v>--</v>
      </c>
      <c r="L102" s="612" t="str">
        <f t="shared" si="35"/>
        <v>--</v>
      </c>
      <c r="M102" s="467" t="str">
        <f t="shared" si="36"/>
        <v>--</v>
      </c>
      <c r="N102" s="481" t="str">
        <f t="shared" si="37"/>
        <v>--</v>
      </c>
      <c r="O102" s="468" t="str">
        <f t="shared" si="38"/>
        <v>--</v>
      </c>
      <c r="P102" s="469" t="str">
        <f t="shared" si="39"/>
        <v>--</v>
      </c>
    </row>
    <row r="103" spans="1:16" s="448" customFormat="1" ht="30" customHeight="1">
      <c r="A103" s="893" t="s">
        <v>268</v>
      </c>
      <c r="B103" s="460" t="s">
        <v>115</v>
      </c>
      <c r="C103" s="461" t="str">
        <f t="shared" si="26"/>
        <v>--</v>
      </c>
      <c r="D103" s="466" t="str">
        <f t="shared" si="27"/>
        <v>--</v>
      </c>
      <c r="E103" s="612" t="str">
        <f t="shared" si="28"/>
        <v>--</v>
      </c>
      <c r="F103" s="463" t="str">
        <f t="shared" si="29"/>
        <v>--</v>
      </c>
      <c r="G103" s="481" t="str">
        <f t="shared" si="30"/>
        <v>--</v>
      </c>
      <c r="H103" s="468" t="str">
        <f t="shared" si="31"/>
        <v>--</v>
      </c>
      <c r="I103" s="467" t="str">
        <f t="shared" si="32"/>
        <v>--</v>
      </c>
      <c r="J103" s="468" t="str">
        <f t="shared" si="33"/>
        <v>--</v>
      </c>
      <c r="K103" s="466" t="str">
        <f t="shared" si="34"/>
        <v>--</v>
      </c>
      <c r="L103" s="612" t="str">
        <f t="shared" si="35"/>
        <v>--</v>
      </c>
      <c r="M103" s="467" t="str">
        <f t="shared" si="36"/>
        <v>--</v>
      </c>
      <c r="N103" s="481" t="str">
        <f t="shared" si="37"/>
        <v>--</v>
      </c>
      <c r="O103" s="468" t="str">
        <f t="shared" si="38"/>
        <v>--</v>
      </c>
      <c r="P103" s="469" t="str">
        <f t="shared" si="39"/>
        <v>--</v>
      </c>
    </row>
    <row r="104" spans="1:16" s="448" customFormat="1" ht="30" customHeight="1">
      <c r="A104" s="893" t="s">
        <v>269</v>
      </c>
      <c r="B104" s="460" t="s">
        <v>270</v>
      </c>
      <c r="C104" s="461" t="str">
        <f t="shared" si="26"/>
        <v>--</v>
      </c>
      <c r="D104" s="466" t="str">
        <f t="shared" si="27"/>
        <v>--</v>
      </c>
      <c r="E104" s="612" t="str">
        <f t="shared" si="28"/>
        <v>--</v>
      </c>
      <c r="F104" s="463" t="str">
        <f t="shared" si="29"/>
        <v>--</v>
      </c>
      <c r="G104" s="481" t="str">
        <f t="shared" si="30"/>
        <v>--</v>
      </c>
      <c r="H104" s="468" t="str">
        <f t="shared" si="31"/>
        <v>--</v>
      </c>
      <c r="I104" s="467" t="str">
        <f t="shared" si="32"/>
        <v>--</v>
      </c>
      <c r="J104" s="468" t="str">
        <f t="shared" si="33"/>
        <v>--</v>
      </c>
      <c r="K104" s="466" t="str">
        <f t="shared" si="34"/>
        <v>--</v>
      </c>
      <c r="L104" s="612" t="str">
        <f t="shared" si="35"/>
        <v>--</v>
      </c>
      <c r="M104" s="467" t="str">
        <f t="shared" si="36"/>
        <v>--</v>
      </c>
      <c r="N104" s="481" t="str">
        <f t="shared" si="37"/>
        <v>--</v>
      </c>
      <c r="O104" s="468" t="str">
        <f t="shared" si="38"/>
        <v>--</v>
      </c>
      <c r="P104" s="469" t="str">
        <f t="shared" si="39"/>
        <v>--</v>
      </c>
    </row>
    <row r="105" spans="1:16" s="448" customFormat="1" ht="30" customHeight="1">
      <c r="A105" s="893" t="s">
        <v>271</v>
      </c>
      <c r="B105" s="460" t="s">
        <v>272</v>
      </c>
      <c r="C105" s="461" t="str">
        <f t="shared" si="26"/>
        <v>--</v>
      </c>
      <c r="D105" s="466" t="str">
        <f t="shared" si="27"/>
        <v>--</v>
      </c>
      <c r="E105" s="612" t="str">
        <f t="shared" si="28"/>
        <v>--</v>
      </c>
      <c r="F105" s="463" t="str">
        <f t="shared" si="29"/>
        <v>--</v>
      </c>
      <c r="G105" s="481" t="str">
        <f>(VLOOKUP(A105,Table_SG_2, MATCH("sg-min-no",heading_SG_2,0), FALSE))</f>
        <v>--</v>
      </c>
      <c r="H105" s="468" t="str">
        <f t="shared" si="31"/>
        <v>--</v>
      </c>
      <c r="I105" s="467" t="str">
        <f t="shared" si="32"/>
        <v>--</v>
      </c>
      <c r="J105" s="468" t="str">
        <f t="shared" si="33"/>
        <v>--</v>
      </c>
      <c r="K105" s="466" t="str">
        <f t="shared" si="34"/>
        <v>--</v>
      </c>
      <c r="L105" s="612" t="str">
        <f t="shared" si="35"/>
        <v>--</v>
      </c>
      <c r="M105" s="467" t="str">
        <f t="shared" si="36"/>
        <v>--</v>
      </c>
      <c r="N105" s="481" t="str">
        <f t="shared" si="37"/>
        <v>--</v>
      </c>
      <c r="O105" s="468" t="str">
        <f t="shared" si="38"/>
        <v>--</v>
      </c>
      <c r="P105" s="469" t="str">
        <f t="shared" si="39"/>
        <v>--</v>
      </c>
    </row>
    <row r="106" spans="1:16" s="448" customFormat="1" ht="30" customHeight="1">
      <c r="A106" s="893" t="s">
        <v>273</v>
      </c>
      <c r="B106" s="460" t="s">
        <v>274</v>
      </c>
      <c r="C106" s="461" t="str">
        <f t="shared" si="26"/>
        <v>--</v>
      </c>
      <c r="D106" s="466" t="str">
        <f t="shared" si="27"/>
        <v>--</v>
      </c>
      <c r="E106" s="612" t="str">
        <f t="shared" si="28"/>
        <v>--</v>
      </c>
      <c r="F106" s="463" t="str">
        <f t="shared" si="29"/>
        <v>--</v>
      </c>
      <c r="G106" s="481" t="str">
        <f t="shared" si="30"/>
        <v>--</v>
      </c>
      <c r="H106" s="468" t="str">
        <f t="shared" si="31"/>
        <v>--</v>
      </c>
      <c r="I106" s="467" t="str">
        <f t="shared" si="32"/>
        <v>--</v>
      </c>
      <c r="J106" s="468" t="str">
        <f t="shared" si="33"/>
        <v>--</v>
      </c>
      <c r="K106" s="466" t="str">
        <f t="shared" si="34"/>
        <v>--</v>
      </c>
      <c r="L106" s="612" t="str">
        <f t="shared" si="35"/>
        <v>--</v>
      </c>
      <c r="M106" s="467" t="str">
        <f t="shared" si="36"/>
        <v>--</v>
      </c>
      <c r="N106" s="481" t="str">
        <f t="shared" si="37"/>
        <v>--</v>
      </c>
      <c r="O106" s="468" t="str">
        <f t="shared" si="38"/>
        <v>--</v>
      </c>
      <c r="P106" s="469" t="str">
        <f t="shared" si="39"/>
        <v>--</v>
      </c>
    </row>
    <row r="107" spans="1:16" s="448" customFormat="1" ht="30" customHeight="1">
      <c r="A107" s="893" t="s">
        <v>275</v>
      </c>
      <c r="B107" s="460" t="s">
        <v>276</v>
      </c>
      <c r="C107" s="461" t="str">
        <f t="shared" si="26"/>
        <v>--</v>
      </c>
      <c r="D107" s="466" t="str">
        <f t="shared" si="27"/>
        <v>--</v>
      </c>
      <c r="E107" s="612" t="str">
        <f t="shared" si="28"/>
        <v>--</v>
      </c>
      <c r="F107" s="463" t="str">
        <f t="shared" si="29"/>
        <v>--</v>
      </c>
      <c r="G107" s="481" t="str">
        <f t="shared" si="30"/>
        <v>--</v>
      </c>
      <c r="H107" s="468" t="str">
        <f t="shared" si="31"/>
        <v>--</v>
      </c>
      <c r="I107" s="467" t="str">
        <f t="shared" si="32"/>
        <v>--</v>
      </c>
      <c r="J107" s="468" t="str">
        <f t="shared" si="33"/>
        <v>--</v>
      </c>
      <c r="K107" s="466" t="str">
        <f t="shared" si="34"/>
        <v>--</v>
      </c>
      <c r="L107" s="612" t="str">
        <f t="shared" si="35"/>
        <v>--</v>
      </c>
      <c r="M107" s="467" t="str">
        <f t="shared" si="36"/>
        <v>--</v>
      </c>
      <c r="N107" s="481" t="str">
        <f t="shared" si="37"/>
        <v>--</v>
      </c>
      <c r="O107" s="468" t="str">
        <f t="shared" si="38"/>
        <v>--</v>
      </c>
      <c r="P107" s="469" t="str">
        <f t="shared" si="39"/>
        <v>--</v>
      </c>
    </row>
    <row r="108" spans="1:16" s="448" customFormat="1" ht="30" customHeight="1">
      <c r="A108" s="893" t="s">
        <v>277</v>
      </c>
      <c r="B108" s="460" t="s">
        <v>278</v>
      </c>
      <c r="C108" s="461" t="str">
        <f t="shared" si="26"/>
        <v>--</v>
      </c>
      <c r="D108" s="466" t="str">
        <f t="shared" si="27"/>
        <v>--</v>
      </c>
      <c r="E108" s="612" t="str">
        <f t="shared" si="28"/>
        <v>--</v>
      </c>
      <c r="F108" s="463" t="str">
        <f t="shared" si="29"/>
        <v>--</v>
      </c>
      <c r="G108" s="481" t="str">
        <f t="shared" si="30"/>
        <v>--</v>
      </c>
      <c r="H108" s="468" t="str">
        <f t="shared" si="31"/>
        <v>--</v>
      </c>
      <c r="I108" s="467" t="str">
        <f t="shared" si="32"/>
        <v>--</v>
      </c>
      <c r="J108" s="468" t="str">
        <f t="shared" si="33"/>
        <v>--</v>
      </c>
      <c r="K108" s="466" t="str">
        <f t="shared" si="34"/>
        <v>--</v>
      </c>
      <c r="L108" s="612" t="str">
        <f t="shared" si="35"/>
        <v>--</v>
      </c>
      <c r="M108" s="467" t="str">
        <f t="shared" si="36"/>
        <v>--</v>
      </c>
      <c r="N108" s="481" t="str">
        <f t="shared" si="37"/>
        <v>--</v>
      </c>
      <c r="O108" s="468" t="str">
        <f t="shared" si="38"/>
        <v>--</v>
      </c>
      <c r="P108" s="469" t="str">
        <f t="shared" si="39"/>
        <v>--</v>
      </c>
    </row>
    <row r="109" spans="1:16" s="448" customFormat="1" ht="30" customHeight="1">
      <c r="A109" s="893" t="s">
        <v>279</v>
      </c>
      <c r="B109" s="460" t="s">
        <v>280</v>
      </c>
      <c r="C109" s="461" t="str">
        <f t="shared" si="26"/>
        <v>--</v>
      </c>
      <c r="D109" s="466" t="str">
        <f t="shared" si="27"/>
        <v>--</v>
      </c>
      <c r="E109" s="612" t="str">
        <f t="shared" si="28"/>
        <v>--</v>
      </c>
      <c r="F109" s="463" t="str">
        <f t="shared" si="29"/>
        <v>--</v>
      </c>
      <c r="G109" s="481" t="str">
        <f t="shared" si="30"/>
        <v>--</v>
      </c>
      <c r="H109" s="468" t="str">
        <f t="shared" si="31"/>
        <v>--</v>
      </c>
      <c r="I109" s="467" t="str">
        <f t="shared" si="32"/>
        <v>--</v>
      </c>
      <c r="J109" s="468" t="str">
        <f t="shared" si="33"/>
        <v>--</v>
      </c>
      <c r="K109" s="466" t="str">
        <f t="shared" si="34"/>
        <v>--</v>
      </c>
      <c r="L109" s="612" t="str">
        <f t="shared" si="35"/>
        <v>--</v>
      </c>
      <c r="M109" s="467" t="str">
        <f t="shared" si="36"/>
        <v>--</v>
      </c>
      <c r="N109" s="481" t="str">
        <f t="shared" si="37"/>
        <v>--</v>
      </c>
      <c r="O109" s="468" t="str">
        <f t="shared" si="38"/>
        <v>--</v>
      </c>
      <c r="P109" s="469" t="str">
        <f t="shared" si="39"/>
        <v>--</v>
      </c>
    </row>
    <row r="110" spans="1:16" s="448" customFormat="1" ht="30" customHeight="1">
      <c r="A110" s="893" t="s">
        <v>281</v>
      </c>
      <c r="B110" s="460" t="s">
        <v>282</v>
      </c>
      <c r="C110" s="461" t="str">
        <f t="shared" si="26"/>
        <v>--</v>
      </c>
      <c r="D110" s="466" t="str">
        <f t="shared" si="27"/>
        <v>--</v>
      </c>
      <c r="E110" s="612" t="str">
        <f t="shared" si="28"/>
        <v>--</v>
      </c>
      <c r="F110" s="463" t="str">
        <f t="shared" si="29"/>
        <v>--</v>
      </c>
      <c r="G110" s="481" t="str">
        <f t="shared" si="30"/>
        <v>--</v>
      </c>
      <c r="H110" s="468" t="str">
        <f t="shared" si="31"/>
        <v>--</v>
      </c>
      <c r="I110" s="467" t="str">
        <f t="shared" si="32"/>
        <v>--</v>
      </c>
      <c r="J110" s="468" t="str">
        <f t="shared" si="33"/>
        <v>--</v>
      </c>
      <c r="K110" s="466" t="str">
        <f t="shared" si="34"/>
        <v>--</v>
      </c>
      <c r="L110" s="612" t="str">
        <f t="shared" si="35"/>
        <v>--</v>
      </c>
      <c r="M110" s="467" t="str">
        <f t="shared" si="36"/>
        <v>--</v>
      </c>
      <c r="N110" s="481" t="str">
        <f t="shared" si="37"/>
        <v>--</v>
      </c>
      <c r="O110" s="468" t="str">
        <f t="shared" si="38"/>
        <v>--</v>
      </c>
      <c r="P110" s="469" t="str">
        <f t="shared" si="39"/>
        <v>--</v>
      </c>
    </row>
    <row r="111" spans="1:16" s="448" customFormat="1" ht="30" customHeight="1">
      <c r="A111" s="893" t="s">
        <v>283</v>
      </c>
      <c r="B111" s="460" t="s">
        <v>284</v>
      </c>
      <c r="C111" s="461" t="str">
        <f t="shared" si="26"/>
        <v>--</v>
      </c>
      <c r="D111" s="466" t="str">
        <f t="shared" si="27"/>
        <v>--</v>
      </c>
      <c r="E111" s="612" t="str">
        <f t="shared" si="28"/>
        <v>--</v>
      </c>
      <c r="F111" s="463" t="str">
        <f t="shared" si="29"/>
        <v>--</v>
      </c>
      <c r="G111" s="481" t="str">
        <f t="shared" si="30"/>
        <v>--</v>
      </c>
      <c r="H111" s="468" t="str">
        <f t="shared" si="31"/>
        <v>--</v>
      </c>
      <c r="I111" s="467" t="str">
        <f t="shared" si="32"/>
        <v>--</v>
      </c>
      <c r="J111" s="468" t="str">
        <f t="shared" si="33"/>
        <v>--</v>
      </c>
      <c r="K111" s="466" t="str">
        <f t="shared" si="34"/>
        <v>--</v>
      </c>
      <c r="L111" s="612" t="str">
        <f t="shared" si="35"/>
        <v>--</v>
      </c>
      <c r="M111" s="467" t="str">
        <f t="shared" si="36"/>
        <v>--</v>
      </c>
      <c r="N111" s="481" t="str">
        <f t="shared" si="37"/>
        <v>--</v>
      </c>
      <c r="O111" s="468" t="str">
        <f t="shared" si="38"/>
        <v>--</v>
      </c>
      <c r="P111" s="469" t="str">
        <f t="shared" si="39"/>
        <v>--</v>
      </c>
    </row>
    <row r="112" spans="1:16" s="448" customFormat="1" ht="30" customHeight="1">
      <c r="A112" s="893" t="s">
        <v>285</v>
      </c>
      <c r="B112" s="460" t="s">
        <v>286</v>
      </c>
      <c r="C112" s="461" t="str">
        <f t="shared" si="26"/>
        <v>--</v>
      </c>
      <c r="D112" s="466" t="str">
        <f t="shared" si="27"/>
        <v>--</v>
      </c>
      <c r="E112" s="612" t="str">
        <f t="shared" si="28"/>
        <v>--</v>
      </c>
      <c r="F112" s="463" t="str">
        <f t="shared" si="29"/>
        <v>--</v>
      </c>
      <c r="G112" s="481" t="str">
        <f t="shared" si="30"/>
        <v>--</v>
      </c>
      <c r="H112" s="468" t="str">
        <f t="shared" si="31"/>
        <v>--</v>
      </c>
      <c r="I112" s="467" t="str">
        <f t="shared" si="32"/>
        <v>--</v>
      </c>
      <c r="J112" s="468" t="str">
        <f t="shared" si="33"/>
        <v>--</v>
      </c>
      <c r="K112" s="466" t="str">
        <f t="shared" si="34"/>
        <v>--</v>
      </c>
      <c r="L112" s="612" t="str">
        <f t="shared" si="35"/>
        <v>--</v>
      </c>
      <c r="M112" s="467" t="str">
        <f t="shared" si="36"/>
        <v>--</v>
      </c>
      <c r="N112" s="481" t="str">
        <f t="shared" si="37"/>
        <v>--</v>
      </c>
      <c r="O112" s="468" t="str">
        <f t="shared" si="38"/>
        <v>--</v>
      </c>
      <c r="P112" s="469" t="str">
        <f t="shared" si="39"/>
        <v>--</v>
      </c>
    </row>
    <row r="113" spans="1:16" s="448" customFormat="1" ht="30" customHeight="1">
      <c r="A113" s="893" t="s">
        <v>287</v>
      </c>
      <c r="B113" s="460" t="s">
        <v>288</v>
      </c>
      <c r="C113" s="461" t="str">
        <f t="shared" si="26"/>
        <v>--</v>
      </c>
      <c r="D113" s="466" t="str">
        <f t="shared" si="27"/>
        <v>--</v>
      </c>
      <c r="E113" s="612" t="str">
        <f t="shared" si="28"/>
        <v>--</v>
      </c>
      <c r="F113" s="463" t="str">
        <f t="shared" si="29"/>
        <v>--</v>
      </c>
      <c r="G113" s="481" t="str">
        <f t="shared" si="30"/>
        <v>--</v>
      </c>
      <c r="H113" s="468" t="str">
        <f t="shared" si="31"/>
        <v>--</v>
      </c>
      <c r="I113" s="467" t="str">
        <f t="shared" si="32"/>
        <v>--</v>
      </c>
      <c r="J113" s="468" t="str">
        <f t="shared" si="33"/>
        <v>--</v>
      </c>
      <c r="K113" s="466" t="str">
        <f t="shared" si="34"/>
        <v>--</v>
      </c>
      <c r="L113" s="612" t="str">
        <f t="shared" si="35"/>
        <v>--</v>
      </c>
      <c r="M113" s="467" t="str">
        <f t="shared" si="36"/>
        <v>--</v>
      </c>
      <c r="N113" s="481" t="str">
        <f t="shared" si="37"/>
        <v>--</v>
      </c>
      <c r="O113" s="468" t="str">
        <f t="shared" si="38"/>
        <v>--</v>
      </c>
      <c r="P113" s="469" t="str">
        <f t="shared" si="39"/>
        <v>--</v>
      </c>
    </row>
    <row r="114" spans="1:16" s="448" customFormat="1" ht="30" customHeight="1">
      <c r="A114" s="893" t="s">
        <v>289</v>
      </c>
      <c r="B114" s="460" t="s">
        <v>290</v>
      </c>
      <c r="C114" s="461" t="str">
        <f t="shared" si="26"/>
        <v>--</v>
      </c>
      <c r="D114" s="466" t="str">
        <f t="shared" si="27"/>
        <v>--</v>
      </c>
      <c r="E114" s="612" t="str">
        <f t="shared" si="28"/>
        <v>--</v>
      </c>
      <c r="F114" s="463" t="str">
        <f t="shared" si="29"/>
        <v>--</v>
      </c>
      <c r="G114" s="481" t="str">
        <f t="shared" si="30"/>
        <v>--</v>
      </c>
      <c r="H114" s="468" t="str">
        <f t="shared" si="31"/>
        <v>--</v>
      </c>
      <c r="I114" s="467" t="str">
        <f t="shared" si="32"/>
        <v>--</v>
      </c>
      <c r="J114" s="468" t="str">
        <f t="shared" si="33"/>
        <v>--</v>
      </c>
      <c r="K114" s="466" t="str">
        <f t="shared" si="34"/>
        <v>--</v>
      </c>
      <c r="L114" s="612" t="str">
        <f t="shared" si="35"/>
        <v>--</v>
      </c>
      <c r="M114" s="467" t="str">
        <f t="shared" si="36"/>
        <v>--</v>
      </c>
      <c r="N114" s="481" t="str">
        <f t="shared" si="37"/>
        <v>--</v>
      </c>
      <c r="O114" s="468" t="str">
        <f t="shared" si="38"/>
        <v>--</v>
      </c>
      <c r="P114" s="469" t="str">
        <f t="shared" si="39"/>
        <v>--</v>
      </c>
    </row>
    <row r="115" spans="1:16" s="448" customFormat="1" ht="30" customHeight="1">
      <c r="A115" s="893" t="s">
        <v>291</v>
      </c>
      <c r="B115" s="460" t="s">
        <v>292</v>
      </c>
      <c r="C115" s="461" t="str">
        <f t="shared" si="26"/>
        <v>--</v>
      </c>
      <c r="D115" s="466" t="str">
        <f t="shared" si="27"/>
        <v>--</v>
      </c>
      <c r="E115" s="612" t="str">
        <f t="shared" si="28"/>
        <v>--</v>
      </c>
      <c r="F115" s="463" t="str">
        <f t="shared" si="29"/>
        <v>--</v>
      </c>
      <c r="G115" s="481" t="str">
        <f t="shared" si="30"/>
        <v>--</v>
      </c>
      <c r="H115" s="468" t="str">
        <f t="shared" si="31"/>
        <v>--</v>
      </c>
      <c r="I115" s="467" t="str">
        <f t="shared" si="32"/>
        <v>--</v>
      </c>
      <c r="J115" s="468" t="str">
        <f t="shared" si="33"/>
        <v>--</v>
      </c>
      <c r="K115" s="466" t="str">
        <f t="shared" si="34"/>
        <v>--</v>
      </c>
      <c r="L115" s="612" t="str">
        <f t="shared" si="35"/>
        <v>--</v>
      </c>
      <c r="M115" s="467" t="str">
        <f t="shared" si="36"/>
        <v>--</v>
      </c>
      <c r="N115" s="481" t="str">
        <f t="shared" si="37"/>
        <v>--</v>
      </c>
      <c r="O115" s="468" t="str">
        <f t="shared" si="38"/>
        <v>--</v>
      </c>
      <c r="P115" s="469" t="str">
        <f t="shared" si="39"/>
        <v>--</v>
      </c>
    </row>
    <row r="116" spans="1:16" s="448" customFormat="1" ht="30" customHeight="1">
      <c r="A116" s="893" t="s">
        <v>293</v>
      </c>
      <c r="B116" s="460" t="s">
        <v>294</v>
      </c>
      <c r="C116" s="461" t="str">
        <f t="shared" si="26"/>
        <v>--</v>
      </c>
      <c r="D116" s="466" t="str">
        <f t="shared" si="27"/>
        <v>--</v>
      </c>
      <c r="E116" s="612" t="str">
        <f t="shared" si="28"/>
        <v>--</v>
      </c>
      <c r="F116" s="463" t="str">
        <f t="shared" si="29"/>
        <v>--</v>
      </c>
      <c r="G116" s="481" t="str">
        <f t="shared" si="30"/>
        <v>--</v>
      </c>
      <c r="H116" s="468" t="str">
        <f t="shared" si="31"/>
        <v>--</v>
      </c>
      <c r="I116" s="467" t="str">
        <f t="shared" si="32"/>
        <v>--</v>
      </c>
      <c r="J116" s="468" t="str">
        <f t="shared" si="33"/>
        <v>--</v>
      </c>
      <c r="K116" s="466" t="str">
        <f t="shared" si="34"/>
        <v>--</v>
      </c>
      <c r="L116" s="612" t="str">
        <f t="shared" si="35"/>
        <v>--</v>
      </c>
      <c r="M116" s="467" t="str">
        <f t="shared" si="36"/>
        <v>--</v>
      </c>
      <c r="N116" s="481" t="str">
        <f t="shared" si="37"/>
        <v>--</v>
      </c>
      <c r="O116" s="468" t="str">
        <f t="shared" si="38"/>
        <v>--</v>
      </c>
      <c r="P116" s="469" t="str">
        <f t="shared" si="39"/>
        <v>--</v>
      </c>
    </row>
    <row r="117" spans="1:16" s="448" customFormat="1" ht="30" customHeight="1">
      <c r="A117" s="893" t="s">
        <v>295</v>
      </c>
      <c r="B117" s="460" t="s">
        <v>296</v>
      </c>
      <c r="C117" s="461" t="str">
        <f t="shared" si="26"/>
        <v>--</v>
      </c>
      <c r="D117" s="466" t="str">
        <f t="shared" si="27"/>
        <v>--</v>
      </c>
      <c r="E117" s="612" t="str">
        <f t="shared" si="28"/>
        <v>--</v>
      </c>
      <c r="F117" s="463" t="str">
        <f t="shared" si="29"/>
        <v>--</v>
      </c>
      <c r="G117" s="481" t="str">
        <f t="shared" si="30"/>
        <v>--</v>
      </c>
      <c r="H117" s="468" t="str">
        <f t="shared" si="31"/>
        <v>--</v>
      </c>
      <c r="I117" s="467" t="str">
        <f t="shared" si="32"/>
        <v>--</v>
      </c>
      <c r="J117" s="468" t="str">
        <f t="shared" si="33"/>
        <v>--</v>
      </c>
      <c r="K117" s="466" t="str">
        <f t="shared" si="34"/>
        <v>--</v>
      </c>
      <c r="L117" s="612" t="str">
        <f t="shared" si="35"/>
        <v>--</v>
      </c>
      <c r="M117" s="467" t="str">
        <f t="shared" si="36"/>
        <v>--</v>
      </c>
      <c r="N117" s="481" t="str">
        <f t="shared" si="37"/>
        <v>--</v>
      </c>
      <c r="O117" s="468" t="str">
        <f t="shared" si="38"/>
        <v>--</v>
      </c>
      <c r="P117" s="469" t="str">
        <f t="shared" si="39"/>
        <v>--</v>
      </c>
    </row>
    <row r="118" spans="1:16" s="448" customFormat="1" ht="30" customHeight="1">
      <c r="A118" s="893" t="s">
        <v>297</v>
      </c>
      <c r="B118" s="460" t="s">
        <v>298</v>
      </c>
      <c r="C118" s="461" t="str">
        <f t="shared" si="26"/>
        <v>--</v>
      </c>
      <c r="D118" s="466" t="str">
        <f t="shared" si="27"/>
        <v>--</v>
      </c>
      <c r="E118" s="612" t="str">
        <f t="shared" si="28"/>
        <v>--</v>
      </c>
      <c r="F118" s="463" t="str">
        <f t="shared" si="29"/>
        <v>--</v>
      </c>
      <c r="G118" s="481" t="str">
        <f t="shared" si="30"/>
        <v>--</v>
      </c>
      <c r="H118" s="468" t="str">
        <f t="shared" si="31"/>
        <v>--</v>
      </c>
      <c r="I118" s="467" t="str">
        <f t="shared" si="32"/>
        <v>--</v>
      </c>
      <c r="J118" s="468" t="str">
        <f t="shared" si="33"/>
        <v>--</v>
      </c>
      <c r="K118" s="466" t="str">
        <f t="shared" si="34"/>
        <v>--</v>
      </c>
      <c r="L118" s="612" t="str">
        <f t="shared" si="35"/>
        <v>--</v>
      </c>
      <c r="M118" s="467" t="str">
        <f t="shared" si="36"/>
        <v>--</v>
      </c>
      <c r="N118" s="481" t="str">
        <f t="shared" si="37"/>
        <v>--</v>
      </c>
      <c r="O118" s="468" t="str">
        <f t="shared" si="38"/>
        <v>--</v>
      </c>
      <c r="P118" s="469" t="str">
        <f t="shared" si="39"/>
        <v>--</v>
      </c>
    </row>
    <row r="119" spans="1:16" s="448" customFormat="1" ht="30" customHeight="1">
      <c r="A119" s="893" t="s">
        <v>299</v>
      </c>
      <c r="B119" s="460" t="s">
        <v>300</v>
      </c>
      <c r="C119" s="461" t="str">
        <f t="shared" si="26"/>
        <v>--</v>
      </c>
      <c r="D119" s="466" t="str">
        <f t="shared" si="27"/>
        <v>--</v>
      </c>
      <c r="E119" s="612" t="str">
        <f t="shared" si="28"/>
        <v>--</v>
      </c>
      <c r="F119" s="463" t="str">
        <f t="shared" si="29"/>
        <v>--</v>
      </c>
      <c r="G119" s="481" t="str">
        <f t="shared" si="30"/>
        <v>--</v>
      </c>
      <c r="H119" s="468" t="str">
        <f t="shared" si="31"/>
        <v>--</v>
      </c>
      <c r="I119" s="467" t="str">
        <f t="shared" si="32"/>
        <v>--</v>
      </c>
      <c r="J119" s="468" t="str">
        <f t="shared" si="33"/>
        <v>--</v>
      </c>
      <c r="K119" s="466" t="str">
        <f t="shared" si="34"/>
        <v>--</v>
      </c>
      <c r="L119" s="612" t="str">
        <f t="shared" si="35"/>
        <v>--</v>
      </c>
      <c r="M119" s="467" t="str">
        <f t="shared" si="36"/>
        <v>--</v>
      </c>
      <c r="N119" s="481" t="str">
        <f t="shared" si="37"/>
        <v>--</v>
      </c>
      <c r="O119" s="468" t="str">
        <f t="shared" si="38"/>
        <v>--</v>
      </c>
      <c r="P119" s="469" t="str">
        <f t="shared" si="39"/>
        <v>--</v>
      </c>
    </row>
    <row r="120" spans="1:16" s="448" customFormat="1" ht="30" customHeight="1">
      <c r="A120" s="893" t="s">
        <v>301</v>
      </c>
      <c r="B120" s="460" t="s">
        <v>302</v>
      </c>
      <c r="C120" s="461" t="str">
        <f t="shared" si="26"/>
        <v>--</v>
      </c>
      <c r="D120" s="466" t="str">
        <f t="shared" si="27"/>
        <v>--</v>
      </c>
      <c r="E120" s="612" t="str">
        <f t="shared" si="28"/>
        <v>--</v>
      </c>
      <c r="F120" s="463" t="str">
        <f t="shared" si="29"/>
        <v>--</v>
      </c>
      <c r="G120" s="481">
        <f t="shared" si="30"/>
        <v>5200</v>
      </c>
      <c r="H120" s="468">
        <f t="shared" si="31"/>
        <v>5200</v>
      </c>
      <c r="I120" s="467" t="str">
        <f t="shared" si="32"/>
        <v>Odor/Nuis</v>
      </c>
      <c r="J120" s="468" t="str">
        <f t="shared" si="33"/>
        <v>--</v>
      </c>
      <c r="K120" s="466" t="str">
        <f t="shared" si="34"/>
        <v>--</v>
      </c>
      <c r="L120" s="612" t="str">
        <f t="shared" si="35"/>
        <v>--</v>
      </c>
      <c r="M120" s="467" t="str">
        <f t="shared" si="36"/>
        <v>--</v>
      </c>
      <c r="N120" s="481">
        <f t="shared" si="37"/>
        <v>156</v>
      </c>
      <c r="O120" s="468">
        <f t="shared" si="38"/>
        <v>156</v>
      </c>
      <c r="P120" s="469" t="str">
        <f t="shared" si="39"/>
        <v>Nuis/Odor</v>
      </c>
    </row>
    <row r="121" spans="1:16" s="448" customFormat="1" ht="30" customHeight="1">
      <c r="A121" s="893" t="s">
        <v>303</v>
      </c>
      <c r="B121" s="460" t="s">
        <v>304</v>
      </c>
      <c r="C121" s="461">
        <f t="shared" si="26"/>
        <v>0.16419253261358527</v>
      </c>
      <c r="D121" s="466" t="str">
        <f t="shared" si="27"/>
        <v>--</v>
      </c>
      <c r="E121" s="612">
        <f t="shared" si="28"/>
        <v>0.71719298245614027</v>
      </c>
      <c r="F121" s="463" t="str">
        <f t="shared" si="29"/>
        <v>--</v>
      </c>
      <c r="G121" s="481" t="str">
        <f t="shared" si="30"/>
        <v>--</v>
      </c>
      <c r="H121" s="468">
        <f t="shared" si="31"/>
        <v>0.16419253261358527</v>
      </c>
      <c r="I121" s="467" t="str">
        <f t="shared" si="32"/>
        <v>Canc-Risk</v>
      </c>
      <c r="J121" s="468">
        <f t="shared" si="33"/>
        <v>4.9257759784075575E-3</v>
      </c>
      <c r="K121" s="466" t="str">
        <f t="shared" si="34"/>
        <v>--</v>
      </c>
      <c r="L121" s="612">
        <f t="shared" si="35"/>
        <v>2.1515789473684207E-2</v>
      </c>
      <c r="M121" s="467" t="str">
        <f t="shared" si="36"/>
        <v>--</v>
      </c>
      <c r="N121" s="481" t="str">
        <f t="shared" si="37"/>
        <v>--</v>
      </c>
      <c r="O121" s="468">
        <f t="shared" si="38"/>
        <v>4.9257759784075575E-3</v>
      </c>
      <c r="P121" s="469" t="str">
        <f t="shared" si="39"/>
        <v>Canc-Risk</v>
      </c>
    </row>
    <row r="122" spans="1:16" s="448" customFormat="1" ht="30" customHeight="1">
      <c r="A122" s="893" t="s">
        <v>305</v>
      </c>
      <c r="B122" s="460" t="s">
        <v>306</v>
      </c>
      <c r="C122" s="461" t="str">
        <f t="shared" si="26"/>
        <v>--</v>
      </c>
      <c r="D122" s="466" t="str">
        <f t="shared" si="27"/>
        <v>--</v>
      </c>
      <c r="E122" s="612" t="str">
        <f t="shared" si="28"/>
        <v>--</v>
      </c>
      <c r="F122" s="463" t="str">
        <f t="shared" si="29"/>
        <v>--</v>
      </c>
      <c r="G122" s="481" t="str">
        <f t="shared" si="30"/>
        <v>--</v>
      </c>
      <c r="H122" s="468" t="str">
        <f t="shared" si="31"/>
        <v>--</v>
      </c>
      <c r="I122" s="467" t="str">
        <f t="shared" si="32"/>
        <v>--</v>
      </c>
      <c r="J122" s="468" t="str">
        <f t="shared" si="33"/>
        <v>--</v>
      </c>
      <c r="K122" s="466" t="str">
        <f t="shared" si="34"/>
        <v>--</v>
      </c>
      <c r="L122" s="612" t="str">
        <f t="shared" si="35"/>
        <v>--</v>
      </c>
      <c r="M122" s="467" t="str">
        <f t="shared" si="36"/>
        <v>--</v>
      </c>
      <c r="N122" s="481" t="str">
        <f t="shared" si="37"/>
        <v>--</v>
      </c>
      <c r="O122" s="468" t="str">
        <f t="shared" si="38"/>
        <v>--</v>
      </c>
      <c r="P122" s="469" t="str">
        <f t="shared" si="39"/>
        <v>--</v>
      </c>
    </row>
    <row r="123" spans="1:16" s="448" customFormat="1" ht="30" customHeight="1">
      <c r="A123" s="893" t="s">
        <v>307</v>
      </c>
      <c r="B123" s="460" t="s">
        <v>308</v>
      </c>
      <c r="C123" s="461" t="str">
        <f t="shared" ref="C123" si="40">(VLOOKUP(A123,Table_SG_1, MATCH("sg-res-min-c",heading_SG_1,0), FALSE))</f>
        <v>--</v>
      </c>
      <c r="D123" s="466" t="str">
        <f t="shared" ref="D123" si="41">(VLOOKUP(A123,Table_SG_1, MATCH("sg-res-min-nc",heading_SG_1,0), FALSE))</f>
        <v>--</v>
      </c>
      <c r="E123" s="612" t="str">
        <f t="shared" ref="E123" si="42">(VLOOKUP(A123,Table_SG_1, MATCH("sg-com-min-c",heading_SG_1,0), FALSE))</f>
        <v>--</v>
      </c>
      <c r="F123" s="463" t="str">
        <f t="shared" ref="F123" si="43">(VLOOKUP(A123,Table_SG_1, MATCH("sg-com-min-nc",heading_SG_1,0), FALSE))</f>
        <v>--</v>
      </c>
      <c r="G123" s="481" t="str">
        <f t="shared" ref="G123" si="44">(VLOOKUP(A123,Table_SG_2, MATCH("sg-min-no",heading_SG_2,0), FALSE))</f>
        <v>--</v>
      </c>
      <c r="H123" s="468" t="str">
        <f t="shared" ref="H123" si="45">IF((MIN(C123:G123))=0, "--", MIN(C123:G123))</f>
        <v>--</v>
      </c>
      <c r="I123" s="467" t="str">
        <f t="shared" ref="I123" si="46">IF(H123="--","--",IF(H123=G123,"Odor/Nuis",IF(H123=C123,"Canc-Risk",IF(H123=D123,"NC-Hazard","--"""))))</f>
        <v>--</v>
      </c>
      <c r="J123" s="468" t="str">
        <f t="shared" ref="J123" si="47">(VLOOKUP(A123,Table_IA_1, MATCH("IA-Res-c",heading_IA_1,0), FALSE))</f>
        <v>--</v>
      </c>
      <c r="K123" s="466" t="str">
        <f t="shared" ref="K123" si="48">(VLOOKUP(A123,Table_IA_1, MATCH("IA-Res-nc",heading_IA_1,0), FALSE))</f>
        <v>--</v>
      </c>
      <c r="L123" s="612" t="str">
        <f t="shared" ref="L123" si="49">(VLOOKUP(A123,Table_IA_1, MATCH("IA-com-c",heading_IA_1,0), FALSE))</f>
        <v>--</v>
      </c>
      <c r="M123" s="467" t="str">
        <f t="shared" ref="M123" si="50">(VLOOKUP(A123,Table_IA_1, MATCH("IA-com-nc",heading_IA_1,0), FALSE))</f>
        <v>--</v>
      </c>
      <c r="N123" s="481" t="str">
        <f t="shared" ref="N123" si="51">(VLOOKUP(A123,Table_IA_2, MATCH("IA-NO",heading_IA_2,0), FALSE))</f>
        <v>--</v>
      </c>
      <c r="O123" s="468" t="str">
        <f t="shared" ref="O123" si="52">IF(MIN(J123:N123)=0,"--",(MIN(J123:N123)))</f>
        <v>--</v>
      </c>
      <c r="P123" s="469" t="str">
        <f t="shared" si="39"/>
        <v>--</v>
      </c>
    </row>
    <row r="124" spans="1:16" s="448" customFormat="1" ht="30" customHeight="1">
      <c r="A124" s="893" t="s">
        <v>309</v>
      </c>
      <c r="B124" s="460" t="s">
        <v>310</v>
      </c>
      <c r="C124" s="461" t="str">
        <f t="shared" si="26"/>
        <v>--</v>
      </c>
      <c r="D124" s="466">
        <f t="shared" si="27"/>
        <v>31285.714285714286</v>
      </c>
      <c r="E124" s="612" t="str">
        <f t="shared" si="28"/>
        <v>--</v>
      </c>
      <c r="F124" s="463">
        <f t="shared" si="29"/>
        <v>131400</v>
      </c>
      <c r="G124" s="481">
        <f t="shared" si="30"/>
        <v>45333.333333333336</v>
      </c>
      <c r="H124" s="468">
        <f t="shared" si="31"/>
        <v>31285.714285714286</v>
      </c>
      <c r="I124" s="467" t="str">
        <f t="shared" si="32"/>
        <v>NC-Hazard</v>
      </c>
      <c r="J124" s="468" t="str">
        <f t="shared" si="33"/>
        <v>--</v>
      </c>
      <c r="K124" s="466">
        <f t="shared" si="34"/>
        <v>938.57142857142856</v>
      </c>
      <c r="L124" s="612" t="str">
        <f t="shared" si="35"/>
        <v>--</v>
      </c>
      <c r="M124" s="467">
        <f t="shared" si="36"/>
        <v>3941.9999999999995</v>
      </c>
      <c r="N124" s="481">
        <f t="shared" si="37"/>
        <v>1360</v>
      </c>
      <c r="O124" s="468">
        <f t="shared" si="38"/>
        <v>938.57142857142856</v>
      </c>
      <c r="P124" s="469" t="str">
        <f t="shared" si="39"/>
        <v>NC-Hazard</v>
      </c>
    </row>
    <row r="125" spans="1:16" s="448" customFormat="1" ht="30" customHeight="1">
      <c r="A125" s="893" t="s">
        <v>311</v>
      </c>
      <c r="B125" s="460" t="s">
        <v>312</v>
      </c>
      <c r="C125" s="461" t="str">
        <f t="shared" si="26"/>
        <v>--</v>
      </c>
      <c r="D125" s="466">
        <f t="shared" si="27"/>
        <v>173809.52380952382</v>
      </c>
      <c r="E125" s="612" t="str">
        <f t="shared" si="28"/>
        <v>--</v>
      </c>
      <c r="F125" s="463">
        <f t="shared" si="29"/>
        <v>730000</v>
      </c>
      <c r="G125" s="481" t="str">
        <f t="shared" si="30"/>
        <v>--</v>
      </c>
      <c r="H125" s="468">
        <f t="shared" si="31"/>
        <v>173809.52380952382</v>
      </c>
      <c r="I125" s="467" t="str">
        <f t="shared" si="32"/>
        <v>NC-Hazard</v>
      </c>
      <c r="J125" s="468" t="str">
        <f t="shared" si="33"/>
        <v>--</v>
      </c>
      <c r="K125" s="466">
        <f t="shared" si="34"/>
        <v>5214.2857142857147</v>
      </c>
      <c r="L125" s="612" t="str">
        <f t="shared" si="35"/>
        <v>--</v>
      </c>
      <c r="M125" s="467">
        <f t="shared" si="36"/>
        <v>21900</v>
      </c>
      <c r="N125" s="481" t="str">
        <f t="shared" si="37"/>
        <v>--</v>
      </c>
      <c r="O125" s="468">
        <f t="shared" si="38"/>
        <v>5214.2857142857147</v>
      </c>
      <c r="P125" s="469" t="str">
        <f t="shared" si="39"/>
        <v>NC-Hazard</v>
      </c>
    </row>
    <row r="126" spans="1:16" s="448" customFormat="1" ht="30" customHeight="1">
      <c r="A126" s="893" t="s">
        <v>313</v>
      </c>
      <c r="B126" s="460" t="s">
        <v>314</v>
      </c>
      <c r="C126" s="461">
        <f t="shared" si="26"/>
        <v>12.647262647262645</v>
      </c>
      <c r="D126" s="466" t="str">
        <f t="shared" si="27"/>
        <v>--</v>
      </c>
      <c r="E126" s="612">
        <f t="shared" si="28"/>
        <v>55.243243243243228</v>
      </c>
      <c r="F126" s="463" t="str">
        <f t="shared" si="29"/>
        <v>--</v>
      </c>
      <c r="G126" s="481" t="str">
        <f t="shared" si="30"/>
        <v>--</v>
      </c>
      <c r="H126" s="468">
        <f t="shared" si="31"/>
        <v>12.647262647262645</v>
      </c>
      <c r="I126" s="467" t="str">
        <f t="shared" si="32"/>
        <v>Canc-Risk</v>
      </c>
      <c r="J126" s="468">
        <f t="shared" si="33"/>
        <v>0.37941787941787936</v>
      </c>
      <c r="K126" s="466" t="str">
        <f t="shared" si="34"/>
        <v>--</v>
      </c>
      <c r="L126" s="612">
        <f t="shared" si="35"/>
        <v>1.6572972972972968</v>
      </c>
      <c r="M126" s="467" t="str">
        <f t="shared" si="36"/>
        <v>--</v>
      </c>
      <c r="N126" s="481" t="str">
        <f t="shared" si="37"/>
        <v>--</v>
      </c>
      <c r="O126" s="468">
        <f t="shared" si="38"/>
        <v>0.37941787941787936</v>
      </c>
      <c r="P126" s="469" t="str">
        <f t="shared" si="39"/>
        <v>Canc-Risk</v>
      </c>
    </row>
    <row r="127" spans="1:16" s="448" customFormat="1" ht="30" customHeight="1">
      <c r="A127" s="893" t="s">
        <v>315</v>
      </c>
      <c r="B127" s="460" t="s">
        <v>316</v>
      </c>
      <c r="C127" s="461">
        <f t="shared" ref="C127:C142" si="53">(VLOOKUP(A127,Table_SG_1, MATCH("sg-res-min-c",heading_SG_1,0), FALSE))</f>
        <v>1.6136162687886821</v>
      </c>
      <c r="D127" s="466" t="str">
        <f t="shared" ref="D127:D142" si="54">(VLOOKUP(A127,Table_SG_1, MATCH("sg-res-min-nc",heading_SG_1,0), FALSE))</f>
        <v>--</v>
      </c>
      <c r="E127" s="612">
        <f t="shared" ref="E127:E142" si="55">(VLOOKUP(A127,Table_SG_1, MATCH("sg-com-min-c",heading_SG_1,0), FALSE))</f>
        <v>7.0482758620689641</v>
      </c>
      <c r="F127" s="463" t="str">
        <f t="shared" ref="F127:F142" si="56">(VLOOKUP(A127,Table_SG_1, MATCH("sg-com-min-nc",heading_SG_1,0), FALSE))</f>
        <v>--</v>
      </c>
      <c r="G127" s="481">
        <f t="shared" ref="G127:G142" si="57">(VLOOKUP(A127,Table_SG_2, MATCH("sg-min-no",heading_SG_2,0), FALSE))</f>
        <v>349000</v>
      </c>
      <c r="H127" s="468">
        <f t="shared" ref="H127:H142" si="58">IF((MIN(C127:G127))=0, "--", MIN(C127:G127))</f>
        <v>1.6136162687886821</v>
      </c>
      <c r="I127" s="467" t="str">
        <f t="shared" ref="I127:I142" si="59">IF(H127="--","--",IF(H127=G127,"Odor/Nuis",IF(H127=C127,"Canc-Risk",IF(H127=D127,"NC-Hazard","--"""))))</f>
        <v>Canc-Risk</v>
      </c>
      <c r="J127" s="468">
        <f t="shared" ref="J127:J142" si="60">(VLOOKUP(A127,Table_IA_1, MATCH("IA-Res-c",heading_IA_1,0), FALSE))</f>
        <v>4.8408488063660465E-2</v>
      </c>
      <c r="K127" s="466" t="str">
        <f t="shared" ref="K127:K142" si="61">(VLOOKUP(A127,Table_IA_1, MATCH("IA-Res-nc",heading_IA_1,0), FALSE))</f>
        <v>--</v>
      </c>
      <c r="L127" s="612">
        <f t="shared" ref="L127:L142" si="62">(VLOOKUP(A127,Table_IA_1, MATCH("IA-com-c",heading_IA_1,0), FALSE))</f>
        <v>0.21144827586206891</v>
      </c>
      <c r="M127" s="467" t="str">
        <f t="shared" ref="M127:M142" si="63">(VLOOKUP(A127,Table_IA_1, MATCH("IA-com-nc",heading_IA_1,0), FALSE))</f>
        <v>--</v>
      </c>
      <c r="N127" s="481">
        <f t="shared" ref="N127:N142" si="64">(VLOOKUP(A127,Table_IA_2, MATCH("IA-NO",heading_IA_2,0), FALSE))</f>
        <v>10470</v>
      </c>
      <c r="O127" s="468">
        <f t="shared" ref="O127:O142" si="65">IF(MIN(J127:N127)=0,"--",(MIN(J127:N127)))</f>
        <v>4.8408488063660465E-2</v>
      </c>
      <c r="P127" s="469" t="str">
        <f t="shared" ref="P127:P142" si="66">IF(O127="--","--",IF(O127=J127,"Canc-Risk",IF(O127=K127,"NC-Hazard",IF(O127=N127,"Nuis/Odor", "--"""))))</f>
        <v>Canc-Risk</v>
      </c>
    </row>
    <row r="128" spans="1:16" s="448" customFormat="1" ht="30" customHeight="1">
      <c r="A128" s="893" t="s">
        <v>317</v>
      </c>
      <c r="B128" s="460" t="s">
        <v>318</v>
      </c>
      <c r="C128" s="461">
        <f t="shared" si="53"/>
        <v>15.342580916351405</v>
      </c>
      <c r="D128" s="466">
        <f t="shared" si="54"/>
        <v>1390.4761904761906</v>
      </c>
      <c r="E128" s="612">
        <f t="shared" si="55"/>
        <v>67.016393442622942</v>
      </c>
      <c r="F128" s="463">
        <f t="shared" si="56"/>
        <v>5840</v>
      </c>
      <c r="G128" s="481">
        <f t="shared" si="57"/>
        <v>1057666.6666666667</v>
      </c>
      <c r="H128" s="468">
        <f t="shared" si="58"/>
        <v>15.342580916351405</v>
      </c>
      <c r="I128" s="467" t="str">
        <f t="shared" si="59"/>
        <v>Canc-Risk</v>
      </c>
      <c r="J128" s="468">
        <f t="shared" si="60"/>
        <v>0.46027742749054212</v>
      </c>
      <c r="K128" s="466">
        <f t="shared" si="61"/>
        <v>41.714285714285715</v>
      </c>
      <c r="L128" s="612">
        <f t="shared" si="62"/>
        <v>2.010491803278688</v>
      </c>
      <c r="M128" s="467">
        <f t="shared" si="63"/>
        <v>175.2</v>
      </c>
      <c r="N128" s="481">
        <f t="shared" si="64"/>
        <v>31730</v>
      </c>
      <c r="O128" s="468">
        <f t="shared" si="65"/>
        <v>0.46027742749054212</v>
      </c>
      <c r="P128" s="469" t="str">
        <f t="shared" si="66"/>
        <v>Canc-Risk</v>
      </c>
    </row>
    <row r="129" spans="1:16" s="448" customFormat="1" ht="30" customHeight="1">
      <c r="A129" s="893" t="s">
        <v>319</v>
      </c>
      <c r="B129" s="460" t="s">
        <v>320</v>
      </c>
      <c r="C129" s="461" t="str">
        <f t="shared" si="53"/>
        <v>--</v>
      </c>
      <c r="D129" s="466" t="str">
        <f t="shared" si="54"/>
        <v>--</v>
      </c>
      <c r="E129" s="612" t="str">
        <f t="shared" si="55"/>
        <v>--</v>
      </c>
      <c r="F129" s="463" t="str">
        <f t="shared" si="56"/>
        <v>--</v>
      </c>
      <c r="G129" s="481" t="str">
        <f t="shared" si="57"/>
        <v>--</v>
      </c>
      <c r="H129" s="468" t="str">
        <f t="shared" si="58"/>
        <v>--</v>
      </c>
      <c r="I129" s="467" t="str">
        <f t="shared" si="59"/>
        <v>--</v>
      </c>
      <c r="J129" s="468" t="str">
        <f t="shared" si="60"/>
        <v>--</v>
      </c>
      <c r="K129" s="466" t="str">
        <f t="shared" si="61"/>
        <v>--</v>
      </c>
      <c r="L129" s="612" t="str">
        <f t="shared" si="62"/>
        <v>--</v>
      </c>
      <c r="M129" s="467" t="str">
        <f t="shared" si="63"/>
        <v>--</v>
      </c>
      <c r="N129" s="481" t="str">
        <f t="shared" si="64"/>
        <v>--</v>
      </c>
      <c r="O129" s="468" t="str">
        <f t="shared" si="65"/>
        <v>--</v>
      </c>
      <c r="P129" s="469" t="str">
        <f t="shared" si="66"/>
        <v>--</v>
      </c>
    </row>
    <row r="130" spans="1:16" s="448" customFormat="1" ht="30" customHeight="1">
      <c r="A130" s="893" t="s">
        <v>321</v>
      </c>
      <c r="B130" s="460" t="s">
        <v>322</v>
      </c>
      <c r="C130" s="461" t="str">
        <f t="shared" si="53"/>
        <v>--</v>
      </c>
      <c r="D130" s="466">
        <f t="shared" si="54"/>
        <v>14600</v>
      </c>
      <c r="E130" s="612" t="str">
        <f t="shared" si="55"/>
        <v>--</v>
      </c>
      <c r="F130" s="463">
        <f t="shared" si="56"/>
        <v>61320</v>
      </c>
      <c r="G130" s="481">
        <f t="shared" si="57"/>
        <v>1000000</v>
      </c>
      <c r="H130" s="468">
        <f t="shared" si="58"/>
        <v>14600</v>
      </c>
      <c r="I130" s="467" t="str">
        <f t="shared" si="59"/>
        <v>NC-Hazard</v>
      </c>
      <c r="J130" s="468" t="str">
        <f t="shared" si="60"/>
        <v>--</v>
      </c>
      <c r="K130" s="466">
        <f t="shared" si="61"/>
        <v>438</v>
      </c>
      <c r="L130" s="612" t="str">
        <f t="shared" si="62"/>
        <v>--</v>
      </c>
      <c r="M130" s="467">
        <f t="shared" si="63"/>
        <v>1839.6</v>
      </c>
      <c r="N130" s="481">
        <f t="shared" si="64"/>
        <v>30000</v>
      </c>
      <c r="O130" s="468">
        <f t="shared" si="65"/>
        <v>438</v>
      </c>
      <c r="P130" s="469" t="str">
        <f t="shared" si="66"/>
        <v>NC-Hazard</v>
      </c>
    </row>
    <row r="131" spans="1:16" s="448" customFormat="1" ht="30" customHeight="1">
      <c r="A131" s="893" t="s">
        <v>323</v>
      </c>
      <c r="B131" s="460" t="s">
        <v>324</v>
      </c>
      <c r="C131" s="461" t="str">
        <f t="shared" si="53"/>
        <v>--</v>
      </c>
      <c r="D131" s="466" t="str">
        <f t="shared" si="54"/>
        <v>--</v>
      </c>
      <c r="E131" s="612" t="str">
        <f t="shared" si="55"/>
        <v>--</v>
      </c>
      <c r="F131" s="463" t="str">
        <f t="shared" si="56"/>
        <v>--</v>
      </c>
      <c r="G131" s="481" t="str">
        <f t="shared" si="57"/>
        <v>--</v>
      </c>
      <c r="H131" s="468" t="str">
        <f t="shared" si="58"/>
        <v>--</v>
      </c>
      <c r="I131" s="467" t="str">
        <f t="shared" si="59"/>
        <v>--</v>
      </c>
      <c r="J131" s="468" t="str">
        <f t="shared" si="60"/>
        <v>--</v>
      </c>
      <c r="K131" s="466" t="str">
        <f t="shared" si="61"/>
        <v>--</v>
      </c>
      <c r="L131" s="612" t="str">
        <f t="shared" si="62"/>
        <v>--</v>
      </c>
      <c r="M131" s="467" t="str">
        <f t="shared" si="63"/>
        <v>--</v>
      </c>
      <c r="N131" s="481" t="str">
        <f t="shared" si="64"/>
        <v>--</v>
      </c>
      <c r="O131" s="468" t="str">
        <f t="shared" si="65"/>
        <v>--</v>
      </c>
      <c r="P131" s="469" t="str">
        <f t="shared" si="66"/>
        <v>--</v>
      </c>
    </row>
    <row r="132" spans="1:16" s="448" customFormat="1" ht="30" customHeight="1">
      <c r="A132" s="893" t="s">
        <v>325</v>
      </c>
      <c r="B132" s="460" t="s">
        <v>326</v>
      </c>
      <c r="C132" s="461" t="str">
        <f t="shared" si="53"/>
        <v>--</v>
      </c>
      <c r="D132" s="466">
        <f t="shared" si="54"/>
        <v>69.523809523809533</v>
      </c>
      <c r="E132" s="612" t="str">
        <f t="shared" si="55"/>
        <v>--</v>
      </c>
      <c r="F132" s="463">
        <f t="shared" si="56"/>
        <v>292</v>
      </c>
      <c r="G132" s="481">
        <f t="shared" si="57"/>
        <v>733333.33333333337</v>
      </c>
      <c r="H132" s="468">
        <f t="shared" si="58"/>
        <v>69.523809523809533</v>
      </c>
      <c r="I132" s="467" t="str">
        <f t="shared" si="59"/>
        <v>NC-Hazard</v>
      </c>
      <c r="J132" s="468" t="str">
        <f t="shared" si="60"/>
        <v>--</v>
      </c>
      <c r="K132" s="466">
        <f t="shared" si="61"/>
        <v>2.0857142857142859</v>
      </c>
      <c r="L132" s="612" t="str">
        <f t="shared" si="62"/>
        <v>--</v>
      </c>
      <c r="M132" s="467">
        <f t="shared" si="63"/>
        <v>8.76</v>
      </c>
      <c r="N132" s="481">
        <f t="shared" si="64"/>
        <v>22000</v>
      </c>
      <c r="O132" s="468">
        <f t="shared" si="65"/>
        <v>2.0857142857142859</v>
      </c>
      <c r="P132" s="469" t="str">
        <f t="shared" si="66"/>
        <v>NC-Hazard</v>
      </c>
    </row>
    <row r="133" spans="1:16" s="448" customFormat="1" ht="30" customHeight="1">
      <c r="A133" s="893" t="s">
        <v>327</v>
      </c>
      <c r="B133" s="460" t="s">
        <v>328</v>
      </c>
      <c r="C133" s="461" t="str">
        <f t="shared" si="53"/>
        <v>--</v>
      </c>
      <c r="D133" s="466">
        <f t="shared" si="54"/>
        <v>34761.904761904763</v>
      </c>
      <c r="E133" s="612" t="str">
        <f t="shared" si="55"/>
        <v>--</v>
      </c>
      <c r="F133" s="463">
        <f t="shared" si="56"/>
        <v>146000</v>
      </c>
      <c r="G133" s="481">
        <f t="shared" si="57"/>
        <v>2170900</v>
      </c>
      <c r="H133" s="468">
        <f t="shared" si="58"/>
        <v>34761.904761904763</v>
      </c>
      <c r="I133" s="467" t="str">
        <f t="shared" si="59"/>
        <v>NC-Hazard</v>
      </c>
      <c r="J133" s="468" t="str">
        <f t="shared" si="60"/>
        <v>--</v>
      </c>
      <c r="K133" s="466">
        <f t="shared" si="61"/>
        <v>1042.8571428571429</v>
      </c>
      <c r="L133" s="612" t="str">
        <f t="shared" si="62"/>
        <v>--</v>
      </c>
      <c r="M133" s="467">
        <f t="shared" si="63"/>
        <v>4380</v>
      </c>
      <c r="N133" s="481">
        <f t="shared" si="64"/>
        <v>65127</v>
      </c>
      <c r="O133" s="468">
        <f t="shared" si="65"/>
        <v>1042.8571428571429</v>
      </c>
      <c r="P133" s="469" t="str">
        <f t="shared" si="66"/>
        <v>NC-Hazard</v>
      </c>
    </row>
    <row r="134" spans="1:16" s="448" customFormat="1" ht="30" customHeight="1">
      <c r="A134" s="893" t="s">
        <v>329</v>
      </c>
      <c r="B134" s="460" t="s">
        <v>330</v>
      </c>
      <c r="C134" s="461">
        <f t="shared" si="53"/>
        <v>5.8493589743589736</v>
      </c>
      <c r="D134" s="466">
        <f t="shared" si="54"/>
        <v>6.9523809523809526</v>
      </c>
      <c r="E134" s="612">
        <f t="shared" si="55"/>
        <v>25.549999999999997</v>
      </c>
      <c r="F134" s="463">
        <f t="shared" si="56"/>
        <v>29.199999999999996</v>
      </c>
      <c r="G134" s="481" t="str">
        <f t="shared" si="57"/>
        <v>--</v>
      </c>
      <c r="H134" s="468">
        <f t="shared" si="58"/>
        <v>5.8493589743589736</v>
      </c>
      <c r="I134" s="467" t="str">
        <f t="shared" si="59"/>
        <v>Canc-Risk</v>
      </c>
      <c r="J134" s="468">
        <f t="shared" si="60"/>
        <v>0.17548076923076919</v>
      </c>
      <c r="K134" s="466">
        <f t="shared" si="61"/>
        <v>0.20857142857142857</v>
      </c>
      <c r="L134" s="612">
        <f t="shared" si="62"/>
        <v>0.76649999999999985</v>
      </c>
      <c r="M134" s="467">
        <f t="shared" si="63"/>
        <v>0.87599999999999989</v>
      </c>
      <c r="N134" s="481" t="str">
        <f t="shared" si="64"/>
        <v>--</v>
      </c>
      <c r="O134" s="468">
        <f t="shared" si="65"/>
        <v>0.17548076923076919</v>
      </c>
      <c r="P134" s="469" t="str">
        <f t="shared" si="66"/>
        <v>Canc-Risk</v>
      </c>
    </row>
    <row r="135" spans="1:16" s="448" customFormat="1" ht="30" customHeight="1">
      <c r="A135" s="893" t="s">
        <v>331</v>
      </c>
      <c r="B135" s="460" t="s">
        <v>332</v>
      </c>
      <c r="C135" s="461">
        <f t="shared" si="53"/>
        <v>15.943905409395809</v>
      </c>
      <c r="D135" s="466">
        <f t="shared" si="54"/>
        <v>69.523809523809533</v>
      </c>
      <c r="E135" s="612">
        <f t="shared" si="55"/>
        <v>99.707317073170714</v>
      </c>
      <c r="F135" s="463">
        <f t="shared" si="56"/>
        <v>292</v>
      </c>
      <c r="G135" s="481">
        <f t="shared" si="57"/>
        <v>45333333.333333336</v>
      </c>
      <c r="H135" s="468">
        <f t="shared" si="58"/>
        <v>15.943905409395809</v>
      </c>
      <c r="I135" s="467" t="str">
        <f t="shared" si="59"/>
        <v>Canc-Risk</v>
      </c>
      <c r="J135" s="468">
        <f t="shared" si="60"/>
        <v>0.47831716228187426</v>
      </c>
      <c r="K135" s="466">
        <f t="shared" si="61"/>
        <v>2.0857142857142859</v>
      </c>
      <c r="L135" s="612">
        <f t="shared" si="62"/>
        <v>2.9912195121951215</v>
      </c>
      <c r="M135" s="467">
        <f t="shared" si="63"/>
        <v>8.76</v>
      </c>
      <c r="N135" s="481">
        <f t="shared" si="64"/>
        <v>1360000</v>
      </c>
      <c r="O135" s="468">
        <f t="shared" si="65"/>
        <v>0.47831716228187426</v>
      </c>
      <c r="P135" s="469" t="str">
        <f t="shared" si="66"/>
        <v>Canc-Risk</v>
      </c>
    </row>
    <row r="136" spans="1:16" s="448" customFormat="1" ht="30" customHeight="1">
      <c r="A136" s="893" t="s">
        <v>333</v>
      </c>
      <c r="B136" s="460" t="s">
        <v>334</v>
      </c>
      <c r="C136" s="461" t="str">
        <f t="shared" si="53"/>
        <v>--</v>
      </c>
      <c r="D136" s="466" t="str">
        <f t="shared" si="54"/>
        <v>--</v>
      </c>
      <c r="E136" s="612" t="str">
        <f t="shared" si="55"/>
        <v>--</v>
      </c>
      <c r="F136" s="463" t="str">
        <f t="shared" si="56"/>
        <v>--</v>
      </c>
      <c r="G136" s="481" t="str">
        <f t="shared" si="57"/>
        <v>--</v>
      </c>
      <c r="H136" s="468" t="str">
        <f t="shared" si="58"/>
        <v>--</v>
      </c>
      <c r="I136" s="467" t="str">
        <f t="shared" si="59"/>
        <v>--</v>
      </c>
      <c r="J136" s="468" t="str">
        <f t="shared" si="60"/>
        <v>--</v>
      </c>
      <c r="K136" s="466" t="str">
        <f t="shared" si="61"/>
        <v>--</v>
      </c>
      <c r="L136" s="612" t="str">
        <f t="shared" si="62"/>
        <v>--</v>
      </c>
      <c r="M136" s="467" t="str">
        <f t="shared" si="63"/>
        <v>--</v>
      </c>
      <c r="N136" s="481" t="str">
        <f t="shared" si="64"/>
        <v>--</v>
      </c>
      <c r="O136" s="468" t="str">
        <f t="shared" si="65"/>
        <v>--</v>
      </c>
      <c r="P136" s="469" t="str">
        <f t="shared" si="66"/>
        <v>--</v>
      </c>
    </row>
    <row r="137" spans="1:16" s="448" customFormat="1" ht="30" customHeight="1">
      <c r="A137" s="893" t="s">
        <v>335</v>
      </c>
      <c r="B137" s="460" t="s">
        <v>336</v>
      </c>
      <c r="C137" s="461" t="str">
        <f t="shared" si="53"/>
        <v>--</v>
      </c>
      <c r="D137" s="466" t="str">
        <f t="shared" si="54"/>
        <v>--</v>
      </c>
      <c r="E137" s="612" t="str">
        <f t="shared" si="55"/>
        <v>--</v>
      </c>
      <c r="F137" s="463" t="str">
        <f t="shared" si="56"/>
        <v>--</v>
      </c>
      <c r="G137" s="481">
        <f t="shared" si="57"/>
        <v>10</v>
      </c>
      <c r="H137" s="468">
        <f t="shared" si="58"/>
        <v>10</v>
      </c>
      <c r="I137" s="467" t="str">
        <f t="shared" si="59"/>
        <v>Odor/Nuis</v>
      </c>
      <c r="J137" s="468" t="str">
        <f t="shared" si="60"/>
        <v>--</v>
      </c>
      <c r="K137" s="466" t="str">
        <f t="shared" si="61"/>
        <v>--</v>
      </c>
      <c r="L137" s="612" t="str">
        <f t="shared" si="62"/>
        <v>--</v>
      </c>
      <c r="M137" s="467" t="str">
        <f t="shared" si="63"/>
        <v>--</v>
      </c>
      <c r="N137" s="481">
        <f t="shared" si="64"/>
        <v>0.3</v>
      </c>
      <c r="O137" s="468">
        <f t="shared" si="65"/>
        <v>0.3</v>
      </c>
      <c r="P137" s="469" t="str">
        <f t="shared" si="66"/>
        <v>Nuis/Odor</v>
      </c>
    </row>
    <row r="138" spans="1:16" s="448" customFormat="1" ht="30" customHeight="1">
      <c r="A138" s="893" t="s">
        <v>337</v>
      </c>
      <c r="B138" s="460" t="s">
        <v>338</v>
      </c>
      <c r="C138" s="461" t="str">
        <f t="shared" si="53"/>
        <v>--</v>
      </c>
      <c r="D138" s="466">
        <f t="shared" si="54"/>
        <v>10.428571428571429</v>
      </c>
      <c r="E138" s="612" t="str">
        <f t="shared" si="55"/>
        <v>--</v>
      </c>
      <c r="F138" s="463">
        <f t="shared" si="56"/>
        <v>43.8</v>
      </c>
      <c r="G138" s="481" t="str">
        <f t="shared" si="57"/>
        <v>--</v>
      </c>
      <c r="H138" s="468">
        <f t="shared" si="58"/>
        <v>10.428571428571429</v>
      </c>
      <c r="I138" s="467" t="str">
        <f t="shared" si="59"/>
        <v>NC-Hazard</v>
      </c>
      <c r="J138" s="468" t="str">
        <f t="shared" si="60"/>
        <v>--</v>
      </c>
      <c r="K138" s="466">
        <f t="shared" si="61"/>
        <v>0.31285714285714283</v>
      </c>
      <c r="L138" s="612" t="str">
        <f t="shared" si="62"/>
        <v>--</v>
      </c>
      <c r="M138" s="467">
        <f t="shared" si="63"/>
        <v>1.3139999999999998</v>
      </c>
      <c r="N138" s="481" t="str">
        <f t="shared" si="64"/>
        <v>--</v>
      </c>
      <c r="O138" s="468">
        <f t="shared" si="65"/>
        <v>0.31285714285714283</v>
      </c>
      <c r="P138" s="469" t="str">
        <f t="shared" si="66"/>
        <v>NC-Hazard</v>
      </c>
    </row>
    <row r="139" spans="1:16" s="448" customFormat="1" ht="30" customHeight="1">
      <c r="A139" s="893" t="s">
        <v>339</v>
      </c>
      <c r="B139" s="460" t="s">
        <v>340</v>
      </c>
      <c r="C139" s="461" t="str">
        <f t="shared" si="53"/>
        <v>--</v>
      </c>
      <c r="D139" s="466" t="str">
        <f t="shared" si="54"/>
        <v>--</v>
      </c>
      <c r="E139" s="612" t="str">
        <f t="shared" si="55"/>
        <v>--</v>
      </c>
      <c r="F139" s="463" t="str">
        <f t="shared" si="56"/>
        <v>--</v>
      </c>
      <c r="G139" s="481" t="str">
        <f t="shared" si="57"/>
        <v>--</v>
      </c>
      <c r="H139" s="468" t="str">
        <f t="shared" si="58"/>
        <v>--</v>
      </c>
      <c r="I139" s="467" t="str">
        <f t="shared" si="59"/>
        <v>--</v>
      </c>
      <c r="J139" s="468" t="str">
        <f t="shared" si="60"/>
        <v>--</v>
      </c>
      <c r="K139" s="466" t="str">
        <f t="shared" si="61"/>
        <v>--</v>
      </c>
      <c r="L139" s="612" t="str">
        <f t="shared" si="62"/>
        <v>--</v>
      </c>
      <c r="M139" s="467" t="str">
        <f t="shared" si="63"/>
        <v>--</v>
      </c>
      <c r="N139" s="481" t="str">
        <f t="shared" si="64"/>
        <v>--</v>
      </c>
      <c r="O139" s="468" t="str">
        <f t="shared" si="65"/>
        <v>--</v>
      </c>
      <c r="P139" s="469" t="str">
        <f t="shared" si="66"/>
        <v>--</v>
      </c>
    </row>
    <row r="140" spans="1:16" s="448" customFormat="1" ht="30" customHeight="1">
      <c r="A140" s="893" t="s">
        <v>341</v>
      </c>
      <c r="B140" s="460" t="s">
        <v>342</v>
      </c>
      <c r="C140" s="461">
        <f t="shared" si="53"/>
        <v>0.31511698178364844</v>
      </c>
      <c r="D140" s="466">
        <f t="shared" si="54"/>
        <v>1772.8571428571429</v>
      </c>
      <c r="E140" s="612">
        <f t="shared" si="55"/>
        <v>5.2410256410256402</v>
      </c>
      <c r="F140" s="463">
        <f t="shared" si="56"/>
        <v>7446</v>
      </c>
      <c r="G140" s="481">
        <f t="shared" si="57"/>
        <v>25708133.333333336</v>
      </c>
      <c r="H140" s="468">
        <f t="shared" si="58"/>
        <v>0.31511698178364844</v>
      </c>
      <c r="I140" s="467" t="str">
        <f t="shared" si="59"/>
        <v>Canc-Risk</v>
      </c>
      <c r="J140" s="468">
        <f t="shared" si="60"/>
        <v>9.4535094535094528E-3</v>
      </c>
      <c r="K140" s="466">
        <f t="shared" si="61"/>
        <v>53.185714285714283</v>
      </c>
      <c r="L140" s="612">
        <f t="shared" si="62"/>
        <v>0.1572307692307692</v>
      </c>
      <c r="M140" s="467">
        <f t="shared" si="63"/>
        <v>223.38</v>
      </c>
      <c r="N140" s="481">
        <f t="shared" si="64"/>
        <v>771244</v>
      </c>
      <c r="O140" s="468">
        <f t="shared" si="65"/>
        <v>9.4535094535094528E-3</v>
      </c>
      <c r="P140" s="469" t="str">
        <f t="shared" si="66"/>
        <v>Canc-Risk</v>
      </c>
    </row>
    <row r="141" spans="1:16" s="448" customFormat="1" ht="30" customHeight="1">
      <c r="A141" s="893" t="s">
        <v>343</v>
      </c>
      <c r="B141" s="460" t="s">
        <v>344</v>
      </c>
      <c r="C141" s="461" t="str">
        <f t="shared" si="53"/>
        <v>--</v>
      </c>
      <c r="D141" s="466">
        <f t="shared" si="54"/>
        <v>3476.1904761904766</v>
      </c>
      <c r="E141" s="612" t="str">
        <f t="shared" si="55"/>
        <v>--</v>
      </c>
      <c r="F141" s="463">
        <f t="shared" si="56"/>
        <v>14599.999999999998</v>
      </c>
      <c r="G141" s="481">
        <f t="shared" si="57"/>
        <v>14700</v>
      </c>
      <c r="H141" s="468">
        <f t="shared" si="58"/>
        <v>3476.1904761904766</v>
      </c>
      <c r="I141" s="467" t="str">
        <f t="shared" si="59"/>
        <v>NC-Hazard</v>
      </c>
      <c r="J141" s="468" t="str">
        <f t="shared" si="60"/>
        <v>--</v>
      </c>
      <c r="K141" s="466">
        <f t="shared" si="61"/>
        <v>104.28571428571429</v>
      </c>
      <c r="L141" s="612" t="str">
        <f t="shared" si="62"/>
        <v>--</v>
      </c>
      <c r="M141" s="467">
        <f t="shared" si="63"/>
        <v>437.99999999999994</v>
      </c>
      <c r="N141" s="481">
        <f t="shared" si="64"/>
        <v>441</v>
      </c>
      <c r="O141" s="468">
        <f t="shared" si="65"/>
        <v>104.28571428571429</v>
      </c>
      <c r="P141" s="469" t="str">
        <f t="shared" si="66"/>
        <v>NC-Hazard</v>
      </c>
    </row>
    <row r="142" spans="1:16" s="448" customFormat="1" ht="30" customHeight="1" thickBot="1">
      <c r="A142" s="1401" t="s">
        <v>345</v>
      </c>
      <c r="B142" s="1612" t="s">
        <v>346</v>
      </c>
      <c r="C142" s="1613" t="str">
        <f t="shared" si="53"/>
        <v>--</v>
      </c>
      <c r="D142" s="1614" t="str">
        <f t="shared" si="54"/>
        <v>--</v>
      </c>
      <c r="E142" s="1615" t="str">
        <f t="shared" si="55"/>
        <v>--</v>
      </c>
      <c r="F142" s="1616" t="str">
        <f t="shared" si="56"/>
        <v>--</v>
      </c>
      <c r="G142" s="1617" t="str">
        <f t="shared" si="57"/>
        <v>--</v>
      </c>
      <c r="H142" s="1618" t="str">
        <f t="shared" si="58"/>
        <v>--</v>
      </c>
      <c r="I142" s="1619" t="str">
        <f t="shared" si="59"/>
        <v>--</v>
      </c>
      <c r="J142" s="1618" t="str">
        <f t="shared" si="60"/>
        <v>--</v>
      </c>
      <c r="K142" s="1614" t="str">
        <f t="shared" si="61"/>
        <v>--</v>
      </c>
      <c r="L142" s="1615" t="str">
        <f t="shared" si="62"/>
        <v>--</v>
      </c>
      <c r="M142" s="1619" t="str">
        <f t="shared" si="63"/>
        <v>--</v>
      </c>
      <c r="N142" s="1617" t="str">
        <f t="shared" si="64"/>
        <v>--</v>
      </c>
      <c r="O142" s="1618" t="str">
        <f t="shared" si="65"/>
        <v>--</v>
      </c>
      <c r="P142" s="1620" t="str">
        <f t="shared" si="66"/>
        <v>--</v>
      </c>
    </row>
    <row r="143" spans="1:16" s="448" customFormat="1" ht="30" customHeight="1" thickTop="1">
      <c r="A143" s="1623" t="s">
        <v>347</v>
      </c>
      <c r="B143" s="1611"/>
      <c r="C143" s="456"/>
      <c r="D143" s="456"/>
      <c r="E143" s="456"/>
      <c r="F143" s="456"/>
      <c r="G143" s="456"/>
      <c r="H143" s="456"/>
      <c r="I143" s="1621"/>
      <c r="J143" s="1621"/>
      <c r="K143" s="456"/>
      <c r="L143" s="456"/>
      <c r="M143" s="456"/>
      <c r="N143" s="456"/>
      <c r="O143" s="456"/>
      <c r="P143" s="1622"/>
    </row>
    <row r="144" spans="1:16" s="448" customFormat="1" ht="87.75" customHeight="1">
      <c r="A144" s="2240" t="s">
        <v>469</v>
      </c>
      <c r="B144" s="2241"/>
      <c r="C144" s="2241"/>
      <c r="D144" s="2241"/>
      <c r="E144" s="2241"/>
      <c r="F144" s="2241"/>
      <c r="G144" s="2241"/>
      <c r="H144" s="2241"/>
      <c r="I144" s="2241"/>
      <c r="J144" s="2241"/>
      <c r="K144" s="2241"/>
      <c r="L144" s="2241"/>
      <c r="M144" s="2241"/>
      <c r="N144" s="2241"/>
      <c r="O144" s="2241"/>
      <c r="P144" s="2242"/>
    </row>
    <row r="145" spans="1:16" ht="24.75" customHeight="1">
      <c r="A145" s="1123" t="s">
        <v>348</v>
      </c>
      <c r="P145" s="488"/>
    </row>
    <row r="146" spans="1:16" ht="23.25">
      <c r="A146" s="482" t="s">
        <v>470</v>
      </c>
      <c r="P146" s="488"/>
    </row>
    <row r="147" spans="1:16" ht="24.75" customHeight="1">
      <c r="A147" s="1124" t="s">
        <v>349</v>
      </c>
      <c r="P147" s="488"/>
    </row>
    <row r="148" spans="1:16" ht="24.75" customHeight="1">
      <c r="A148" s="1124" t="s">
        <v>350</v>
      </c>
      <c r="P148" s="488"/>
    </row>
    <row r="149" spans="1:16" ht="24.75" customHeight="1">
      <c r="A149" s="1124" t="s">
        <v>351</v>
      </c>
      <c r="P149" s="488"/>
    </row>
    <row r="150" spans="1:16" ht="24.75" customHeight="1">
      <c r="A150" s="1124" t="s">
        <v>397</v>
      </c>
      <c r="P150" s="488"/>
    </row>
    <row r="151" spans="1:16" ht="23.25">
      <c r="A151" s="482" t="s">
        <v>471</v>
      </c>
      <c r="P151" s="488"/>
    </row>
    <row r="152" spans="1:16" ht="24.75" customHeight="1">
      <c r="A152" s="1124" t="s">
        <v>400</v>
      </c>
      <c r="P152" s="488"/>
    </row>
    <row r="153" spans="1:16" ht="23.25">
      <c r="A153" s="482" t="s">
        <v>353</v>
      </c>
      <c r="P153" s="488"/>
    </row>
    <row r="154" spans="1:16" ht="23.25">
      <c r="A154" s="1124" t="s">
        <v>354</v>
      </c>
      <c r="P154" s="488"/>
    </row>
    <row r="155" spans="1:16" ht="24" thickBot="1">
      <c r="A155" s="1128" t="s">
        <v>355</v>
      </c>
      <c r="B155" s="396"/>
      <c r="C155" s="396"/>
      <c r="D155" s="396"/>
      <c r="E155" s="396"/>
      <c r="F155" s="396"/>
      <c r="G155" s="396"/>
      <c r="H155" s="396"/>
      <c r="I155" s="396"/>
      <c r="J155" s="396"/>
      <c r="K155" s="396"/>
      <c r="L155" s="396"/>
      <c r="M155" s="396"/>
      <c r="N155" s="396"/>
      <c r="O155" s="396"/>
      <c r="P155" s="398"/>
    </row>
    <row r="156" spans="1:16" ht="18.75" thickTop="1"/>
  </sheetData>
  <sheetProtection algorithmName="SHA-512" hashValue="Vh27P0yAayuuq55DzKcs8sZqwPsAmEiBPolqy55xTpWT/rwJR6tZJYdJ36+trl00bX7H/sxsrn/5sRRpnAxPyQ==" saltValue="qugr79HGpO6K9/RvN754xw==" spinCount="100000" sheet="1" sort="0" autoFilter="0"/>
  <autoFilter ref="A7:B149" xr:uid="{00000000-0009-0000-0000-000007000000}"/>
  <mergeCells count="19">
    <mergeCell ref="C5:F5"/>
    <mergeCell ref="C6:D6"/>
    <mergeCell ref="E6:F6"/>
    <mergeCell ref="A144:P144"/>
    <mergeCell ref="J6:K6"/>
    <mergeCell ref="L6:M6"/>
    <mergeCell ref="A3:B3"/>
    <mergeCell ref="A4:A7"/>
    <mergeCell ref="B4:B7"/>
    <mergeCell ref="C3:P3"/>
    <mergeCell ref="C4:I4"/>
    <mergeCell ref="J4:P4"/>
    <mergeCell ref="H5:H7"/>
    <mergeCell ref="I5:I7"/>
    <mergeCell ref="O5:O7"/>
    <mergeCell ref="P5:P7"/>
    <mergeCell ref="N5:N7"/>
    <mergeCell ref="J5:M5"/>
    <mergeCell ref="G5:G7"/>
  </mergeCells>
  <pageMargins left="0.7" right="0.7" top="0.75" bottom="0.75" header="0.3" footer="0.3"/>
  <pageSetup scale="36" fitToHeight="0" orientation="landscape" r:id="rId1"/>
  <headerFooter>
    <oddFooter>&amp;C&amp;"Arial,Bold"&amp;18&amp;P of &amp;N&amp;R&amp;"Arial,Bold"&amp;18&amp;A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pageSetUpPr fitToPage="1"/>
  </sheetPr>
  <dimension ref="B2:X17"/>
  <sheetViews>
    <sheetView showGridLines="0" zoomScale="60" zoomScaleNormal="60" workbookViewId="0">
      <selection activeCell="B3" sqref="B3"/>
    </sheetView>
  </sheetViews>
  <sheetFormatPr defaultRowHeight="12.75"/>
  <cols>
    <col min="1" max="1" width="3" customWidth="1"/>
    <col min="2" max="2" width="39.140625" customWidth="1"/>
    <col min="3" max="4" width="25.7109375" customWidth="1"/>
    <col min="5" max="15" width="25.7109375" style="99" customWidth="1"/>
    <col min="16" max="24" width="9.140625" style="99"/>
  </cols>
  <sheetData>
    <row r="2" spans="2:24" ht="13.5" thickBot="1"/>
    <row r="3" spans="2:24" ht="31.5" customHeight="1" thickTop="1" thickBot="1">
      <c r="B3" s="1260" t="str">
        <f>Update</f>
        <v>2025 (Rev 4)</v>
      </c>
      <c r="C3" s="2288" t="s">
        <v>4282</v>
      </c>
      <c r="D3" s="2289"/>
      <c r="E3" s="2289"/>
      <c r="F3" s="2289"/>
      <c r="G3" s="2289"/>
      <c r="H3" s="2289"/>
      <c r="I3" s="2289"/>
      <c r="J3" s="2289"/>
      <c r="K3" s="2289"/>
      <c r="L3" s="2289"/>
      <c r="M3" s="2289"/>
      <c r="N3" s="2289"/>
      <c r="O3" s="2290"/>
    </row>
    <row r="4" spans="2:24" s="448" customFormat="1" ht="93" customHeight="1">
      <c r="B4" s="2305" t="s">
        <v>79</v>
      </c>
      <c r="C4" s="2294" t="s">
        <v>4275</v>
      </c>
      <c r="D4" s="2296" t="s">
        <v>472</v>
      </c>
      <c r="E4" s="2282" t="s">
        <v>473</v>
      </c>
      <c r="F4" s="2283"/>
      <c r="G4" s="2280" t="s">
        <v>474</v>
      </c>
      <c r="H4" s="2281"/>
      <c r="I4" s="2303" t="s">
        <v>4276</v>
      </c>
      <c r="J4" s="2284" t="s">
        <v>475</v>
      </c>
      <c r="K4" s="2285"/>
      <c r="L4" s="2278" t="s">
        <v>472</v>
      </c>
      <c r="M4" s="2286" t="s">
        <v>476</v>
      </c>
      <c r="N4" s="2287"/>
      <c r="O4" s="2276" t="s">
        <v>477</v>
      </c>
      <c r="P4" s="1077"/>
      <c r="Q4" s="1077"/>
      <c r="R4" s="1077"/>
      <c r="S4" s="1077"/>
      <c r="T4" s="1077"/>
      <c r="U4" s="1077"/>
      <c r="V4" s="1077"/>
      <c r="W4" s="1077"/>
      <c r="X4" s="1077"/>
    </row>
    <row r="5" spans="2:24" s="855" customFormat="1" ht="30" customHeight="1" thickBot="1">
      <c r="B5" s="2306"/>
      <c r="C5" s="2295"/>
      <c r="D5" s="2297"/>
      <c r="E5" s="1419" t="s">
        <v>380</v>
      </c>
      <c r="F5" s="1417" t="s">
        <v>478</v>
      </c>
      <c r="G5" s="1419" t="s">
        <v>380</v>
      </c>
      <c r="H5" s="1417" t="s">
        <v>478</v>
      </c>
      <c r="I5" s="2304"/>
      <c r="J5" s="1415" t="s">
        <v>380</v>
      </c>
      <c r="K5" s="1416" t="s">
        <v>478</v>
      </c>
      <c r="L5" s="2279"/>
      <c r="M5" s="1413" t="s">
        <v>380</v>
      </c>
      <c r="N5" s="1414" t="s">
        <v>478</v>
      </c>
      <c r="O5" s="2277"/>
      <c r="P5" s="854"/>
      <c r="Q5" s="854"/>
      <c r="R5" s="854"/>
      <c r="S5" s="854"/>
      <c r="T5" s="854"/>
      <c r="U5" s="854"/>
      <c r="V5" s="854"/>
      <c r="W5" s="854"/>
      <c r="X5" s="854"/>
    </row>
    <row r="6" spans="2:24" s="99" customFormat="1" ht="50.1" customHeight="1">
      <c r="B6" s="1458" t="s">
        <v>331</v>
      </c>
      <c r="C6" s="1459">
        <v>10</v>
      </c>
      <c r="D6" s="2298" t="s">
        <v>479</v>
      </c>
      <c r="E6" s="1460">
        <f>J6/(0.4*0.001*1000)</f>
        <v>5</v>
      </c>
      <c r="F6" s="1461">
        <f>K6/(0.4*0.001*1000)</f>
        <v>20</v>
      </c>
      <c r="G6" s="1462">
        <f>J6/0.03</f>
        <v>66.666666666666671</v>
      </c>
      <c r="H6" s="1462">
        <f>K6/0.03</f>
        <v>266.66666666666669</v>
      </c>
      <c r="I6" s="2307" t="s">
        <v>480</v>
      </c>
      <c r="J6" s="1463">
        <v>2</v>
      </c>
      <c r="K6" s="1464">
        <v>8</v>
      </c>
      <c r="L6" s="2309" t="s">
        <v>481</v>
      </c>
      <c r="M6" s="1465">
        <v>6</v>
      </c>
      <c r="N6" s="1466">
        <v>24</v>
      </c>
      <c r="O6" s="2311" t="s">
        <v>482</v>
      </c>
    </row>
    <row r="7" spans="2:24" s="99" customFormat="1" ht="50.1" customHeight="1" thickBot="1">
      <c r="B7" s="1457" t="s">
        <v>213</v>
      </c>
      <c r="C7" s="1806" t="s">
        <v>115</v>
      </c>
      <c r="D7" s="2299"/>
      <c r="E7" s="2275">
        <f>J7/(0.35*0.001*1000)</f>
        <v>1.7142857142857144</v>
      </c>
      <c r="F7" s="2274"/>
      <c r="G7" s="2273">
        <f>J7/0.03</f>
        <v>20</v>
      </c>
      <c r="H7" s="2274"/>
      <c r="I7" s="2308"/>
      <c r="J7" s="2269">
        <v>0.6</v>
      </c>
      <c r="K7" s="2270"/>
      <c r="L7" s="2310"/>
      <c r="M7" s="2271">
        <v>10</v>
      </c>
      <c r="N7" s="2272"/>
      <c r="O7" s="2312"/>
    </row>
    <row r="8" spans="2:24" ht="24" thickTop="1">
      <c r="B8" s="937" t="s">
        <v>347</v>
      </c>
      <c r="C8" s="1420"/>
      <c r="D8" s="1420"/>
      <c r="E8" s="938"/>
      <c r="F8" s="938"/>
      <c r="G8" s="938"/>
      <c r="H8" s="938"/>
      <c r="I8" s="938"/>
      <c r="J8" s="938"/>
      <c r="K8" s="938"/>
      <c r="L8" s="938"/>
      <c r="M8" s="938"/>
      <c r="N8" s="938"/>
      <c r="O8" s="939"/>
    </row>
    <row r="9" spans="2:24" ht="18">
      <c r="B9" s="1076" t="s">
        <v>4298</v>
      </c>
      <c r="C9" s="102"/>
      <c r="D9" s="102"/>
      <c r="E9" s="1418"/>
      <c r="F9" s="1418"/>
      <c r="G9" s="1418"/>
      <c r="H9" s="1418"/>
      <c r="I9" s="1418"/>
      <c r="J9" s="1418"/>
      <c r="K9" s="1418"/>
      <c r="L9" s="1418"/>
      <c r="M9" s="1418"/>
      <c r="N9" s="1418"/>
      <c r="O9" s="1039"/>
    </row>
    <row r="10" spans="2:24" ht="18" customHeight="1">
      <c r="B10" s="2300" t="s">
        <v>483</v>
      </c>
      <c r="C10" s="2301"/>
      <c r="D10" s="2301"/>
      <c r="E10" s="2301"/>
      <c r="F10" s="2301"/>
      <c r="G10" s="2301"/>
      <c r="H10" s="2301"/>
      <c r="I10" s="2301"/>
      <c r="J10" s="2301"/>
      <c r="K10" s="2301"/>
      <c r="L10" s="2301"/>
      <c r="M10" s="2301"/>
      <c r="N10" s="2301"/>
      <c r="O10" s="2302"/>
    </row>
    <row r="11" spans="2:24" ht="18" customHeight="1">
      <c r="B11" s="2300" t="s">
        <v>4268</v>
      </c>
      <c r="C11" s="2301"/>
      <c r="D11" s="2301"/>
      <c r="E11" s="2301"/>
      <c r="F11" s="2301"/>
      <c r="G11" s="2301"/>
      <c r="H11" s="2301"/>
      <c r="I11" s="2301"/>
      <c r="J11" s="2301"/>
      <c r="K11" s="2301"/>
      <c r="L11" s="2301"/>
      <c r="M11" s="2301"/>
      <c r="N11" s="2301"/>
      <c r="O11" s="2302"/>
    </row>
    <row r="12" spans="2:24" ht="36.75" customHeight="1">
      <c r="B12" s="2300" t="s">
        <v>4300</v>
      </c>
      <c r="C12" s="2301"/>
      <c r="D12" s="2301"/>
      <c r="E12" s="2301"/>
      <c r="F12" s="2301"/>
      <c r="G12" s="2301"/>
      <c r="H12" s="2301"/>
      <c r="I12" s="2301"/>
      <c r="J12" s="2301"/>
      <c r="K12" s="2301"/>
      <c r="L12" s="2301"/>
      <c r="M12" s="2301"/>
      <c r="N12" s="2301"/>
      <c r="O12" s="2302"/>
    </row>
    <row r="13" spans="2:24" ht="18" customHeight="1">
      <c r="B13" s="2300" t="s">
        <v>4299</v>
      </c>
      <c r="C13" s="2301"/>
      <c r="D13" s="2301"/>
      <c r="E13" s="2301"/>
      <c r="F13" s="2301"/>
      <c r="G13" s="2301"/>
      <c r="H13" s="2301"/>
      <c r="I13" s="2301"/>
      <c r="J13" s="2301"/>
      <c r="K13" s="2301"/>
      <c r="L13" s="2301"/>
      <c r="M13" s="2301"/>
      <c r="N13" s="1963"/>
      <c r="O13" s="1964"/>
    </row>
    <row r="14" spans="2:24" ht="18" customHeight="1">
      <c r="B14" s="2300" t="s">
        <v>4301</v>
      </c>
      <c r="C14" s="2301"/>
      <c r="D14" s="2301"/>
      <c r="E14" s="2301"/>
      <c r="F14" s="2301"/>
      <c r="G14" s="2301"/>
      <c r="H14" s="2301"/>
      <c r="I14" s="2301"/>
      <c r="J14" s="2301"/>
      <c r="K14" s="2301"/>
      <c r="L14" s="2301"/>
      <c r="M14" s="2301"/>
      <c r="N14" s="2301"/>
      <c r="O14" s="2302"/>
    </row>
    <row r="15" spans="2:24" ht="18" customHeight="1">
      <c r="B15" s="2300" t="s">
        <v>4302</v>
      </c>
      <c r="C15" s="2301"/>
      <c r="D15" s="2301"/>
      <c r="E15" s="2301"/>
      <c r="F15" s="2301"/>
      <c r="G15" s="2301"/>
      <c r="H15" s="2301"/>
      <c r="I15" s="2301"/>
      <c r="J15" s="2301"/>
      <c r="K15" s="2301"/>
      <c r="L15" s="2301"/>
      <c r="M15" s="2301"/>
      <c r="N15" s="2301"/>
      <c r="O15" s="2302"/>
    </row>
    <row r="16" spans="2:24" ht="18.75" thickBot="1">
      <c r="B16" s="2291" t="s">
        <v>4303</v>
      </c>
      <c r="C16" s="2292"/>
      <c r="D16" s="2292"/>
      <c r="E16" s="2292"/>
      <c r="F16" s="2292"/>
      <c r="G16" s="2292"/>
      <c r="H16" s="2292"/>
      <c r="I16" s="2292"/>
      <c r="J16" s="2292"/>
      <c r="K16" s="2292"/>
      <c r="L16" s="2292"/>
      <c r="M16" s="2292"/>
      <c r="N16" s="2292"/>
      <c r="O16" s="2293"/>
    </row>
    <row r="17" ht="13.5" thickTop="1"/>
  </sheetData>
  <sheetProtection algorithmName="SHA-512" hashValue="GxBNEkOGDEyvgzy8H2Bdcoea3/M+/kNaFS4J26FJcLNNZuAeZVHCaBnaWCF/35a3JvXgrfeJtAfJOKF4Ej0DwQ==" saltValue="JBh9/4rplZgbbOX9bFrv5w==" spinCount="100000" sheet="1" objects="1" scenarios="1"/>
  <mergeCells count="26">
    <mergeCell ref="C3:O3"/>
    <mergeCell ref="B16:O16"/>
    <mergeCell ref="C4:C5"/>
    <mergeCell ref="D4:D5"/>
    <mergeCell ref="D6:D7"/>
    <mergeCell ref="B14:O14"/>
    <mergeCell ref="B15:O15"/>
    <mergeCell ref="B13:M13"/>
    <mergeCell ref="B11:O11"/>
    <mergeCell ref="B12:O12"/>
    <mergeCell ref="I4:I5"/>
    <mergeCell ref="B4:B5"/>
    <mergeCell ref="I6:I7"/>
    <mergeCell ref="L6:L7"/>
    <mergeCell ref="B10:O10"/>
    <mergeCell ref="O6:O7"/>
    <mergeCell ref="J7:K7"/>
    <mergeCell ref="M7:N7"/>
    <mergeCell ref="G7:H7"/>
    <mergeCell ref="E7:F7"/>
    <mergeCell ref="O4:O5"/>
    <mergeCell ref="L4:L5"/>
    <mergeCell ref="G4:H4"/>
    <mergeCell ref="E4:F4"/>
    <mergeCell ref="J4:K4"/>
    <mergeCell ref="M4:N4"/>
  </mergeCells>
  <pageMargins left="0.7" right="0.7" top="0.75" bottom="0.75" header="0.3" footer="0.3"/>
  <pageSetup scale="3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5" tint="-0.249977111117893"/>
    <pageSetUpPr autoPageBreaks="0" fitToPage="1"/>
  </sheetPr>
  <dimension ref="A1:AI224"/>
  <sheetViews>
    <sheetView showGridLines="0" topLeftCell="E1" zoomScale="90" zoomScaleNormal="90" zoomScaleSheetLayoutView="75" zoomScalePageLayoutView="75" workbookViewId="0">
      <selection activeCell="J6" sqref="J6:K6"/>
    </sheetView>
  </sheetViews>
  <sheetFormatPr defaultColWidth="9.140625" defaultRowHeight="12.75"/>
  <cols>
    <col min="1" max="1" width="44.42578125" style="55" hidden="1" customWidth="1"/>
    <col min="2" max="2" width="47.140625" style="55" hidden="1" customWidth="1"/>
    <col min="3" max="3" width="38.140625" style="55" hidden="1" customWidth="1"/>
    <col min="4" max="4" width="38.5703125" style="55" hidden="1" customWidth="1"/>
    <col min="5" max="5" width="1.5703125" style="55" customWidth="1"/>
    <col min="6" max="6" width="16.5703125" style="55" customWidth="1"/>
    <col min="7" max="7" width="10.5703125" style="55" customWidth="1"/>
    <col min="8" max="8" width="37.85546875" style="55" customWidth="1"/>
    <col min="9" max="9" width="1.5703125" style="55" customWidth="1"/>
    <col min="10" max="10" width="16.5703125" style="55" customWidth="1"/>
    <col min="11" max="11" width="24.5703125" style="55" customWidth="1"/>
    <col min="12" max="12" width="2.5703125" style="55" customWidth="1"/>
    <col min="13" max="13" width="16.5703125" style="55" customWidth="1"/>
    <col min="14" max="14" width="24.5703125" style="55" customWidth="1"/>
    <col min="15" max="15" width="2.5703125" style="55" customWidth="1"/>
    <col min="16" max="16" width="16.5703125" style="55" customWidth="1"/>
    <col min="17" max="17" width="24.5703125" style="55" customWidth="1"/>
    <col min="18" max="18" width="2.5703125" style="55" customWidth="1"/>
    <col min="19" max="19" width="16.5703125" style="55" customWidth="1"/>
    <col min="20" max="20" width="24.5703125" style="55" customWidth="1"/>
    <col min="21" max="21" width="2.5703125" style="12" customWidth="1"/>
    <col min="22" max="22" width="16.5703125" style="12" customWidth="1"/>
    <col min="23" max="23" width="24.5703125" style="12" customWidth="1"/>
    <col min="24" max="24" width="2.5703125" style="12" customWidth="1"/>
    <col min="25" max="25" width="18.5703125" style="12" customWidth="1"/>
    <col min="26" max="26" width="12.5703125" style="47" customWidth="1"/>
    <col min="27" max="27" width="15.28515625" style="46" customWidth="1"/>
    <col min="28" max="35" width="12.5703125" style="55" customWidth="1"/>
    <col min="36" max="36" width="9.140625" style="55" customWidth="1"/>
    <col min="37" max="16384" width="9.140625" style="55"/>
  </cols>
  <sheetData>
    <row r="1" spans="1:33" ht="13.5" thickBot="1"/>
    <row r="2" spans="1:33" s="42" customFormat="1" ht="23.45" customHeight="1" thickTop="1">
      <c r="F2" s="2340" t="str">
        <f>Update</f>
        <v>2025 (Rev 4)</v>
      </c>
      <c r="G2" s="2337"/>
      <c r="H2" s="2336" t="s">
        <v>484</v>
      </c>
      <c r="I2" s="2336"/>
      <c r="J2" s="2336"/>
      <c r="K2" s="2336"/>
      <c r="L2" s="2337"/>
      <c r="M2" s="821"/>
      <c r="N2" s="837"/>
      <c r="O2" s="838"/>
      <c r="P2" s="838"/>
      <c r="Q2" s="838"/>
      <c r="R2" s="838"/>
      <c r="S2" s="838"/>
      <c r="T2" s="838"/>
      <c r="U2" s="838"/>
      <c r="V2" s="838"/>
      <c r="W2" s="839"/>
      <c r="X2" s="823"/>
      <c r="Y2" s="823"/>
      <c r="Z2" s="12"/>
      <c r="AA2" s="47"/>
      <c r="AB2" s="46"/>
      <c r="AC2" s="46"/>
      <c r="AD2" s="46"/>
    </row>
    <row r="3" spans="1:33" s="42" customFormat="1" ht="21.75" customHeight="1" thickBot="1">
      <c r="F3" s="2341"/>
      <c r="G3" s="2339"/>
      <c r="H3" s="2338"/>
      <c r="I3" s="2338"/>
      <c r="J3" s="2338"/>
      <c r="K3" s="2338"/>
      <c r="L3" s="2339"/>
      <c r="M3" s="1109"/>
      <c r="N3" s="840"/>
      <c r="O3" s="841"/>
      <c r="P3" s="841"/>
      <c r="Q3" s="841"/>
      <c r="R3" s="841"/>
      <c r="S3" s="841"/>
      <c r="T3" s="841"/>
      <c r="U3" s="841"/>
      <c r="V3" s="841"/>
      <c r="W3" s="842"/>
      <c r="X3" s="823"/>
      <c r="Y3" s="823"/>
      <c r="Z3" s="1965"/>
      <c r="AA3" s="47"/>
      <c r="AB3" s="46"/>
      <c r="AC3" s="46"/>
      <c r="AD3" s="46"/>
    </row>
    <row r="4" spans="1:33" s="42" customFormat="1" ht="21.75" customHeight="1" thickTop="1" thickBot="1">
      <c r="F4" s="2333" t="s">
        <v>485</v>
      </c>
      <c r="G4" s="2334"/>
      <c r="H4" s="2334"/>
      <c r="I4" s="2334"/>
      <c r="J4" s="2334"/>
      <c r="K4" s="2334"/>
      <c r="L4" s="2335"/>
      <c r="M4" s="1110"/>
      <c r="N4" s="840"/>
      <c r="O4" s="841"/>
      <c r="P4" s="841"/>
      <c r="Q4" s="841"/>
      <c r="R4" s="841"/>
      <c r="S4" s="841"/>
      <c r="T4" s="841"/>
      <c r="U4" s="841"/>
      <c r="V4" s="841"/>
      <c r="W4" s="842"/>
      <c r="X4" s="823"/>
      <c r="Y4" s="823"/>
      <c r="Z4" s="1965"/>
      <c r="AA4" s="47"/>
      <c r="AB4" s="46"/>
      <c r="AC4" s="46"/>
      <c r="AD4" s="46"/>
    </row>
    <row r="5" spans="1:33" s="42" customFormat="1" ht="30.75" customHeight="1" thickTop="1" thickBot="1">
      <c r="F5" s="2349"/>
      <c r="G5" s="2350"/>
      <c r="H5" s="2313" t="s">
        <v>486</v>
      </c>
      <c r="I5" s="2313"/>
      <c r="J5" s="2313"/>
      <c r="K5" s="2313"/>
      <c r="L5" s="2314"/>
      <c r="M5" s="1108"/>
      <c r="N5" s="840"/>
      <c r="O5" s="841"/>
      <c r="P5" s="841"/>
      <c r="Q5" s="841"/>
      <c r="R5" s="841"/>
      <c r="S5" s="841"/>
      <c r="T5" s="841"/>
      <c r="U5" s="841"/>
      <c r="V5" s="841"/>
      <c r="W5" s="842"/>
      <c r="X5" s="822"/>
      <c r="Y5" s="824"/>
      <c r="Z5" s="532"/>
      <c r="AD5" s="46"/>
    </row>
    <row r="6" spans="1:33" s="42" customFormat="1" ht="24.95" customHeight="1" thickTop="1" thickBot="1">
      <c r="A6" s="477" t="s">
        <v>380</v>
      </c>
      <c r="B6" s="477" t="s">
        <v>487</v>
      </c>
      <c r="C6" s="477"/>
      <c r="D6" s="726"/>
      <c r="F6" s="2321" t="s">
        <v>488</v>
      </c>
      <c r="G6" s="2322"/>
      <c r="H6" s="2322"/>
      <c r="I6" s="511"/>
      <c r="J6" s="2343" t="s">
        <v>380</v>
      </c>
      <c r="K6" s="2344"/>
      <c r="L6" s="512"/>
      <c r="M6" s="825"/>
      <c r="N6" s="843"/>
      <c r="O6" s="844"/>
      <c r="P6" s="844"/>
      <c r="Q6" s="844"/>
      <c r="R6" s="844"/>
      <c r="S6" s="844"/>
      <c r="T6" s="844"/>
      <c r="U6" s="844"/>
      <c r="V6" s="844"/>
      <c r="W6" s="845"/>
      <c r="X6" s="822"/>
      <c r="Y6" s="826"/>
      <c r="Z6" s="533"/>
    </row>
    <row r="7" spans="1:33" s="61" customFormat="1" ht="20.100000000000001" customHeight="1" thickTop="1" thickBot="1">
      <c r="A7" s="720"/>
      <c r="B7" s="720"/>
      <c r="C7" s="720"/>
      <c r="D7" s="726"/>
      <c r="F7" s="515"/>
      <c r="G7" s="1041"/>
      <c r="H7" s="1973"/>
      <c r="I7" s="514"/>
      <c r="J7" s="514"/>
      <c r="K7" s="723"/>
      <c r="L7" s="511"/>
      <c r="M7" s="827"/>
      <c r="X7" s="828"/>
    </row>
    <row r="8" spans="1:33" s="61" customFormat="1" ht="24.95" customHeight="1" thickTop="1" thickBot="1">
      <c r="A8" s="720" t="s">
        <v>489</v>
      </c>
      <c r="B8" s="720" t="s">
        <v>490</v>
      </c>
      <c r="C8" s="720"/>
      <c r="D8" s="726"/>
      <c r="F8" s="515"/>
      <c r="G8" s="1041"/>
      <c r="H8" s="1973" t="s">
        <v>491</v>
      </c>
      <c r="I8" s="514"/>
      <c r="J8" s="2343" t="s">
        <v>489</v>
      </c>
      <c r="K8" s="2344"/>
      <c r="L8" s="511"/>
      <c r="M8" s="827"/>
      <c r="N8" s="828"/>
    </row>
    <row r="9" spans="1:33" s="42" customFormat="1" ht="20.100000000000001" customHeight="1" thickTop="1" thickBot="1">
      <c r="A9" s="477"/>
      <c r="B9" s="477"/>
      <c r="C9" s="477"/>
      <c r="D9" s="726"/>
      <c r="F9" s="513"/>
      <c r="G9" s="1042"/>
      <c r="H9" s="1972"/>
      <c r="I9" s="514"/>
      <c r="J9" s="514"/>
      <c r="K9" s="732"/>
      <c r="L9" s="511"/>
      <c r="M9" s="829"/>
      <c r="N9" s="829"/>
      <c r="O9" s="822"/>
      <c r="P9" s="822"/>
      <c r="Q9" s="822"/>
      <c r="R9" s="822"/>
      <c r="S9" s="822"/>
      <c r="T9" s="822"/>
      <c r="U9" s="822"/>
      <c r="V9" s="822"/>
      <c r="W9" s="822"/>
      <c r="X9" s="822"/>
    </row>
    <row r="10" spans="1:33" s="42" customFormat="1" ht="24.95" customHeight="1" thickTop="1" thickBot="1">
      <c r="A10" s="477" t="s">
        <v>492</v>
      </c>
      <c r="B10" s="477" t="s">
        <v>493</v>
      </c>
      <c r="C10" s="477"/>
      <c r="D10" s="726"/>
      <c r="F10" s="1974"/>
      <c r="G10" s="1971"/>
      <c r="H10" s="1972" t="s">
        <v>494</v>
      </c>
      <c r="I10" s="514"/>
      <c r="J10" s="2343" t="s">
        <v>492</v>
      </c>
      <c r="K10" s="2344"/>
      <c r="L10" s="511"/>
      <c r="M10" s="825"/>
      <c r="N10" s="825"/>
      <c r="O10" s="822"/>
      <c r="P10" s="822"/>
      <c r="Q10" s="822"/>
      <c r="R10" s="822"/>
      <c r="S10" s="822"/>
      <c r="T10" s="822"/>
      <c r="U10" s="828"/>
      <c r="V10" s="822"/>
      <c r="W10" s="822"/>
      <c r="X10" s="828"/>
      <c r="Y10" s="61"/>
      <c r="AC10" s="61"/>
      <c r="AD10" s="61"/>
      <c r="AE10" s="61"/>
      <c r="AF10" s="61"/>
      <c r="AG10" s="61"/>
    </row>
    <row r="11" spans="1:33" s="42" customFormat="1" ht="20.100000000000001" customHeight="1" thickTop="1" thickBot="1">
      <c r="A11" s="477"/>
      <c r="B11" s="477"/>
      <c r="C11" s="477"/>
      <c r="D11" s="726"/>
      <c r="F11" s="513"/>
      <c r="G11" s="1042"/>
      <c r="H11" s="1972"/>
      <c r="I11" s="514"/>
      <c r="J11" s="514"/>
      <c r="K11" s="724"/>
      <c r="L11" s="511"/>
      <c r="M11" s="829"/>
      <c r="N11" s="829"/>
      <c r="O11" s="822"/>
      <c r="P11" s="822"/>
      <c r="Q11" s="822"/>
      <c r="R11" s="822"/>
      <c r="S11" s="822"/>
      <c r="T11" s="822"/>
      <c r="U11" s="822"/>
      <c r="V11" s="822"/>
      <c r="W11" s="822"/>
      <c r="X11" s="830"/>
      <c r="Y11" s="534"/>
    </row>
    <row r="12" spans="1:33" s="61" customFormat="1" ht="24.95" customHeight="1" thickTop="1" thickBot="1">
      <c r="A12" s="720" t="s">
        <v>495</v>
      </c>
      <c r="B12" s="720" t="s">
        <v>496</v>
      </c>
      <c r="C12" s="720"/>
      <c r="D12" s="726"/>
      <c r="E12" s="535"/>
      <c r="F12" s="2323" t="s">
        <v>497</v>
      </c>
      <c r="G12" s="2324"/>
      <c r="H12" s="2324"/>
      <c r="I12" s="514"/>
      <c r="J12" s="2345" t="s">
        <v>495</v>
      </c>
      <c r="K12" s="2346"/>
      <c r="L12" s="511"/>
      <c r="M12" s="827"/>
      <c r="N12" s="827"/>
      <c r="O12" s="828"/>
      <c r="P12" s="828"/>
      <c r="Q12" s="828"/>
      <c r="R12" s="828"/>
      <c r="S12" s="828"/>
      <c r="T12" s="828"/>
      <c r="U12" s="828"/>
      <c r="V12" s="828"/>
      <c r="W12" s="828"/>
      <c r="X12" s="828"/>
    </row>
    <row r="13" spans="1:33" s="42" customFormat="1" ht="20.100000000000001" customHeight="1" thickTop="1" thickBot="1">
      <c r="A13" s="477"/>
      <c r="B13" s="477"/>
      <c r="C13" s="477"/>
      <c r="D13" s="721"/>
      <c r="F13" s="513"/>
      <c r="G13" s="1042"/>
      <c r="H13" s="1972"/>
      <c r="I13" s="514"/>
      <c r="J13" s="514"/>
      <c r="K13" s="724"/>
      <c r="L13" s="511"/>
      <c r="M13" s="829"/>
      <c r="N13" s="829"/>
      <c r="O13" s="822"/>
      <c r="P13" s="822"/>
      <c r="Q13" s="822"/>
      <c r="R13" s="822"/>
      <c r="S13" s="822"/>
      <c r="T13" s="822"/>
      <c r="U13" s="822"/>
      <c r="V13" s="822"/>
      <c r="W13" s="822"/>
      <c r="X13" s="830"/>
      <c r="Y13" s="534"/>
    </row>
    <row r="14" spans="1:33" s="42" customFormat="1" ht="24.95" customHeight="1" thickTop="1" thickBot="1">
      <c r="A14" s="477" t="s">
        <v>498</v>
      </c>
      <c r="B14" s="477" t="s">
        <v>499</v>
      </c>
      <c r="C14" s="477" t="s">
        <v>500</v>
      </c>
      <c r="D14" s="721" t="s">
        <v>501</v>
      </c>
      <c r="F14" s="2321" t="s">
        <v>502</v>
      </c>
      <c r="G14" s="2322"/>
      <c r="H14" s="2322"/>
      <c r="I14" s="514"/>
      <c r="J14" s="2343" t="s">
        <v>500</v>
      </c>
      <c r="K14" s="2344"/>
      <c r="L14" s="511"/>
      <c r="M14" s="825"/>
      <c r="N14" s="825"/>
      <c r="O14" s="822"/>
      <c r="P14" s="822"/>
      <c r="Q14" s="822"/>
      <c r="R14" s="822"/>
      <c r="S14" s="822"/>
      <c r="T14" s="822"/>
      <c r="U14" s="828"/>
      <c r="V14" s="822"/>
      <c r="W14" s="822"/>
      <c r="X14" s="828"/>
      <c r="Y14" s="61"/>
      <c r="AC14" s="61"/>
      <c r="AD14" s="61"/>
      <c r="AE14" s="61"/>
      <c r="AF14" s="61"/>
      <c r="AG14" s="61"/>
    </row>
    <row r="15" spans="1:33" s="42" customFormat="1" ht="20.100000000000001" customHeight="1" thickTop="1" thickBot="1">
      <c r="A15" s="477"/>
      <c r="B15" s="722"/>
      <c r="C15" s="722"/>
      <c r="D15" s="477"/>
      <c r="F15" s="2315" t="s">
        <v>503</v>
      </c>
      <c r="G15" s="2316"/>
      <c r="H15" s="2316"/>
      <c r="I15" s="514"/>
      <c r="J15" s="514"/>
      <c r="K15" s="723"/>
      <c r="L15" s="511"/>
      <c r="M15" s="828"/>
      <c r="N15" s="828"/>
      <c r="O15" s="822"/>
      <c r="P15" s="822"/>
      <c r="Q15" s="822"/>
      <c r="R15" s="822"/>
      <c r="S15" s="822"/>
      <c r="T15" s="822"/>
      <c r="U15" s="830"/>
      <c r="V15" s="830"/>
      <c r="W15" s="830"/>
      <c r="X15" s="830"/>
      <c r="Y15" s="534"/>
    </row>
    <row r="16" spans="1:33" s="42" customFormat="1" ht="26.1" customHeight="1" thickTop="1" thickBot="1">
      <c r="A16" s="720" t="s">
        <v>504</v>
      </c>
      <c r="B16" s="720" t="s">
        <v>505</v>
      </c>
      <c r="C16" s="720" t="s">
        <v>506</v>
      </c>
      <c r="D16" s="725"/>
      <c r="F16" s="2315"/>
      <c r="G16" s="2316"/>
      <c r="H16" s="2316"/>
      <c r="I16" s="514"/>
      <c r="J16" s="2345" t="s">
        <v>506</v>
      </c>
      <c r="K16" s="2346"/>
      <c r="L16" s="511"/>
      <c r="M16" s="831"/>
      <c r="N16" s="832"/>
      <c r="O16" s="822"/>
      <c r="P16" s="822"/>
      <c r="Q16" s="822"/>
      <c r="R16" s="822"/>
      <c r="S16" s="822"/>
      <c r="T16" s="822"/>
      <c r="U16" s="822"/>
      <c r="V16" s="822"/>
      <c r="W16" s="822"/>
      <c r="X16" s="830"/>
      <c r="Y16" s="534"/>
    </row>
    <row r="17" spans="6:34" s="42" customFormat="1" ht="9.9499999999999993" customHeight="1" thickTop="1" thickBot="1">
      <c r="F17" s="2317"/>
      <c r="G17" s="2318"/>
      <c r="H17" s="2318"/>
      <c r="I17" s="516"/>
      <c r="J17" s="516"/>
      <c r="K17" s="516"/>
      <c r="L17" s="517"/>
      <c r="M17" s="822"/>
      <c r="N17" s="822"/>
      <c r="O17" s="822"/>
      <c r="P17" s="821"/>
      <c r="Q17" s="821"/>
      <c r="R17" s="821"/>
      <c r="S17" s="2347"/>
      <c r="T17" s="1966"/>
      <c r="U17" s="821"/>
      <c r="V17" s="833"/>
      <c r="W17" s="833"/>
      <c r="X17" s="821"/>
      <c r="Y17" s="55"/>
      <c r="AD17" s="55"/>
      <c r="AE17" s="55"/>
      <c r="AF17" s="55"/>
      <c r="AG17" s="55"/>
      <c r="AH17" s="537"/>
    </row>
    <row r="18" spans="6:34" s="42" customFormat="1" ht="15" customHeight="1" thickTop="1" thickBot="1">
      <c r="F18" s="834"/>
      <c r="G18" s="822"/>
      <c r="H18" s="835"/>
      <c r="I18" s="821"/>
      <c r="J18" s="821"/>
      <c r="K18" s="836"/>
      <c r="L18" s="821"/>
      <c r="M18" s="821"/>
      <c r="N18" s="821"/>
      <c r="O18" s="821"/>
      <c r="P18" s="821"/>
      <c r="Q18" s="821"/>
      <c r="R18" s="821"/>
      <c r="S18" s="2348"/>
      <c r="T18" s="1966"/>
      <c r="U18" s="821"/>
      <c r="V18" s="821"/>
      <c r="W18" s="821"/>
      <c r="X18" s="821"/>
      <c r="Y18" s="55"/>
      <c r="AD18" s="55"/>
      <c r="AE18" s="55"/>
      <c r="AF18" s="55"/>
      <c r="AG18" s="55"/>
      <c r="AH18" s="537"/>
    </row>
    <row r="19" spans="6:34" s="1043" customFormat="1" ht="22.5" customHeight="1" thickTop="1" thickBot="1">
      <c r="F19" s="1044"/>
      <c r="G19" s="1045" t="s">
        <v>507</v>
      </c>
      <c r="H19" s="1045"/>
      <c r="I19" s="1970"/>
      <c r="J19" s="2329" t="s">
        <v>508</v>
      </c>
      <c r="K19" s="2329"/>
      <c r="L19" s="1046"/>
      <c r="M19" s="2329" t="s">
        <v>509</v>
      </c>
      <c r="N19" s="2329"/>
      <c r="O19" s="1046"/>
      <c r="P19" s="2329" t="s">
        <v>510</v>
      </c>
      <c r="Q19" s="2329"/>
      <c r="R19" s="1046"/>
      <c r="S19" s="2329" t="s">
        <v>511</v>
      </c>
      <c r="T19" s="2329"/>
      <c r="U19" s="1046"/>
      <c r="V19" s="2329" t="s">
        <v>512</v>
      </c>
      <c r="W19" s="2329"/>
      <c r="X19" s="1047"/>
      <c r="Y19" s="1048"/>
      <c r="AD19" s="1048"/>
      <c r="AE19" s="1048"/>
      <c r="AF19" s="1048"/>
      <c r="AG19" s="1048"/>
      <c r="AH19" s="1049"/>
    </row>
    <row r="20" spans="6:34" s="102" customFormat="1" ht="39.75" customHeight="1" thickTop="1" thickBot="1">
      <c r="F20" s="1050"/>
      <c r="G20" s="723"/>
      <c r="H20" s="1051"/>
      <c r="I20" s="1052"/>
      <c r="J20" s="2330" t="s">
        <v>317</v>
      </c>
      <c r="K20" s="2331"/>
      <c r="L20" s="1053"/>
      <c r="M20" s="2330" t="s">
        <v>331</v>
      </c>
      <c r="N20" s="2331"/>
      <c r="O20" s="1053"/>
      <c r="P20" s="2330" t="s">
        <v>169</v>
      </c>
      <c r="Q20" s="2331"/>
      <c r="R20" s="1053"/>
      <c r="S20" s="2330" t="s">
        <v>341</v>
      </c>
      <c r="T20" s="2331"/>
      <c r="U20" s="1053"/>
      <c r="V20" s="2330" t="s">
        <v>264</v>
      </c>
      <c r="W20" s="2331"/>
      <c r="X20" s="1054"/>
      <c r="Y20" s="1055"/>
      <c r="Z20" s="1055"/>
      <c r="AA20" s="1055"/>
      <c r="AB20" s="1055"/>
      <c r="AC20" s="1056"/>
    </row>
    <row r="21" spans="6:34" s="42" customFormat="1" ht="13.5" customHeight="1" thickTop="1" thickBot="1">
      <c r="F21" s="730"/>
      <c r="G21" s="729"/>
      <c r="H21" s="743"/>
      <c r="I21" s="744"/>
      <c r="J21" s="745"/>
      <c r="K21" s="745"/>
      <c r="L21" s="746"/>
      <c r="M21" s="746"/>
      <c r="N21" s="746"/>
      <c r="O21" s="746"/>
      <c r="P21" s="746"/>
      <c r="Q21" s="746"/>
      <c r="R21" s="746"/>
      <c r="S21" s="746"/>
      <c r="T21" s="746"/>
      <c r="U21" s="746"/>
      <c r="V21" s="746"/>
      <c r="W21" s="746"/>
      <c r="X21" s="747"/>
      <c r="Y21" s="55"/>
      <c r="Z21" s="55"/>
      <c r="AA21" s="55"/>
      <c r="AB21" s="55"/>
      <c r="AC21" s="537"/>
    </row>
    <row r="22" spans="6:34" s="1069" customFormat="1" ht="26.25" customHeight="1" thickBot="1">
      <c r="F22" s="2319" t="s">
        <v>513</v>
      </c>
      <c r="G22" s="2320"/>
      <c r="H22" s="2320"/>
      <c r="I22" s="1070"/>
      <c r="J22" s="1071" t="s">
        <v>514</v>
      </c>
      <c r="K22" s="1071" t="s">
        <v>379</v>
      </c>
      <c r="L22" s="1072"/>
      <c r="M22" s="1071" t="s">
        <v>514</v>
      </c>
      <c r="N22" s="1071" t="s">
        <v>379</v>
      </c>
      <c r="O22" s="1072"/>
      <c r="P22" s="1071" t="s">
        <v>514</v>
      </c>
      <c r="Q22" s="1071" t="s">
        <v>379</v>
      </c>
      <c r="R22" s="1072"/>
      <c r="S22" s="1071" t="s">
        <v>514</v>
      </c>
      <c r="T22" s="1071" t="s">
        <v>379</v>
      </c>
      <c r="U22" s="1072"/>
      <c r="V22" s="1071" t="s">
        <v>514</v>
      </c>
      <c r="W22" s="1071" t="s">
        <v>379</v>
      </c>
      <c r="X22" s="1073"/>
      <c r="Y22" s="1074"/>
    </row>
    <row r="23" spans="6:34" s="61" customFormat="1" ht="20.100000000000001" customHeight="1" thickTop="1" thickBot="1">
      <c r="F23" s="741"/>
      <c r="G23" s="734"/>
      <c r="H23" s="1059" t="s">
        <v>515</v>
      </c>
      <c r="I23" s="734"/>
      <c r="J23" s="1067">
        <f>GW_ESL</f>
        <v>0.63606699866771998</v>
      </c>
      <c r="K23" s="1068" t="str">
        <f>IF(AND(OR(C_1="PFAS: Perfluorononanoic acid (PFNA)",C_1="PFAS: Perfluorobutane sulfonic acid (PFBS)",C_1="PFAS: Perfluorohexane sulfonic acid (PFHxS)",C_1="PFAS: Hexafluoropropylene oxide dimer acid (HFPO-DA)"),GW_ESL=J36),"MCL (HI Calc)",
IF(J51="--","--",IF(J51=J36,"MCL",IF(J51=J39,"Dir Exp",IF(J51=J43,"Aquatic Habitat",IF(J51=J46,"VI HHR",IF(J51=J47,"Gross Contam","Odor/Nuis")))))))</f>
        <v>VI HHR</v>
      </c>
      <c r="L23" s="1064"/>
      <c r="M23" s="1067">
        <f>M51</f>
        <v>1.1877804862349743</v>
      </c>
      <c r="N23" s="1068" t="str">
        <f>IF(AND(OR(C_2="PFAS: Perfluorononanoic acid (PFNA)",C_2="PFAS: Perfluorobutane sulfonic acid (PFBS)",C_2="PFAS: Perfluorohexane sulfonic acid (PFHxS)",C_2="PFAS: Hexafluoropropylene oxide dimer acid (HFPO-DA)"),M51=M36),"MCL (HI Calc)",
IF(M51="--","--",IF(M51=M36,"MCL",IF(M51=M39,"Dir Exp",IF(M51=M43,"Aquatic Habitat",IF(M51=M46,"VI HHR",IF(M51=M47,"Gross Contam","Odor/Nuis")))))))</f>
        <v>VI HHR</v>
      </c>
      <c r="O23" s="1064"/>
      <c r="P23" s="1067">
        <f>P51</f>
        <v>6</v>
      </c>
      <c r="Q23" s="1068" t="str">
        <f>IF(AND(OR(C_3="PFAS: Perfluorononanoic acid (PFNA)",C_3="PFAS: Perfluorobutane sulfonic acid (PFBS)",C_3="PFAS: Perfluorohexane sulfonic acid (PFHxS)",C_3="PFAS: Hexafluoropropylene oxide dimer acid (HFPO-DA)"),P51=P36),"MCL (HI Calc)",
IF(P51="--","--",IF(P51=P36,"MCL",IF(P51=P39,"Dir Exp",IF(P51=P43,"Aquatic Habitat",IF(P51=P46,"VI HHR",IF(P51=P47,"Gross Contam","Odor/Nuis")))))))</f>
        <v>MCL</v>
      </c>
      <c r="R23" s="1064"/>
      <c r="S23" s="1067">
        <f>S51</f>
        <v>8.3177281019007829E-3</v>
      </c>
      <c r="T23" s="1068" t="str">
        <f>IF(AND(OR(C_4="PFAS: Perfluorononanoic acid (PFNA)",C_4="PFAS: Perfluorobutane sulfonic acid (PFBS)",C_4="PFAS: Perfluorohexane sulfonic acid (PFHxS)",C_4="PFAS: Hexafluoropropylene oxide dimer acid (HFPO-DA)"),S51=S36),"MCL (HI Calc)",
IF(S51="--","--",IF(S51=S36,"MCL",IF(S51=S39,"Dir Exp",IF(S51=S43,"Aquatic Habitat",IF(S51=S46,"VI HHR",IF(S51=S47,"Gross Contam","Odor/Nuis")))))))</f>
        <v>VI HHR</v>
      </c>
      <c r="U23" s="1064"/>
      <c r="V23" s="1067">
        <f>V51</f>
        <v>100</v>
      </c>
      <c r="W23" s="1068" t="str">
        <f>IF(AND(OR(C_5="PFAS: Perfluorononanoic acid (PFNA)",C_5="PFAS: Perfluorobutane sulfonic acid (PFBS)",C_5="PFAS: Perfluorohexane sulfonic acid (PFHxS)",C_5="PFAS: Hexafluoropropylene oxide dimer acid (HFPO-DA)"),V51=V36),"MCL (HI Calc)",
IF(V51="--","--",IF(V51=V36,"MCL",IF(V51=V39,"Dir Exp",IF(V51=V43,"Aquatic Habitat",IF(V51=V46,"VI HHR",IF(V51=V47,"Gross Contam","Odor/Nuis")))))))</f>
        <v>Odor/Nuis</v>
      </c>
      <c r="X23" s="735"/>
      <c r="Y23" s="110"/>
    </row>
    <row r="24" spans="6:34" s="1069" customFormat="1" ht="14.1" customHeight="1" thickTop="1" thickBot="1">
      <c r="F24" s="1609"/>
      <c r="G24" s="1610"/>
      <c r="H24" s="1610"/>
      <c r="I24" s="1070"/>
      <c r="J24" s="1071"/>
      <c r="K24" s="1071"/>
      <c r="L24" s="1072"/>
      <c r="M24" s="1071"/>
      <c r="N24" s="1071"/>
      <c r="O24" s="1072"/>
      <c r="P24" s="1071"/>
      <c r="Q24" s="1071"/>
      <c r="R24" s="1072"/>
      <c r="S24" s="1071"/>
      <c r="T24" s="1071"/>
      <c r="U24" s="1072"/>
      <c r="V24" s="1071"/>
      <c r="W24" s="1071"/>
      <c r="X24" s="1073"/>
      <c r="Y24" s="1074"/>
    </row>
    <row r="25" spans="6:34" s="61" customFormat="1" ht="20.100000000000001" customHeight="1" thickBot="1">
      <c r="F25" s="741"/>
      <c r="G25" s="734"/>
      <c r="H25" s="1058" t="s">
        <v>516</v>
      </c>
      <c r="I25" s="734"/>
      <c r="J25" s="1062">
        <f>J79</f>
        <v>7.9905242476613736E-2</v>
      </c>
      <c r="K25" s="1063" t="str">
        <f>IF(J79="--","--",IF(J79=J57,"Dir Exp",IF(J79=J60,"Terrestrial Habitat",IF(J79=J73,"Leaching",IF(J79=J74,"Gross Contam","Odor/Nuis")))))</f>
        <v>Leaching</v>
      </c>
      <c r="L25" s="1064"/>
      <c r="M25" s="1062">
        <f>M79</f>
        <v>8.4587965494296632E-2</v>
      </c>
      <c r="N25" s="1063" t="str">
        <f>IF(M79="--","--",IF(M79=M57,"Dir Exp",IF(M79=M60,"Terr Habitat",IF(M79=M73,"Leaching",IF(M79=M74,"Gross Contam","Odor/Nuis")))))</f>
        <v>Leaching</v>
      </c>
      <c r="O25" s="1064"/>
      <c r="P25" s="1062">
        <f>P79</f>
        <v>0.19138896000000002</v>
      </c>
      <c r="Q25" s="1063" t="str">
        <f>IF(P79="--","--",IF(P79=P57,"Dir Exp",IF(P79=P60,"Terr Habitat",IF(P79=P73,"Leaching",IF(P79=P74,"Gross Contam","Odor/Nuis")))))</f>
        <v>Leaching</v>
      </c>
      <c r="R25" s="1064"/>
      <c r="S25" s="1062">
        <f>S79</f>
        <v>1.4652657879868631E-3</v>
      </c>
      <c r="T25" s="1063" t="str">
        <f>IF(S79="--","--",IF(S79=S57,"Dir Exp",IF(S79=S60,"Terr Habitat",IF(S79=S73,"Leaching",IF(S79=S74,"Gross Contam","Odor/Nuis")))))</f>
        <v>Leaching</v>
      </c>
      <c r="U25" s="1064"/>
      <c r="V25" s="1062">
        <f>V79</f>
        <v>100</v>
      </c>
      <c r="W25" s="1063" t="str">
        <f>IF(V79="--","--",IF(V79=V57,"Dir Exp",IF(V79=V60,"Terr Habitat",IF(V79=V73,"Leaching",IF(V79=V74,"Gross Contam","Odor/Nuis")))))</f>
        <v>Odor/Nuis</v>
      </c>
      <c r="X25" s="735"/>
      <c r="Y25" s="110"/>
    </row>
    <row r="26" spans="6:34" s="61" customFormat="1" ht="14.1" customHeight="1" thickBot="1">
      <c r="F26" s="741"/>
      <c r="G26" s="734"/>
      <c r="H26" s="1060"/>
      <c r="I26" s="734"/>
      <c r="J26" s="1065"/>
      <c r="K26" s="1066"/>
      <c r="L26" s="1064"/>
      <c r="M26" s="1065"/>
      <c r="N26" s="1066"/>
      <c r="O26" s="1064"/>
      <c r="P26" s="1065"/>
      <c r="Q26" s="1066"/>
      <c r="R26" s="1064"/>
      <c r="S26" s="1065"/>
      <c r="T26" s="1066"/>
      <c r="U26" s="1064"/>
      <c r="V26" s="1065"/>
      <c r="W26" s="1066"/>
      <c r="X26" s="735"/>
      <c r="Y26" s="110"/>
    </row>
    <row r="27" spans="6:34" s="61" customFormat="1" ht="20.100000000000001" customHeight="1" thickTop="1" thickBot="1">
      <c r="F27" s="741"/>
      <c r="G27" s="734"/>
      <c r="H27" s="1061" t="s">
        <v>517</v>
      </c>
      <c r="I27" s="734"/>
      <c r="J27" s="1067">
        <f>J90</f>
        <v>15.342580916351405</v>
      </c>
      <c r="K27" s="1068" t="str">
        <f>IF(J90="--","--",IF(J90=J86,"VI HHR","VI Odor/Nuis"))</f>
        <v>VI HHR</v>
      </c>
      <c r="L27" s="1064"/>
      <c r="M27" s="1067">
        <f>M90</f>
        <v>15.943905409395809</v>
      </c>
      <c r="N27" s="1068" t="str">
        <f>IF(M90="--","--",IF(M90=M86,"VI HHR","VI Odor/Nuis"))</f>
        <v>VI HHR</v>
      </c>
      <c r="O27" s="1064"/>
      <c r="P27" s="1067">
        <f>P90</f>
        <v>1390.4761904761906</v>
      </c>
      <c r="Q27" s="1068" t="str">
        <f>IF(P90="--","--",IF(P90=P86,"VI HHR","VI Odor/Nuis"))</f>
        <v>VI HHR</v>
      </c>
      <c r="R27" s="1064"/>
      <c r="S27" s="1067">
        <f>S90</f>
        <v>0.31511698178364844</v>
      </c>
      <c r="T27" s="1068" t="str">
        <f>IF(S90="--","--",IF(S90=S86,"VI HHR","VI Odor/Nuis"))</f>
        <v>VI HHR</v>
      </c>
      <c r="U27" s="1064"/>
      <c r="V27" s="1067">
        <f>V90</f>
        <v>10310.734463276838</v>
      </c>
      <c r="W27" s="1068" t="str">
        <f>IF(V90="--","--",IF(V90=V86,"VI HHR","VI Odor/Nuis"))</f>
        <v>VI HHR</v>
      </c>
      <c r="X27" s="735"/>
      <c r="Y27" s="110"/>
    </row>
    <row r="28" spans="6:34" s="61" customFormat="1" ht="14.1" customHeight="1" thickTop="1" thickBot="1">
      <c r="F28" s="741"/>
      <c r="G28" s="734"/>
      <c r="H28" s="1059"/>
      <c r="I28" s="734"/>
      <c r="J28" s="1065"/>
      <c r="K28" s="1066"/>
      <c r="L28" s="1064"/>
      <c r="M28" s="1065"/>
      <c r="N28" s="1066"/>
      <c r="O28" s="1064"/>
      <c r="P28" s="1065"/>
      <c r="Q28" s="1066"/>
      <c r="R28" s="1064"/>
      <c r="S28" s="1065"/>
      <c r="T28" s="1066"/>
      <c r="U28" s="1064"/>
      <c r="V28" s="1065"/>
      <c r="W28" s="1066"/>
      <c r="X28" s="735"/>
      <c r="Y28" s="110"/>
    </row>
    <row r="29" spans="6:34" s="61" customFormat="1" ht="20.100000000000001" customHeight="1" thickTop="1" thickBot="1">
      <c r="F29" s="741"/>
      <c r="G29" s="734"/>
      <c r="H29" s="1061" t="s">
        <v>518</v>
      </c>
      <c r="I29" s="734"/>
      <c r="J29" s="1067">
        <f>J97</f>
        <v>0.46027742749054212</v>
      </c>
      <c r="K29" s="1068" t="str">
        <f>IF(J97="--","--",IF(J97=J95,"Dir Exp","Odor/Nuis"))</f>
        <v>Dir Exp</v>
      </c>
      <c r="L29" s="1064"/>
      <c r="M29" s="1067">
        <f>M97</f>
        <v>0.47831716228187426</v>
      </c>
      <c r="N29" s="1068" t="str">
        <f>IF(M97="--","--",IF(M97=M95,"Dir Exp","Odor/Nuis"))</f>
        <v>Dir Exp</v>
      </c>
      <c r="O29" s="1064"/>
      <c r="P29" s="1067">
        <f>P97</f>
        <v>41.714285714285715</v>
      </c>
      <c r="Q29" s="1068" t="str">
        <f>IF(P97="--","--",IF(P97=P95,"Dir Exp","Odor/Nuis"))</f>
        <v>Dir Exp</v>
      </c>
      <c r="R29" s="1064"/>
      <c r="S29" s="1067">
        <f>S97</f>
        <v>9.4535094535094528E-3</v>
      </c>
      <c r="T29" s="1068" t="str">
        <f>IF(S97="--","--",IF(S97=S95,"Dir Exp","Odor/Nuis"))</f>
        <v>Dir Exp</v>
      </c>
      <c r="U29" s="1064"/>
      <c r="V29" s="1067">
        <f>V97</f>
        <v>309.32203389830511</v>
      </c>
      <c r="W29" s="1068" t="str">
        <f>IF(V97="--","--",IF(V97=V95,"Dir Exp","Odor/Nuis"))</f>
        <v>Dir Exp</v>
      </c>
      <c r="X29" s="735"/>
      <c r="Y29" s="110"/>
      <c r="Z29" s="42"/>
    </row>
    <row r="30" spans="6:34" ht="9" customHeight="1" thickTop="1" thickBot="1">
      <c r="F30" s="742"/>
      <c r="G30" s="736"/>
      <c r="H30" s="737"/>
      <c r="I30" s="737"/>
      <c r="J30" s="737"/>
      <c r="K30" s="738"/>
      <c r="L30" s="738"/>
      <c r="M30" s="792"/>
      <c r="N30" s="736"/>
      <c r="O30" s="738"/>
      <c r="P30" s="736"/>
      <c r="Q30" s="736"/>
      <c r="R30" s="738"/>
      <c r="S30" s="792"/>
      <c r="T30" s="736"/>
      <c r="U30" s="738"/>
      <c r="V30" s="739"/>
      <c r="W30" s="739"/>
      <c r="X30" s="740"/>
      <c r="Y30" s="45"/>
      <c r="Z30" s="46"/>
      <c r="AA30" s="55"/>
    </row>
    <row r="31" spans="6:34" s="821" customFormat="1" ht="9" customHeight="1" thickTop="1">
      <c r="H31" s="828"/>
      <c r="I31" s="828"/>
      <c r="J31" s="828"/>
      <c r="K31" s="1031"/>
      <c r="L31" s="1031"/>
      <c r="M31" s="1032"/>
      <c r="O31" s="1031"/>
      <c r="R31" s="1031"/>
      <c r="S31" s="1032"/>
      <c r="U31" s="1031"/>
      <c r="V31" s="1030"/>
      <c r="W31" s="1030"/>
      <c r="X31" s="1033"/>
      <c r="Y31" s="1034"/>
      <c r="Z31" s="1035"/>
    </row>
    <row r="32" spans="6:34" s="1048" customFormat="1" ht="20.25">
      <c r="F32" s="1078" t="s">
        <v>347</v>
      </c>
      <c r="H32" s="1078"/>
      <c r="I32" s="1079"/>
      <c r="J32" s="1079"/>
      <c r="K32" s="1079"/>
      <c r="L32" s="1079"/>
      <c r="M32" s="1079"/>
      <c r="N32" s="1079"/>
      <c r="O32" s="1079"/>
      <c r="P32" s="1079"/>
      <c r="Q32" s="1079"/>
      <c r="R32" s="1079"/>
      <c r="S32" s="1079"/>
      <c r="T32" s="1079"/>
      <c r="U32" s="1080"/>
      <c r="V32" s="1081"/>
      <c r="W32" s="1081"/>
      <c r="X32" s="1081"/>
      <c r="Y32" s="1082"/>
      <c r="Z32" s="1057"/>
      <c r="AA32" s="1043"/>
    </row>
    <row r="33" spans="1:35" s="1048" customFormat="1" ht="41.25" customHeight="1">
      <c r="F33" s="2332" t="s">
        <v>4264</v>
      </c>
      <c r="G33" s="2332"/>
      <c r="H33" s="2332"/>
      <c r="I33" s="2332"/>
      <c r="J33" s="2332"/>
      <c r="K33" s="2332"/>
      <c r="L33" s="2332"/>
      <c r="M33" s="2332"/>
      <c r="N33" s="2332"/>
      <c r="O33" s="2332"/>
      <c r="P33" s="2332"/>
      <c r="Q33" s="2332"/>
      <c r="R33" s="2332"/>
      <c r="S33" s="2332"/>
      <c r="T33" s="2332"/>
      <c r="U33" s="2332"/>
      <c r="V33" s="2332"/>
      <c r="W33" s="2332"/>
      <c r="X33" s="2332"/>
      <c r="Y33" s="1082"/>
      <c r="Z33" s="1057"/>
      <c r="AA33" s="1043"/>
    </row>
    <row r="34" spans="1:35">
      <c r="Z34" s="2342" t="s">
        <v>508</v>
      </c>
      <c r="AA34" s="2342"/>
      <c r="AB34" s="2342" t="s">
        <v>509</v>
      </c>
      <c r="AC34" s="2342"/>
      <c r="AD34" s="2342" t="s">
        <v>510</v>
      </c>
      <c r="AE34" s="2342"/>
      <c r="AF34" s="2342" t="s">
        <v>511</v>
      </c>
      <c r="AG34" s="2342"/>
      <c r="AH34" s="2342" t="s">
        <v>512</v>
      </c>
      <c r="AI34" s="2342"/>
    </row>
    <row r="35" spans="1:35" ht="15.75" hidden="1">
      <c r="C35" s="349" t="s">
        <v>4259</v>
      </c>
      <c r="F35" s="2325" t="s">
        <v>520</v>
      </c>
      <c r="G35" s="2325"/>
      <c r="H35" s="2325"/>
      <c r="I35" s="2325"/>
      <c r="J35" s="2325"/>
      <c r="K35" s="2325"/>
      <c r="L35" s="2325"/>
      <c r="M35" s="2325"/>
      <c r="N35" s="2325"/>
      <c r="O35" s="2325"/>
      <c r="P35" s="2325"/>
      <c r="Q35" s="2325"/>
      <c r="R35" s="2325"/>
      <c r="S35" s="2325"/>
      <c r="T35" s="2325"/>
      <c r="U35" s="2325"/>
      <c r="V35" s="2325"/>
      <c r="W35" s="2325"/>
      <c r="X35" s="2325"/>
      <c r="Y35" s="748"/>
      <c r="Z35" s="96" t="s">
        <v>521</v>
      </c>
      <c r="AA35" s="96" t="s">
        <v>522</v>
      </c>
      <c r="AB35" s="96" t="s">
        <v>521</v>
      </c>
      <c r="AC35" s="96" t="s">
        <v>522</v>
      </c>
      <c r="AD35" s="96" t="s">
        <v>521</v>
      </c>
      <c r="AE35" s="96" t="s">
        <v>522</v>
      </c>
      <c r="AF35" s="96" t="s">
        <v>521</v>
      </c>
      <c r="AG35" s="96" t="s">
        <v>522</v>
      </c>
      <c r="AH35" s="96" t="s">
        <v>521</v>
      </c>
      <c r="AI35" s="96" t="s">
        <v>522</v>
      </c>
    </row>
    <row r="36" spans="1:35" ht="15" hidden="1">
      <c r="A36" s="2080" t="s">
        <v>281</v>
      </c>
      <c r="B36" s="2081" t="s">
        <v>282</v>
      </c>
      <c r="C36" s="2082">
        <v>0.01</v>
      </c>
      <c r="D36" s="2000" t="s">
        <v>1529</v>
      </c>
      <c r="F36" s="749"/>
      <c r="G36" s="749"/>
      <c r="H36" s="329" t="s">
        <v>523</v>
      </c>
      <c r="I36" s="796"/>
      <c r="J36" s="750">
        <f>IF(C_1="PFAS: Perfluorononanoic acid (PFNA)",$C$36,IF(C_1="PFAS: Perfluorobutane sulfonic acid (PFBS)",$C$37, IF(C_1="PFAS: Perfluorohexane sulfonic acid (PFHxS)",$C$38, IF(C_1="PFAS: Hexafluoropropylene oxide dimer acid (HFPO-DA)",$C$39, VLOOKUP(C_1, Table_GW_Summary, MATCH("mcl", heading_GW_Summary, 0), FALSE)))))</f>
        <v>5</v>
      </c>
      <c r="K36" s="750"/>
      <c r="L36" s="797"/>
      <c r="M36" s="750">
        <f>IF(C_2="PFAS: Perfluorononanoic acid (PFNA)",$C$36,IF(C_2="PFAS: Perfluorobutane sulfonic acid (PFBS)",$C$37, IF(C_2="PFAS: Perfluorohexane sulfonic acid (PFHxS)",$C$38, IF(C_2="PFAS: Hexafluoropropylene oxide dimer acid (HFPO-DA)",$C$39, VLOOKUP(C_2, Table_GW_Summary, MATCH("mcl", heading_GW_Summary, 0), FALSE)))))</f>
        <v>5</v>
      </c>
      <c r="N36" s="750"/>
      <c r="O36" s="797"/>
      <c r="P36" s="750">
        <f>IF(C_3="PFAS: Perfluorononanoic acid (PFNA)",$C$36,IF(C_3="PFAS: Perfluorobutane sulfonic acid (PFBS)",$C$37, IF(C_3="PFAS: Perfluorohexane sulfonic acid (PFHxS)",$C$38, IF(C_3="PFAS: Hexafluoropropylene oxide dimer acid (HFPO-DA)",$C$39, VLOOKUP(C_3, Table_GW_Summary, MATCH("mcl", heading_GW_Summary, 0), FALSE)))))</f>
        <v>6</v>
      </c>
      <c r="Q36" s="750"/>
      <c r="R36" s="797"/>
      <c r="S36" s="750">
        <f>IF(C_4="PFAS: Perfluorononanoic acid (PFNA)",$C$36,IF(C_4="PFAS: Perfluorobutane sulfonic acid (PFBS)",$C$37, IF(C_4="PFAS: Perfluorohexane sulfonic acid (PFHxS)",$C$38, IF(C_4="PFAS: Hexafluoropropylene oxide dimer acid (HFPO-DA)",$C$39, VLOOKUP(C_4, Table_GW_Summary, MATCH("mcl", heading_GW_Summary, 0), FALSE)))))</f>
        <v>0.5</v>
      </c>
      <c r="T36" s="750"/>
      <c r="U36" s="797"/>
      <c r="V36" s="750" t="str">
        <f>IF(C_5="PFAS: Perfluorononanoic acid (PFNA)",$C$36,IF(C_5="PFAS: Perfluorobutane sulfonic acid (PFBS)",$C$37, IF(C_5="PFAS: Perfluorohexane sulfonic acid (PFHxS)",$C$38, IF(C_5="PFAS: Hexafluoropropylene oxide dimer acid (HFPO-DA)",$C$39, VLOOKUP(C_5, Table_GW_Summary, MATCH("mcl", heading_GW_Summary, 0), FALSE)))))</f>
        <v>--</v>
      </c>
      <c r="W36" s="750"/>
      <c r="X36" s="797"/>
      <c r="Y36" s="733"/>
      <c r="Z36" s="42"/>
      <c r="AA36" s="42"/>
      <c r="AB36" s="42"/>
      <c r="AC36" s="42"/>
      <c r="AD36" s="42"/>
      <c r="AE36" s="42"/>
      <c r="AF36" s="42"/>
      <c r="AG36" s="42"/>
      <c r="AH36" s="42"/>
      <c r="AI36" s="42"/>
    </row>
    <row r="37" spans="1:35" ht="15" hidden="1">
      <c r="A37" s="919" t="s">
        <v>293</v>
      </c>
      <c r="B37" s="1285" t="s">
        <v>294</v>
      </c>
      <c r="C37" s="2082">
        <v>2</v>
      </c>
      <c r="D37" s="2000" t="s">
        <v>1529</v>
      </c>
      <c r="F37" s="749"/>
      <c r="G37" s="749"/>
      <c r="H37" s="329" t="s">
        <v>524</v>
      </c>
      <c r="I37" s="796"/>
      <c r="J37" s="750">
        <f>IF(Z37="--",AA37,IF(AA37="--",Z37,MIN(Z37,AA37)))</f>
        <v>0.06</v>
      </c>
      <c r="K37" s="750"/>
      <c r="L37" s="797"/>
      <c r="M37" s="750">
        <f>IF(AB37="--",AC37,IF(AC37="--",AB37,MIN(AB37,AC37)))</f>
        <v>0.49377585316143952</v>
      </c>
      <c r="N37" s="750"/>
      <c r="O37" s="797"/>
      <c r="P37" s="750">
        <f>IF(AD37="--",AE37,IF(AE37="--",AD37,MIN(AD37,AE37)))</f>
        <v>13</v>
      </c>
      <c r="Q37" s="750"/>
      <c r="R37" s="797"/>
      <c r="S37" s="750">
        <f>IF(AF37="--",AG37,IF(AG37="--",AF37,MIN(AF37,AG37)))</f>
        <v>9.6914424945337835E-3</v>
      </c>
      <c r="T37" s="750"/>
      <c r="U37" s="797"/>
      <c r="V37" s="750">
        <f>IF(AH37="--",AI37,IF(AI37="--",AH37,MIN(AH37,AI37)))</f>
        <v>210.48658526371332</v>
      </c>
      <c r="W37" s="750"/>
      <c r="X37" s="797"/>
      <c r="Y37" s="733"/>
      <c r="Z37" s="751">
        <f>VLOOKUP(C_1,Table_GW_Summary,MATCH("DW-C",heading_GW_Summary,0),FALSE)</f>
        <v>0.06</v>
      </c>
      <c r="AA37" s="751">
        <f>VLOOKUP(C_1,Table_GW_Summary,MATCH("DW-NC",heading_GW_Summary,0),FALSE)</f>
        <v>40.580395361445987</v>
      </c>
      <c r="AB37" s="751">
        <f>VLOOKUP(C_2,Table_GW_Summary,MATCH("DW-C",heading_GW_Summary,0),FALSE)</f>
        <v>0.49377585316143952</v>
      </c>
      <c r="AC37" s="751">
        <f>VLOOKUP(C_2,Table_GW_Summary,MATCH("DW-NC",heading_GW_Summary,0),FALSE)</f>
        <v>2.8252024217071989</v>
      </c>
      <c r="AD37" s="751" t="str">
        <f>VLOOKUP(C_3,Table_GW_Summary,MATCH("DW-C",heading_GW_Summary,0),FALSE)</f>
        <v>--</v>
      </c>
      <c r="AE37" s="751">
        <f>VLOOKUP(C_3,Table_GW_Summary,MATCH("DW-NC",heading_GW_Summary,0),FALSE)</f>
        <v>13</v>
      </c>
      <c r="AF37" s="751">
        <f>VLOOKUP(C_4,Table_GW_Summary,MATCH("DW-C",heading_GW_Summary,0),FALSE)</f>
        <v>9.6914424945337835E-3</v>
      </c>
      <c r="AG37" s="751">
        <f>VLOOKUP(C_4,Table_GW_Summary,MATCH("DW-NC",heading_GW_Summary,0),FALSE)</f>
        <v>36.843107700838594</v>
      </c>
      <c r="AH37" s="751" t="str">
        <f>VLOOKUP(C_5,Table_GW_Summary,MATCH("DW-C",heading_GW_Summary,0),FALSE)</f>
        <v>--</v>
      </c>
      <c r="AI37" s="751">
        <f>VLOOKUP(C_5,Table_GW_Summary,MATCH("DW-NC",heading_GW_Summary,0),FALSE)</f>
        <v>210.48658526371332</v>
      </c>
    </row>
    <row r="38" spans="1:35" ht="15" hidden="1">
      <c r="A38" s="919" t="s">
        <v>295</v>
      </c>
      <c r="B38" s="1285" t="s">
        <v>296</v>
      </c>
      <c r="C38" s="2082">
        <v>0.01</v>
      </c>
      <c r="D38" s="2000" t="s">
        <v>1529</v>
      </c>
      <c r="F38" s="749"/>
      <c r="G38" s="749"/>
      <c r="H38" s="329" t="s">
        <v>525</v>
      </c>
      <c r="I38" s="796"/>
      <c r="J38" s="752" t="s">
        <v>115</v>
      </c>
      <c r="K38" s="752"/>
      <c r="L38" s="798"/>
      <c r="M38" s="752" t="s">
        <v>115</v>
      </c>
      <c r="N38" s="752"/>
      <c r="O38" s="798"/>
      <c r="P38" s="752" t="s">
        <v>115</v>
      </c>
      <c r="Q38" s="752"/>
      <c r="R38" s="798"/>
      <c r="S38" s="752" t="s">
        <v>115</v>
      </c>
      <c r="T38" s="752"/>
      <c r="U38" s="798"/>
      <c r="V38" s="752" t="s">
        <v>115</v>
      </c>
      <c r="W38" s="752"/>
      <c r="X38" s="798"/>
      <c r="Y38" s="733"/>
      <c r="Z38" s="42"/>
      <c r="AA38" s="42"/>
      <c r="AB38" s="42"/>
      <c r="AC38" s="42"/>
      <c r="AD38" s="42"/>
      <c r="AE38" s="42"/>
      <c r="AF38" s="42"/>
      <c r="AG38" s="42"/>
      <c r="AH38" s="42"/>
      <c r="AI38" s="42"/>
    </row>
    <row r="39" spans="1:35" ht="15.75" hidden="1">
      <c r="A39" s="2080" t="s">
        <v>299</v>
      </c>
      <c r="B39" s="2081" t="s">
        <v>300</v>
      </c>
      <c r="C39" s="2082">
        <v>0.01</v>
      </c>
      <c r="D39" s="2000" t="s">
        <v>1529</v>
      </c>
      <c r="F39" s="799"/>
      <c r="G39" s="799"/>
      <c r="H39" s="800" t="s">
        <v>526</v>
      </c>
      <c r="I39" s="801"/>
      <c r="J39" s="753">
        <f>IF(Groundwater_Use="Nondrinking Water Resource",J38,IF(AND(MCL_Priority="Yes", J36&lt;&gt;"--"),J36, IF(J36="--",J37, IF(J37="--", J36, MIN(J36,J37)))))</f>
        <v>5</v>
      </c>
      <c r="K39" s="753"/>
      <c r="L39" s="802"/>
      <c r="M39" s="753">
        <f>IF(Groundwater_Use="Nondrinking Water Resource",M38, IF(AND(MCL_Priority="Yes", M36&lt;&gt;"--"), M36, IF(M36="--",M37, IF(M37="--", M36, MIN(M36,M37)))))</f>
        <v>5</v>
      </c>
      <c r="N39" s="753"/>
      <c r="O39" s="802"/>
      <c r="P39" s="753">
        <f>IF(Groundwater_Use="Nondrinking Water Resource",P38, IF(AND(MCL_Priority="Yes", P36&lt;&gt;"--"), P36, IF(P36="--",P37, IF(P37="--", P36, MIN(P36,P37)))))</f>
        <v>6</v>
      </c>
      <c r="Q39" s="753"/>
      <c r="R39" s="802"/>
      <c r="S39" s="753">
        <f>IF(Groundwater_Use="Nondrinking Water Resource",S38, IF(AND(MCL_Priority="Yes", S36&lt;&gt;"--"), S36, IF(S36="--",S37, IF(S37="--", S36, MIN(S36,S37)))))</f>
        <v>0.5</v>
      </c>
      <c r="T39" s="753"/>
      <c r="U39" s="802"/>
      <c r="V39" s="753">
        <f>IF(Groundwater_Use="Nondrinking Water Resource",V38, IF(AND(MCL_Priority="Yes", V36&lt;&gt;"--"), V36, IF(V36="--",V37, IF(V37="--", V36, MIN(V36,V37)))))</f>
        <v>210.48658526371332</v>
      </c>
      <c r="W39" s="753"/>
      <c r="X39" s="802"/>
      <c r="Y39" s="733"/>
      <c r="Z39" s="751"/>
      <c r="AA39" s="751"/>
      <c r="AB39" s="751"/>
      <c r="AC39" s="751"/>
      <c r="AD39" s="751"/>
      <c r="AE39" s="751"/>
      <c r="AF39" s="751"/>
      <c r="AG39" s="751"/>
      <c r="AH39" s="751"/>
      <c r="AI39" s="751"/>
    </row>
    <row r="40" spans="1:35" ht="15" hidden="1">
      <c r="F40" s="749"/>
      <c r="G40" s="749"/>
      <c r="H40" s="329" t="s">
        <v>527</v>
      </c>
      <c r="I40" s="796"/>
      <c r="J40" s="750">
        <f>VLOOKUP(C_1,Table_GW_Summary, MATCH("FW-EcoT", heading_GW_Summary, 0),FALSE)</f>
        <v>120</v>
      </c>
      <c r="K40" s="750"/>
      <c r="L40" s="797"/>
      <c r="M40" s="750">
        <f>VLOOKUP(C_2,Table_GW_Summary, MATCH("FW-EcoT", heading_GW_Summary, 0),FALSE)</f>
        <v>360</v>
      </c>
      <c r="N40" s="750"/>
      <c r="O40" s="797"/>
      <c r="P40" s="750">
        <f>VLOOKUP(C_3,Table_GW_Summary, MATCH("FW-EcoT", heading_GW_Summary, 0),FALSE)</f>
        <v>590</v>
      </c>
      <c r="Q40" s="750"/>
      <c r="R40" s="797"/>
      <c r="S40" s="750">
        <f>VLOOKUP(C_4,Table_GW_Summary, MATCH("FW-EcoT", heading_GW_Summary, 0),FALSE)</f>
        <v>782</v>
      </c>
      <c r="T40" s="750"/>
      <c r="U40" s="797"/>
      <c r="V40" s="750">
        <f>VLOOKUP(C_5,Table_GW_Summary, MATCH("FW-EcoT", heading_GW_Summary, 0),FALSE)</f>
        <v>640</v>
      </c>
      <c r="W40" s="750"/>
      <c r="X40" s="797"/>
      <c r="Y40" s="733"/>
      <c r="Z40" s="751"/>
      <c r="AA40" s="751"/>
      <c r="AB40" s="751"/>
      <c r="AC40" s="751"/>
      <c r="AD40" s="751"/>
      <c r="AE40" s="751"/>
      <c r="AF40" s="751"/>
      <c r="AG40" s="751"/>
      <c r="AH40" s="751"/>
      <c r="AI40" s="751"/>
    </row>
    <row r="41" spans="1:35" ht="15" hidden="1">
      <c r="F41" s="749"/>
      <c r="G41" s="749"/>
      <c r="H41" s="329" t="s">
        <v>528</v>
      </c>
      <c r="I41" s="796"/>
      <c r="J41" s="750">
        <f>VLOOKUP(C_1,Table_GW_Summary, MATCH("SW-EcoT", heading_GW_Summary, 0),FALSE)</f>
        <v>225</v>
      </c>
      <c r="K41" s="750"/>
      <c r="L41" s="797"/>
      <c r="M41" s="750">
        <f>VLOOKUP(C_2,Table_GW_Summary, MATCH("SW-EcoT", heading_GW_Summary, 0),FALSE)</f>
        <v>200</v>
      </c>
      <c r="N41" s="750"/>
      <c r="O41" s="797"/>
      <c r="P41" s="750">
        <f>VLOOKUP(C_3,Table_GW_Summary, MATCH("SW-EcoT", heading_GW_Summary, 0),FALSE)</f>
        <v>22400</v>
      </c>
      <c r="Q41" s="750"/>
      <c r="R41" s="797"/>
      <c r="S41" s="750" t="str">
        <f>VLOOKUP(C_4,Table_GW_Summary, MATCH("SW-EcoT", heading_GW_Summary, 0),FALSE)</f>
        <v>--</v>
      </c>
      <c r="T41" s="750"/>
      <c r="U41" s="797"/>
      <c r="V41" s="750">
        <f>VLOOKUP(C_5,Table_GW_Summary, MATCH("SW-EcoT", heading_GW_Summary, 0),FALSE)</f>
        <v>640</v>
      </c>
      <c r="W41" s="750"/>
      <c r="X41" s="797"/>
      <c r="Y41" s="733"/>
      <c r="Z41" s="751"/>
      <c r="AA41" s="751"/>
      <c r="AB41" s="751"/>
      <c r="AC41" s="751"/>
      <c r="AD41" s="751"/>
      <c r="AE41" s="751"/>
      <c r="AF41" s="751"/>
      <c r="AG41" s="751"/>
      <c r="AH41" s="751"/>
      <c r="AI41" s="751"/>
    </row>
    <row r="42" spans="1:35" ht="15" hidden="1">
      <c r="F42" s="749"/>
      <c r="G42" s="749"/>
      <c r="H42" s="329" t="s">
        <v>529</v>
      </c>
      <c r="I42" s="796"/>
      <c r="J42" s="750">
        <f>VLOOKUP(C_1,Table_GW_Summary, MATCH("bioac", heading_GW_Summary, 0),FALSE)</f>
        <v>2</v>
      </c>
      <c r="K42" s="750"/>
      <c r="L42" s="797"/>
      <c r="M42" s="750">
        <f>VLOOKUP(C_2,Table_GW_Summary, MATCH("bioac", heading_GW_Summary, 0),FALSE)</f>
        <v>7</v>
      </c>
      <c r="N42" s="750"/>
      <c r="O42" s="797"/>
      <c r="P42" s="750" t="str">
        <f>VLOOKUP(C_3,Table_GW_Summary, MATCH("bioac", heading_GW_Summary, 0),FALSE)</f>
        <v>--</v>
      </c>
      <c r="Q42" s="750"/>
      <c r="R42" s="797"/>
      <c r="S42" s="750">
        <f>VLOOKUP(C_4,Table_GW_Summary, MATCH("bioac", heading_GW_Summary, 0),FALSE)</f>
        <v>1.6</v>
      </c>
      <c r="T42" s="750"/>
      <c r="U42" s="797"/>
      <c r="V42" s="750" t="str">
        <f>VLOOKUP(C_5,Table_GW_Summary, MATCH("bioac", heading_GW_Summary, 0),FALSE)</f>
        <v>--</v>
      </c>
      <c r="W42" s="750"/>
      <c r="X42" s="797"/>
      <c r="Y42" s="733"/>
      <c r="Z42" s="751"/>
      <c r="AA42" s="751"/>
      <c r="AB42" s="751"/>
      <c r="AC42" s="751"/>
      <c r="AD42" s="751"/>
      <c r="AE42" s="751"/>
      <c r="AF42" s="751"/>
      <c r="AG42" s="751"/>
      <c r="AH42" s="751"/>
      <c r="AI42" s="751"/>
    </row>
    <row r="43" spans="1:35" ht="15.75" hidden="1">
      <c r="F43" s="799"/>
      <c r="G43" s="799"/>
      <c r="H43" s="800" t="s">
        <v>530</v>
      </c>
      <c r="I43" s="801"/>
      <c r="J43" s="753">
        <f>IF(Discharge="No Dischage Expected","--", IF(AND(Discharge="freshwater", OR(J40&lt;&gt;"--",J42&lt;&gt;"--")),MIN(J40,J42), IF(AND(Discharge="saltwater", OR(J41&lt;&gt;"--",J42&lt;&gt;"--")), MIN(J42,J41), IF(AND(Discharge="Saltwater &amp; Freshwater", OR(J40&lt;&gt;"--",J41&lt;&gt;"--",J42&lt;&gt;"--")),MIN(J40,J41,J42),"--"))))</f>
        <v>2</v>
      </c>
      <c r="K43" s="753" t="str">
        <f>IF(J$52&gt;0,IF(J$52&gt;J43, "Yes", "No"), "--")</f>
        <v>--</v>
      </c>
      <c r="L43" s="802"/>
      <c r="M43" s="753">
        <f>IF(Discharge="No Dischage Expected","--", IF(AND(Discharge="freshwater", OR(M40&lt;&gt;"--",M42&lt;&gt;"--")),MIN(M40,M42), IF(AND(Discharge="saltwater", OR(M41&lt;&gt;"--",M42&lt;&gt;"--")), MIN(M42,M41), IF(AND(Discharge="Saltwater &amp; Freshwater", OR(M40&lt;&gt;"--",M41&lt;&gt;"--",M42&lt;&gt;"--")),MIN(M40,M41,M42),"--"))))</f>
        <v>7</v>
      </c>
      <c r="N43" s="753" t="str">
        <f>IF(M$52&gt;0,IF(M$52&gt;M43, "Yes", "No"), "--")</f>
        <v>--</v>
      </c>
      <c r="O43" s="802"/>
      <c r="P43" s="753">
        <f>IF(Discharge="No Dischage Expected","--", IF(AND(Discharge="freshwater", OR(P40&lt;&gt;"--",P42&lt;&gt;"--")),MIN(P40,P42), IF(AND(Discharge="saltwater", OR(P41&lt;&gt;"--",P42&lt;&gt;"--")), MIN(P42,P41), IF(AND(Discharge="Saltwater &amp; Freshwater", OR(P40&lt;&gt;"--",P41&lt;&gt;"--",P42&lt;&gt;"--")),MIN(P40,P41,P42),"--"))))</f>
        <v>590</v>
      </c>
      <c r="Q43" s="753" t="str">
        <f>IF(P$52&gt;0,IF(P$52&gt;P43, "Yes", "No"), "--")</f>
        <v>--</v>
      </c>
      <c r="R43" s="802"/>
      <c r="S43" s="753">
        <f>IF(Discharge="No Dischage Expected","--", IF(AND(Discharge="freshwater", OR(S40&lt;&gt;"--",S42&lt;&gt;"--")),MIN(S40,S42), IF(AND(Discharge="saltwater", OR(S41&lt;&gt;"--",S42&lt;&gt;"--")), MIN(S42,S41), IF(AND(Discharge="Saltwater &amp; Freshwater", OR(S40&lt;&gt;"--",S41&lt;&gt;"--",S42&lt;&gt;"--")),MIN(S40,S41,S42),"--"))))</f>
        <v>1.6</v>
      </c>
      <c r="T43" s="753" t="str">
        <f>IF(S$52&gt;0,IF(S$52&gt;S43, "Yes", "No"), "--")</f>
        <v>--</v>
      </c>
      <c r="U43" s="802"/>
      <c r="V43" s="753">
        <f>IF(Discharge="No Dischage Expected","--", IF(AND(Discharge="freshwater", OR(V40&lt;&gt;"--",V42&lt;&gt;"--")),MIN(V40,V42), IF(AND(Discharge="saltwater", OR(V41&lt;&gt;"--",V42&lt;&gt;"--")), MIN(V42,V41), IF(AND(Discharge="Saltwater &amp; Freshwater", OR(V40&lt;&gt;"--",V41&lt;&gt;"--",V42&lt;&gt;"--")),MIN(V40,V41,V42),"--"))))</f>
        <v>640</v>
      </c>
      <c r="W43" s="753" t="str">
        <f>IF(V$52&gt;0,IF(V$52&gt;V43, "Yes", "No"), "--")</f>
        <v>--</v>
      </c>
      <c r="X43" s="802"/>
      <c r="Y43" s="733" t="str">
        <f>IF(AND(K43="--",N43="--",Q43="--",T43="--",W43="--"), "No Data", IF(OR(K43="yes",N43="yes",Q43="yes",T43="yes",W43="yes"), "Above ESLs", "Below ESLs"))</f>
        <v>No Data</v>
      </c>
      <c r="Z43" s="751"/>
      <c r="AA43" s="751"/>
      <c r="AB43" s="751"/>
      <c r="AC43" s="751"/>
      <c r="AD43" s="751"/>
      <c r="AE43" s="751"/>
      <c r="AF43" s="751"/>
      <c r="AG43" s="751"/>
      <c r="AH43" s="751"/>
      <c r="AI43" s="751"/>
    </row>
    <row r="44" spans="1:35" ht="15" hidden="1">
      <c r="F44" s="749"/>
      <c r="G44" s="749"/>
      <c r="H44" s="329" t="s">
        <v>531</v>
      </c>
      <c r="I44" s="796"/>
      <c r="J44" s="750">
        <f>IF(Z44="--",AA44,IF(AA44="--",Z44,MIN(Z44,AA44)))</f>
        <v>0.63606699866771998</v>
      </c>
      <c r="K44" s="750"/>
      <c r="L44" s="797"/>
      <c r="M44" s="750">
        <f>IF(AB44="--",AC44,IF(AC44="--",AB44,MIN(AB44,AC44)))</f>
        <v>1.1877804862349743</v>
      </c>
      <c r="N44" s="750"/>
      <c r="O44" s="797"/>
      <c r="P44" s="750">
        <f>IF(AD44="--",AE44,IF(AE44="--",AD44,MIN(AD44,AE44)))</f>
        <v>250.08123249299314</v>
      </c>
      <c r="Q44" s="750"/>
      <c r="R44" s="797"/>
      <c r="S44" s="750">
        <f>IF(AF44="--",AG44,IF(AG44="--",AF44,MIN(AF44,AG44)))</f>
        <v>8.3177281019007829E-3</v>
      </c>
      <c r="T44" s="750"/>
      <c r="U44" s="797"/>
      <c r="V44" s="750" t="str">
        <f>IF(AH44="--",AI44,IF(AI44="--",AH44,MIN(AH44,AI44)))</f>
        <v>--</v>
      </c>
      <c r="W44" s="750"/>
      <c r="X44" s="797"/>
      <c r="Y44" s="733"/>
      <c r="Z44" s="751">
        <f>VLOOKUP(C_1,Table_GW_Summary,MATCH("Res-VI-C-Min",heading_GW_Summary,0),FALSE)</f>
        <v>0.63606699866771998</v>
      </c>
      <c r="AA44" s="751">
        <f>VLOOKUP(C_1,Table_GW_Summary,MATCH("Res-VI-NC-Min",heading_GW_Summary,0),FALSE)</f>
        <v>57.645843422114531</v>
      </c>
      <c r="AB44" s="751">
        <f>VLOOKUP(C_2,Table_GW_Summary,MATCH("Res-VI-C-Min",heading_GW_Summary,0),FALSE)</f>
        <v>1.1877804862349743</v>
      </c>
      <c r="AC44" s="751">
        <f>VLOOKUP(C_2,Table_GW_Summary,MATCH("Res-VI-NC-Min",heading_GW_Summary,0),FALSE)</f>
        <v>5.1793473531543945</v>
      </c>
      <c r="AD44" s="751" t="str">
        <f>VLOOKUP(C_3,Table_GW_Summary,MATCH("Res-VI-C-Min",heading_GW_Summary,0),FALSE)</f>
        <v>--</v>
      </c>
      <c r="AE44" s="751">
        <f>VLOOKUP(C_3,Table_GW_Summary,MATCH("Res-VI-NC-Min",heading_GW_Summary,0),FALSE)</f>
        <v>250.08123249299314</v>
      </c>
      <c r="AF44" s="751">
        <f>VLOOKUP(C_4,Table_GW_Summary,MATCH("Res-VI-C-Min",heading_GW_Summary,0),FALSE)</f>
        <v>8.3177281019007829E-3</v>
      </c>
      <c r="AG44" s="751">
        <f>VLOOKUP(C_4,Table_GW_Summary,MATCH("Res-VI-NC-Min",heading_GW_Summary,0),FALSE)</f>
        <v>46.795775950668151</v>
      </c>
      <c r="AH44" s="751" t="str">
        <f>VLOOKUP(C_5,Table_GW_Summary,MATCH("Res-VI-C-Min",heading_GW_Summary,0),FALSE)</f>
        <v>--</v>
      </c>
      <c r="AI44" s="751" t="str">
        <f>VLOOKUP(C_5,Table_GW_Summary,MATCH("Res-VI-NC-Min",heading_GW_Summary,0),FALSE)</f>
        <v>--</v>
      </c>
    </row>
    <row r="45" spans="1:35" ht="15" hidden="1">
      <c r="F45" s="749"/>
      <c r="G45" s="749"/>
      <c r="H45" s="329" t="s">
        <v>532</v>
      </c>
      <c r="I45" s="796"/>
      <c r="J45" s="750">
        <f>IF(Z45="--",AA45,IF(AA45="--",Z45,MIN(Z45,AA45)))</f>
        <v>2.7783406501806009</v>
      </c>
      <c r="K45" s="750"/>
      <c r="L45" s="797"/>
      <c r="M45" s="750">
        <f>IF(AB45="--",AC45,IF(AC45="--",AB45,MIN(AB45,AC45)))</f>
        <v>7.4279420576945929</v>
      </c>
      <c r="N45" s="750"/>
      <c r="O45" s="797"/>
      <c r="P45" s="750">
        <f>IF(AD45="--",AE45,IF(AE45="--",AD45,MIN(AD45,AE45)))</f>
        <v>1050.3411764705711</v>
      </c>
      <c r="Q45" s="750"/>
      <c r="R45" s="797"/>
      <c r="S45" s="750">
        <f t="shared" ref="S45" si="0">IF(AF45="--",AG45,IF(AG45="--",AF45,MIN(AF45,AG45)))</f>
        <v>0.13834045379081381</v>
      </c>
      <c r="T45" s="750"/>
      <c r="U45" s="797"/>
      <c r="V45" s="750" t="str">
        <f>IF(AH45="--",AI45,IF(AI45="--",AH45,MIN(AH45,AI45)))</f>
        <v>--</v>
      </c>
      <c r="W45" s="750"/>
      <c r="X45" s="797"/>
      <c r="Y45" s="733"/>
      <c r="Z45" s="751">
        <f>VLOOKUP(C_1,Table_GW_Summary,MATCH("Com-VI-C-Min",heading_GW_Summary,0),FALSE)</f>
        <v>2.7783406501806009</v>
      </c>
      <c r="AA45" s="751">
        <f>VLOOKUP(C_1,Table_GW_Summary,MATCH("Com-VI-NC-Min",heading_GW_Summary,0),FALSE)</f>
        <v>242.11254237288099</v>
      </c>
      <c r="AB45" s="751">
        <f>VLOOKUP(C_2,Table_GW_Summary,MATCH("Com-VI-C-Min",heading_GW_Summary,0),FALSE)</f>
        <v>7.4279420576945929</v>
      </c>
      <c r="AC45" s="751">
        <f>VLOOKUP(C_2,Table_GW_Summary,MATCH("Com-VI-NC-Min",heading_GW_Summary,0),FALSE)</f>
        <v>21.753258883248456</v>
      </c>
      <c r="AD45" s="751" t="str">
        <f>VLOOKUP(C_3,Table_GW_Summary,MATCH("Com-VI-C-Min",heading_GW_Summary,0),FALSE)</f>
        <v>--</v>
      </c>
      <c r="AE45" s="751">
        <f>VLOOKUP(C_3,Table_GW_Summary,MATCH("Com-VI-NC-Min",heading_GW_Summary,0),FALSE)</f>
        <v>1050.3411764705711</v>
      </c>
      <c r="AF45" s="751">
        <f>VLOOKUP(C_4,Table_GW_Summary,MATCH("Com-VI-C-Min",heading_GW_Summary,0),FALSE)</f>
        <v>0.13834045379081381</v>
      </c>
      <c r="AG45" s="751">
        <f>VLOOKUP(C_4,Table_GW_Summary,MATCH("Com-VI-NC-Min",heading_GW_Summary,0),FALSE)</f>
        <v>196.54225899280624</v>
      </c>
      <c r="AH45" s="751" t="str">
        <f>VLOOKUP(C_5,Table_GW_Summary,MATCH("Com-VI-C-Min",heading_GW_Summary,0),FALSE)</f>
        <v>--</v>
      </c>
      <c r="AI45" s="751" t="str">
        <f>VLOOKUP(C_5,Table_GW_Summary,MATCH("Com-VI-NC-Min",heading_GW_Summary,0),FALSE)</f>
        <v>--</v>
      </c>
    </row>
    <row r="46" spans="1:35" ht="15.75" hidden="1">
      <c r="F46" s="799"/>
      <c r="G46" s="799"/>
      <c r="H46" s="803" t="s">
        <v>533</v>
      </c>
      <c r="I46" s="804"/>
      <c r="J46" s="805">
        <f>IF(Land_Use="Residential",J44, J45)</f>
        <v>0.63606699866771998</v>
      </c>
      <c r="K46" s="753" t="str">
        <f>IF(J$52&gt;0,IF(J$52&gt;J46, "Yes", "No"), "--")</f>
        <v>--</v>
      </c>
      <c r="L46" s="806"/>
      <c r="M46" s="805">
        <f>IF(Land_Use="Residential",M44, M45)</f>
        <v>1.1877804862349743</v>
      </c>
      <c r="N46" s="753" t="str">
        <f>IF(M$52&gt;0,IF(M$52&gt;M46, "Yes", "No"), "--")</f>
        <v>--</v>
      </c>
      <c r="O46" s="806"/>
      <c r="P46" s="805">
        <f>IF(Land_Use="Residential",P44, P45)</f>
        <v>250.08123249299314</v>
      </c>
      <c r="Q46" s="753" t="str">
        <f>IF(P$52&gt;0,IF(P$52&gt;P46, "Yes", "No"), "--")</f>
        <v>--</v>
      </c>
      <c r="R46" s="806"/>
      <c r="S46" s="805">
        <f>IF(Land_Use="Residential",S44, S45)</f>
        <v>8.3177281019007829E-3</v>
      </c>
      <c r="T46" s="753" t="str">
        <f>IF(S$52&gt;0,IF(S$52&gt;S46, "Yes", "No"), "--")</f>
        <v>--</v>
      </c>
      <c r="U46" s="806"/>
      <c r="V46" s="805" t="str">
        <f>IF(Land_Use="Residential",V44, V45)</f>
        <v>--</v>
      </c>
      <c r="W46" s="753" t="str">
        <f>IF(V$52&gt;0,IF(V$52&gt;V46, "Yes", "No"), "--")</f>
        <v>--</v>
      </c>
      <c r="X46" s="806"/>
      <c r="Y46" s="733" t="str">
        <f>IF(AND(K46="--",N46="--",Q46="--",T46="--",W46="--"), "No Data", IF(OR(K46="yes",N46="yes",Q46="yes",T46="yes",W46="yes"), "Above ESLs; Sample SG or IA", "Below ESLs"))</f>
        <v>No Data</v>
      </c>
      <c r="Z46" s="751">
        <f t="shared" ref="Z46:AI46" si="1">IF(Land_Use="Residential",Z44, Z45)</f>
        <v>0.63606699866771998</v>
      </c>
      <c r="AA46" s="751">
        <f t="shared" si="1"/>
        <v>57.645843422114531</v>
      </c>
      <c r="AB46" s="751">
        <f t="shared" si="1"/>
        <v>1.1877804862349743</v>
      </c>
      <c r="AC46" s="751">
        <f t="shared" si="1"/>
        <v>5.1793473531543945</v>
      </c>
      <c r="AD46" s="751" t="str">
        <f t="shared" si="1"/>
        <v>--</v>
      </c>
      <c r="AE46" s="751">
        <f t="shared" si="1"/>
        <v>250.08123249299314</v>
      </c>
      <c r="AF46" s="751">
        <f t="shared" si="1"/>
        <v>8.3177281019007829E-3</v>
      </c>
      <c r="AG46" s="751">
        <f t="shared" si="1"/>
        <v>46.795775950668151</v>
      </c>
      <c r="AH46" s="751" t="str">
        <f t="shared" si="1"/>
        <v>--</v>
      </c>
      <c r="AI46" s="751" t="str">
        <f t="shared" si="1"/>
        <v>--</v>
      </c>
    </row>
    <row r="47" spans="1:35" ht="15.75" hidden="1">
      <c r="F47" s="799"/>
      <c r="G47" s="799"/>
      <c r="H47" s="803" t="s">
        <v>534</v>
      </c>
      <c r="I47" s="804"/>
      <c r="J47" s="805">
        <f>VLOOKUP(C_1, Table_GW_Summary, MATCH("W-GC", heading_GW_Summary, 0), FALSE)</f>
        <v>50000</v>
      </c>
      <c r="K47" s="753" t="str">
        <f>IF(J$52&gt;0,IF(J$52&gt;J47, "Yes", "No"), "--")</f>
        <v>--</v>
      </c>
      <c r="L47" s="806"/>
      <c r="M47" s="805">
        <f>VLOOKUP(C_2, Table_GW_Summary, MATCH("W-GC", heading_GW_Summary, 0), FALSE)</f>
        <v>50000</v>
      </c>
      <c r="N47" s="753" t="str">
        <f>IF(M$52&gt;0,IF(M$52&gt;M47, "Yes", "No"), "--")</f>
        <v>--</v>
      </c>
      <c r="O47" s="806"/>
      <c r="P47" s="805">
        <f>VLOOKUP(C_3, Table_GW_Summary, MATCH("W-GC", heading_GW_Summary, 0), FALSE)</f>
        <v>50000</v>
      </c>
      <c r="Q47" s="753" t="str">
        <f>IF(P$52&gt;0,IF(P$52&gt;P47, "Yes", "No"), "--")</f>
        <v>--</v>
      </c>
      <c r="R47" s="806"/>
      <c r="S47" s="805">
        <f>VLOOKUP(C_4, Table_GW_Summary, MATCH("W-GC", heading_GW_Summary, 0), FALSE)</f>
        <v>50000</v>
      </c>
      <c r="T47" s="753" t="str">
        <f>IF(S$52&gt;0,IF(S$52&gt;S47, "Yes", "No"), "--")</f>
        <v>--</v>
      </c>
      <c r="U47" s="806"/>
      <c r="V47" s="805">
        <f>VLOOKUP(C_5, Table_GW_Summary, MATCH("W-GC", heading_GW_Summary, 0), FALSE)</f>
        <v>2500</v>
      </c>
      <c r="W47" s="753" t="str">
        <f>IF(V$52&gt;0,IF(V$52&gt;V47, "Yes", "No"), "--")</f>
        <v>--</v>
      </c>
      <c r="X47" s="806"/>
      <c r="Y47" s="733" t="str">
        <f>IF(AND(K47="--",N47="--",Q47="--",T47="--",W47="--"), "No Data", IF(OR(K47="yes",N47="yes",Q47="yes",T47="yes",W47="yes"), "Above ESLs", "Below ESLs"))</f>
        <v>No Data</v>
      </c>
      <c r="Z47" s="751"/>
      <c r="AA47" s="751"/>
      <c r="AB47" s="751"/>
      <c r="AC47" s="751"/>
      <c r="AD47" s="751"/>
      <c r="AE47" s="751"/>
      <c r="AF47" s="751"/>
      <c r="AG47" s="751"/>
      <c r="AH47" s="751"/>
      <c r="AI47" s="751"/>
    </row>
    <row r="48" spans="1:35" ht="15" hidden="1">
      <c r="F48" s="749"/>
      <c r="G48" s="749"/>
      <c r="H48" s="329" t="s">
        <v>535</v>
      </c>
      <c r="I48" s="796"/>
      <c r="J48" s="750">
        <f>VLOOKUP(C_1,Table_GW_Summary, MATCH("DW-NO", heading_GW_Summary, 0),FALSE)</f>
        <v>170</v>
      </c>
      <c r="K48" s="750"/>
      <c r="L48" s="797"/>
      <c r="M48" s="750">
        <f>VLOOKUP(C_2,Table_GW_Summary, MATCH("DW-NO", heading_GW_Summary, 0),FALSE)</f>
        <v>310</v>
      </c>
      <c r="N48" s="750"/>
      <c r="O48" s="797"/>
      <c r="P48" s="750" t="str">
        <f>VLOOKUP(C_3,Table_GW_Summary, MATCH("DW-NO", heading_GW_Summary, 0),FALSE)</f>
        <v>--</v>
      </c>
      <c r="Q48" s="750"/>
      <c r="R48" s="797"/>
      <c r="S48" s="750">
        <f>VLOOKUP(C_4,Table_GW_Summary, MATCH("DW-NO", heading_GW_Summary, 0),FALSE)</f>
        <v>3400</v>
      </c>
      <c r="T48" s="750"/>
      <c r="U48" s="797"/>
      <c r="V48" s="750">
        <f>VLOOKUP(C_5,Table_GW_Summary, MATCH("DW-NO", heading_GW_Summary, 0),FALSE)</f>
        <v>100</v>
      </c>
      <c r="W48" s="750"/>
      <c r="X48" s="797"/>
      <c r="Y48" s="733"/>
      <c r="Z48" s="751"/>
      <c r="AA48" s="751"/>
      <c r="AB48" s="751"/>
      <c r="AC48" s="751"/>
      <c r="AD48" s="751"/>
      <c r="AE48" s="751"/>
      <c r="AF48" s="751"/>
      <c r="AG48" s="751"/>
      <c r="AH48" s="751"/>
      <c r="AI48" s="751"/>
    </row>
    <row r="49" spans="6:35" ht="15" hidden="1">
      <c r="F49" s="749"/>
      <c r="G49" s="749"/>
      <c r="H49" s="329" t="s">
        <v>536</v>
      </c>
      <c r="I49" s="796"/>
      <c r="J49" s="750">
        <f>VLOOKUP(C_1,Table_GW_Summary, MATCH("NDW-NO", heading_GW_Summary, 0),FALSE)</f>
        <v>3000</v>
      </c>
      <c r="K49" s="750"/>
      <c r="L49" s="797"/>
      <c r="M49" s="750">
        <f>VLOOKUP(C_2,Table_GW_Summary, MATCH("NDW-NO", heading_GW_Summary, 0),FALSE)</f>
        <v>100000</v>
      </c>
      <c r="N49" s="750"/>
      <c r="O49" s="797"/>
      <c r="P49" s="750" t="str">
        <f>VLOOKUP(C_3,Table_GW_Summary, MATCH("NDW-NO", heading_GW_Summary, 0),FALSE)</f>
        <v>--</v>
      </c>
      <c r="Q49" s="750"/>
      <c r="R49" s="797"/>
      <c r="S49" s="750">
        <f>VLOOKUP(C_4,Table_GW_Summary, MATCH("NDW-NO", heading_GW_Summary, 0),FALSE)</f>
        <v>34000</v>
      </c>
      <c r="T49" s="750"/>
      <c r="U49" s="797"/>
      <c r="V49" s="750">
        <f>VLOOKUP(C_5,Table_GW_Summary, MATCH("NDW-NO", heading_GW_Summary, 0),FALSE)</f>
        <v>5000</v>
      </c>
      <c r="W49" s="750"/>
      <c r="X49" s="797"/>
      <c r="Y49" s="733"/>
      <c r="Z49" s="751"/>
      <c r="AA49" s="751"/>
      <c r="AB49" s="751"/>
      <c r="AC49" s="751"/>
      <c r="AD49" s="751"/>
      <c r="AE49" s="751"/>
      <c r="AF49" s="751"/>
      <c r="AG49" s="751"/>
      <c r="AH49" s="751"/>
      <c r="AI49" s="751"/>
    </row>
    <row r="50" spans="6:35" ht="15.75" hidden="1">
      <c r="F50" s="799"/>
      <c r="G50" s="799"/>
      <c r="H50" s="800" t="s">
        <v>537</v>
      </c>
      <c r="I50" s="801"/>
      <c r="J50" s="753">
        <f>IF(Groundwater_Use="Drinking Water Resource",J48,J49)</f>
        <v>170</v>
      </c>
      <c r="K50" s="753" t="str">
        <f>IF(J$52&gt;0,IF(J$52&gt;J50, "Yes", "No"), "--")</f>
        <v>--</v>
      </c>
      <c r="L50" s="802"/>
      <c r="M50" s="753">
        <f>IF(Groundwater_Use="Drinking Water Resource",M48,M49)</f>
        <v>310</v>
      </c>
      <c r="N50" s="753" t="str">
        <f>IF(M$52&gt;0,IF(M$52&gt;M50, "Yes", "No"), "--")</f>
        <v>--</v>
      </c>
      <c r="O50" s="802"/>
      <c r="P50" s="753" t="str">
        <f>IF(Groundwater_Use="Drinking Water Resource",P48,P49)</f>
        <v>--</v>
      </c>
      <c r="Q50" s="753" t="str">
        <f>IF(P$52&gt;0,IF(P$52&gt;P50, "Yes", "No"), "--")</f>
        <v>--</v>
      </c>
      <c r="R50" s="802"/>
      <c r="S50" s="753">
        <f>IF(Groundwater_Use="Drinking Water Resource",S48,S49)</f>
        <v>3400</v>
      </c>
      <c r="T50" s="753" t="str">
        <f>IF(S$52&gt;0,IF(S$52&gt;S50, "Yes", "No"), "--")</f>
        <v>--</v>
      </c>
      <c r="U50" s="802"/>
      <c r="V50" s="753">
        <f>IF(Groundwater_Use="Drinking Water Resource",V48,V49)</f>
        <v>100</v>
      </c>
      <c r="W50" s="753" t="str">
        <f>IF(V$52&gt;0,IF(V$52&gt;V50, "Yes", "No"), "--")</f>
        <v>--</v>
      </c>
      <c r="X50" s="802"/>
      <c r="Y50" s="733" t="str">
        <f>IF(AND(K50="--",N50="--",Q50="--",T50="--",W50="--"), "No Data", IF(OR(K50="yes",N50="yes",Q50="yes",T50="yes",W50="yes"), "Above ESLs", "Below ESLs"))</f>
        <v>No Data</v>
      </c>
      <c r="Z50" s="751"/>
      <c r="AA50" s="751"/>
      <c r="AB50" s="751"/>
      <c r="AC50" s="751"/>
      <c r="AD50" s="751"/>
      <c r="AE50" s="751"/>
      <c r="AF50" s="751"/>
      <c r="AG50" s="751"/>
      <c r="AH50" s="751"/>
      <c r="AI50" s="751"/>
    </row>
    <row r="51" spans="6:35" ht="15.75" hidden="1">
      <c r="F51" s="801"/>
      <c r="G51" s="801"/>
      <c r="H51" s="801" t="s">
        <v>538</v>
      </c>
      <c r="I51" s="801"/>
      <c r="J51" s="802">
        <f>IF(MIN(J39,J43,J46,J47,J50)=0, "--",MIN(J39,J43,J46,J47,J50))</f>
        <v>0.63606699866771998</v>
      </c>
      <c r="K51" s="802"/>
      <c r="L51" s="802"/>
      <c r="M51" s="802">
        <f>IF(MIN(M39,M43,M46,M47,M50)=0, "--",MIN(M39,M43,M46,M47,M50))</f>
        <v>1.1877804862349743</v>
      </c>
      <c r="N51" s="802"/>
      <c r="O51" s="802"/>
      <c r="P51" s="802">
        <f>IF(MIN(P39,P43,P46,P47,P50)=0, "--",MIN(P39,P43,P46,P47,P50))</f>
        <v>6</v>
      </c>
      <c r="Q51" s="802"/>
      <c r="R51" s="802"/>
      <c r="S51" s="802">
        <f>IF(MIN(S39,S43,S46,S47,S50)=0, "--",MIN(S39,S43,S46,S47,S50))</f>
        <v>8.3177281019007829E-3</v>
      </c>
      <c r="T51" s="802"/>
      <c r="U51" s="802"/>
      <c r="V51" s="802">
        <f>IF(MIN(V39,V43,V46,V47,V50)=0, "--",MIN(V39,V43,V46,V47,V50))</f>
        <v>100</v>
      </c>
      <c r="W51" s="802"/>
      <c r="X51" s="802"/>
      <c r="Y51" s="733"/>
      <c r="Z51" s="751"/>
      <c r="AA51" s="751"/>
      <c r="AB51" s="751"/>
      <c r="AC51" s="751"/>
      <c r="AD51" s="751"/>
      <c r="AE51" s="751"/>
      <c r="AF51" s="751"/>
      <c r="AG51" s="751"/>
      <c r="AH51" s="751"/>
      <c r="AI51" s="751"/>
    </row>
    <row r="52" spans="6:35" ht="15.75" hidden="1">
      <c r="F52" s="1023"/>
      <c r="G52" s="1023"/>
      <c r="H52" s="1019" t="s">
        <v>539</v>
      </c>
      <c r="I52" s="1023"/>
      <c r="J52" s="1024">
        <f>Conc_C1_GW</f>
        <v>0</v>
      </c>
      <c r="K52" s="1024"/>
      <c r="L52" s="1024"/>
      <c r="M52" s="1024">
        <f>Conc_C2_GW</f>
        <v>0</v>
      </c>
      <c r="N52" s="1024"/>
      <c r="O52" s="1024"/>
      <c r="P52" s="1024">
        <f>Conc_C3_GW</f>
        <v>0</v>
      </c>
      <c r="Q52" s="1024"/>
      <c r="R52" s="1024"/>
      <c r="S52" s="1024">
        <f>Conc_C4_GW</f>
        <v>0</v>
      </c>
      <c r="T52" s="1024"/>
      <c r="U52" s="1024"/>
      <c r="V52" s="1024">
        <f>Conc_C5_GW</f>
        <v>0</v>
      </c>
      <c r="W52" s="1024"/>
      <c r="X52" s="1023"/>
      <c r="Y52" s="733"/>
      <c r="Z52" s="751"/>
      <c r="AA52" s="751"/>
      <c r="AB52" s="751"/>
      <c r="AC52" s="751"/>
      <c r="AD52" s="751"/>
      <c r="AE52" s="751"/>
      <c r="AF52" s="751"/>
      <c r="AG52" s="751"/>
      <c r="AH52" s="751"/>
      <c r="AI52" s="751"/>
    </row>
    <row r="53" spans="6:35" ht="15.75" hidden="1">
      <c r="F53" s="2326" t="s">
        <v>540</v>
      </c>
      <c r="G53" s="2326"/>
      <c r="H53" s="2326"/>
      <c r="I53" s="2326"/>
      <c r="J53" s="2326"/>
      <c r="K53" s="2326"/>
      <c r="L53" s="2326"/>
      <c r="M53" s="2326"/>
      <c r="N53" s="2326"/>
      <c r="O53" s="2326"/>
      <c r="P53" s="2326"/>
      <c r="Q53" s="2326"/>
      <c r="R53" s="2326"/>
      <c r="S53" s="2326"/>
      <c r="T53" s="2326"/>
      <c r="U53" s="2326"/>
      <c r="V53" s="2326"/>
      <c r="W53" s="1967"/>
      <c r="X53" s="945"/>
      <c r="Y53" s="733"/>
      <c r="Z53" s="751"/>
      <c r="AA53" s="751"/>
      <c r="AB53" s="751"/>
      <c r="AC53" s="751"/>
      <c r="AD53" s="751"/>
      <c r="AE53" s="751"/>
      <c r="AF53" s="751"/>
      <c r="AG53" s="751"/>
      <c r="AH53" s="751"/>
      <c r="AI53" s="751"/>
    </row>
    <row r="54" spans="6:35" ht="15" hidden="1">
      <c r="F54" s="754"/>
      <c r="G54" s="754"/>
      <c r="H54" s="332" t="s">
        <v>541</v>
      </c>
      <c r="I54" s="944"/>
      <c r="J54" s="755">
        <f>IF(Z54="--",AA54,IF(AA54="--",Z54,MIN(Z54,AA54)))</f>
        <v>0.58761543617295708</v>
      </c>
      <c r="K54" s="755"/>
      <c r="L54" s="942"/>
      <c r="M54" s="755">
        <f>IF(AB54="--",AC54,IF(AC54="--",AB54,MIN(AB54,AC54)))</f>
        <v>0.94322350821413881</v>
      </c>
      <c r="N54" s="755"/>
      <c r="O54" s="942"/>
      <c r="P54" s="755">
        <f>IF(AD54="--",AE54,IF(AE54="--",AD54,MIN(AD54,AE54)))</f>
        <v>62.575353556524746</v>
      </c>
      <c r="Q54" s="755"/>
      <c r="R54" s="942"/>
      <c r="S54" s="755">
        <f>IF(AF54="--",AG54,IF(AG54="--",AF54,MIN(AF54,AG54)))</f>
        <v>8.2447432304591194E-3</v>
      </c>
      <c r="T54" s="755"/>
      <c r="U54" s="942"/>
      <c r="V54" s="755">
        <f>IF(AH54="--",AI54,IF(AI54="--",AH54,MIN(AH54,AI54)))</f>
        <v>245.14598701027165</v>
      </c>
      <c r="W54" s="755"/>
      <c r="X54" s="945"/>
      <c r="Y54" s="733"/>
      <c r="Z54" s="751">
        <f>VLOOKUP(C_1,Table_S_Summary,MATCH("s-res-C",heading_S_Summary,0),FALSE)</f>
        <v>0.58761543617295708</v>
      </c>
      <c r="AA54" s="751">
        <f>VLOOKUP(C_1,Table_S_Summary,MATCH("s-res-NC",heading_S_Summary,0),FALSE)</f>
        <v>81.048537528281187</v>
      </c>
      <c r="AB54" s="751">
        <f>VLOOKUP(C_2,Table_S_Summary,MATCH("s-res-C",heading_S_Summary,0),FALSE)</f>
        <v>0.94322350821413881</v>
      </c>
      <c r="AC54" s="751">
        <f>VLOOKUP(C_2,Table_S_Summary,MATCH("s-res-NC",heading_S_Summary,0),FALSE)</f>
        <v>4.1221571353619346</v>
      </c>
      <c r="AD54" s="751" t="str">
        <f>VLOOKUP(C_3,Table_S_Summary,MATCH("s-res-C",heading_S_Summary,0),FALSE)</f>
        <v>--</v>
      </c>
      <c r="AE54" s="751">
        <f>VLOOKUP(C_3,Table_S_Summary,MATCH("s-res-NC",heading_S_Summary,0),FALSE)</f>
        <v>62.575353556524746</v>
      </c>
      <c r="AF54" s="751">
        <f>VLOOKUP(C_4,Table_S_Summary,MATCH("s-res-C",heading_S_Summary,0),FALSE)</f>
        <v>8.2447432304591194E-3</v>
      </c>
      <c r="AG54" s="751">
        <f>VLOOKUP(C_4,Table_S_Summary,MATCH("s-res-NC",heading_S_Summary,0),FALSE)</f>
        <v>41.788553403887903</v>
      </c>
      <c r="AH54" s="751" t="str">
        <f>VLOOKUP(C_5,Table_S_Summary,MATCH("s-res-C",heading_S_Summary,0),FALSE)</f>
        <v>--</v>
      </c>
      <c r="AI54" s="751">
        <f>VLOOKUP(C_5,Table_S_Summary,MATCH("s-res-NC",heading_S_Summary,0),FALSE)</f>
        <v>245.14598701027165</v>
      </c>
    </row>
    <row r="55" spans="6:35" ht="15" hidden="1">
      <c r="F55" s="754"/>
      <c r="G55" s="754"/>
      <c r="H55" s="332" t="s">
        <v>542</v>
      </c>
      <c r="I55" s="944"/>
      <c r="J55" s="755">
        <f t="shared" ref="J55:J56" si="2">IF(Z55="--",AA55,IF(AA55="--",Z55,MIN(Z55,AA55)))</f>
        <v>2.6240002171253174</v>
      </c>
      <c r="K55" s="755"/>
      <c r="L55" s="942"/>
      <c r="M55" s="755">
        <f>IF(AB55="--",AC55,IF(AC55="--",AB55,MIN(AB55,AC55)))</f>
        <v>5.9387260045173811</v>
      </c>
      <c r="N55" s="755"/>
      <c r="O55" s="942"/>
      <c r="P55" s="755">
        <f t="shared" ref="P55:P56" si="3">IF(AD55="--",AE55,IF(AE55="--",AD55,MIN(AD55,AE55)))</f>
        <v>362.8238864053107</v>
      </c>
      <c r="Q55" s="755"/>
      <c r="R55" s="942"/>
      <c r="S55" s="755">
        <f t="shared" ref="S55:S56" si="4">IF(AF55="--",AG55,IF(AG55="--",AF55,MIN(AF55,AG55)))</f>
        <v>0.14275550945087243</v>
      </c>
      <c r="T55" s="755"/>
      <c r="U55" s="942"/>
      <c r="V55" s="755">
        <f t="shared" ref="V55:V56" si="5">IF(AH55="--",AI55,IF(AI55="--",AH55,MIN(AH55,AI55)))</f>
        <v>1271.2448889936204</v>
      </c>
      <c r="W55" s="755"/>
      <c r="X55" s="945"/>
      <c r="Y55" s="733"/>
      <c r="Z55" s="751">
        <f>VLOOKUP(C_1,Table_S_Summary,MATCH("s-com-C",heading_S_Summary,0),FALSE)</f>
        <v>2.6240002171253174</v>
      </c>
      <c r="AA55" s="751">
        <f>VLOOKUP(C_1,Table_S_Summary,MATCH("s-com-NC",heading_S_Summary,0),FALSE)</f>
        <v>381.51129535112051</v>
      </c>
      <c r="AB55" s="751">
        <f>VLOOKUP(C_2,Table_S_Summary,MATCH("s-com-C",heading_S_Summary,0),FALSE)</f>
        <v>5.9387260045173811</v>
      </c>
      <c r="AC55" s="751">
        <f>VLOOKUP(C_2,Table_S_Summary,MATCH("s-com-NC",heading_S_Summary,0),FALSE)</f>
        <v>18.379916689495747</v>
      </c>
      <c r="AD55" s="751" t="str">
        <f>VLOOKUP(C_3,Table_S_Summary,MATCH("s-com-C",heading_S_Summary,0),FALSE)</f>
        <v>--</v>
      </c>
      <c r="AE55" s="751">
        <f>VLOOKUP(C_3,Table_S_Summary,MATCH("s-com-NC",heading_S_Summary,0),FALSE)</f>
        <v>362.8238864053107</v>
      </c>
      <c r="AF55" s="751">
        <f>VLOOKUP(C_4,Table_S_Summary,MATCH("s-com-C",heading_S_Summary,0),FALSE)</f>
        <v>0.14275550945087243</v>
      </c>
      <c r="AG55" s="751">
        <f>VLOOKUP(C_4,Table_S_Summary,MATCH("s-com-NC",heading_S_Summary,0),FALSE)</f>
        <v>197.58811718193508</v>
      </c>
      <c r="AH55" s="751" t="str">
        <f>VLOOKUP(C_5,Table_S_Summary,MATCH("s-com-C",heading_S_Summary,0),FALSE)</f>
        <v>--</v>
      </c>
      <c r="AI55" s="751">
        <f>VLOOKUP(C_5,Table_S_Summary,MATCH("s-com-NC",heading_S_Summary,0),FALSE)</f>
        <v>1271.2448889936204</v>
      </c>
    </row>
    <row r="56" spans="6:35" ht="15" hidden="1">
      <c r="F56" s="754"/>
      <c r="G56" s="754"/>
      <c r="H56" s="332" t="s">
        <v>543</v>
      </c>
      <c r="I56" s="944"/>
      <c r="J56" s="755">
        <f t="shared" si="2"/>
        <v>16.649561556861702</v>
      </c>
      <c r="K56" s="755"/>
      <c r="L56" s="942"/>
      <c r="M56" s="755">
        <f>IF(AB56="--",AC56,IF(AC56="--",AB56,MIN(AB56,AC56)))</f>
        <v>4.1832527525041323</v>
      </c>
      <c r="N56" s="755"/>
      <c r="O56" s="942"/>
      <c r="P56" s="755">
        <f t="shared" si="3"/>
        <v>85.288681638514916</v>
      </c>
      <c r="Q56" s="755"/>
      <c r="R56" s="942"/>
      <c r="S56" s="755">
        <f t="shared" si="4"/>
        <v>0.81247543455655413</v>
      </c>
      <c r="T56" s="755"/>
      <c r="U56" s="942"/>
      <c r="V56" s="755">
        <f t="shared" si="5"/>
        <v>294.48289761136567</v>
      </c>
      <c r="W56" s="755"/>
      <c r="X56" s="946"/>
      <c r="Y56" s="733"/>
      <c r="Z56" s="751">
        <f>VLOOKUP(C_1,Table_S_Summary,MATCH("s-cw-C",heading_S_Summary,0),FALSE)</f>
        <v>16.649561556861702</v>
      </c>
      <c r="AA56" s="751">
        <f>VLOOKUP(C_1,Table_S_Summary,MATCH("s-cw-NC",heading_S_Summary,0),FALSE)</f>
        <v>87.344771900303996</v>
      </c>
      <c r="AB56" s="751">
        <f>VLOOKUP(C_2,Table_S_Summary,MATCH("s-cw-C",heading_S_Summary,0),FALSE)</f>
        <v>34.249469832548606</v>
      </c>
      <c r="AC56" s="751">
        <f>VLOOKUP(C_2,Table_S_Summary,MATCH("s-cw-NC",heading_S_Summary,0),FALSE)</f>
        <v>4.1832527525041323</v>
      </c>
      <c r="AD56" s="751" t="str">
        <f>VLOOKUP(C_3,Table_S_Summary,MATCH("s-cw-C",heading_S_Summary,0),FALSE)</f>
        <v>--</v>
      </c>
      <c r="AE56" s="751">
        <f>VLOOKUP(C_3,Table_S_Summary,MATCH("s-cw-NC",heading_S_Summary,0),FALSE)</f>
        <v>85.288681638514916</v>
      </c>
      <c r="AF56" s="751">
        <f>VLOOKUP(C_4,Table_S_Summary,MATCH("s-cw-C",heading_S_Summary,0),FALSE)</f>
        <v>0.81247543455655413</v>
      </c>
      <c r="AG56" s="751">
        <f>VLOOKUP(C_4,Table_S_Summary,MATCH("s-cw-NC",heading_S_Summary,0),FALSE)</f>
        <v>45.272140579752865</v>
      </c>
      <c r="AH56" s="751" t="str">
        <f>VLOOKUP(C_5,Table_S_Summary,MATCH("s-cw-C",heading_S_Summary,0),FALSE)</f>
        <v>--</v>
      </c>
      <c r="AI56" s="751">
        <f>VLOOKUP(C_5,Table_S_Summary,MATCH("s-cw-NC",heading_S_Summary,0),FALSE)</f>
        <v>294.48289761136567</v>
      </c>
    </row>
    <row r="57" spans="6:35" ht="15.75" hidden="1">
      <c r="F57" s="807"/>
      <c r="G57" s="807"/>
      <c r="H57" s="800" t="s">
        <v>544</v>
      </c>
      <c r="I57" s="808"/>
      <c r="J57" s="756">
        <f>IF(AND(J54="--", J55="--", J56="--"), "--", IF(AND(Land_Use="Commercial or Industrial", OR(Soil_Depth="Shallow Soil", Soil_Depth="Shallow &amp; Deep Soil")), MIN(J55,J56), IF(OR(Soil_Depth="Shallow Soil", Soil_Depth="Shallow &amp; Deep Soil"),MIN(J54,J56),J56)))</f>
        <v>0.58761543617295708</v>
      </c>
      <c r="K57" s="756"/>
      <c r="L57" s="758"/>
      <c r="M57" s="756">
        <f>IF(AND(M54="--", M55="--", M56="--"), "--", IF(AND(Land_Use="Commercial or Industrial", OR(Soil_Depth="Shallow Soil", Soil_Depth="Shallow &amp; Deep Soil")), MIN(M55,M56), IF(OR(Soil_Depth="Shallow Soil", Soil_Depth="Shallow &amp; Deep Soil"),MIN(M54,M56),M56)))</f>
        <v>0.94322350821413881</v>
      </c>
      <c r="N57" s="756"/>
      <c r="O57" s="758"/>
      <c r="P57" s="756">
        <f>IF(AND(P54="--", P55="--", P56="--"), "--", IF(AND(Land_Use="Commercial or Industrial", OR(Soil_Depth="Shallow Soil", Soil_Depth="Shallow &amp; Deep Soil")), MIN(P55,P56), IF(OR(Soil_Depth="Shallow Soil", Soil_Depth="Shallow &amp; Deep Soil"),MIN(P54,P56),P56)))</f>
        <v>62.575353556524746</v>
      </c>
      <c r="Q57" s="756"/>
      <c r="R57" s="758"/>
      <c r="S57" s="756">
        <f>IF(AND(S54="--", S55="--", S56="--"), "--", IF(AND(Land_Use="Commercial or Industrial", OR(Soil_Depth="Shallow Soil", Soil_Depth="Shallow &amp; Deep Soil")), MIN(S55,S56), IF(OR(Soil_Depth="Shallow Soil", Soil_Depth="Shallow &amp; Deep Soil"),MIN(S54,S56),S56)))</f>
        <v>8.2447432304591194E-3</v>
      </c>
      <c r="T57" s="756"/>
      <c r="U57" s="758"/>
      <c r="V57" s="756">
        <f>IF(AND(V54="--", V55="--", V56="--"), "--", IF(AND(Land_Use="Commercial or Industrial", OR(Soil_Depth="Shallow Soil", Soil_Depth="Shallow &amp; Deep Soil")), MIN(V55,V56), IF(OR(Soil_Depth="Shallow Soil", Soil_Depth="Shallow &amp; Deep Soil"),MIN(V54,V56),V56)))</f>
        <v>245.14598701027165</v>
      </c>
      <c r="W57" s="756"/>
      <c r="X57" s="946"/>
      <c r="Y57" s="733"/>
      <c r="Z57" s="751">
        <f t="shared" ref="Z57:AI57" si="6">IF(AND(Z54="--",Z55="--",Z56="--"), "--",IF(Soil_Depth="Deep Soil",Z56,IF(Land_Use="Commercial or Industrial",MIN(Z56,Z55),MIN(Z56,Z54))))</f>
        <v>0.58761543617295708</v>
      </c>
      <c r="AA57" s="751">
        <f t="shared" si="6"/>
        <v>81.048537528281187</v>
      </c>
      <c r="AB57" s="751">
        <f t="shared" si="6"/>
        <v>0.94322350821413881</v>
      </c>
      <c r="AC57" s="751">
        <f t="shared" si="6"/>
        <v>4.1221571353619346</v>
      </c>
      <c r="AD57" s="751" t="str">
        <f t="shared" si="6"/>
        <v>--</v>
      </c>
      <c r="AE57" s="751">
        <f t="shared" si="6"/>
        <v>62.575353556524746</v>
      </c>
      <c r="AF57" s="751">
        <f t="shared" si="6"/>
        <v>8.2447432304591194E-3</v>
      </c>
      <c r="AG57" s="751">
        <f t="shared" si="6"/>
        <v>41.788553403887903</v>
      </c>
      <c r="AH57" s="751" t="str">
        <f t="shared" si="6"/>
        <v>--</v>
      </c>
      <c r="AI57" s="751">
        <f t="shared" si="6"/>
        <v>245.14598701027165</v>
      </c>
    </row>
    <row r="58" spans="6:35" ht="15" hidden="1">
      <c r="F58" s="754"/>
      <c r="G58" s="754"/>
      <c r="H58" s="332" t="s">
        <v>545</v>
      </c>
      <c r="I58" s="944"/>
      <c r="J58" s="757">
        <f>IF(VLOOKUP(C_1, Table_S_Summary, MATCH("s-et-mv", heading_S_Summary, 0), FALSE)=0,"--",VLOOKUP(C_1, Table_S_Summary, MATCH("s-et-mv", heading_S_Summary, 0), FALSE))</f>
        <v>43</v>
      </c>
      <c r="K58" s="757"/>
      <c r="L58" s="943"/>
      <c r="M58" s="757">
        <f>IF(VLOOKUP(C_2, Table_S_Summary, MATCH("s-et-mv", heading_S_Summary, 0), FALSE)=0,"--",VLOOKUP(C_2, Table_S_Summary, MATCH("s-et-mv", heading_S_Summary, 0), FALSE))</f>
        <v>250</v>
      </c>
      <c r="N58" s="757"/>
      <c r="O58" s="943"/>
      <c r="P58" s="757">
        <f>IF(VLOOKUP(C_3, Table_S_Summary, MATCH("s-et-mv", heading_S_Summary, 0), FALSE)=0,"--",VLOOKUP(C_3, Table_S_Summary, MATCH("s-et-mv", heading_S_Summary, 0), FALSE))</f>
        <v>940</v>
      </c>
      <c r="Q58" s="757"/>
      <c r="R58" s="943"/>
      <c r="S58" s="757">
        <f>IF(VLOOKUP(C_4, Table_S_Summary, MATCH("s-et-mv", heading_S_Summary, 0), FALSE)=0,"--",VLOOKUP(C_4, Table_S_Summary, MATCH("s-et-mv", heading_S_Summary, 0), FALSE))</f>
        <v>8.5</v>
      </c>
      <c r="T58" s="757"/>
      <c r="U58" s="943"/>
      <c r="V58" s="757">
        <f>IF(VLOOKUP(C_5, Table_S_Summary, MATCH("s-et-mv", heading_S_Summary, 0), FALSE)=0,"--",VLOOKUP(C_5, Table_S_Summary, MATCH("s-et-mv", heading_S_Summary, 0), FALSE))</f>
        <v>260</v>
      </c>
      <c r="W58" s="757"/>
      <c r="X58" s="945"/>
      <c r="Y58" s="733"/>
      <c r="Z58" s="751"/>
      <c r="AA58" s="751"/>
      <c r="AB58" s="751"/>
      <c r="AC58" s="751"/>
      <c r="AD58" s="751"/>
      <c r="AE58" s="751"/>
      <c r="AF58" s="751"/>
      <c r="AG58" s="751"/>
      <c r="AH58" s="751"/>
      <c r="AI58" s="751"/>
    </row>
    <row r="59" spans="6:35" ht="15" hidden="1">
      <c r="F59" s="754"/>
      <c r="G59" s="754"/>
      <c r="H59" s="332" t="s">
        <v>546</v>
      </c>
      <c r="I59" s="944"/>
      <c r="J59" s="757">
        <f>IF(VLOOKUP(C_1, Table_S_Summary, MATCH("s-et-sv", heading_S_Summary, 0), FALSE)=0,"--",VLOOKUP(C_1, Table_S_Summary, MATCH("s-et-sv", heading_S_Summary, 0), FALSE))</f>
        <v>4.5</v>
      </c>
      <c r="K59" s="757"/>
      <c r="L59" s="943"/>
      <c r="M59" s="757">
        <f>IF(VLOOKUP(C_2, Table_S_Summary, MATCH("s-et-sv", heading_S_Summary, 0), FALSE)=0,"--",VLOOKUP(C_2,Table_S_Summary, MATCH("s-et-sv", heading_S_Summary, 0), FALSE))</f>
        <v>8.1</v>
      </c>
      <c r="N59" s="757"/>
      <c r="O59" s="943"/>
      <c r="P59" s="757">
        <f>IF(VLOOKUP(C_3, Table_S_Summary, MATCH("s-et-sv", heading_S_Summary, 0), FALSE)=0,"--",VLOOKUP(C_3, Table_S_Summary, MATCH("s-et-sv", heading_S_Summary, 0), FALSE))</f>
        <v>84</v>
      </c>
      <c r="Q59" s="757"/>
      <c r="R59" s="943"/>
      <c r="S59" s="757">
        <f>IF(VLOOKUP(C_4, Table_S_Summary, MATCH("s-et-sv", heading_S_Summary, 0), FALSE)=0,"--",VLOOKUP(C_4, Table_S_Summary, MATCH("s-et-sv", heading_S_Summary, 0), FALSE))</f>
        <v>4.3</v>
      </c>
      <c r="T59" s="757"/>
      <c r="U59" s="943"/>
      <c r="V59" s="757">
        <f>IF(VLOOKUP(C_5, Table_S_Summary, MATCH("s-et-sv", heading_S_Summary, 0), FALSE)=0,"--",VLOOKUP(C_5, Table_S_Summary, MATCH("s-et-sv", heading_S_Summary, 0), FALSE))</f>
        <v>260</v>
      </c>
      <c r="W59" s="757"/>
      <c r="X59" s="945"/>
      <c r="Y59" s="733"/>
      <c r="Z59" s="751"/>
      <c r="AA59" s="751"/>
      <c r="AB59" s="751"/>
      <c r="AC59" s="751"/>
      <c r="AD59" s="751"/>
      <c r="AE59" s="751"/>
      <c r="AF59" s="751"/>
      <c r="AG59" s="751"/>
      <c r="AH59" s="751"/>
      <c r="AI59" s="751"/>
    </row>
    <row r="60" spans="6:35" ht="15.75" hidden="1">
      <c r="F60" s="807"/>
      <c r="G60" s="807"/>
      <c r="H60" s="800" t="s">
        <v>547</v>
      </c>
      <c r="I60" s="808"/>
      <c r="J60" s="756">
        <f>IF(Vegetation="Minimal",J58,J59)</f>
        <v>43</v>
      </c>
      <c r="K60" s="753" t="str">
        <f>IF(J$80&gt;0,IF(J$80&gt;J60, "Yes", "No"), "--")</f>
        <v>--</v>
      </c>
      <c r="L60" s="758"/>
      <c r="M60" s="756">
        <f>IF(Vegetation="Minimal",M58,M59)</f>
        <v>250</v>
      </c>
      <c r="N60" s="753" t="str">
        <f>IF(M$80&gt;0,IF(M$80&gt;M60, "Yes", "No"), "--")</f>
        <v>--</v>
      </c>
      <c r="O60" s="758"/>
      <c r="P60" s="756">
        <f>IF(Vegetation="Minimal",P58,P59)</f>
        <v>940</v>
      </c>
      <c r="Q60" s="753" t="str">
        <f>IF(P$80&gt;0,IF(P$80&gt;P60, "Yes", "No"), "--")</f>
        <v>--</v>
      </c>
      <c r="R60" s="758"/>
      <c r="S60" s="756">
        <f>IF(Vegetation="Minimal",S58,S59)</f>
        <v>8.5</v>
      </c>
      <c r="T60" s="753" t="str">
        <f>IF(S$80&gt;0,IF(S$80&gt;S60, "Yes", "No"), "--")</f>
        <v>--</v>
      </c>
      <c r="U60" s="758"/>
      <c r="V60" s="756">
        <f>IF(Vegetation="Minimal",V58,V59)</f>
        <v>260</v>
      </c>
      <c r="W60" s="753" t="str">
        <f>IF(V$80&gt;0,IF(V$80&gt;V60, "Yes", "No"), "--")</f>
        <v>--</v>
      </c>
      <c r="X60" s="945"/>
      <c r="Y60" s="733" t="str">
        <f>IF(AND(K60="--",N60="--",Q60="--",T60="--",W60="--"), "No Data", IF(OR(K60="yes",N60="yes",Q60="yes",T60="yes",W60="yes"), "Above ESLs", "Below ESLs"))</f>
        <v>No Data</v>
      </c>
      <c r="Z60" s="751"/>
      <c r="AA60" s="751"/>
      <c r="AB60" s="751"/>
      <c r="AC60" s="751"/>
      <c r="AD60" s="751"/>
      <c r="AE60" s="751"/>
      <c r="AF60" s="751"/>
      <c r="AG60" s="751"/>
      <c r="AH60" s="751"/>
      <c r="AI60" s="751"/>
    </row>
    <row r="61" spans="6:35" ht="15" hidden="1">
      <c r="F61" s="754"/>
      <c r="G61" s="754"/>
      <c r="H61" s="332" t="s">
        <v>548</v>
      </c>
      <c r="I61" s="944"/>
      <c r="J61" s="755">
        <f>VLOOKUP(C_1, Table_S_3, MATCH("DW-MCL-FW", heading_S_3, 0), FALSE)</f>
        <v>7.9905242476613736E-2</v>
      </c>
      <c r="K61" s="755" t="str">
        <f>VLOOKUP(C_1, Table_S_3, MATCH("DW-MCL-FW-b", heading_S_3, 0), FALSE)</f>
        <v>VI</v>
      </c>
      <c r="L61" s="942"/>
      <c r="M61" s="755">
        <f>VLOOKUP(C_2, Table_S_3, MATCH("DW-MCL-FW", heading_S_3, 0), FALSE)</f>
        <v>8.4587965494296632E-2</v>
      </c>
      <c r="N61" s="755" t="str">
        <f>VLOOKUP(C_2, Table_S_3, MATCH("DW-MCL-FW-b", heading_S_3, 0), FALSE)</f>
        <v>VI</v>
      </c>
      <c r="O61" s="942"/>
      <c r="P61" s="755">
        <f>VLOOKUP(C_3, Table_S_3, MATCH("DW-MCL-FW", heading_S_3, 0), FALSE)</f>
        <v>0.19138896000000002</v>
      </c>
      <c r="Q61" s="755" t="str">
        <f>VLOOKUP(C_3, Table_S_3, MATCH("DW-MCL-FW-b", heading_S_3, 0), FALSE)</f>
        <v>MCL</v>
      </c>
      <c r="R61" s="942"/>
      <c r="S61" s="755">
        <f>VLOOKUP(C_4, Table_S_3, MATCH("DW-MCL-FW", heading_S_3, 0), FALSE)</f>
        <v>1.4652657879868631E-3</v>
      </c>
      <c r="T61" s="755"/>
      <c r="U61" s="942"/>
      <c r="V61" s="755">
        <f>VLOOKUP(C_5, Table_S_3, MATCH("DW-MCL-FW", heading_S_3, 0), FALSE)</f>
        <v>1229.8519999999999</v>
      </c>
      <c r="W61" s="755"/>
      <c r="X61" s="945"/>
      <c r="Y61" s="733"/>
      <c r="Z61" s="751"/>
      <c r="AA61" s="751"/>
      <c r="AB61" s="751"/>
      <c r="AC61" s="751"/>
      <c r="AD61" s="751"/>
      <c r="AE61" s="751"/>
      <c r="AF61" s="751"/>
      <c r="AG61" s="751"/>
      <c r="AH61" s="751"/>
      <c r="AI61" s="751"/>
    </row>
    <row r="62" spans="6:35" ht="15" hidden="1">
      <c r="F62" s="754"/>
      <c r="G62" s="754"/>
      <c r="H62" s="332" t="s">
        <v>549</v>
      </c>
      <c r="I62" s="944"/>
      <c r="J62" s="755">
        <f>VLOOKUP(C_1, Table_S_3, MATCH("DW-MCL-SW", heading_S_3, 0), FALSE)</f>
        <v>7.9905242476613736E-2</v>
      </c>
      <c r="K62" s="755" t="str">
        <f>VLOOKUP(C_1, Table_S_3, MATCH("DW-MCL-SW-b", heading_S_3, 0), FALSE)</f>
        <v>VI</v>
      </c>
      <c r="L62" s="942"/>
      <c r="M62" s="755">
        <f>VLOOKUP(C_2, Table_S_3, MATCH("DW-MCL-SW", heading_S_3, 0), FALSE)</f>
        <v>8.4587965494296632E-2</v>
      </c>
      <c r="N62" s="755" t="str">
        <f>VLOOKUP(C_2, Table_S_3, MATCH("DW-MCL-SW-b", heading_S_3, 0), FALSE)</f>
        <v>VI</v>
      </c>
      <c r="O62" s="942"/>
      <c r="P62" s="755">
        <f>VLOOKUP(C_3, Table_S_3, MATCH("DW-MCL-SW", heading_S_3, 0), FALSE)</f>
        <v>0.19138896000000002</v>
      </c>
      <c r="Q62" s="755" t="str">
        <f>VLOOKUP(C_3, Table_S_3, MATCH("DW-MCL-SW-b", heading_S_3, 0), FALSE)</f>
        <v>MCL</v>
      </c>
      <c r="R62" s="942"/>
      <c r="S62" s="755">
        <f>VLOOKUP(C_4, Table_S_3, MATCH("DW-MCL-SW", heading_S_3, 0), FALSE)</f>
        <v>1.4652657879868631E-3</v>
      </c>
      <c r="T62" s="755"/>
      <c r="U62" s="942"/>
      <c r="V62" s="755">
        <f>VLOOKUP(C_5, Table_S_3, MATCH("DW-MCL-SW", heading_S_3, 0), FALSE)</f>
        <v>1229.8519999999999</v>
      </c>
      <c r="W62" s="755"/>
      <c r="X62" s="945"/>
      <c r="Y62" s="733"/>
      <c r="Z62" s="751"/>
      <c r="AA62" s="751"/>
      <c r="AB62" s="751"/>
      <c r="AC62" s="751"/>
      <c r="AD62" s="751"/>
      <c r="AE62" s="751"/>
      <c r="AF62" s="751"/>
      <c r="AG62" s="751"/>
      <c r="AH62" s="751"/>
      <c r="AI62" s="751"/>
    </row>
    <row r="63" spans="6:35" ht="15" hidden="1">
      <c r="F63" s="754"/>
      <c r="G63" s="754"/>
      <c r="H63" s="332" t="s">
        <v>550</v>
      </c>
      <c r="I63" s="944"/>
      <c r="J63" s="755">
        <f>VLOOKUP(C_1, Table_S_3, MATCH("DW-MCL-FW-SW", heading_S_3, 0), FALSE)</f>
        <v>7.9905242476613736E-2</v>
      </c>
      <c r="K63" s="755" t="str">
        <f>VLOOKUP(C_1, Table_S_3, MATCH("DW-MCL-FW-SW-b", heading_S_3, 0), FALSE)</f>
        <v>VI</v>
      </c>
      <c r="L63" s="942"/>
      <c r="M63" s="755">
        <f>VLOOKUP(C_2, Table_S_3, MATCH("DW-MCL-FW-SW", heading_S_3, 0), FALSE)</f>
        <v>8.4587965494296632E-2</v>
      </c>
      <c r="N63" s="755" t="str">
        <f>VLOOKUP(C_2, Table_S_3, MATCH("DW-MCL-FW-SW-b", heading_S_3, 0), FALSE)</f>
        <v>VI</v>
      </c>
      <c r="O63" s="942"/>
      <c r="P63" s="755">
        <f>VLOOKUP(C_3, Table_S_3, MATCH("DW-MCL-FW-SW", heading_S_3, 0), FALSE)</f>
        <v>0.19138896000000002</v>
      </c>
      <c r="Q63" s="755" t="str">
        <f>VLOOKUP(C_3, Table_S_3, MATCH("DW-MCL-FW-SW-b", heading_S_3, 0), FALSE)</f>
        <v>MCL</v>
      </c>
      <c r="R63" s="942"/>
      <c r="S63" s="755">
        <f>VLOOKUP(C_4, Table_S_3, MATCH("DW-MCL-FW-SW", heading_S_3, 0), FALSE)</f>
        <v>1.4652657879868631E-3</v>
      </c>
      <c r="T63" s="755"/>
      <c r="U63" s="942"/>
      <c r="V63" s="755">
        <f>VLOOKUP(C_5, Table_S_3, MATCH("DW-MCL-FW-SW", heading_S_3, 0), FALSE)</f>
        <v>1229.8519999999999</v>
      </c>
      <c r="W63" s="755"/>
      <c r="X63" s="945"/>
      <c r="Y63" s="733"/>
      <c r="Z63" s="751"/>
      <c r="AA63" s="751"/>
      <c r="AB63" s="751"/>
      <c r="AC63" s="751"/>
      <c r="AD63" s="751"/>
      <c r="AE63" s="751"/>
      <c r="AF63" s="751"/>
      <c r="AG63" s="751"/>
      <c r="AH63" s="751"/>
      <c r="AI63" s="751"/>
    </row>
    <row r="64" spans="6:35" ht="15" hidden="1">
      <c r="F64" s="754"/>
      <c r="G64" s="754"/>
      <c r="H64" s="332" t="s">
        <v>551</v>
      </c>
      <c r="I64" s="944"/>
      <c r="J64" s="755">
        <f>VLOOKUP(C_1, Table_S_3, MATCH("DW-MCL-ND", heading_S_3, 0), FALSE)</f>
        <v>7.9905242476613736E-2</v>
      </c>
      <c r="K64" s="755" t="str">
        <f>VLOOKUP(C_1, Table_S_3, MATCH("DW-MCL-ND-b", heading_S_3, 0), FALSE)</f>
        <v>VI</v>
      </c>
      <c r="L64" s="942"/>
      <c r="M64" s="755">
        <f>VLOOKUP(C_2, Table_S_3, MATCH("DW-MCL-ND", heading_S_3, 0), FALSE)</f>
        <v>8.4587965494296632E-2</v>
      </c>
      <c r="N64" s="755" t="str">
        <f>VLOOKUP(C_2, Table_S_3, MATCH("DW-MCL-ND-b", heading_S_3, 0), FALSE)</f>
        <v>VI</v>
      </c>
      <c r="O64" s="942"/>
      <c r="P64" s="755">
        <f>VLOOKUP(C_3, Table_S_3, MATCH("DW-MCL-ND", heading_S_3, 0), FALSE)</f>
        <v>0.19138896000000002</v>
      </c>
      <c r="Q64" s="755" t="str">
        <f>VLOOKUP(C_3, Table_S_3, MATCH("DW-MCL-ND-b", heading_S_3, 0), FALSE)</f>
        <v>MCL</v>
      </c>
      <c r="R64" s="942"/>
      <c r="S64" s="755">
        <f>VLOOKUP(C_4, Table_S_3, MATCH("DW-MCL-ND", heading_S_3, 0), FALSE)</f>
        <v>1.4652657879868631E-3</v>
      </c>
      <c r="T64" s="755"/>
      <c r="U64" s="942"/>
      <c r="V64" s="755">
        <f>VLOOKUP(C_5, Table_S_3, MATCH("DW-MCL-ND", heading_S_3, 0), FALSE)</f>
        <v>1229.8519999999999</v>
      </c>
      <c r="W64" s="755"/>
      <c r="X64" s="945"/>
      <c r="Y64" s="733"/>
      <c r="Z64" s="751"/>
      <c r="AA64" s="751"/>
      <c r="AB64" s="751"/>
      <c r="AC64" s="751"/>
      <c r="AD64" s="751"/>
      <c r="AE64" s="751"/>
      <c r="AF64" s="751"/>
      <c r="AG64" s="751"/>
      <c r="AH64" s="751"/>
      <c r="AI64" s="751"/>
    </row>
    <row r="65" spans="6:35" ht="15" hidden="1">
      <c r="F65" s="754"/>
      <c r="G65" s="754"/>
      <c r="H65" s="332" t="s">
        <v>552</v>
      </c>
      <c r="I65" s="944"/>
      <c r="J65" s="755">
        <f>VLOOKUP(C_1, Table_S_3, MATCH("DW-FW", heading_S_3, 0), FALSE)</f>
        <v>7.5374363999999999E-3</v>
      </c>
      <c r="K65" s="755" t="str">
        <f>VLOOKUP(C_1, Table_S_3, MATCH("DW-FW-b", heading_S_3, 0), FALSE)</f>
        <v>Tapwater Cancer</v>
      </c>
      <c r="L65" s="942"/>
      <c r="M65" s="755">
        <f>VLOOKUP(C_2, Table_S_3, MATCH("DW-FW", heading_S_3, 0), FALSE)</f>
        <v>3.5164321449269884E-2</v>
      </c>
      <c r="N65" s="755" t="str">
        <f>VLOOKUP(C_2, Table_S_3, MATCH("DW-FW-b", heading_S_3, 0), FALSE)</f>
        <v>Tapwater Cancer</v>
      </c>
      <c r="O65" s="942"/>
      <c r="P65" s="755">
        <f>VLOOKUP(C_3, Table_S_3, MATCH("DW-FW", heading_S_3, 0), FALSE)</f>
        <v>0.41467608000000006</v>
      </c>
      <c r="Q65" s="755" t="str">
        <f>VLOOKUP(C_3, Table_S_3, MATCH("DW-FW-b", heading_S_3, 0), FALSE)</f>
        <v>Tapwater Noncancer</v>
      </c>
      <c r="R65" s="942"/>
      <c r="S65" s="755">
        <f>VLOOKUP(C_4, Table_S_3, MATCH("DW-FW", heading_S_3, 0), FALSE)</f>
        <v>1.4652657879868631E-3</v>
      </c>
      <c r="T65" s="755"/>
      <c r="U65" s="942"/>
      <c r="V65" s="755">
        <f>VLOOKUP(C_5, Table_S_3, MATCH("DW-FW", heading_S_3, 0), FALSE)</f>
        <v>1229.8519999999999</v>
      </c>
      <c r="W65" s="755"/>
      <c r="X65" s="945"/>
      <c r="Y65" s="733"/>
      <c r="Z65" s="751"/>
      <c r="AA65" s="751"/>
      <c r="AB65" s="751"/>
      <c r="AC65" s="751"/>
      <c r="AD65" s="751"/>
      <c r="AE65" s="751"/>
      <c r="AF65" s="751"/>
      <c r="AG65" s="751"/>
      <c r="AH65" s="751"/>
      <c r="AI65" s="751"/>
    </row>
    <row r="66" spans="6:35" ht="15" hidden="1">
      <c r="F66" s="754"/>
      <c r="G66" s="754"/>
      <c r="H66" s="332" t="s">
        <v>553</v>
      </c>
      <c r="I66" s="944"/>
      <c r="J66" s="755">
        <f>VLOOKUP(C_1, Table_S_3, MATCH("DW-SW", heading_S_3, 0), FALSE)</f>
        <v>7.5374363999999999E-3</v>
      </c>
      <c r="K66" s="755" t="str">
        <f>VLOOKUP(C_1, Table_S_3, MATCH("DW-SW-b", heading_S_3, 0), FALSE)</f>
        <v>Tapwater Cancer</v>
      </c>
      <c r="L66" s="942"/>
      <c r="M66" s="755">
        <f>VLOOKUP(C_2, Table_S_3, MATCH("DW-SW", heading_S_3, 0), FALSE)</f>
        <v>3.5164321449269884E-2</v>
      </c>
      <c r="N66" s="755" t="str">
        <f>VLOOKUP(C_2, Table_S_3, MATCH("DW-SW-b", heading_S_3, 0), FALSE)</f>
        <v>Tapwater Cancer</v>
      </c>
      <c r="O66" s="942"/>
      <c r="P66" s="755">
        <f>VLOOKUP(C_3, Table_S_3, MATCH("DW-SW", heading_S_3, 0), FALSE)</f>
        <v>0.41467608000000006</v>
      </c>
      <c r="Q66" s="755" t="str">
        <f>VLOOKUP(C_3, Table_S_3, MATCH("DW-SW-b", heading_S_3, 0), FALSE)</f>
        <v>Tapwater Noncancer</v>
      </c>
      <c r="R66" s="942"/>
      <c r="S66" s="755">
        <f>VLOOKUP(C_4, Table_S_3, MATCH("DW-SW", heading_S_3, 0), FALSE)</f>
        <v>1.4652657879868631E-3</v>
      </c>
      <c r="T66" s="755"/>
      <c r="U66" s="942"/>
      <c r="V66" s="755">
        <f>VLOOKUP(C_5, Table_S_3, MATCH("DW-SW", heading_S_3, 0), FALSE)</f>
        <v>1229.8519999999999</v>
      </c>
      <c r="W66" s="755"/>
      <c r="X66" s="945"/>
      <c r="Y66" s="733"/>
      <c r="Z66" s="751"/>
      <c r="AA66" s="751"/>
      <c r="AB66" s="751"/>
      <c r="AC66" s="751"/>
      <c r="AD66" s="751"/>
      <c r="AE66" s="751"/>
      <c r="AF66" s="751"/>
      <c r="AG66" s="751"/>
      <c r="AH66" s="751"/>
      <c r="AI66" s="751"/>
    </row>
    <row r="67" spans="6:35" ht="15" hidden="1">
      <c r="F67" s="754"/>
      <c r="G67" s="754"/>
      <c r="H67" s="332" t="s">
        <v>554</v>
      </c>
      <c r="I67" s="944"/>
      <c r="J67" s="755">
        <f>VLOOKUP(C_1, Table_S_3, MATCH("DW-FW-SW", heading_S_3, 0), FALSE)</f>
        <v>7.5374363999999999E-3</v>
      </c>
      <c r="K67" s="755" t="str">
        <f>VLOOKUP(C_1, Table_S_3, MATCH("DW-FW-SW-b", heading_S_3, 0), FALSE)</f>
        <v>Tapwater Cancer</v>
      </c>
      <c r="L67" s="942"/>
      <c r="M67" s="755">
        <f>VLOOKUP(C_2, Table_S_3, MATCH("DW-FW-SW", heading_S_3, 0), FALSE)</f>
        <v>3.5164321449269884E-2</v>
      </c>
      <c r="N67" s="755" t="str">
        <f>VLOOKUP(C_2, Table_S_3, MATCH("DW-FW-SW-b", heading_S_3, 0), FALSE)</f>
        <v>Tapwater Cancer</v>
      </c>
      <c r="O67" s="942"/>
      <c r="P67" s="755">
        <f>VLOOKUP(C_3, Table_S_3, MATCH("DW-FW-SW", heading_S_3, 0), FALSE)</f>
        <v>0.41467608000000006</v>
      </c>
      <c r="Q67" s="755" t="str">
        <f>VLOOKUP(C_3, Table_S_3, MATCH("DW-FW-SW-b", heading_S_3, 0), FALSE)</f>
        <v>Tapwater Noncancer</v>
      </c>
      <c r="R67" s="942"/>
      <c r="S67" s="755">
        <f>VLOOKUP(C_4, Table_S_3, MATCH("DW-FW-SW", heading_S_3, 0), FALSE)</f>
        <v>1.4652657879868631E-3</v>
      </c>
      <c r="T67" s="755"/>
      <c r="U67" s="942"/>
      <c r="V67" s="755">
        <f>VLOOKUP(C_5, Table_S_3, MATCH("DW-FW-SW", heading_S_3, 0), FALSE)</f>
        <v>1229.8519999999999</v>
      </c>
      <c r="W67" s="755"/>
      <c r="X67" s="945"/>
      <c r="Y67" s="733"/>
      <c r="Z67" s="751"/>
      <c r="AA67" s="751"/>
      <c r="AB67" s="751"/>
      <c r="AC67" s="751"/>
      <c r="AD67" s="751"/>
      <c r="AE67" s="751"/>
      <c r="AF67" s="751"/>
      <c r="AG67" s="751"/>
      <c r="AH67" s="751"/>
      <c r="AI67" s="751"/>
    </row>
    <row r="68" spans="6:35" ht="15" hidden="1">
      <c r="F68" s="754"/>
      <c r="G68" s="754"/>
      <c r="H68" s="332" t="s">
        <v>555</v>
      </c>
      <c r="I68" s="944"/>
      <c r="J68" s="755">
        <f>VLOOKUP(C_1, Table_S_3, MATCH("DW-ND", heading_S_3, 0), FALSE)</f>
        <v>7.5374363999999999E-3</v>
      </c>
      <c r="K68" s="755" t="str">
        <f>VLOOKUP(C_1, Table_S_3, MATCH("DW-ND-b", heading_S_3, 0), FALSE)</f>
        <v>Tapwater Cancer</v>
      </c>
      <c r="L68" s="942"/>
      <c r="M68" s="755">
        <f>VLOOKUP(C_2, Table_S_3, MATCH("DW-ND", heading_S_3, 0), FALSE)</f>
        <v>3.5164321449269884E-2</v>
      </c>
      <c r="N68" s="755" t="str">
        <f>VLOOKUP(C_2, Table_S_3, MATCH("DW-ND-b", heading_S_3, 0), FALSE)</f>
        <v>Tapwater Cancer</v>
      </c>
      <c r="O68" s="942"/>
      <c r="P68" s="755">
        <f>VLOOKUP(C_3, Table_S_3, MATCH("DW-ND", heading_S_3, 0), FALSE)</f>
        <v>0.41467608000000006</v>
      </c>
      <c r="Q68" s="755" t="str">
        <f>VLOOKUP(C_3, Table_S_3, MATCH("DW-ND-b", heading_S_3, 0), FALSE)</f>
        <v>Tapwater Noncancer</v>
      </c>
      <c r="R68" s="942"/>
      <c r="S68" s="755">
        <f>VLOOKUP(C_4, Table_S_3, MATCH("DW-ND", heading_S_3, 0), FALSE)</f>
        <v>1.4652657879868631E-3</v>
      </c>
      <c r="T68" s="755"/>
      <c r="U68" s="942"/>
      <c r="V68" s="755">
        <f>VLOOKUP(C_5, Table_S_3, MATCH("DW-ND", heading_S_3, 0), FALSE)</f>
        <v>1229.8519999999999</v>
      </c>
      <c r="W68" s="755"/>
      <c r="X68" s="945"/>
      <c r="Y68" s="733"/>
      <c r="Z68" s="751"/>
      <c r="AA68" s="751"/>
      <c r="AB68" s="751"/>
      <c r="AC68" s="751"/>
      <c r="AD68" s="751"/>
      <c r="AE68" s="751"/>
      <c r="AF68" s="751"/>
      <c r="AG68" s="751"/>
      <c r="AH68" s="751"/>
      <c r="AI68" s="751"/>
    </row>
    <row r="69" spans="6:35" ht="15" hidden="1">
      <c r="F69" s="754"/>
      <c r="G69" s="754"/>
      <c r="H69" s="332" t="s">
        <v>556</v>
      </c>
      <c r="I69" s="944"/>
      <c r="J69" s="755">
        <f>VLOOKUP(C_1, Table_S_3, MATCH("FW", heading_S_3, 0), FALSE)</f>
        <v>7.9905242476613736E-2</v>
      </c>
      <c r="K69" s="755" t="str">
        <f>VLOOKUP(C_1, Table_S_3, MATCH("FW-b", heading_S_3, 0), FALSE)</f>
        <v>VI</v>
      </c>
      <c r="L69" s="942"/>
      <c r="M69" s="755">
        <f>VLOOKUP(C_2, Table_S_3, MATCH("FW", heading_S_3, 0), FALSE)</f>
        <v>8.4587965494296632E-2</v>
      </c>
      <c r="N69" s="755" t="str">
        <f>VLOOKUP(C_2, Table_S_3, MATCH("FW-b", heading_S_3, 0), FALSE)</f>
        <v>VI</v>
      </c>
      <c r="O69" s="942"/>
      <c r="P69" s="755">
        <f>VLOOKUP(C_3, Table_S_3, MATCH("FW", heading_S_3, 0), FALSE)</f>
        <v>7.9771311670586948</v>
      </c>
      <c r="Q69" s="755" t="str">
        <f>VLOOKUP(C_3, Table_S_3, MATCH("FW-b", heading_S_3, 0), FALSE)</f>
        <v>VI</v>
      </c>
      <c r="R69" s="942"/>
      <c r="S69" s="755">
        <f>VLOOKUP(C_4, Table_S_3, MATCH("FW", heading_S_3, 0), FALSE)</f>
        <v>1.4652657879868631E-3</v>
      </c>
      <c r="T69" s="755"/>
      <c r="U69" s="942"/>
      <c r="V69" s="755">
        <f>VLOOKUP(C_5, Table_S_3, MATCH("FW", heading_S_3, 0), FALSE)</f>
        <v>7871.0527999999995</v>
      </c>
      <c r="W69" s="755"/>
      <c r="X69" s="945"/>
      <c r="Y69" s="733"/>
      <c r="Z69" s="751"/>
      <c r="AA69" s="751"/>
      <c r="AB69" s="751"/>
      <c r="AC69" s="751"/>
      <c r="AD69" s="751"/>
      <c r="AE69" s="751"/>
      <c r="AF69" s="751"/>
      <c r="AG69" s="751"/>
      <c r="AH69" s="751"/>
      <c r="AI69" s="751"/>
    </row>
    <row r="70" spans="6:35" ht="15" hidden="1">
      <c r="F70" s="754"/>
      <c r="G70" s="754"/>
      <c r="H70" s="332" t="s">
        <v>557</v>
      </c>
      <c r="I70" s="944"/>
      <c r="J70" s="755">
        <f>VLOOKUP(C_1, Table_S_3, MATCH("SW", heading_S_3, 0), FALSE)</f>
        <v>7.9905242476613736E-2</v>
      </c>
      <c r="K70" s="755" t="str">
        <f>VLOOKUP(C_1, Table_S_3, MATCH("SW-b", heading_S_3, 0), FALSE)</f>
        <v>VI</v>
      </c>
      <c r="L70" s="942"/>
      <c r="M70" s="755">
        <f>VLOOKUP(C_2, Table_S_3, MATCH("SW", heading_S_3, 0), FALSE)</f>
        <v>8.4587965494296632E-2</v>
      </c>
      <c r="N70" s="755" t="str">
        <f>VLOOKUP(C_2, Table_S_3, MATCH("SW-b", heading_S_3, 0), FALSE)</f>
        <v>VI</v>
      </c>
      <c r="O70" s="942"/>
      <c r="P70" s="755">
        <f>VLOOKUP(C_3, Table_S_3, MATCH("SW", heading_S_3, 0), FALSE)</f>
        <v>7.9771311670586948</v>
      </c>
      <c r="Q70" s="755" t="str">
        <f>VLOOKUP(C_3, Table_S_3, MATCH("SW-b", heading_S_3, 0), FALSE)</f>
        <v>VI</v>
      </c>
      <c r="R70" s="942"/>
      <c r="S70" s="755">
        <f>VLOOKUP(C_4, Table_S_3, MATCH("SW", heading_S_3, 0), FALSE)</f>
        <v>1.4652657879868631E-3</v>
      </c>
      <c r="T70" s="755"/>
      <c r="U70" s="942"/>
      <c r="V70" s="755">
        <f>VLOOKUP(C_5, Table_S_3, MATCH("SW", heading_S_3, 0), FALSE)</f>
        <v>7871.0527999999995</v>
      </c>
      <c r="W70" s="755"/>
      <c r="X70" s="945"/>
      <c r="Y70" s="733"/>
      <c r="Z70" s="751"/>
      <c r="AA70" s="751"/>
      <c r="AB70" s="751"/>
      <c r="AC70" s="751"/>
      <c r="AD70" s="751"/>
      <c r="AE70" s="751"/>
      <c r="AF70" s="751"/>
      <c r="AG70" s="751"/>
      <c r="AH70" s="751"/>
      <c r="AI70" s="751"/>
    </row>
    <row r="71" spans="6:35" ht="15" hidden="1">
      <c r="F71" s="754"/>
      <c r="G71" s="754"/>
      <c r="H71" s="332" t="s">
        <v>558</v>
      </c>
      <c r="I71" s="944"/>
      <c r="J71" s="755">
        <f>VLOOKUP(C_1, Table_S_3, MATCH("FW-SW", heading_S_3, 0), FALSE)</f>
        <v>7.9905242476613736E-2</v>
      </c>
      <c r="K71" s="755" t="str">
        <f>VLOOKUP(C_1, Table_S_3, MATCH("FW-SW-b", heading_S_3, 0), FALSE)</f>
        <v>VI</v>
      </c>
      <c r="L71" s="942"/>
      <c r="M71" s="755">
        <f>VLOOKUP(C_2, Table_S_3, MATCH("FW-SW", heading_S_3, 0), FALSE)</f>
        <v>8.4587965494296632E-2</v>
      </c>
      <c r="N71" s="755" t="str">
        <f>VLOOKUP(C_2, Table_S_3, MATCH("FW-SW-b", heading_S_3, 0), FALSE)</f>
        <v>VI</v>
      </c>
      <c r="O71" s="942"/>
      <c r="P71" s="755">
        <f>VLOOKUP(C_3, Table_S_3, MATCH("FW-SW", heading_S_3, 0), FALSE)</f>
        <v>7.9771311670586948</v>
      </c>
      <c r="Q71" s="755" t="str">
        <f>VLOOKUP(C_3, Table_S_3, MATCH("FW-SW-b", heading_S_3, 0), FALSE)</f>
        <v>VI</v>
      </c>
      <c r="R71" s="942"/>
      <c r="S71" s="755">
        <f>VLOOKUP(C_4, Table_S_3, MATCH("FW-SW", heading_S_3, 0), FALSE)</f>
        <v>1.4652657879868631E-3</v>
      </c>
      <c r="T71" s="755"/>
      <c r="U71" s="942"/>
      <c r="V71" s="755">
        <f>VLOOKUP(C_5, Table_S_3, MATCH("FW-SW", heading_S_3, 0), FALSE)</f>
        <v>7871.0527999999995</v>
      </c>
      <c r="W71" s="755"/>
      <c r="X71" s="945"/>
      <c r="Y71" s="733"/>
      <c r="Z71" s="751"/>
      <c r="AA71" s="751"/>
      <c r="AB71" s="751"/>
      <c r="AC71" s="751"/>
      <c r="AD71" s="751"/>
      <c r="AE71" s="751"/>
      <c r="AF71" s="751"/>
      <c r="AG71" s="751"/>
      <c r="AH71" s="751"/>
      <c r="AI71" s="751"/>
    </row>
    <row r="72" spans="6:35" ht="15" hidden="1">
      <c r="F72" s="754"/>
      <c r="G72" s="754"/>
      <c r="H72" s="332" t="s">
        <v>559</v>
      </c>
      <c r="I72" s="944"/>
      <c r="J72" s="755">
        <f>VLOOKUP(C_1, Table_S_3, MATCH("ND", heading_S_3, 0), FALSE)</f>
        <v>7.9905242476613736E-2</v>
      </c>
      <c r="K72" s="755" t="str">
        <f>VLOOKUP(C_1, Table_S_3, MATCH("ND-b", heading_S_3, 0), FALSE)</f>
        <v>VI</v>
      </c>
      <c r="L72" s="942"/>
      <c r="M72" s="755">
        <f>VLOOKUP(C_2, Table_S_3, MATCH("ND", heading_S_3, 0), FALSE)</f>
        <v>8.4587965494296632E-2</v>
      </c>
      <c r="N72" s="755" t="str">
        <f>VLOOKUP(C_2, Table_S_3, MATCH("ND-b", heading_S_3, 0), FALSE)</f>
        <v>VI</v>
      </c>
      <c r="O72" s="942"/>
      <c r="P72" s="755">
        <f>VLOOKUP(C_3, Table_S_3, MATCH("ND", heading_S_3, 0), FALSE)</f>
        <v>7.9771311670586948</v>
      </c>
      <c r="Q72" s="755" t="str">
        <f>VLOOKUP(C_3, Table_S_3, MATCH("ND-b", heading_S_3, 0), FALSE)</f>
        <v>VI</v>
      </c>
      <c r="R72" s="942"/>
      <c r="S72" s="755">
        <f>VLOOKUP(C_4, Table_S_3, MATCH("ND", heading_S_3, 0), FALSE)</f>
        <v>1.4652657879868631E-3</v>
      </c>
      <c r="T72" s="755"/>
      <c r="U72" s="942"/>
      <c r="V72" s="755">
        <f>VLOOKUP(C_5, Table_S_3, MATCH("ND", heading_S_3, 0), FALSE)</f>
        <v>30746.299999999996</v>
      </c>
      <c r="W72" s="755"/>
      <c r="X72" s="945"/>
      <c r="Y72" s="733"/>
      <c r="Z72" s="751"/>
      <c r="AA72" s="751"/>
      <c r="AB72" s="751"/>
      <c r="AC72" s="751"/>
      <c r="AD72" s="751"/>
      <c r="AE72" s="751"/>
      <c r="AF72" s="751"/>
      <c r="AG72" s="751"/>
      <c r="AH72" s="751"/>
      <c r="AI72" s="751"/>
    </row>
    <row r="73" spans="6:35" ht="15.75" hidden="1">
      <c r="F73" s="807"/>
      <c r="G73" s="807"/>
      <c r="H73" s="800" t="s">
        <v>560</v>
      </c>
      <c r="I73" s="808"/>
      <c r="J73" s="756">
        <f>IF(AND(Groundwater_Use="Drinking Water Resource", MCL_Priority="Yes", Discharge="freshwater"), J61,
IF(AND(Groundwater_Use="Drinking Water Resource", MCL_Priority="Yes", Discharge="saltwater"), J62,
IF(AND(Groundwater_Use="Drinking Water Resource", MCL_Priority="Yes", Discharge="Saltwater &amp; Freshwater"), J63,IF(AND(Groundwater_Use="Drinking Water Resource", MCL_Priority="Yes", Discharge="No Dischage Expected"), J64,
IF(AND(Groundwater_Use="Drinking Water Resource", MCL_Priority="No", Discharge="freshwater"), J65,
IF(AND(Groundwater_Use="Drinking Water Resource", MCL_Priority="No", Discharge="saltwater"), J66,
IF(AND(Groundwater_Use="Drinking Water Resource", MCL_Priority="No", Discharge="Saltwater &amp; Freshwater"), J67,
IF(AND(Groundwater_Use="Drinking Water Resource", MCL_Priority="No", Discharge="No Dischage Expected"), J68,
IF(AND(Groundwater_Use="Nondrinking Water Resource", Discharge="freshwater"), J69,
IF(AND(Groundwater_Use="Nondrinking Water Resource", Discharge="saltwater"), J70,
IF(AND(Groundwater_Use="Nondrinking Water Resource", Discharge="Saltwater &amp; Freshwater"),J71,J72)))))))))))</f>
        <v>7.9905242476613736E-2</v>
      </c>
      <c r="K73" s="753" t="str">
        <f>IF(J$80&gt;0,IF(J$80&gt;J73, "Yes", "No"), "--")</f>
        <v>--</v>
      </c>
      <c r="L73" s="758"/>
      <c r="M73" s="756">
        <f>IF(AND(Groundwater_Use="Drinking Water Resource", MCL_Priority="Yes", Discharge="freshwater"), M61,
IF(AND(Groundwater_Use="Drinking Water Resource", MCL_Priority="Yes", Discharge="saltwater"), M62,
IF(AND(Groundwater_Use="Drinking Water Resource", MCL_Priority="Yes", Discharge="Saltwater &amp; Freshwater"), M63,
IF(AND(Groundwater_Use="Drinking Water Resource", MCL_Priority="Yes", Discharge="No Dischage Expected"), M64,
IF(AND(Groundwater_Use="Drinking Water Resource", MCL_Priority="No", Discharge="freshwater"), M65,
IF(AND(Groundwater_Use="Drinking Water Resource", MCL_Priority="No", Discharge="saltwater"), M66,
IF(AND(Groundwater_Use="Drinking Water Resource", MCL_Priority="No", Discharge="Saltwater &amp; Freshwater"), M67,
IF(AND(Groundwater_Use="Drinking Water Resource", MCL_Priority="No", Discharge="No Dischage Expected"), M68,
IF(AND(Groundwater_Use="Nondrinking Water Resource", Discharge="freshwater"), M69,
IF(AND(Groundwater_Use="Nondrinking Water Resource", Discharge="saltwater"), M70,
IF(AND(Groundwater_Use="Nondrinking Water Resource", Discharge="Saltwater &amp; Freshwater"),M71,M72)))))))))))</f>
        <v>8.4587965494296632E-2</v>
      </c>
      <c r="N73" s="753" t="str">
        <f>IF(M$80&gt;0,IF(M$80&gt;M73, "Yes", "No"), "--")</f>
        <v>--</v>
      </c>
      <c r="O73" s="758"/>
      <c r="P73" s="756">
        <f>IF(AND(Groundwater_Use="Drinking Water Resource", MCL_Priority="Yes", Discharge="freshwater"), P61,
IF(AND(Groundwater_Use="Drinking Water Resource", MCL_Priority="Yes", Discharge="saltwater"), P62,
IF(AND(Groundwater_Use="Drinking Water Resource", MCL_Priority="Yes", Discharge="Saltwater &amp; Freshwater"), P63,
IF(AND(Groundwater_Use="Drinking Water Resource", MCL_Priority="Yes", Discharge="No Dischage Expected"), P64,
IF(AND(Groundwater_Use="Drinking Water Resource", MCL_Priority="No", Discharge="freshwater"), P65,
IF(AND(Groundwater_Use="Drinking Water Resource", MCL_Priority="No", Discharge="saltwater"), P66,
IF(AND(Groundwater_Use="Drinking Water Resource", MCL_Priority="No", Discharge="Saltwater &amp; Freshwater"), P67,
IF(AND(Groundwater_Use="Drinking Water Resource", MCL_Priority="No", Discharge="No Dischage Expected"), P68,
IF(AND(Groundwater_Use="Nondrinking Water Resource", Discharge="freshwater"), P69,
IF(AND(Groundwater_Use="Nondrinking Water Resource", Discharge="saltwater"), P70,
IF(AND(Groundwater_Use="Nondrinking Water Resource", Discharge="Saltwater &amp; Freshwater"),P71,P72)))))))))))</f>
        <v>0.19138896000000002</v>
      </c>
      <c r="Q73" s="753" t="str">
        <f>IF(P$80&gt;0,IF(P$80&gt;P73, "Yes", "No"), "--")</f>
        <v>--</v>
      </c>
      <c r="R73" s="758"/>
      <c r="S73" s="756">
        <f>IF(AND(Groundwater_Use="Drinking Water Resource", MCL_Priority="Yes", Discharge="freshwater"), S61,
IF(AND(Groundwater_Use="Drinking Water Resource", MCL_Priority="Yes", Discharge="saltwater"), S62,
IF(AND(Groundwater_Use="Drinking Water Resource", MCL_Priority="Yes", Discharge="Saltwater &amp; Freshwater"), S63,
IF(AND(Groundwater_Use="Drinking Water Resource", MCL_Priority="Yes", Discharge="No Dischage Expected"), S64,
IF(AND(Groundwater_Use="Drinking Water Resource", MCL_Priority="No", Discharge="freshwater"), S65,
IF(AND(Groundwater_Use="Drinking Water Resource", MCL_Priority="No", Discharge="saltwater"), S66,
IF(AND(Groundwater_Use="Drinking Water Resource", MCL_Priority="No", Discharge="Saltwater &amp; Freshwater"), S67,
IF(AND(Groundwater_Use="Drinking Water Resource", MCL_Priority="No", Discharge="No Dischage Expected"), S68,
IF(AND(Groundwater_Use="Nondrinking Water Resource", Discharge="freshwater"), S69,
IF(AND(Groundwater_Use="Nondrinking Water Resource", Discharge="saltwater"), S70,
IF(AND(Groundwater_Use="Nondrinking Water Resource", Discharge="Saltwater &amp; Freshwater"),S71,S72)))))))))))</f>
        <v>1.4652657879868631E-3</v>
      </c>
      <c r="T73" s="753" t="str">
        <f>IF(S$80&gt;0,IF(S$80&gt;S73, "Yes", "No"), "--")</f>
        <v>--</v>
      </c>
      <c r="U73" s="758"/>
      <c r="V73" s="756">
        <f>IF(AND(Groundwater_Use="Drinking Water Resource", MCL_Priority="Yes", Discharge="freshwater"), V61,
IF(AND(Groundwater_Use="Drinking Water Resource", MCL_Priority="Yes", Discharge="saltwater"), V62,
IF(AND(Groundwater_Use="Drinking Water Resource", MCL_Priority="Yes", Discharge="Saltwater &amp; Freshwater"), V63,
IF(AND(Groundwater_Use="Drinking Water Resource", MCL_Priority="Yes", Discharge="No Dischage Expected"), V64,
IF(AND(Groundwater_Use="Drinking Water Resource", MCL_Priority="No", Discharge="freshwater"), V65,
IF(AND(Groundwater_Use="Drinking Water Resource", MCL_Priority="No", Discharge="saltwater"), V66,
IF(AND(Groundwater_Use="Drinking Water Resource", MCL_Priority="No", Discharge="Saltwater &amp; Freshwater"), V67,
IF(AND(Groundwater_Use="Drinking Water Resource", MCL_Priority="No", Discharge="No Dischage Expected"), V68,
IF(AND(Groundwater_Use="Nondrinking Water Resource", Discharge="freshwater"), V69,
IF(AND(Groundwater_Use="Nondrinking Water Resource", Discharge="saltwater"), V70,
IF(AND(Groundwater_Use="Nondrinking Water Resource", Discharge="Saltwater &amp; Freshwater"),V71,V72)))))))))))</f>
        <v>1229.8519999999999</v>
      </c>
      <c r="W73" s="753" t="str">
        <f>IF(V$80&gt;0,IF(V$80&gt;V73, "Yes", "No"), "--")</f>
        <v>--</v>
      </c>
      <c r="X73" s="945"/>
      <c r="Y73" s="733" t="str">
        <f>IF(AND(K73="--",N73="--",Q73="--",T73="--",W73="--"),"No Data",IF(OR(K73="yes",N73="yes",Q73="yes",T73="yes",W73="yes"),"Above ESLs, ""BelowESLs"))</f>
        <v>No Data</v>
      </c>
      <c r="Z73" s="751"/>
      <c r="AA73" s="751"/>
      <c r="AB73" s="751"/>
      <c r="AC73" s="751"/>
      <c r="AD73" s="751"/>
      <c r="AE73" s="751"/>
      <c r="AF73" s="751"/>
      <c r="AG73" s="751"/>
      <c r="AH73" s="751"/>
      <c r="AI73" s="751"/>
    </row>
    <row r="74" spans="6:35" ht="15.75" hidden="1">
      <c r="F74" s="807"/>
      <c r="G74" s="807"/>
      <c r="H74" s="800" t="s">
        <v>561</v>
      </c>
      <c r="I74" s="808"/>
      <c r="J74" s="756">
        <f>VLOOKUP(C_1, Table_S_Summary, MATCH("S-GC", heading_S_Summary, 0), FALSE)</f>
        <v>166.16560580940779</v>
      </c>
      <c r="K74" s="753" t="str">
        <f>IF(J$80&gt;0,IF(J$80&gt;J74, "Yes", "No"), "--")</f>
        <v>--</v>
      </c>
      <c r="L74" s="758"/>
      <c r="M74" s="756">
        <f>VLOOKUP(C_2, Table_S_Summary, MATCH("S-GC", heading_S_Summary, 0), FALSE)</f>
        <v>691.75561914459365</v>
      </c>
      <c r="N74" s="753" t="str">
        <f>IF(M$80&gt;0,IF(M$80&gt;M74, "Yes", "No"), "--")</f>
        <v>--</v>
      </c>
      <c r="O74" s="758"/>
      <c r="P74" s="756">
        <f>VLOOKUP(C_3, Table_S_Summary, MATCH("S-GC", heading_S_Summary, 0), FALSE)</f>
        <v>2366.4256021228371</v>
      </c>
      <c r="Q74" s="753" t="str">
        <f>IF(P$80&gt;0,IF(P$80&gt;P74, "Yes", "No"), "--")</f>
        <v>--</v>
      </c>
      <c r="R74" s="758"/>
      <c r="S74" s="756">
        <f>VLOOKUP(C_4, Table_S_Summary, MATCH("S-GC", heading_S_Summary, 0), FALSE)</f>
        <v>3920.7353410162614</v>
      </c>
      <c r="T74" s="753" t="str">
        <f>IF(S$80&gt;0,IF(S$80&gt;S74, "Yes", "No"), "--")</f>
        <v>--</v>
      </c>
      <c r="U74" s="758"/>
      <c r="V74" s="756">
        <f>VLOOKUP(C_5, Table_S_Summary, MATCH("S-GC", heading_S_Summary, 0), FALSE)</f>
        <v>2286</v>
      </c>
      <c r="W74" s="753" t="str">
        <f>IF(V$80&gt;0,IF(V$80&gt;V74, "Yes", "No"), "--")</f>
        <v>--</v>
      </c>
      <c r="X74" s="945"/>
      <c r="Y74" s="733" t="str">
        <f>IF(AND(K74="--",N74="--",Q74="--",T74="--",W74="--"), "No Data", IF(OR(K74="yes",N74="yes",Q74="yes",T74="yes",W74="yes"), "Above ESLs", "Below ESLs"))</f>
        <v>No Data</v>
      </c>
      <c r="Z74" s="751"/>
      <c r="AA74" s="751"/>
      <c r="AB74" s="751"/>
      <c r="AC74" s="751"/>
      <c r="AD74" s="751"/>
      <c r="AE74" s="751"/>
      <c r="AF74" s="751"/>
      <c r="AG74" s="751"/>
      <c r="AH74" s="751"/>
      <c r="AI74" s="751"/>
    </row>
    <row r="75" spans="6:35" ht="15" hidden="1">
      <c r="F75" s="754"/>
      <c r="G75" s="754"/>
      <c r="H75" s="332" t="s">
        <v>562</v>
      </c>
      <c r="I75" s="944"/>
      <c r="J75" s="755">
        <f>VLOOKUP(C_1, Table_S_Summary, MATCH("res-ss-no", heading_S_Summary, 0), FALSE)</f>
        <v>500</v>
      </c>
      <c r="K75" s="755"/>
      <c r="L75" s="942"/>
      <c r="M75" s="755">
        <f>VLOOKUP(C_2, Table_S_Summary, MATCH("res-ss-no", heading_S_Summary, 0), FALSE)</f>
        <v>500</v>
      </c>
      <c r="N75" s="755"/>
      <c r="O75" s="942"/>
      <c r="P75" s="755">
        <f>VLOOKUP(C_3, Table_S_Summary, MATCH("res-ss-no", heading_S_Summary, 0), FALSE)</f>
        <v>100</v>
      </c>
      <c r="Q75" s="755"/>
      <c r="R75" s="942"/>
      <c r="S75" s="755">
        <f>VLOOKUP(C_4, Table_S_Summary, MATCH("res-ss-no", heading_S_Summary, 0), FALSE)</f>
        <v>500</v>
      </c>
      <c r="T75" s="755"/>
      <c r="U75" s="942"/>
      <c r="V75" s="755">
        <f>VLOOKUP(C_5, Table_S_Summary, MATCH("res-ss-no", heading_S_Summary, 0), FALSE)</f>
        <v>100</v>
      </c>
      <c r="W75" s="755"/>
      <c r="X75" s="945"/>
      <c r="Y75" s="733"/>
      <c r="Z75" s="751"/>
      <c r="AA75" s="751"/>
      <c r="AB75" s="751"/>
      <c r="AC75" s="751"/>
      <c r="AD75" s="751"/>
      <c r="AE75" s="751"/>
      <c r="AF75" s="751"/>
      <c r="AG75" s="751"/>
      <c r="AH75" s="751"/>
      <c r="AI75" s="751"/>
    </row>
    <row r="76" spans="6:35" ht="15" hidden="1">
      <c r="F76" s="754"/>
      <c r="G76" s="754"/>
      <c r="H76" s="332" t="s">
        <v>563</v>
      </c>
      <c r="I76" s="944"/>
      <c r="J76" s="755">
        <f>VLOOKUP(C_1, Table_S_Summary, MATCH("com-ss-no", heading_S_Summary, 0), FALSE)</f>
        <v>1000</v>
      </c>
      <c r="K76" s="755"/>
      <c r="L76" s="942"/>
      <c r="M76" s="755">
        <f>VLOOKUP(C_2, Table_S_Summary, MATCH("com-ss-no", heading_S_Summary, 0), FALSE)</f>
        <v>1000</v>
      </c>
      <c r="N76" s="755"/>
      <c r="O76" s="942"/>
      <c r="P76" s="755">
        <f>VLOOKUP(C_3, Table_S_Summary, MATCH("com-ss-no", heading_S_Summary, 0), FALSE)</f>
        <v>500</v>
      </c>
      <c r="Q76" s="755"/>
      <c r="R76" s="942"/>
      <c r="S76" s="755">
        <f>VLOOKUP(C_4, Table_S_Summary, MATCH("com-ss-no", heading_S_Summary, 0), FALSE)</f>
        <v>1000</v>
      </c>
      <c r="T76" s="755"/>
      <c r="U76" s="942"/>
      <c r="V76" s="755">
        <f>VLOOKUP(C_5, Table_S_Summary, MATCH("com-ss-no", heading_S_Summary, 0), FALSE)</f>
        <v>500</v>
      </c>
      <c r="W76" s="755"/>
      <c r="X76" s="945"/>
      <c r="Y76" s="733"/>
      <c r="Z76" s="751"/>
      <c r="AA76" s="751"/>
      <c r="AB76" s="751"/>
      <c r="AC76" s="751"/>
      <c r="AD76" s="751"/>
      <c r="AE76" s="751"/>
      <c r="AF76" s="751"/>
      <c r="AG76" s="751"/>
      <c r="AH76" s="751"/>
      <c r="AI76" s="751"/>
    </row>
    <row r="77" spans="6:35" ht="15" hidden="1">
      <c r="F77" s="754"/>
      <c r="G77" s="754"/>
      <c r="H77" s="332" t="s">
        <v>564</v>
      </c>
      <c r="I77" s="944"/>
      <c r="J77" s="755">
        <f>VLOOKUP(C_1, Table_S_Summary, MATCH("any-ds-no", heading_S_Summary, 0), FALSE)</f>
        <v>1000</v>
      </c>
      <c r="K77" s="755"/>
      <c r="L77" s="942"/>
      <c r="M77" s="755">
        <f>VLOOKUP(C_2, Table_S_Summary, MATCH("any-ds-no", heading_S_Summary, 0), FALSE)</f>
        <v>1000</v>
      </c>
      <c r="N77" s="755"/>
      <c r="O77" s="942"/>
      <c r="P77" s="755">
        <f>VLOOKUP(C_3, Table_S_Summary, MATCH("any-ds-no", heading_S_Summary, 0), FALSE)</f>
        <v>500</v>
      </c>
      <c r="Q77" s="755"/>
      <c r="R77" s="942"/>
      <c r="S77" s="755">
        <f>VLOOKUP(C_4, Table_S_Summary, MATCH("any-ds-no", heading_S_Summary, 0), FALSE)</f>
        <v>1000</v>
      </c>
      <c r="T77" s="755"/>
      <c r="U77" s="942"/>
      <c r="V77" s="755">
        <f>VLOOKUP(C_5, Table_S_Summary, MATCH("any-ds-no", heading_S_Summary, 0), FALSE)</f>
        <v>500</v>
      </c>
      <c r="W77" s="755"/>
      <c r="X77" s="945"/>
      <c r="Y77" s="733"/>
      <c r="Z77" s="751"/>
      <c r="AA77" s="751"/>
      <c r="AB77" s="751"/>
      <c r="AC77" s="751"/>
      <c r="AD77" s="751"/>
      <c r="AE77" s="751"/>
      <c r="AF77" s="751"/>
      <c r="AG77" s="751"/>
      <c r="AH77" s="751"/>
      <c r="AI77" s="751"/>
    </row>
    <row r="78" spans="6:35" ht="15.75" hidden="1">
      <c r="F78" s="807"/>
      <c r="G78" s="807"/>
      <c r="H78" s="800" t="s">
        <v>565</v>
      </c>
      <c r="I78" s="808"/>
      <c r="J78" s="756">
        <f>IF(AND(J75="--", J76="--", J77="--"), "--", IF(AND(Land_Use="Commercial or Industrial", OR(Soil_Depth="Shallow Soil", Soil_Depth="Shallow &amp; Deep Soil")), MIN(J76,J77), IF(OR(Soil_Depth="Shallow Soil", Soil_Depth="Shallow &amp; Deep Soil"),MIN(J75,J77),J77)))</f>
        <v>500</v>
      </c>
      <c r="K78" s="753" t="str">
        <f>IF(J$80&gt;0,IF(J$80&gt;J78, "Yes", "No"), "--")</f>
        <v>--</v>
      </c>
      <c r="L78" s="758"/>
      <c r="M78" s="756">
        <f>IF(AND(M75="--", M76="--", M77="--"), "--", IF(AND(Land_Use="Commercial or Industrial", OR(Soil_Depth="Shallow Soil", Soil_Depth="Shallow &amp; Deep Soil")), MIN(M76,M77), IF(OR(Soil_Depth="Shallow Soil", Soil_Depth="Shallow &amp; Deep Soil"),MIN(M75,M77),M77)))</f>
        <v>500</v>
      </c>
      <c r="N78" s="753" t="str">
        <f>IF(M$80&gt;0,IF(M$80&gt;M78, "Yes", "No"), "--")</f>
        <v>--</v>
      </c>
      <c r="O78" s="758"/>
      <c r="P78" s="756">
        <f>IF(AND(P75="--", P76="--", P77="--"), "--", IF(AND(Land_Use="Commercial or Industrial", OR(Soil_Depth="Shallow Soil", Soil_Depth="Shallow &amp; Deep Soil")), MIN(P76,P77), IF(OR(Soil_Depth="Shallow Soil", Soil_Depth="Shallow &amp; Deep Soil"),MIN(P75,P77),P77)))</f>
        <v>100</v>
      </c>
      <c r="Q78" s="753" t="str">
        <f>IF(P$80&gt;0,IF(P$80&gt;P78, "Yes", "No"), "--")</f>
        <v>--</v>
      </c>
      <c r="R78" s="758"/>
      <c r="S78" s="756">
        <f>IF(AND(S75="--", S76="--", S77="--"), "--", IF(AND(Land_Use="Commercial or Industrial", OR(Soil_Depth="Shallow Soil", Soil_Depth="Shallow &amp; Deep Soil")), MIN(S76,S77), IF(OR(Soil_Depth="Shallow Soil", Soil_Depth="Shallow &amp; Deep Soil"),MIN(S75,S77),S77)))</f>
        <v>500</v>
      </c>
      <c r="T78" s="753" t="str">
        <f>IF(S$80&gt;0,IF(S$80&gt;S78, "Yes", "No"), "--")</f>
        <v>--</v>
      </c>
      <c r="U78" s="758"/>
      <c r="V78" s="756">
        <f>IF(AND(V75="--", V76="--", V77="--"), "--", IF(AND(Land_Use="Commercial or Industrial", OR(Soil_Depth="Shallow Soil", Soil_Depth="Shallow &amp; Deep Soil")), MIN(V76,V77), IF(OR(Soil_Depth="Shallow Soil", Soil_Depth="Shallow &amp; Deep Soil"),MIN(V75,V77),V77)))</f>
        <v>100</v>
      </c>
      <c r="W78" s="753" t="str">
        <f>IF(V$80&gt;0,IF(V$80&gt;V78, "Yes", "No"), "--")</f>
        <v>--</v>
      </c>
      <c r="X78" s="945"/>
      <c r="Y78" s="733" t="str">
        <f>IF(AND(K78="--",N78="--",Q78="--",T78="--",W78="--"), "No Data", IF(OR(K78="yes",N78="yes",Q78="yes",T78="yes",W78="yes"), "Above ESLs", "Below ESLs"))</f>
        <v>No Data</v>
      </c>
      <c r="Z78" s="751"/>
      <c r="AA78" s="751"/>
      <c r="AB78" s="751"/>
      <c r="AC78" s="751"/>
      <c r="AD78" s="751"/>
      <c r="AE78" s="751"/>
      <c r="AF78" s="751"/>
      <c r="AG78" s="751"/>
      <c r="AH78" s="751"/>
      <c r="AI78" s="751"/>
    </row>
    <row r="79" spans="6:35" ht="15.75" hidden="1">
      <c r="F79" s="808"/>
      <c r="G79" s="808"/>
      <c r="H79" s="808" t="s">
        <v>566</v>
      </c>
      <c r="I79" s="808"/>
      <c r="J79" s="758">
        <f>IF(MIN(J57,J73,J74,J78,J60)=0, "--",MIN(J57,J73,J74,J78,J60))</f>
        <v>7.9905242476613736E-2</v>
      </c>
      <c r="K79" s="758"/>
      <c r="L79" s="758"/>
      <c r="M79" s="758">
        <f>IF(MIN(M57,M73,M74,M78,M60)=0, "--",MIN(M57,M73,M74,M78,M60))</f>
        <v>8.4587965494296632E-2</v>
      </c>
      <c r="N79" s="758"/>
      <c r="O79" s="758"/>
      <c r="P79" s="758">
        <f>IF(MIN(P57,P73,P74,P78,P60)=0, "--",MIN(P57,P73,P74,P78,P60))</f>
        <v>0.19138896000000002</v>
      </c>
      <c r="Q79" s="758"/>
      <c r="R79" s="758"/>
      <c r="S79" s="758">
        <f>IF(MIN(S57,S73,S74,S78,S60)=0, "--",MIN(S57,S73,S74,S78,S60))</f>
        <v>1.4652657879868631E-3</v>
      </c>
      <c r="T79" s="758"/>
      <c r="U79" s="758"/>
      <c r="V79" s="758">
        <f>IF(MIN(V57,V73,V74,V78,V60)=0, "--",MIN(V57,V73,V74,V78,V60))</f>
        <v>100</v>
      </c>
      <c r="W79" s="758"/>
      <c r="X79" s="945"/>
      <c r="Y79" s="733"/>
      <c r="Z79" s="751"/>
      <c r="AA79" s="751"/>
      <c r="AB79" s="751"/>
      <c r="AC79" s="751"/>
      <c r="AD79" s="751"/>
      <c r="AE79" s="751"/>
      <c r="AF79" s="751"/>
      <c r="AG79" s="751"/>
      <c r="AH79" s="751"/>
      <c r="AI79" s="751"/>
    </row>
    <row r="80" spans="6:35" ht="15.75" hidden="1">
      <c r="F80" s="1020"/>
      <c r="G80" s="1020"/>
      <c r="H80" s="1021" t="s">
        <v>567</v>
      </c>
      <c r="I80" s="1020"/>
      <c r="J80" s="1022">
        <f>Conc_C1_Soil</f>
        <v>0</v>
      </c>
      <c r="K80" s="1022"/>
      <c r="L80" s="1022"/>
      <c r="M80" s="1022">
        <f>Conc_C2_Soil</f>
        <v>0</v>
      </c>
      <c r="N80" s="1022"/>
      <c r="O80" s="1022"/>
      <c r="P80" s="1022">
        <f>Conc_C3_Soil</f>
        <v>0</v>
      </c>
      <c r="Q80" s="1022"/>
      <c r="R80" s="1022"/>
      <c r="S80" s="1022">
        <f>Conc_C4_Soil</f>
        <v>0</v>
      </c>
      <c r="T80" s="1022"/>
      <c r="U80" s="1022"/>
      <c r="V80" s="1022">
        <f>Conc_C5_Soil</f>
        <v>0</v>
      </c>
      <c r="W80" s="1022"/>
      <c r="X80" s="1020"/>
      <c r="Y80" s="733"/>
      <c r="Z80" s="751"/>
      <c r="AA80" s="751"/>
      <c r="AB80" s="751"/>
      <c r="AC80" s="751"/>
      <c r="AD80" s="751"/>
      <c r="AE80" s="751"/>
      <c r="AF80" s="751"/>
      <c r="AG80" s="751"/>
      <c r="AH80" s="751"/>
      <c r="AI80" s="751"/>
    </row>
    <row r="81" spans="6:35" ht="15.75" hidden="1">
      <c r="F81" s="2327" t="s">
        <v>568</v>
      </c>
      <c r="G81" s="2327"/>
      <c r="H81" s="2327"/>
      <c r="I81" s="2327"/>
      <c r="J81" s="2327"/>
      <c r="K81" s="2327"/>
      <c r="L81" s="2327"/>
      <c r="M81" s="2327"/>
      <c r="N81" s="2327"/>
      <c r="O81" s="2327"/>
      <c r="P81" s="2327"/>
      <c r="Q81" s="2327"/>
      <c r="R81" s="2327"/>
      <c r="S81" s="2327"/>
      <c r="T81" s="2327"/>
      <c r="U81" s="2327"/>
      <c r="V81" s="2327"/>
      <c r="W81" s="1968"/>
      <c r="X81" s="949"/>
      <c r="Y81" s="733"/>
      <c r="Z81" s="751"/>
      <c r="AA81" s="751"/>
      <c r="AB81" s="751"/>
      <c r="AC81" s="751"/>
      <c r="AD81" s="751"/>
      <c r="AE81" s="751"/>
      <c r="AF81" s="751"/>
      <c r="AG81" s="751"/>
      <c r="AH81" s="751"/>
      <c r="AI81" s="751"/>
    </row>
    <row r="82" spans="6:35" ht="15" hidden="1">
      <c r="F82" s="759"/>
      <c r="G82" s="759"/>
      <c r="H82" s="331" t="s">
        <v>569</v>
      </c>
      <c r="I82" s="947"/>
      <c r="J82" s="760">
        <f>IF(Z82="--",AA82,IF(AA82="--",Z82,MIN(Z82,AA82)))</f>
        <v>15.342580916351405</v>
      </c>
      <c r="K82" s="760"/>
      <c r="L82" s="948"/>
      <c r="M82" s="760">
        <f>IF(AB82="--",AC82,IF(AC82="--",AB82,MIN(AB82,AC82)))</f>
        <v>15.943905409395809</v>
      </c>
      <c r="N82" s="760"/>
      <c r="O82" s="948"/>
      <c r="P82" s="760">
        <f>IF(AD82="--",AE82,IF(AE82="--",AD82,MIN(AD82,AE82)))</f>
        <v>1390.4761904761906</v>
      </c>
      <c r="Q82" s="760"/>
      <c r="R82" s="948"/>
      <c r="S82" s="760">
        <f>IF(AF82="--",AG82,IF(AG82="--",AF82,MIN(AF82,AG82)))</f>
        <v>0.31511698178364844</v>
      </c>
      <c r="T82" s="760"/>
      <c r="U82" s="948"/>
      <c r="V82" s="760">
        <f t="shared" ref="V82:V83" si="7">IF(AH82="--",AI82,IF(AI82="--",AH82,MIN(AH82,AI82)))</f>
        <v>10310.734463276838</v>
      </c>
      <c r="W82" s="760"/>
      <c r="X82" s="949"/>
      <c r="Y82" s="733"/>
      <c r="Z82" s="751">
        <f>VLOOKUP(C_1,Table_V_Summary,MATCH("Res-VI-C-min",heading_V_Summary,0),FALSE)</f>
        <v>15.342580916351405</v>
      </c>
      <c r="AA82" s="751">
        <f>VLOOKUP(C_1,Table_V_Summary,MATCH("Res-VI-NC-min",heading_V_Summary,0),FALSE)</f>
        <v>1390.4761904761906</v>
      </c>
      <c r="AB82" s="751">
        <f>VLOOKUP(C_2,Table_V_Summary,MATCH("Res-VI-C-min",heading_V_Summary,0),FALSE)</f>
        <v>15.943905409395809</v>
      </c>
      <c r="AC82" s="751">
        <f>VLOOKUP(C_2,Table_V_Summary,MATCH("Res-VI-NC-min",heading_V_Summary,0),FALSE)</f>
        <v>69.523809523809533</v>
      </c>
      <c r="AD82" s="751" t="str">
        <f>VLOOKUP(C_3,Table_V_Summary,MATCH("Res-VI-C-min",heading_V_Summary,0),FALSE)</f>
        <v>--</v>
      </c>
      <c r="AE82" s="751">
        <f>VLOOKUP(C_3,Table_V_Summary,MATCH("Res-VI-NC-min",heading_V_Summary,0),FALSE)</f>
        <v>1390.4761904761906</v>
      </c>
      <c r="AF82" s="751">
        <f>VLOOKUP(C_4,Table_V_Summary,MATCH("Res-VI-C-min",heading_V_Summary,0),FALSE)</f>
        <v>0.31511698178364844</v>
      </c>
      <c r="AG82" s="751">
        <f>VLOOKUP(C_4,Table_V_Summary,MATCH("Res-VI-NC-min",heading_V_Summary,0),FALSE)</f>
        <v>1772.8571428571429</v>
      </c>
      <c r="AH82" s="751" t="str">
        <f>VLOOKUP(C_5,Table_V_Summary,MATCH("Res-VI-C-min",heading_V_Summary,0),FALSE)</f>
        <v>--</v>
      </c>
      <c r="AI82" s="751">
        <f>VLOOKUP(C_5,Table_V_Summary,MATCH("Res-VI-NC-min",heading_V_Summary,0),FALSE)</f>
        <v>10310.734463276838</v>
      </c>
    </row>
    <row r="83" spans="6:35" ht="15" hidden="1">
      <c r="F83" s="759"/>
      <c r="G83" s="759"/>
      <c r="H83" s="331" t="s">
        <v>570</v>
      </c>
      <c r="I83" s="947"/>
      <c r="J83" s="760">
        <f t="shared" ref="J83" si="8">IF(Z83="--",AA83,IF(AA83="--",Z83,MIN(Z83,AA83)))</f>
        <v>67.016393442622942</v>
      </c>
      <c r="K83" s="760"/>
      <c r="L83" s="948"/>
      <c r="M83" s="760">
        <f t="shared" ref="M83" si="9">IF(AB83="--",AC83,IF(AC83="--",AB83,MIN(AB83,AC83)))</f>
        <v>99.707317073170714</v>
      </c>
      <c r="N83" s="760"/>
      <c r="O83" s="948"/>
      <c r="P83" s="760">
        <f t="shared" ref="P83" si="10">IF(AD83="--",AE83,IF(AE83="--",AD83,MIN(AD83,AE83)))</f>
        <v>5840</v>
      </c>
      <c r="Q83" s="760"/>
      <c r="R83" s="948"/>
      <c r="S83" s="760">
        <f t="shared" ref="S83" si="11">IF(AF83="--",AG83,IF(AG83="--",AF83,MIN(AF83,AG83)))</f>
        <v>5.2410256410256402</v>
      </c>
      <c r="T83" s="760"/>
      <c r="U83" s="948"/>
      <c r="V83" s="760">
        <f t="shared" si="7"/>
        <v>43305.08474576271</v>
      </c>
      <c r="W83" s="760"/>
      <c r="X83" s="949"/>
      <c r="Y83" s="733"/>
      <c r="Z83" s="751">
        <f>VLOOKUP(C_1,Table_V_Summary,MATCH("Com-VI-C-min",heading_V_Summary,0),FALSE)</f>
        <v>67.016393442622942</v>
      </c>
      <c r="AA83" s="751">
        <f>VLOOKUP(C_1,Table_V_Summary,MATCH("Com-VI-NC-min",heading_V_Summary,0),FALSE)</f>
        <v>5840</v>
      </c>
      <c r="AB83" s="751">
        <f>VLOOKUP(C_2,Table_V_Summary,MATCH("Com-VI-C-min",heading_V_Summary,0),FALSE)</f>
        <v>99.707317073170714</v>
      </c>
      <c r="AC83" s="751">
        <f>VLOOKUP(C_2,Table_V_Summary,MATCH("Com-VI-NC-min",heading_V_Summary,0),FALSE)</f>
        <v>292</v>
      </c>
      <c r="AD83" s="751" t="str">
        <f>VLOOKUP(C_3,Table_V_Summary,MATCH("Com-VI-C-min",heading_V_Summary,0),FALSE)</f>
        <v>--</v>
      </c>
      <c r="AE83" s="751">
        <f>VLOOKUP(C_3,Table_V_Summary,MATCH("Com-VI-NC-min",heading_V_Summary,0),FALSE)</f>
        <v>5840</v>
      </c>
      <c r="AF83" s="751">
        <f>VLOOKUP(C_4,Table_V_Summary,MATCH("Com-VI-C-min",heading_V_Summary,0),FALSE)</f>
        <v>5.2410256410256402</v>
      </c>
      <c r="AG83" s="751">
        <f>VLOOKUP(C_4,Table_V_Summary,MATCH("Com-VI-NC-min",heading_V_Summary,0),FALSE)</f>
        <v>7446</v>
      </c>
      <c r="AH83" s="751" t="str">
        <f>VLOOKUP(C_5,Table_V_Summary,MATCH("Com-VI-C-min",heading_V_Summary,0),FALSE)</f>
        <v>--</v>
      </c>
      <c r="AI83" s="751">
        <f>VLOOKUP(C_5,Table_V_Summary,MATCH("Com-VI-NC-min",heading_V_Summary,0),FALSE)</f>
        <v>43305.08474576271</v>
      </c>
    </row>
    <row r="84" spans="6:35" ht="15" hidden="1">
      <c r="F84" s="759"/>
      <c r="G84" s="759"/>
      <c r="H84" s="331"/>
      <c r="I84" s="947"/>
      <c r="J84" s="760"/>
      <c r="K84" s="760"/>
      <c r="L84" s="948"/>
      <c r="M84" s="760"/>
      <c r="N84" s="760"/>
      <c r="O84" s="948"/>
      <c r="P84" s="760"/>
      <c r="Q84" s="760"/>
      <c r="R84" s="948"/>
      <c r="S84" s="760"/>
      <c r="T84" s="760"/>
      <c r="U84" s="948"/>
      <c r="V84" s="760"/>
      <c r="W84" s="760"/>
      <c r="X84" s="949"/>
      <c r="Y84" s="733"/>
      <c r="Z84" s="751"/>
      <c r="AA84" s="751"/>
      <c r="AB84" s="751"/>
      <c r="AC84" s="751"/>
      <c r="AD84" s="751"/>
      <c r="AE84" s="751"/>
      <c r="AF84" s="751"/>
      <c r="AG84" s="751"/>
      <c r="AH84" s="751"/>
      <c r="AI84" s="751"/>
    </row>
    <row r="85" spans="6:35" ht="15" hidden="1">
      <c r="F85" s="759"/>
      <c r="G85" s="759"/>
      <c r="H85" s="331"/>
      <c r="I85" s="947"/>
      <c r="J85" s="760"/>
      <c r="K85" s="760"/>
      <c r="L85" s="948"/>
      <c r="M85" s="760"/>
      <c r="N85" s="760"/>
      <c r="O85" s="948"/>
      <c r="P85" s="760"/>
      <c r="Q85" s="760"/>
      <c r="R85" s="948"/>
      <c r="S85" s="760"/>
      <c r="T85" s="760"/>
      <c r="U85" s="948"/>
      <c r="V85" s="760"/>
      <c r="W85" s="760"/>
      <c r="X85" s="949"/>
      <c r="Y85" s="733"/>
      <c r="Z85" s="751"/>
      <c r="AA85" s="751"/>
      <c r="AB85" s="751"/>
      <c r="AC85" s="751"/>
      <c r="AD85" s="751"/>
      <c r="AE85" s="751"/>
      <c r="AF85" s="751"/>
      <c r="AG85" s="751"/>
      <c r="AH85" s="751"/>
      <c r="AI85" s="751"/>
    </row>
    <row r="86" spans="6:35" ht="15.75" hidden="1">
      <c r="F86" s="807"/>
      <c r="G86" s="807"/>
      <c r="H86" s="800" t="s">
        <v>571</v>
      </c>
      <c r="I86" s="809"/>
      <c r="J86" s="756">
        <f>IF(Land_Use="Residential",J82, J83)</f>
        <v>15.342580916351405</v>
      </c>
      <c r="K86" s="753" t="str">
        <f>IF(J$91&gt;0,IF(J$91&gt;J86, "Yes", "No"), "--")</f>
        <v>--</v>
      </c>
      <c r="L86" s="762"/>
      <c r="M86" s="756">
        <f>IF(Land_Use="Residential",M82, M83)</f>
        <v>15.943905409395809</v>
      </c>
      <c r="N86" s="753" t="str">
        <f>IF(M$91&gt;0,IF(M$91&gt;M86, "Yes", "No"), "--")</f>
        <v>--</v>
      </c>
      <c r="O86" s="762"/>
      <c r="P86" s="756">
        <f>IF(Land_Use="Residential",P82, P83)</f>
        <v>1390.4761904761906</v>
      </c>
      <c r="Q86" s="753" t="str">
        <f>IF(P$91&gt;0,IF(P$91&gt;P86, "Yes", "No"), "--")</f>
        <v>--</v>
      </c>
      <c r="R86" s="762"/>
      <c r="S86" s="756">
        <f>IF(Land_Use="Residential",S82, S83)</f>
        <v>0.31511698178364844</v>
      </c>
      <c r="T86" s="753" t="str">
        <f>IF(S$91&gt;0,IF(S$91&gt;S86, "Yes", "No"), "--")</f>
        <v>--</v>
      </c>
      <c r="U86" s="762"/>
      <c r="V86" s="756">
        <f>IF(Land_Use="Residential",V82, V83)</f>
        <v>10310.734463276838</v>
      </c>
      <c r="W86" s="753" t="str">
        <f>IF(V$91&gt;0,IF(V$91&gt;V86, "Yes", "No"), "--")</f>
        <v>--</v>
      </c>
      <c r="X86" s="949"/>
      <c r="Y86" s="733" t="str">
        <f>IF(AND(K86="--",N86="--",Q86="--",T86="--",W86="--"), "No Data", IF(OR(K86="yes",N86="yes",Q86="yes",T86="yes",W86="yes"), "Above ESLs; Sample IA", "Below ESLs"))</f>
        <v>No Data</v>
      </c>
      <c r="Z86" s="751">
        <f t="shared" ref="Z86:AI86" si="12">IF(Land_Use="Residential",Z82, Z83)</f>
        <v>15.342580916351405</v>
      </c>
      <c r="AA86" s="751">
        <f t="shared" si="12"/>
        <v>1390.4761904761906</v>
      </c>
      <c r="AB86" s="751">
        <f t="shared" si="12"/>
        <v>15.943905409395809</v>
      </c>
      <c r="AC86" s="751">
        <f t="shared" si="12"/>
        <v>69.523809523809533</v>
      </c>
      <c r="AD86" s="751" t="str">
        <f t="shared" si="12"/>
        <v>--</v>
      </c>
      <c r="AE86" s="751">
        <f t="shared" si="12"/>
        <v>1390.4761904761906</v>
      </c>
      <c r="AF86" s="751">
        <f t="shared" si="12"/>
        <v>0.31511698178364844</v>
      </c>
      <c r="AG86" s="751">
        <f t="shared" si="12"/>
        <v>1772.8571428571429</v>
      </c>
      <c r="AH86" s="751" t="str">
        <f t="shared" si="12"/>
        <v>--</v>
      </c>
      <c r="AI86" s="751">
        <f t="shared" si="12"/>
        <v>10310.734463276838</v>
      </c>
    </row>
    <row r="87" spans="6:35" ht="15" hidden="1">
      <c r="F87" s="761"/>
      <c r="G87" s="761"/>
      <c r="H87" s="331" t="s">
        <v>572</v>
      </c>
      <c r="I87" s="947"/>
      <c r="J87" s="760">
        <f>VLOOKUP(C_1,Table_V_Summary,MATCH("NO-Min",heading_V_Summary,0),FALSE)</f>
        <v>1057666.6666666667</v>
      </c>
      <c r="K87" s="760"/>
      <c r="L87" s="948"/>
      <c r="M87" s="760">
        <f>VLOOKUP(C_2,Table_V_Summary,MATCH("NO-Min",heading_V_Summary,0),FALSE)</f>
        <v>45333333.333333336</v>
      </c>
      <c r="N87" s="760"/>
      <c r="O87" s="948"/>
      <c r="P87" s="760" t="str">
        <f>VLOOKUP(C_3,Table_V_Summary,MATCH("NO-Min",heading_V_Summary,0),FALSE)</f>
        <v>--</v>
      </c>
      <c r="Q87" s="760"/>
      <c r="R87" s="948"/>
      <c r="S87" s="760">
        <f>VLOOKUP(C_4,Table_V_Summary,MATCH("NO-Min",heading_V_Summary,0),FALSE)</f>
        <v>25708133.333333336</v>
      </c>
      <c r="T87" s="760"/>
      <c r="U87" s="948"/>
      <c r="V87" s="760">
        <f>VLOOKUP(C_5,Table_V_Summary,MATCH("NO-Min",heading_V_Summary,0),FALSE)</f>
        <v>33333.333333333336</v>
      </c>
      <c r="W87" s="760"/>
      <c r="X87" s="949"/>
      <c r="Y87" s="733"/>
      <c r="Z87" s="751"/>
      <c r="AA87" s="751"/>
      <c r="AB87" s="751"/>
      <c r="AC87" s="751"/>
      <c r="AD87" s="751"/>
      <c r="AE87" s="751"/>
      <c r="AF87" s="751"/>
      <c r="AG87" s="751"/>
      <c r="AH87" s="751"/>
      <c r="AI87" s="751"/>
    </row>
    <row r="88" spans="6:35" ht="15" hidden="1">
      <c r="F88" s="761"/>
      <c r="G88" s="761"/>
      <c r="H88" s="331"/>
      <c r="I88" s="947"/>
      <c r="J88" s="760"/>
      <c r="K88" s="760"/>
      <c r="L88" s="948"/>
      <c r="M88" s="760"/>
      <c r="N88" s="760"/>
      <c r="O88" s="948"/>
      <c r="P88" s="760"/>
      <c r="Q88" s="760"/>
      <c r="R88" s="948"/>
      <c r="S88" s="760"/>
      <c r="T88" s="760"/>
      <c r="U88" s="948"/>
      <c r="V88" s="760"/>
      <c r="W88" s="760"/>
      <c r="X88" s="949"/>
      <c r="Y88" s="733"/>
      <c r="Z88" s="751"/>
      <c r="AA88" s="751"/>
      <c r="AB88" s="751"/>
      <c r="AC88" s="751"/>
      <c r="AD88" s="751"/>
      <c r="AE88" s="751"/>
      <c r="AF88" s="751"/>
      <c r="AG88" s="751"/>
      <c r="AH88" s="751"/>
      <c r="AI88" s="751"/>
    </row>
    <row r="89" spans="6:35" ht="15.75" hidden="1">
      <c r="F89" s="799"/>
      <c r="G89" s="799"/>
      <c r="H89" s="800" t="s">
        <v>573</v>
      </c>
      <c r="I89" s="809"/>
      <c r="J89" s="756">
        <f>J87</f>
        <v>1057666.6666666667</v>
      </c>
      <c r="K89" s="753" t="str">
        <f>IF(J$91&gt;0,IF(J$91&gt;J89, "Yes", "No"), "--")</f>
        <v>--</v>
      </c>
      <c r="L89" s="762"/>
      <c r="M89" s="756">
        <f>M87</f>
        <v>45333333.333333336</v>
      </c>
      <c r="N89" s="753" t="str">
        <f>IF(M$91&gt;0,IF(M$91&gt;M89, "Yes", "No"), "--")</f>
        <v>--</v>
      </c>
      <c r="O89" s="762"/>
      <c r="P89" s="756" t="str">
        <f>P87</f>
        <v>--</v>
      </c>
      <c r="Q89" s="753" t="str">
        <f>IF(P$91&gt;0,IF(P$91&gt;P89, "Yes", "No"), "--")</f>
        <v>--</v>
      </c>
      <c r="R89" s="762"/>
      <c r="S89" s="756">
        <f>S87</f>
        <v>25708133.333333336</v>
      </c>
      <c r="T89" s="753" t="str">
        <f>IF(S$91&gt;0,IF(S$91&gt;S89, "Yes", "No"), "--")</f>
        <v>--</v>
      </c>
      <c r="U89" s="762"/>
      <c r="V89" s="756">
        <f>V87</f>
        <v>33333.333333333336</v>
      </c>
      <c r="W89" s="753" t="str">
        <f>IF(V$91&gt;0,IF(V$91&gt;V89, "Yes", "No"), "--")</f>
        <v>--</v>
      </c>
      <c r="X89" s="949"/>
      <c r="Y89" s="733" t="str">
        <f>IF(AND(K89="--",N89="--",Q89="--",T89="--",W89="--"), "No Data", IF(OR(K89="yes",N89="yes",Q89="yes",T89="yes",W89="yes"), "Above ESLs; 
Sample IA", "Below ESLs"))</f>
        <v>No Data</v>
      </c>
      <c r="Z89" s="751"/>
      <c r="AA89" s="751"/>
      <c r="AB89" s="751"/>
      <c r="AC89" s="751"/>
      <c r="AD89" s="751"/>
      <c r="AE89" s="751"/>
      <c r="AF89" s="751"/>
      <c r="AG89" s="751"/>
      <c r="AH89" s="751"/>
      <c r="AI89" s="751"/>
    </row>
    <row r="90" spans="6:35" ht="15.75" hidden="1">
      <c r="F90" s="809"/>
      <c r="G90" s="809"/>
      <c r="H90" s="809" t="s">
        <v>574</v>
      </c>
      <c r="I90" s="809"/>
      <c r="J90" s="762">
        <f xml:space="preserve"> IF(MIN(J86,J89)=0,"--",MIN(J86,J89))</f>
        <v>15.342580916351405</v>
      </c>
      <c r="K90" s="762"/>
      <c r="L90" s="762"/>
      <c r="M90" s="762">
        <f xml:space="preserve"> IF(MIN(M86,M89)=0,"--",MIN(M86,M89))</f>
        <v>15.943905409395809</v>
      </c>
      <c r="N90" s="762"/>
      <c r="O90" s="762"/>
      <c r="P90" s="762">
        <f xml:space="preserve"> IF(MIN(P86,P89)=0,"--",MIN(P86,P89))</f>
        <v>1390.4761904761906</v>
      </c>
      <c r="Q90" s="762"/>
      <c r="R90" s="762"/>
      <c r="S90" s="762">
        <f xml:space="preserve"> IF(MIN(S86,S89)=0,"--",MIN(S86,S89))</f>
        <v>0.31511698178364844</v>
      </c>
      <c r="T90" s="762"/>
      <c r="U90" s="762"/>
      <c r="V90" s="762">
        <f xml:space="preserve"> IF(MIN(V86,V89)=0,"--",MIN(V86,V89))</f>
        <v>10310.734463276838</v>
      </c>
      <c r="W90" s="762"/>
      <c r="X90" s="949"/>
      <c r="Y90" s="733"/>
      <c r="Z90" s="751"/>
      <c r="AA90" s="751"/>
      <c r="AB90" s="751"/>
      <c r="AC90" s="751"/>
      <c r="AD90" s="751"/>
      <c r="AE90" s="751"/>
      <c r="AF90" s="751"/>
      <c r="AG90" s="751"/>
      <c r="AH90" s="751"/>
      <c r="AI90" s="751"/>
    </row>
    <row r="91" spans="6:35" ht="15.75" hidden="1">
      <c r="F91" s="1025"/>
      <c r="G91" s="1025"/>
      <c r="H91" s="1026" t="s">
        <v>575</v>
      </c>
      <c r="I91" s="1025"/>
      <c r="J91" s="1027">
        <f>Conc_C1_SG</f>
        <v>0</v>
      </c>
      <c r="K91" s="1027"/>
      <c r="L91" s="1027"/>
      <c r="M91" s="1027">
        <f>Conc_C2_SG</f>
        <v>0</v>
      </c>
      <c r="N91" s="1027"/>
      <c r="O91" s="1027"/>
      <c r="P91" s="1027">
        <f>Conc_C3_SG</f>
        <v>0</v>
      </c>
      <c r="Q91" s="1027"/>
      <c r="R91" s="1027"/>
      <c r="S91" s="1027">
        <f>Conc_C4_SG</f>
        <v>0</v>
      </c>
      <c r="T91" s="1027"/>
      <c r="U91" s="1027"/>
      <c r="V91" s="1027">
        <f>Conc_C5_SG</f>
        <v>0</v>
      </c>
      <c r="W91" s="1027"/>
      <c r="X91" s="1025"/>
      <c r="Y91" s="733"/>
      <c r="Z91" s="751"/>
      <c r="AA91" s="751"/>
      <c r="AB91" s="751"/>
      <c r="AC91" s="751"/>
      <c r="AD91" s="751"/>
      <c r="AE91" s="751"/>
      <c r="AF91" s="751"/>
    </row>
    <row r="92" spans="6:35" ht="15.75" hidden="1">
      <c r="F92" s="2328" t="s">
        <v>576</v>
      </c>
      <c r="G92" s="2328"/>
      <c r="H92" s="2328"/>
      <c r="I92" s="2328"/>
      <c r="J92" s="2328"/>
      <c r="K92" s="2328"/>
      <c r="L92" s="2328"/>
      <c r="M92" s="2328"/>
      <c r="N92" s="2328"/>
      <c r="O92" s="2328"/>
      <c r="P92" s="2328"/>
      <c r="Q92" s="2328"/>
      <c r="R92" s="2328"/>
      <c r="S92" s="2328"/>
      <c r="T92" s="2328"/>
      <c r="U92" s="2328"/>
      <c r="V92" s="2328"/>
      <c r="W92" s="1969"/>
      <c r="X92" s="953"/>
      <c r="Y92" s="733"/>
      <c r="Z92" s="751"/>
      <c r="AA92" s="751"/>
      <c r="AB92" s="751"/>
      <c r="AC92" s="751"/>
      <c r="AD92" s="751"/>
      <c r="AE92" s="751"/>
      <c r="AF92" s="751"/>
      <c r="AG92" s="751"/>
      <c r="AH92" s="751"/>
      <c r="AI92" s="751"/>
    </row>
    <row r="93" spans="6:35" ht="15" hidden="1">
      <c r="F93" s="763"/>
      <c r="G93" s="763"/>
      <c r="H93" s="330" t="s">
        <v>577</v>
      </c>
      <c r="I93" s="950"/>
      <c r="J93" s="764">
        <f>IF(Z93="--",AA93,IF(AA93="--",Z93,MIN(Z93,AA93)))</f>
        <v>0.46027742749054212</v>
      </c>
      <c r="K93" s="764"/>
      <c r="L93" s="951"/>
      <c r="M93" s="764">
        <f>IF(AB93="--",AC93,IF(AC93="--",AB93,MIN(AB93,AC93)))</f>
        <v>0.47831716228187426</v>
      </c>
      <c r="N93" s="764"/>
      <c r="O93" s="951"/>
      <c r="P93" s="764">
        <f>IF(AD93="--",AE93,IF(AE93="--",AD93,MIN(AD93,AE93)))</f>
        <v>41.714285714285715</v>
      </c>
      <c r="Q93" s="764"/>
      <c r="R93" s="951"/>
      <c r="S93" s="764">
        <f>IF(AF93="--",AG93,IF(AG93="--",AF93,MIN(AF93,AG93)))</f>
        <v>9.4535094535094528E-3</v>
      </c>
      <c r="T93" s="764"/>
      <c r="U93" s="951"/>
      <c r="V93" s="764">
        <f>IF(AH93="--",AI93,IF(AI93="--",AH93,MIN(AH93,AI93)))</f>
        <v>309.32203389830511</v>
      </c>
      <c r="W93" s="764"/>
      <c r="X93" s="953"/>
      <c r="Y93" s="733"/>
      <c r="Z93" s="751">
        <f>VLOOKUP(C_1,Table_V_Summary,MATCH("IA-Res-C",heading_V_Summary,0),FALSE)</f>
        <v>0.46027742749054212</v>
      </c>
      <c r="AA93" s="751">
        <f>VLOOKUP(C_1,Table_V_Summary,MATCH("IA-Res-NC",heading_V_Summary,0),FALSE)</f>
        <v>41.714285714285715</v>
      </c>
      <c r="AB93" s="751">
        <f>VLOOKUP(C_2,Table_V_Summary,MATCH("IA-Res-C",heading_V_Summary,0),FALSE)</f>
        <v>0.47831716228187426</v>
      </c>
      <c r="AC93" s="751">
        <f>VLOOKUP(C_2,Table_V_Summary,MATCH("IA-Res-NC",heading_V_Summary,0),FALSE)</f>
        <v>2.0857142857142859</v>
      </c>
      <c r="AD93" s="751" t="str">
        <f>VLOOKUP(C_3,Table_V_Summary,MATCH("IA-Res-C",heading_V_Summary,0),FALSE)</f>
        <v>--</v>
      </c>
      <c r="AE93" s="751">
        <f>VLOOKUP(C_3,Table_V_Summary,MATCH("IA-Res-NC",heading_V_Summary,0),FALSE)</f>
        <v>41.714285714285715</v>
      </c>
      <c r="AF93" s="751">
        <f>VLOOKUP(C_4,Table_V_Summary,MATCH("IA-Res-C",heading_V_Summary,0),FALSE)</f>
        <v>9.4535094535094528E-3</v>
      </c>
      <c r="AG93" s="751">
        <f>VLOOKUP(C_4,Table_V_Summary,MATCH("IA-Res-NC",heading_V_Summary,0),FALSE)</f>
        <v>53.185714285714283</v>
      </c>
      <c r="AH93" s="751" t="str">
        <f>VLOOKUP(C_5,Table_V_Summary,MATCH("IA-Res-C",heading_V_Summary,0),FALSE)</f>
        <v>--</v>
      </c>
      <c r="AI93" s="751">
        <f>VLOOKUP(C_5,Table_V_Summary,MATCH("IA-Res-NC",heading_V_Summary,0),FALSE)</f>
        <v>309.32203389830511</v>
      </c>
    </row>
    <row r="94" spans="6:35" ht="15" hidden="1">
      <c r="F94" s="763"/>
      <c r="G94" s="763"/>
      <c r="H94" s="330" t="s">
        <v>578</v>
      </c>
      <c r="I94" s="950"/>
      <c r="J94" s="764">
        <f>IF(Z94="--",AA94,IF(AA94="--",Z94,MIN(Z94,AA94)))</f>
        <v>2.010491803278688</v>
      </c>
      <c r="K94" s="764"/>
      <c r="L94" s="951"/>
      <c r="M94" s="764">
        <f>IF(AB94="--",AC94,IF(AC94="--",AB94,MIN(AB94,AC94)))</f>
        <v>2.9912195121951215</v>
      </c>
      <c r="N94" s="764"/>
      <c r="O94" s="951"/>
      <c r="P94" s="764">
        <f>IF(AD94="--",AE94,IF(AE94="--",AD94,MIN(AD94,AE94)))</f>
        <v>175.2</v>
      </c>
      <c r="Q94" s="764"/>
      <c r="R94" s="951"/>
      <c r="S94" s="764">
        <f>IF(AF94="--",AG94,IF(AG94="--",AF94,MIN(AF94,AG94)))</f>
        <v>0.1572307692307692</v>
      </c>
      <c r="T94" s="764"/>
      <c r="U94" s="951"/>
      <c r="V94" s="764">
        <f>IF(AH94="--",AI94,IF(AI94="--",AH94,MIN(AH94,AI94)))</f>
        <v>1299.1525423728813</v>
      </c>
      <c r="W94" s="764"/>
      <c r="X94" s="953"/>
      <c r="Y94" s="733"/>
      <c r="Z94" s="751">
        <f>VLOOKUP(C_1,Table_V_Summary,MATCH("IA-com-C",heading_V_Summary,0),FALSE)</f>
        <v>2.010491803278688</v>
      </c>
      <c r="AA94" s="751">
        <f>VLOOKUP(C_1,Table_V_Summary,MATCH("IA-com-NC",heading_V_Summary,0),FALSE)</f>
        <v>175.2</v>
      </c>
      <c r="AB94" s="751">
        <f>VLOOKUP(C_2,Table_V_Summary,MATCH("IA-com-C",heading_V_Summary,0),FALSE)</f>
        <v>2.9912195121951215</v>
      </c>
      <c r="AC94" s="751">
        <f>VLOOKUP(C_2,Table_V_Summary,MATCH("IA-com-NC",heading_V_Summary,0),FALSE)</f>
        <v>8.76</v>
      </c>
      <c r="AD94" s="751" t="str">
        <f>VLOOKUP(C_3,Table_V_Summary,MATCH("IA-com-C",heading_V_Summary,0),FALSE)</f>
        <v>--</v>
      </c>
      <c r="AE94" s="751">
        <f>VLOOKUP(C_3,Table_V_Summary,MATCH("IA-com-NC",heading_V_Summary,0),FALSE)</f>
        <v>175.2</v>
      </c>
      <c r="AF94" s="751">
        <f>VLOOKUP(C_4,Table_V_Summary,MATCH("IA-com-C",heading_V_Summary,0),FALSE)</f>
        <v>0.1572307692307692</v>
      </c>
      <c r="AG94" s="751">
        <f>VLOOKUP(C_4,Table_V_Summary,MATCH("IA-com-NC",heading_V_Summary,0),FALSE)</f>
        <v>223.38</v>
      </c>
      <c r="AH94" s="751" t="str">
        <f>VLOOKUP(C_5,Table_V_Summary,MATCH("IA-com-C",heading_V_Summary,0),FALSE)</f>
        <v>--</v>
      </c>
      <c r="AI94" s="751">
        <f>VLOOKUP(C_5,Table_V_Summary,MATCH("IA-com-NC",heading_V_Summary,0),FALSE)</f>
        <v>1299.1525423728813</v>
      </c>
    </row>
    <row r="95" spans="6:35" ht="15.75" hidden="1">
      <c r="F95" s="807"/>
      <c r="G95" s="807"/>
      <c r="H95" s="800" t="s">
        <v>579</v>
      </c>
      <c r="I95" s="811"/>
      <c r="J95" s="756">
        <f>IF(Land_Use="Residential",J93,J94)</f>
        <v>0.46027742749054212</v>
      </c>
      <c r="K95" s="756"/>
      <c r="L95" s="952"/>
      <c r="M95" s="756">
        <f>IF(Land_Use="Residential",M93,M94)</f>
        <v>0.47831716228187426</v>
      </c>
      <c r="N95" s="756"/>
      <c r="O95" s="952"/>
      <c r="P95" s="756">
        <f>IF(Land_Use="Residential",P93,P94)</f>
        <v>41.714285714285715</v>
      </c>
      <c r="Q95" s="756"/>
      <c r="R95" s="952"/>
      <c r="S95" s="756">
        <f>IF(Land_Use="Residential",S93,S94)</f>
        <v>9.4535094535094528E-3</v>
      </c>
      <c r="T95" s="756"/>
      <c r="U95" s="952"/>
      <c r="V95" s="756">
        <f>IF(Land_Use="Residential",V93,V94)</f>
        <v>309.32203389830511</v>
      </c>
      <c r="W95" s="756"/>
      <c r="X95" s="953"/>
      <c r="Y95" s="733"/>
      <c r="Z95" s="137">
        <f t="shared" ref="Z95:AI95" si="13">IF(AND(Z93="--",Z94="--"),"--",IF(Land_Use="residential",Z93,Z94))</f>
        <v>0.46027742749054212</v>
      </c>
      <c r="AA95" s="137">
        <f t="shared" si="13"/>
        <v>41.714285714285715</v>
      </c>
      <c r="AB95" s="137">
        <f t="shared" si="13"/>
        <v>0.47831716228187426</v>
      </c>
      <c r="AC95" s="137">
        <f t="shared" si="13"/>
        <v>2.0857142857142859</v>
      </c>
      <c r="AD95" s="137" t="str">
        <f t="shared" si="13"/>
        <v>--</v>
      </c>
      <c r="AE95" s="137">
        <f t="shared" si="13"/>
        <v>41.714285714285715</v>
      </c>
      <c r="AF95" s="137">
        <f t="shared" si="13"/>
        <v>9.4535094535094528E-3</v>
      </c>
      <c r="AG95" s="137">
        <f t="shared" si="13"/>
        <v>53.185714285714283</v>
      </c>
      <c r="AH95" s="137" t="str">
        <f t="shared" si="13"/>
        <v>--</v>
      </c>
      <c r="AI95" s="137">
        <f t="shared" si="13"/>
        <v>309.32203389830511</v>
      </c>
    </row>
    <row r="96" spans="6:35" ht="15.75" hidden="1">
      <c r="F96" s="799"/>
      <c r="G96" s="799"/>
      <c r="H96" s="800" t="s">
        <v>580</v>
      </c>
      <c r="I96" s="811"/>
      <c r="J96" s="810">
        <f>IF(ISBLANK(VLOOKUP(C_1,Table_V_Summary,MATCH("IA-NO",heading_V_Summary,0),FALSE)),"--",VLOOKUP(C_1,Table_V_Summary,MATCH("IA-NO",heading_V_Summary,0),FALSE))</f>
        <v>31730</v>
      </c>
      <c r="K96" s="753" t="str">
        <f>IF(J$98&gt;0,IF(J$98&gt;J96, "Yes", "No"), "--")</f>
        <v>--</v>
      </c>
      <c r="L96" s="765"/>
      <c r="M96" s="810">
        <f>IF(ISBLANK(VLOOKUP(C_2,Table_V_Summary,MATCH("IA-NO",heading_V_Summary,0),FALSE)),"--",VLOOKUP(C_2,Table_V_Summary,MATCH("IA-NO",heading_V_Summary,0),FALSE))</f>
        <v>1360000</v>
      </c>
      <c r="N96" s="753" t="str">
        <f>IF(M$98&gt;0,IF(M$98&gt;M96, "Yes", "No"), "--")</f>
        <v>--</v>
      </c>
      <c r="O96" s="765"/>
      <c r="P96" s="810" t="str">
        <f>IF(ISBLANK(VLOOKUP(C_3,Table_V_Summary,MATCH("IA-NO",heading_V_Summary,0),FALSE)),"--",VLOOKUP(C_3,Table_V_Summary,MATCH("IA-NO",heading_V_Summary,0),FALSE))</f>
        <v>--</v>
      </c>
      <c r="Q96" s="753" t="str">
        <f>IF(P$98&gt;0,IF(P$98&gt;P96, "Yes", "No"), "--")</f>
        <v>--</v>
      </c>
      <c r="R96" s="765"/>
      <c r="S96" s="810">
        <f>IF(ISBLANK(VLOOKUP(C_4,Table_V_Summary,MATCH("IA-NO",heading_V_Summary,0),FALSE)),"--",VLOOKUP(C_4,Table_V_Summary,MATCH("IA-NO",heading_V_Summary,0),FALSE))</f>
        <v>771244</v>
      </c>
      <c r="T96" s="753" t="str">
        <f>IF(S$98&gt;0,IF(S$98&gt;S96, "Yes", "No"), "--")</f>
        <v>--</v>
      </c>
      <c r="U96" s="765"/>
      <c r="V96" s="810">
        <f>IF(ISBLANK(VLOOKUP(C_5,Table_V_Summary,MATCH("IA-NO",heading_V_Summary,0),FALSE)),"--",VLOOKUP(C_5,Table_V_Summary,MATCH("IA-NO",heading_V_Summary,0),FALSE))</f>
        <v>1000</v>
      </c>
      <c r="W96" s="753" t="str">
        <f>IF(V$98&gt;0,IF(V$98&gt;V96, "Yes", "No"), "--")</f>
        <v>--</v>
      </c>
      <c r="X96" s="953"/>
      <c r="Y96" s="733" t="str">
        <f>IF(AND(K96="--",N96="--",Q96="--",T96="--",W96="--"), "No Data", IF(OR(K96="yes",N96="yes",Q96="yes",T96="yes",W96="yes"), "Above ESLs", "Below ESLs"))</f>
        <v>No Data</v>
      </c>
      <c r="Z96" s="533"/>
      <c r="AA96" s="533"/>
      <c r="AB96" s="75"/>
      <c r="AC96" s="109"/>
      <c r="AD96" s="109"/>
      <c r="AE96" s="533"/>
      <c r="AF96" s="533"/>
      <c r="AG96" s="533"/>
      <c r="AH96" s="533"/>
      <c r="AI96" s="533"/>
    </row>
    <row r="97" spans="6:35" ht="15.75" hidden="1">
      <c r="F97" s="811"/>
      <c r="G97" s="811"/>
      <c r="H97" s="811" t="s">
        <v>581</v>
      </c>
      <c r="I97" s="811"/>
      <c r="J97" s="765">
        <f>IF(MIN(J95:J96)=0,"--",MIN(J95:J96))</f>
        <v>0.46027742749054212</v>
      </c>
      <c r="K97" s="765"/>
      <c r="L97" s="765"/>
      <c r="M97" s="765">
        <f t="shared" ref="M97:S97" si="14">IF(MIN(M95:M96)=0,"--",MIN(M95:M96))</f>
        <v>0.47831716228187426</v>
      </c>
      <c r="N97" s="765"/>
      <c r="O97" s="765"/>
      <c r="P97" s="765">
        <f t="shared" si="14"/>
        <v>41.714285714285715</v>
      </c>
      <c r="Q97" s="765"/>
      <c r="R97" s="765"/>
      <c r="S97" s="765">
        <f t="shared" si="14"/>
        <v>9.4535094535094528E-3</v>
      </c>
      <c r="T97" s="765"/>
      <c r="U97" s="765"/>
      <c r="V97" s="765">
        <f>IF(MIN(V95:V96)=0,"--",MIN(V95:V96))</f>
        <v>309.32203389830511</v>
      </c>
      <c r="W97" s="765"/>
      <c r="X97" s="953"/>
      <c r="Y97" s="533"/>
      <c r="Z97" s="533"/>
      <c r="AA97" s="533"/>
      <c r="AB97" s="75"/>
      <c r="AC97" s="109"/>
      <c r="AD97" s="109"/>
      <c r="AE97" s="533"/>
      <c r="AF97" s="533"/>
      <c r="AG97" s="533"/>
      <c r="AH97" s="533"/>
      <c r="AI97" s="533"/>
    </row>
    <row r="98" spans="6:35" s="61" customFormat="1" ht="15.75" hidden="1">
      <c r="F98" s="1104"/>
      <c r="G98" s="1104"/>
      <c r="H98" s="1105" t="s">
        <v>582</v>
      </c>
      <c r="I98" s="1104"/>
      <c r="J98" s="1106">
        <f>Conc_C1_IA</f>
        <v>0</v>
      </c>
      <c r="K98" s="1106"/>
      <c r="L98" s="1106"/>
      <c r="M98" s="1106">
        <f>Conc_C2_IA</f>
        <v>0</v>
      </c>
      <c r="N98" s="1106"/>
      <c r="O98" s="1106"/>
      <c r="P98" s="1106">
        <f>Conc_C3_IA</f>
        <v>0</v>
      </c>
      <c r="Q98" s="1106"/>
      <c r="R98" s="1106"/>
      <c r="S98" s="1106">
        <f>Conc_C4_IA</f>
        <v>0</v>
      </c>
      <c r="T98" s="1106"/>
      <c r="U98" s="1106"/>
      <c r="V98" s="1106">
        <f>Conc_C5_IA</f>
        <v>0</v>
      </c>
      <c r="W98" s="1106"/>
      <c r="X98" s="1107"/>
      <c r="Y98" s="1028"/>
      <c r="Z98" s="110"/>
      <c r="AA98" s="42"/>
    </row>
    <row r="99" spans="6:35" ht="15" customHeight="1">
      <c r="F99" s="821"/>
      <c r="G99" s="833"/>
      <c r="H99" s="821"/>
      <c r="I99" s="821"/>
      <c r="J99" s="821"/>
      <c r="K99" s="821"/>
      <c r="L99" s="821"/>
      <c r="M99" s="821"/>
      <c r="N99" s="821"/>
      <c r="O99" s="821"/>
      <c r="P99" s="821"/>
      <c r="Q99" s="821"/>
      <c r="R99" s="821"/>
      <c r="S99" s="821"/>
      <c r="T99" s="821"/>
      <c r="U99" s="1029"/>
      <c r="V99" s="1030"/>
      <c r="W99" s="1030"/>
      <c r="X99" s="1030"/>
      <c r="Y99" s="44"/>
      <c r="Z99" s="45"/>
    </row>
    <row r="100" spans="6:35">
      <c r="F100" s="821"/>
      <c r="G100" s="821"/>
      <c r="H100" s="821"/>
      <c r="I100" s="821"/>
      <c r="J100" s="821"/>
      <c r="K100" s="821"/>
      <c r="L100" s="821"/>
      <c r="M100" s="821"/>
      <c r="N100" s="821"/>
      <c r="O100" s="821"/>
      <c r="P100" s="821"/>
      <c r="Q100" s="821"/>
      <c r="R100" s="821"/>
      <c r="S100" s="821"/>
      <c r="T100" s="821"/>
      <c r="U100" s="1029"/>
      <c r="V100" s="1030"/>
      <c r="W100" s="1030"/>
      <c r="X100" s="1030"/>
      <c r="Y100" s="44"/>
      <c r="Z100" s="45"/>
    </row>
    <row r="101" spans="6:35">
      <c r="F101" s="821"/>
      <c r="G101" s="821"/>
      <c r="H101" s="821"/>
      <c r="I101" s="821"/>
      <c r="J101" s="821"/>
      <c r="K101" s="821"/>
      <c r="L101" s="821"/>
      <c r="M101" s="821"/>
      <c r="N101" s="821"/>
      <c r="O101" s="821"/>
      <c r="P101" s="821"/>
      <c r="Q101" s="821"/>
      <c r="R101" s="821"/>
      <c r="S101" s="821"/>
      <c r="T101" s="821"/>
      <c r="U101" s="1029"/>
      <c r="V101" s="1030"/>
      <c r="W101" s="1030"/>
      <c r="X101" s="1030"/>
      <c r="Y101" s="44"/>
      <c r="Z101" s="45"/>
    </row>
    <row r="102" spans="6:35">
      <c r="F102" s="821"/>
      <c r="G102" s="833"/>
      <c r="H102" s="821"/>
      <c r="I102" s="821"/>
      <c r="J102" s="821"/>
      <c r="K102" s="821"/>
      <c r="L102" s="821"/>
      <c r="M102" s="821"/>
      <c r="N102" s="821"/>
      <c r="O102" s="821"/>
      <c r="P102" s="821"/>
      <c r="Q102" s="821"/>
      <c r="R102" s="821"/>
      <c r="S102" s="821"/>
      <c r="T102" s="821"/>
      <c r="U102" s="1029"/>
      <c r="V102" s="1030"/>
      <c r="W102" s="1030"/>
      <c r="X102" s="1030"/>
      <c r="Y102" s="44"/>
      <c r="Z102" s="45"/>
    </row>
    <row r="103" spans="6:35">
      <c r="U103" s="3"/>
      <c r="V103" s="43"/>
      <c r="W103" s="43"/>
      <c r="X103" s="43"/>
      <c r="Y103" s="44"/>
    </row>
    <row r="104" spans="6:35">
      <c r="U104" s="3"/>
      <c r="V104" s="43"/>
      <c r="W104" s="43"/>
      <c r="X104" s="43"/>
      <c r="Y104" s="44"/>
      <c r="Z104" s="45"/>
    </row>
    <row r="105" spans="6:35">
      <c r="U105" s="3"/>
      <c r="V105" s="43"/>
      <c r="W105" s="43"/>
      <c r="X105" s="43"/>
      <c r="Y105" s="44"/>
    </row>
    <row r="106" spans="6:35">
      <c r="U106" s="3"/>
      <c r="V106" s="43"/>
      <c r="W106" s="43"/>
      <c r="X106" s="43"/>
      <c r="Y106" s="44"/>
      <c r="Z106" s="45"/>
    </row>
    <row r="107" spans="6:35">
      <c r="U107" s="3"/>
      <c r="V107" s="43"/>
      <c r="W107" s="43"/>
      <c r="X107" s="43"/>
      <c r="Y107" s="44"/>
      <c r="Z107" s="45"/>
    </row>
    <row r="108" spans="6:35">
      <c r="U108" s="3"/>
      <c r="V108" s="43"/>
      <c r="W108" s="43"/>
      <c r="X108" s="43"/>
      <c r="Y108" s="44"/>
      <c r="Z108" s="45"/>
    </row>
    <row r="109" spans="6:35">
      <c r="U109" s="3"/>
      <c r="V109" s="43"/>
      <c r="W109" s="43"/>
      <c r="X109" s="43"/>
      <c r="Y109" s="44"/>
      <c r="Z109" s="45"/>
    </row>
    <row r="110" spans="6:35">
      <c r="U110" s="3"/>
      <c r="V110" s="43"/>
      <c r="W110" s="43"/>
      <c r="X110" s="43"/>
      <c r="Y110" s="44"/>
    </row>
    <row r="111" spans="6:35">
      <c r="U111" s="115"/>
      <c r="V111" s="43"/>
      <c r="W111" s="43"/>
      <c r="X111" s="43"/>
      <c r="Y111" s="44"/>
      <c r="Z111" s="45"/>
    </row>
    <row r="112" spans="6:35">
      <c r="U112" s="3"/>
      <c r="V112" s="43"/>
      <c r="W112" s="43"/>
      <c r="X112" s="43"/>
      <c r="Y112" s="44"/>
    </row>
    <row r="113" spans="21:26">
      <c r="U113" s="3"/>
      <c r="V113" s="43"/>
      <c r="W113" s="43"/>
      <c r="X113" s="43"/>
      <c r="Y113" s="44"/>
    </row>
    <row r="114" spans="21:26">
      <c r="U114" s="3"/>
      <c r="V114" s="43"/>
      <c r="W114" s="43"/>
      <c r="X114" s="43"/>
      <c r="Y114" s="44"/>
    </row>
    <row r="115" spans="21:26">
      <c r="U115" s="3"/>
      <c r="V115" s="43"/>
      <c r="W115" s="43"/>
      <c r="X115" s="43"/>
      <c r="Y115" s="44"/>
      <c r="Z115" s="45"/>
    </row>
    <row r="116" spans="21:26">
      <c r="U116" s="3"/>
      <c r="V116" s="43"/>
      <c r="W116" s="43"/>
      <c r="X116" s="43"/>
      <c r="Y116" s="44"/>
      <c r="Z116" s="45"/>
    </row>
    <row r="117" spans="21:26">
      <c r="U117" s="3"/>
      <c r="V117" s="43"/>
      <c r="W117" s="43"/>
      <c r="X117" s="43"/>
      <c r="Y117" s="44"/>
      <c r="Z117" s="45"/>
    </row>
    <row r="118" spans="21:26">
      <c r="U118" s="3"/>
      <c r="V118" s="43"/>
      <c r="W118" s="43"/>
      <c r="X118" s="43"/>
      <c r="Y118" s="44"/>
      <c r="Z118" s="45"/>
    </row>
    <row r="119" spans="21:26">
      <c r="U119" s="3"/>
      <c r="V119" s="43"/>
      <c r="W119" s="43"/>
      <c r="X119" s="43"/>
      <c r="Y119" s="44"/>
      <c r="Z119" s="45"/>
    </row>
    <row r="120" spans="21:26">
      <c r="U120" s="3"/>
      <c r="V120" s="43"/>
      <c r="W120" s="43"/>
      <c r="X120" s="43"/>
      <c r="Y120" s="44"/>
      <c r="Z120" s="45"/>
    </row>
    <row r="121" spans="21:26">
      <c r="U121" s="3"/>
      <c r="V121" s="43"/>
      <c r="W121" s="43"/>
      <c r="X121" s="43"/>
      <c r="Y121" s="44"/>
    </row>
    <row r="122" spans="21:26">
      <c r="U122" s="3"/>
      <c r="V122" s="43"/>
      <c r="W122" s="43"/>
      <c r="X122" s="43"/>
      <c r="Y122" s="44"/>
    </row>
    <row r="123" spans="21:26">
      <c r="U123" s="3"/>
      <c r="V123" s="43"/>
      <c r="W123" s="43"/>
      <c r="X123" s="43"/>
      <c r="Y123" s="44"/>
    </row>
    <row r="124" spans="21:26">
      <c r="U124" s="3"/>
      <c r="V124" s="43"/>
      <c r="W124" s="43"/>
      <c r="X124" s="43"/>
      <c r="Y124" s="44"/>
    </row>
    <row r="125" spans="21:26">
      <c r="U125" s="3"/>
      <c r="V125" s="43"/>
      <c r="W125" s="43"/>
      <c r="X125" s="43"/>
      <c r="Y125" s="44"/>
    </row>
    <row r="126" spans="21:26">
      <c r="U126" s="3"/>
      <c r="V126" s="43"/>
      <c r="W126" s="43"/>
      <c r="X126" s="43"/>
      <c r="Y126" s="44"/>
    </row>
    <row r="127" spans="21:26">
      <c r="U127" s="3"/>
      <c r="V127" s="43"/>
      <c r="W127" s="43"/>
      <c r="X127" s="43"/>
      <c r="Y127" s="44"/>
      <c r="Z127" s="45"/>
    </row>
    <row r="128" spans="21:26">
      <c r="U128" s="3"/>
      <c r="V128" s="43"/>
      <c r="W128" s="43"/>
      <c r="X128" s="43"/>
      <c r="Y128" s="44"/>
    </row>
    <row r="129" spans="21:26">
      <c r="U129" s="3"/>
      <c r="V129" s="43"/>
      <c r="W129" s="43"/>
      <c r="X129" s="43"/>
      <c r="Y129" s="44"/>
      <c r="Z129" s="45"/>
    </row>
    <row r="130" spans="21:26">
      <c r="U130" s="3"/>
      <c r="V130" s="43"/>
      <c r="W130" s="43"/>
      <c r="X130" s="43"/>
      <c r="Y130" s="44"/>
      <c r="Z130" s="45"/>
    </row>
    <row r="131" spans="21:26">
      <c r="U131" s="48"/>
      <c r="V131" s="48"/>
      <c r="W131" s="48"/>
      <c r="X131" s="48"/>
      <c r="Y131" s="48"/>
    </row>
    <row r="132" spans="21:26">
      <c r="U132" s="49"/>
      <c r="V132" s="49"/>
      <c r="W132" s="49"/>
      <c r="X132" s="49"/>
      <c r="Y132" s="49"/>
    </row>
    <row r="133" spans="21:26">
      <c r="U133" s="49"/>
      <c r="V133" s="49"/>
      <c r="W133" s="49"/>
      <c r="X133" s="49"/>
      <c r="Y133" s="49"/>
    </row>
    <row r="134" spans="21:26">
      <c r="U134" s="49"/>
      <c r="V134" s="49"/>
      <c r="W134" s="49"/>
      <c r="X134" s="49"/>
      <c r="Y134" s="49"/>
    </row>
    <row r="135" spans="21:26">
      <c r="U135" s="49"/>
      <c r="V135" s="49"/>
      <c r="W135" s="49"/>
      <c r="X135" s="49"/>
      <c r="Y135" s="49"/>
    </row>
    <row r="136" spans="21:26">
      <c r="U136" s="50"/>
      <c r="V136" s="50"/>
      <c r="W136" s="50"/>
      <c r="X136" s="50"/>
      <c r="Y136" s="50"/>
    </row>
    <row r="137" spans="21:26">
      <c r="U137" s="51"/>
      <c r="V137" s="51"/>
      <c r="W137" s="51"/>
      <c r="X137" s="51"/>
      <c r="Y137" s="51"/>
    </row>
    <row r="138" spans="21:26">
      <c r="U138" s="49"/>
      <c r="V138" s="49"/>
      <c r="W138" s="49"/>
      <c r="X138" s="49"/>
      <c r="Y138" s="49"/>
    </row>
    <row r="139" spans="21:26">
      <c r="U139" s="49"/>
      <c r="V139" s="49"/>
      <c r="W139" s="49"/>
      <c r="X139" s="49"/>
      <c r="Y139" s="49"/>
    </row>
    <row r="140" spans="21:26">
      <c r="U140" s="49"/>
      <c r="V140" s="49"/>
      <c r="W140" s="49"/>
      <c r="X140" s="49"/>
      <c r="Y140" s="49"/>
    </row>
    <row r="141" spans="21:26">
      <c r="U141" s="52"/>
      <c r="V141" s="52"/>
      <c r="W141" s="52"/>
      <c r="X141" s="52"/>
      <c r="Y141" s="52"/>
    </row>
    <row r="142" spans="21:26">
      <c r="U142" s="52"/>
      <c r="V142" s="52"/>
      <c r="W142" s="52"/>
      <c r="X142" s="52"/>
      <c r="Y142" s="52"/>
    </row>
    <row r="143" spans="21:26">
      <c r="U143" s="52"/>
      <c r="V143" s="52"/>
      <c r="W143" s="52"/>
      <c r="X143" s="52"/>
      <c r="Y143" s="52"/>
    </row>
    <row r="144" spans="21:26">
      <c r="U144" s="52"/>
      <c r="V144" s="52"/>
      <c r="W144" s="52"/>
      <c r="X144" s="52"/>
      <c r="Y144" s="52"/>
    </row>
    <row r="145" spans="21:25">
      <c r="U145" s="53"/>
      <c r="V145" s="53"/>
      <c r="W145" s="53"/>
      <c r="X145" s="53"/>
      <c r="Y145" s="53"/>
    </row>
    <row r="146" spans="21:25">
      <c r="U146" s="53"/>
      <c r="V146" s="53"/>
      <c r="W146" s="53"/>
      <c r="X146" s="53"/>
      <c r="Y146" s="53"/>
    </row>
    <row r="147" spans="21:25">
      <c r="U147" s="51"/>
      <c r="V147" s="51"/>
      <c r="W147" s="51"/>
      <c r="X147" s="51"/>
      <c r="Y147" s="51"/>
    </row>
    <row r="148" spans="21:25">
      <c r="U148" s="54"/>
      <c r="V148" s="54"/>
      <c r="W148" s="54"/>
      <c r="X148" s="54"/>
      <c r="Y148" s="54"/>
    </row>
    <row r="149" spans="21:25">
      <c r="U149" s="46"/>
      <c r="V149" s="46"/>
      <c r="W149" s="46"/>
      <c r="X149" s="46"/>
      <c r="Y149" s="46"/>
    </row>
    <row r="150" spans="21:25">
      <c r="U150" s="46"/>
      <c r="V150" s="46"/>
      <c r="W150" s="46"/>
      <c r="X150" s="46"/>
      <c r="Y150" s="46"/>
    </row>
    <row r="151" spans="21:25">
      <c r="U151" s="46"/>
      <c r="V151" s="46"/>
      <c r="W151" s="46"/>
      <c r="X151" s="46"/>
      <c r="Y151" s="46"/>
    </row>
    <row r="152" spans="21:25">
      <c r="U152" s="46"/>
      <c r="V152" s="46"/>
      <c r="W152" s="46"/>
      <c r="X152" s="46"/>
      <c r="Y152" s="46"/>
    </row>
    <row r="153" spans="21:25">
      <c r="U153" s="46"/>
      <c r="V153" s="46"/>
      <c r="W153" s="46"/>
      <c r="X153" s="46"/>
      <c r="Y153" s="46"/>
    </row>
    <row r="154" spans="21:25">
      <c r="U154" s="46"/>
      <c r="V154" s="46"/>
      <c r="W154" s="46"/>
      <c r="X154" s="46"/>
      <c r="Y154" s="46"/>
    </row>
    <row r="155" spans="21:25">
      <c r="U155" s="46"/>
      <c r="V155" s="46"/>
      <c r="W155" s="46"/>
      <c r="X155" s="46"/>
      <c r="Y155" s="46"/>
    </row>
    <row r="156" spans="21:25">
      <c r="U156" s="46"/>
      <c r="V156" s="46"/>
      <c r="W156" s="46"/>
      <c r="X156" s="46"/>
      <c r="Y156" s="46"/>
    </row>
    <row r="157" spans="21:25">
      <c r="U157" s="46"/>
      <c r="V157" s="46"/>
      <c r="W157" s="46"/>
      <c r="X157" s="46"/>
      <c r="Y157" s="46"/>
    </row>
    <row r="158" spans="21:25">
      <c r="U158" s="46"/>
      <c r="V158" s="46"/>
      <c r="W158" s="46"/>
      <c r="X158" s="46"/>
      <c r="Y158" s="46"/>
    </row>
    <row r="159" spans="21:25">
      <c r="U159" s="46"/>
      <c r="V159" s="46"/>
      <c r="W159" s="46"/>
      <c r="X159" s="46"/>
      <c r="Y159" s="46"/>
    </row>
    <row r="160" spans="21:25">
      <c r="U160" s="46"/>
      <c r="V160" s="46"/>
      <c r="W160" s="46"/>
      <c r="X160" s="46"/>
      <c r="Y160" s="46"/>
    </row>
    <row r="161" spans="21:25">
      <c r="U161" s="46"/>
      <c r="V161" s="46"/>
      <c r="W161" s="46"/>
      <c r="X161" s="46"/>
      <c r="Y161" s="46"/>
    </row>
    <row r="162" spans="21:25">
      <c r="U162" s="46"/>
      <c r="V162" s="46"/>
      <c r="W162" s="46"/>
      <c r="X162" s="46"/>
      <c r="Y162" s="46"/>
    </row>
    <row r="163" spans="21:25">
      <c r="U163" s="46"/>
      <c r="V163" s="46"/>
      <c r="W163" s="46"/>
      <c r="X163" s="46"/>
      <c r="Y163" s="46"/>
    </row>
    <row r="164" spans="21:25">
      <c r="U164" s="46"/>
      <c r="V164" s="46"/>
      <c r="W164" s="46"/>
      <c r="X164" s="46"/>
      <c r="Y164" s="46"/>
    </row>
    <row r="165" spans="21:25">
      <c r="U165" s="46"/>
      <c r="V165" s="46"/>
      <c r="W165" s="46"/>
      <c r="X165" s="46"/>
      <c r="Y165" s="46"/>
    </row>
    <row r="166" spans="21:25">
      <c r="U166" s="46"/>
      <c r="V166" s="46"/>
      <c r="W166" s="46"/>
      <c r="X166" s="46"/>
      <c r="Y166" s="46"/>
    </row>
    <row r="167" spans="21:25">
      <c r="U167" s="46"/>
      <c r="V167" s="46"/>
      <c r="W167" s="46"/>
      <c r="X167" s="46"/>
      <c r="Y167" s="46"/>
    </row>
    <row r="168" spans="21:25">
      <c r="U168" s="46"/>
      <c r="V168" s="46"/>
      <c r="W168" s="46"/>
      <c r="X168" s="46"/>
      <c r="Y168" s="46"/>
    </row>
    <row r="169" spans="21:25">
      <c r="U169" s="46"/>
      <c r="V169" s="46"/>
      <c r="W169" s="46"/>
      <c r="X169" s="46"/>
      <c r="Y169" s="46"/>
    </row>
    <row r="170" spans="21:25">
      <c r="U170" s="46"/>
      <c r="V170" s="46"/>
      <c r="W170" s="46"/>
      <c r="X170" s="46"/>
      <c r="Y170" s="46"/>
    </row>
    <row r="171" spans="21:25">
      <c r="U171" s="46"/>
      <c r="V171" s="46"/>
      <c r="W171" s="46"/>
      <c r="X171" s="46"/>
      <c r="Y171" s="46"/>
    </row>
    <row r="172" spans="21:25">
      <c r="U172" s="46"/>
      <c r="V172" s="46"/>
      <c r="W172" s="46"/>
      <c r="X172" s="46"/>
      <c r="Y172" s="46"/>
    </row>
    <row r="173" spans="21:25">
      <c r="U173" s="46"/>
      <c r="V173" s="46"/>
      <c r="W173" s="46"/>
      <c r="X173" s="46"/>
      <c r="Y173" s="46"/>
    </row>
    <row r="174" spans="21:25">
      <c r="U174" s="46"/>
      <c r="V174" s="46"/>
      <c r="W174" s="46"/>
      <c r="X174" s="46"/>
      <c r="Y174" s="46"/>
    </row>
    <row r="175" spans="21:25">
      <c r="U175" s="46"/>
      <c r="V175" s="46"/>
      <c r="W175" s="46"/>
      <c r="X175" s="46"/>
      <c r="Y175" s="46"/>
    </row>
    <row r="176" spans="21:25">
      <c r="U176" s="46"/>
      <c r="V176" s="46"/>
      <c r="W176" s="46"/>
      <c r="X176" s="46"/>
      <c r="Y176" s="46"/>
    </row>
    <row r="177" spans="21:25">
      <c r="U177" s="46"/>
      <c r="V177" s="46"/>
      <c r="W177" s="46"/>
      <c r="X177" s="46"/>
      <c r="Y177" s="46"/>
    </row>
    <row r="178" spans="21:25">
      <c r="U178" s="46"/>
      <c r="V178" s="46"/>
      <c r="W178" s="46"/>
      <c r="X178" s="46"/>
      <c r="Y178" s="46"/>
    </row>
    <row r="179" spans="21:25">
      <c r="U179" s="46"/>
      <c r="V179" s="46"/>
      <c r="W179" s="46"/>
      <c r="X179" s="46"/>
      <c r="Y179" s="46"/>
    </row>
    <row r="180" spans="21:25">
      <c r="U180" s="46"/>
      <c r="V180" s="46"/>
      <c r="W180" s="46"/>
      <c r="X180" s="46"/>
      <c r="Y180" s="46"/>
    </row>
    <row r="181" spans="21:25">
      <c r="U181" s="46"/>
      <c r="V181" s="46"/>
      <c r="W181" s="46"/>
      <c r="X181" s="46"/>
      <c r="Y181" s="46"/>
    </row>
    <row r="182" spans="21:25">
      <c r="U182" s="46"/>
      <c r="V182" s="46"/>
      <c r="W182" s="46"/>
      <c r="X182" s="46"/>
      <c r="Y182" s="46"/>
    </row>
    <row r="183" spans="21:25">
      <c r="U183" s="46"/>
      <c r="V183" s="46"/>
      <c r="W183" s="46"/>
      <c r="X183" s="46"/>
      <c r="Y183" s="46"/>
    </row>
    <row r="184" spans="21:25">
      <c r="U184" s="46"/>
      <c r="V184" s="46"/>
      <c r="W184" s="46"/>
      <c r="X184" s="46"/>
      <c r="Y184" s="46"/>
    </row>
    <row r="185" spans="21:25">
      <c r="U185" s="46"/>
      <c r="V185" s="46"/>
      <c r="W185" s="46"/>
      <c r="X185" s="46"/>
      <c r="Y185" s="46"/>
    </row>
    <row r="186" spans="21:25">
      <c r="U186" s="46"/>
      <c r="V186" s="46"/>
      <c r="W186" s="46"/>
      <c r="X186" s="46"/>
      <c r="Y186" s="46"/>
    </row>
    <row r="187" spans="21:25">
      <c r="U187" s="46"/>
      <c r="V187" s="46"/>
      <c r="W187" s="46"/>
      <c r="X187" s="46"/>
      <c r="Y187" s="46"/>
    </row>
    <row r="188" spans="21:25">
      <c r="U188" s="46"/>
      <c r="V188" s="46"/>
      <c r="W188" s="46"/>
      <c r="X188" s="46"/>
      <c r="Y188" s="46"/>
    </row>
    <row r="189" spans="21:25">
      <c r="U189" s="46"/>
      <c r="V189" s="46"/>
      <c r="W189" s="46"/>
      <c r="X189" s="46"/>
      <c r="Y189" s="46"/>
    </row>
    <row r="190" spans="21:25">
      <c r="U190" s="46"/>
      <c r="V190" s="46"/>
      <c r="W190" s="46"/>
      <c r="X190" s="46"/>
      <c r="Y190" s="46"/>
    </row>
    <row r="191" spans="21:25">
      <c r="U191" s="46"/>
      <c r="V191" s="46"/>
      <c r="W191" s="46"/>
      <c r="X191" s="46"/>
      <c r="Y191" s="46"/>
    </row>
    <row r="192" spans="21:25">
      <c r="U192" s="46"/>
      <c r="V192" s="46"/>
      <c r="W192" s="46"/>
      <c r="X192" s="46"/>
      <c r="Y192" s="46"/>
    </row>
    <row r="193" spans="21:25">
      <c r="U193" s="46"/>
      <c r="V193" s="46"/>
      <c r="W193" s="46"/>
      <c r="X193" s="46"/>
      <c r="Y193" s="46"/>
    </row>
    <row r="194" spans="21:25">
      <c r="U194" s="46"/>
      <c r="V194" s="46"/>
      <c r="W194" s="46"/>
      <c r="X194" s="46"/>
      <c r="Y194" s="46"/>
    </row>
    <row r="195" spans="21:25">
      <c r="U195" s="46"/>
      <c r="V195" s="46"/>
      <c r="W195" s="46"/>
      <c r="X195" s="46"/>
      <c r="Y195" s="46"/>
    </row>
    <row r="196" spans="21:25">
      <c r="U196" s="46"/>
      <c r="V196" s="46"/>
      <c r="W196" s="46"/>
      <c r="X196" s="46"/>
      <c r="Y196" s="46"/>
    </row>
    <row r="197" spans="21:25">
      <c r="U197" s="46"/>
      <c r="V197" s="46"/>
      <c r="W197" s="46"/>
      <c r="X197" s="46"/>
      <c r="Y197" s="46"/>
    </row>
    <row r="198" spans="21:25">
      <c r="U198" s="46"/>
      <c r="V198" s="46"/>
      <c r="W198" s="46"/>
      <c r="X198" s="46"/>
      <c r="Y198" s="46"/>
    </row>
    <row r="199" spans="21:25">
      <c r="U199" s="46"/>
      <c r="V199" s="46"/>
      <c r="W199" s="46"/>
      <c r="X199" s="46"/>
      <c r="Y199" s="46"/>
    </row>
    <row r="200" spans="21:25">
      <c r="U200" s="46"/>
      <c r="V200" s="46"/>
      <c r="W200" s="46"/>
      <c r="X200" s="46"/>
      <c r="Y200" s="46"/>
    </row>
    <row r="201" spans="21:25">
      <c r="U201" s="46"/>
      <c r="V201" s="46"/>
      <c r="W201" s="46"/>
      <c r="X201" s="46"/>
      <c r="Y201" s="46"/>
    </row>
    <row r="202" spans="21:25">
      <c r="U202" s="46"/>
      <c r="V202" s="46"/>
      <c r="W202" s="46"/>
      <c r="X202" s="46"/>
      <c r="Y202" s="46"/>
    </row>
    <row r="203" spans="21:25">
      <c r="U203" s="46"/>
      <c r="V203" s="46"/>
      <c r="W203" s="46"/>
      <c r="X203" s="46"/>
      <c r="Y203" s="46"/>
    </row>
    <row r="204" spans="21:25">
      <c r="U204" s="46"/>
      <c r="V204" s="46"/>
      <c r="W204" s="46"/>
      <c r="X204" s="46"/>
      <c r="Y204" s="46"/>
    </row>
    <row r="205" spans="21:25">
      <c r="U205" s="46"/>
      <c r="V205" s="46"/>
      <c r="W205" s="46"/>
      <c r="X205" s="46"/>
      <c r="Y205" s="46"/>
    </row>
    <row r="206" spans="21:25">
      <c r="U206" s="46"/>
      <c r="V206" s="46"/>
      <c r="W206" s="46"/>
      <c r="X206" s="46"/>
      <c r="Y206" s="46"/>
    </row>
    <row r="207" spans="21:25">
      <c r="U207" s="46"/>
      <c r="V207" s="46"/>
      <c r="W207" s="46"/>
      <c r="X207" s="46"/>
      <c r="Y207" s="46"/>
    </row>
    <row r="208" spans="21:25">
      <c r="U208" s="46"/>
      <c r="V208" s="46"/>
      <c r="W208" s="46"/>
      <c r="X208" s="46"/>
      <c r="Y208" s="46"/>
    </row>
    <row r="209" spans="21:25">
      <c r="U209" s="46"/>
      <c r="V209" s="46"/>
      <c r="W209" s="46"/>
      <c r="X209" s="46"/>
      <c r="Y209" s="46"/>
    </row>
    <row r="210" spans="21:25">
      <c r="U210" s="46"/>
      <c r="V210" s="46"/>
      <c r="W210" s="46"/>
      <c r="X210" s="46"/>
      <c r="Y210" s="46"/>
    </row>
    <row r="211" spans="21:25">
      <c r="U211" s="46"/>
      <c r="V211" s="46"/>
      <c r="W211" s="46"/>
      <c r="X211" s="46"/>
      <c r="Y211" s="46"/>
    </row>
    <row r="212" spans="21:25">
      <c r="U212" s="46"/>
      <c r="V212" s="46"/>
      <c r="W212" s="46"/>
      <c r="X212" s="46"/>
      <c r="Y212" s="46"/>
    </row>
    <row r="213" spans="21:25">
      <c r="U213" s="46"/>
      <c r="V213" s="46"/>
      <c r="W213" s="46"/>
      <c r="X213" s="46"/>
      <c r="Y213" s="46"/>
    </row>
    <row r="214" spans="21:25">
      <c r="U214" s="46"/>
      <c r="V214" s="46"/>
      <c r="W214" s="46"/>
      <c r="X214" s="46"/>
      <c r="Y214" s="46"/>
    </row>
    <row r="215" spans="21:25">
      <c r="U215" s="46"/>
      <c r="V215" s="46"/>
      <c r="W215" s="46"/>
      <c r="X215" s="46"/>
      <c r="Y215" s="46"/>
    </row>
    <row r="216" spans="21:25">
      <c r="U216" s="46"/>
      <c r="V216" s="46"/>
      <c r="W216" s="46"/>
      <c r="X216" s="46"/>
      <c r="Y216" s="46"/>
    </row>
    <row r="217" spans="21:25">
      <c r="U217" s="46"/>
      <c r="V217" s="46"/>
      <c r="W217" s="46"/>
      <c r="X217" s="46"/>
      <c r="Y217" s="46"/>
    </row>
    <row r="218" spans="21:25">
      <c r="U218" s="46"/>
      <c r="V218" s="46"/>
      <c r="W218" s="46"/>
      <c r="X218" s="46"/>
      <c r="Y218" s="46"/>
    </row>
    <row r="219" spans="21:25">
      <c r="U219" s="46"/>
      <c r="V219" s="46"/>
      <c r="W219" s="46"/>
      <c r="X219" s="46"/>
      <c r="Y219" s="46"/>
    </row>
    <row r="220" spans="21:25">
      <c r="U220" s="46"/>
      <c r="V220" s="46"/>
      <c r="W220" s="46"/>
      <c r="X220" s="46"/>
      <c r="Y220" s="46"/>
    </row>
    <row r="221" spans="21:25">
      <c r="U221" s="46"/>
      <c r="V221" s="46"/>
      <c r="W221" s="46"/>
      <c r="X221" s="46"/>
      <c r="Y221" s="46"/>
    </row>
    <row r="222" spans="21:25">
      <c r="U222" s="46"/>
      <c r="V222" s="46"/>
      <c r="W222" s="46"/>
      <c r="X222" s="46"/>
      <c r="Y222" s="46"/>
    </row>
    <row r="223" spans="21:25">
      <c r="U223" s="46"/>
      <c r="V223" s="46"/>
      <c r="W223" s="46"/>
      <c r="X223" s="46"/>
      <c r="Y223" s="46"/>
    </row>
    <row r="224" spans="21:25">
      <c r="U224" s="46"/>
      <c r="V224" s="46"/>
      <c r="W224" s="46"/>
      <c r="X224" s="46"/>
      <c r="Y224" s="46"/>
    </row>
  </sheetData>
  <sheetProtection algorithmName="SHA-512" hashValue="HKSEoL+50DsZX8/nZ1xVbgW+g5X8av9es/Kz3V0R9zy4SA1WPbqrwM95KdOmy+iXssEJ5iXFEgLOln0m5RJuIQ==" saltValue="jS7ntXeKIRHZrGPf0SwJ7g==" spinCount="100000" sheet="1" sort="0" autoFilter="0"/>
  <mergeCells count="37">
    <mergeCell ref="F4:L4"/>
    <mergeCell ref="H2:L3"/>
    <mergeCell ref="F2:G3"/>
    <mergeCell ref="AF34:AG34"/>
    <mergeCell ref="AH34:AI34"/>
    <mergeCell ref="J6:K6"/>
    <mergeCell ref="J8:K8"/>
    <mergeCell ref="J10:K10"/>
    <mergeCell ref="J12:K12"/>
    <mergeCell ref="J14:K14"/>
    <mergeCell ref="J16:K16"/>
    <mergeCell ref="S17:S18"/>
    <mergeCell ref="Z34:AA34"/>
    <mergeCell ref="AB34:AC34"/>
    <mergeCell ref="F5:G5"/>
    <mergeCell ref="AD34:AE34"/>
    <mergeCell ref="F35:X35"/>
    <mergeCell ref="F53:V53"/>
    <mergeCell ref="F81:V81"/>
    <mergeCell ref="F92:V92"/>
    <mergeCell ref="V19:W19"/>
    <mergeCell ref="J20:K20"/>
    <mergeCell ref="M20:N20"/>
    <mergeCell ref="P20:Q20"/>
    <mergeCell ref="S20:T20"/>
    <mergeCell ref="V20:W20"/>
    <mergeCell ref="J19:K19"/>
    <mergeCell ref="M19:N19"/>
    <mergeCell ref="P19:Q19"/>
    <mergeCell ref="S19:T19"/>
    <mergeCell ref="F33:X33"/>
    <mergeCell ref="H5:L5"/>
    <mergeCell ref="F15:H17"/>
    <mergeCell ref="F22:H22"/>
    <mergeCell ref="F6:H6"/>
    <mergeCell ref="F12:H12"/>
    <mergeCell ref="F14:H14"/>
  </mergeCells>
  <phoneticPr fontId="0" type="noConversion"/>
  <dataValidations count="7">
    <dataValidation type="list" allowBlank="1" showInputMessage="1" showErrorMessage="1" sqref="J12" xr:uid="{00000000-0002-0000-0900-000000000000}">
      <formula1>$A$12:$B$12</formula1>
    </dataValidation>
    <dataValidation type="list" allowBlank="1" showInputMessage="1" showErrorMessage="1" sqref="J6" xr:uid="{00000000-0002-0000-0900-000001000000}">
      <formula1>$A$6:$B$6</formula1>
    </dataValidation>
    <dataValidation type="list" allowBlank="1" showInputMessage="1" showErrorMessage="1" sqref="J10" xr:uid="{00000000-0002-0000-0900-000002000000}">
      <formula1>$A$10:$B$10</formula1>
    </dataValidation>
    <dataValidation type="list" allowBlank="1" showInputMessage="1" showErrorMessage="1" sqref="J14" xr:uid="{00000000-0002-0000-0900-000003000000}">
      <formula1>$A$14:$D$14</formula1>
    </dataValidation>
    <dataValidation type="list" allowBlank="1" showInputMessage="1" showErrorMessage="1" sqref="J8:K8" xr:uid="{00000000-0002-0000-0900-000004000000}">
      <formula1>$A$8:$B$8</formula1>
    </dataValidation>
    <dataValidation type="list" allowBlank="1" showInputMessage="1" showErrorMessage="1" sqref="J16:K16" xr:uid="{00000000-0002-0000-0900-000005000000}">
      <formula1>$A$16:$C$16</formula1>
    </dataValidation>
    <dataValidation type="list" allowBlank="1" showInputMessage="1" showErrorMessage="1" sqref="M21 V21 U20:U21 R20:R21 O20:O21 L20:L21 P21 S21" xr:uid="{00000000-0002-0000-0900-000006000000}">
      <formula1>$A$11:$A$141</formula1>
    </dataValidation>
  </dataValidations>
  <printOptions horizontalCentered="1"/>
  <pageMargins left="0.7" right="0.7" top="0.75" bottom="0.5" header="0.3" footer="0.3"/>
  <pageSetup scale="48" fitToHeight="0" orientation="landscape" r:id="rId1"/>
  <headerFooter alignWithMargins="0">
    <oddFooter>&amp;C&amp;P of &amp;N&amp;R&amp;A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7000000}">
          <x14:formula1>
            <xm:f>'Tier 1 ESL'!$A$9:$A$143</xm:f>
          </x14:formula1>
          <xm:sqref>J20:J21 V20 S20 P20 M20:N20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1:AL66"/>
  <sheetViews>
    <sheetView showGridLines="0" zoomScale="90" zoomScaleNormal="90" zoomScalePageLayoutView="65" workbookViewId="0">
      <selection activeCell="E12" sqref="E12"/>
    </sheetView>
  </sheetViews>
  <sheetFormatPr defaultRowHeight="12.75"/>
  <cols>
    <col min="1" max="1" width="1.85546875" customWidth="1"/>
    <col min="2" max="2" width="2.42578125" customWidth="1"/>
    <col min="3" max="3" width="45.42578125" customWidth="1"/>
    <col min="4" max="4" width="2.140625" customWidth="1"/>
    <col min="5" max="5" width="28.7109375" customWidth="1"/>
    <col min="6" max="6" width="2.5703125" customWidth="1"/>
    <col min="7" max="7" width="28.7109375" customWidth="1"/>
    <col min="8" max="8" width="2.85546875" customWidth="1"/>
    <col min="9" max="9" width="28.7109375" customWidth="1"/>
    <col min="10" max="10" width="2.5703125" customWidth="1"/>
    <col min="11" max="11" width="28.7109375" customWidth="1"/>
    <col min="12" max="12" width="2.85546875" customWidth="1"/>
    <col min="13" max="13" width="28.7109375" customWidth="1"/>
    <col min="14" max="14" width="2.5703125" customWidth="1"/>
    <col min="15" max="15" width="2.140625" customWidth="1"/>
    <col min="16" max="16" width="30.28515625" customWidth="1"/>
    <col min="17" max="18" width="1.5703125" customWidth="1"/>
    <col min="19" max="19" width="25.5703125" customWidth="1"/>
    <col min="20" max="22" width="1.5703125" customWidth="1"/>
    <col min="23" max="23" width="2.42578125" hidden="1" customWidth="1"/>
    <col min="24" max="25" width="11.140625" hidden="1" customWidth="1"/>
    <col min="26" max="28" width="9.42578125" hidden="1" customWidth="1"/>
    <col min="29" max="29" width="10.42578125" hidden="1" customWidth="1"/>
    <col min="30" max="30" width="12.28515625" hidden="1" customWidth="1"/>
    <col min="31" max="31" width="10.42578125" hidden="1" customWidth="1"/>
    <col min="32" max="32" width="10.85546875" hidden="1" customWidth="1"/>
    <col min="33" max="33" width="11.140625" hidden="1" customWidth="1"/>
    <col min="34" max="38" width="8.85546875" hidden="1" customWidth="1"/>
    <col min="39" max="39" width="9.140625" customWidth="1"/>
  </cols>
  <sheetData>
    <row r="1" spans="2:34" ht="12" customHeight="1">
      <c r="AC1" s="718"/>
      <c r="AD1" s="718"/>
      <c r="AH1" s="505"/>
    </row>
    <row r="2" spans="2:34" ht="15">
      <c r="D2" s="75"/>
      <c r="E2" s="75"/>
      <c r="F2" s="75"/>
      <c r="G2" s="75"/>
      <c r="H2" s="75"/>
      <c r="I2" s="75"/>
      <c r="J2" s="75"/>
      <c r="K2" s="75"/>
      <c r="L2" s="75"/>
      <c r="Y2" s="109"/>
      <c r="Z2" s="109"/>
      <c r="AA2" s="109"/>
      <c r="AB2" s="109"/>
    </row>
    <row r="3" spans="2:34" ht="15">
      <c r="D3" s="75"/>
      <c r="E3" s="75"/>
      <c r="F3" s="75"/>
      <c r="G3" s="75"/>
      <c r="H3" s="75"/>
      <c r="I3" s="75"/>
      <c r="J3" s="75"/>
      <c r="K3" s="75"/>
      <c r="L3" s="75"/>
      <c r="Y3" s="109"/>
      <c r="Z3" s="109"/>
      <c r="AA3" s="109"/>
      <c r="AB3" s="109"/>
    </row>
    <row r="4" spans="2:34" ht="15" customHeight="1">
      <c r="D4" s="75"/>
      <c r="E4" s="75"/>
      <c r="F4" s="75"/>
      <c r="G4" s="75"/>
      <c r="H4" s="75"/>
      <c r="I4" s="75"/>
      <c r="J4" s="75"/>
      <c r="K4" s="75"/>
      <c r="L4" s="75"/>
      <c r="Y4" s="109"/>
      <c r="Z4" s="109"/>
      <c r="AA4" s="109"/>
      <c r="AB4" s="109"/>
    </row>
    <row r="5" spans="2:34" ht="15">
      <c r="D5" s="75"/>
      <c r="E5" s="75"/>
      <c r="F5" s="75"/>
      <c r="G5" s="75"/>
      <c r="H5" s="75"/>
      <c r="I5" s="75"/>
      <c r="J5" s="75"/>
      <c r="K5" s="75"/>
      <c r="L5" s="75"/>
      <c r="M5" s="55"/>
      <c r="N5" s="55"/>
      <c r="Y5" s="109"/>
      <c r="Z5" s="109"/>
      <c r="AA5" s="109"/>
      <c r="AB5" s="109"/>
    </row>
    <row r="6" spans="2:34" ht="8.1" customHeight="1" thickBot="1">
      <c r="D6" s="75"/>
      <c r="E6" s="75"/>
      <c r="F6" s="75"/>
      <c r="G6" s="75"/>
      <c r="H6" s="75"/>
      <c r="I6" s="75"/>
      <c r="J6" s="75"/>
      <c r="K6" s="75"/>
      <c r="L6" s="75"/>
      <c r="M6" s="55"/>
      <c r="N6" s="55"/>
      <c r="Y6" s="109"/>
      <c r="Z6" s="109"/>
      <c r="AA6" s="109"/>
      <c r="AB6" s="109"/>
    </row>
    <row r="7" spans="2:34" ht="24.75" thickTop="1" thickBot="1">
      <c r="B7" s="2371" t="str">
        <f>Update</f>
        <v>2025 (Rev 4)</v>
      </c>
      <c r="C7" s="2372"/>
      <c r="D7" s="2371" t="s">
        <v>583</v>
      </c>
      <c r="E7" s="2373"/>
      <c r="F7" s="2373"/>
      <c r="G7" s="2373"/>
      <c r="H7" s="2373"/>
      <c r="I7" s="2373"/>
      <c r="J7" s="2373"/>
      <c r="K7" s="2373"/>
      <c r="L7" s="2373"/>
      <c r="M7" s="2373"/>
      <c r="N7" s="2372"/>
      <c r="O7" s="55"/>
      <c r="P7" s="2354" t="s">
        <v>584</v>
      </c>
      <c r="Q7" s="2355"/>
      <c r="R7" s="2355"/>
      <c r="S7" s="2356"/>
      <c r="Y7" s="109"/>
      <c r="Z7" s="109"/>
      <c r="AA7" s="109"/>
      <c r="AB7" s="109"/>
      <c r="AC7" s="109"/>
      <c r="AD7" s="109"/>
    </row>
    <row r="8" spans="2:34" s="505" customFormat="1" ht="30" customHeight="1" thickTop="1">
      <c r="B8" s="2376" t="s">
        <v>585</v>
      </c>
      <c r="C8" s="2377"/>
      <c r="D8" s="2377"/>
      <c r="E8" s="2377"/>
      <c r="F8" s="2377"/>
      <c r="G8" s="2377"/>
      <c r="H8" s="2377"/>
      <c r="I8" s="2377"/>
      <c r="J8" s="2377"/>
      <c r="K8" s="2377"/>
      <c r="L8" s="2377"/>
      <c r="M8" s="2377"/>
      <c r="N8" s="2378"/>
      <c r="O8" s="733"/>
      <c r="P8" s="2357" t="s">
        <v>488</v>
      </c>
      <c r="Q8" s="2358"/>
      <c r="R8" s="2359" t="str">
        <f>Land_Use</f>
        <v>Residential</v>
      </c>
      <c r="S8" s="2360"/>
      <c r="Y8" s="1090"/>
      <c r="Z8" s="1090"/>
      <c r="AA8" s="1090"/>
      <c r="AB8" s="1090"/>
      <c r="AC8" s="1090"/>
      <c r="AD8" s="1090"/>
    </row>
    <row r="9" spans="2:34" ht="16.5" customHeight="1">
      <c r="B9" s="1075"/>
      <c r="C9" s="1015"/>
      <c r="D9" s="1015"/>
      <c r="E9" s="1036" t="s">
        <v>508</v>
      </c>
      <c r="F9" s="1036"/>
      <c r="G9" s="1036" t="s">
        <v>509</v>
      </c>
      <c r="H9" s="1036"/>
      <c r="I9" s="1036" t="s">
        <v>510</v>
      </c>
      <c r="J9" s="1036"/>
      <c r="K9" s="1036" t="s">
        <v>511</v>
      </c>
      <c r="L9" s="1036"/>
      <c r="M9" s="1036" t="s">
        <v>512</v>
      </c>
      <c r="N9" s="1016"/>
      <c r="O9" s="55"/>
      <c r="P9" s="2361" t="s">
        <v>491</v>
      </c>
      <c r="Q9" s="2362"/>
      <c r="R9" s="2363" t="str">
        <f>Vegetation</f>
        <v>Minimal</v>
      </c>
      <c r="S9" s="2364"/>
      <c r="Y9" s="109"/>
      <c r="Z9" s="109"/>
      <c r="AA9" s="109"/>
      <c r="AB9" s="109"/>
      <c r="AC9" s="109"/>
      <c r="AD9" s="109"/>
    </row>
    <row r="10" spans="2:34" ht="36.75" customHeight="1">
      <c r="B10" s="615"/>
      <c r="C10" s="1089" t="s">
        <v>586</v>
      </c>
      <c r="D10" s="617"/>
      <c r="E10" s="1017" t="str">
        <f>C_1</f>
        <v>Tetrachloroethene</v>
      </c>
      <c r="F10" s="1018"/>
      <c r="G10" s="1017" t="str">
        <f>C_2</f>
        <v>Trichloroethene</v>
      </c>
      <c r="H10" s="1018"/>
      <c r="I10" s="1017" t="str">
        <f>C_3</f>
        <v>cis-1,2-Dichloroethene</v>
      </c>
      <c r="J10" s="2077"/>
      <c r="K10" s="2076" t="str">
        <f>C_4</f>
        <v>Vinyl chloride</v>
      </c>
      <c r="L10" s="2077"/>
      <c r="M10" s="2076" t="str">
        <f>C_5</f>
        <v>Petroleum: Stoddard Solvent</v>
      </c>
      <c r="N10" s="621"/>
      <c r="O10" s="630"/>
      <c r="P10" s="2361" t="s">
        <v>494</v>
      </c>
      <c r="Q10" s="2362"/>
      <c r="R10" s="2363" t="str">
        <f>Groundwater_Use</f>
        <v>Drinking Water Resource</v>
      </c>
      <c r="S10" s="2364"/>
    </row>
    <row r="11" spans="2:34" ht="15" customHeight="1" thickBot="1">
      <c r="B11" s="615"/>
      <c r="C11" s="616"/>
      <c r="D11" s="617"/>
      <c r="E11" s="617"/>
      <c r="F11" s="618"/>
      <c r="G11" s="617"/>
      <c r="H11" s="618"/>
      <c r="I11" s="617"/>
      <c r="J11" s="618"/>
      <c r="K11" s="617"/>
      <c r="L11" s="618"/>
      <c r="M11" s="617"/>
      <c r="N11" s="621"/>
      <c r="O11" s="630"/>
      <c r="P11" s="2361" t="s">
        <v>497</v>
      </c>
      <c r="Q11" s="2362"/>
      <c r="R11" s="2363" t="str">
        <f>MCL_Priority</f>
        <v>Yes</v>
      </c>
      <c r="S11" s="2364"/>
    </row>
    <row r="12" spans="2:34" ht="21" customHeight="1" thickTop="1" thickBot="1">
      <c r="B12" s="515"/>
      <c r="C12" s="1975" t="s">
        <v>587</v>
      </c>
      <c r="D12" s="514"/>
      <c r="E12" s="2094"/>
      <c r="F12" s="728"/>
      <c r="G12" s="2094"/>
      <c r="H12" s="728"/>
      <c r="I12" s="2094"/>
      <c r="J12" s="728"/>
      <c r="K12" s="2094"/>
      <c r="L12" s="728"/>
      <c r="M12" s="2094"/>
      <c r="N12" s="619"/>
      <c r="O12" s="631"/>
      <c r="P12" s="2361" t="s">
        <v>502</v>
      </c>
      <c r="Q12" s="2362"/>
      <c r="R12" s="2363" t="str">
        <f>Discharge</f>
        <v>Saltwater &amp; Freshwater</v>
      </c>
      <c r="S12" s="2364"/>
    </row>
    <row r="13" spans="2:34" ht="15" customHeight="1" thickTop="1" thickBot="1">
      <c r="B13" s="515"/>
      <c r="C13" s="1975"/>
      <c r="D13" s="514"/>
      <c r="E13" s="518"/>
      <c r="F13" s="620"/>
      <c r="G13" s="518"/>
      <c r="H13" s="620"/>
      <c r="I13" s="518"/>
      <c r="J13" s="620"/>
      <c r="K13" s="518"/>
      <c r="L13" s="620"/>
      <c r="M13" s="518"/>
      <c r="N13" s="622"/>
      <c r="O13" s="614"/>
      <c r="P13" s="2365" t="s">
        <v>588</v>
      </c>
      <c r="Q13" s="2366"/>
      <c r="R13" s="2367" t="str">
        <f>Soil_Depth</f>
        <v>Shallow &amp; Deep Soil</v>
      </c>
      <c r="S13" s="2368"/>
    </row>
    <row r="14" spans="2:34" ht="21" customHeight="1" thickTop="1" thickBot="1">
      <c r="B14" s="515"/>
      <c r="C14" s="1975" t="s">
        <v>589</v>
      </c>
      <c r="D14" s="514"/>
      <c r="E14" s="2094"/>
      <c r="F14" s="1101"/>
      <c r="G14" s="2095"/>
      <c r="H14" s="1101"/>
      <c r="I14" s="2095"/>
      <c r="J14" s="1101"/>
      <c r="K14" s="2095"/>
      <c r="L14" s="1101"/>
      <c r="M14" s="2095"/>
      <c r="N14" s="619"/>
      <c r="O14" s="631"/>
    </row>
    <row r="15" spans="2:34" ht="15" customHeight="1" thickTop="1" thickBot="1">
      <c r="B15" s="515"/>
      <c r="C15" s="1975"/>
      <c r="D15" s="514"/>
      <c r="E15" s="852"/>
      <c r="F15" s="853"/>
      <c r="G15" s="852"/>
      <c r="H15" s="853"/>
      <c r="I15" s="852"/>
      <c r="J15" s="853"/>
      <c r="K15" s="852"/>
      <c r="L15" s="853"/>
      <c r="M15" s="852"/>
      <c r="N15" s="623"/>
      <c r="O15" s="632"/>
      <c r="U15" s="505"/>
      <c r="V15" s="505"/>
      <c r="W15" s="505"/>
      <c r="X15" s="505"/>
      <c r="Y15" s="505"/>
      <c r="Z15" s="505"/>
      <c r="AA15" s="505"/>
      <c r="AB15" s="627"/>
    </row>
    <row r="16" spans="2:34" ht="21" customHeight="1" thickTop="1" thickBot="1">
      <c r="B16" s="2369" t="s">
        <v>590</v>
      </c>
      <c r="C16" s="2370"/>
      <c r="D16" s="514"/>
      <c r="E16" s="108"/>
      <c r="F16" s="851"/>
      <c r="G16" s="850"/>
      <c r="H16" s="851"/>
      <c r="I16" s="850"/>
      <c r="J16" s="851"/>
      <c r="K16" s="850"/>
      <c r="L16" s="851"/>
      <c r="M16" s="850"/>
      <c r="N16" s="619"/>
      <c r="O16" s="631"/>
      <c r="U16" s="505"/>
    </row>
    <row r="17" spans="2:37" ht="15" customHeight="1" thickTop="1" thickBot="1">
      <c r="B17" s="515"/>
      <c r="C17" s="1975"/>
      <c r="D17" s="514"/>
      <c r="E17" s="519"/>
      <c r="F17" s="519"/>
      <c r="G17" s="519"/>
      <c r="H17" s="519"/>
      <c r="I17" s="519"/>
      <c r="J17" s="519"/>
      <c r="K17" s="519"/>
      <c r="L17" s="519"/>
      <c r="M17" s="519"/>
      <c r="N17" s="624"/>
      <c r="O17" s="633"/>
      <c r="Y17" s="505"/>
    </row>
    <row r="18" spans="2:37" ht="21" customHeight="1" thickTop="1" thickBot="1">
      <c r="B18" s="515"/>
      <c r="C18" s="785" t="s">
        <v>591</v>
      </c>
      <c r="D18" s="520"/>
      <c r="E18" s="108"/>
      <c r="F18" s="728"/>
      <c r="G18" s="108"/>
      <c r="H18" s="728"/>
      <c r="I18" s="108"/>
      <c r="J18" s="728"/>
      <c r="K18" s="108"/>
      <c r="L18" s="728"/>
      <c r="M18" s="108"/>
      <c r="N18" s="619"/>
      <c r="O18" s="631"/>
    </row>
    <row r="19" spans="2:37" ht="9.75" customHeight="1" thickTop="1" thickBot="1">
      <c r="B19" s="521"/>
      <c r="C19" s="516"/>
      <c r="D19" s="516"/>
      <c r="E19" s="516"/>
      <c r="F19" s="516"/>
      <c r="G19" s="516"/>
      <c r="H19" s="516"/>
      <c r="I19" s="516"/>
      <c r="J19" s="516"/>
      <c r="K19" s="516"/>
      <c r="L19" s="516"/>
      <c r="M19" s="516"/>
      <c r="N19" s="517"/>
      <c r="O19" s="55"/>
      <c r="Z19" s="718"/>
    </row>
    <row r="20" spans="2:37" ht="6.75" customHeight="1" thickTop="1" thickBot="1">
      <c r="B20" s="615"/>
      <c r="C20" s="727"/>
      <c r="D20" s="727"/>
      <c r="E20" s="727"/>
      <c r="F20" s="727"/>
      <c r="G20" s="727"/>
      <c r="H20" s="727"/>
      <c r="I20" s="727"/>
      <c r="J20" s="727"/>
      <c r="K20" s="727"/>
      <c r="L20" s="727"/>
      <c r="M20" s="727"/>
      <c r="N20" s="731"/>
      <c r="O20" s="55"/>
      <c r="Z20" s="718"/>
    </row>
    <row r="21" spans="2:37" s="505" customFormat="1" ht="21" customHeight="1" thickTop="1" thickBot="1">
      <c r="B21" s="786"/>
      <c r="C21" s="787"/>
      <c r="D21" s="788"/>
      <c r="E21" s="787"/>
      <c r="F21" s="728"/>
      <c r="G21" s="789"/>
      <c r="H21" s="789"/>
      <c r="I21" s="789"/>
      <c r="J21" s="728"/>
      <c r="K21" s="791" t="s">
        <v>592</v>
      </c>
      <c r="L21" s="728"/>
      <c r="M21" s="1412">
        <v>0.03</v>
      </c>
      <c r="N21" s="790"/>
      <c r="O21" s="733"/>
    </row>
    <row r="22" spans="2:37" ht="6.75" customHeight="1" thickTop="1" thickBot="1">
      <c r="B22" s="521"/>
      <c r="C22" s="516"/>
      <c r="D22" s="516"/>
      <c r="E22" s="516"/>
      <c r="F22" s="516"/>
      <c r="G22" s="516"/>
      <c r="H22" s="516"/>
      <c r="I22" s="516"/>
      <c r="J22" s="516"/>
      <c r="K22" s="516"/>
      <c r="L22" s="516"/>
      <c r="M22" s="516"/>
      <c r="N22" s="517"/>
      <c r="O22" s="55"/>
      <c r="Z22" s="718"/>
    </row>
    <row r="23" spans="2:37" ht="9" customHeight="1" thickTop="1" thickBot="1">
      <c r="B23" s="55"/>
      <c r="C23" s="55"/>
      <c r="D23" s="55"/>
      <c r="E23" s="55"/>
      <c r="F23" s="55"/>
      <c r="G23" s="55"/>
      <c r="H23" s="55"/>
      <c r="I23" s="55"/>
      <c r="J23" s="55"/>
      <c r="K23" s="55"/>
      <c r="L23" s="55"/>
      <c r="M23" s="55"/>
      <c r="N23" s="55"/>
      <c r="O23" s="55"/>
      <c r="W23" s="766"/>
      <c r="X23" s="767"/>
      <c r="Y23" s="2351" t="s">
        <v>593</v>
      </c>
      <c r="Z23" s="2352"/>
      <c r="AA23" s="2352"/>
      <c r="AB23" s="2353"/>
      <c r="AC23" s="2351" t="s">
        <v>594</v>
      </c>
      <c r="AD23" s="2352"/>
      <c r="AE23" s="2352"/>
      <c r="AF23" s="2352"/>
      <c r="AG23" s="2353"/>
      <c r="AH23" s="101" t="s">
        <v>595</v>
      </c>
      <c r="AI23" s="2352" t="s">
        <v>596</v>
      </c>
      <c r="AJ23" s="2352"/>
      <c r="AK23" s="2353"/>
    </row>
    <row r="24" spans="2:37" s="627" customFormat="1" ht="47.25" customHeight="1" thickTop="1" thickBot="1">
      <c r="B24" s="625"/>
      <c r="C24" s="1216" t="s">
        <v>597</v>
      </c>
      <c r="D24" s="626"/>
      <c r="E24" s="2091" t="str">
        <f>IF('Tier-2 Site Spec. ESLs (T2-1)'!J20="select chemical","",'Tier-2 Site Spec. ESLs (T2-1)'!J20)</f>
        <v>Tetrachloroethene</v>
      </c>
      <c r="F24" s="626"/>
      <c r="G24" s="2091" t="str">
        <f>IF('Tier-2 Site Spec. ESLs (T2-1)'!M20="select chemical","",'Tier-2 Site Spec. ESLs (T2-1)'!M20)</f>
        <v>Trichloroethene</v>
      </c>
      <c r="H24" s="626"/>
      <c r="I24" s="2091" t="str">
        <f>IF('Tier-2 Site Spec. ESLs (T2-1)'!P20="select chemical","",'Tier-2 Site Spec. ESLs (T2-1)'!P20)</f>
        <v>cis-1,2-Dichloroethene</v>
      </c>
      <c r="J24" s="626"/>
      <c r="K24" s="2091" t="str">
        <f>IF('Tier-2 Site Spec. ESLs (T2-1)'!S20="select chemical","",'Tier-2 Site Spec. ESLs (T2-1)'!S20)</f>
        <v>Vinyl chloride</v>
      </c>
      <c r="L24" s="626"/>
      <c r="M24" s="2091" t="str">
        <f>IF('Tier-2 Site Spec. ESLs (T2-1)'!V20="select chemical","",'Tier-2 Site Spec. ESLs (T2-1)'!V20)</f>
        <v>Petroleum: Stoddard Solvent</v>
      </c>
      <c r="N24" s="626"/>
      <c r="O24" s="857"/>
      <c r="P24" s="640" t="s">
        <v>598</v>
      </c>
      <c r="Q24" s="634"/>
      <c r="S24" s="366"/>
      <c r="W24" s="768"/>
      <c r="X24" s="769"/>
      <c r="Y24" s="497" t="s">
        <v>599</v>
      </c>
      <c r="Z24" s="543" t="s">
        <v>600</v>
      </c>
      <c r="AA24" s="543" t="s">
        <v>601</v>
      </c>
      <c r="AB24" s="769" t="s">
        <v>602</v>
      </c>
      <c r="AC24" s="770" t="s">
        <v>603</v>
      </c>
      <c r="AD24" s="2093" t="s">
        <v>4262</v>
      </c>
      <c r="AE24" s="543" t="s">
        <v>604</v>
      </c>
      <c r="AF24" s="543" t="s">
        <v>605</v>
      </c>
      <c r="AG24" s="769" t="s">
        <v>606</v>
      </c>
      <c r="AH24" s="105" t="s">
        <v>607</v>
      </c>
      <c r="AI24" s="771" t="s">
        <v>599</v>
      </c>
      <c r="AJ24" s="771" t="s">
        <v>600</v>
      </c>
      <c r="AK24" s="772" t="s">
        <v>602</v>
      </c>
    </row>
    <row r="25" spans="2:37" ht="17.25" thickTop="1" thickBot="1">
      <c r="B25" s="522"/>
      <c r="C25" s="523" t="s">
        <v>608</v>
      </c>
      <c r="D25" s="524"/>
      <c r="E25" s="719" t="str">
        <f>IF(OR(AB25="--",E12=""),"--",E12*0.000001/AB25)</f>
        <v>--</v>
      </c>
      <c r="F25" s="525"/>
      <c r="G25" s="719" t="str">
        <f>IF(OR(AB27="--",G12=""),"--",G12*0.000001/AB27)</f>
        <v>--</v>
      </c>
      <c r="H25" s="525"/>
      <c r="I25" s="719" t="str">
        <f>IF(OR(AB29="--",I12=""),"--",I12*0.000001/AB29)</f>
        <v>--</v>
      </c>
      <c r="J25" s="525"/>
      <c r="K25" s="719" t="str">
        <f>IF(OR(AB31="--",K12=""),"--",K12*0.000001/AB31)</f>
        <v>--</v>
      </c>
      <c r="L25" s="525"/>
      <c r="M25" s="719" t="str">
        <f>IF(OR(AB33="--",M12=""),"--",M12*0.000001/AB33)</f>
        <v>--</v>
      </c>
      <c r="N25" s="525"/>
      <c r="O25" s="858"/>
      <c r="P25" s="719" t="str">
        <f>IF(AND(E25="--",G25="--",I25="--",K25="--",M25="--"),"--",SUM(E25,G25,I25,K25,M25))</f>
        <v>--</v>
      </c>
      <c r="Q25" s="636"/>
      <c r="S25" s="856"/>
      <c r="U25" s="61"/>
      <c r="V25" s="61"/>
      <c r="W25" s="773">
        <v>1</v>
      </c>
      <c r="X25" s="774" t="s">
        <v>521</v>
      </c>
      <c r="Y25" s="775">
        <f>VLOOKUP(C_1,Table_S_Summary,MATCH("s-res-C",heading_S_Summary,0),FALSE)</f>
        <v>0.58761543617295708</v>
      </c>
      <c r="Z25" s="751">
        <f>VLOOKUP(C_1,Table_S_Summary,MATCH("s-com-C",heading_S_Summary,0),FALSE)</f>
        <v>2.6240002171253174</v>
      </c>
      <c r="AA25" s="751">
        <f>VLOOKUP(C_1,Table_S_Summary,MATCH("s-cw-C",heading_S_Summary,0),FALSE)</f>
        <v>16.649561556861702</v>
      </c>
      <c r="AB25" s="776">
        <f t="shared" ref="AB25:AB33" si="0">IF(AND(Y25="--",Z25="--",AA25="--"), "--",IF(Soil_Depth="Deep Soil",AA25,IF(Land_Use="Commercial or Industrial",MIN(AA25,Z25),MIN(AA25,Y25))))</f>
        <v>0.58761543617295708</v>
      </c>
      <c r="AC25" s="777">
        <f>VLOOKUP(C_1,Table_GW_Summary,MATCH("DW-C",heading_GW_Summary,0),FALSE)</f>
        <v>0.06</v>
      </c>
      <c r="AD25" s="777"/>
      <c r="AE25" s="751">
        <f>VLOOKUP(C_1,Table_GW_Summary,MATCH("Res-VI-C-Min",heading_GW_Summary,0),FALSE)</f>
        <v>0.63606699866771998</v>
      </c>
      <c r="AF25" s="751">
        <f>VLOOKUP(C_1,Table_GW_Summary,MATCH("Com-VI-C-Min",heading_GW_Summary,0),FALSE)</f>
        <v>2.7783406501806009</v>
      </c>
      <c r="AG25" s="776">
        <f t="shared" ref="AG25:AG34" si="1">IF(AND(AE25="--",AF25="--"),"--",IF(Land_Use="Residential",AE25,AF25))</f>
        <v>0.63606699866771998</v>
      </c>
      <c r="AH25" s="777">
        <f t="shared" ref="AH25:AH34" si="2">IF(OR(Site_Spec_AF="",AK25="--"),"--",AK25/Site_Spec_AF)</f>
        <v>15.342580916351405</v>
      </c>
      <c r="AI25" s="751">
        <f>VLOOKUP(C_1,Table_V_Summary,MATCH("IA-Res-C",heading_V_Summary,0),FALSE)</f>
        <v>0.46027742749054212</v>
      </c>
      <c r="AJ25" s="751">
        <f>VLOOKUP(C_1,Table_V_Summary,MATCH("IA-com-C",heading_V_Summary,0),FALSE)</f>
        <v>2.010491803278688</v>
      </c>
      <c r="AK25" s="778">
        <f t="shared" ref="AK25:AK33" si="3">IF(AND(AI25="--",AJ25="--"),"--",IF(Land_Use="residential",AI25,AJ25))</f>
        <v>0.46027742749054212</v>
      </c>
    </row>
    <row r="26" spans="2:37" ht="16.5" thickTop="1" thickBot="1">
      <c r="B26" s="522"/>
      <c r="C26" s="524"/>
      <c r="D26" s="524"/>
      <c r="E26" s="525"/>
      <c r="F26" s="525"/>
      <c r="G26" s="525"/>
      <c r="H26" s="525"/>
      <c r="I26" s="525"/>
      <c r="J26" s="525"/>
      <c r="K26" s="525"/>
      <c r="L26" s="525"/>
      <c r="M26" s="525"/>
      <c r="N26" s="525"/>
      <c r="O26" s="858"/>
      <c r="P26" s="635"/>
      <c r="Q26" s="636"/>
      <c r="S26" s="820"/>
      <c r="U26" s="61"/>
      <c r="V26" s="61"/>
      <c r="W26" s="779"/>
      <c r="X26" s="769" t="s">
        <v>522</v>
      </c>
      <c r="Y26" s="780">
        <f>VLOOKUP(C_1,Table_S_Summary,MATCH("s-res-NC",heading_S_Summary,0),FALSE)</f>
        <v>81.048537528281187</v>
      </c>
      <c r="Z26" s="781">
        <f>VLOOKUP(C_1,Table_S_Summary,MATCH("s-com-NC",heading_S_Summary,0),FALSE)</f>
        <v>381.51129535112051</v>
      </c>
      <c r="AA26" s="781">
        <f>VLOOKUP(C_1,Table_S_Summary,MATCH("s-cw-NC",heading_S_Summary,0),FALSE)</f>
        <v>87.344771900303996</v>
      </c>
      <c r="AB26" s="782">
        <f t="shared" si="0"/>
        <v>81.048537528281187</v>
      </c>
      <c r="AC26" s="783">
        <f>VLOOKUP(C_1,Table_GW_Summary,MATCH("DW-NC",heading_GW_Summary,0),FALSE)</f>
        <v>40.580395361445987</v>
      </c>
      <c r="AD26" s="783" t="str">
        <f>IF(C_1="PFAS: Perfluorononanoic acid (PFNA)",$AD$42,IF(C_1="PFAS: Perfluorobutane sulfonic acid (PFBS)",$AD$43,IF(C_1="PFAS: Perfluorohexane sulfonic acid (PFHxS)",$AD$44,IF(C_1="PFAS: Hexafluoropropylene oxide dimer acid (HFPO-DA)",$AD$45,"--"))))</f>
        <v>--</v>
      </c>
      <c r="AE26" s="781">
        <f>VLOOKUP(C_1,Table_GW_Summary,MATCH("Res-VI-NC-Min",heading_GW_Summary,0),FALSE)</f>
        <v>57.645843422114531</v>
      </c>
      <c r="AF26" s="781">
        <f>VLOOKUP(C_1,Table_GW_Summary,MATCH("Com-VI-NC-Min",heading_GW_Summary,0),FALSE)</f>
        <v>242.11254237288099</v>
      </c>
      <c r="AG26" s="782">
        <f t="shared" si="1"/>
        <v>57.645843422114531</v>
      </c>
      <c r="AH26" s="783">
        <f t="shared" si="2"/>
        <v>1390.4761904761906</v>
      </c>
      <c r="AI26" s="781">
        <f>VLOOKUP(C_1,Table_V_Summary,MATCH("IA-Res-NC",heading_V_Summary,0),FALSE)</f>
        <v>41.714285714285715</v>
      </c>
      <c r="AJ26" s="781">
        <f>VLOOKUP(C_1,Table_V_Summary,MATCH("IA-com-NC",heading_V_Summary,0),FALSE)</f>
        <v>175.2</v>
      </c>
      <c r="AK26" s="784">
        <f t="shared" si="3"/>
        <v>41.714285714285715</v>
      </c>
    </row>
    <row r="27" spans="2:37" ht="16.5" thickTop="1" thickBot="1">
      <c r="B27" s="522"/>
      <c r="C27" s="526" t="s">
        <v>609</v>
      </c>
      <c r="D27" s="524"/>
      <c r="E27" s="719" t="str">
        <f>IF(OR(Groundwater_Use="Nondrinking Water Resource",AC25="--",E14=""),"--",E14*0.000001/AC25)</f>
        <v>--</v>
      </c>
      <c r="F27" s="525"/>
      <c r="G27" s="719" t="str">
        <f>IF(OR(Groundwater_Use="Nondrinking Water Resource",AC27="--",G14=""),"--",G14*0.000001/AC27)</f>
        <v>--</v>
      </c>
      <c r="H27" s="525"/>
      <c r="I27" s="719" t="str">
        <f>IF(OR(Groundwater_Use="Nondrinking Water Resource",AC29="--",I14=""),"--",I14*0.000001/AC29)</f>
        <v>--</v>
      </c>
      <c r="J27" s="525"/>
      <c r="K27" s="719" t="str">
        <f>IF(OR(Groundwater_Use="Nondrinking Water Resource",AC31="--",K14=""),"--",K14*0.000001/AC31)</f>
        <v>--</v>
      </c>
      <c r="L27" s="525"/>
      <c r="M27" s="719" t="str">
        <f>IF(OR(Groundwater_Use="Nondrinking Water Resource",AC33="--",M14=""),"--",M14*0.000001/AC33)</f>
        <v>--</v>
      </c>
      <c r="N27" s="525"/>
      <c r="O27" s="858"/>
      <c r="P27" s="719" t="str">
        <f>IF(AND(E27="--",G27="--",I27="--",K27="--",M27="--"),"--",SUM(E27,G27,I27,K27,M27))</f>
        <v>--</v>
      </c>
      <c r="Q27" s="636"/>
      <c r="R27" s="818"/>
      <c r="T27" s="818"/>
      <c r="U27" s="61"/>
      <c r="V27" s="61"/>
      <c r="W27" s="773">
        <v>2</v>
      </c>
      <c r="X27" s="774" t="s">
        <v>521</v>
      </c>
      <c r="Y27" s="775">
        <f>VLOOKUP(C_2,Table_S_Summary,MATCH("s-res-C",heading_S_Summary,0),FALSE)</f>
        <v>0.94322350821413881</v>
      </c>
      <c r="Z27" s="751">
        <f>VLOOKUP(C_2,Table_S_Summary,MATCH("s-com-C",heading_S_Summary,0),FALSE)</f>
        <v>5.9387260045173811</v>
      </c>
      <c r="AA27" s="751">
        <f>VLOOKUP(C_2,Table_S_Summary,MATCH("s-cw-C",heading_S_Summary,0),FALSE)</f>
        <v>34.249469832548606</v>
      </c>
      <c r="AB27" s="776">
        <f t="shared" si="0"/>
        <v>0.94322350821413881</v>
      </c>
      <c r="AC27" s="777">
        <f>VLOOKUP(C_2,Table_GW_Summary,MATCH("DW-C",heading_GW_Summary,0),FALSE)</f>
        <v>0.49377585316143952</v>
      </c>
      <c r="AD27" s="777"/>
      <c r="AE27" s="751">
        <f>VLOOKUP(C_2,Table_GW_Summary,MATCH("Res-VI-C-Min",heading_GW_Summary,0),FALSE)</f>
        <v>1.1877804862349743</v>
      </c>
      <c r="AF27" s="751">
        <f>VLOOKUP(C_2,Table_GW_Summary,MATCH("Com-VI-C-Min",heading_GW_Summary,0),FALSE)</f>
        <v>7.4279420576945929</v>
      </c>
      <c r="AG27" s="776">
        <f t="shared" si="1"/>
        <v>1.1877804862349743</v>
      </c>
      <c r="AH27" s="777">
        <f t="shared" si="2"/>
        <v>15.943905409395809</v>
      </c>
      <c r="AI27" s="751">
        <f>VLOOKUP(C_2,Table_V_Summary,MATCH("IA-Res-C",heading_V_Summary,0),FALSE)</f>
        <v>0.47831716228187426</v>
      </c>
      <c r="AJ27" s="751">
        <f>VLOOKUP(C_2,Table_V_Summary,MATCH("IA-com-C",heading_V_Summary,0),FALSE)</f>
        <v>2.9912195121951215</v>
      </c>
      <c r="AK27" s="778">
        <f t="shared" si="3"/>
        <v>0.47831716228187426</v>
      </c>
    </row>
    <row r="28" spans="2:37" ht="16.5" thickTop="1" thickBot="1">
      <c r="B28" s="522"/>
      <c r="C28" s="527"/>
      <c r="D28" s="524"/>
      <c r="E28" s="525"/>
      <c r="F28" s="525"/>
      <c r="G28" s="525"/>
      <c r="H28" s="525"/>
      <c r="I28" s="525"/>
      <c r="J28" s="525"/>
      <c r="K28" s="525"/>
      <c r="L28" s="525"/>
      <c r="M28" s="525"/>
      <c r="N28" s="525"/>
      <c r="O28" s="858"/>
      <c r="P28" s="635"/>
      <c r="Q28" s="636"/>
      <c r="R28" s="335"/>
      <c r="T28" s="335"/>
      <c r="U28" s="61"/>
      <c r="V28" s="61"/>
      <c r="W28" s="779"/>
      <c r="X28" s="769" t="s">
        <v>522</v>
      </c>
      <c r="Y28" s="780">
        <f>VLOOKUP(C_2,Table_S_Summary,MATCH("s-res-NC",heading_S_Summary,0),FALSE)</f>
        <v>4.1221571353619346</v>
      </c>
      <c r="Z28" s="781">
        <f>VLOOKUP(C_2,Table_S_Summary,MATCH("s-com-NC",heading_S_Summary,0),FALSE)</f>
        <v>18.379916689495747</v>
      </c>
      <c r="AA28" s="781">
        <f>VLOOKUP(C_2,Table_S_Summary,MATCH("s-cw-NC",heading_S_Summary,0),FALSE)</f>
        <v>4.1832527525041323</v>
      </c>
      <c r="AB28" s="782">
        <f t="shared" si="0"/>
        <v>4.1221571353619346</v>
      </c>
      <c r="AC28" s="783">
        <f>VLOOKUP(C_2,Table_GW_Summary,MATCH("DW-NC",heading_GW_Summary,0),FALSE)</f>
        <v>2.8252024217071989</v>
      </c>
      <c r="AD28" s="783" t="str">
        <f>IF(C_2="PFAS: Perfluorononanoic acid (PFNA)",$AD$42,IF(C_2="PFAS: Perfluorobutane sulfonic acid (PFBS)",$AD$43,IF(C_2="PFAS: Perfluorohexane sulfonic acid (PFHxS)",$AD$44,IF(C_2="PFAS: Hexafluoropropylene oxide dimer acid (HFPO-DA)",$AD$45,"--"))))</f>
        <v>--</v>
      </c>
      <c r="AE28" s="781">
        <f>VLOOKUP(C_2,Table_GW_Summary,MATCH("Res-VI-NC-Min",heading_GW_Summary,0),FALSE)</f>
        <v>5.1793473531543945</v>
      </c>
      <c r="AF28" s="781">
        <f>VLOOKUP(C_2,Table_GW_Summary,MATCH("Com-VI-NC-Min",heading_GW_Summary,0),FALSE)</f>
        <v>21.753258883248456</v>
      </c>
      <c r="AG28" s="782">
        <f t="shared" si="1"/>
        <v>5.1793473531543945</v>
      </c>
      <c r="AH28" s="783">
        <f t="shared" si="2"/>
        <v>69.523809523809533</v>
      </c>
      <c r="AI28" s="781">
        <f>VLOOKUP(C_2,Table_V_Summary,MATCH("IA-Res-NC",heading_V_Summary,0),FALSE)</f>
        <v>2.0857142857142859</v>
      </c>
      <c r="AJ28" s="781">
        <f>VLOOKUP(C_2,Table_V_Summary,MATCH("IA-com-NC",heading_V_Summary,0),FALSE)</f>
        <v>8.76</v>
      </c>
      <c r="AK28" s="784">
        <f t="shared" si="3"/>
        <v>2.0857142857142859</v>
      </c>
    </row>
    <row r="29" spans="2:37" ht="15.75" thickTop="1">
      <c r="B29" s="522"/>
      <c r="C29" s="528" t="s">
        <v>610</v>
      </c>
      <c r="D29" s="524"/>
      <c r="E29" s="1037" t="str">
        <f>IF(AND(Conc_C1_IA="",Conc_C1_SG="",Conc_C1_GW=""),"--", IF(AND(Conc_C1_IA&lt;&gt;"",AK25="--"),"--",IF(Conc_C1_IA&lt;&gt;"",Conc_C1_IA*0.000001/AK25,IF(AND(Conc_C1_SG&lt;&gt;"",AH25="--"),"--",IF(Conc_C1_SG&lt;&gt;"",Conc_C1_SG*0.000001/AH25,IF(AG25="--","--",Conc_C1_GW*0.000001/AG25))))))</f>
        <v>--</v>
      </c>
      <c r="F29" s="525"/>
      <c r="G29" s="1037" t="str">
        <f>IF(AND(Conc_C2_IA="",Conc_C2_SG="",Conc_C2_GW=""),"--", IF(AND(Conc_C2_IA&lt;&gt;"",AK27="--"),"--",IF(Conc_C2_IA&lt;&gt;"",Conc_C2_IA*0.000001/AK27,IF(AND(Conc_C2_SG&lt;&gt;"",AH27="--"),"--",IF(Conc_C2_SG&lt;&gt;"",Conc_C2_SG*0.000001/AH27,IF(AG27="--","--",Conc_C2_GW*0.000001/AG27))))))</f>
        <v>--</v>
      </c>
      <c r="H29" s="525"/>
      <c r="I29" s="1037" t="str">
        <f>IF(AND(Conc_C3_IA="",Conc_C3_SG="",Conc_C3_GW=""),"--", IF(AND(Conc_C3_IA&lt;&gt;"",AK29="--"),"--",IF(Conc_C3_IA&lt;&gt;"",Conc_C3_IA*0.000001/AK29,IF(AND(Conc_C3_SG&lt;&gt;"",AH29="--"),"--",IF(Conc_C3_SG&lt;&gt;"",Conc_C3_SG*0.000001/AH29,IF(AG29="--","--",Conc_C3_GW*0.000001/AG29))))))</f>
        <v>--</v>
      </c>
      <c r="J29" s="525"/>
      <c r="K29" s="1037" t="str">
        <f>IF(AND(Conc_C4_IA="",Conc_C4_SG="",Conc_C4_GW=""),"--", IF(AND(Conc_C4_IA&lt;&gt;"",AK31="--"),"--",IF(Conc_C4_IA&lt;&gt;"",Conc_C4_IA*0.000001/AK31,IF(AND(Conc_C4_SG&lt;&gt;"",AH31="--"),"--",IF(Conc_C4_SG&lt;&gt;"",Conc_C4_SG*0.000001/AH31,IF(AG31="--","--",Conc_C4_GW*0.000001/AG31))))))</f>
        <v>--</v>
      </c>
      <c r="L29" s="525"/>
      <c r="M29" s="1037" t="str">
        <f>IF(AND(Conc_C5_IA="",Conc_C5_SG="",Conc_C5_GW=""),"--", IF(AND(Conc_C5_IA&lt;&gt;"",AK33="--"),"--",IF(Conc_C5_IA&lt;&gt;"",Conc_C5_IA*0.000001/AK33,IF(AND(Conc_C5_SG&lt;&gt;"",AH33="--"),"--",IF(Conc_C5_SG&lt;&gt;"",Conc_C5_SG*0.000001/AH33,IF(AG33="--","--",Conc_C5_GW*0.000001/AG33))))))</f>
        <v>--</v>
      </c>
      <c r="N29" s="525"/>
      <c r="O29" s="858"/>
      <c r="P29" s="1037" t="str">
        <f>IF(P30="--","--",IF(P30="indoor air",P31,IF(P30="groundwater VI",P33,P32)))</f>
        <v>--</v>
      </c>
      <c r="Q29" s="637"/>
      <c r="R29" s="335"/>
      <c r="S29" s="335"/>
      <c r="T29" s="335"/>
      <c r="U29" s="42"/>
      <c r="V29" s="42"/>
      <c r="W29" s="773">
        <v>3</v>
      </c>
      <c r="X29" s="774" t="s">
        <v>521</v>
      </c>
      <c r="Y29" s="775" t="str">
        <f>VLOOKUP(C_3,Table_S_Summary,MATCH("s-res-C",heading_S_Summary,0),FALSE)</f>
        <v>--</v>
      </c>
      <c r="Z29" s="751" t="str">
        <f>VLOOKUP(C_3,Table_S_Summary,MATCH("s-com-C",heading_S_Summary,0),FALSE)</f>
        <v>--</v>
      </c>
      <c r="AA29" s="751" t="str">
        <f>VLOOKUP(C_3,Table_S_Summary,MATCH("s-cw-C",heading_S_Summary,0),FALSE)</f>
        <v>--</v>
      </c>
      <c r="AB29" s="776" t="str">
        <f t="shared" si="0"/>
        <v>--</v>
      </c>
      <c r="AC29" s="777" t="str">
        <f>VLOOKUP(C_3,Table_GW_Summary,MATCH("DW-C",heading_GW_Summary,0),FALSE)</f>
        <v>--</v>
      </c>
      <c r="AD29" s="777"/>
      <c r="AE29" s="751" t="str">
        <f>VLOOKUP(C_3,Table_GW_Summary,MATCH("Res-VI-C-Min",heading_GW_Summary,0),FALSE)</f>
        <v>--</v>
      </c>
      <c r="AF29" s="751" t="str">
        <f>VLOOKUP(C_3,Table_GW_Summary,MATCH("Com-VI-C-Min",heading_GW_Summary,0),FALSE)</f>
        <v>--</v>
      </c>
      <c r="AG29" s="776" t="str">
        <f t="shared" si="1"/>
        <v>--</v>
      </c>
      <c r="AH29" s="777" t="str">
        <f t="shared" si="2"/>
        <v>--</v>
      </c>
      <c r="AI29" s="751" t="str">
        <f>VLOOKUP(C_3,Table_V_Summary,MATCH("IA-Res-C",heading_V_Summary,0),FALSE)</f>
        <v>--</v>
      </c>
      <c r="AJ29" s="751" t="str">
        <f>VLOOKUP(C_3,Table_V_Summary,MATCH("IA-com-C",heading_V_Summary,0),FALSE)</f>
        <v>--</v>
      </c>
      <c r="AK29" s="778" t="str">
        <f t="shared" si="3"/>
        <v>--</v>
      </c>
    </row>
    <row r="30" spans="2:37" ht="15.75" thickBot="1">
      <c r="B30" s="522"/>
      <c r="C30" s="528" t="s">
        <v>611</v>
      </c>
      <c r="D30" s="524"/>
      <c r="E30" s="1038" t="str">
        <f>IF(E29="--","--",IF(AND(Conc_C1_IA="",Conc_C1_SG="",Conc_C1_GW=""),"--",IF(Conc_C1_IA&lt;&gt;"","Indoor Air",IF(Conc_C1_SG&lt;&gt;"","Subslab/Soil Gas VI","Groundwater VI"))))</f>
        <v>--</v>
      </c>
      <c r="F30" s="525"/>
      <c r="G30" s="1038" t="str">
        <f>IF(G29="--","--",IF(AND(Conc_C2_IA="",Conc_C2_SG="",Conc_C2_GW=""),"--",IF(Conc_C2_IA&lt;&gt;"","Indoor Air",IF(Conc_C2_SG&lt;&gt;"","Subslab/Soil Gas VI","Groundwater VI"))))</f>
        <v>--</v>
      </c>
      <c r="H30" s="525"/>
      <c r="I30" s="1038" t="str">
        <f>IF(I29="--","--",IF(AND(Conc_C3_IA="",Conc_C3_SG="",Conc_C3_GW=""),"--",IF(Conc_C3_IA&lt;&gt;"","Indoor Air",IF(Conc_C3_SG&lt;&gt;"","Subslab/Soil Gas VI","Groundwater VI"))))</f>
        <v>--</v>
      </c>
      <c r="J30" s="525"/>
      <c r="K30" s="1038" t="str">
        <f>IF(K29="--","--",IF(AND(Conc_C4_IA="",Conc_C4_SG="",Conc_C4_GW=""),"--",IF(Conc_C4_IA&lt;&gt;"","Indoor Air",IF(Conc_C4_SG&lt;&gt;"","Subslab/Soil Gas VI","Groundwater VI"))))</f>
        <v>--</v>
      </c>
      <c r="L30" s="525"/>
      <c r="M30" s="1038" t="str">
        <f>IF(M29="--","--",IF(AND(Conc_C5_IA="",Conc_C5_SG="",Conc_C5_GW=""),"--",IF(Conc_C5_IA&lt;&gt;"","Indoor Air",IF(Conc_C5_SG&lt;&gt;"","Subslab/Soil Gas VI","Groundwater VI"))))</f>
        <v>--</v>
      </c>
      <c r="N30" s="525"/>
      <c r="O30" s="858"/>
      <c r="P30" s="1038" t="str">
        <f>IF(AND(E30="--",G30="--",I30="--",K30="--",M30="--"),"--",IF(OR(E30="Indoor Air",G30="Indoor Air",I30="Indoor Air",K30="Indoor Air",M30="Indoor Air"),"Indoor Air",IF(OR(E30="Subslab/Soil Gas VI",G30="Subslab/Soil Gas VI",I30="Subslab/Soil Gas VI",K30="Subslab/Soil Gas VI",M30="Subslab/Soil Gas VI"),"Subslab/Soil Gas VI","Groundwater VI")))</f>
        <v>--</v>
      </c>
      <c r="Q30" s="637"/>
      <c r="U30" s="42"/>
      <c r="V30" s="42"/>
      <c r="W30" s="779"/>
      <c r="X30" s="769" t="s">
        <v>522</v>
      </c>
      <c r="Y30" s="780">
        <f>VLOOKUP(C_3,Table_S_Summary,MATCH("s-res-NC",heading_S_Summary,0),FALSE)</f>
        <v>62.575353556524746</v>
      </c>
      <c r="Z30" s="781">
        <f>VLOOKUP(C_3,Table_S_Summary,MATCH("s-com-NC",heading_S_Summary,0),FALSE)</f>
        <v>362.8238864053107</v>
      </c>
      <c r="AA30" s="781">
        <f>VLOOKUP(C_3,Table_S_Summary,MATCH("s-cw-NC",heading_S_Summary,0),FALSE)</f>
        <v>85.288681638514916</v>
      </c>
      <c r="AB30" s="782">
        <f t="shared" si="0"/>
        <v>62.575353556524746</v>
      </c>
      <c r="AC30" s="783">
        <f>VLOOKUP(C_3,Table_GW_Summary,MATCH("DW-NC",heading_GW_Summary,0),FALSE)</f>
        <v>13</v>
      </c>
      <c r="AD30" s="783" t="str">
        <f>IF(C_3="PFAS: Perfluorononanoic acid (PFNA)",$AD$42,IF(C_3="PFAS: Perfluorobutane sulfonic acid (PFBS)",$AD$43,IF(C_3="PFAS: Perfluorohexane sulfonic acid (PFHxS)",$AD$44,IF(C_3="PFAS: Hexafluoropropylene oxide dimer acid (HFPO-DA)",$AD$45,"--"))))</f>
        <v>--</v>
      </c>
      <c r="AE30" s="781">
        <f>VLOOKUP(C_3,Table_GW_Summary,MATCH("Res-VI-NC-Min",heading_GW_Summary,0),FALSE)</f>
        <v>250.08123249299314</v>
      </c>
      <c r="AF30" s="781">
        <f>VLOOKUP(C_3,Table_GW_Summary,MATCH("Com-VI-NC-Min",heading_GW_Summary,0),FALSE)</f>
        <v>1050.3411764705711</v>
      </c>
      <c r="AG30" s="782">
        <f t="shared" si="1"/>
        <v>250.08123249299314</v>
      </c>
      <c r="AH30" s="783">
        <f t="shared" si="2"/>
        <v>1390.4761904761906</v>
      </c>
      <c r="AI30" s="781">
        <f>VLOOKUP(C_3,Table_V_Summary,MATCH("IA-Res-NC",heading_V_Summary,0),FALSE)</f>
        <v>41.714285714285715</v>
      </c>
      <c r="AJ30" s="781">
        <f>VLOOKUP(C_3,Table_V_Summary,MATCH("IA-com-NC",heading_V_Summary,0),FALSE)</f>
        <v>175.2</v>
      </c>
      <c r="AK30" s="784">
        <f t="shared" si="3"/>
        <v>41.714285714285715</v>
      </c>
    </row>
    <row r="31" spans="2:37" ht="16.5" hidden="1" thickTop="1" thickBot="1">
      <c r="B31" s="522"/>
      <c r="C31" s="528" t="s">
        <v>612</v>
      </c>
      <c r="D31" s="524"/>
      <c r="E31" s="1038" t="str">
        <f>IF(E30="indoor air",E29,"--")</f>
        <v>--</v>
      </c>
      <c r="F31" s="525"/>
      <c r="G31" s="1038" t="str">
        <f>IF(G30="indoor air",G29,"--")</f>
        <v>--</v>
      </c>
      <c r="H31" s="525"/>
      <c r="I31" s="1038" t="str">
        <f>IF(I30="indoor air",I29,"--")</f>
        <v>--</v>
      </c>
      <c r="J31" s="525"/>
      <c r="K31" s="1038" t="str">
        <f>IF(K30="indoor air",K29,"--")</f>
        <v>--</v>
      </c>
      <c r="L31" s="525"/>
      <c r="M31" s="1038" t="str">
        <f>IF(M30="indoor air",M29,"--")</f>
        <v>--</v>
      </c>
      <c r="N31" s="525"/>
      <c r="O31" s="858"/>
      <c r="P31" s="719" t="str">
        <f>IF(AND(E31="--",G31="--",I31="--",K31="--",M31="--"),"--",SUM(E31,G31,I31,K31,M31))</f>
        <v>--</v>
      </c>
      <c r="Q31" s="637"/>
      <c r="U31" s="42"/>
      <c r="V31" s="42"/>
      <c r="W31" s="773">
        <v>4</v>
      </c>
      <c r="X31" s="774" t="s">
        <v>521</v>
      </c>
      <c r="Y31" s="775">
        <f>VLOOKUP(C_4,Table_S_Summary,MATCH("s-res-C",heading_S_Summary,0),FALSE)</f>
        <v>8.2447432304591194E-3</v>
      </c>
      <c r="Z31" s="751">
        <f>VLOOKUP(C_4,Table_S_Summary,MATCH("s-com-C",heading_S_Summary,0),FALSE)</f>
        <v>0.14275550945087243</v>
      </c>
      <c r="AA31" s="751">
        <f>VLOOKUP(C_4,Table_S_Summary,MATCH("s-cw-C",heading_S_Summary,0),FALSE)</f>
        <v>0.81247543455655413</v>
      </c>
      <c r="AB31" s="776">
        <f t="shared" si="0"/>
        <v>8.2447432304591194E-3</v>
      </c>
      <c r="AC31" s="777">
        <f>VLOOKUP(C_4,Table_GW_Summary,MATCH("DW-C",heading_GW_Summary,0),FALSE)</f>
        <v>9.6914424945337835E-3</v>
      </c>
      <c r="AD31" s="777"/>
      <c r="AE31" s="751">
        <f>VLOOKUP(C_4,Table_GW_Summary,MATCH("Res-VI-C-Min",heading_GW_Summary,0),FALSE)</f>
        <v>8.3177281019007829E-3</v>
      </c>
      <c r="AF31" s="751">
        <f>VLOOKUP(C_4,Table_GW_Summary,MATCH("Com-VI-C-Min",heading_GW_Summary,0),FALSE)</f>
        <v>0.13834045379081381</v>
      </c>
      <c r="AG31" s="776">
        <f t="shared" si="1"/>
        <v>8.3177281019007829E-3</v>
      </c>
      <c r="AH31" s="777">
        <f t="shared" si="2"/>
        <v>0.31511698178364844</v>
      </c>
      <c r="AI31" s="751">
        <f>VLOOKUP(C_4,Table_V_Summary,MATCH("IA-Res-C",heading_V_Summary,0),FALSE)</f>
        <v>9.4535094535094528E-3</v>
      </c>
      <c r="AJ31" s="751">
        <f>VLOOKUP(C_4,Table_V_Summary,MATCH("IA-com-C",heading_V_Summary,0),FALSE)</f>
        <v>0.1572307692307692</v>
      </c>
      <c r="AK31" s="778">
        <f t="shared" si="3"/>
        <v>9.4535094535094528E-3</v>
      </c>
    </row>
    <row r="32" spans="2:37" ht="16.350000000000001" hidden="1" customHeight="1" thickTop="1" thickBot="1">
      <c r="B32" s="522"/>
      <c r="C32" s="528" t="s">
        <v>613</v>
      </c>
      <c r="D32" s="524"/>
      <c r="E32" s="1038" t="str">
        <f>IF(E30="subslab/soil gas VI",E29,"--")</f>
        <v>--</v>
      </c>
      <c r="F32" s="525"/>
      <c r="G32" s="1038" t="str">
        <f>IF(G30="subslab/soil gas VI",G29,"--")</f>
        <v>--</v>
      </c>
      <c r="H32" s="525"/>
      <c r="I32" s="1038" t="str">
        <f>IF(I30="subslab/soil gas VI",I29,"--")</f>
        <v>--</v>
      </c>
      <c r="J32" s="525"/>
      <c r="K32" s="1038" t="str">
        <f>IF(K30="subslab/soil gas VI",K29,"--")</f>
        <v>--</v>
      </c>
      <c r="L32" s="525"/>
      <c r="M32" s="1038" t="str">
        <f>IF(M30="subslab/soil gas VI",M29,"--")</f>
        <v>--</v>
      </c>
      <c r="N32" s="525"/>
      <c r="O32" s="858"/>
      <c r="P32" s="719" t="str">
        <f>IF(AND(E32="--",G32="--",I32="--",K32="--",M32="--"),"--",SUM(E32,G32,I32,K32,M32))</f>
        <v>--</v>
      </c>
      <c r="Q32" s="637"/>
      <c r="U32" s="335"/>
      <c r="V32" s="335"/>
      <c r="W32" s="779"/>
      <c r="X32" s="769" t="s">
        <v>522</v>
      </c>
      <c r="Y32" s="780">
        <f>VLOOKUP(C_4,Table_S_Summary,MATCH("s-res-NC",heading_S_Summary,0),FALSE)</f>
        <v>41.788553403887903</v>
      </c>
      <c r="Z32" s="781">
        <f>VLOOKUP(C_4,Table_S_Summary,MATCH("s-com-NC",heading_S_Summary,0),FALSE)</f>
        <v>197.58811718193508</v>
      </c>
      <c r="AA32" s="781">
        <f>VLOOKUP(C_4,Table_S_Summary,MATCH("s-cw-NC",heading_S_Summary,0),FALSE)</f>
        <v>45.272140579752865</v>
      </c>
      <c r="AB32" s="782">
        <f t="shared" si="0"/>
        <v>41.788553403887903</v>
      </c>
      <c r="AC32" s="783">
        <f>VLOOKUP(C_4,Table_GW_Summary,MATCH("DW-NC",heading_GW_Summary,0),FALSE)</f>
        <v>36.843107700838594</v>
      </c>
      <c r="AD32" s="783" t="str">
        <f>IF(C_4="PFAS: Perfluorononanoic acid (PFNA)",$AD$42,IF(C_4="PFAS: Perfluorobutane sulfonic acid (PFBS)",$AD$43,IF(C_4="PFAS: Perfluorohexane sulfonic acid (PFHxS)",$AD$44,IF(C_4="PFAS: Hexafluoropropylene oxide dimer acid (HFPO-DA)",$AD$45,"--"))))</f>
        <v>--</v>
      </c>
      <c r="AE32" s="781">
        <f>VLOOKUP(C_4,Table_GW_Summary,MATCH("Res-VI-NC-Min",heading_GW_Summary,0),FALSE)</f>
        <v>46.795775950668151</v>
      </c>
      <c r="AF32" s="781">
        <f>VLOOKUP(C_4,Table_GW_Summary,MATCH("Com-VI-NC-Min",heading_GW_Summary,0),FALSE)</f>
        <v>196.54225899280624</v>
      </c>
      <c r="AG32" s="782">
        <f t="shared" si="1"/>
        <v>46.795775950668151</v>
      </c>
      <c r="AH32" s="783">
        <f t="shared" si="2"/>
        <v>1772.8571428571429</v>
      </c>
      <c r="AI32" s="781">
        <f>VLOOKUP(C_4,Table_V_Summary,MATCH("IA-Res-NC",heading_V_Summary,0),FALSE)</f>
        <v>53.185714285714283</v>
      </c>
      <c r="AJ32" s="781">
        <f>VLOOKUP(C_4,Table_V_Summary,MATCH("IA-com-NC",heading_V_Summary,0),FALSE)</f>
        <v>223.38</v>
      </c>
      <c r="AK32" s="784">
        <f t="shared" si="3"/>
        <v>53.185714285714283</v>
      </c>
    </row>
    <row r="33" spans="1:38" ht="16.350000000000001" hidden="1" customHeight="1" thickTop="1" thickBot="1">
      <c r="B33" s="522"/>
      <c r="C33" s="528" t="s">
        <v>614</v>
      </c>
      <c r="D33" s="524"/>
      <c r="E33" s="1038" t="str">
        <f>IF(E30="groundwater VI",E29,"--")</f>
        <v>--</v>
      </c>
      <c r="F33" s="525"/>
      <c r="G33" s="1038" t="str">
        <f>IF(G30="groundwater VI",G29,"--")</f>
        <v>--</v>
      </c>
      <c r="H33" s="525"/>
      <c r="I33" s="1038" t="str">
        <f>IF(I30="groundwater VI",I29,"--")</f>
        <v>--</v>
      </c>
      <c r="J33" s="525"/>
      <c r="K33" s="1038" t="str">
        <f>IF(K30="groundwater VI",K29,"--")</f>
        <v>--</v>
      </c>
      <c r="L33" s="525"/>
      <c r="M33" s="1038" t="str">
        <f>IF(M30="groundwater VI",M29,"--")</f>
        <v>--</v>
      </c>
      <c r="N33" s="525"/>
      <c r="O33" s="858"/>
      <c r="P33" s="719" t="str">
        <f>IF(AND(E33="--",G33="--",I33="--",K33="--",M33="--"),"--",SUM(E33,G33,I33,K33,M33))</f>
        <v>--</v>
      </c>
      <c r="Q33" s="637"/>
      <c r="W33" s="773">
        <v>5</v>
      </c>
      <c r="X33" s="774" t="s">
        <v>521</v>
      </c>
      <c r="Y33" s="775" t="str">
        <f>VLOOKUP(C_5,Table_S_Summary,MATCH("s-res-C",heading_S_Summary,0),FALSE)</f>
        <v>--</v>
      </c>
      <c r="Z33" s="751" t="str">
        <f>VLOOKUP(C_5,Table_S_Summary,MATCH("s-com-C",heading_S_Summary,0),FALSE)</f>
        <v>--</v>
      </c>
      <c r="AA33" s="751" t="str">
        <f>VLOOKUP(C_5,Table_S_Summary,MATCH("s-cw-C",heading_S_Summary,0),FALSE)</f>
        <v>--</v>
      </c>
      <c r="AB33" s="776" t="str">
        <f t="shared" si="0"/>
        <v>--</v>
      </c>
      <c r="AC33" s="777" t="str">
        <f>VLOOKUP(C_5,Table_GW_Summary,MATCH("DW-C",heading_GW_Summary,0),FALSE)</f>
        <v>--</v>
      </c>
      <c r="AD33" s="777"/>
      <c r="AE33" s="751" t="str">
        <f>VLOOKUP(C_5,Table_GW_Summary,MATCH("Res-VI-C-Min",heading_GW_Summary,0),FALSE)</f>
        <v>--</v>
      </c>
      <c r="AF33" s="751" t="str">
        <f>VLOOKUP(C_5,Table_GW_Summary,MATCH("Com-VI-C-Min",heading_GW_Summary,0),FALSE)</f>
        <v>--</v>
      </c>
      <c r="AG33" s="776" t="str">
        <f t="shared" si="1"/>
        <v>--</v>
      </c>
      <c r="AH33" s="777" t="str">
        <f t="shared" si="2"/>
        <v>--</v>
      </c>
      <c r="AI33" s="751" t="str">
        <f>VLOOKUP(C_5,Table_V_Summary,MATCH("IA-Res-C",heading_V_Summary,0),FALSE)</f>
        <v>--</v>
      </c>
      <c r="AJ33" s="751" t="str">
        <f>VLOOKUP(C_5,Table_V_Summary,MATCH("IA-com-C",heading_V_Summary,0),FALSE)</f>
        <v>--</v>
      </c>
      <c r="AK33" s="778" t="str">
        <f t="shared" si="3"/>
        <v>--</v>
      </c>
    </row>
    <row r="34" spans="1:38" ht="16.350000000000001" customHeight="1" thickTop="1" thickBot="1">
      <c r="B34" s="522"/>
      <c r="C34" s="526"/>
      <c r="D34" s="524"/>
      <c r="E34" s="525"/>
      <c r="F34" s="525"/>
      <c r="G34" s="525"/>
      <c r="H34" s="525"/>
      <c r="I34" s="525"/>
      <c r="J34" s="525"/>
      <c r="K34" s="525"/>
      <c r="L34" s="525"/>
      <c r="M34" s="525"/>
      <c r="N34" s="525"/>
      <c r="O34" s="858"/>
      <c r="P34" s="635"/>
      <c r="Q34" s="637"/>
      <c r="S34" s="1950"/>
      <c r="T34" s="627"/>
      <c r="U34" s="627"/>
      <c r="V34" s="627"/>
      <c r="W34" s="779"/>
      <c r="X34" s="769" t="s">
        <v>522</v>
      </c>
      <c r="Y34" s="780">
        <f>VLOOKUP(C_5,Table_S_Summary,MATCH("s-res-NC",heading_S_Summary,0),FALSE)</f>
        <v>245.14598701027165</v>
      </c>
      <c r="Z34" s="781">
        <f>VLOOKUP(C_5,Table_S_Summary,MATCH("s-com-NC",heading_S_Summary,0),FALSE)</f>
        <v>1271.2448889936204</v>
      </c>
      <c r="AA34" s="781">
        <f>VLOOKUP(C_5,Table_S_Summary,MATCH("s-cw-NC",heading_S_Summary,0),FALSE)</f>
        <v>294.48289761136567</v>
      </c>
      <c r="AB34" s="782">
        <f>IF(AND(Y34="--",Z34="--",AA34="--"), "--",IF(Soil_Depth="Deep Soil",AA34,IF(Land_Use="Commercial or Industrial",MIN(AA34,Z34),MIN(AA34,Y34))))</f>
        <v>245.14598701027165</v>
      </c>
      <c r="AC34" s="783">
        <f>VLOOKUP(C_5,Table_GW_Summary,MATCH("DW-NC",heading_GW_Summary,0),FALSE)</f>
        <v>210.48658526371332</v>
      </c>
      <c r="AD34" s="783" t="str">
        <f>IF(C_5="PFAS: Perfluorononanoic acid (PFNA)",$AD$42,IF(C_5="PFAS: Perfluorobutane sulfonic acid (PFBS)",$AD$43,IF(C_5="PFAS: Perfluorohexane sulfonic acid (PFHxS)",$AD$44,IF(C_5="PFAS: Hexafluoropropylene oxide dimer acid (HFPO-DA)",$AD$45,"--"))))</f>
        <v>--</v>
      </c>
      <c r="AE34" s="781" t="str">
        <f>VLOOKUP(C_5,Table_GW_Summary,MATCH("Res-VI-NC-Min",heading_GW_Summary,0),FALSE)</f>
        <v>--</v>
      </c>
      <c r="AF34" s="781" t="str">
        <f>VLOOKUP(C_5,Table_GW_Summary,MATCH("Com-VI-NC-Min",heading_GW_Summary,0),FALSE)</f>
        <v>--</v>
      </c>
      <c r="AG34" s="782" t="str">
        <f t="shared" si="1"/>
        <v>--</v>
      </c>
      <c r="AH34" s="783">
        <f t="shared" si="2"/>
        <v>10310.734463276838</v>
      </c>
      <c r="AI34" s="781">
        <f>VLOOKUP(C_5,Table_V_Summary,MATCH("IA-Res-NC",heading_V_Summary,0),FALSE)</f>
        <v>309.32203389830511</v>
      </c>
      <c r="AJ34" s="781">
        <f>VLOOKUP(C_5,Table_V_Summary,MATCH("IA-com-NC",heading_V_Summary,0),FALSE)</f>
        <v>1299.1525423728813</v>
      </c>
      <c r="AK34" s="784">
        <f>IF(AND(AI34="--",AJ34="--"),"--",IF(Land_Use="residential",AI34,AJ34))</f>
        <v>309.32203389830511</v>
      </c>
    </row>
    <row r="35" spans="1:38" s="505" customFormat="1" ht="16.350000000000001" customHeight="1" thickTop="1" thickBot="1">
      <c r="A35"/>
      <c r="B35" s="522"/>
      <c r="C35" s="528" t="s">
        <v>615</v>
      </c>
      <c r="D35" s="524"/>
      <c r="E35" s="1037" t="str">
        <f>IF(AND(Conc_C1_GW="",Conc_C1_SG=""),"--", IF(AND(Conc_C1_SG&lt;&gt;"",AH25="--"),"--",IF(Conc_C1_SG&lt;&gt;"",Conc_C1_SG*0.000001/AH25,IF(AG25="--","--",Conc_C1_GW*0.000001/AG25))))</f>
        <v>--</v>
      </c>
      <c r="F35" s="525"/>
      <c r="G35" s="1037" t="str">
        <f>IF(AND(Conc_C2_GW="",Conc_C2_SG=""),"--", IF(AND(Conc_C2_SG&lt;&gt;"",AH27="--"),"--",IF(Conc_C2_SG&lt;&gt;"",Conc_C2_SG*0.000001/AH27,IF(AG27="--","--",Conc_C2_GW*0.000001/AG27))))</f>
        <v>--</v>
      </c>
      <c r="H35" s="525"/>
      <c r="I35" s="1037" t="str">
        <f>IF(AND(Conc_C3_GW="",Conc_C3_SG=""),"--", IF(AND(Conc_C3_SG&lt;&gt;"",AH29="--"),"--",IF(Conc_C3_SG&lt;&gt;"",Conc_C3_SG*0.000001/AH29,IF(AG29="--","--",Conc_C3_GW*0.000001/AG29))))</f>
        <v>--</v>
      </c>
      <c r="J35" s="525"/>
      <c r="K35" s="1037" t="str">
        <f>IF(AND(Conc_C4_GW="",Conc_C4_SG=""),"--", IF(AND(Conc_C4_SG&lt;&gt;"",AH31="--"),"--",IF(Conc_C4_SG&lt;&gt;"",Conc_C4_SG*0.000001/AH31,IF(AG31="--","--",Conc_C4_GW*0.000001/AG31))))</f>
        <v>--</v>
      </c>
      <c r="L35" s="525"/>
      <c r="M35" s="1037" t="str">
        <f>IF(AND(Conc_C5_GW="",Conc_C5_SG=""),"--", IF(AND(Conc_C5_SG&lt;&gt;"",AH33="--"),"--",IF(Conc_C5_SG&lt;&gt;"",Conc_C5_SG*0.000001/AH33,IF(AG33="--","--",Conc_C5_GW*0.000001/AG33))))</f>
        <v>--</v>
      </c>
      <c r="N35" s="525"/>
      <c r="O35" s="858"/>
      <c r="P35" s="1037" t="str">
        <f>IF(P36="--","--",IF(P36="Subslab/Soil Gas VI",P37,P38))</f>
        <v>--</v>
      </c>
      <c r="Q35" s="639"/>
      <c r="R35"/>
      <c r="S35" s="856"/>
      <c r="T35"/>
      <c r="U35" s="61"/>
      <c r="V35" s="61"/>
      <c r="W35"/>
      <c r="X35"/>
      <c r="Y35"/>
      <c r="Z35"/>
      <c r="AA35"/>
      <c r="AB35"/>
      <c r="AC35"/>
      <c r="AD35"/>
      <c r="AE35"/>
      <c r="AF35"/>
      <c r="AG35"/>
      <c r="AH35"/>
      <c r="AI35"/>
      <c r="AJ35"/>
      <c r="AK35"/>
      <c r="AL35"/>
    </row>
    <row r="36" spans="1:38" ht="15.75" customHeight="1" thickTop="1" thickBot="1">
      <c r="B36" s="522"/>
      <c r="C36" s="528" t="s">
        <v>611</v>
      </c>
      <c r="D36" s="524"/>
      <c r="E36" s="1038" t="str">
        <f>IF(E35="--","--",IF(AND(Conc_C1_GW="",Conc_C1_SG=""),"--",IF(Conc_C1_SG&lt;&gt;"","Subslab/Soil Gas VI","Groundwater VI")))</f>
        <v>--</v>
      </c>
      <c r="F36" s="525"/>
      <c r="G36" s="1038" t="str">
        <f>IF(G35="--","--",IF(AND(Conc_C2_GW="",Conc_C2_SG=""),"--", IF(Conc_C2_SG&lt;&gt;"","Subslab/Soil Gas VI", "Groundwater VI")))</f>
        <v>--</v>
      </c>
      <c r="H36" s="525"/>
      <c r="I36" s="1038" t="str">
        <f>IF(I35="--","--",IF(AND(Conc_C3_GW="",Conc_C3_SG=""),"--", IF(Conc_C3_SG&lt;&gt;"","Subslab/Soil Gas VI", "Groundwater VI")))</f>
        <v>--</v>
      </c>
      <c r="J36" s="525"/>
      <c r="K36" s="1038" t="str">
        <f>IF(K35="--","--",IF(AND(Conc_C4_GW="",Conc_C4_SG=""),"--", IF(Conc_C4_SG&lt;&gt;"","Subslab/Soil Gas VI", "Groundwater VI")))</f>
        <v>--</v>
      </c>
      <c r="L36" s="525"/>
      <c r="M36" s="1038" t="str">
        <f>IF(M35="--","--",IF(AND(Conc_C5_GW="",Conc_C5_SG=""),"--", IF(Conc_C5_SG&lt;&gt;"","Subslab/Soil Gas VI", "Groundwater VI")))</f>
        <v>--</v>
      </c>
      <c r="N36" s="525"/>
      <c r="O36" s="858"/>
      <c r="P36" s="1038" t="str">
        <f>IF(AND(E36="--",G36="--",I36="--",K36="--",M36="--"),"--",IF(OR(E36="Subslab/Soil Gas VI",G36="Subslab/Soil Gas VI",I36="Subslab/Soil Gas VI",K36="Subslab/Soil Gas VI",M36="Subslab/Soil Gas VI"),"Subslab/Soil Gas VI","Groundwater VI"))</f>
        <v>--</v>
      </c>
      <c r="Q36" s="639"/>
      <c r="S36" s="820"/>
      <c r="U36" s="61"/>
      <c r="V36" s="61"/>
      <c r="W36" s="61"/>
      <c r="AE36" s="675"/>
    </row>
    <row r="37" spans="1:38" ht="16.5" hidden="1" thickTop="1" thickBot="1">
      <c r="B37" s="522"/>
      <c r="C37" s="528" t="s">
        <v>613</v>
      </c>
      <c r="D37" s="524"/>
      <c r="E37" s="1038" t="str">
        <f>IF(E36="subslab/soil gas VI",E35,"--")</f>
        <v>--</v>
      </c>
      <c r="F37" s="525"/>
      <c r="G37" s="1038" t="str">
        <f>IF(G36="subslab/soil gas VI",G35,"--")</f>
        <v>--</v>
      </c>
      <c r="H37" s="525"/>
      <c r="I37" s="1038" t="str">
        <f>IF(I36="subslab/soil gas VI",I35,"--")</f>
        <v>--</v>
      </c>
      <c r="J37" s="525"/>
      <c r="K37" s="1038" t="str">
        <f>IF(K36="subslab/soil gas VI",K35,"--")</f>
        <v>--</v>
      </c>
      <c r="L37" s="525"/>
      <c r="M37" s="1038" t="str">
        <f>IF(M36="subslab/soil gas VI",M35,"--")</f>
        <v>--</v>
      </c>
      <c r="N37" s="525"/>
      <c r="O37" s="858"/>
      <c r="P37" s="719" t="str">
        <f>IF(AND(E37="--",G37="--",I37="--",K37="--",M37="--"),"--",SUM(E37,G37,I37,K37,M37))</f>
        <v>--</v>
      </c>
      <c r="Q37" s="639"/>
      <c r="T37" s="818"/>
      <c r="U37" s="61"/>
      <c r="V37" s="61"/>
      <c r="W37" s="61"/>
    </row>
    <row r="38" spans="1:38" ht="17.25" hidden="1" thickTop="1" thickBot="1">
      <c r="B38" s="522"/>
      <c r="C38" s="528" t="s">
        <v>614</v>
      </c>
      <c r="D38" s="524"/>
      <c r="E38" s="1038" t="str">
        <f>IF(E36="groundwater VI",E35,"--")</f>
        <v>--</v>
      </c>
      <c r="F38" s="525"/>
      <c r="G38" s="1038" t="str">
        <f>IF(G36="groundwater VI",G35,"--")</f>
        <v>--</v>
      </c>
      <c r="H38" s="525"/>
      <c r="I38" s="1038" t="str">
        <f>IF(I36="groundwater VI",I35,"--")</f>
        <v>--</v>
      </c>
      <c r="J38" s="525"/>
      <c r="K38" s="1038" t="str">
        <f>IF(K36="groundwater VI",K35,"--")</f>
        <v>--</v>
      </c>
      <c r="L38" s="525"/>
      <c r="M38" s="1038" t="str">
        <f>IF(M36="groundwater VI",M35,"--")</f>
        <v>--</v>
      </c>
      <c r="N38" s="525"/>
      <c r="O38" s="858"/>
      <c r="P38" s="719" t="str">
        <f>IF(AND(E38="--",G38="--",I38="--",K38="--",M38="--"),"--",SUM(E38,G38,I38,K38,M38))</f>
        <v>--</v>
      </c>
      <c r="Q38" s="639"/>
      <c r="R38" s="627"/>
    </row>
    <row r="39" spans="1:38" ht="16.5" thickTop="1" thickBot="1">
      <c r="B39" s="529"/>
      <c r="C39" s="530"/>
      <c r="D39" s="530"/>
      <c r="E39" s="531"/>
      <c r="F39" s="531"/>
      <c r="G39" s="531"/>
      <c r="H39" s="531"/>
      <c r="I39" s="531"/>
      <c r="J39" s="531"/>
      <c r="K39" s="531"/>
      <c r="L39" s="531"/>
      <c r="M39" s="531"/>
      <c r="N39" s="531"/>
      <c r="O39" s="819"/>
      <c r="P39" s="638"/>
      <c r="Q39" s="639"/>
      <c r="S39" s="42"/>
      <c r="T39" s="42"/>
      <c r="U39" s="42"/>
      <c r="V39" s="42"/>
      <c r="W39" s="42"/>
    </row>
    <row r="40" spans="1:38" ht="16.5" thickTop="1" thickBot="1">
      <c r="A40" s="505"/>
      <c r="B40" s="505"/>
      <c r="S40" s="42"/>
      <c r="T40" s="42"/>
      <c r="U40" s="42"/>
      <c r="V40" s="42"/>
      <c r="W40" s="42"/>
      <c r="AB40" s="55"/>
      <c r="AC40" s="55"/>
      <c r="AD40" s="349"/>
      <c r="AE40" s="55"/>
    </row>
    <row r="41" spans="1:38" ht="41.25" customHeight="1" thickTop="1" thickBot="1">
      <c r="B41" s="628"/>
      <c r="C41" s="1216" t="s">
        <v>616</v>
      </c>
      <c r="D41" s="629"/>
      <c r="E41" s="2092" t="str">
        <f>IF('Tier-2 Site Spec. ESLs (T2-1)'!J20="select chemical","",'Tier-2 Site Spec. ESLs (T2-1)'!J20)</f>
        <v>Tetrachloroethene</v>
      </c>
      <c r="F41" s="626"/>
      <c r="G41" s="2092" t="str">
        <f>IF('Tier-2 Site Spec. ESLs (T2-1)'!M20="select chemical","",'Tier-2 Site Spec. ESLs (T2-1)'!M20)</f>
        <v>Trichloroethene</v>
      </c>
      <c r="H41" s="626"/>
      <c r="I41" s="2092" t="str">
        <f>IF('Tier-2 Site Spec. ESLs (T2-1)'!P20="select chemical","",'Tier-2 Site Spec. ESLs (T2-1)'!P20)</f>
        <v>cis-1,2-Dichloroethene</v>
      </c>
      <c r="J41" s="626"/>
      <c r="K41" s="2092" t="str">
        <f>IF('Tier-2 Site Spec. ESLs (T2-1)'!S20="select chemical","",'Tier-2 Site Spec. ESLs (T2-1)'!S20)</f>
        <v>Vinyl chloride</v>
      </c>
      <c r="L41" s="626"/>
      <c r="M41" s="2092" t="str">
        <f>IF('Tier-2 Site Spec. ESLs (T2-1)'!V20="select chemical","",'Tier-2 Site Spec. ESLs (T2-1)'!V20)</f>
        <v>Petroleum: Stoddard Solvent</v>
      </c>
      <c r="N41" s="626"/>
      <c r="O41" s="857"/>
      <c r="P41" s="640" t="s">
        <v>617</v>
      </c>
      <c r="Q41" s="634"/>
      <c r="R41" s="818"/>
      <c r="S41" s="42"/>
      <c r="T41" s="42"/>
      <c r="U41" s="42"/>
      <c r="V41" s="42"/>
      <c r="W41" s="42"/>
      <c r="AB41" s="55"/>
      <c r="AC41" s="55"/>
      <c r="AD41" s="349" t="s">
        <v>4259</v>
      </c>
      <c r="AE41" s="55"/>
    </row>
    <row r="42" spans="1:38" ht="16.5" thickTop="1" thickBot="1">
      <c r="B42" s="522"/>
      <c r="C42" s="523" t="s">
        <v>618</v>
      </c>
      <c r="D42" s="524"/>
      <c r="E42" s="719" t="str">
        <f>IF(OR(AB26="--",E12=""),"--",E12*1/AB26)</f>
        <v>--</v>
      </c>
      <c r="F42" s="525"/>
      <c r="G42" s="719" t="str">
        <f>IF(OR(AB28="--",G12=""),"--",G12*1/AB28)</f>
        <v>--</v>
      </c>
      <c r="H42" s="525"/>
      <c r="I42" s="719" t="str">
        <f>IF(OR(AB30="--",I12=""),"--",I12*1/AB30)</f>
        <v>--</v>
      </c>
      <c r="J42" s="525"/>
      <c r="K42" s="719" t="str">
        <f>IF(OR(AB32="--",K12=""),"--",K12*1/AB32)</f>
        <v>--</v>
      </c>
      <c r="L42" s="525"/>
      <c r="M42" s="719" t="str">
        <f>IF(OR(AB34="--",M12=""),"--",M12*1/AB34)</f>
        <v>--</v>
      </c>
      <c r="N42" s="525"/>
      <c r="O42" s="858"/>
      <c r="P42" s="719" t="str">
        <f>IF(AND(E42="--",G42="--",I42="--",K42="--",M42="--"),"--",SUM(E42,G42,I42,K42,M42))</f>
        <v>--</v>
      </c>
      <c r="Q42" s="636"/>
      <c r="R42" s="61"/>
      <c r="S42" s="335"/>
      <c r="T42" s="335"/>
      <c r="U42" s="335"/>
      <c r="V42" s="335"/>
      <c r="W42" s="335"/>
      <c r="AB42" s="2080" t="s">
        <v>281</v>
      </c>
      <c r="AC42" s="2081" t="s">
        <v>282</v>
      </c>
      <c r="AD42" s="2082">
        <v>0.01</v>
      </c>
      <c r="AE42" s="2000" t="s">
        <v>1529</v>
      </c>
    </row>
    <row r="43" spans="1:38" ht="16.5" thickTop="1" thickBot="1">
      <c r="B43" s="522"/>
      <c r="C43" s="524"/>
      <c r="D43" s="524"/>
      <c r="E43" s="525"/>
      <c r="F43" s="525"/>
      <c r="G43" s="525"/>
      <c r="H43" s="525"/>
      <c r="I43" s="525"/>
      <c r="J43" s="525"/>
      <c r="K43" s="525"/>
      <c r="L43" s="525"/>
      <c r="M43" s="525"/>
      <c r="N43" s="525"/>
      <c r="O43" s="858"/>
      <c r="P43" s="635"/>
      <c r="Q43" s="636"/>
      <c r="R43" s="42"/>
      <c r="AB43" s="919" t="s">
        <v>293</v>
      </c>
      <c r="AC43" s="1285" t="s">
        <v>294</v>
      </c>
      <c r="AD43" s="2082">
        <v>2</v>
      </c>
      <c r="AE43" s="2000" t="s">
        <v>1529</v>
      </c>
    </row>
    <row r="44" spans="1:38" ht="16.5" thickTop="1" thickBot="1">
      <c r="B44" s="522"/>
      <c r="C44" s="526" t="s">
        <v>619</v>
      </c>
      <c r="D44" s="524"/>
      <c r="E44" s="719" t="str">
        <f>IF(OR(Groundwater_Use="Nondrinking Water Resource",AC26="--",E14=""),"--",IF(AND(MCL_Priority="Yes",AD26&lt;&gt;"--"),(E14*1/AD26),(E14*1/AC26)))</f>
        <v>--</v>
      </c>
      <c r="F44" s="525"/>
      <c r="G44" s="719" t="str">
        <f>IF(OR(Groundwater_Use="Nondrinking Water Resource",AC28="--",G14=""),"--",IF(AND(MCL_Priority="Yes",AD28&lt;&gt;"--"),(G14*1/AD28),G14*1/AC28))</f>
        <v>--</v>
      </c>
      <c r="H44" s="525"/>
      <c r="I44" s="719" t="str">
        <f>IF(OR(Groundwater_Use="Nondrinking Water Resource",AC30="--",I14=""),"--",IF(AND(MCL_Priority="Yes",AD30&lt;&gt;"--"),(I14*1/AD30),I14*1/AC30))</f>
        <v>--</v>
      </c>
      <c r="J44" s="525"/>
      <c r="K44" s="719" t="str">
        <f>IF(OR(Groundwater_Use="Nondrinking Water Resource",AC32="--",K14=""),"--",IF(AND(MCL_Priority="Yes",AD32&lt;&gt;"--"),(K14*1/AD32),K14*1/AC32))</f>
        <v>--</v>
      </c>
      <c r="L44" s="525"/>
      <c r="M44" s="719" t="str">
        <f>IF(OR(Groundwater_Use="Nondrinking Water Resource",AC34="--",M14=""),"--",IF(AND(MCL_Priority="Yes",AD34&lt;&gt;"--"),(M14*1/AD34),M14*1/AC34))</f>
        <v>--</v>
      </c>
      <c r="N44" s="525"/>
      <c r="O44" s="858"/>
      <c r="P44" s="719" t="str">
        <f>IF(AND(E44="--",G44="--",I44="--",K44="--",M44="--"),"--",SUM(E44,G44,I44,K44,M44))</f>
        <v>--</v>
      </c>
      <c r="Q44" s="636"/>
      <c r="R44" s="42"/>
      <c r="AB44" s="919" t="s">
        <v>295</v>
      </c>
      <c r="AC44" s="1285" t="s">
        <v>296</v>
      </c>
      <c r="AD44" s="2082">
        <v>0.01</v>
      </c>
      <c r="AE44" s="2000" t="s">
        <v>1529</v>
      </c>
    </row>
    <row r="45" spans="1:38" ht="16.5" thickTop="1" thickBot="1">
      <c r="B45" s="522"/>
      <c r="C45" s="527"/>
      <c r="D45" s="524"/>
      <c r="E45" s="525"/>
      <c r="F45" s="525"/>
      <c r="G45" s="525"/>
      <c r="H45" s="525"/>
      <c r="I45" s="525"/>
      <c r="J45" s="525"/>
      <c r="K45" s="525"/>
      <c r="L45" s="525"/>
      <c r="M45" s="525"/>
      <c r="N45" s="525"/>
      <c r="O45" s="858"/>
      <c r="P45" s="635"/>
      <c r="Q45" s="636"/>
      <c r="R45" s="42"/>
      <c r="AB45" s="2080" t="s">
        <v>299</v>
      </c>
      <c r="AC45" s="2081" t="s">
        <v>300</v>
      </c>
      <c r="AD45" s="2082">
        <v>0.01</v>
      </c>
      <c r="AE45" s="2000" t="s">
        <v>1529</v>
      </c>
    </row>
    <row r="46" spans="1:38" ht="15.75" thickTop="1">
      <c r="B46" s="522"/>
      <c r="C46" s="528" t="s">
        <v>620</v>
      </c>
      <c r="D46" s="524"/>
      <c r="E46" s="1037" t="str">
        <f>IF(AND(Conc_C1_IA="",Conc_C1_SG="",Conc_C1_GW=""),"--", IF(AND(Conc_C1_IA&lt;&gt;"",AK26="--"),"--",IF(Conc_C1_IA&lt;&gt;"",Conc_C1_IA*1/AK26,IF(AND(Conc_C1_SG&lt;&gt;"",AH26="--"),"--",IF(Conc_C1_SG&lt;&gt;"",Conc_C1_SG*1/AH26,IF(AG26="--","--",Conc_C1_GW*1/AG26))))))</f>
        <v>--</v>
      </c>
      <c r="F46" s="525"/>
      <c r="G46" s="1037" t="str">
        <f>IF(AND(Conc_C2_IA="",Conc_C2_SG="",Conc_C2_GW=""),"--", IF(AND(Conc_C2_IA&lt;&gt;"",AK28="--"),"--",IF(Conc_C2_IA&lt;&gt;"",Conc_C2_IA*1/AK28,IF(AND(Conc_C2_SG&lt;&gt;"",AH28="--"),"--",IF(Conc_C2_SG&lt;&gt;"",Conc_C2_SG*1/AH28,IF(AG28="--","--",Conc_C2_GW*1/AG28))))))</f>
        <v>--</v>
      </c>
      <c r="H46" s="525"/>
      <c r="I46" s="1037" t="str">
        <f>IF(AND(Conc_C3_IA="",Conc_C3_SG="",Conc_C3_GW=""),"--", IF(AND(Conc_C3_IA&lt;&gt;"",AK30="--"),"--",IF(Conc_C3_IA&lt;&gt;"",Conc_C3_IA*1/AK30,IF(AND(Conc_C3_SG&lt;&gt;"",AH30="--"),"--",IF(Conc_C3_SG&lt;&gt;"",Conc_C3_SG*1/AH30,IF(AG30="--","--",Conc_C3_GW*1/AG30))))))</f>
        <v>--</v>
      </c>
      <c r="J46" s="525"/>
      <c r="K46" s="1037" t="str">
        <f>IF(AND(Conc_C4_IA="",Conc_C4_SG="",Conc_C4_GW=""),"--", IF(AND(Conc_C4_IA&lt;&gt;"",AK32="--"),"--",IF(Conc_C4_IA&lt;&gt;"",Conc_C4_IA*1/AK32,IF(AND(Conc_C4_SG&lt;&gt;"",AH32="--"),"--",IF(Conc_C4_SG&lt;&gt;"",Conc_C4_SG*1/AH32,IF(AG32="--","--",Conc_C4_GW*1/AG32))))))</f>
        <v>--</v>
      </c>
      <c r="L46" s="525"/>
      <c r="M46" s="1037" t="str">
        <f>IF(AND(Conc_C5_IA="",Conc_C5_SG="",Conc_C5_GW=""),"--", IF(AND(Conc_C5_IA&lt;&gt;"",AK34="--"),"--",IF(Conc_C5_IA&lt;&gt;"",Conc_C5_IA*1/AK34,IF(AND(Conc_C5_SG&lt;&gt;"",AH34="--"),"--",IF(Conc_C5_SG&lt;&gt;"",Conc_C5_SG*1/AH34,IF(AG34="--","--",Conc_C5_GW*1/AG34))))))</f>
        <v>--</v>
      </c>
      <c r="N46" s="525"/>
      <c r="O46" s="858"/>
      <c r="P46" s="1037" t="str">
        <f>IF(P47="--","--",IF(P47="indoor air",P48,IF(P47="groundwater vi",P50,P49)))</f>
        <v>--</v>
      </c>
      <c r="Q46" s="637"/>
      <c r="R46" s="335"/>
    </row>
    <row r="47" spans="1:38" ht="15.75" thickBot="1">
      <c r="B47" s="522"/>
      <c r="C47" s="528" t="s">
        <v>611</v>
      </c>
      <c r="D47" s="524"/>
      <c r="E47" s="1038" t="str">
        <f>IF(E46="--","--",IF(AND(Conc_C1_IA="",Conc_C1_SG="",Conc_C1_GW=""),"--",IF(Conc_C1_IA&lt;&gt;"","Indoor Air",IF(Conc_C1_SG&lt;&gt;"","Subslab/Soil Gas VI","Groundwater VI"))))</f>
        <v>--</v>
      </c>
      <c r="F47" s="525"/>
      <c r="G47" s="1038" t="str">
        <f>IF(G46="--","--",IF(AND(Conc_C2_IA="",Conc_C2_SG="",Conc_C2_GW=""),"--",IF(Conc_C2_IA&lt;&gt;"","Indoor Air",IF(Conc_C2_SG&lt;&gt;"","Subslab/Soil Gas VI","Groundwater VI"))))</f>
        <v>--</v>
      </c>
      <c r="H47" s="525"/>
      <c r="I47" s="1038" t="str">
        <f>IF(I46="--","--",IF(AND(Conc_C3_IA="",Conc_C3_SG="",Conc_C3_GW=""),"--",IF(Conc_C3_IA&lt;&gt;"","Indoor Air",IF(Conc_C3_SG&lt;&gt;"","Subslab/Soil Gas VI","Groundwater VI"))))</f>
        <v>--</v>
      </c>
      <c r="J47" s="525"/>
      <c r="K47" s="1038" t="str">
        <f>IF(K46="--","--",IF(AND(Conc_C4_IA="",Conc_C4_SG="",Conc_C4_GW=""),"--",IF(Conc_C4_IA&lt;&gt;"","Indoor Air",IF(Conc_C4_SG&lt;&gt;"","Subslab/Soil Gas VI","Groundwater VI"))))</f>
        <v>--</v>
      </c>
      <c r="L47" s="525"/>
      <c r="M47" s="1038" t="str">
        <f>IF(M46="--","--",IF(AND(Conc_C5_IA="",Conc_C5_SG="",Conc_C5_GW=""),"--",IF(Conc_C5_IA&lt;&gt;"","Indoor Air",IF(Conc_C5_SG&lt;&gt;"","Subslab/Soil Gas VI","Groundwater VI"))))</f>
        <v>--</v>
      </c>
      <c r="N47" s="525"/>
      <c r="O47" s="858"/>
      <c r="P47" s="1038" t="str">
        <f>IF(AND(E47="--",G47="--",I47="--",K47="--",M47="--"),"--",IF(OR(E47="Indoor Air",G47="Indoor Air",I47="Indoor Air",K47="Indoor Air",M47="Indoor Air"),"Indoor Air",IF(OR(E47="Subslab/Soil Gas VI",G47="Subslab/Soil Gas VI",I47="Subslab/Soil Gas VI",K47="Subslab/Soil Gas VI",M47="Subslab/Soil Gas VI"),"Subslab/Soil Gas VI","Groundwater VI")))</f>
        <v>--</v>
      </c>
      <c r="Q47" s="637"/>
      <c r="R47" s="335"/>
    </row>
    <row r="48" spans="1:38" ht="16.5" hidden="1" thickTop="1" thickBot="1">
      <c r="B48" s="522"/>
      <c r="C48" s="528" t="s">
        <v>612</v>
      </c>
      <c r="D48" s="524"/>
      <c r="E48" s="1038" t="str">
        <f>IF(E47="indoor air",E46,"--")</f>
        <v>--</v>
      </c>
      <c r="F48" s="525"/>
      <c r="G48" s="1038" t="str">
        <f>IF(G47="indoor air",G46,"--")</f>
        <v>--</v>
      </c>
      <c r="H48" s="525"/>
      <c r="I48" s="1038" t="str">
        <f>IF(I47="indoor air",I46,"--")</f>
        <v>--</v>
      </c>
      <c r="J48" s="525"/>
      <c r="K48" s="1038" t="str">
        <f>IF(K47="indoor air",K46,"--")</f>
        <v>--</v>
      </c>
      <c r="L48" s="525"/>
      <c r="M48" s="1038" t="str">
        <f>IF(M47="indoor air",M46,"--")</f>
        <v>--</v>
      </c>
      <c r="N48" s="525"/>
      <c r="O48" s="858"/>
      <c r="P48" s="719" t="str">
        <f>IF(AND(E48="--",G48="--",I48="--",K48="--",M48="--"),"--",SUM(E48,G48,I48,K48,M48))</f>
        <v>--</v>
      </c>
      <c r="Q48" s="637"/>
      <c r="R48" s="335"/>
    </row>
    <row r="49" spans="2:18" ht="16.5" hidden="1" thickTop="1" thickBot="1">
      <c r="B49" s="522"/>
      <c r="C49" s="528" t="s">
        <v>613</v>
      </c>
      <c r="D49" s="524"/>
      <c r="E49" s="1038" t="str">
        <f>IF(E47="subslab/soil gas VI",E46,"--")</f>
        <v>--</v>
      </c>
      <c r="F49" s="525"/>
      <c r="G49" s="1038" t="str">
        <f>IF(G47="subslab/soil gas VI",G46,"--")</f>
        <v>--</v>
      </c>
      <c r="H49" s="525"/>
      <c r="I49" s="1038" t="str">
        <f>IF(I47="subslab/soil gas VI",I46,"--")</f>
        <v>--</v>
      </c>
      <c r="J49" s="525"/>
      <c r="K49" s="1038" t="str">
        <f>IF(K47="subslab/soil gas VI",K46,"--")</f>
        <v>--</v>
      </c>
      <c r="L49" s="525"/>
      <c r="M49" s="1038" t="str">
        <f>IF(M47="subslab/soil gas VI",M46,"--")</f>
        <v>--</v>
      </c>
      <c r="N49" s="525"/>
      <c r="O49" s="858"/>
      <c r="P49" s="719" t="str">
        <f>IF(AND(E49="--",G49="--",I49="--",K49="--",M49="--"),"--",SUM(E49,G49,I49,K49,M49))</f>
        <v>--</v>
      </c>
      <c r="Q49" s="637"/>
      <c r="R49" s="335"/>
    </row>
    <row r="50" spans="2:18" ht="16.5" hidden="1" thickTop="1" thickBot="1">
      <c r="B50" s="522"/>
      <c r="C50" s="528" t="s">
        <v>614</v>
      </c>
      <c r="D50" s="524"/>
      <c r="E50" s="1038" t="str">
        <f>IF(E47="groundwater VI",E46,"--")</f>
        <v>--</v>
      </c>
      <c r="F50" s="525"/>
      <c r="G50" s="1038" t="str">
        <f>IF(G47="groundwater VI",G46,"--")</f>
        <v>--</v>
      </c>
      <c r="H50" s="525"/>
      <c r="I50" s="1038" t="str">
        <f>IF(I47="groundwater VI",I46,"--")</f>
        <v>--</v>
      </c>
      <c r="J50" s="525"/>
      <c r="K50" s="1038" t="str">
        <f>IF(K47="groundwater VI",K46,"--")</f>
        <v>--</v>
      </c>
      <c r="L50" s="525"/>
      <c r="M50" s="1038" t="str">
        <f>IF(M47="groundwater VI",M46,"--")</f>
        <v>--</v>
      </c>
      <c r="N50" s="525"/>
      <c r="O50" s="858"/>
      <c r="P50" s="719" t="str">
        <f>IF(AND(E50="--",G50="--",I50="--",K50="--",M50="--"),"--",SUM(E50,G50,I50,K50,M50))</f>
        <v>--</v>
      </c>
      <c r="Q50" s="637"/>
      <c r="R50" s="335"/>
    </row>
    <row r="51" spans="2:18" ht="16.5" thickTop="1" thickBot="1">
      <c r="B51" s="522"/>
      <c r="C51" s="528"/>
      <c r="D51" s="524"/>
      <c r="E51" s="525"/>
      <c r="F51" s="525"/>
      <c r="G51" s="525"/>
      <c r="H51" s="525"/>
      <c r="I51" s="525"/>
      <c r="J51" s="525"/>
      <c r="K51" s="525"/>
      <c r="L51" s="525"/>
      <c r="M51" s="525"/>
      <c r="N51" s="525"/>
      <c r="O51" s="858"/>
      <c r="P51" s="635"/>
      <c r="Q51" s="637"/>
    </row>
    <row r="52" spans="2:18" ht="15.75" thickTop="1">
      <c r="B52" s="522"/>
      <c r="C52" s="528" t="s">
        <v>621</v>
      </c>
      <c r="D52" s="524"/>
      <c r="E52" s="1037" t="str">
        <f>IF(AND(Conc_C1_GW="",Conc_C1_SG=""),"--", IF(AND(Conc_C1_SG&lt;&gt;"",AH26="--"),"--",IF(Conc_C1_SG&lt;&gt;"",Conc_C1_SG*1/AH26,IF(AG26="--","--",Conc_C1_GW*1/AG26))))</f>
        <v>--</v>
      </c>
      <c r="F52" s="525"/>
      <c r="G52" s="1037" t="str">
        <f>IF(AND(Conc_C2_GW="",Conc_C2_SG=""),"--", IF(AND(Conc_C2_SG&lt;&gt;"",AH28="--"),"--",IF(Conc_C2_SG&lt;&gt;"",Conc_C2_SG*1/AH28,IF(AG28="--","--",Conc_C2_GW*1/AG28))))</f>
        <v>--</v>
      </c>
      <c r="H52" s="525"/>
      <c r="I52" s="1037" t="str">
        <f>IF(AND(Conc_C3_GW="",Conc_C3_SG=""),"--", IF(AND(Conc_C3_SG&lt;&gt;"",AH30="--"),"--",IF(Conc_C3_SG&lt;&gt;"",Conc_C3_SG*1/AH30,IF(AG30="--","--",Conc_C3_GW*1/AG30))))</f>
        <v>--</v>
      </c>
      <c r="J52" s="525"/>
      <c r="K52" s="1037" t="str">
        <f>IF(AND(Conc_C4_GW="",Conc_C4_SG=""),"--", IF(AND(Conc_C4_SG&lt;&gt;"",AH32="--"),"--",IF(Conc_C4_SG&lt;&gt;"",Conc_C4_SG*1/AH32,IF(AG32="--","--",Conc_C4_GW*1/AG32))))</f>
        <v>--</v>
      </c>
      <c r="L52" s="525"/>
      <c r="M52" s="1037" t="str">
        <f>IF(AND(Conc_C5_GW="",Conc_C5_SG=""),"--", IF(AND(Conc_C5_SG&lt;&gt;"",AH34="--"),"--",IF(Conc_C5_SG&lt;&gt;"",Conc_C5_SG*1/AH34,IF(AG34="--","--",Conc_C5_GW*1/AG34))))</f>
        <v>--</v>
      </c>
      <c r="N52" s="525"/>
      <c r="O52" s="858"/>
      <c r="P52" s="1037" t="str">
        <f>IF(P53="--","--",IF(P53="Subslab/Soil Gas VI",P54,P55))</f>
        <v>--</v>
      </c>
      <c r="Q52" s="637"/>
    </row>
    <row r="53" spans="2:18" ht="15.75" thickBot="1">
      <c r="B53" s="522"/>
      <c r="C53" s="528" t="s">
        <v>611</v>
      </c>
      <c r="D53" s="524"/>
      <c r="E53" s="1038" t="str">
        <f>IF(E52="--","--",IF(AND(Conc_C1_GW="",Conc_C1_SG=""),"--",IF(Conc_C1_SG&lt;&gt;"","Subslab/Soil Gas VI","Groundwater VI")))</f>
        <v>--</v>
      </c>
      <c r="F53" s="525"/>
      <c r="G53" s="1038" t="str">
        <f>IF(G52="--","--",IF(AND(Conc_C2_GW="",Conc_C2_SG=""),"--",IF(Conc_C2_SG&lt;&gt;"","Subslab/Soil Gas VI","Groundwater VI")))</f>
        <v>--</v>
      </c>
      <c r="H53" s="525"/>
      <c r="I53" s="1038" t="str">
        <f>IF(I52="--","--",IF(AND(Conc_C3_GW="",Conc_C3_SG=""),"--",IF(Conc_C3_SG&lt;&gt;"","Subslab/Soil Gas VI","Groundwater VI")))</f>
        <v>--</v>
      </c>
      <c r="J53" s="525"/>
      <c r="K53" s="1038" t="str">
        <f>IF(K52="--","--",IF(AND(Conc_C4_GW="",Conc_C4_SG=""),"--",IF(Conc_C4_SG&lt;&gt;"","Subslab/Soil Gas VI","Groundwater VI")))</f>
        <v>--</v>
      </c>
      <c r="L53" s="525"/>
      <c r="M53" s="1038" t="str">
        <f>IF(M52="--","--",IF(AND(Conc_C5_GW="",Conc_C5_SG=""),"--",IF(Conc_C5_SG&lt;&gt;"","Subslab/Soil Gas VI","Groundwater VI")))</f>
        <v>--</v>
      </c>
      <c r="N53" s="525"/>
      <c r="O53" s="858"/>
      <c r="P53" s="1038" t="str">
        <f>IF(AND(E53="--",G53="--",I53="--",K53="--",M53="--"),"--",IF(OR(E53="Subslab/Soil Gas VI",G53="Subslab/Soil Gas VI",I53="Subslab/Soil Gas VI",K53="Subslab/Soil Gas VI",M53="Subslab/Soil Gas VI"),"Subslab/Soil Gas VI","Groundwater VI"))</f>
        <v>--</v>
      </c>
      <c r="Q53" s="637"/>
    </row>
    <row r="54" spans="2:18" ht="16.5" hidden="1" thickTop="1" thickBot="1">
      <c r="B54" s="522"/>
      <c r="C54" s="528" t="s">
        <v>613</v>
      </c>
      <c r="D54" s="524"/>
      <c r="E54" s="1038" t="str">
        <f>IF(E53="subslab/soil gas VI",E52,"--")</f>
        <v>--</v>
      </c>
      <c r="F54" s="525"/>
      <c r="G54" s="1038" t="str">
        <f>IF(G53="subslab/soil gas VI",G52,"--")</f>
        <v>--</v>
      </c>
      <c r="H54" s="525"/>
      <c r="I54" s="1038" t="str">
        <f>IF(I53="subslab/soil gas VI",I52,"--")</f>
        <v>--</v>
      </c>
      <c r="J54" s="525"/>
      <c r="K54" s="1038" t="str">
        <f>IF(K53="subslab/soil gas VI",K52,"--")</f>
        <v>--</v>
      </c>
      <c r="L54" s="525"/>
      <c r="M54" s="1038" t="str">
        <f>IF(M53="subslab/soil gas VI",M52,"--")</f>
        <v>--</v>
      </c>
      <c r="N54" s="525"/>
      <c r="O54" s="858"/>
      <c r="P54" s="719" t="str">
        <f>IF(AND(E54="--",G54="--",I54="--",K54="--",M54="--"),"--",SUM(E54,G54,I54,K54,M54))</f>
        <v>--</v>
      </c>
      <c r="Q54" s="637"/>
    </row>
    <row r="55" spans="2:18" ht="16.5" hidden="1" thickTop="1" thickBot="1">
      <c r="B55" s="522"/>
      <c r="C55" s="528" t="s">
        <v>614</v>
      </c>
      <c r="D55" s="524"/>
      <c r="E55" s="1038" t="str">
        <f>IF(E53="groundwater VI",E52,"--")</f>
        <v>--</v>
      </c>
      <c r="F55" s="525"/>
      <c r="G55" s="1038" t="str">
        <f>IF(G53="groundwater VI",G52,"--")</f>
        <v>--</v>
      </c>
      <c r="H55" s="525"/>
      <c r="I55" s="1038" t="str">
        <f>IF(I53="groundwater VI",I52,"--")</f>
        <v>--</v>
      </c>
      <c r="J55" s="525"/>
      <c r="K55" s="1038" t="str">
        <f>IF(K53="groundwater VI",K52,"--")</f>
        <v>--</v>
      </c>
      <c r="L55" s="525"/>
      <c r="M55" s="1038" t="str">
        <f>IF(M53="groundwater VI",M52,"--")</f>
        <v>--</v>
      </c>
      <c r="N55" s="525"/>
      <c r="O55" s="858"/>
      <c r="P55" s="719" t="str">
        <f>IF(AND(E55="--",G55="--",I55="--",K55="--",M55="--"),"--",SUM(E55,G55,I55,K55,M55))</f>
        <v>--</v>
      </c>
      <c r="Q55" s="637"/>
    </row>
    <row r="56" spans="2:18" ht="16.5" thickTop="1" thickBot="1">
      <c r="B56" s="529"/>
      <c r="C56" s="530"/>
      <c r="D56" s="530"/>
      <c r="E56" s="531"/>
      <c r="F56" s="531"/>
      <c r="G56" s="531"/>
      <c r="H56" s="531"/>
      <c r="I56" s="531"/>
      <c r="J56" s="531"/>
      <c r="K56" s="531"/>
      <c r="L56" s="531"/>
      <c r="M56" s="531"/>
      <c r="N56" s="531"/>
      <c r="O56" s="819"/>
      <c r="P56" s="638"/>
      <c r="Q56" s="639"/>
    </row>
    <row r="57" spans="2:18" ht="14.25" thickTop="1" thickBot="1"/>
    <row r="58" spans="2:18" ht="18.75" thickTop="1">
      <c r="B58" s="898"/>
      <c r="C58" s="1215" t="s">
        <v>622</v>
      </c>
      <c r="D58" s="404"/>
      <c r="E58" s="404"/>
      <c r="F58" s="404"/>
      <c r="G58" s="404"/>
      <c r="H58" s="404"/>
      <c r="I58" s="404"/>
      <c r="J58" s="404"/>
      <c r="K58" s="404"/>
      <c r="L58" s="404"/>
      <c r="M58" s="404"/>
      <c r="N58" s="404"/>
      <c r="O58" s="404"/>
      <c r="P58" s="404"/>
      <c r="Q58" s="406"/>
    </row>
    <row r="59" spans="2:18" ht="31.5" customHeight="1">
      <c r="B59" s="859"/>
      <c r="C59" s="2374" t="s">
        <v>623</v>
      </c>
      <c r="D59" s="2374"/>
      <c r="E59" s="2374"/>
      <c r="F59" s="2374"/>
      <c r="G59" s="2374"/>
      <c r="H59" s="2374"/>
      <c r="I59" s="2374"/>
      <c r="J59" s="2374"/>
      <c r="K59" s="2374"/>
      <c r="L59" s="2374"/>
      <c r="M59" s="2374"/>
      <c r="N59" s="2374"/>
      <c r="O59" s="2374"/>
      <c r="P59" s="2374"/>
      <c r="Q59" s="2375"/>
    </row>
    <row r="60" spans="2:18" s="61" customFormat="1" ht="15" customHeight="1">
      <c r="B60" s="1085"/>
      <c r="C60" s="61" t="s">
        <v>624</v>
      </c>
      <c r="D60" s="1083"/>
      <c r="E60" s="1083"/>
      <c r="F60" s="1083"/>
      <c r="G60" s="1083"/>
      <c r="H60" s="1083"/>
      <c r="I60" s="1083"/>
      <c r="J60" s="1083"/>
      <c r="K60" s="1083"/>
      <c r="L60" s="1083"/>
      <c r="M60" s="1083"/>
      <c r="N60" s="1083"/>
      <c r="O60" s="1083"/>
      <c r="P60" s="1083"/>
      <c r="Q60" s="535"/>
    </row>
    <row r="61" spans="2:18" s="61" customFormat="1" ht="15" customHeight="1">
      <c r="B61" s="1085"/>
      <c r="C61" s="61" t="s">
        <v>625</v>
      </c>
      <c r="Q61" s="535"/>
    </row>
    <row r="62" spans="2:18" s="61" customFormat="1" ht="15" customHeight="1">
      <c r="B62" s="1085"/>
      <c r="C62" s="1028" t="s">
        <v>626</v>
      </c>
      <c r="D62" s="1084"/>
      <c r="E62" s="1084"/>
      <c r="F62" s="1084"/>
      <c r="G62" s="1084"/>
      <c r="H62" s="1084"/>
      <c r="I62" s="1084"/>
      <c r="J62" s="1084"/>
      <c r="K62" s="1084"/>
      <c r="L62" s="1084"/>
      <c r="M62" s="1084"/>
      <c r="N62" s="1084"/>
      <c r="O62" s="1084"/>
      <c r="P62" s="1084"/>
      <c r="Q62" s="535"/>
    </row>
    <row r="63" spans="2:18" s="61" customFormat="1" ht="15" customHeight="1">
      <c r="B63" s="1085"/>
      <c r="C63" s="61" t="s">
        <v>627</v>
      </c>
      <c r="D63" s="1084"/>
      <c r="E63" s="1084"/>
      <c r="F63" s="1084"/>
      <c r="G63" s="1084"/>
      <c r="H63" s="1084"/>
      <c r="I63" s="1084"/>
      <c r="J63" s="1084"/>
      <c r="K63" s="1084"/>
      <c r="L63" s="1084"/>
      <c r="M63" s="1084"/>
      <c r="N63" s="1084"/>
      <c r="O63" s="1084"/>
      <c r="P63" s="1084"/>
      <c r="Q63" s="535"/>
    </row>
    <row r="64" spans="2:18" s="61" customFormat="1" ht="15" customHeight="1">
      <c r="B64" s="1085"/>
      <c r="C64" s="1028" t="s">
        <v>628</v>
      </c>
      <c r="D64" s="1084"/>
      <c r="E64" s="1084"/>
      <c r="F64" s="1084"/>
      <c r="G64" s="1084"/>
      <c r="H64" s="1084"/>
      <c r="I64" s="1084"/>
      <c r="J64" s="1084"/>
      <c r="K64" s="1084"/>
      <c r="L64" s="1084"/>
      <c r="M64" s="1084"/>
      <c r="N64" s="1084"/>
      <c r="O64" s="1084"/>
      <c r="P64" s="1084"/>
      <c r="Q64" s="535"/>
    </row>
    <row r="65" spans="2:17" s="61" customFormat="1" ht="9.9499999999999993" customHeight="1" thickBot="1">
      <c r="B65" s="1086"/>
      <c r="C65" s="1087"/>
      <c r="D65" s="1087"/>
      <c r="E65" s="1087"/>
      <c r="F65" s="1087"/>
      <c r="G65" s="1087"/>
      <c r="H65" s="1087"/>
      <c r="I65" s="1087"/>
      <c r="J65" s="1087"/>
      <c r="K65" s="1087"/>
      <c r="L65" s="1087"/>
      <c r="M65" s="1087"/>
      <c r="N65" s="1087"/>
      <c r="O65" s="1087"/>
      <c r="P65" s="1087"/>
      <c r="Q65" s="1088"/>
    </row>
    <row r="66" spans="2:17" ht="13.5" thickTop="1"/>
  </sheetData>
  <sheetProtection algorithmName="SHA-512" hashValue="iEs7MAI6F9upjcbOlbZPTFeWL0L/HkfZyULM7Zb8ZDQDl4QwsIzuDThqaW2yWaUOBuS+cutnefkAaZyZx/0agA==" saltValue="Ft8oTYEueJc2rukY4A68PQ==" spinCount="100000" sheet="1" autoFilter="0" pivotTables="0"/>
  <mergeCells count="21">
    <mergeCell ref="B16:C16"/>
    <mergeCell ref="B7:C7"/>
    <mergeCell ref="D7:N7"/>
    <mergeCell ref="C59:Q59"/>
    <mergeCell ref="B8:N8"/>
    <mergeCell ref="AC23:AG23"/>
    <mergeCell ref="AI23:AK23"/>
    <mergeCell ref="Y23:AB23"/>
    <mergeCell ref="P7:S7"/>
    <mergeCell ref="P8:Q8"/>
    <mergeCell ref="R8:S8"/>
    <mergeCell ref="P9:Q9"/>
    <mergeCell ref="R9:S9"/>
    <mergeCell ref="P13:Q13"/>
    <mergeCell ref="R13:S13"/>
    <mergeCell ref="P10:Q10"/>
    <mergeCell ref="R10:S10"/>
    <mergeCell ref="P11:Q11"/>
    <mergeCell ref="R11:S11"/>
    <mergeCell ref="P12:Q12"/>
    <mergeCell ref="R12:S12"/>
  </mergeCells>
  <pageMargins left="0.25" right="0.25" top="0.11551282051282051" bottom="0.75" header="0.3" footer="0.3"/>
  <pageSetup scale="56" orientation="landscape" r:id="rId1"/>
  <ignoredErrors>
    <ignoredError sqref="P47 P52:P53 P44 P42 P35:P36 P29:P30 P27 P25 M25 M41:M42" unlockedFormula="1"/>
  </ignoredErrors>
  <drawing r:id="rId2"/>
</worksheet>
</file>

<file path=docMetadata/LabelInfo.xml><?xml version="1.0" encoding="utf-8"?>
<clbl:labelList xmlns:clbl="http://schemas.microsoft.com/office/2020/mipLabelMetadata">
  <clbl:label id="{fe186a25-7d49-41e6-9941-05d2281d36c1}" enabled="0" method="" siteId="{fe186a25-7d49-41e6-9941-05d2281d36c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251</vt:i4>
      </vt:variant>
    </vt:vector>
  </HeadingPairs>
  <TitlesOfParts>
    <vt:vector size="295" baseType="lpstr">
      <vt:lpstr>Instructions</vt:lpstr>
      <vt:lpstr>Table Index</vt:lpstr>
      <vt:lpstr>Tier 1 ESL</vt:lpstr>
      <vt:lpstr>GW Summary</vt:lpstr>
      <vt:lpstr>Soil Summary</vt:lpstr>
      <vt:lpstr>Vapor Summary</vt:lpstr>
      <vt:lpstr>Short-Term Action</vt:lpstr>
      <vt:lpstr>Tier-2 Site Spec. ESLs (T2-1)</vt:lpstr>
      <vt:lpstr>Tier 2 Cumulative Risk (T2-2)</vt:lpstr>
      <vt:lpstr>Tier 2 Specific Concerns (T2-3)</vt:lpstr>
      <vt:lpstr>Water Direct Exp (GW-1)</vt:lpstr>
      <vt:lpstr>Water Habitat Goal (GW-2)</vt:lpstr>
      <vt:lpstr>Water VI HHR (GW-3)</vt:lpstr>
      <vt:lpstr>Water Gross Contam. (GW-4)</vt:lpstr>
      <vt:lpstr>Water Odor (GW-5)</vt:lpstr>
      <vt:lpstr>Soil Direct Exp (S-1)</vt:lpstr>
      <vt:lpstr>Soil Terrest. Habitat (S-2)</vt:lpstr>
      <vt:lpstr>Soil Leaching (S-3)</vt:lpstr>
      <vt:lpstr>Soil Gross Contam. (S-4)</vt:lpstr>
      <vt:lpstr>Soil Odor (S-5)</vt:lpstr>
      <vt:lpstr>Soil Gas VI HHR (SG-1)</vt:lpstr>
      <vt:lpstr>Soil Gas VI Odor (SG-2)</vt:lpstr>
      <vt:lpstr>Indoor Air Direct Exp (IA-1)</vt:lpstr>
      <vt:lpstr>Indoor Air Odor (IA-2)</vt:lpstr>
      <vt:lpstr>Physical-Chem Values (IP-1)</vt:lpstr>
      <vt:lpstr>Toxicity Values (IP-2)</vt:lpstr>
      <vt:lpstr>Direct Exp Model Factors (IP-3)</vt:lpstr>
      <vt:lpstr>MCL- Other DW Levels (IP-4)</vt:lpstr>
      <vt:lpstr> EcoT-Ca Aq Levels (IP-5)</vt:lpstr>
      <vt:lpstr>EcoT-US Aq Levels (IP-6)</vt:lpstr>
      <vt:lpstr>Seafood Ingestion (IP-7)</vt:lpstr>
      <vt:lpstr>Terrestrial Habitat (IP-8)</vt:lpstr>
      <vt:lpstr>Petroleum Fractions (IP-9)</vt:lpstr>
      <vt:lpstr>Teir1 Comp</vt:lpstr>
      <vt:lpstr>PFAS (IP-10)</vt:lpstr>
      <vt:lpstr>Sheet1</vt:lpstr>
      <vt:lpstr>Nov 24 RSLs-IP</vt:lpstr>
      <vt:lpstr>RSL-ESL IP Compare</vt:lpstr>
      <vt:lpstr>Mar '25 Note 10</vt:lpstr>
      <vt:lpstr>Note 10-ESL compare</vt:lpstr>
      <vt:lpstr>Nov '24 RSL-SL</vt:lpstr>
      <vt:lpstr>Mar '25 Note 3</vt:lpstr>
      <vt:lpstr>RSL-Note 3-ESL comp</vt:lpstr>
      <vt:lpstr>2019 Teir1</vt:lpstr>
      <vt:lpstr>AdFa</vt:lpstr>
      <vt:lpstr>AdFc</vt:lpstr>
      <vt:lpstr>AdFci</vt:lpstr>
      <vt:lpstr>AdFct</vt:lpstr>
      <vt:lpstr>AFgmin</vt:lpstr>
      <vt:lpstr>AFsmin</vt:lpstr>
      <vt:lpstr>BWa</vt:lpstr>
      <vt:lpstr>BWc</vt:lpstr>
      <vt:lpstr>BWct</vt:lpstr>
      <vt:lpstr>C_1</vt:lpstr>
      <vt:lpstr>C_2</vt:lpstr>
      <vt:lpstr>C_3</vt:lpstr>
      <vt:lpstr>C_4</vt:lpstr>
      <vt:lpstr>C_5</vt:lpstr>
      <vt:lpstr>Conc_C1_GW</vt:lpstr>
      <vt:lpstr>Conc_C1_IA</vt:lpstr>
      <vt:lpstr>Conc_C1_SG</vt:lpstr>
      <vt:lpstr>Conc_C1_Soil</vt:lpstr>
      <vt:lpstr>Conc_C2_GW</vt:lpstr>
      <vt:lpstr>Conc_C2_IA</vt:lpstr>
      <vt:lpstr>Conc_C2_SG</vt:lpstr>
      <vt:lpstr>Conc_C2_Soil</vt:lpstr>
      <vt:lpstr>Conc_C3_GW</vt:lpstr>
      <vt:lpstr>Conc_C3_IA</vt:lpstr>
      <vt:lpstr>Conc_C3_SG</vt:lpstr>
      <vt:lpstr>Conc_C3_Soil</vt:lpstr>
      <vt:lpstr>Conc_C4_GW</vt:lpstr>
      <vt:lpstr>Conc_C4_IA</vt:lpstr>
      <vt:lpstr>Conc_C4_SG</vt:lpstr>
      <vt:lpstr>Conc_C4_Soil</vt:lpstr>
      <vt:lpstr>Conc_C5_GW</vt:lpstr>
      <vt:lpstr>Conc_C5_IA</vt:lpstr>
      <vt:lpstr>Conc_C5_SG</vt:lpstr>
      <vt:lpstr>Conc_C5_Soil</vt:lpstr>
      <vt:lpstr>DFSadj</vt:lpstr>
      <vt:lpstr>DFSmadj</vt:lpstr>
      <vt:lpstr>DFWadj</vt:lpstr>
      <vt:lpstr>DFWmadj</vt:lpstr>
      <vt:lpstr>Discharge</vt:lpstr>
      <vt:lpstr>Dp</vt:lpstr>
      <vt:lpstr>Ds</vt:lpstr>
      <vt:lpstr>EDc</vt:lpstr>
      <vt:lpstr>EDci</vt:lpstr>
      <vt:lpstr>EDct</vt:lpstr>
      <vt:lpstr>EDr</vt:lpstr>
      <vt:lpstr>EFci</vt:lpstr>
      <vt:lpstr>EFct</vt:lpstr>
      <vt:lpstr>EFr</vt:lpstr>
      <vt:lpstr>ETr</vt:lpstr>
      <vt:lpstr>ETw</vt:lpstr>
      <vt:lpstr>ETwa</vt:lpstr>
      <vt:lpstr>ETwadj</vt:lpstr>
      <vt:lpstr>ETwc</vt:lpstr>
      <vt:lpstr>Foc</vt:lpstr>
      <vt:lpstr>Groundwater_Use</vt:lpstr>
      <vt:lpstr>GW_DE_Level</vt:lpstr>
      <vt:lpstr>GW_EcoT_Level</vt:lpstr>
      <vt:lpstr>GW_ESL</vt:lpstr>
      <vt:lpstr>GW_GC_Level</vt:lpstr>
      <vt:lpstr>GW_NO_Level</vt:lpstr>
      <vt:lpstr>GW_VI_Level</vt:lpstr>
      <vt:lpstr>GW_VI_SL_C1</vt:lpstr>
      <vt:lpstr>GW_VI_SL_C2</vt:lpstr>
      <vt:lpstr>GW_VI_SL_C3</vt:lpstr>
      <vt:lpstr>GW_VI_SL_C4</vt:lpstr>
      <vt:lpstr>GW_VI_SL_C5</vt:lpstr>
      <vt:lpstr>heading_GW_Summary</vt:lpstr>
      <vt:lpstr>heading_IA_1</vt:lpstr>
      <vt:lpstr>heading_IA_2</vt:lpstr>
      <vt:lpstr>heading_IP_1</vt:lpstr>
      <vt:lpstr>heading_IP_2</vt:lpstr>
      <vt:lpstr>heading_IP_4</vt:lpstr>
      <vt:lpstr>heading_IP_5</vt:lpstr>
      <vt:lpstr>heading_IP_6</vt:lpstr>
      <vt:lpstr>heading_IP_7</vt:lpstr>
      <vt:lpstr>heading_IP_8</vt:lpstr>
      <vt:lpstr>Heading_N10</vt:lpstr>
      <vt:lpstr>Heading_N3</vt:lpstr>
      <vt:lpstr>Heading_RSL</vt:lpstr>
      <vt:lpstr>Heading_RSL_C</vt:lpstr>
      <vt:lpstr>Heading_RSL_SL</vt:lpstr>
      <vt:lpstr>heading_S_1</vt:lpstr>
      <vt:lpstr>heading_S_2</vt:lpstr>
      <vt:lpstr>heading_S_3</vt:lpstr>
      <vt:lpstr>heading_S_4</vt:lpstr>
      <vt:lpstr>heading_S_5</vt:lpstr>
      <vt:lpstr>heading_S_Summary</vt:lpstr>
      <vt:lpstr>heading_SG_1</vt:lpstr>
      <vt:lpstr>heading_SG_2</vt:lpstr>
      <vt:lpstr>heading_T1_19</vt:lpstr>
      <vt:lpstr>heading_V_Summary</vt:lpstr>
      <vt:lpstr>heading_W_1</vt:lpstr>
      <vt:lpstr>heading_W_2</vt:lpstr>
      <vt:lpstr>heading_W_3</vt:lpstr>
      <vt:lpstr>heading_W_4</vt:lpstr>
      <vt:lpstr>heading_W_5</vt:lpstr>
      <vt:lpstr>HI_DW</vt:lpstr>
      <vt:lpstr>HI_IA</vt:lpstr>
      <vt:lpstr>HI_SG_VI</vt:lpstr>
      <vt:lpstr>HI_Soil</vt:lpstr>
      <vt:lpstr>IA_DE_Level</vt:lpstr>
      <vt:lpstr>IA_ESL</vt:lpstr>
      <vt:lpstr>IA_NO_Level</vt:lpstr>
      <vt:lpstr>IFSadj</vt:lpstr>
      <vt:lpstr>IFSmadj</vt:lpstr>
      <vt:lpstr>IFWadj</vt:lpstr>
      <vt:lpstr>IFWmadj</vt:lpstr>
      <vt:lpstr>IRSa</vt:lpstr>
      <vt:lpstr>IRSc</vt:lpstr>
      <vt:lpstr>IRSci</vt:lpstr>
      <vt:lpstr>IRSct</vt:lpstr>
      <vt:lpstr>IRWa</vt:lpstr>
      <vt:lpstr>IRWc</vt:lpstr>
      <vt:lpstr>Land_Use</vt:lpstr>
      <vt:lpstr>LT</vt:lpstr>
      <vt:lpstr>MCL_Priority</vt:lpstr>
      <vt:lpstr>Pa</vt:lpstr>
      <vt:lpstr>PEFc</vt:lpstr>
      <vt:lpstr>PEFct</vt:lpstr>
      <vt:lpstr>PEFr</vt:lpstr>
      <vt:lpstr>' EcoT-Ca Aq Levels (IP-5)'!Print_Area</vt:lpstr>
      <vt:lpstr>'Direct Exp Model Factors (IP-3)'!Print_Area</vt:lpstr>
      <vt:lpstr>'EcoT-US Aq Levels (IP-6)'!Print_Area</vt:lpstr>
      <vt:lpstr>'GW Summary'!Print_Area</vt:lpstr>
      <vt:lpstr>'Indoor Air Direct Exp (IA-1)'!Print_Area</vt:lpstr>
      <vt:lpstr>'Indoor Air Odor (IA-2)'!Print_Area</vt:lpstr>
      <vt:lpstr>'MCL- Other DW Levels (IP-4)'!Print_Area</vt:lpstr>
      <vt:lpstr>'Petroleum Fractions (IP-9)'!Print_Area</vt:lpstr>
      <vt:lpstr>'Physical-Chem Values (IP-1)'!Print_Area</vt:lpstr>
      <vt:lpstr>'Seafood Ingestion (IP-7)'!Print_Area</vt:lpstr>
      <vt:lpstr>'Soil Direct Exp (S-1)'!Print_Area</vt:lpstr>
      <vt:lpstr>'Soil Gas VI HHR (SG-1)'!Print_Area</vt:lpstr>
      <vt:lpstr>'Soil Gas VI Odor (SG-2)'!Print_Area</vt:lpstr>
      <vt:lpstr>'Soil Gross Contam. (S-4)'!Print_Area</vt:lpstr>
      <vt:lpstr>'Soil Leaching (S-3)'!Print_Area</vt:lpstr>
      <vt:lpstr>'Soil Odor (S-5)'!Print_Area</vt:lpstr>
      <vt:lpstr>'Soil Summary'!Print_Area</vt:lpstr>
      <vt:lpstr>'Soil Terrest. Habitat (S-2)'!Print_Area</vt:lpstr>
      <vt:lpstr>'Table Index'!Print_Area</vt:lpstr>
      <vt:lpstr>'Terrestrial Habitat (IP-8)'!Print_Area</vt:lpstr>
      <vt:lpstr>'Tier 1 ESL'!Print_Area</vt:lpstr>
      <vt:lpstr>'Tier 2 Specific Concerns (T2-3)'!Print_Area</vt:lpstr>
      <vt:lpstr>'Tier-2 Site Spec. ESLs (T2-1)'!Print_Area</vt:lpstr>
      <vt:lpstr>'Toxicity Values (IP-2)'!Print_Area</vt:lpstr>
      <vt:lpstr>'Vapor Summary'!Print_Area</vt:lpstr>
      <vt:lpstr>'Water Direct Exp (GW-1)'!Print_Area</vt:lpstr>
      <vt:lpstr>'Water Gross Contam. (GW-4)'!Print_Area</vt:lpstr>
      <vt:lpstr>'Water Habitat Goal (GW-2)'!Print_Area</vt:lpstr>
      <vt:lpstr>'Water Odor (GW-5)'!Print_Area</vt:lpstr>
      <vt:lpstr>'Water VI HHR (GW-3)'!Print_Area</vt:lpstr>
      <vt:lpstr>' EcoT-Ca Aq Levels (IP-5)'!Print_Titles</vt:lpstr>
      <vt:lpstr>'Direct Exp Model Factors (IP-3)'!Print_Titles</vt:lpstr>
      <vt:lpstr>'EcoT-US Aq Levels (IP-6)'!Print_Titles</vt:lpstr>
      <vt:lpstr>'GW Summary'!Print_Titles</vt:lpstr>
      <vt:lpstr>'Indoor Air Direct Exp (IA-1)'!Print_Titles</vt:lpstr>
      <vt:lpstr>'Indoor Air Odor (IA-2)'!Print_Titles</vt:lpstr>
      <vt:lpstr>'MCL- Other DW Levels (IP-4)'!Print_Titles</vt:lpstr>
      <vt:lpstr>'Petroleum Fractions (IP-9)'!Print_Titles</vt:lpstr>
      <vt:lpstr>'Physical-Chem Values (IP-1)'!Print_Titles</vt:lpstr>
      <vt:lpstr>'Seafood Ingestion (IP-7)'!Print_Titles</vt:lpstr>
      <vt:lpstr>'Soil Direct Exp (S-1)'!Print_Titles</vt:lpstr>
      <vt:lpstr>'Soil Gas VI HHR (SG-1)'!Print_Titles</vt:lpstr>
      <vt:lpstr>'Soil Gas VI Odor (SG-2)'!Print_Titles</vt:lpstr>
      <vt:lpstr>'Soil Gross Contam. (S-4)'!Print_Titles</vt:lpstr>
      <vt:lpstr>'Soil Leaching (S-3)'!Print_Titles</vt:lpstr>
      <vt:lpstr>'Soil Odor (S-5)'!Print_Titles</vt:lpstr>
      <vt:lpstr>'Soil Summary'!Print_Titles</vt:lpstr>
      <vt:lpstr>'Soil Terrest. Habitat (S-2)'!Print_Titles</vt:lpstr>
      <vt:lpstr>'Terrestrial Habitat (IP-8)'!Print_Titles</vt:lpstr>
      <vt:lpstr>'Tier 1 ESL'!Print_Titles</vt:lpstr>
      <vt:lpstr>'Toxicity Values (IP-2)'!Print_Titles</vt:lpstr>
      <vt:lpstr>'Vapor Summary'!Print_Titles</vt:lpstr>
      <vt:lpstr>'Water Direct Exp (GW-1)'!Print_Titles</vt:lpstr>
      <vt:lpstr>'Water Gross Contam. (GW-4)'!Print_Titles</vt:lpstr>
      <vt:lpstr>'Water Habitat Goal (GW-2)'!Print_Titles</vt:lpstr>
      <vt:lpstr>'Water Odor (GW-5)'!Print_Titles</vt:lpstr>
      <vt:lpstr>'Water VI HHR (GW-3)'!Print_Titles</vt:lpstr>
      <vt:lpstr>Pt</vt:lpstr>
      <vt:lpstr>Pw</vt:lpstr>
      <vt:lpstr>RBAa</vt:lpstr>
      <vt:lpstr>Risk_DW</vt:lpstr>
      <vt:lpstr>Risk_GW_ETox</vt:lpstr>
      <vt:lpstr>Risk_GW_GC</vt:lpstr>
      <vt:lpstr>Risk_GW_Odor</vt:lpstr>
      <vt:lpstr>Risk_GW_VI</vt:lpstr>
      <vt:lpstr>Risk_IA</vt:lpstr>
      <vt:lpstr>Risk_IA_Odor</vt:lpstr>
      <vt:lpstr>Risk_SG_Odor</vt:lpstr>
      <vt:lpstr>Risk_SG_VI</vt:lpstr>
      <vt:lpstr>Risk_Soil</vt:lpstr>
      <vt:lpstr>Risk_Soil_ETox</vt:lpstr>
      <vt:lpstr>Risk_Soil_GC</vt:lpstr>
      <vt:lpstr>Risk_Soil_Leach</vt:lpstr>
      <vt:lpstr>Risk_Soil_Odor</vt:lpstr>
      <vt:lpstr>Risk_Tap</vt:lpstr>
      <vt:lpstr>SAa</vt:lpstr>
      <vt:lpstr>SAc</vt:lpstr>
      <vt:lpstr>SAci</vt:lpstr>
      <vt:lpstr>SAct</vt:lpstr>
      <vt:lpstr>SAwa</vt:lpstr>
      <vt:lpstr>SAwc</vt:lpstr>
      <vt:lpstr>SG_DE_Level</vt:lpstr>
      <vt:lpstr>SG_ESL</vt:lpstr>
      <vt:lpstr>SG_NO_Level</vt:lpstr>
      <vt:lpstr>Site_Spec_AF</vt:lpstr>
      <vt:lpstr>Soil_DE_Level</vt:lpstr>
      <vt:lpstr>Soil_Depth</vt:lpstr>
      <vt:lpstr>Soil_EcoT_Level</vt:lpstr>
      <vt:lpstr>Soil_ESL</vt:lpstr>
      <vt:lpstr>Soil_GC_Level</vt:lpstr>
      <vt:lpstr>Soil_Lech_Level</vt:lpstr>
      <vt:lpstr>Soil_NO_Level</vt:lpstr>
      <vt:lpstr>T</vt:lpstr>
      <vt:lpstr>Table_GW_Summary</vt:lpstr>
      <vt:lpstr>Table_IA_1</vt:lpstr>
      <vt:lpstr>Table_IA_2</vt:lpstr>
      <vt:lpstr>Table_IP_1</vt:lpstr>
      <vt:lpstr>Table_IP_2</vt:lpstr>
      <vt:lpstr>Table_IP_3</vt:lpstr>
      <vt:lpstr>Table_IP_4</vt:lpstr>
      <vt:lpstr>Table_IP_5</vt:lpstr>
      <vt:lpstr>Table_IP_6</vt:lpstr>
      <vt:lpstr>Table_IP_7</vt:lpstr>
      <vt:lpstr>Table_IP_8</vt:lpstr>
      <vt:lpstr>Table_N10</vt:lpstr>
      <vt:lpstr>Table_N3</vt:lpstr>
      <vt:lpstr>Table_RSL</vt:lpstr>
      <vt:lpstr>Table_RSL_C</vt:lpstr>
      <vt:lpstr>Table_RSL_SL</vt:lpstr>
      <vt:lpstr>Table_S_1</vt:lpstr>
      <vt:lpstr>Table_S_2</vt:lpstr>
      <vt:lpstr>Table_S_3</vt:lpstr>
      <vt:lpstr>Table_S_4</vt:lpstr>
      <vt:lpstr>Table_S_5</vt:lpstr>
      <vt:lpstr>Table_S_Summary</vt:lpstr>
      <vt:lpstr>Table_SG_1</vt:lpstr>
      <vt:lpstr>Table_SG_2</vt:lpstr>
      <vt:lpstr>Table_T1_19</vt:lpstr>
      <vt:lpstr>Table_V_Summary</vt:lpstr>
      <vt:lpstr>Table_W_1</vt:lpstr>
      <vt:lpstr>Table_W_2</vt:lpstr>
      <vt:lpstr>Table_W_3</vt:lpstr>
      <vt:lpstr>Table_W_4</vt:lpstr>
      <vt:lpstr>Table_W_5</vt:lpstr>
      <vt:lpstr>Tcw</vt:lpstr>
      <vt:lpstr>TETmadj</vt:lpstr>
      <vt:lpstr>THQ</vt:lpstr>
      <vt:lpstr>TR</vt:lpstr>
      <vt:lpstr>Tw</vt:lpstr>
      <vt:lpstr>Update</vt:lpstr>
      <vt:lpstr>Vegetation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Nicole.Fry@Waterboards</dc:creator>
  <cp:keywords/>
  <dc:description/>
  <cp:lastModifiedBy>Fry, Nicole@Waterboards</cp:lastModifiedBy>
  <cp:revision/>
  <cp:lastPrinted>2025-06-16T23:34:19Z</cp:lastPrinted>
  <dcterms:created xsi:type="dcterms:W3CDTF">1999-05-06T02:39:42Z</dcterms:created>
  <dcterms:modified xsi:type="dcterms:W3CDTF">2026-01-20T18:31:28Z</dcterms:modified>
  <cp:category/>
  <cp:contentStatus/>
</cp:coreProperties>
</file>